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4.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5.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6.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7.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drawings/drawing8.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12.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G:\Division\Green Building\Scoring Tools\Bronze Cookbooks\"/>
    </mc:Choice>
  </mc:AlternateContent>
  <xr:revisionPtr revIDLastSave="0" documentId="13_ncr:1_{5F2D8A31-2209-4242-A509-1E22B2048B7D}" xr6:coauthVersionLast="47" xr6:coauthVersionMax="47" xr10:uidLastSave="{00000000-0000-0000-0000-000000000000}"/>
  <bookViews>
    <workbookView xWindow="-110" yWindow="-110" windowWidth="19420" windowHeight="10420" tabRatio="894" xr2:uid="{00000000-000D-0000-FFFF-FFFF00000000}"/>
  </bookViews>
  <sheets>
    <sheet name="Info &amp; Intro" sheetId="6" r:id="rId1"/>
    <sheet name="Overview (Design)" sheetId="7" r:id="rId2"/>
    <sheet name="Geography" sheetId="4" state="veryHidden" r:id="rId3"/>
    <sheet name="Ch5" sheetId="8" r:id="rId4"/>
    <sheet name="Ch6" sheetId="24" r:id="rId5"/>
    <sheet name="Ch7" sheetId="25" r:id="rId6"/>
    <sheet name="Ch8" sheetId="27" r:id="rId7"/>
    <sheet name="Ch9" sheetId="28" r:id="rId8"/>
    <sheet name="Ch10" sheetId="29" r:id="rId9"/>
    <sheet name="Req. Doc." sheetId="66" r:id="rId10"/>
    <sheet name="Design Summ." sheetId="72" r:id="rId11"/>
    <sheet name="Dropdowns" sheetId="2" state="veryHidden" r:id="rId12"/>
    <sheet name="Points" sheetId="3" state="veryHidden" r:id="rId13"/>
    <sheet name="Formulas" sheetId="10" state="veryHidden" r:id="rId14"/>
    <sheet name="Overview (Verification)" sheetId="23" r:id="rId15"/>
    <sheet name="Verification Report" sheetId="16" r:id="rId16"/>
    <sheet name="Photo Review" sheetId="76" state="veryHidden" r:id="rId17"/>
    <sheet name="Rough Summary" sheetId="17" r:id="rId18"/>
    <sheet name="Final Summary" sheetId="18" r:id="rId19"/>
    <sheet name="Appendix A" sheetId="73" r:id="rId20"/>
    <sheet name="Appendix B" sheetId="74" r:id="rId21"/>
    <sheet name="Appendix D" sheetId="75" r:id="rId22"/>
    <sheet name="Table 602.1.12" sheetId="30" r:id="rId23"/>
    <sheet name="Table 604.1" sheetId="31" r:id="rId24"/>
    <sheet name="Table 610.1.2.1" sheetId="32" r:id="rId25"/>
    <sheet name="Table 610.1.2.2" sheetId="33" r:id="rId26"/>
    <sheet name="Figure 6(2)" sheetId="34" r:id="rId27"/>
    <sheet name="Figure 6(3)" sheetId="37" r:id="rId28"/>
    <sheet name="Table 701.4.3.2(2)" sheetId="39" r:id="rId29"/>
    <sheet name="Table 703.2.1(a)" sheetId="38" r:id="rId30"/>
    <sheet name="Table 703.2.1(b)" sheetId="40" r:id="rId31"/>
    <sheet name="Table 703.2.2" sheetId="41" r:id="rId32"/>
    <sheet name="Table 703.2.4" sheetId="43" r:id="rId33"/>
    <sheet name="Table 703.2.5.1" sheetId="44" r:id="rId34"/>
    <sheet name="Tables 703.2.5.2(a), (b) &amp; (c)" sheetId="45" r:id="rId35"/>
    <sheet name="Table 703.7.1(7)" sheetId="65" r:id="rId36"/>
    <sheet name="Table 801.1(1)" sheetId="67" r:id="rId37"/>
    <sheet name="Table 801.1(2)" sheetId="68" r:id="rId38"/>
    <sheet name="Table 901.9.1" sheetId="69" r:id="rId39"/>
    <sheet name="Table 901.9.2" sheetId="70" r:id="rId40"/>
    <sheet name="Table 901.10(3)" sheetId="71" r:id="rId41"/>
    <sheet name="Errata" sheetId="21" r:id="rId42"/>
  </sheets>
  <definedNames>
    <definedName name="_xlnm._FilterDatabase" localSheetId="2" hidden="1">Geography!$A$1:$G$3146</definedName>
    <definedName name="_xlnm._FilterDatabase" localSheetId="16" hidden="1">'Photo Review'!$G$7:$G$2014</definedName>
    <definedName name="_xlnm._FilterDatabase" localSheetId="9" hidden="1">'Req. Doc.'!$A$6:$C$2013</definedName>
    <definedName name="_xlnm._FilterDatabase" localSheetId="15" hidden="1">'Verification Report'!$A$7:$H$2015</definedName>
    <definedName name="Ch10Add">Points!$M$20</definedName>
    <definedName name="Ch10AddFinal">Points!$V$20</definedName>
    <definedName name="Ch10AddGoal">Points!$X$20</definedName>
    <definedName name="Ch10GLevFinal">Points!$AA$20</definedName>
    <definedName name="Ch10Level">Points!$R$20</definedName>
    <definedName name="Ch10LevelFinal">Points!$AC$20</definedName>
    <definedName name="Ch10NLev">Points!$P$20</definedName>
    <definedName name="Ch10Points">Points!$H$20</definedName>
    <definedName name="Ch10PointsFinal">Points!$T$20</definedName>
    <definedName name="Ch5Add" localSheetId="12">Points!$M$15</definedName>
    <definedName name="Ch5AddFinal">Points!$V$15</definedName>
    <definedName name="Ch5AddGoal">Points!$X$15</definedName>
    <definedName name="Ch5Error">'Ch5'!$AI$3</definedName>
    <definedName name="Ch5GLevFinal">Points!$AA$15</definedName>
    <definedName name="Ch5Level" localSheetId="12">Points!$R$15</definedName>
    <definedName name="Ch5LevelFinal">Points!$AC$15</definedName>
    <definedName name="Ch5MandError">'Ch5'!$AG$3</definedName>
    <definedName name="Ch5NLev" localSheetId="12">Points!$P$15</definedName>
    <definedName name="Ch5Points" localSheetId="12">Points!$H$15</definedName>
    <definedName name="Ch5PointsFinal">Points!$T$15</definedName>
    <definedName name="Ch6Add">Points!$M$16</definedName>
    <definedName name="Ch6AddFinal">Points!$V$16</definedName>
    <definedName name="Ch6AddGoal">Points!$X$16</definedName>
    <definedName name="Ch6GLevFinal">Points!$AA$16</definedName>
    <definedName name="Ch6Level">Points!$R$16</definedName>
    <definedName name="Ch6LevelFinal">Points!$AC$16</definedName>
    <definedName name="Ch6NLev">Points!$P$16</definedName>
    <definedName name="Ch6Points">Points!$H$16</definedName>
    <definedName name="Ch6PointsFinal">Points!$T$16</definedName>
    <definedName name="Ch7Add">Points!$M$17</definedName>
    <definedName name="Ch7AddFinal">Points!$V$17</definedName>
    <definedName name="Ch7AddGoal">Points!$X$17</definedName>
    <definedName name="Ch7GLevFinal">Points!$AA$17</definedName>
    <definedName name="Ch7Level">Points!$R$17</definedName>
    <definedName name="Ch7LevelFinal">Points!$AC$17</definedName>
    <definedName name="Ch7Max">Points!$N$10</definedName>
    <definedName name="Ch7NLev">Points!$P$17</definedName>
    <definedName name="Ch7Points">Points!$H$17</definedName>
    <definedName name="Ch7PointsFinal">Points!$T$17</definedName>
    <definedName name="Ch8Add">Points!$M$18</definedName>
    <definedName name="Ch8AddFinal">Points!$V$18</definedName>
    <definedName name="Ch8AddGoal">Points!$X$18</definedName>
    <definedName name="Ch8GLevFinal">Points!$AA$18</definedName>
    <definedName name="Ch8Level">Points!$R$18</definedName>
    <definedName name="Ch8LevelFinal">Points!$AC$18</definedName>
    <definedName name="Ch8Max">Points!$N$11</definedName>
    <definedName name="Ch8NLev">Points!$P$18</definedName>
    <definedName name="Ch8Points">Points!$H$18</definedName>
    <definedName name="Ch8PointsFinal">Points!$T$18</definedName>
    <definedName name="Ch9Add">Points!$M$19</definedName>
    <definedName name="Ch9AddFinal">Points!$V$19</definedName>
    <definedName name="Ch9AddGoal">Points!$X$19</definedName>
    <definedName name="Ch9GLevFinal">Points!$AA$19</definedName>
    <definedName name="Ch9Level">Points!$R$19</definedName>
    <definedName name="Ch9LevelFinal">Points!$AC$19</definedName>
    <definedName name="Ch9NLev">Points!$P$19</definedName>
    <definedName name="Ch9Points">Points!$H$19</definedName>
    <definedName name="Ch9PointsFinal">Points!$T$19</definedName>
    <definedName name="codChapter10">'Ch10'!$H$9:$H$187</definedName>
    <definedName name="codChapter5">'Ch5'!$H$9:$H$264</definedName>
    <definedName name="codChapter6">'Ch6'!$H$9:$H$517</definedName>
    <definedName name="codChapter7">'Ch7'!$H$9:$H$640</definedName>
    <definedName name="codChapter8">'Ch8'!$H$9:$H$169</definedName>
    <definedName name="codChapter9">'Ch9'!$H$9:$H$279</definedName>
    <definedName name="dbState">Geography!$A$1:$H$3146</definedName>
    <definedName name="dch1001_1_1">'Ch10'!$AQ$15</definedName>
    <definedName name="dch1001_1_10">'Ch10'!$AQ$30</definedName>
    <definedName name="dch1001_1_11">'Ch10'!$AQ$31</definedName>
    <definedName name="dch1001_1_12">'Ch10'!$AQ$32</definedName>
    <definedName name="dch1001_1_13">'Ch10'!$AQ$38</definedName>
    <definedName name="dch1001_1_14">'Ch10'!$AQ$42</definedName>
    <definedName name="dch1001_1_15">'Ch10'!$AQ$44</definedName>
    <definedName name="dch1001_1_16">'Ch10'!$AQ$46</definedName>
    <definedName name="dch1001_1_17">'Ch10'!$AQ$47</definedName>
    <definedName name="dch1001_1_18">'Ch10'!$AQ$49</definedName>
    <definedName name="dch1001_1_19">'Ch10'!$AQ$51</definedName>
    <definedName name="dch1001_1_2">'Ch10'!$AQ$16</definedName>
    <definedName name="dch1001_1_20">'Ch10'!$AQ$52</definedName>
    <definedName name="dch1001_1_21">'Ch10'!$AQ$54</definedName>
    <definedName name="dch1001_1_22">'Ch10'!$AQ$56</definedName>
    <definedName name="dch1001_1_23">'Ch10'!$AQ$58</definedName>
    <definedName name="dch1001_1_24">'Ch10'!$AQ$59</definedName>
    <definedName name="dch1001_1_3">'Ch10'!$AQ$17</definedName>
    <definedName name="dch1001_1_4">'Ch10'!$AQ$21</definedName>
    <definedName name="dch1001_1_5">'Ch10'!$AQ$22</definedName>
    <definedName name="dch1001_1_6">'Ch10'!$AQ$23</definedName>
    <definedName name="dch1001_1_7">'Ch10'!$AQ$25</definedName>
    <definedName name="dch1001_1_8">'Ch10'!$AQ$27</definedName>
    <definedName name="dch1001_1_9">'Ch10'!$AQ$28</definedName>
    <definedName name="dch1001_2">'Ch10'!$AQ$60</definedName>
    <definedName name="dch1002_1_1">'Ch10'!$AQ$81</definedName>
    <definedName name="dch1002_1_2">'Ch10'!$AQ$84</definedName>
    <definedName name="dch1002_1_3">'Ch10'!$AQ$87</definedName>
    <definedName name="dch1002_1_4">'Ch10'!$AQ$89</definedName>
    <definedName name="dch1002_1_5">'Ch10'!$AQ$90</definedName>
    <definedName name="dch1002_1_6">'Ch10'!$AQ$92</definedName>
    <definedName name="dch1002_1_7">'Ch10'!$AQ$93</definedName>
    <definedName name="dch1002_1_8">'Ch10'!$AQ$94</definedName>
    <definedName name="dch1002_2_1">'Ch10'!$AQ$100</definedName>
    <definedName name="dch1002_2_10">'Ch10'!$AQ$118</definedName>
    <definedName name="dch1002_2_11">'Ch10'!$AQ$121</definedName>
    <definedName name="dch1002_2_2">'Ch10'!$AQ$102</definedName>
    <definedName name="dch1002_2_3">'Ch10'!$AQ$105</definedName>
    <definedName name="dch1002_2_4">'Ch10'!$AQ$107</definedName>
    <definedName name="dch1002_2_5">'Ch10'!$AQ$110</definedName>
    <definedName name="dch1002_2_6">'Ch10'!$AQ$112</definedName>
    <definedName name="dch1002_2_7">'Ch10'!$AQ$113</definedName>
    <definedName name="dch1002_2_8">'Ch10'!$AQ$115</definedName>
    <definedName name="dch1002_2_9">'Ch10'!$AQ$117</definedName>
    <definedName name="dch1002_3_1">'Ch10'!$AQ$127</definedName>
    <definedName name="dch1002_3_10">'Ch10'!$AQ$148</definedName>
    <definedName name="dch1002_3_2">'Ch10'!$AQ$129</definedName>
    <definedName name="dch1002_3_3">'Ch10'!$AQ$133</definedName>
    <definedName name="dch1002_3_4">'Ch10'!$AQ$140</definedName>
    <definedName name="dch1002_3_5">'Ch10'!$AQ$142</definedName>
    <definedName name="dch1002_3_6">'Ch10'!$AQ$143</definedName>
    <definedName name="dch1002_3_7">'Ch10'!$AQ$145</definedName>
    <definedName name="dch1002_3_8">'Ch10'!$AQ$146</definedName>
    <definedName name="dch1002_3_9">'Ch10'!$AQ$147</definedName>
    <definedName name="dch1002_4">'Ch10'!$AQ$149</definedName>
    <definedName name="dch1003_1_1">'Ch10'!$AQ$166</definedName>
    <definedName name="dch1003_1_2">'Ch10'!$AQ$168</definedName>
    <definedName name="dch1003_1_3">'Ch10'!$AQ$171</definedName>
    <definedName name="dch1004_1_1">'Ch10'!$AQ$184</definedName>
    <definedName name="dch1004_1_2">'Ch10'!$AQ$186</definedName>
    <definedName name="dch501_1_1">'Ch5'!$AQ$15</definedName>
    <definedName name="dch501_1_2_a">'Ch5'!$AQ$17</definedName>
    <definedName name="dch501_1_2_b">'Ch5'!$AQ$18</definedName>
    <definedName name="dch501_1_2_c">'Ch5'!$AQ$19</definedName>
    <definedName name="dch501_2_1">'Ch5'!$AQ$22</definedName>
    <definedName name="dch501_2_2">'Ch5'!$AQ$24</definedName>
    <definedName name="dch501_2_3">'Ch5'!$AQ$26</definedName>
    <definedName name="dch501_2_4">'Ch5'!$AQ$28</definedName>
    <definedName name="dch501_2_5">'Ch5'!$AQ$37</definedName>
    <definedName name="dch501_2_6">'Ch5'!$AQ$40</definedName>
    <definedName name="dch502_1">'Ch5'!$AQ$46</definedName>
    <definedName name="dch503_1_1">'Ch5'!$AQ$57</definedName>
    <definedName name="dch503_1_2">'Ch5'!$AQ$58</definedName>
    <definedName name="dch503_1_3">'Ch5'!$AQ$60</definedName>
    <definedName name="dch503_1_4">'Ch5'!$AQ$62</definedName>
    <definedName name="dch503_1_5">'Ch5'!$AQ$63</definedName>
    <definedName name="dch503_1_6">'Ch5'!$AQ$64</definedName>
    <definedName name="dch503_1_7">'Ch5'!$AQ$66</definedName>
    <definedName name="dch503_2">'Ch5'!$AQ$69</definedName>
    <definedName name="dch503_2_1">'Ch5'!$AQ$70</definedName>
    <definedName name="dch503_2_2">'Ch5'!$AQ$71</definedName>
    <definedName name="dch503_2_3">'Ch5'!$AQ$73</definedName>
    <definedName name="dch503_2_4">'Ch5'!$AQ$78</definedName>
    <definedName name="dch503_2_5">'Ch5'!$AQ$80</definedName>
    <definedName name="dch503_3_1">'Ch5'!$AQ$84</definedName>
    <definedName name="dch503_3_2_a">'Ch5'!$AQ$88</definedName>
    <definedName name="dch503_3_2_b">'Ch5'!$AQ$89</definedName>
    <definedName name="dch503_3_2_c">'Ch5'!$AQ$91</definedName>
    <definedName name="dch503_3_2_d">'Ch5'!$AQ$92</definedName>
    <definedName name="dch503_3_3">'Ch5'!$AQ$93</definedName>
    <definedName name="dch503_4_1">'Ch5'!$AQ$101</definedName>
    <definedName name="dch503_4_2">'Ch5'!$AQ$104</definedName>
    <definedName name="dch503_4_3">'Ch5'!$AQ$108</definedName>
    <definedName name="dch503_4_4">'Ch5'!$AQ$115</definedName>
    <definedName name="dch503_5">'Ch5'!$AQ$122</definedName>
    <definedName name="dch503_5_1">'Ch5'!$AQ$124</definedName>
    <definedName name="dch503_5_10">'Ch5'!$AQ$152</definedName>
    <definedName name="dch503_5_11">'Ch5'!$AQ$154</definedName>
    <definedName name="dch503_5_12">'Ch5'!$AQ$156</definedName>
    <definedName name="dch503_5_2">'Ch5'!$AQ$130</definedName>
    <definedName name="dch503_5_3">'Ch5'!$AQ$132</definedName>
    <definedName name="dch503_5_4">'Ch5'!$AQ$134</definedName>
    <definedName name="dch503_5_5">'Ch5'!$AQ$136</definedName>
    <definedName name="dch503_5_6">'Ch5'!$AQ$141</definedName>
    <definedName name="dch503_5_7">'Ch5'!$AQ$142</definedName>
    <definedName name="dch503_5_8">'Ch5'!$AQ$147</definedName>
    <definedName name="dch503_5_9">'Ch5'!$AQ$149</definedName>
    <definedName name="dch503_6_1">'Ch5'!$AQ$160</definedName>
    <definedName name="dch503_6_2">'Ch5'!$AQ$161</definedName>
    <definedName name="dch503_6_3">'Ch5'!$AQ$162</definedName>
    <definedName name="dch503_6_4">'Ch5'!$AQ$164</definedName>
    <definedName name="dch503_7">'Ch5'!$AQ$165</definedName>
    <definedName name="dch503_8">'Ch5'!$AQ$171</definedName>
    <definedName name="dch504_1">'Ch5'!$AQ$179</definedName>
    <definedName name="dch504_2_1">'Ch5'!$AQ$186</definedName>
    <definedName name="dch504_2_2">'Ch5'!$AQ$187</definedName>
    <definedName name="dch504_2_3">'Ch5'!$AQ$189</definedName>
    <definedName name="dch504_3_1">'Ch5'!$AQ$194</definedName>
    <definedName name="dch504_3_2">'Ch5'!$AQ$196</definedName>
    <definedName name="dch504_3_3">'Ch5'!$AQ$197</definedName>
    <definedName name="dch504_3_4">'Ch5'!$AQ$199</definedName>
    <definedName name="dch504_3_5">'Ch5'!$AQ$201</definedName>
    <definedName name="dch504_3_6">'Ch5'!$AQ$205</definedName>
    <definedName name="dch504_3_7">'Ch5'!$AQ$208</definedName>
    <definedName name="dch504_3_8a">'Ch5'!$AQ$210</definedName>
    <definedName name="dch504_3_8b">'Ch5'!$AQ$211</definedName>
    <definedName name="dch504_3_8c">'Ch5'!$AQ$212</definedName>
    <definedName name="dch504_3_8d">'Ch5'!$AQ$213</definedName>
    <definedName name="dch504_3_8e">'Ch5'!$AQ$214</definedName>
    <definedName name="dch504_3_8f">'Ch5'!$AQ$215</definedName>
    <definedName name="dch504_3_9">'Ch5'!$AQ$217</definedName>
    <definedName name="dch505_1_1">'Ch5'!$AQ$224</definedName>
    <definedName name="dch505_1_2">'Ch5'!$AQ$226</definedName>
    <definedName name="dch505_1_3">'Ch5'!$AQ$227</definedName>
    <definedName name="dch505_1_4">'Ch5'!$AQ$231</definedName>
    <definedName name="dch505_2_1_a">'Ch5'!$AQ$239</definedName>
    <definedName name="dch505_2_1_b">'Ch5'!$AQ$242</definedName>
    <definedName name="dch505_2_1_c">'Ch5'!$AQ$246</definedName>
    <definedName name="dch505_2_2">'Ch5'!$AQ$247</definedName>
    <definedName name="dch505_3">'Ch5'!$AQ$250</definedName>
    <definedName name="dch505_4">'Ch5'!$AQ$256</definedName>
    <definedName name="dch505_5">'Ch5'!$AQ$257</definedName>
    <definedName name="dch505_6">'Ch5'!$AQ$259</definedName>
    <definedName name="dch601_2_1">'Ch6'!$AQ$29</definedName>
    <definedName name="dch601_2_2">'Ch6'!$AQ$32</definedName>
    <definedName name="dch601_2_3">'Ch6'!$AQ$35</definedName>
    <definedName name="dch601_3_1">'Ch6'!$AQ$39</definedName>
    <definedName name="dch601_3_2">'Ch6'!$AQ$40</definedName>
    <definedName name="dch601_3_3">'Ch6'!$AQ$41</definedName>
    <definedName name="dch601_3_4">'Ch6'!$AQ$42</definedName>
    <definedName name="dch601_3_5">'Ch6'!$AQ$43</definedName>
    <definedName name="dch601_4">'Ch6'!$AQ$44</definedName>
    <definedName name="dch601_5_1">'Ch6'!$AQ$50</definedName>
    <definedName name="dch601_5_2">'Ch6'!$AQ$51</definedName>
    <definedName name="dch601_5_3">'Ch6'!$AQ$52</definedName>
    <definedName name="dch601_5_4">'Ch6'!$AQ$53</definedName>
    <definedName name="dch601_5_5">'Ch6'!$AQ$54</definedName>
    <definedName name="dch601_6">'Ch6'!$AQ$56</definedName>
    <definedName name="dch601_7_a">'Ch6'!$AQ$63</definedName>
    <definedName name="dch601_7_b">'Ch6'!$AQ$64</definedName>
    <definedName name="dch601_7_c">'Ch6'!$AQ$65</definedName>
    <definedName name="dch601_7_d">'Ch6'!$AQ$69</definedName>
    <definedName name="dch601_7_e">'Ch6'!$AQ$71</definedName>
    <definedName name="dch601_8">'Ch6'!$AQ$78</definedName>
    <definedName name="dch601_9">'Ch6'!$AQ$86</definedName>
    <definedName name="dch602_1_1_1">'Ch6'!$AQ$97</definedName>
    <definedName name="dch602_1_1_2">'Ch6'!$AQ$100</definedName>
    <definedName name="dch602_1_10">'Ch6'!$AQ$197</definedName>
    <definedName name="dch602_1_11">'Ch6'!$AQ$209</definedName>
    <definedName name="dch602_1_12">'Ch6'!$AQ$211</definedName>
    <definedName name="dch602_1_13">'Ch6'!$AQ$214</definedName>
    <definedName name="dch602_1_14_1">'Ch6'!$AQ$220</definedName>
    <definedName name="dch602_1_14_2">'Ch6'!$AQ$222</definedName>
    <definedName name="dch602_1_14_3">'Ch6'!$AQ$223</definedName>
    <definedName name="dch602_1_2__1">'Ch6'!$AQ$104</definedName>
    <definedName name="dch602_1_2__2">'Ch6'!$AQ$105</definedName>
    <definedName name="dch602_1_3_1">'Ch6'!$AQ$107</definedName>
    <definedName name="dch602_1_3_2">'Ch6'!$AQ$109</definedName>
    <definedName name="dch602_1_4_1_1">'Ch6'!$AQ$115</definedName>
    <definedName name="dch602_1_4_1_2">'Ch6'!$AQ$117</definedName>
    <definedName name="dch602_1_4_2_1">'Ch6'!$AQ$121</definedName>
    <definedName name="dch602_1_4_2_2">'Ch6'!$AQ$123</definedName>
    <definedName name="dch602_1_5">'Ch6'!$AQ$126</definedName>
    <definedName name="dch602_1_5_1">'Ch6'!$AQ$127</definedName>
    <definedName name="dch602_1_5_2">'Ch6'!$AQ$129</definedName>
    <definedName name="dch602_1_6_1">'Ch6'!$AQ$135</definedName>
    <definedName name="dch602_1_6_2">'Ch6'!$AQ$139</definedName>
    <definedName name="dch602_1_6_3">'Ch6'!$AQ$143</definedName>
    <definedName name="dch602_1_7_1_1">'Ch6'!$AQ$148</definedName>
    <definedName name="dch602_1_7_1_2">'Ch6'!$AQ$150</definedName>
    <definedName name="dch602_1_7_1_3">'Ch6'!$AQ$153</definedName>
    <definedName name="dch602_1_7_2">'Ch6'!$AQ$155</definedName>
    <definedName name="dch602_1_7_3">'Ch6'!$AQ$157</definedName>
    <definedName name="dch602_1_8">'Ch6'!$AQ$161</definedName>
    <definedName name="dch602_1_9_1">'Ch6'!$AQ$169</definedName>
    <definedName name="dch602_1_9_2">'Ch6'!$AQ$179</definedName>
    <definedName name="dch602_1_9_3">'Ch6'!$AQ$182</definedName>
    <definedName name="dch602_1_9_4">'Ch6'!$AQ$183</definedName>
    <definedName name="dch602_1_9_5">'Ch6'!$AQ$187</definedName>
    <definedName name="dch602_1_9_6">'Ch6'!$AQ$193</definedName>
    <definedName name="dch602_1_9_7">'Ch6'!$AQ$195</definedName>
    <definedName name="dch602_2_1">'Ch6'!$AQ$228</definedName>
    <definedName name="dch602_2_2">'Ch6'!$AQ$230</definedName>
    <definedName name="dch602_2_3">'Ch6'!$AQ$231</definedName>
    <definedName name="dch602_3">'Ch6'!$AQ$234</definedName>
    <definedName name="dch602_4_1">'Ch6'!$AQ$238</definedName>
    <definedName name="dch602_4_2">'Ch6'!$AQ$243</definedName>
    <definedName name="dch602_4_3">'Ch6'!$AQ$245</definedName>
    <definedName name="dch603_1">'Ch6'!$AQ$249</definedName>
    <definedName name="dch603_2">'Ch6'!$AQ$255</definedName>
    <definedName name="dch603_3">'Ch6'!$AQ$262</definedName>
    <definedName name="dch604_1a">'Ch6'!$AQ$267</definedName>
    <definedName name="dch604_1b">'Ch6'!$AQ$269</definedName>
    <definedName name="dch604_1c">'Ch6'!$AQ$271</definedName>
    <definedName name="dch604_1d">'Ch6'!$AQ$273</definedName>
    <definedName name="dch605_1">'Ch6'!$AQ$278</definedName>
    <definedName name="dch605_1_2">'Ch6'!$AQ$291</definedName>
    <definedName name="dch605_2">'Ch6'!$AQ$293</definedName>
    <definedName name="dch605_3_2_a">'Ch6'!$AQ$306</definedName>
    <definedName name="dch605_3_2_b">'Ch6'!$AQ$307</definedName>
    <definedName name="dch605_3_2_c">'Ch6'!$AQ$308</definedName>
    <definedName name="dch605_3_2_d">'Ch6'!$AQ$309</definedName>
    <definedName name="dch605_3_2_e">'Ch6'!$AQ$310</definedName>
    <definedName name="dch605_3_2_f">'Ch6'!$AQ$311</definedName>
    <definedName name="dch605_3_2_g">'Ch6'!$AQ$312</definedName>
    <definedName name="dch605_3_2_h">'Ch6'!$AQ$313</definedName>
    <definedName name="dch605_3_2_i">'Ch6'!$AQ$314</definedName>
    <definedName name="dch606_1_a">'Ch6'!$AQ$319</definedName>
    <definedName name="dch606_1_b">'Ch6'!$AQ$320</definedName>
    <definedName name="dch606_1_c">'Ch6'!$AQ$321</definedName>
    <definedName name="dch606_1_d">'Ch6'!$AQ$322</definedName>
    <definedName name="dch606_1_e">'Ch6'!$AQ$323</definedName>
    <definedName name="dch606_1_f">'Ch6'!$AQ$324</definedName>
    <definedName name="dch606_1_g">'Ch6'!$AQ$325</definedName>
    <definedName name="dch606_1_h">'Ch6'!$AQ$326</definedName>
    <definedName name="dch606_2_1a">'Ch6'!$AQ$346</definedName>
    <definedName name="dch606_2_1b">'Ch6'!$AQ$347</definedName>
    <definedName name="dch606_2_2a">'Ch6'!$AQ$349</definedName>
    <definedName name="dch606_2_2b">'Ch6'!$AQ$350</definedName>
    <definedName name="dch606_3">'Ch6'!$AQ$352</definedName>
    <definedName name="dch607_1_1">'Ch6'!$AQ$361</definedName>
    <definedName name="dch607_1_2">'Ch6'!$AQ$363</definedName>
    <definedName name="dch607_2">'Ch6'!$AQ$364</definedName>
    <definedName name="dch608_1">'Ch6'!$AQ$367</definedName>
    <definedName name="dch609_1a">'Ch6'!$AQ$377</definedName>
    <definedName name="dch609_1b">'Ch6'!$AQ$380</definedName>
    <definedName name="dch610_1_1_1">'Ch6'!$AQ$392</definedName>
    <definedName name="dch610_1_1_2">'Ch6'!$AQ$401</definedName>
    <definedName name="dch610_1_1_3">'Ch6'!$AQ$408</definedName>
    <definedName name="dch610_1_2_1a">'Ch6'!$AQ$416</definedName>
    <definedName name="dch610_1_2_1b">'Ch6'!$AQ$423</definedName>
    <definedName name="dch610_1_2_2_f">'Ch6'!$AQ$447</definedName>
    <definedName name="dch610_1_2_2a">'Ch6'!$AQ$429</definedName>
    <definedName name="dch610_1_2_2b">'Ch6'!$AQ$435</definedName>
    <definedName name="dch610_1_2_2c">'Ch6'!$AQ$441</definedName>
    <definedName name="dch611_1">'Ch6'!$AQ$453</definedName>
    <definedName name="dch611_2_1">'Ch6'!$AQ$464</definedName>
    <definedName name="dch611_2_2">'Ch6'!$AQ$465</definedName>
    <definedName name="dch611_2_3">'Ch6'!$AQ$466</definedName>
    <definedName name="dch611_2_4">'Ch6'!$AQ$467</definedName>
    <definedName name="dch611_2_5">'Ch6'!$AQ$468</definedName>
    <definedName name="dch611_2_6">'Ch6'!$AQ$469</definedName>
    <definedName name="dch611_2_7">'Ch6'!$AQ$470</definedName>
    <definedName name="dch611_3_1">'Ch6'!$AQ$474</definedName>
    <definedName name="dch611_3_2">'Ch6'!$AQ$479</definedName>
    <definedName name="dch611_3_3">'Ch6'!$AQ$483</definedName>
    <definedName name="dch611_3_4">'Ch6'!$AQ$485</definedName>
    <definedName name="dch611_3_5">'Ch6'!$AQ$487</definedName>
    <definedName name="dch611_3_6">'Ch6'!$AQ$488</definedName>
    <definedName name="dch611_3_7">'Ch6'!$AQ$489</definedName>
    <definedName name="dch611_3_8">'Ch6'!$AQ$493</definedName>
    <definedName name="dch611_3_9">'Ch6'!$AQ$495</definedName>
    <definedName name="dch611_4_1">'Ch6'!$AQ$503</definedName>
    <definedName name="dch611_4_2">'Ch6'!$AQ$513</definedName>
    <definedName name="dch701_1">'Ch7'!$AQ$12</definedName>
    <definedName name="dch701_1_">'Ch7'!$AQ$14</definedName>
    <definedName name="dch701_1_4">'Ch7'!$AQ$26</definedName>
    <definedName name="dch701_3">'Ch7'!$AQ$35</definedName>
    <definedName name="dch701_4_1">'Ch7'!$AQ$49</definedName>
    <definedName name="dch701_4_1_1">'Ch7'!$AQ$40</definedName>
    <definedName name="dch701_4_1_2">'Ch7'!$AQ$43</definedName>
    <definedName name="dch701_4_2_2">'Ch7'!$AQ$52</definedName>
    <definedName name="dch701_4_2_3">'Ch7'!$AQ$53</definedName>
    <definedName name="dch701_4_3_1_1">'Ch7'!$AQ$57</definedName>
    <definedName name="dch701_4_3_1_2">'Ch7'!$AQ$59</definedName>
    <definedName name="dch701_4_3_2_1">'Ch7'!$AQ$94</definedName>
    <definedName name="dch701_4_3_2_1_">'Ch7'!$AQ$75</definedName>
    <definedName name="dch701_4_3_2_2">'Ch7'!$AQ$91</definedName>
    <definedName name="dch701_4_3_2e">'Ch7'!$AQ$78</definedName>
    <definedName name="dch701_4_3_3_4">'Ch7'!$AQ$121</definedName>
    <definedName name="dch701_4_3_3_5">'Ch7'!$AQ$127</definedName>
    <definedName name="dch701_4_4_1">'Ch7'!$AQ$135</definedName>
    <definedName name="dch701_4_4_2">'Ch7'!$AQ$137</definedName>
    <definedName name="dch701_4_5">'Ch7'!$AQ$138</definedName>
    <definedName name="dch702_2_1">'Ch7'!$AQ$143</definedName>
    <definedName name="dch702_2_2">'Ch7'!$AQ$149</definedName>
    <definedName name="dch703_1_1">'Ch7'!$AQ$160</definedName>
    <definedName name="dch703_1_2">'Ch7'!$AQ$173</definedName>
    <definedName name="dch703_1_3">'Ch7'!$AQ$176</definedName>
    <definedName name="dch703_1_3_1">'Ch7'!$AQ$178</definedName>
    <definedName name="dch703_1_3_2">'Ch7'!$AQ$180</definedName>
    <definedName name="dch703_2_1">'Ch7'!$AQ$182</definedName>
    <definedName name="dch703_2_1_2">'Ch7'!$AQ$184</definedName>
    <definedName name="dch703_2_2">'Ch7'!$AQ$190</definedName>
    <definedName name="dch703_2_3">'Ch7'!$AQ$191</definedName>
    <definedName name="dch703_2_5_1">'Ch7'!$AQ$198</definedName>
    <definedName name="dch703_2_5_1_1">'Ch7'!$AQ$205</definedName>
    <definedName name="dch703_2_5_2">'Ch7'!$AQ$213</definedName>
    <definedName name="dch703_2_5_2_1">'Ch7'!$AQ$221</definedName>
    <definedName name="dch703_3_0_1">'Ch7'!$AQ$231</definedName>
    <definedName name="dch703_3_0_2">'Ch7'!$AQ$237</definedName>
    <definedName name="dch703_3_1">'Ch7'!$AQ$243</definedName>
    <definedName name="dch703_3_2__1_1">'Ch7'!$AQ$250</definedName>
    <definedName name="dch703_3_2__2_1">'Ch7'!$AQ$256</definedName>
    <definedName name="dch703_3_2__3_1">'Ch7'!$AQ$259</definedName>
    <definedName name="dch703_3_2__4_1">'Ch7'!$AQ$264</definedName>
    <definedName name="dch703_3_3__1_1">'Ch7'!$AQ$270</definedName>
    <definedName name="dch703_3_3__3">'Ch7'!$AQ$275</definedName>
    <definedName name="dch703_3_4_1_1">'Ch7'!$AQ$280</definedName>
    <definedName name="dch703_3_4_1_5">'Ch7'!$AQ$284</definedName>
    <definedName name="dch703_3_4_2">'Ch7'!$AQ$286</definedName>
    <definedName name="dch703_3_5">'Ch7'!$AQ$287</definedName>
    <definedName name="dch703_3_6">'Ch7'!$AQ$292</definedName>
    <definedName name="dch703_3_7_1">'Ch7'!$AQ$297</definedName>
    <definedName name="dch703_3_7_2">'Ch7'!$AQ$299</definedName>
    <definedName name="dch703_3_8">'Ch7'!$AQ$304</definedName>
    <definedName name="dch703_4_1">'Ch7'!$AQ$310</definedName>
    <definedName name="dch703_4_2">'Ch7'!$AQ$312</definedName>
    <definedName name="dch703_4_3_1">'Ch7'!$AQ$315</definedName>
    <definedName name="dch703_4_3_2">'Ch7'!$AQ$316</definedName>
    <definedName name="dch703_4_3_3">'Ch7'!$AQ$318</definedName>
    <definedName name="dch703_4_4">'Ch7'!$AQ$320</definedName>
    <definedName name="dch703_5_1">'Ch7'!$AQ$331</definedName>
    <definedName name="dch703_5_1_1_a">'Ch7'!$AQ$333</definedName>
    <definedName name="dch703_5_2">'Ch7'!$AQ$348</definedName>
    <definedName name="dch703_5_3">'Ch7'!$AQ$350</definedName>
    <definedName name="dch703_5_4">'Ch7'!$AQ$352</definedName>
    <definedName name="dch703_5_5">'Ch7'!$AQ$354</definedName>
    <definedName name="dch703_6_1_1">'Ch7'!$AQ$364</definedName>
    <definedName name="dch703_6_1_2">'Ch7'!$AQ$366</definedName>
    <definedName name="dch703_6_1_3">'Ch7'!$AQ$368</definedName>
    <definedName name="dch703_6_2__1">'Ch7'!$AQ$371</definedName>
    <definedName name="dch703_6_2__2">'Ch7'!$AQ$372</definedName>
    <definedName name="dch703_6_2__3">'Ch7'!$AQ$373</definedName>
    <definedName name="dch703_7_1">'Ch7'!$AQ$376</definedName>
    <definedName name="dch703_7_2">'Ch7'!$AQ$404</definedName>
    <definedName name="dch703_7_3_1_a">'Ch7'!$AQ$412</definedName>
    <definedName name="dch703_7_3_1_b">'Ch7'!$AQ$414</definedName>
    <definedName name="dch703_7_3_1_c">'Ch7'!$AQ$415</definedName>
    <definedName name="dch703_7_3_1_d">'Ch7'!$AQ$416</definedName>
    <definedName name="dch703_7_3_2">'Ch7'!$AQ$418</definedName>
    <definedName name="dch703_7_3_3">'Ch7'!$AQ$421</definedName>
    <definedName name="dch703_7_3_4">'Ch7'!$AQ$422</definedName>
    <definedName name="dch703_7_3_5_a">'Ch7'!$AQ$427</definedName>
    <definedName name="dch703_7_3_5_b">'Ch7'!$AQ$429</definedName>
    <definedName name="dch703_7_3_6">'Ch7'!$AQ$431</definedName>
    <definedName name="dch703_7_4">'Ch7'!$AQ$433</definedName>
    <definedName name="dch704_2_1">'Ch7'!$AQ$461</definedName>
    <definedName name="dch704_2_2">'Ch7'!$AQ$463</definedName>
    <definedName name="dch705_2_1_1">'Ch7'!$AQ$470</definedName>
    <definedName name="dch705_2_1_2">'Ch7'!$AQ$474</definedName>
    <definedName name="dch705_2_1_3_1">'Ch7'!$AQ$477</definedName>
    <definedName name="dch705_2_1_3_2">'Ch7'!$AQ$481</definedName>
    <definedName name="dch705_2_1_4">'Ch7'!$AQ$486</definedName>
    <definedName name="dch705_2_2">'Ch7'!$AQ$491</definedName>
    <definedName name="dch705_2_3">'Ch7'!$AQ$494</definedName>
    <definedName name="dch705_2_4">'Ch7'!$AQ$497</definedName>
    <definedName name="dch705_3">'Ch7'!$AQ$499</definedName>
    <definedName name="dch705_4">'Ch7'!$AQ$500</definedName>
    <definedName name="dch705_5_1">'Ch7'!$AQ$504</definedName>
    <definedName name="dch705_5_2">'Ch7'!$AQ$509</definedName>
    <definedName name="dch705_6_2_1_1">'Ch7'!$AQ$531</definedName>
    <definedName name="dch705_6_2_1_1_1">'Ch7'!$AQ$531</definedName>
    <definedName name="dch705_6_2_1_1_2">'Ch7'!$AQ$533</definedName>
    <definedName name="dch705_6_2_1_2">'Ch7'!$AQ$534</definedName>
    <definedName name="dch705_6_2_2">'Ch7'!$AQ$537</definedName>
    <definedName name="dch705_6_2_3">'Ch7'!$AQ$545</definedName>
    <definedName name="dch705_6_3">'Ch7'!$AQ$551</definedName>
    <definedName name="dch705_6_3_1" localSheetId="5">'Ch7'!$AQ$553</definedName>
    <definedName name="dch705_6_3_1">'Verification Report'!$AQ$1317</definedName>
    <definedName name="dch705_6_4_1">'Ch7'!$AQ$563</definedName>
    <definedName name="dch705_6_4_2">'Ch7'!$AQ$565</definedName>
    <definedName name="dch705_7">'Ch7'!$AQ$567</definedName>
    <definedName name="dch706_1_1">'Ch7'!$AQ$574</definedName>
    <definedName name="dch706_1_2">'Ch7'!$AQ$575</definedName>
    <definedName name="dch706_1_3">'Ch7'!$AQ$576</definedName>
    <definedName name="dch706_1_4">'Ch7'!$AQ$577</definedName>
    <definedName name="dch706_1_5">'Ch7'!$AQ$579</definedName>
    <definedName name="dch706_2_1">'Ch7'!$AQ$582</definedName>
    <definedName name="dch706_2_2">'Ch7'!$AQ$585</definedName>
    <definedName name="dch706_3_1">'Ch7'!$AQ$600</definedName>
    <definedName name="dch706_3_2">'Ch7'!$AQ$601</definedName>
    <definedName name="dch706_3_3">'Ch7'!$AQ$602</definedName>
    <definedName name="dch706_3_4">'Ch7'!$AQ$603</definedName>
    <definedName name="dch706_3_5">'Ch7'!$AQ$604</definedName>
    <definedName name="dch706_3_6">'Ch7'!$AQ$605</definedName>
    <definedName name="dch706_3_7">'Ch7'!$AQ$606</definedName>
    <definedName name="dch706_3_8">'Ch7'!$AQ$607</definedName>
    <definedName name="dch706_4_1_1">'Ch7'!$AQ$610</definedName>
    <definedName name="dch706_4_1_2">'Ch7'!$AQ$612</definedName>
    <definedName name="dch706_4_2">'Ch7'!$AQ$614</definedName>
    <definedName name="dch706_5">'Ch7'!$AQ$617</definedName>
    <definedName name="dch706_6">'Ch7'!$AQ$625</definedName>
    <definedName name="dch706_7_1">'Ch7'!$AQ$629</definedName>
    <definedName name="dch706_7_2">'Ch7'!$AQ$630</definedName>
    <definedName name="dch706_8">'Ch7'!$AQ$633</definedName>
    <definedName name="dch706_9">'Ch7'!$AQ$636</definedName>
    <definedName name="dch801_1">'Ch8'!$AQ$12</definedName>
    <definedName name="dch801_1_6">'Ch8'!$AQ$41</definedName>
    <definedName name="dch801_2_1">'Ch8'!$AQ$46</definedName>
    <definedName name="dch801_2_2">'Ch8'!$AQ$47</definedName>
    <definedName name="dch801_3_1">'Ch8'!$AQ$54</definedName>
    <definedName name="dch801_3_2">'Ch8'!$AQ$63</definedName>
    <definedName name="dch801_3_3">'Ch8'!$AQ$68</definedName>
    <definedName name="dch801_4_1_1">'Ch8'!$AQ$73</definedName>
    <definedName name="dch801_4_1_2">'Ch8'!$AQ$77</definedName>
    <definedName name="dch801_4_2">'Ch8'!$AQ$78</definedName>
    <definedName name="dch801_5_2">'Ch8'!$AQ$85</definedName>
    <definedName name="dch801_5_3">'Ch8'!$AQ$91</definedName>
    <definedName name="dch801_5_4_a">'Ch8'!$AQ$94</definedName>
    <definedName name="dch801_5_4_b">'Ch8'!$AQ$98</definedName>
    <definedName name="dch801_5_4_c">'Ch8'!$AQ$100</definedName>
    <definedName name="dch801_6_1">'Ch8'!$AQ$102</definedName>
    <definedName name="dch801_6_2_1">'Ch8'!$AQ$106</definedName>
    <definedName name="dch801_6_2_2">'Ch8'!$AQ$107</definedName>
    <definedName name="dch801_6_2_3">'Ch8'!$AQ$108</definedName>
    <definedName name="dch801_6_3">'Ch8'!$AQ$110</definedName>
    <definedName name="dch801_6_4_1">'Ch8'!$AQ$116</definedName>
    <definedName name="dch801_6_4_2">'Ch8'!$AQ$118</definedName>
    <definedName name="dch801_6_4_3">'Ch8'!$AQ$119</definedName>
    <definedName name="dch801_6_5">'Ch8'!$AQ$123</definedName>
    <definedName name="dch801_7_1">'Ch8'!$AQ$127</definedName>
    <definedName name="dch801_7_2_1">'Ch8'!$AQ$141</definedName>
    <definedName name="dch801_7_2_2">'Ch8'!$AQ$143</definedName>
    <definedName name="dch801_8">'Ch8'!$AQ$144</definedName>
    <definedName name="dch802_1_1">'Ch8'!$AQ$151</definedName>
    <definedName name="dch802_1_2">'Ch8'!$AQ$153</definedName>
    <definedName name="dch802_2">'Ch8'!$AQ$155</definedName>
    <definedName name="dch802_3_1">'Ch8'!$AQ$160</definedName>
    <definedName name="dch802_3_2">'Ch8'!$AQ$161</definedName>
    <definedName name="dch802_4">'Ch8'!$AQ$162</definedName>
    <definedName name="dch802_5">'Ch8'!$AQ$165</definedName>
    <definedName name="dch802_6">'Ch8'!$AQ$167</definedName>
    <definedName name="dch901_1_1">'Ch9'!$AQ$12</definedName>
    <definedName name="dch901_1_2">'Ch9'!$AQ$18</definedName>
    <definedName name="dch901_1_3_1">'Ch9'!$AQ$23</definedName>
    <definedName name="dch901_1_3_2">'Ch9'!$AQ$26</definedName>
    <definedName name="dch901_1_4">'Ch9'!$AQ$29</definedName>
    <definedName name="dch901_1_5">'Ch9'!$AQ$33</definedName>
    <definedName name="dch901_1_6">'Ch9'!$AQ$36</definedName>
    <definedName name="dch901_10_1">'Ch9'!$AQ$148</definedName>
    <definedName name="dch901_10_2">'Ch9'!$AQ$153</definedName>
    <definedName name="dch901_10_3">'Ch9'!$AQ$154</definedName>
    <definedName name="dch901_11">'Ch9'!$AQ$158</definedName>
    <definedName name="dch901_12">'Ch9'!$AQ$163</definedName>
    <definedName name="dch901_13_1">'Ch9'!$AQ$167</definedName>
    <definedName name="dch901_13_2">'Ch9'!$AQ$168</definedName>
    <definedName name="dch901_14_1">'Ch9'!$AQ$171</definedName>
    <definedName name="dch901_14_2">'Ch9'!$AQ$173</definedName>
    <definedName name="dch901_2_1_1">'Ch9'!$AQ$42</definedName>
    <definedName name="dch901_2_1_2">'Ch9'!$AQ$45</definedName>
    <definedName name="dch901_2_1_3">'Ch9'!$AQ$47</definedName>
    <definedName name="dch901_2_1_4">'Ch9'!$AQ$50</definedName>
    <definedName name="dch901_2_1_5">'Ch9'!$AQ$52</definedName>
    <definedName name="dch901_2_2">'Ch9'!$AQ$54</definedName>
    <definedName name="dch901_3_1_a">'Ch9'!$AQ$57</definedName>
    <definedName name="dch901_3_1_b">'Ch9'!$AQ$59</definedName>
    <definedName name="dch901_3_1_c">'Ch9'!$AQ$61</definedName>
    <definedName name="dch901_3_2">'Ch9'!$AQ$67</definedName>
    <definedName name="dch901_4_1">'Ch9'!$AQ$71</definedName>
    <definedName name="dch901_4_a">'Ch9'!$AQ$76</definedName>
    <definedName name="dch901_4_b">'Ch9'!$AQ$77</definedName>
    <definedName name="dch901_4_c">'Ch9'!$AQ$78</definedName>
    <definedName name="dch901_4_d">'Ch9'!$AQ$79</definedName>
    <definedName name="dch901_5_1">'Ch9'!$AQ$90</definedName>
    <definedName name="dch901_5_2">'Ch9'!$AQ$92</definedName>
    <definedName name="dch901_6">'Ch9'!$AQ$95</definedName>
    <definedName name="dch901_7_1">'Ch9'!$AQ$104</definedName>
    <definedName name="dch901_7_2">'Ch9'!$AQ$114</definedName>
    <definedName name="dch901_7_3">'Ch9'!$AQ$115</definedName>
    <definedName name="dch901_8">'Ch9'!$AQ$118</definedName>
    <definedName name="dch901_9_1_1">'Ch9'!$AQ$129</definedName>
    <definedName name="dch901_9_1_2">'Ch9'!$AQ$131</definedName>
    <definedName name="dch901_9_1_3">'Ch9'!$AQ$132</definedName>
    <definedName name="dch901_9_2">'Ch9'!$AQ$134</definedName>
    <definedName name="dch901_9_3">'Ch9'!$AQ$139</definedName>
    <definedName name="dch902_1_1">'Ch9'!$AQ$179</definedName>
    <definedName name="dch902_1_1_a">'Ch9'!$AQ$181</definedName>
    <definedName name="dch902_1_2">'Ch9'!$AQ$189</definedName>
    <definedName name="dch902_1_2_">'Ch9'!$AQ$183</definedName>
    <definedName name="dch902_1_2_2">'Ch9'!$AQ$191</definedName>
    <definedName name="dch902_1_3">'Ch9'!$AQ$192</definedName>
    <definedName name="dch902_1_3_">'Ch9'!$AQ$185</definedName>
    <definedName name="dch902_1_4_1">'Ch9'!$AQ$198</definedName>
    <definedName name="dch902_1_4_2">'Ch9'!$AQ$200</definedName>
    <definedName name="dch902_1_5_1">'Ch9'!$AQ$203</definedName>
    <definedName name="dch902_1_5_2">'Ch9'!$AQ$205</definedName>
    <definedName name="dch902_1_5_3">'Ch9'!$AQ$207</definedName>
    <definedName name="dch902_2_1">'Ch9'!$AQ$211</definedName>
    <definedName name="dch902_2_2">'Ch9'!$AQ$220</definedName>
    <definedName name="dch902_2_3">'Ch9'!$AQ$222</definedName>
    <definedName name="dch902_2_4">'Ch9'!$AQ$225</definedName>
    <definedName name="dch902_3_1">'Ch9'!$AQ$230</definedName>
    <definedName name="dch902_3_2_a">'Ch9'!$AQ$234</definedName>
    <definedName name="dch902_4_1">'Ch9'!$AQ$237</definedName>
    <definedName name="dch902_4_2">'Ch9'!$AQ$239</definedName>
    <definedName name="dch902_5">'Ch9'!$AQ$242</definedName>
    <definedName name="dch902_6">'Ch9'!$AQ$244</definedName>
    <definedName name="dch903_1">'Ch9'!$AQ$248</definedName>
    <definedName name="dch903_2">'Ch9'!$AQ$252</definedName>
    <definedName name="dch903_3_1">'Ch9'!$AQ$258</definedName>
    <definedName name="dch903_3_2">'Ch9'!$AQ$259</definedName>
    <definedName name="dch904_1">'Ch9'!$AQ$264</definedName>
    <definedName name="dch904_2">'Ch9'!$AQ$269</definedName>
    <definedName name="dch905_1">'Ch9'!$AQ$273</definedName>
    <definedName name="dch905_2">'Ch9'!$AQ$278</definedName>
    <definedName name="dd501_2_6">Dropdowns!$AB$5:$AB$7</definedName>
    <definedName name="dd503_2_3">Dropdowns!$AC$5:$AC$7</definedName>
    <definedName name="dd503_4_3">Dropdowns!$AD$5:$AD$7</definedName>
    <definedName name="dd503_4_4">Dropdowns!$AE$5:$AE$7</definedName>
    <definedName name="dd503_5">Dropdowns!$AF$5:$AF$7</definedName>
    <definedName name="dd503_5_1">Dropdowns!$AG$5:$AG$8</definedName>
    <definedName name="dd503_5_5">Dropdowns!$AH$5:$AH$8</definedName>
    <definedName name="dd503_7">Dropdowns!$AI$5:$AI$6</definedName>
    <definedName name="dd503_8">Dropdowns!$AJ$5:$AJ$10</definedName>
    <definedName name="dd505_1_3">Dropdowns!$AK$5:$AK$7</definedName>
    <definedName name="dd505_1_4">Dropdowns!$AL$5:$AL$7</definedName>
    <definedName name="dd505_3">Dropdowns!$AM$5:$AM$9</definedName>
    <definedName name="dd601_6">Dropdowns!$AN$5:$AN$7</definedName>
    <definedName name="dd601_7_a">Dropdowns!$AO$5:$AO$7</definedName>
    <definedName name="dd601_7_b">Dropdowns!$AP$5:$AP$7</definedName>
    <definedName name="dd601_7_c">Dropdowns!$AQ$5:$AQ$7</definedName>
    <definedName name="dd601_7_d">Dropdowns!$AR$5:$AR$7</definedName>
    <definedName name="dd601_7_e">Dropdowns!$AS$5:$AS$7</definedName>
    <definedName name="dd602_1_1_1">Dropdowns!$AT$5:$AT$7</definedName>
    <definedName name="dd602_1_10">Dropdowns!$BA$5:$BA$7</definedName>
    <definedName name="dd602_1_11">Dropdowns!$BB$5:$BB$7</definedName>
    <definedName name="dd602_1_13">Dropdowns!$BC$5:$BC$7</definedName>
    <definedName name="dd602_1_14_1">Dropdowns!$BD$5:$BD$7</definedName>
    <definedName name="dd602_1_4_1_2">Dropdowns!$AU$5:$AU$7</definedName>
    <definedName name="dd602_1_4_2_2">Dropdowns!$AV$5:$AV$7</definedName>
    <definedName name="dd602_1_5">Dropdowns!$AW$5:$AW$8</definedName>
    <definedName name="dd602_1_7_1_2">Dropdowns!$AX$5:$AX$7</definedName>
    <definedName name="dd602_1_8">Dropdowns!$AY$5:$AY$7</definedName>
    <definedName name="dd602_1_9_5">Dropdowns!$AZ$5:$AZ$6</definedName>
    <definedName name="dd606_1_a">Dropdowns!$BE$5:$BE$6</definedName>
    <definedName name="dd606_1_b">Dropdowns!$BF$5:$BF$6</definedName>
    <definedName name="dd606_1_c">Dropdowns!$BG$5:$BG$6</definedName>
    <definedName name="dd606_1_d">Dropdowns!$BH$5:$BH$6</definedName>
    <definedName name="dd606_1_e">Dropdowns!$BI$5:$BI$6</definedName>
    <definedName name="dd606_1_f">Dropdowns!$BJ$5:$BJ$6</definedName>
    <definedName name="dd606_1_g">Dropdowns!$BK$5:$BK$6</definedName>
    <definedName name="dd606_1_h">Dropdowns!$BL$5:$BL$6</definedName>
    <definedName name="dd606_2_1a">Dropdowns!$BM$5:$BM$11</definedName>
    <definedName name="dd606_2_1b">Dropdowns!$BN$5:$BN$11</definedName>
    <definedName name="dd606_2_2a">Dropdowns!$BO$5:$BO$11</definedName>
    <definedName name="dd606_2_2b">Dropdowns!$BP$5:$BP$11</definedName>
    <definedName name="dd606_3">Dropdowns!$BQ$5:$BQ$7</definedName>
    <definedName name="dd608_1">Dropdowns!$BR$5:$BR$7</definedName>
    <definedName name="dd609_1a">Dropdowns!$BS$5:$BS$9</definedName>
    <definedName name="dd609_1b">Dropdowns!$BT$5:$BT$14</definedName>
    <definedName name="dd610_1_2_1a">Dropdowns!$BU$5:$BU$9</definedName>
    <definedName name="dd610_1_2_1b">Dropdowns!$BV$5:$BV$9</definedName>
    <definedName name="dd610_1_2_2_f">Dropdowns!$BZ$5:$BZ$6</definedName>
    <definedName name="dd610_1_2_2a">Dropdowns!$BW$5:$BW$6</definedName>
    <definedName name="dd610_1_2_2b">Dropdowns!$BX$5:$BX$6</definedName>
    <definedName name="dd610_1_2_2c">Dropdowns!$BY$5:$BY$6</definedName>
    <definedName name="dd611_1">Dropdowns!$CA$5:$CA$14</definedName>
    <definedName name="dd701_1">Dropdowns!$CB$5:$CB$8</definedName>
    <definedName name="dd701_1_">Dropdowns!$CC$5:$CC$9</definedName>
    <definedName name="dd701_1_4">Dropdowns!$CD$5:$CD$6</definedName>
    <definedName name="dd701_4_1_2">Dropdowns!$CE$5:$CE$8</definedName>
    <definedName name="dd701_4_3_3_5">Dropdowns!$CF$5:$CF$7</definedName>
    <definedName name="dd703_1_3">Dropdowns!$CG$5:$CG$6</definedName>
    <definedName name="dd703_2_5_1">Dropdowns!$CH$5:$CH$7</definedName>
    <definedName name="dd703_2_5_1_1">Dropdowns!$CI$5:$CI$7</definedName>
    <definedName name="dd703_2_5_2">Dropdowns!$CJ$5:$CJ$7</definedName>
    <definedName name="dd703_2_5_2_1">Dropdowns!$CK$5:$CK$7</definedName>
    <definedName name="dd703_3_0_1">Dropdowns!$CL$5:$CL$6</definedName>
    <definedName name="dd703_3_0_2">Dropdowns!$CM$5:$CM$6</definedName>
    <definedName name="dd703_4_4">Dropdowns!$CN$5:$CN$7</definedName>
    <definedName name="dd703_5_1">Dropdowns!$CO$5:$CO$10</definedName>
    <definedName name="dd705_2_1_1">Dropdowns!$CP$5:$CP$6</definedName>
    <definedName name="dd705_2_1_3_1">Dropdowns!$CQ$5:$CQ$6</definedName>
    <definedName name="dd705_2_1_3_2">Dropdowns!$CR$5:$CR$6</definedName>
    <definedName name="dd705_2_1_4">Dropdowns!$CS$5:$CS$6</definedName>
    <definedName name="dd705_6_2_3">Dropdowns!$CT$5:$CT$6</definedName>
    <definedName name="dd706_2_2">Dropdowns!$CU$5:$CU$6</definedName>
    <definedName name="dd801_1">Dropdowns!$CV$5:$CV$10</definedName>
    <definedName name="dd801_2_2">Dropdowns!$CW$5:$CW$6</definedName>
    <definedName name="dd801_3_1">Dropdowns!$CX$5:$CX$8</definedName>
    <definedName name="dd801_3_2">Dropdowns!$CY$5:$CY$7</definedName>
    <definedName name="dd801_3_3">Dropdowns!$CZ$5:$CZ$7</definedName>
    <definedName name="dd801_4_1_1">Dropdowns!$DA$5:$DA$7</definedName>
    <definedName name="dd801_4_2">Dropdowns!$DB$5:$DB$7</definedName>
    <definedName name="dd801_5_2">Dropdowns!$DC$5:$DC$7</definedName>
    <definedName name="dd801_5_4_a">Dropdowns!$DD$5:$DD$7</definedName>
    <definedName name="dd801_6_3">Dropdowns!$DE$5:$DE$7</definedName>
    <definedName name="dd801_7_1">Dropdowns!$DF$5:$DF$9</definedName>
    <definedName name="dd801_7_2_1">Dropdowns!$DG$5:$DG$7</definedName>
    <definedName name="dd802_1_1">Dropdowns!$DH$5:$DH$8</definedName>
    <definedName name="dd901_1_3_1">Dropdowns!$DI$5:$DI$6</definedName>
    <definedName name="dd901_1_3_2">Dropdowns!$DJ$5:$DJ$6</definedName>
    <definedName name="dd901_1_4">Dropdowns!$DK$5:$DK$7</definedName>
    <definedName name="dd901_1_6">Dropdowns!$DL$5:$DL$6</definedName>
    <definedName name="dd901_12">Dropdowns!$DY$5:$DY$7</definedName>
    <definedName name="dd901_2_1_1">Dropdowns!$DM$5:$DM$7</definedName>
    <definedName name="dd901_2_1_2">Dropdowns!$DN$5:$DN$7</definedName>
    <definedName name="dd901_2_1_3">Dropdowns!$DO$5:$DO$7</definedName>
    <definedName name="dd901_2_1_4">Dropdowns!$DP$5:$DP$7</definedName>
    <definedName name="dd901_2_1_5">Dropdowns!$DQ$5:$DQ$7</definedName>
    <definedName name="dd901_3_1_a">Dropdowns!$DR$5:$DR$7</definedName>
    <definedName name="dd901_3_1_b">Dropdowns!$DS$5:$DS$7</definedName>
    <definedName name="dd901_4_1">Dropdowns!$DT$5:$DT$7</definedName>
    <definedName name="dd901_4_a">Dropdowns!$DU$5:$DU$9</definedName>
    <definedName name="dd901_4_b">Dropdowns!$DV$5:$DV$9</definedName>
    <definedName name="dd901_4_c">Dropdowns!$DW$5:$DW$9</definedName>
    <definedName name="dd901_4_d">Dropdowns!$DX$5:$DX$9</definedName>
    <definedName name="dd902_1_2_">Dropdowns!$DZ$5:$DZ$7</definedName>
    <definedName name="dd902_2_1">Dropdowns!$EA$5:$EA$8</definedName>
    <definedName name="dd902_3_1">Dropdowns!$EB$5:$EB$7</definedName>
    <definedName name="dd903_1">Dropdowns!$EC$5:$EC$6</definedName>
    <definedName name="dd903_2">Dropdowns!$ED$5:$ED$6</definedName>
    <definedName name="ddAttachedGarage">Dropdowns!$R$5:$R$6</definedName>
    <definedName name="ddAttic">Dropdowns!$Q$5:$Q$8</definedName>
    <definedName name="ddBuildingCode">Dropdowns!$AA$5:$AA$18</definedName>
    <definedName name="ddCDucts">Dropdowns!$N$5:$N$7</definedName>
    <definedName name="ddCool1">Dropdowns!$K$5:$K$10</definedName>
    <definedName name="ddCool2">Dropdowns!$L$5:$L$10</definedName>
    <definedName name="ddCool3">Dropdowns!$M$5:$M$10</definedName>
    <definedName name="ddCToilet">Dropdowns!$Y$5:$Y$6</definedName>
    <definedName name="ddDuctless">Dropdowns!$V$5:$V$6</definedName>
    <definedName name="ddEnergyCode">Dropdowns!$Z$5:$Z$11</definedName>
    <definedName name="ddFoundation">Dropdowns!$E$5:$E$12</definedName>
    <definedName name="ddFuel">Dropdowns!$I$5:$I$10</definedName>
    <definedName name="ddHDucts">Dropdowns!$J$5:$J$7</definedName>
    <definedName name="ddHeat1">Dropdowns!$F$5:$F$12</definedName>
    <definedName name="ddHeat2">Dropdowns!$G$5:$G$12</definedName>
    <definedName name="ddHeat3">Dropdowns!$H$5:$H$12</definedName>
    <definedName name="ddMassWalls">Dropdowns!$U$5:$U$6</definedName>
    <definedName name="ddPassiveSolar">Dropdowns!$T$5:$T$6</definedName>
    <definedName name="ddRadiantHydronic">Dropdowns!$W$5:$W$6</definedName>
    <definedName name="ddRecessedLighting">Dropdowns!$S$5:$S$6</definedName>
    <definedName name="ddRenewable">Dropdowns!$O$5:$O$10</definedName>
    <definedName name="ddSingleOrMulti">Dropdowns!$D$5:$D$6</definedName>
    <definedName name="ddTEInsulation">Dropdowns!$P$5:$P$13</definedName>
    <definedName name="ddTLWH">Dropdowns!$X$5:$X$6</definedName>
    <definedName name="desGoalLevel">Points!$H$10</definedName>
    <definedName name="dnt1001_1_1">'Ch10'!$AS$15</definedName>
    <definedName name="dnt1001_1_10">'Ch10'!$AS$30</definedName>
    <definedName name="dnt1001_1_11">'Ch10'!$AS$31</definedName>
    <definedName name="dnt1001_1_12">'Ch10'!$AS$32</definedName>
    <definedName name="dnt1001_1_13">'Ch10'!$AS$38</definedName>
    <definedName name="dnt1001_1_14">'Ch10'!$AS$42</definedName>
    <definedName name="dnt1001_1_15">'Ch10'!$AS$44</definedName>
    <definedName name="dnt1001_1_16">'Ch10'!$AS$46</definedName>
    <definedName name="dnt1001_1_17">'Ch10'!$AS$47</definedName>
    <definedName name="dnt1001_1_18">'Ch10'!$AS$49</definedName>
    <definedName name="dnt1001_1_19">'Ch10'!$AS$51</definedName>
    <definedName name="dnt1001_1_2">'Ch10'!$AS$16</definedName>
    <definedName name="dnt1001_1_20">'Ch10'!$AS$52</definedName>
    <definedName name="dnt1001_1_21">'Ch10'!$AS$54</definedName>
    <definedName name="dnt1001_1_22">'Ch10'!$AS$56</definedName>
    <definedName name="dnt1001_1_23">'Ch10'!$AS$58</definedName>
    <definedName name="dnt1001_1_24">'Ch10'!$AS$59</definedName>
    <definedName name="dnt1001_1_3">'Ch10'!$AS$17</definedName>
    <definedName name="dnt1001_1_4">'Ch10'!$AS$21</definedName>
    <definedName name="dnt1001_1_5">'Ch10'!$AS$22</definedName>
    <definedName name="dnt1001_1_6">'Ch10'!$AS$23</definedName>
    <definedName name="dnt1001_1_7">'Ch10'!$AS$25</definedName>
    <definedName name="dnt1001_1_8">'Ch10'!$AS$27</definedName>
    <definedName name="dnt1001_1_9">'Ch10'!$AS$28</definedName>
    <definedName name="dnt1001_2">'Ch10'!$AS$60</definedName>
    <definedName name="dnt1002_1_1">'Ch10'!$AS$81</definedName>
    <definedName name="dnt1002_1_2">'Ch10'!$AS$84</definedName>
    <definedName name="dnt1002_1_3">'Ch10'!$AS$87</definedName>
    <definedName name="dnt1002_1_4">'Ch10'!$AS$89</definedName>
    <definedName name="dnt1002_1_5">'Ch10'!$AS$90</definedName>
    <definedName name="dnt1002_1_6">'Ch10'!$AS$92</definedName>
    <definedName name="dnt1002_1_7">'Ch10'!$AS$93</definedName>
    <definedName name="dnt1002_1_8">'Ch10'!$AS$94</definedName>
    <definedName name="dnt1002_2_1">'Ch10'!$AS$100</definedName>
    <definedName name="dnt1002_2_10">'Ch10'!$AS$118</definedName>
    <definedName name="dnt1002_2_11">'Ch10'!$AS$121</definedName>
    <definedName name="dnt1002_2_2">'Ch10'!$AS$102</definedName>
    <definedName name="dnt1002_2_3">'Ch10'!$AS$105</definedName>
    <definedName name="dnt1002_2_4">'Ch10'!$AS$107</definedName>
    <definedName name="dnt1002_2_5">'Ch10'!$AS$110</definedName>
    <definedName name="dnt1002_2_6">'Ch10'!$AS$112</definedName>
    <definedName name="dnt1002_2_7">'Ch10'!$AS$113</definedName>
    <definedName name="dnt1002_2_8">'Ch10'!$AS$115</definedName>
    <definedName name="dnt1002_2_9">'Ch10'!$AS$117</definedName>
    <definedName name="dnt1002_3_1">'Ch10'!$AS$127</definedName>
    <definedName name="dnt1002_3_10">'Ch10'!$AS$148</definedName>
    <definedName name="dnt1002_3_2">'Ch10'!$AS$129</definedName>
    <definedName name="dnt1002_3_3">'Ch10'!$AS$133</definedName>
    <definedName name="dnt1002_3_4">'Ch10'!$AS$140</definedName>
    <definedName name="dnt1002_3_5">'Ch10'!$AS$142</definedName>
    <definedName name="dnt1002_3_6">'Ch10'!$AS$143</definedName>
    <definedName name="dnt1002_3_7">'Ch10'!$AS$145</definedName>
    <definedName name="dnt1002_3_8">'Ch10'!$AS$146</definedName>
    <definedName name="dnt1002_3_9">'Ch10'!$AS$147</definedName>
    <definedName name="dnt1002_4">'Ch10'!$AS$149</definedName>
    <definedName name="dnt1003_1_1">'Ch10'!$AS$166</definedName>
    <definedName name="dnt1003_1_2">'Ch10'!$AS$168</definedName>
    <definedName name="dnt1003_1_3">'Ch10'!$AS$171</definedName>
    <definedName name="dnt1004_1_1">'Ch10'!$AS$184</definedName>
    <definedName name="dnt1004_1_2">'Ch10'!$AS$186</definedName>
    <definedName name="dnt501_1">'Ch5'!$AS$14</definedName>
    <definedName name="dnt501_2">'Ch5'!$AS$20</definedName>
    <definedName name="dnt501_2_1">'Ch5'!$AS$22</definedName>
    <definedName name="dnt501_2_2">'Ch5'!$AS$24</definedName>
    <definedName name="dnt501_2_3">'Ch5'!$AS$26</definedName>
    <definedName name="dnt501_2_4">'Ch5'!$AS$28</definedName>
    <definedName name="dnt501_2_5">'Ch5'!$AS$37</definedName>
    <definedName name="dnt501_2_6">'Ch5'!$AS$40</definedName>
    <definedName name="dnt502_1">'Ch5'!$AS$46</definedName>
    <definedName name="dnt503_0">'Ch5'!$AS$51</definedName>
    <definedName name="dnt503_1">'Ch5'!$AS$56</definedName>
    <definedName name="dnt503_2">'Ch5'!$AS$68</definedName>
    <definedName name="dnt503_3">'Ch5'!$AS$81</definedName>
    <definedName name="dnt503_4">'Ch5'!$AS$94</definedName>
    <definedName name="dnt503_4_1">'Ch5'!$AS$101</definedName>
    <definedName name="dnt503_4_2">'Ch5'!$AS$104</definedName>
    <definedName name="dnt503_4_3">'Ch5'!$AS$108</definedName>
    <definedName name="dnt503_4_4">'Ch5'!$AS$115</definedName>
    <definedName name="dnt503_5">'Ch5'!$AS$120</definedName>
    <definedName name="dnt503_5_1">'Ch5'!$AS$124</definedName>
    <definedName name="dnt503_5_10">'Ch5'!$AS$152</definedName>
    <definedName name="dnt503_5_11">'Ch5'!$AS$154</definedName>
    <definedName name="dnt503_5_12">'Ch5'!$AS$156</definedName>
    <definedName name="dnt503_5_2">'Ch5'!$AS$130</definedName>
    <definedName name="dnt503_5_3">'Ch5'!$AS$132</definedName>
    <definedName name="dnt503_5_4">'Ch5'!$AS$134</definedName>
    <definedName name="dnt503_5_5">'Ch5'!$AS$136</definedName>
    <definedName name="dnt503_5_6">'Ch5'!$AS$141</definedName>
    <definedName name="dnt503_5_7">'Ch5'!$AS$142</definedName>
    <definedName name="dnt503_5_8">'Ch5'!$AS$147</definedName>
    <definedName name="dnt503_5_9">'Ch5'!$AS$149</definedName>
    <definedName name="dnt503_6">'Ch5'!$AS$158</definedName>
    <definedName name="dnt503_7">'Ch5'!$AS$165</definedName>
    <definedName name="dnt503_8">'Ch5'!$AS$171</definedName>
    <definedName name="dnt504_1">'Ch5'!$AS$179</definedName>
    <definedName name="dnt504_2">'Ch5'!$AS$184</definedName>
    <definedName name="dnt504_3">'Ch5'!$AS$191</definedName>
    <definedName name="dnt504_3_1">'Ch5'!$AS$194</definedName>
    <definedName name="dnt504_3_2">'Ch5'!$AS$196</definedName>
    <definedName name="dnt504_3_3">'Ch5'!$AS$197</definedName>
    <definedName name="dnt504_3_4">'Ch5'!$AS$199</definedName>
    <definedName name="dnt504_3_5">'Ch5'!$AS$201</definedName>
    <definedName name="dnt504_3_6">'Ch5'!$AS$205</definedName>
    <definedName name="dnt504_3_7">'Ch5'!$AS$208</definedName>
    <definedName name="dnt504_3_8">'Ch5'!$AS$209</definedName>
    <definedName name="dnt504_3_9">'Ch5'!$AS$217</definedName>
    <definedName name="dnt505_1_1">'Ch5'!$AS$224</definedName>
    <definedName name="dnt505_1_2">'Ch5'!$AS$226</definedName>
    <definedName name="dnt505_1_3">'Ch5'!$AS$227</definedName>
    <definedName name="dnt505_1_4">'Ch5'!$AS$231</definedName>
    <definedName name="dnt505_2_1">'Ch5'!$AS$237</definedName>
    <definedName name="dnt505_2_2">'Ch5'!$AS$247</definedName>
    <definedName name="dnt505_3">'Ch5'!$AS$250</definedName>
    <definedName name="dnt505_4">'Ch5'!$AS$256</definedName>
    <definedName name="dnt505_5">'Ch5'!$AS$257</definedName>
    <definedName name="dnt505_6">'Ch5'!$AS$259</definedName>
    <definedName name="dnt601_1">'Ch6'!$AS$13</definedName>
    <definedName name="dnt601_2_1">'Ch6'!$AS$29</definedName>
    <definedName name="dnt601_2_2">'Ch6'!$AS$32</definedName>
    <definedName name="dnt601_2_3">'Ch6'!$AS$35</definedName>
    <definedName name="dnt601_3_1">'Ch6'!$AS$39</definedName>
    <definedName name="dnt601_3_2">'Ch6'!$AS$40</definedName>
    <definedName name="dnt601_3_3">'Ch6'!$AS$41</definedName>
    <definedName name="dnt601_3_4">'Ch6'!$AS$42</definedName>
    <definedName name="dnt601_3_5">'Ch6'!$AS$43</definedName>
    <definedName name="dnt601_4">'Ch6'!$AS$44</definedName>
    <definedName name="dnt601_5_1">'Ch6'!$AS$50</definedName>
    <definedName name="dnt601_5_2">'Ch6'!$AS$51</definedName>
    <definedName name="dnt601_5_3">'Ch6'!$AS$52</definedName>
    <definedName name="dnt601_5_4">'Ch6'!$AS$53</definedName>
    <definedName name="dnt601_5_5">'Ch6'!$AS$54</definedName>
    <definedName name="dnt601_6">'Ch6'!$AS$55</definedName>
    <definedName name="dnt601_7">'Ch6'!$AS$60</definedName>
    <definedName name="dnt601_8">'Ch6'!$AS$78</definedName>
    <definedName name="dnt601_9">'Ch6'!$AS$86</definedName>
    <definedName name="dnt602_1_1_1">'Ch6'!$AS$97</definedName>
    <definedName name="dnt602_1_1_2">'Ch6'!$AS$100</definedName>
    <definedName name="dnt602_1_10">'Ch6'!$AS$197</definedName>
    <definedName name="dnt602_1_11">'Ch6'!$AS$209</definedName>
    <definedName name="dnt602_1_12">'Ch6'!$AS$211</definedName>
    <definedName name="dnt602_1_13">'Ch6'!$AS$214</definedName>
    <definedName name="dnt602_1_14_1">'Ch6'!$AS$220</definedName>
    <definedName name="dnt602_1_14_2">'Ch6'!$AS$222</definedName>
    <definedName name="dnt602_1_14_3">'Ch6'!$AS$223</definedName>
    <definedName name="dnt602_1_2">'Ch6'!$AS$102</definedName>
    <definedName name="dnt602_1_3_1">'Ch6'!$AS$107</definedName>
    <definedName name="dnt602_1_3_2">'Ch6'!$AS$109</definedName>
    <definedName name="dnt602_1_4_1_1">'Ch6'!$AS$115</definedName>
    <definedName name="dnt602_1_4_1_2">'Ch6'!$AS$117</definedName>
    <definedName name="dnt602_1_4_2_1">'Ch6'!$AS$121</definedName>
    <definedName name="dnt602_1_4_2_2">'Ch6'!$AS$123</definedName>
    <definedName name="dnt602_1_5">'Ch6'!$AS$126</definedName>
    <definedName name="dnt602_1_6_1">'Ch6'!$AS$135</definedName>
    <definedName name="dnt602_1_7_1_1">'Ch6'!$AS$148</definedName>
    <definedName name="dnt602_1_7_1_2">'Ch6'!$AS$150</definedName>
    <definedName name="dnt602_1_7_1_3">'Ch6'!$AS$153</definedName>
    <definedName name="dnt602_1_7_2">'Ch6'!$AS$155</definedName>
    <definedName name="dnt602_1_7_3">'Ch6'!$AS$157</definedName>
    <definedName name="dnt602_1_8">'Ch6'!$AS$161</definedName>
    <definedName name="dnt602_1_9_1">'Ch6'!$AS$169</definedName>
    <definedName name="dnt602_1_9_2">'Ch6'!$AS$179</definedName>
    <definedName name="dnt602_1_9_3">'Ch6'!$AS$182</definedName>
    <definedName name="dnt602_1_9_4">'Ch6'!$AS$183</definedName>
    <definedName name="dnt602_1_9_5">'Ch6'!$AS$187</definedName>
    <definedName name="dnt602_1_9_6">'Ch6'!$AS$193</definedName>
    <definedName name="dnt602_1_9_7">'Ch6'!$AS$195</definedName>
    <definedName name="dnt602_2_1">'Ch6'!$AS$228</definedName>
    <definedName name="dnt602_2_2">'Ch6'!$AS$230</definedName>
    <definedName name="dnt602_2_3">'Ch6'!$AS$231</definedName>
    <definedName name="dnt602_3">'Ch6'!$AS$234</definedName>
    <definedName name="dnt602_4_1">'Ch6'!$AS$238</definedName>
    <definedName name="dnt602_4_2">'Ch6'!$AS$243</definedName>
    <definedName name="dnt602_4_3">'Ch6'!$AS$245</definedName>
    <definedName name="dnt603_1">'Ch6'!$AS$249</definedName>
    <definedName name="dnt603_2">'Ch6'!$AS$255</definedName>
    <definedName name="dnt603_3">'Ch6'!$AS$262</definedName>
    <definedName name="dnt604_1a">'Ch6'!$AS$266</definedName>
    <definedName name="dnt604_1b">'Ch6'!$AS$268</definedName>
    <definedName name="dnt604_1c">'Ch6'!$AS$270</definedName>
    <definedName name="dnt604_1d">'Ch6'!$AS$272</definedName>
    <definedName name="dnt605_1">'Ch6'!$AS$278</definedName>
    <definedName name="dnt605_2">'Ch6'!$AS$293</definedName>
    <definedName name="dnt605_3_2_a">'Ch6'!$AS$306</definedName>
    <definedName name="dnt605_3_2_h">'Ch6'!$AS$313</definedName>
    <definedName name="dnt605_3_2_i">'Ch6'!$AS$314</definedName>
    <definedName name="dnt606_1_a">'Ch6'!$AS$319</definedName>
    <definedName name="dnt606_2_1a">'Ch6'!$AS$346</definedName>
    <definedName name="dnt606_2_1b">'Ch6'!$AS$347</definedName>
    <definedName name="dnt606_2_2a">'Ch6'!$AS$349</definedName>
    <definedName name="dnt606_2_2b">'Ch6'!$AS$350</definedName>
    <definedName name="dnt606_3">'Ch6'!$AS$352</definedName>
    <definedName name="dnt607_1_1">'Ch6'!$AS$361</definedName>
    <definedName name="dnt607_1_2">'Ch6'!$AS$363</definedName>
    <definedName name="dnt607_2">'Ch6'!$AS$364</definedName>
    <definedName name="dnt608_1">'Ch6'!$AS$367</definedName>
    <definedName name="dnt609_1a">'Ch6'!$AS$376</definedName>
    <definedName name="dnt609_1b">'Ch6'!$AS$379</definedName>
    <definedName name="dnt610_1_1_1">'Ch6'!$AS$392</definedName>
    <definedName name="dnt610_1_1_2">'Ch6'!$AS$401</definedName>
    <definedName name="dnt610_1_1_3">'Ch6'!$AS$408</definedName>
    <definedName name="dnt610_1_2_1">'Ch6'!$AS$414</definedName>
    <definedName name="dnt610_1_2_1_e">'Ch6'!$AS$421</definedName>
    <definedName name="dnt610_1_2_2_e">'Ch6'!$AS$446</definedName>
    <definedName name="dnt610_1_2_2a">'Ch6'!$AS$428</definedName>
    <definedName name="dnt610_1_2_2b">'Ch6'!$AS$434</definedName>
    <definedName name="dnt610_1_2_2c">'Ch6'!$AS$440</definedName>
    <definedName name="dnt611_1">'Ch6'!$AS$453</definedName>
    <definedName name="dnt611_2_1">'Ch6'!$AS$464</definedName>
    <definedName name="dnt611_2_2">'Ch6'!$AS$465</definedName>
    <definedName name="dnt611_2_3">'Ch6'!$AS$466</definedName>
    <definedName name="dnt611_2_4">'Ch6'!$AS$467</definedName>
    <definedName name="dnt611_2_5">'Ch6'!$AS$468</definedName>
    <definedName name="dnt611_2_6">'Ch6'!$AS$469</definedName>
    <definedName name="dnt611_2_7">'Ch6'!$AS$470</definedName>
    <definedName name="dnt611_3_1">'Ch6'!$AS$474</definedName>
    <definedName name="dnt611_3_2">'Ch6'!$AS$479</definedName>
    <definedName name="dnt611_3_3">'Ch6'!$AS$483</definedName>
    <definedName name="dnt611_3_4">'Ch6'!$AS$485</definedName>
    <definedName name="dnt611_3_5">'Ch6'!$AS$487</definedName>
    <definedName name="dnt611_3_6">'Ch6'!$AS$488</definedName>
    <definedName name="dnt611_3_7">'Ch6'!$AS$489</definedName>
    <definedName name="dnt611_3_8">'Ch6'!$AS$493</definedName>
    <definedName name="dnt611_3_9">'Ch6'!$AS$495</definedName>
    <definedName name="dnt611_4_1">'Ch6'!$AS$502</definedName>
    <definedName name="dnt611_4_2">'Ch6'!$AS$511</definedName>
    <definedName name="dnt701_1_">'Ch7'!$AS$14</definedName>
    <definedName name="dnt701_1_1">'Ch7'!$AS$17</definedName>
    <definedName name="dnt701_1_2">'Ch7'!$AS$19</definedName>
    <definedName name="dnt701_1_3">'Ch7'!$AS$22</definedName>
    <definedName name="dnt701_1_4">'Ch7'!$AS$25</definedName>
    <definedName name="dnt701_3">'Ch7'!$AS$35</definedName>
    <definedName name="dnt701_4_1">'Ch7'!$AS$49</definedName>
    <definedName name="dnt701_4_1_1">'Ch7'!$AS$40</definedName>
    <definedName name="dnt701_4_1_2">'Ch7'!$AS$43</definedName>
    <definedName name="dnt701_4_2_2">'Ch7'!$AS$52</definedName>
    <definedName name="dnt701_4_2_3">'Ch7'!$AS$53</definedName>
    <definedName name="dnt701_4_3_1">'Ch7'!$AS$56</definedName>
    <definedName name="dnt701_4_3_1_a">'Ch7'!$AS$60</definedName>
    <definedName name="dnt701_4_3_1_b">'Ch7'!$AS$61</definedName>
    <definedName name="dnt701_4_3_1_c">'Ch7'!$AS$62</definedName>
    <definedName name="dnt701_4_3_1_d">'Ch7'!$AS$63</definedName>
    <definedName name="dnt701_4_3_1_e">'Ch7'!$AS$64</definedName>
    <definedName name="dnt701_4_3_1_f">'Ch7'!$AS$65</definedName>
    <definedName name="dnt701_4_3_1_g">'Ch7'!$AS$66</definedName>
    <definedName name="dnt701_4_3_1_h">'Ch7'!$AS$67</definedName>
    <definedName name="dnt701_4_3_1_i">'Ch7'!$AS$68</definedName>
    <definedName name="dnt701_4_3_1_j">'Ch7'!$AS$69</definedName>
    <definedName name="dnt701_4_3_1_k">'Ch7'!$AS$70</definedName>
    <definedName name="dnt701_4_3_1_l">'Ch7'!$AS$71</definedName>
    <definedName name="dnt701_4_3_2_1_">'Ch7'!$AS$75</definedName>
    <definedName name="dnt701_4_3_2_1_1">'Ch7'!$AS$95</definedName>
    <definedName name="dnt701_4_3_2_1_10">'Ch7'!$AS$112</definedName>
    <definedName name="dnt701_4_3_2_1_11">'Ch7'!$AS$115</definedName>
    <definedName name="dnt701_4_3_2_1_2">'Ch7'!$AS$96</definedName>
    <definedName name="dnt701_4_3_2_1_3">'Ch7'!$AS$98</definedName>
    <definedName name="dnt701_4_3_2_1_4">'Ch7'!$AS$99</definedName>
    <definedName name="dnt701_4_3_2_1_5">'Ch7'!$AS$103</definedName>
    <definedName name="dnt701_4_3_2_1_6">'Ch7'!$AS$105</definedName>
    <definedName name="dnt701_4_3_2_1_7">'Ch7'!$AS$108</definedName>
    <definedName name="dnt701_4_3_2_1_8">'Ch7'!$AS$110</definedName>
    <definedName name="dnt701_4_3_2_1_9">'Ch7'!$AS$111</definedName>
    <definedName name="dnt701_4_3_2_1_a">'Ch7'!$AS$80</definedName>
    <definedName name="dnt701_4_3_2_1_b">'Ch7'!$AS$81</definedName>
    <definedName name="dnt701_4_3_2_1_c">'Ch7'!$AS$83</definedName>
    <definedName name="dnt701_4_3_2_1_d">'Ch7'!$AS$84</definedName>
    <definedName name="dnt701_4_3_2_1_e">'Ch7'!$AS$86</definedName>
    <definedName name="dnt701_4_3_2_1_f">'Ch7'!$AS$87</definedName>
    <definedName name="dnt701_4_3_2_1_g">'Ch7'!$AS$88</definedName>
    <definedName name="dnt701_4_3_2_1_h">'Ch7'!$AS$89</definedName>
    <definedName name="dnt701_4_3_2_2">'Ch7'!$AS$91</definedName>
    <definedName name="dnt701_4_3_2e">'Ch7'!$AS$78</definedName>
    <definedName name="dnt701_4_3_3_3">'Ch7'!$AS$118</definedName>
    <definedName name="dnt701_4_3_3_4">'Ch7'!$AS$121</definedName>
    <definedName name="dnt701_4_3_3_5">'Ch7'!$AS$127</definedName>
    <definedName name="dnt701_4_4_1">'Ch7'!$AS$135</definedName>
    <definedName name="dnt701_4_4_2">'Ch7'!$AS$137</definedName>
    <definedName name="dnt701_4_5">'Ch7'!$AS$138</definedName>
    <definedName name="dnt702_2_1">'Ch7'!$AS$143</definedName>
    <definedName name="dnt702_2_2">'Ch7'!$AS$147</definedName>
    <definedName name="dnt702_2_2_m">'Ch7'!$AS$153</definedName>
    <definedName name="dnt702_2_3">'Ch7'!$AS$156</definedName>
    <definedName name="dnt703_1_1">'Ch7'!$AS$160</definedName>
    <definedName name="dnt703_1_2">'Ch7'!$AS$173</definedName>
    <definedName name="dnt703_1_3">'Ch7'!$AS$176</definedName>
    <definedName name="dnt703_2_1">'Ch7'!$AS$182</definedName>
    <definedName name="dnt703_2_2">'Ch7'!$AS$189</definedName>
    <definedName name="dnt703_2_3">'Ch7'!$AS$191</definedName>
    <definedName name="dnt703_2_4">'Ch7'!$AS$194</definedName>
    <definedName name="dnt703_2_5_1">'Ch7'!$AS$198</definedName>
    <definedName name="dnt703_2_5_1_1">'Ch7'!$AS$205</definedName>
    <definedName name="dnt703_2_5_2">'Ch7'!$AS$213</definedName>
    <definedName name="dnt703_2_5_2_1">'Ch7'!$AS$221</definedName>
    <definedName name="dnt703_3_0_1">'Ch7'!$AS$230</definedName>
    <definedName name="dnt703_3_0_2">'Ch7'!$AS$236</definedName>
    <definedName name="dnt703_3_1">'Ch7'!$AS$243</definedName>
    <definedName name="dnt703_3_2__1">'Ch7'!$AS$249</definedName>
    <definedName name="dnt703_3_2__2">'Ch7'!$AS$255</definedName>
    <definedName name="dnt703_3_2__3">'Ch7'!$AS$258</definedName>
    <definedName name="dnt703_3_2__4">'Ch7'!$AS$263</definedName>
    <definedName name="dnt703_3_3__1">'Ch7'!$AS$269</definedName>
    <definedName name="dnt703_3_3__3">'Ch7'!$AS$275</definedName>
    <definedName name="dnt703_3_4_1">'Ch7'!$AS$279</definedName>
    <definedName name="dnt703_3_4_1_5">'Ch7'!$AS$284</definedName>
    <definedName name="dnt703_3_4_2">'Ch7'!$AS$286</definedName>
    <definedName name="dnt703_3_5">'Ch7'!$AS$287</definedName>
    <definedName name="dnt703_3_6">'Ch7'!$AS$291</definedName>
    <definedName name="dnt703_3_7_1">'Ch7'!$AS$297</definedName>
    <definedName name="dnt703_3_8">'Ch7'!$AS$304</definedName>
    <definedName name="dnt703_4_1">'Ch7'!$AS$310</definedName>
    <definedName name="dnt703_4_2">'Ch7'!$AS$312</definedName>
    <definedName name="dnt703_4_3_1">'Ch7'!$AS$315</definedName>
    <definedName name="dnt703_4_3_2">'Ch7'!$AS$316</definedName>
    <definedName name="dnt703_4_3_3">'Ch7'!$AS$318</definedName>
    <definedName name="dnt703_4_4">'Ch7'!$AS$320</definedName>
    <definedName name="dnt703_5_1">'Ch7'!$AS$330</definedName>
    <definedName name="dnt703_5_2">'Ch7'!$AS$348</definedName>
    <definedName name="dnt703_5_3">'Ch7'!$AS$350</definedName>
    <definedName name="dnt703_5_4">'Ch7'!$AS$352</definedName>
    <definedName name="dnt703_5_5">'Ch7'!$AS$353</definedName>
    <definedName name="dnt703_6_1_1">'Ch7'!$AS$364</definedName>
    <definedName name="dnt703_6_1_2">'Ch7'!$AS$366</definedName>
    <definedName name="dnt703_6_1_3">'Ch7'!$AS$368</definedName>
    <definedName name="dnt703_6_2__1">'Ch7'!$AS$371</definedName>
    <definedName name="dnt703_6_2__2">'Ch7'!$AS$372</definedName>
    <definedName name="dnt703_6_2__3">'Ch7'!$AS$373</definedName>
    <definedName name="dnt703_7_1">'Ch7'!$AS$399</definedName>
    <definedName name="dnt703_7_1_1">'Ch7'!$AS$378</definedName>
    <definedName name="dnt703_7_1_2">'Ch7'!$AS$380</definedName>
    <definedName name="dnt703_7_1_3">'Ch7'!$AS$382</definedName>
    <definedName name="dnt703_7_1_4">'Ch7'!$AS$384</definedName>
    <definedName name="dnt703_7_1_5">'Ch7'!$AS$386</definedName>
    <definedName name="dnt703_7_1_6_a">'Ch7'!$AS$389</definedName>
    <definedName name="dnt703_7_1_6_b">'Ch7'!$AS$391</definedName>
    <definedName name="dnt703_7_1_6_c">'Ch7'!$AS$392</definedName>
    <definedName name="dnt703_7_1_7">'Ch7'!$AS$394</definedName>
    <definedName name="dnt703_7_1_8">'Ch7'!$AS$397</definedName>
    <definedName name="dnt703_7_1_9">'Ch7'!$AS$398</definedName>
    <definedName name="dnt703_7_2">'Ch7'!$AS$404</definedName>
    <definedName name="dnt703_7_3_1_a">'Ch7'!$AS$412</definedName>
    <definedName name="dnt703_7_3_1_b">'Ch7'!$AS$414</definedName>
    <definedName name="dnt703_7_3_1_c">'Ch7'!$AS$415</definedName>
    <definedName name="dnt703_7_3_1_d">'Ch7'!$AS$416</definedName>
    <definedName name="dnt703_7_3_2">'Ch7'!$AS$418</definedName>
    <definedName name="dnt703_7_3_3">'Ch7'!$AS$421</definedName>
    <definedName name="dnt703_7_3_4">'Ch7'!$AS$422</definedName>
    <definedName name="dnt703_7_3_5_a">'Ch7'!$AS$427</definedName>
    <definedName name="dnt703_7_3_5_b">'Ch7'!$AS$429</definedName>
    <definedName name="dnt703_7_3_6">'Ch7'!$AS$431</definedName>
    <definedName name="dnt703_7_4_1">'Ch7'!$AS$436</definedName>
    <definedName name="dnt703_7_4_2_a">'Ch7'!$AS$440</definedName>
    <definedName name="dnt703_7_4_2_b">'Ch7'!$AS$443</definedName>
    <definedName name="dnt703_7_4_2_c">'Ch7'!$AS$451</definedName>
    <definedName name="dnt703_7_4_3">'Ch7'!$AS$454</definedName>
    <definedName name="dnt704_1">'Ch7'!$AS$457</definedName>
    <definedName name="dnt705_2_1_1">'Ch7'!$AS$470</definedName>
    <definedName name="dnt705_2_1_2">'Ch7'!$AS$474</definedName>
    <definedName name="dnt705_2_1_3_1">'Ch7'!$AS$477</definedName>
    <definedName name="dnt705_2_1_3_2">'Ch7'!$AS$481</definedName>
    <definedName name="dnt705_2_1_4">'Ch7'!$AS$486</definedName>
    <definedName name="dnt705_2_2">'Ch7'!$AS$491</definedName>
    <definedName name="dnt705_2_3">'Ch7'!$AS$494</definedName>
    <definedName name="dnt705_2_4">'Ch7'!$AS$496</definedName>
    <definedName name="dnt705_3">'Ch7'!$AS$499</definedName>
    <definedName name="dnt705_4">'Ch7'!$AS$500</definedName>
    <definedName name="dnt705_5_1">'Ch7'!$AS$504</definedName>
    <definedName name="dnt705_5_2">'Ch7'!$AS$509</definedName>
    <definedName name="dnt705_5_2_1">'Ch7'!$AS$511</definedName>
    <definedName name="dnt705_5_2_2">'Ch7'!$AS$512</definedName>
    <definedName name="dnt705_5_2_3">'Ch7'!$AS$513</definedName>
    <definedName name="dnt705_5_2_4">'Ch7'!$AS$514</definedName>
    <definedName name="dnt705_5_2_5">'Ch7'!$AS$515</definedName>
    <definedName name="dnt705_5_2_6">'Ch7'!$AS$516</definedName>
    <definedName name="dnt705_6_1">'Ch7'!$AS$518</definedName>
    <definedName name="dnt705_6_2_1_1">'Ch7'!$AS$531</definedName>
    <definedName name="dnt705_6_2_1_1_1">'Ch7'!$AS$531</definedName>
    <definedName name="dnt705_6_2_1_2">'Ch7'!$AS$534</definedName>
    <definedName name="dnt705_6_2_2">'Ch7'!$AS$537</definedName>
    <definedName name="dnt705_6_2_3">'Ch7'!$AS$545</definedName>
    <definedName name="dnt705_6_3_a">'Ch7'!$AS$554</definedName>
    <definedName name="dnt705_6_3_b">'Ch7'!$AS$555</definedName>
    <definedName name="dnt705_6_3_c">'Ch7'!$AS$556</definedName>
    <definedName name="dnt705_6_3_d">'Ch7'!$AS$557</definedName>
    <definedName name="dnt705_6_3_e">'Ch7'!$AS$558</definedName>
    <definedName name="dnt705_6_3_f">'Ch7'!$AS$559</definedName>
    <definedName name="dnt705_6_3_g">'Ch7'!$AS$560</definedName>
    <definedName name="dnt705_6_4_1">'Ch7'!$AS$563</definedName>
    <definedName name="dnt705_6_4_2">'Ch7'!$AS$565</definedName>
    <definedName name="dnt705_7">'Ch7'!$AS$567</definedName>
    <definedName name="dnt706_1_1">'Ch7'!$AS$574</definedName>
    <definedName name="dnt706_1_2">'Ch7'!$AS$575</definedName>
    <definedName name="dnt706_1_3">'Ch7'!$AS$576</definedName>
    <definedName name="dnt706_1_4">'Ch7'!$AS$577</definedName>
    <definedName name="dnt706_1_5">'Ch7'!$AS$579</definedName>
    <definedName name="dnt706_2_1">'Ch7'!$AS$582</definedName>
    <definedName name="dnt706_2_2">'Ch7'!$AS$585</definedName>
    <definedName name="dnt706_3">'Ch7'!$AS$592</definedName>
    <definedName name="dnt706_3_1">'Ch7'!$AS$600</definedName>
    <definedName name="dnt706_3_2">'Ch7'!$AS$601</definedName>
    <definedName name="dnt706_3_3">'Ch7'!$AS$602</definedName>
    <definedName name="dnt706_3_4">'Ch7'!$AS$603</definedName>
    <definedName name="dnt706_3_5">'Ch7'!$AS$604</definedName>
    <definedName name="dnt706_3_6">'Ch7'!$AS$605</definedName>
    <definedName name="dnt706_3_7">'Ch7'!$AS$606</definedName>
    <definedName name="dnt706_3_8">'Ch7'!$AS$607</definedName>
    <definedName name="dnt706_4_1_1">'Ch7'!$AS$610</definedName>
    <definedName name="dnt706_4_1_2">'Ch7'!$AS$612</definedName>
    <definedName name="dnt706_4_2">'Ch7'!$AS$614</definedName>
    <definedName name="dnt706_5">'Ch7'!$AS$616</definedName>
    <definedName name="dnt706_6">'Ch7'!$AS$625</definedName>
    <definedName name="dnt706_7_1">'Ch7'!$AS$629</definedName>
    <definedName name="dnt706_7_2">'Ch7'!$AS$630</definedName>
    <definedName name="dnt706_8">'Ch7'!$AS$633</definedName>
    <definedName name="dnt706_9">'Ch7'!$AS$636</definedName>
    <definedName name="dnt801_1_1">'Ch8'!$AS$25</definedName>
    <definedName name="dnt801_1_5">'Ch8'!$AS$36</definedName>
    <definedName name="dnt801_1_6">'Ch8'!$AS$41</definedName>
    <definedName name="dnt801_2_1">'Ch8'!$AS$46</definedName>
    <definedName name="dnt801_2_2">'Ch8'!$AS$47</definedName>
    <definedName name="dnt801_3_1">'Ch8'!$AS$54</definedName>
    <definedName name="dnt801_3_2">'Ch8'!$AS$63</definedName>
    <definedName name="dnt801_3_3">'Ch8'!$AS$68</definedName>
    <definedName name="dnt801_4_1_1">'Ch8'!$AS$73</definedName>
    <definedName name="dnt801_4_1_2">'Ch8'!$AS$77</definedName>
    <definedName name="dnt801_4_2">'Ch8'!$AS$78</definedName>
    <definedName name="dnt801_5_1">'Ch8'!$AS$83</definedName>
    <definedName name="dnt801_5_2">'Ch8'!$AS$85</definedName>
    <definedName name="dnt801_5_3">'Ch8'!$AS$91</definedName>
    <definedName name="dnt801_5_4_a">'Ch8'!$AS$94</definedName>
    <definedName name="dnt801_5_4_b">'Ch8'!$AS$98</definedName>
    <definedName name="dnt801_5_4_c">'Ch8'!$AS$100</definedName>
    <definedName name="dnt801_6_1">'Ch8'!$AS$102</definedName>
    <definedName name="dnt801_6_2_1">'Ch8'!$AS$106</definedName>
    <definedName name="dnt801_6_2_2">'Ch8'!$AS$107</definedName>
    <definedName name="dnt801_6_2_3">'Ch8'!$AS$108</definedName>
    <definedName name="dnt801_6_3">'Ch8'!$AS$110</definedName>
    <definedName name="dnt801_6_4_1">'Ch8'!$AS$116</definedName>
    <definedName name="dnt801_6_4_2">'Ch8'!$AS$118</definedName>
    <definedName name="dnt801_6_4_3">'Ch8'!$AS$119</definedName>
    <definedName name="dnt801_6_5">'Ch8'!$AS$123</definedName>
    <definedName name="dnt801_7_1">'Ch8'!$AS$127</definedName>
    <definedName name="dnt801_7_2_1">'Ch8'!$AS$141</definedName>
    <definedName name="dnt801_7_2_2">'Ch8'!$AS$143</definedName>
    <definedName name="dnt801_8">'Ch8'!$AS$144</definedName>
    <definedName name="dnt802_1_1">'Ch8'!$AS$151</definedName>
    <definedName name="dnt802_1_2">'Ch8'!$AS$153</definedName>
    <definedName name="dnt802_2">'Ch8'!$AS$154</definedName>
    <definedName name="dnt802_3_1">'Ch8'!$AS$160</definedName>
    <definedName name="dnt802_3_2">'Ch8'!$AS$161</definedName>
    <definedName name="dnt802_4">'Ch8'!$AS$162</definedName>
    <definedName name="dnt802_5">'Ch8'!$AS$165</definedName>
    <definedName name="dnt802_6">'Ch8'!$AS$167</definedName>
    <definedName name="dnt901_1_1">'Ch9'!$AS$12</definedName>
    <definedName name="dnt901_1_2">'Ch9'!$AS$18</definedName>
    <definedName name="dnt901_1_3_1">'Ch9'!$AS$23</definedName>
    <definedName name="dnt901_1_3_2">'Ch9'!$AS$26</definedName>
    <definedName name="dnt901_1_4">'Ch9'!$AS$29</definedName>
    <definedName name="dnt901_1_5">'Ch9'!$AS$33</definedName>
    <definedName name="dnt901_1_6">'Ch9'!$AS$36</definedName>
    <definedName name="dnt901_10_1">'Ch9'!$AS$148</definedName>
    <definedName name="dnt901_10_2">'Ch9'!$AS$153</definedName>
    <definedName name="dnt901_10_3">'Ch9'!$AS$154</definedName>
    <definedName name="dnt901_11">'Ch9'!$AS$158</definedName>
    <definedName name="dnt901_12">'Ch9'!$AS$163</definedName>
    <definedName name="dnt901_13">'Ch9'!$AS$165</definedName>
    <definedName name="dnt901_14_1">'Ch9'!$AS$171</definedName>
    <definedName name="dnt901_14_2">'Ch9'!$AS$173</definedName>
    <definedName name="dnt901_2_1_1">'Ch9'!$AS$42</definedName>
    <definedName name="dnt901_2_1_2">'Ch9'!$AS$45</definedName>
    <definedName name="dnt901_2_1_3">'Ch9'!$AS$47</definedName>
    <definedName name="dnt901_2_1_4">'Ch9'!$AS$50</definedName>
    <definedName name="dnt901_2_1_5">'Ch9'!$AS$52</definedName>
    <definedName name="dnt901_2_2">'Ch9'!$AS$54</definedName>
    <definedName name="dnt901_3_1_a">'Ch9'!$AS$57</definedName>
    <definedName name="dnt901_3_1_b">'Ch9'!$AS$59</definedName>
    <definedName name="dnt901_3_1_c">'Ch9'!$AS$61</definedName>
    <definedName name="dnt901_3_2">'Ch9'!$AS$67</definedName>
    <definedName name="dnt901_4_1">'Ch9'!$AS$71</definedName>
    <definedName name="dnt901_4_a">'Ch9'!$AS$76</definedName>
    <definedName name="dnt901_5_1">'Ch9'!$AS$90</definedName>
    <definedName name="dnt901_5_2">'Ch9'!$AS$92</definedName>
    <definedName name="dnt901_6">'Ch9'!$AS$95</definedName>
    <definedName name="dnt901_7_1">'Ch9'!$AS$104</definedName>
    <definedName name="dnt901_7_2">'Ch9'!$AS$114</definedName>
    <definedName name="dnt901_8">'Ch9'!$AS$118</definedName>
    <definedName name="dnt901_9">'Ch9'!$AS$124</definedName>
    <definedName name="dnt901_9_1_1">'Ch9'!$AS$129</definedName>
    <definedName name="dnt901_9_1_2">'Ch9'!$AS$131</definedName>
    <definedName name="dnt901_9_1_3">'Ch9'!$AS$132</definedName>
    <definedName name="dnt901_9_2">'Ch9'!$AS$134</definedName>
    <definedName name="dnt901_9_3">'Ch9'!$AS$139</definedName>
    <definedName name="dnt902_1_1">'Ch9'!$AS$179</definedName>
    <definedName name="dnt902_1_1_a">'Ch9'!$AS$181</definedName>
    <definedName name="dnt902_1_2">'Ch9'!$AS$188</definedName>
    <definedName name="dnt902_1_2_">'Ch9'!$AS$183</definedName>
    <definedName name="dnt902_1_3">'Ch9'!$AS$192</definedName>
    <definedName name="dnt902_1_3_">'Ch9'!$AS$185</definedName>
    <definedName name="dnt902_1_4">'Ch9'!$AS$196</definedName>
    <definedName name="dnt902_1_5_1">'Ch9'!$AS$203</definedName>
    <definedName name="dnt902_1_5_2">'Ch9'!$AS$205</definedName>
    <definedName name="dnt902_1_5_3">'Ch9'!$AS$207</definedName>
    <definedName name="dnt902_2_1">'Ch9'!$AS$211</definedName>
    <definedName name="dnt902_2_2">'Ch9'!$AS$220</definedName>
    <definedName name="dnt902_2_3">'Ch9'!$AS$222</definedName>
    <definedName name="dnt902_2_4">'Ch9'!$AS$225</definedName>
    <definedName name="dnt902_3">'Ch9'!$AS$228</definedName>
    <definedName name="dnt902_4_1">'Ch9'!$AS$237</definedName>
    <definedName name="dnt902_4_2">'Ch9'!$AS$239</definedName>
    <definedName name="dnt902_5">'Ch9'!$AS$242</definedName>
    <definedName name="dnt902_6">'Ch9'!$AS$244</definedName>
    <definedName name="dnt903_1">'Ch9'!$AS$248</definedName>
    <definedName name="dnt903_2">'Ch9'!$AS$252</definedName>
    <definedName name="dnt903_3">'Ch9'!$AS$256</definedName>
    <definedName name="dnt904_1">'Ch9'!$AS$264</definedName>
    <definedName name="dnt904_2">'Ch9'!$AS$269</definedName>
    <definedName name="dnt905_1">'Ch9'!$AS$273</definedName>
    <definedName name="dnt905_2">'Ch9'!$AS$278</definedName>
    <definedName name="dpa1001_1">'Ch10'!$AM$12</definedName>
    <definedName name="dpa1001_1_1">'Ch10'!$AM$15</definedName>
    <definedName name="dpa1001_1_2">'Ch10'!$AM$16</definedName>
    <definedName name="dpa1001_1_3">'Ch10'!$AM$17</definedName>
    <definedName name="dpa1001_2">'Ch10'!$AM$60</definedName>
    <definedName name="dpa1002_1">'Ch10'!$AM$78</definedName>
    <definedName name="dpa1002_1_1">'Ch10'!$AM$81</definedName>
    <definedName name="dpa1002_1_2">'Ch10'!$AM$84</definedName>
    <definedName name="dpa1002_1_3">'Ch10'!$AM$87</definedName>
    <definedName name="dpa1002_2">'Ch10'!$AM$96</definedName>
    <definedName name="dpa1002_2_1">'Ch10'!$AM$100</definedName>
    <definedName name="dpa1002_2_2">'Ch10'!$AM$102</definedName>
    <definedName name="dpa1002_3">'Ch10'!$AM$123</definedName>
    <definedName name="dpa1002_3_1">'Ch10'!$AM$127</definedName>
    <definedName name="dpa1002_4">'Ch10'!$AM$149</definedName>
    <definedName name="dpa1003_1">'Ch10'!$AM$165</definedName>
    <definedName name="dpa1003_1_1">'Ch10'!$AM$166</definedName>
    <definedName name="dpa1003_1_2">'Ch10'!$AM$168</definedName>
    <definedName name="dpa1003_1_3">'Ch10'!$AM$171</definedName>
    <definedName name="dpa1004_1_1">'Ch10'!$AM$184</definedName>
    <definedName name="dpa1004_1_2">'Ch10'!$AM$186</definedName>
    <definedName name="dpa501_1_1">'Ch5'!$AM$15</definedName>
    <definedName name="dpa501_1_2_a">'Ch5'!$AM$17</definedName>
    <definedName name="dpa501_1_2_b">'Ch5'!$AM$18</definedName>
    <definedName name="dpa501_1_2_c">'Ch5'!$AM$19</definedName>
    <definedName name="dpa501_2_1">'Ch5'!$AM$22</definedName>
    <definedName name="dpa501_2_2">'Ch5'!$AM$24</definedName>
    <definedName name="dpa501_2_3">'Ch5'!$AM$26</definedName>
    <definedName name="dpa501_2_4">'Ch5'!$AM$28</definedName>
    <definedName name="dpa501_2_5">'Ch5'!$AM$37</definedName>
    <definedName name="dpa501_2_6_a">'Ch5'!$AM$42</definedName>
    <definedName name="dpa501_2_6_b">'Ch5'!$AM$43</definedName>
    <definedName name="dpa501_2_6_c">'Ch5'!$AM$44</definedName>
    <definedName name="dpa502_1">'Ch5'!$AM$46</definedName>
    <definedName name="dpa503_1_1">'Ch5'!$AM$57</definedName>
    <definedName name="dpa503_1_2">'Ch5'!$AM$58</definedName>
    <definedName name="dpa503_1_3">'Ch5'!$AM$60</definedName>
    <definedName name="dpa503_1_4">'Ch5'!$AM$62</definedName>
    <definedName name="dpa503_1_5">'Ch5'!$AM$63</definedName>
    <definedName name="dpa503_1_6">'Ch5'!$AM$64</definedName>
    <definedName name="dpa503_1_7">'Ch5'!$AM$66</definedName>
    <definedName name="dpa503_2_1">'Ch5'!$AM$70</definedName>
    <definedName name="dpa503_2_2">'Ch5'!$AM$71</definedName>
    <definedName name="dpa503_2_3_a">'Ch5'!$AM$75</definedName>
    <definedName name="dpa503_2_3_b">'Ch5'!$AM$76</definedName>
    <definedName name="dpa503_2_3_c">'Ch5'!$AM$77</definedName>
    <definedName name="dpa503_2_4">'Ch5'!$AM$78</definedName>
    <definedName name="dpa503_2_5">'Ch5'!$AM$80</definedName>
    <definedName name="dpa503_3_1">'Ch5'!$AM$84</definedName>
    <definedName name="dpa503_3_2">'Ch5'!$AM$86</definedName>
    <definedName name="dpa503_3_3">'Ch5'!$AM$93</definedName>
    <definedName name="dpa503_4_1">'Ch5'!$AM$101</definedName>
    <definedName name="dpa503_4_2">'Ch5'!$AM$104</definedName>
    <definedName name="dpa503_4_3_a">'Ch5'!$AM$112</definedName>
    <definedName name="dpa503_4_3_b">'Ch5'!$AM$113</definedName>
    <definedName name="dpa503_4_3_c">'Ch5'!$AM$114</definedName>
    <definedName name="dpa503_4_4_a">'Ch5'!$AM$117</definedName>
    <definedName name="dpa503_4_4_b">'Ch5'!$AM$118</definedName>
    <definedName name="dpa503_4_4_c">'Ch5'!$AM$119</definedName>
    <definedName name="dpa503_5_1_a">'Ch5'!$AM$126</definedName>
    <definedName name="dpa503_5_1_b">'Ch5'!$AM$127</definedName>
    <definedName name="dpa503_5_1_c">'Ch5'!$AM$128</definedName>
    <definedName name="dpa503_5_1_d">'Ch5'!$AM$129</definedName>
    <definedName name="dpa503_5_10">'Ch5'!$AM$152</definedName>
    <definedName name="dpa503_5_11">'Ch5'!$AM$154</definedName>
    <definedName name="dpa503_5_12">'Ch5'!$AM$156</definedName>
    <definedName name="dpa503_5_2">'Ch5'!$AM$130</definedName>
    <definedName name="dpa503_5_3">'Ch5'!$AM$132</definedName>
    <definedName name="dpa503_5_4">'Ch5'!$AM$134</definedName>
    <definedName name="dpa503_5_5_a">'Ch5'!$AM$137</definedName>
    <definedName name="dpa503_5_5_b">'Ch5'!$AM$138</definedName>
    <definedName name="dpa503_5_5_c">'Ch5'!$AM$139</definedName>
    <definedName name="dpa503_5_5_d">'Ch5'!$AM$140</definedName>
    <definedName name="dpa503_5_6">'Ch5'!$AM$141</definedName>
    <definedName name="dpa503_5_7">'Ch5'!$AM$142</definedName>
    <definedName name="dpa503_5_8">'Ch5'!$AM$147</definedName>
    <definedName name="dpa503_5_9">'Ch5'!$AM$149</definedName>
    <definedName name="dpa503_6_1">'Ch5'!$AM$160</definedName>
    <definedName name="dpa503_6_2">'Ch5'!$AM$161</definedName>
    <definedName name="dpa503_6_3">'Ch5'!$AM$162</definedName>
    <definedName name="dpa503_6_4">'Ch5'!$AM$164</definedName>
    <definedName name="dpa503_7_1">'Ch5'!$AM$167</definedName>
    <definedName name="dpa503_7_2">'Ch5'!$AM$169</definedName>
    <definedName name="dpa503_8">'Ch5'!$AM$171</definedName>
    <definedName name="dpa504_1">'Ch5'!$AM$179</definedName>
    <definedName name="dpa504_2_1">'Ch5'!$AM$186</definedName>
    <definedName name="dpa504_2_2">'Ch5'!$AM$187</definedName>
    <definedName name="dpa504_2_3">'Ch5'!$AM$189</definedName>
    <definedName name="dpa504_3_1">'Ch5'!$AM$194</definedName>
    <definedName name="dpa504_3_2">'Ch5'!$AM$196</definedName>
    <definedName name="dpa504_3_3">'Ch5'!$AM$197</definedName>
    <definedName name="dpa504_3_4">'Ch5'!$AM$199</definedName>
    <definedName name="dpa504_3_5">'Ch5'!$AM$201</definedName>
    <definedName name="dpa504_3_6">'Ch5'!$AM$205</definedName>
    <definedName name="dpa504_3_7">'Ch5'!$AM$208</definedName>
    <definedName name="dpa504_3_8">'Ch5'!$AM$209</definedName>
    <definedName name="dpa504_3_9">'Ch5'!$AM$217</definedName>
    <definedName name="dpa505_1_1">'Ch5'!$AM$224</definedName>
    <definedName name="dpa505_1_2">'Ch5'!$AM$226</definedName>
    <definedName name="dpa505_1_3_a">'Ch5'!$AM$228</definedName>
    <definedName name="dpa505_1_3_b">'Ch5'!$AM$229</definedName>
    <definedName name="dpa505_1_3_c">'Ch5'!$AM$230</definedName>
    <definedName name="dpa505_1_4_a">'Ch5'!$AM$233</definedName>
    <definedName name="dpa505_1_4_b">'Ch5'!$AM$234</definedName>
    <definedName name="dpa505_1_4_c">'Ch5'!$AM$235</definedName>
    <definedName name="dpa505_2_1">'Ch5'!$AM$237</definedName>
    <definedName name="dpa505_2_2">'Ch5'!$AM$247</definedName>
    <definedName name="dpa505_3_1">'Ch5'!$AM$251</definedName>
    <definedName name="dpa505_3_2">'Ch5'!$AM$252</definedName>
    <definedName name="dpa505_3_3">'Ch5'!$AM$253</definedName>
    <definedName name="dpa505_3_4">'Ch5'!$AM$254</definedName>
    <definedName name="dpa505_3_5">'Ch5'!$AM$255</definedName>
    <definedName name="dpa505_4">'Ch5'!$AM$256</definedName>
    <definedName name="dpa505_5">'Ch5'!$AM$257</definedName>
    <definedName name="dpa505_6">'Ch5'!$AM$259</definedName>
    <definedName name="dpa601_1_1">'Ch6'!$AM$17</definedName>
    <definedName name="dpa601_1_2">'Ch6'!$AM$18</definedName>
    <definedName name="dpa601_1_3">'Ch6'!$AM$19</definedName>
    <definedName name="dpa601_1_4">'Ch6'!$AM$20</definedName>
    <definedName name="dpa601_1_5">'Ch6'!$AM$21</definedName>
    <definedName name="dpa601_2_1">'Ch6'!$AM$29</definedName>
    <definedName name="dpa601_2_2">'Ch6'!$AM$32</definedName>
    <definedName name="dpa601_2_3">'Ch6'!$AM$35</definedName>
    <definedName name="dpa601_3_1">'Ch6'!$AM$39</definedName>
    <definedName name="dpa601_3_2">'Ch6'!$AM$40</definedName>
    <definedName name="dpa601_3_3">'Ch6'!$AM$41</definedName>
    <definedName name="dpa601_3_4">'Ch6'!$AM$42</definedName>
    <definedName name="dpa601_3_5">'Ch6'!$AM$43</definedName>
    <definedName name="dpa601_4">'Ch6'!$AM$44</definedName>
    <definedName name="dpa601_5">'Ch6'!$AM$47</definedName>
    <definedName name="dpa601_5_1">'Ch6'!$AM$50</definedName>
    <definedName name="dpa601_5_2">'Ch6'!$AM$51</definedName>
    <definedName name="dpa601_5_3">'Ch6'!$AM$52</definedName>
    <definedName name="dpa601_5_4">'Ch6'!$AM$53</definedName>
    <definedName name="dpa601_5_5">'Ch6'!$AM$54</definedName>
    <definedName name="dpa601_6">'Ch6'!$AM$55</definedName>
    <definedName name="dpa601_6_1">'Ch6'!$AM$58</definedName>
    <definedName name="dpa601_6_2">'Ch6'!$AM$59</definedName>
    <definedName name="dpa601_7">'Ch6'!$AM$60</definedName>
    <definedName name="dpa601_7_1">'Ch6'!$AM$73</definedName>
    <definedName name="dpa601_7_2">'Ch6'!$AM$74</definedName>
    <definedName name="dpa601_7_3">'Ch6'!$AM$76</definedName>
    <definedName name="dpa601_8">'Ch6'!$AM$78</definedName>
    <definedName name="dpa601_9">'Ch6'!$AM$86</definedName>
    <definedName name="dpa602_1_1_1">'Ch6'!$AM$97</definedName>
    <definedName name="dpa602_1_1_2">'Ch6'!$AM$100</definedName>
    <definedName name="dpa602_1_10">'Ch6'!$AM$196</definedName>
    <definedName name="dpa602_1_11">'Ch6'!$AM$209</definedName>
    <definedName name="dpa602_1_12">'Ch6'!$AM$211</definedName>
    <definedName name="dpa602_1_13">'Ch6'!$AM$214</definedName>
    <definedName name="dpa602_1_14_1">'Ch6'!$AM$220</definedName>
    <definedName name="dpa602_1_14_2">'Ch6'!$AM$222</definedName>
    <definedName name="dpa602_1_14_3">'Ch6'!$AM$223</definedName>
    <definedName name="dpa602_1_2">'Ch6'!$AM$102</definedName>
    <definedName name="dpa602_1_3_1">'Ch6'!$AM$107</definedName>
    <definedName name="dpa602_1_3_2">'Ch6'!$AM$109</definedName>
    <definedName name="dpa602_1_4_1_1">'Ch6'!$AM$115</definedName>
    <definedName name="dpa602_1_4_1_2">'Ch6'!$AM$117</definedName>
    <definedName name="dpa602_1_4_2_1">'Ch6'!$AM$121</definedName>
    <definedName name="dpa602_1_4_2_2">'Ch6'!$AM$123</definedName>
    <definedName name="dpa602_1_5_1">'Ch6'!$AM$127</definedName>
    <definedName name="dpa602_1_5_2">'Ch6'!$AM$129</definedName>
    <definedName name="dpa602_1_6_1">'Ch6'!$AM$135</definedName>
    <definedName name="dpa602_1_6_2">'Ch6'!$AM$139</definedName>
    <definedName name="dpa602_1_6_3">'Ch6'!$AM$143</definedName>
    <definedName name="dpa602_1_7_1_1">'Ch6'!$AM$148</definedName>
    <definedName name="dpa602_1_7_1_2">'Ch6'!$AM$150</definedName>
    <definedName name="dpa602_1_7_1_3">'Ch6'!$AM$153</definedName>
    <definedName name="dpa602_1_7_2">'Ch6'!$AM$155</definedName>
    <definedName name="dpa602_1_7_3">'Ch6'!$AM$157</definedName>
    <definedName name="dpa602_1_8">'Ch6'!$AM$161</definedName>
    <definedName name="dpa602_1_9_1">'Ch6'!$AM$169</definedName>
    <definedName name="dpa602_1_9_2">'Ch6'!$AM$179</definedName>
    <definedName name="dpa602_1_9_3">'Ch6'!$AM$182</definedName>
    <definedName name="dpa602_1_9_4">'Ch6'!$AM$183</definedName>
    <definedName name="dpa602_1_9_5_a">'Ch6'!$AM$188</definedName>
    <definedName name="dpa602_1_9_5_b">'Ch6'!$AM$191</definedName>
    <definedName name="dpa602_1_9_6">'Ch6'!$AM$193</definedName>
    <definedName name="dpa602_1_9_7">'Ch6'!$AM$195</definedName>
    <definedName name="dpa602_2">'Ch6'!$AM$224</definedName>
    <definedName name="dpa602_3">'Ch6'!$AM$234</definedName>
    <definedName name="dpa602_4_1">'Ch6'!$AM$238</definedName>
    <definedName name="dpa602_4_2">'Ch6'!$AM$243</definedName>
    <definedName name="dpa602_4_3">'Ch6'!$AM$245</definedName>
    <definedName name="dpa603_1">'Ch6'!$AM$249</definedName>
    <definedName name="dpa603_2">'Ch6'!$AM$255</definedName>
    <definedName name="dpa603_3">'Ch6'!$AM$262</definedName>
    <definedName name="dpa604_1a">'Ch6'!$AM$266</definedName>
    <definedName name="dpa605_1">'Ch6'!$AM$278</definedName>
    <definedName name="dpa605_2">'Ch6'!$AM$293</definedName>
    <definedName name="dpa605_3">'Ch6'!$AM$302</definedName>
    <definedName name="dpa605_3_1">'Ch6'!$AM$304</definedName>
    <definedName name="dpa605_3_2">'Ch6'!$AM$305</definedName>
    <definedName name="dpa606_1_1">'Ch6'!$AM$329</definedName>
    <definedName name="dpa606_1_2">'Ch6'!$AM$331</definedName>
    <definedName name="dpa606_1_3">'Ch6'!$AM$333</definedName>
    <definedName name="dpa606_2_1a">'Ch6'!$AM$346</definedName>
    <definedName name="dpa606_2_2a">'Ch6'!$AM$349</definedName>
    <definedName name="dpa606_3">'Ch6'!$AM$352</definedName>
    <definedName name="dpa607_1_1">'Ch6'!$AM$361</definedName>
    <definedName name="dpa607_1_2">'Ch6'!$AM$363</definedName>
    <definedName name="dpa607_2">'Ch6'!$AM$364</definedName>
    <definedName name="dpa608_1">'Ch6'!$AM$367</definedName>
    <definedName name="dpa609_1a">'Ch6'!$AM$376</definedName>
    <definedName name="dpa610_1_1_1">'Ch6'!$AM$392</definedName>
    <definedName name="dpa610_1_1_2">'Ch6'!$AM$401</definedName>
    <definedName name="dpa610_1_1_3">'Ch6'!$AM$408</definedName>
    <definedName name="dpa610_1_2">'Ch6'!$AM$410</definedName>
    <definedName name="dpa610_1_2_1">'Ch6'!$AM$414</definedName>
    <definedName name="dpa610_1_2_2a">'Ch6'!$AM$428</definedName>
    <definedName name="dpa611_1">'Ch6'!$AM$453</definedName>
    <definedName name="dpa611_2">'Ch6'!$AM$461</definedName>
    <definedName name="dpa611_2_1">'Ch6'!$AM$464</definedName>
    <definedName name="dpa611_2_2">'Ch6'!$AM$465</definedName>
    <definedName name="dpa611_2_3">'Ch6'!$AM$466</definedName>
    <definedName name="dpa611_2_4">'Ch6'!$AM$467</definedName>
    <definedName name="dpa611_2_5">'Ch6'!$AM$468</definedName>
    <definedName name="dpa611_2_6">'Ch6'!$AM$469</definedName>
    <definedName name="dpa611_2_7">'Ch6'!$AM$470</definedName>
    <definedName name="dpa611_3">'Ch6'!$AM$472</definedName>
    <definedName name="dpa611_3_1">'Ch6'!$AM$474</definedName>
    <definedName name="dpa611_3_2">'Ch6'!$AM$479</definedName>
    <definedName name="dpa611_3_3">'Ch6'!$AM$483</definedName>
    <definedName name="dpa611_3_4">'Ch6'!$AM$485</definedName>
    <definedName name="dpa611_3_5">'Ch6'!$AM$487</definedName>
    <definedName name="dpa611_3_6">'Ch6'!$AM$488</definedName>
    <definedName name="dpa611_3_7">'Ch6'!$AM$489</definedName>
    <definedName name="dpa611_3_8">'Ch6'!$AM$493</definedName>
    <definedName name="dpa611_3_9">'Ch6'!$AM$495</definedName>
    <definedName name="dpa611_4">'Ch6'!$AM$497</definedName>
    <definedName name="dpa701_4_1">'Ch7'!$AM$49</definedName>
    <definedName name="dpa701_4_1_1">'Ch7'!$AM$40</definedName>
    <definedName name="dpa701_4_1_2">'Ch7'!$AM$43</definedName>
    <definedName name="dpa701_4_2_2">'Ch7'!$AM$52</definedName>
    <definedName name="dpa701_4_2_3">'Ch7'!$AM$53</definedName>
    <definedName name="dpa701_4_3_1">'Ch7'!$AM$56</definedName>
    <definedName name="dpa701_4_3_2">'Ch7'!$AM$72</definedName>
    <definedName name="dpa701_4_3_2_1">'Ch7'!$AM$94</definedName>
    <definedName name="dpa701_4_3_3_4">'Ch7'!$AM$121</definedName>
    <definedName name="dpa701_4_3_3_5">'Ch7'!$AM$127</definedName>
    <definedName name="dpa701_4_4">'Ch7'!$AM$133</definedName>
    <definedName name="dpa701_4_5">'Ch7'!$AM$138</definedName>
    <definedName name="dpa702_2_1">'Ch7'!$AM$143</definedName>
    <definedName name="dpa702_2_2">'Ch7'!$AM$147</definedName>
    <definedName name="dpa703_1">'Ch7'!$AM$159</definedName>
    <definedName name="dpa703_1_1">'Ch7'!$AM$160</definedName>
    <definedName name="dpa703_1_2">'Ch7'!$AM$173</definedName>
    <definedName name="dpa703_1_3">'Ch7'!$AM$176</definedName>
    <definedName name="dpa703_2_1">'Ch7'!$AM$182</definedName>
    <definedName name="dpa703_2_2">'Ch7'!$AM$189</definedName>
    <definedName name="dpa703_2_3">'Ch7'!$AM$191</definedName>
    <definedName name="dpa703_2_4">'Ch7'!$AM$194</definedName>
    <definedName name="dpa703_2_5_1">'Ch7'!$AM$198</definedName>
    <definedName name="dpa703_2_5_2">'Ch7'!$AM$213</definedName>
    <definedName name="dpa703_2_5_2_a">'Ch7'!$AM$218</definedName>
    <definedName name="dpa703_2_5_2_b">'Ch7'!$AM$219</definedName>
    <definedName name="dpa703_2_5_2_c">'Ch7'!$AM$220</definedName>
    <definedName name="dpa703_3_1">'Ch7'!$AM$243</definedName>
    <definedName name="dpa703_3_2__1_1">'Ch7'!$AM$250</definedName>
    <definedName name="dpa703_3_2__1_2">'Ch7'!$AM$251</definedName>
    <definedName name="dpa703_3_2__1_3">'Ch7'!$AM$252</definedName>
    <definedName name="dpa703_3_2__1_4">'Ch7'!$AM$253</definedName>
    <definedName name="dpa703_3_2__1_5">'Ch7'!$AM$254</definedName>
    <definedName name="dpa703_3_2__2_1">'Ch7'!$AM$256</definedName>
    <definedName name="dpa703_3_2__2_2">'Ch7'!$AM$257</definedName>
    <definedName name="dpa703_3_2__3_1">'Ch7'!$AM$259</definedName>
    <definedName name="dpa703_3_2__3_2">'Ch7'!$AM$260</definedName>
    <definedName name="dpa703_3_2__3_3">'Ch7'!$AM$261</definedName>
    <definedName name="dpa703_3_2__3_4">'Ch7'!$AM$262</definedName>
    <definedName name="dpa703_3_2__4_1">'Ch7'!$AM$264</definedName>
    <definedName name="dpa703_3_2__4_2">'Ch7'!$AM$265</definedName>
    <definedName name="dpa703_3_3__1_1">'Ch7'!$AM$270</definedName>
    <definedName name="dpa703_3_3__1_2">'Ch7'!$AM$271</definedName>
    <definedName name="dpa703_3_3__1_3">'Ch7'!$AM$272</definedName>
    <definedName name="dpa703_3_3__1_4">'Ch7'!$AM$273</definedName>
    <definedName name="dpa703_3_3__3">'Ch7'!$AM$275</definedName>
    <definedName name="dpa703_3_4_1">'Ch7'!$AM$285</definedName>
    <definedName name="dpa703_3_4_1_1">'Ch7'!$AM$280</definedName>
    <definedName name="dpa703_3_4_1_2">'Ch7'!$AM$281</definedName>
    <definedName name="dpa703_3_4_1_3">'Ch7'!$AM$282</definedName>
    <definedName name="dpa703_3_4_1_4">'Ch7'!$AM$283</definedName>
    <definedName name="dpa703_3_4_1_5">'Ch7'!$AM$284</definedName>
    <definedName name="dpa703_3_4_2">'Ch7'!$AM$286</definedName>
    <definedName name="dpa703_3_5">'Ch7'!$AM$287</definedName>
    <definedName name="dpa703_3_6_1">'Ch7'!$AM$294</definedName>
    <definedName name="dpa703_3_6_2">'Ch7'!$AM$295</definedName>
    <definedName name="dpa703_3_6_3">'Ch7'!$AM$296</definedName>
    <definedName name="dpa703_3_7_1">'Ch7'!$AM$297</definedName>
    <definedName name="dpa703_3_8">'Ch7'!$AM$304</definedName>
    <definedName name="dpa703_4_1">'Ch7'!$AM$310</definedName>
    <definedName name="dpa703_4_2">'Ch7'!$AM$312</definedName>
    <definedName name="dpa703_4_3">'Ch7'!$AM$314</definedName>
    <definedName name="dpa703_4_4_1">'Ch7'!$AM$326</definedName>
    <definedName name="dpa703_4_4_2">'Ch7'!$AM$327</definedName>
    <definedName name="dpa703_4_4_3">'Ch7'!$AM$328</definedName>
    <definedName name="dpa703_5_1_1_a_a">'Ch7'!$AM$334</definedName>
    <definedName name="dpa703_5_1_1_a_b">'Ch7'!$AM$335</definedName>
    <definedName name="dpa703_5_1_1_b_a">'Ch7'!$AM$338</definedName>
    <definedName name="dpa703_5_1_1_b_b">'Ch7'!$AM$339</definedName>
    <definedName name="dpa703_5_1_2_a">'Ch7'!$AM$341</definedName>
    <definedName name="dpa703_5_1_2_b">'Ch7'!$AM$342</definedName>
    <definedName name="dpa703_5_1_3">'Ch7'!$AM$343</definedName>
    <definedName name="dpa703_5_1_4_a">'Ch7'!$AM$345</definedName>
    <definedName name="dpa703_5_1_4_b">'Ch7'!$AM$346</definedName>
    <definedName name="dpa703_5_1_4_c">'Ch7'!$AM$347</definedName>
    <definedName name="dpa703_5_2">'Ch7'!$AM$348</definedName>
    <definedName name="dpa703_5_3">'Ch7'!$AM$350</definedName>
    <definedName name="dpa703_5_4">'Ch7'!$AM$352</definedName>
    <definedName name="dpa703_5_5_1">'Ch7'!$AM$356</definedName>
    <definedName name="dpa703_5_5_2">'Ch7'!$AM$357</definedName>
    <definedName name="dpa703_5_5_3">'Ch7'!$AM$358</definedName>
    <definedName name="dpa703_5_5_4">'Ch7'!$AM$359</definedName>
    <definedName name="dpa703_5_5_5">'Ch7'!$AM$360</definedName>
    <definedName name="dpa703_6_1_1">'Ch7'!$AM$364</definedName>
    <definedName name="dpa703_6_1_2">'Ch7'!$AM$366</definedName>
    <definedName name="dpa703_6_1_3">'Ch7'!$AM$368</definedName>
    <definedName name="dpa703_6_2__1">'Ch7'!$AM$371</definedName>
    <definedName name="dpa703_6_2__2">'Ch7'!$AM$372</definedName>
    <definedName name="dpa703_6_2__3">'Ch7'!$AM$373</definedName>
    <definedName name="dpa703_7_1">'Ch7'!$AM$376</definedName>
    <definedName name="dpa703_7_2">'Ch7'!$AM$404</definedName>
    <definedName name="dpa703_7_3_1">'Ch7'!$AM$408</definedName>
    <definedName name="dpa703_7_3_2">'Ch7'!$AM$409</definedName>
    <definedName name="dpa703_7_4">'Ch7'!$AM$433</definedName>
    <definedName name="dpa705_2_1_1_1">'Ch7'!$AM$472</definedName>
    <definedName name="dpa705_2_1_1_2">'Ch7'!$AM$473</definedName>
    <definedName name="dpa705_2_1_2">'Ch7'!$AM$474</definedName>
    <definedName name="dpa705_2_1_3_1_a">'Ch7'!$AM$479</definedName>
    <definedName name="dpa705_2_1_3_1_b">'Ch7'!$AM$480</definedName>
    <definedName name="dpa705_2_1_3_2_a">'Ch7'!$AM$484</definedName>
    <definedName name="dpa705_2_1_3_2_b">'Ch7'!$AM$485</definedName>
    <definedName name="dpa705_2_1_4_1">'Ch7'!$AM$489</definedName>
    <definedName name="dpa705_2_1_4_2">'Ch7'!$AM$490</definedName>
    <definedName name="dpa705_2_2">'Ch7'!$AM$491</definedName>
    <definedName name="dpa705_2_3">'Ch7'!$AM$494</definedName>
    <definedName name="dpa705_2_4">'Ch7'!$AM$496</definedName>
    <definedName name="dpa705_3">'Ch7'!$AM$499</definedName>
    <definedName name="dpa705_4">'Ch7'!$AM$500</definedName>
    <definedName name="dpa705_5_1">'Ch7'!$AM$504</definedName>
    <definedName name="dpa705_5_2">'Ch7'!$AM$509</definedName>
    <definedName name="dpa705_6_1">'Ch7'!$AM$518</definedName>
    <definedName name="dpa705_6_2_1_1">'Ch7'!$AM$531</definedName>
    <definedName name="dpa705_6_2_1_1_1">'Ch7'!$AM$531</definedName>
    <definedName name="dpa705_6_2_1_2">'Ch7'!$AM$534</definedName>
    <definedName name="dpa705_6_2_2">'Ch7'!$AM$537</definedName>
    <definedName name="dpa705_6_2_3_1">'Ch7'!$AM$548</definedName>
    <definedName name="dpa705_6_2_3_2">'Ch7'!$AM$549</definedName>
    <definedName name="dpa705_6_3">'Ch7'!$AM$551</definedName>
    <definedName name="dpa705_6_4_1">'Ch7'!$AM$563</definedName>
    <definedName name="dpa705_6_4_2">'Ch7'!$AM$565</definedName>
    <definedName name="dpa705_7">'Ch7'!$AM$567</definedName>
    <definedName name="dpa706_1">'Ch7'!$AM$572</definedName>
    <definedName name="dpa706_1_1">'Ch7'!$AM$574</definedName>
    <definedName name="dpa706_1_2">'Ch7'!$AM$575</definedName>
    <definedName name="dpa706_1_3">'Ch7'!$AM$576</definedName>
    <definedName name="dpa706_1_4">'Ch7'!$AM$577</definedName>
    <definedName name="dpa706_1_5">'Ch7'!$AM$579</definedName>
    <definedName name="dpa706_2_1">'Ch7'!$AM$582</definedName>
    <definedName name="dpa706_2_2_a">'Ch7'!$AM$588</definedName>
    <definedName name="dpa706_2_2_b">'Ch7'!$AM$590</definedName>
    <definedName name="dpa706_3_a">'Ch7'!$AM$594</definedName>
    <definedName name="dpa706_3_b">'Ch7'!$AM$595</definedName>
    <definedName name="dpa706_4_1_1">'Ch7'!$AM$610</definedName>
    <definedName name="dpa706_4_1_2">'Ch7'!$AM$612</definedName>
    <definedName name="dpa706_4_2">'Ch7'!$AM$614</definedName>
    <definedName name="dpa706_5">'Ch7'!$AM$616</definedName>
    <definedName name="dpa706_6">'Ch7'!$AM$625</definedName>
    <definedName name="dpa706_7_1">'Ch7'!$AM$629</definedName>
    <definedName name="dpa706_7_2">'Ch7'!$AM$630</definedName>
    <definedName name="dpa706_8">'Ch7'!$AM$633</definedName>
    <definedName name="dpa706_9">'Ch7'!$AM$636</definedName>
    <definedName name="dpa801_1_1">'Ch8'!$AM$25</definedName>
    <definedName name="dpa801_1_2">'Ch8'!$AM$27</definedName>
    <definedName name="dpa801_1_3">'Ch8'!$AM$29</definedName>
    <definedName name="dpa801_1_4">'Ch8'!$AM$31</definedName>
    <definedName name="dpa801_1_4_a">'Ch8'!$AM$34</definedName>
    <definedName name="dpa801_1_5">'Ch8'!$AM$36</definedName>
    <definedName name="dpa801_1_6">'Ch8'!$AM$41</definedName>
    <definedName name="dpa801_2_1">'Ch8'!$AM$46</definedName>
    <definedName name="dpa801_2_2">'Ch8'!$AM$47</definedName>
    <definedName name="dpa801_2_3">'Ch8'!$AM$48</definedName>
    <definedName name="dpa801_3_1">'Ch8'!$AM$54</definedName>
    <definedName name="dpa801_3_2_a">'Ch8'!$AM$65</definedName>
    <definedName name="dpa801_3_2_b">'Ch8'!$AM$66</definedName>
    <definedName name="dpa801_3_2_c">'Ch8'!$AM$67</definedName>
    <definedName name="dpa801_3_3">'Ch8'!$AM$68</definedName>
    <definedName name="dpa801_4_1_1">'Ch8'!$AM$73</definedName>
    <definedName name="dpa801_4_1_2">'Ch8'!$AM$77</definedName>
    <definedName name="dpa801_4_2">'Ch8'!$AM$78</definedName>
    <definedName name="dpa801_5_2">'Ch8'!$AM$85</definedName>
    <definedName name="dpa801_5_3">'Ch8'!$AM$91</definedName>
    <definedName name="dpa801_5_4_a">'Ch8'!$AM$94</definedName>
    <definedName name="dpa801_5_4_b">'Ch8'!$AM$98</definedName>
    <definedName name="dpa801_5_4_c">'Ch8'!$AM$100</definedName>
    <definedName name="dpa801_6_1">'Ch8'!$AM$102</definedName>
    <definedName name="dpa801_6_2_1">'Ch8'!$AM$106</definedName>
    <definedName name="dpa801_6_2_2">'Ch8'!$AM$107</definedName>
    <definedName name="dpa801_6_2_3">'Ch8'!$AM$108</definedName>
    <definedName name="dpa801_6_4_1">'Ch8'!$AM$116</definedName>
    <definedName name="dpa801_6_4_2">'Ch8'!$AM$118</definedName>
    <definedName name="dpa801_6_4_3">'Ch8'!$AM$119</definedName>
    <definedName name="dpa801_6_5">'Ch8'!$AM$123</definedName>
    <definedName name="dpa801_7_1_1">'Ch8'!$AM$128</definedName>
    <definedName name="dpa801_7_1_2_a">'Ch8'!$AM$131</definedName>
    <definedName name="dpa801_7_1_2_b">'Ch8'!$AM$132</definedName>
    <definedName name="dpa801_7_1_2_c">'Ch8'!$AM$133</definedName>
    <definedName name="dpa801_7_1_2_d">'Ch8'!$AM$135</definedName>
    <definedName name="dpa801_7_2_1">'Ch8'!$AM$141</definedName>
    <definedName name="dpa801_7_2_2">'Ch8'!$AM$143</definedName>
    <definedName name="dpa801_8">'Ch8'!$AM$144</definedName>
    <definedName name="dpa802_1_1">'Ch8'!$AM$151</definedName>
    <definedName name="dpa802_1_2">'Ch8'!$AM$153</definedName>
    <definedName name="dpa802_2">'Ch8'!$AM$154</definedName>
    <definedName name="dpa802_3">'Ch8'!$AM$157</definedName>
    <definedName name="dpa802_4">'Ch8'!$AM$162</definedName>
    <definedName name="dpa802_5">'Ch8'!$AM$165</definedName>
    <definedName name="dpa802_6">'Ch8'!$AM$167</definedName>
    <definedName name="dpa901_1_1">'Ch9'!$AM$12</definedName>
    <definedName name="dpa901_1_2">'Ch9'!$AM$18</definedName>
    <definedName name="dpa901_1_3_1_a">'Ch9'!$AM$24</definedName>
    <definedName name="dpa901_1_3_1_b">'Ch9'!$AM$25</definedName>
    <definedName name="dpa901_1_3_2_a">'Ch9'!$AM$27</definedName>
    <definedName name="dpa901_1_3_2_b">'Ch9'!$AM$28</definedName>
    <definedName name="dpa901_1_4">'Ch9'!$AM$29</definedName>
    <definedName name="dpa901_1_5">'Ch9'!$AM$33</definedName>
    <definedName name="dpa901_1_6_1">'Ch9'!$AM$37</definedName>
    <definedName name="dpa901_1_6_2">'Ch9'!$AM$38</definedName>
    <definedName name="dpa901_10_1">'Ch9'!$AM$148</definedName>
    <definedName name="dpa901_10_2">'Ch9'!$AM$153</definedName>
    <definedName name="dpa901_10_3">'Ch9'!$AM$154</definedName>
    <definedName name="dpa901_11">'Ch9'!$AM$158</definedName>
    <definedName name="dpa901_12">'Ch9'!$AM$163</definedName>
    <definedName name="dpa901_13_1">'Ch9'!$AM$167</definedName>
    <definedName name="dpa901_13_2">'Ch9'!$AM$168</definedName>
    <definedName name="dpa901_14_1">'Ch9'!$AM$171</definedName>
    <definedName name="dpa901_14_2">'Ch9'!$AM$173</definedName>
    <definedName name="dpa901_2_1_1">'Ch9'!$AM$43</definedName>
    <definedName name="dpa901_2_1_2">'Ch9'!$AM$46</definedName>
    <definedName name="dpa901_2_1_3">'Ch9'!$AM$48</definedName>
    <definedName name="dpa901_2_1_4">'Ch9'!$AM$51</definedName>
    <definedName name="dpa901_2_1_5">'Ch9'!$AM$53</definedName>
    <definedName name="dpa901_2_2">'Ch9'!$AM$54</definedName>
    <definedName name="dpa901_3_1_a">'Ch9'!$AM$58</definedName>
    <definedName name="dpa901_3_1_b">'Ch9'!$AM$60</definedName>
    <definedName name="dpa901_3_1_c">'Ch9'!$AM$61</definedName>
    <definedName name="dpa901_3_2">'Ch9'!$AM$67</definedName>
    <definedName name="dpa901_4">'Ch9'!$AM$68</definedName>
    <definedName name="dpa901_4_1">'Ch9'!$AM$71</definedName>
    <definedName name="dpa901_4_2">'Ch9'!$AM$80</definedName>
    <definedName name="dpa901_4_3">'Ch9'!$AM$82</definedName>
    <definedName name="dpa901_4_4">'Ch9'!$AM$83</definedName>
    <definedName name="dpa901_4_5">'Ch9'!$AM$84</definedName>
    <definedName name="dpa901_4_6">'Ch9'!$AM$86</definedName>
    <definedName name="dpa901_5_1">'Ch9'!$AM$90</definedName>
    <definedName name="dpa901_5_2">'Ch9'!$AM$92</definedName>
    <definedName name="dpa901_6">'Ch9'!$AM$95</definedName>
    <definedName name="dpa901_7">'Ch9'!$AM$97</definedName>
    <definedName name="dpa901_8">'Ch9'!$AM$118</definedName>
    <definedName name="dpa901_9_1">'Ch9'!$AM$127</definedName>
    <definedName name="dpa901_9_2">'Ch9'!$AM$134</definedName>
    <definedName name="dpa901_9_3">'Ch9'!$AM$139</definedName>
    <definedName name="dpa902_1_1_a">'Ch9'!$AM$181</definedName>
    <definedName name="dpa902_1_2">'Ch9'!$AM$188</definedName>
    <definedName name="dpa902_1_2_">'Ch9'!$AM$183</definedName>
    <definedName name="dpa902_1_2_1">'Ch9'!$AM$190</definedName>
    <definedName name="dpa902_1_2_2">'Ch9'!$AM$191</definedName>
    <definedName name="dpa902_1_3">'Ch9'!$AM$192</definedName>
    <definedName name="dpa902_1_3_">'Ch9'!$AM$185</definedName>
    <definedName name="dpa902_1_4">'Ch9'!$AM$196</definedName>
    <definedName name="dpa902_1_4_1">'Ch9'!$AM$197</definedName>
    <definedName name="dpa902_1_4_2">'Ch9'!$AM$199</definedName>
    <definedName name="dpa902_1_5">'Ch9'!$AM$201</definedName>
    <definedName name="dpa902_2_1">'Ch9'!$AM$211</definedName>
    <definedName name="dpa902_2_1_1">'Ch9'!$AM$214</definedName>
    <definedName name="dpa902_2_1_2">'Ch9'!$AM$216</definedName>
    <definedName name="dpa902_2_1_3">'Ch9'!$AM$218</definedName>
    <definedName name="dpa902_2_1_4">'Ch9'!$AM$219</definedName>
    <definedName name="dpa902_2_2">'Ch9'!$AM$220</definedName>
    <definedName name="dpa902_2_3">'Ch9'!$AM$222</definedName>
    <definedName name="dpa902_2_4">'Ch9'!$AM$225</definedName>
    <definedName name="dpa902_3_1">'Ch9'!$AM$230</definedName>
    <definedName name="dpa902_3_1_a">'Ch9'!$AM$231</definedName>
    <definedName name="dpa902_3_1_b">'Ch9'!$AM$232</definedName>
    <definedName name="dpa902_3_2_a">'Ch9'!$AM$234</definedName>
    <definedName name="dpa902_4">'Ch9'!$AM$235</definedName>
    <definedName name="dpa902_5">'Ch9'!$AM$242</definedName>
    <definedName name="dpa902_6">'Ch9'!$AM$244</definedName>
    <definedName name="dpa903_1_1_1">'Ch9'!$AM$249</definedName>
    <definedName name="dpa903_1_2_2">'Ch9'!$AM$251</definedName>
    <definedName name="dpa903_2_1">'Ch9'!$AM$253</definedName>
    <definedName name="dpa903_2_2">'Ch9'!$AM$254</definedName>
    <definedName name="dpa903_3">'Ch9'!$AM$256</definedName>
    <definedName name="dpa904_1">'Ch9'!$AM$264</definedName>
    <definedName name="dpa904_2">'Ch9'!$AM$269</definedName>
    <definedName name="dpa905_1">'Ch9'!$AM$273</definedName>
    <definedName name="dpa905_2">'Ch9'!$AM$278</definedName>
    <definedName name="dpc1001_1">'Ch10'!$AO$12</definedName>
    <definedName name="dpc1002_1">'Ch10'!$AO$78</definedName>
    <definedName name="dpc1002_2">'Ch10'!$AO$96</definedName>
    <definedName name="dpc1002_3">'Ch10'!$AO$123</definedName>
    <definedName name="dpc1003_1">'Ch10'!$AO$165</definedName>
    <definedName name="dpc1004_1_1">'Ch10'!$AO$184</definedName>
    <definedName name="dpc1004_1_2">'Ch10'!$AO$186</definedName>
    <definedName name="dpc501_1">'Ch5'!$AO$14</definedName>
    <definedName name="dpc501_2_1">'Ch5'!$AO$22</definedName>
    <definedName name="dpc501_2_2">'Ch5'!$AO$24</definedName>
    <definedName name="dpc501_2_3">'Ch5'!$AO$26</definedName>
    <definedName name="dpc501_2_4">'Ch5'!$AO$28</definedName>
    <definedName name="dpc501_2_5">'Ch5'!$AO$37</definedName>
    <definedName name="dpc501_2_6">'Ch5'!$AO$40</definedName>
    <definedName name="dpc502_1">'Ch5'!$AO$46</definedName>
    <definedName name="dpc503_1_1">'Ch5'!$AO$57</definedName>
    <definedName name="dpc503_1_2">'Ch5'!$AO$58</definedName>
    <definedName name="dpc503_1_3">'Ch5'!$AO$60</definedName>
    <definedName name="dpc503_1_4">'Ch5'!$AO$62</definedName>
    <definedName name="dpc503_1_5">'Ch5'!$AO$63</definedName>
    <definedName name="dpc503_1_6">'Ch5'!$AO$64</definedName>
    <definedName name="dpc503_1_7">'Ch5'!$AO$66</definedName>
    <definedName name="dpc503_2_1">'Ch5'!$AO$70</definedName>
    <definedName name="dpc503_2_2">'Ch5'!$AO$71</definedName>
    <definedName name="dpc503_2_3">'Ch5'!$AO$73</definedName>
    <definedName name="dpc503_2_4">'Ch5'!$AO$78</definedName>
    <definedName name="dpc503_2_5">'Ch5'!$AO$80</definedName>
    <definedName name="dpc503_3_1">'Ch5'!$AO$84</definedName>
    <definedName name="dpc503_3_2">'Ch5'!$AO$86</definedName>
    <definedName name="dpc503_3_3">'Ch5'!$AO$93</definedName>
    <definedName name="dpc503_4_1">'Ch5'!$AO$101</definedName>
    <definedName name="dpc503_4_2">'Ch5'!$AO$104</definedName>
    <definedName name="dpc503_4_3">'Ch5'!$AO$108</definedName>
    <definedName name="dpc503_4_4">'Ch5'!$AO$115</definedName>
    <definedName name="dpc503_5_1">'Ch5'!$AO$124</definedName>
    <definedName name="dpc503_5_10">'Ch5'!$AO$152</definedName>
    <definedName name="dpc503_5_11">'Ch5'!$AO$154</definedName>
    <definedName name="dpc503_5_12">'Ch5'!$AO$156</definedName>
    <definedName name="dpc503_5_2">'Ch5'!$AO$130</definedName>
    <definedName name="dpc503_5_3">'Ch5'!$AO$132</definedName>
    <definedName name="dpc503_5_4">'Ch5'!$AO$134</definedName>
    <definedName name="dpc503_5_5">'Ch5'!$AO$136</definedName>
    <definedName name="dpc503_5_6">'Ch5'!$AO$141</definedName>
    <definedName name="dpc503_5_7">'Ch5'!$AO$142</definedName>
    <definedName name="dpc503_5_8">'Ch5'!$AO$147</definedName>
    <definedName name="dpc503_5_9">'Ch5'!$AO$149</definedName>
    <definedName name="dpc503_6_1">'Ch5'!$AO$160</definedName>
    <definedName name="dpc503_6_2">'Ch5'!$AO$161</definedName>
    <definedName name="dpc503_6_3">'Ch5'!$AO$162</definedName>
    <definedName name="dpc503_6_4">'Ch5'!$AO$164</definedName>
    <definedName name="dpc503_7">'Ch5'!$AO$165</definedName>
    <definedName name="dpc503_8">'Ch5'!$AO$171</definedName>
    <definedName name="dpc504_1">'Ch5'!$AO$179</definedName>
    <definedName name="dpc504_2_1">'Ch5'!$AO$186</definedName>
    <definedName name="dpc504_2_2">'Ch5'!$AO$187</definedName>
    <definedName name="dpc504_2_3">'Ch5'!$AO$189</definedName>
    <definedName name="dpc504_3_1">'Ch5'!$AO$194</definedName>
    <definedName name="dpc504_3_2">'Ch5'!$AO$196</definedName>
    <definedName name="dpc504_3_3">'Ch5'!$AO$197</definedName>
    <definedName name="dpc504_3_4">'Ch5'!$AO$199</definedName>
    <definedName name="dpc504_3_5">'Ch5'!$AO$201</definedName>
    <definedName name="dpc504_3_6">'Ch5'!$AO$205</definedName>
    <definedName name="dpc504_3_7">'Ch5'!$AO$208</definedName>
    <definedName name="dpc504_3_8">'Ch5'!$AO$209</definedName>
    <definedName name="dpc504_3_9">'Ch5'!$AO$217</definedName>
    <definedName name="dpc505_1_1">'Ch5'!$AO$224</definedName>
    <definedName name="dpc505_1_2">'Ch5'!$AO$226</definedName>
    <definedName name="dpc505_1_3">'Ch5'!$AO$227</definedName>
    <definedName name="dpc505_1_4">'Ch5'!$AO$231</definedName>
    <definedName name="dpc505_2_1">'Ch5'!$AO$237</definedName>
    <definedName name="dpc505_2_2">'Ch5'!$AO$247</definedName>
    <definedName name="dpc505_3">'Ch5'!$AO$250</definedName>
    <definedName name="dpc505_4">'Ch5'!$AO$256</definedName>
    <definedName name="dpc505_5">'Ch5'!$AO$257</definedName>
    <definedName name="dpc505_6">'Ch5'!$AO$259</definedName>
    <definedName name="dpc601_1">'Ch6'!$AO$13</definedName>
    <definedName name="dpc601_2_1">'Ch6'!$AO$29</definedName>
    <definedName name="dpc601_2_2">'Ch6'!$AO$32</definedName>
    <definedName name="dpc601_2_3">'Ch6'!$AO$35</definedName>
    <definedName name="dpc601_3_1">'Ch6'!$AO$39</definedName>
    <definedName name="dpc601_3_2">'Ch6'!$AO$40</definedName>
    <definedName name="dpc601_3_3">'Ch6'!$AO$41</definedName>
    <definedName name="dpc601_3_4">'Ch6'!$AO$42</definedName>
    <definedName name="dpc601_3_5">'Ch6'!$AO$43</definedName>
    <definedName name="dpc601_4">'Ch6'!$AO$44</definedName>
    <definedName name="dpc601_5_1">'Ch6'!$AO$50</definedName>
    <definedName name="dpc601_5_2">'Ch6'!$AO$51</definedName>
    <definedName name="dpc601_5_3">'Ch6'!$AO$52</definedName>
    <definedName name="dpc601_5_4">'Ch6'!$AO$53</definedName>
    <definedName name="dpc601_5_5">'Ch6'!$AO$54</definedName>
    <definedName name="dpc601_6">'Ch6'!$AO$55</definedName>
    <definedName name="dpc601_7">'Ch6'!$AO$60</definedName>
    <definedName name="dpc601_8">'Ch6'!$AO$78</definedName>
    <definedName name="dpc601_9">'Ch6'!$AO$86</definedName>
    <definedName name="dpc602_1_1_2">'Ch6'!$AO$100</definedName>
    <definedName name="dpc602_1_10">'Ch6'!$AO$196</definedName>
    <definedName name="dpc602_1_12">'Ch6'!$AO$211</definedName>
    <definedName name="dpc602_1_14_1">'Ch6'!$AO$220</definedName>
    <definedName name="dpc602_1_14_2">'Ch6'!$AO$222</definedName>
    <definedName name="dpc602_1_14_3">'Ch6'!$AO$223</definedName>
    <definedName name="dpc602_1_2">'Ch6'!$AO$102</definedName>
    <definedName name="dpc602_1_3_2">'Ch6'!$AO$109</definedName>
    <definedName name="dpc602_1_4_1_1">'Ch6'!$AO$115</definedName>
    <definedName name="dpc602_1_4_2_1">'Ch6'!$AO$121</definedName>
    <definedName name="dpc602_1_5_1">'Ch6'!$AO$127</definedName>
    <definedName name="dpc602_1_5_2">'Ch6'!$AO$129</definedName>
    <definedName name="dpc602_1_6_1">'Ch6'!$AO$135</definedName>
    <definedName name="dpc602_1_6_2">'Ch6'!$AO$139</definedName>
    <definedName name="dpc602_1_6_3">'Ch6'!$AO$143</definedName>
    <definedName name="dpc602_1_7_1_1">'Ch6'!$AO$148</definedName>
    <definedName name="dpc602_1_7_1_2">'Ch6'!$AO$150</definedName>
    <definedName name="dpc602_1_7_1_3">'Ch6'!$AO$153</definedName>
    <definedName name="dpc602_1_7_2">'Ch6'!$AO$155</definedName>
    <definedName name="dpc602_1_7_3">'Ch6'!$AO$157</definedName>
    <definedName name="dpc602_1_9_2">'Ch6'!$AO$179</definedName>
    <definedName name="dpc602_1_9_3">'Ch6'!$AO$182</definedName>
    <definedName name="dpc602_1_9_4">'Ch6'!$AO$183</definedName>
    <definedName name="dpc602_1_9_5">'Ch6'!$AO$187</definedName>
    <definedName name="dpc602_1_9_6">'Ch6'!$AO$193</definedName>
    <definedName name="dpc602_1_9_7">'Ch6'!$AO$195</definedName>
    <definedName name="dpc602_2">'Ch6'!$AO$224</definedName>
    <definedName name="dpc602_3">'Ch6'!$AO$234</definedName>
    <definedName name="dpc602_4_2">'Ch6'!$AO$243</definedName>
    <definedName name="dpc602_4_3">'Ch6'!$AO$245</definedName>
    <definedName name="dpc603_1">'Ch6'!$AO$249</definedName>
    <definedName name="dpc603_2">'Ch6'!$AO$255</definedName>
    <definedName name="dpc603_3">'Ch6'!$AO$262</definedName>
    <definedName name="dpc604_1a">'Ch6'!$AO$266</definedName>
    <definedName name="dpc605_1">'Ch6'!$AO$278</definedName>
    <definedName name="dpc605_2">'Ch6'!$AO$293</definedName>
    <definedName name="dpc605_3">'Ch6'!$AO$302</definedName>
    <definedName name="dpc606_1">'Ch6'!$AO$318</definedName>
    <definedName name="dpc606_2_1a">'Ch6'!$AO$346</definedName>
    <definedName name="dpc606_2_2a">'Ch6'!$AO$349</definedName>
    <definedName name="dpc606_3">'Ch6'!$AO$352</definedName>
    <definedName name="dpc607_1_1">'Ch6'!$AO$361</definedName>
    <definedName name="dpc607_1_2">'Ch6'!$AO$363</definedName>
    <definedName name="dpc607_2">'Ch6'!$AO$364</definedName>
    <definedName name="dpc608_1">'Ch6'!$AO$367</definedName>
    <definedName name="dpc609_1a">'Ch6'!$AO$376</definedName>
    <definedName name="dpc610_1_1_1">'Ch6'!$AO$392</definedName>
    <definedName name="dpc610_1_1_2">'Ch6'!$AO$401</definedName>
    <definedName name="dpc610_1_1_3">'Ch6'!$AO$408</definedName>
    <definedName name="dpc610_1_2">'Ch6'!$AO$410</definedName>
    <definedName name="dpc611_1">'Ch6'!$AO$453</definedName>
    <definedName name="dpc611_2">'Ch6'!$AO$461</definedName>
    <definedName name="dpc611_3">'Ch6'!$AO$472</definedName>
    <definedName name="dpc611_4">'Ch6'!$AO$497</definedName>
    <definedName name="dpc701_1_4">'Ch7'!$AO$25</definedName>
    <definedName name="dpc702_2_2">'Ch7'!$AO$147</definedName>
    <definedName name="dpc703_1">'Ch7'!$AO$159</definedName>
    <definedName name="dpc703_2_1">'Ch7'!$AO$182</definedName>
    <definedName name="dpc703_2_2">'Ch7'!$AO$189</definedName>
    <definedName name="dpc703_2_3">'Ch7'!$AO$191</definedName>
    <definedName name="dpc703_2_4">'Ch7'!$AO$194</definedName>
    <definedName name="dpc703_2_5_2">'Ch7'!$AO$213</definedName>
    <definedName name="dpc703_3_1">'Ch7'!$AO$243</definedName>
    <definedName name="dpc703_3_2__1">'Ch7'!$AO$249</definedName>
    <definedName name="dpc703_3_2__2">'Ch7'!$AO$255</definedName>
    <definedName name="dpc703_3_2__3">'Ch7'!$AO$258</definedName>
    <definedName name="dpc703_3_2__4">'Ch7'!$AO$263</definedName>
    <definedName name="dpc703_3_3__1">'Ch7'!$AO$269</definedName>
    <definedName name="dpc703_3_3__3">'Ch7'!$AO$275</definedName>
    <definedName name="dpc703_3_4_1">'Ch7'!$AO$279</definedName>
    <definedName name="dpc703_3_4_1_5">'Ch7'!$AO$284</definedName>
    <definedName name="dpc703_3_4_2">'Ch7'!$AO$286</definedName>
    <definedName name="dpc703_3_5">'Ch7'!$AO$287</definedName>
    <definedName name="dpc703_3_6">'Ch7'!$AO$291</definedName>
    <definedName name="dpc703_3_7_1">'Ch7'!$AO$297</definedName>
    <definedName name="dpc703_3_8">'Ch7'!$AO$304</definedName>
    <definedName name="dpc703_4_1">'Ch7'!$AO$310</definedName>
    <definedName name="dpc703_4_2">'Ch7'!$AO$312</definedName>
    <definedName name="dpc703_4_3">'Ch7'!$AO$314</definedName>
    <definedName name="dpc703_4_4">'Ch7'!$AO$320</definedName>
    <definedName name="dpc703_5_1_1_a">'Ch7'!$AO$333</definedName>
    <definedName name="dpc703_5_1_1_b">'Ch7'!$AO$336</definedName>
    <definedName name="dpc703_5_1_2_a">'Ch7'!$AO$341</definedName>
    <definedName name="dpc703_5_1_2_b">'Ch7'!$AO$342</definedName>
    <definedName name="dpc703_5_1_3">'Ch7'!$AO$343</definedName>
    <definedName name="dpc703_5_1_4">'Ch7'!$AO$344</definedName>
    <definedName name="dpc703_5_2">'Ch7'!$AO$348</definedName>
    <definedName name="dpc703_5_3">'Ch7'!$AO$350</definedName>
    <definedName name="dpc703_5_4">'Ch7'!$AO$352</definedName>
    <definedName name="dpc703_5_5">'Ch7'!$AO$353</definedName>
    <definedName name="dpc703_6_1_1">'Ch7'!$AO$364</definedName>
    <definedName name="dpc703_6_1_2">'Ch7'!$AO$366</definedName>
    <definedName name="dpc703_6_1_3">'Ch7'!$AO$368</definedName>
    <definedName name="dpc703_6_2__1">'Ch7'!$AO$371</definedName>
    <definedName name="dpc703_6_2__2">'Ch7'!$AO$372</definedName>
    <definedName name="dpc703_6_2__3">'Ch7'!$AO$373</definedName>
    <definedName name="dpc703_7_1">'Ch7'!$AO$376</definedName>
    <definedName name="dpc703_7_2">'Ch7'!$AO$404</definedName>
    <definedName name="dpc703_7_3">'Ch7'!$AO$406</definedName>
    <definedName name="dpc703_7_4">'Ch7'!$AO$433</definedName>
    <definedName name="dpc704_1">'Ch7'!$AO$457</definedName>
    <definedName name="dpc705_2_1_1">'Ch7'!$AO$470</definedName>
    <definedName name="dpc705_2_1_2">'Ch7'!$AO$474</definedName>
    <definedName name="dpc705_2_1_3_1">'Ch7'!$AO$477</definedName>
    <definedName name="dpc705_2_1_3_2">'Ch7'!$AO$481</definedName>
    <definedName name="dpc705_2_1_4">'Ch7'!$AO$486</definedName>
    <definedName name="dpc705_2_2">'Ch7'!$AO$491</definedName>
    <definedName name="dpc705_2_3">'Ch7'!$AO$494</definedName>
    <definedName name="dpc705_2_4">'Ch7'!$AO$496</definedName>
    <definedName name="dpc705_3">'Ch7'!$AO$499</definedName>
    <definedName name="dpc705_4">'Ch7'!$AO$500</definedName>
    <definedName name="dpc705_5_1">'Ch7'!$AO$504</definedName>
    <definedName name="dpc705_5_2">'Ch7'!$AO$509</definedName>
    <definedName name="dpc705_6_1">'Ch7'!$AO$518</definedName>
    <definedName name="dpc705_6_2_1_1">'Ch7'!$AO$531</definedName>
    <definedName name="dpc705_6_2_1_1_1">'Ch7'!$AO$531</definedName>
    <definedName name="dpc705_6_2_1_2">'Ch7'!$AO$534</definedName>
    <definedName name="dpc705_6_2_2">'Ch7'!$AO$537</definedName>
    <definedName name="dpc705_6_2_3">'Ch7'!$AO$545</definedName>
    <definedName name="dpc705_6_3">'Ch7'!$AO$551</definedName>
    <definedName name="dpc705_6_4_1">'Ch7'!$AO$563</definedName>
    <definedName name="dpc705_6_4_2">'Ch7'!$AO$565</definedName>
    <definedName name="dpc705_7">'Ch7'!$AO$567</definedName>
    <definedName name="dpc706_1">'Ch7'!$AO$572</definedName>
    <definedName name="dpc706_2_1">'Ch7'!$AO$582</definedName>
    <definedName name="dpc706_2_2">'Ch7'!$AO$585</definedName>
    <definedName name="dpc706_3">'Ch7'!$AO$592</definedName>
    <definedName name="dpc706_4_1_1">'Ch7'!$AO$610</definedName>
    <definedName name="dpc706_4_1_2">'Ch7'!$AO$612</definedName>
    <definedName name="dpc706_4_2">'Ch7'!$AO$614</definedName>
    <definedName name="dpc706_5">'Ch7'!$AO$616</definedName>
    <definedName name="dpc706_6">'Ch7'!$AO$625</definedName>
    <definedName name="dpc706_7_1">'Ch7'!$AO$629</definedName>
    <definedName name="dpc706_7_2">'Ch7'!$AO$630</definedName>
    <definedName name="dpc706_8">'Ch7'!$AO$633</definedName>
    <definedName name="dpc706_9">'Ch7'!$AO$636</definedName>
    <definedName name="dpc801_1">'Ch8'!$AO$11</definedName>
    <definedName name="dpc801_1_6">'Ch8'!$AO$41</definedName>
    <definedName name="dpc801_2_1">'Ch8'!$AO$46</definedName>
    <definedName name="dpc801_2_2">'Ch8'!$AO$47</definedName>
    <definedName name="dpc801_3_1">'Ch8'!$AO$54</definedName>
    <definedName name="dpc801_3_2">'Ch8'!$AO$63</definedName>
    <definedName name="dpc801_3_3">'Ch8'!$AO$68</definedName>
    <definedName name="dpc801_4_1_1">'Ch8'!$AO$73</definedName>
    <definedName name="dpc801_4_1_2">'Ch8'!$AO$77</definedName>
    <definedName name="dpc801_4_2">'Ch8'!$AO$78</definedName>
    <definedName name="dpc801_5_2">'Ch8'!$AO$85</definedName>
    <definedName name="dpc801_5_3">'Ch8'!$AO$91</definedName>
    <definedName name="dpc801_5_4_a">'Ch8'!$AO$94</definedName>
    <definedName name="dpc801_5_4_b">'Ch8'!$AO$98</definedName>
    <definedName name="dpc801_5_4_c">'Ch8'!$AO$100</definedName>
    <definedName name="dpc801_6_1">'Ch8'!$AO$102</definedName>
    <definedName name="dpc801_6_2_1">'Ch8'!$AO$106</definedName>
    <definedName name="dpc801_6_2_2">'Ch8'!$AO$107</definedName>
    <definedName name="dpc801_6_2_3">'Ch8'!$AO$108</definedName>
    <definedName name="dpc801_6_4_1">'Ch8'!$AO$116</definedName>
    <definedName name="dpc801_6_4_3">'Ch8'!$AO$119</definedName>
    <definedName name="dpc801_6_5">'Ch8'!$AO$123</definedName>
    <definedName name="dpc801_7_1">'Ch8'!$AO$127</definedName>
    <definedName name="dpc801_7_2">'Ch8'!$AO$138</definedName>
    <definedName name="dpc801_8">'Ch8'!$AO$144</definedName>
    <definedName name="dpc802_1">'Ch8'!$AO$147</definedName>
    <definedName name="dpc802_2">'Ch8'!$AO$154</definedName>
    <definedName name="dpc802_3">'Ch8'!$AO$157</definedName>
    <definedName name="dpc802_4">'Ch8'!$AO$162</definedName>
    <definedName name="dpc802_5">'Ch8'!$AO$165</definedName>
    <definedName name="dpc802_6">'Ch8'!$AO$167</definedName>
    <definedName name="dpc901_1_1">'Ch9'!$AO$12</definedName>
    <definedName name="dpc901_1_2">'Ch9'!$AO$18</definedName>
    <definedName name="dpc901_1_3_1">'Ch9'!$AO$23</definedName>
    <definedName name="dpc901_1_3_2">'Ch9'!$AO$26</definedName>
    <definedName name="dpc901_1_5">'Ch9'!$AO$33</definedName>
    <definedName name="dpc901_1_6">'Ch9'!$AO$36</definedName>
    <definedName name="dpc901_10">'Ch9'!$AO$145</definedName>
    <definedName name="dpc901_11">'Ch9'!$AO$158</definedName>
    <definedName name="dpc901_13">'Ch9'!$AO$165</definedName>
    <definedName name="dpc901_14_1">'Ch9'!$AO$171</definedName>
    <definedName name="dpc901_14_2">'Ch9'!$AO$173</definedName>
    <definedName name="dpc901_2_1_1">'Ch9'!$AO$42</definedName>
    <definedName name="dpc901_2_1_2">'Ch9'!$AO$45</definedName>
    <definedName name="dpc901_2_1_3">'Ch9'!$AO$47</definedName>
    <definedName name="dpc901_2_1_4">'Ch9'!$AO$50</definedName>
    <definedName name="dpc901_2_1_5">'Ch9'!$AO$52</definedName>
    <definedName name="dpc901_2_2">'Ch9'!$AO$54</definedName>
    <definedName name="dpc901_3_1_a">'Ch9'!$AO$57</definedName>
    <definedName name="dpc901_3_1_b">'Ch9'!$AO$59</definedName>
    <definedName name="dpc901_3_1_c">'Ch9'!$AO$61</definedName>
    <definedName name="dpc901_3_2">'Ch9'!$AO$67</definedName>
    <definedName name="dpc901_4">'Ch9'!$AO$68</definedName>
    <definedName name="dpc901_5_1">'Ch9'!$AO$90</definedName>
    <definedName name="dpc901_5_2">'Ch9'!$AO$92</definedName>
    <definedName name="dpc901_7">'Ch9'!$AO$97</definedName>
    <definedName name="dpc901_8">'Ch9'!$AO$118</definedName>
    <definedName name="dpc901_9_1">'Ch9'!$AO$127</definedName>
    <definedName name="dpc901_9_2">'Ch9'!$AO$134</definedName>
    <definedName name="dpc901_9_3">'Ch9'!$AO$139</definedName>
    <definedName name="dpc902_1_1_a">'Ch9'!$AO$181</definedName>
    <definedName name="dpc902_1_2">'Ch9'!$AO$188</definedName>
    <definedName name="dpc902_1_3">'Ch9'!$AO$192</definedName>
    <definedName name="dpc902_1_3_">'Ch9'!$AO$185</definedName>
    <definedName name="dpc902_1_4">'Ch9'!$AO$196</definedName>
    <definedName name="dpc902_1_5">'Ch9'!$AO$201</definedName>
    <definedName name="dpc902_2_1">'Ch9'!$AO$211</definedName>
    <definedName name="dpc902_2_2">'Ch9'!$AO$220</definedName>
    <definedName name="dpc902_2_3">'Ch9'!$AO$222</definedName>
    <definedName name="dpc902_2_4">'Ch9'!$AO$225</definedName>
    <definedName name="dpc902_3_1">'Ch9'!$AO$230</definedName>
    <definedName name="dpc902_3_2_a">'Ch9'!$AO$234</definedName>
    <definedName name="dpc902_4">'Ch9'!$AO$235</definedName>
    <definedName name="dpc902_5">'Ch9'!$AO$242</definedName>
    <definedName name="dpc903_1">'Ch9'!$AO$248</definedName>
    <definedName name="dpc903_2">'Ch9'!$AO$252</definedName>
    <definedName name="dpc903_3">'Ch9'!$AO$256</definedName>
    <definedName name="dpc904_1">'Ch9'!$AO$264</definedName>
    <definedName name="dpc904_2">'Ch9'!$AO$269</definedName>
    <definedName name="dpc905_1">'Ch9'!$AO$273</definedName>
    <definedName name="dpc905_2">'Ch9'!$AO$278</definedName>
    <definedName name="dstAGFloorArea">'Overview (Design)'!$G$22</definedName>
    <definedName name="dstAttachedGarage">'Overview (Design)'!$G$48</definedName>
    <definedName name="dstAttic">'Overview (Design)'!$G$47</definedName>
    <definedName name="dstBatch">'Overview (Design)'!$G$8</definedName>
    <definedName name="dstBuilderName">'Overview (Design)'!$G$10</definedName>
    <definedName name="dstBuildingCode">'Overview (Design)'!$G$60</definedName>
    <definedName name="dstCDucts">'Overview (Design)'!$G$39</definedName>
    <definedName name="dstCity">'Overview (Design)'!$G$13</definedName>
    <definedName name="dstCool1">'Overview (Design)'!$G$36</definedName>
    <definedName name="dstCool2">'Overview (Design)'!$G$37</definedName>
    <definedName name="dstCool3">'Overview (Design)'!$G$38</definedName>
    <definedName name="dstCounty">'Overview (Design)'!$G$15</definedName>
    <definedName name="dstCToilet">'Overview (Design)'!$G$57</definedName>
    <definedName name="dstDesigner">'Overview (Design)'!$G$62</definedName>
    <definedName name="dstDuctless">'Overview (Design)'!$G$54</definedName>
    <definedName name="dstEnergyCode">'Overview (Design)'!$G$59</definedName>
    <definedName name="dstFloors">'Overview (Design)'!$G$24</definedName>
    <definedName name="dstFoundation">'Overview (Design)'!$G$29</definedName>
    <definedName name="dstFuel">'Overview (Design)'!$G$34</definedName>
    <definedName name="dstHDucts">'Overview (Design)'!$G$35</definedName>
    <definedName name="dstHeat1">'Overview (Design)'!$G$31</definedName>
    <definedName name="dstHeat2">'Overview (Design)'!$G$32</definedName>
    <definedName name="dstHeat3">'Overview (Design)'!$G$33</definedName>
    <definedName name="dstHERS">'Overview (Design)'!$G$28</definedName>
    <definedName name="dstHomeAddress">'Overview (Design)'!$G$11</definedName>
    <definedName name="dstLot">'Overview (Design)'!$G$12</definedName>
    <definedName name="dstMassWalls">'Overview (Design)'!$G$53</definedName>
    <definedName name="dstPassiveSolar">'Overview (Design)'!$G$52</definedName>
    <definedName name="dstProjectDesc">'Overview (Design)'!$G$26</definedName>
    <definedName name="dstProjectName">'Overview (Design)'!$G$20</definedName>
    <definedName name="dstRadiantHydronic">'Overview (Design)'!$G$55</definedName>
    <definedName name="dstRecessedLighting">'Overview (Design)'!$G$49</definedName>
    <definedName name="dstRenewable">'Overview (Design)'!$G$45</definedName>
    <definedName name="dstSingleOrMulti">'Overview (Design)'!$G$18</definedName>
    <definedName name="dstsSHGC">'Overview (Design)'!$G$42</definedName>
    <definedName name="dstState">'Overview (Design)'!$G$14</definedName>
    <definedName name="dstsUV">'Overview (Design)'!$G$44</definedName>
    <definedName name="dstTCFloorArea">'Overview (Design)'!$G$23</definedName>
    <definedName name="dstTEInsulation">'Overview (Design)'!$G$46</definedName>
    <definedName name="dstTLWH">'Overview (Design)'!$G$56</definedName>
    <definedName name="dstUnits">'Overview (Design)'!$G$19</definedName>
    <definedName name="dstwdSHGC">'Overview (Design)'!$G$41</definedName>
    <definedName name="dstwdUV">'Overview (Design)'!$G$43</definedName>
    <definedName name="dstZIP">'Overview (Design)'!$G$16</definedName>
    <definedName name="fsgBatchSubmissionFinalAddress1">'Final Summary'!$C$84</definedName>
    <definedName name="fsgBatchSubmissionFinalAddress10">'Final Summary'!$C$93</definedName>
    <definedName name="fsgBatchSubmissionFinalAddress11">'Final Summary'!$C$94</definedName>
    <definedName name="fsgBatchSubmissionFinalAddress12">'Final Summary'!$C$95</definedName>
    <definedName name="fsgBatchSubmissionFinalAddress13">'Final Summary'!$C$96</definedName>
    <definedName name="fsgBatchSubmissionFinalAddress14">'Final Summary'!$C$97</definedName>
    <definedName name="fsgBatchSubmissionFinalAddress15">'Final Summary'!$C$98</definedName>
    <definedName name="fsgBatchSubmissionFinalAddress16">'Final Summary'!$C$99</definedName>
    <definedName name="fsgBatchSubmissionFinalAddress17">'Final Summary'!$C$100</definedName>
    <definedName name="fsgBatchSubmissionFinalAddress18">'Final Summary'!$C$101</definedName>
    <definedName name="fsgBatchSubmissionFinalAddress19">'Final Summary'!$C$102</definedName>
    <definedName name="fsgBatchSubmissionFinalAddress2">'Final Summary'!$C$85</definedName>
    <definedName name="fsgBatchSubmissionFinalAddress20">'Final Summary'!$C$103</definedName>
    <definedName name="fsgBatchSubmissionFinalAddress21">'Final Summary'!$C$104</definedName>
    <definedName name="fsgBatchSubmissionFinalAddress22">'Final Summary'!$C$105</definedName>
    <definedName name="fsgBatchSubmissionFinalAddress23">'Final Summary'!$C$106</definedName>
    <definedName name="fsgBatchSubmissionFinalAddress24">'Final Summary'!$C$107</definedName>
    <definedName name="fsgBatchSubmissionFinalAddress25">'Final Summary'!$C$108</definedName>
    <definedName name="fsgBatchSubmissionFinalAddress26">'Final Summary'!$C$109</definedName>
    <definedName name="fsgBatchSubmissionFinalAddress27">'Final Summary'!$C$110</definedName>
    <definedName name="fsgBatchSubmissionFinalAddress28">'Final Summary'!$C$111</definedName>
    <definedName name="fsgBatchSubmissionFinalAddress29">'Final Summary'!$C$112</definedName>
    <definedName name="fsgBatchSubmissionFinalAddress3">'Final Summary'!$C$86</definedName>
    <definedName name="fsgBatchSubmissionFinalAddress30">'Final Summary'!$C$113</definedName>
    <definedName name="fsgBatchSubmissionFinalAddress31">'Final Summary'!$C$114</definedName>
    <definedName name="fsgBatchSubmissionFinalAddress32">'Final Summary'!$C$115</definedName>
    <definedName name="fsgBatchSubmissionFinalAddress33">'Final Summary'!$C$116</definedName>
    <definedName name="fsgBatchSubmissionFinalAddress34">'Final Summary'!$C$117</definedName>
    <definedName name="fsgBatchSubmissionFinalAddress35">'Final Summary'!$C$118</definedName>
    <definedName name="fsgBatchSubmissionFinalAddress36">'Final Summary'!$C$119</definedName>
    <definedName name="fsgBatchSubmissionFinalAddress37">'Final Summary'!$C$120</definedName>
    <definedName name="fsgBatchSubmissionFinalAddress38">'Final Summary'!$C$121</definedName>
    <definedName name="fsgBatchSubmissionFinalAddress39">'Final Summary'!$C$122</definedName>
    <definedName name="fsgBatchSubmissionFinalAddress4">'Final Summary'!$C$87</definedName>
    <definedName name="fsgBatchSubmissionFinalAddress40">'Final Summary'!$C$123</definedName>
    <definedName name="fsgBatchSubmissionFinalAddress41">'Final Summary'!$C$124</definedName>
    <definedName name="fsgBatchSubmissionFinalAddress42">'Final Summary'!$C$125</definedName>
    <definedName name="fsgBatchSubmissionFinalAddress43">'Final Summary'!$C$126</definedName>
    <definedName name="fsgBatchSubmissionFinalAddress44">'Final Summary'!$C$127</definedName>
    <definedName name="fsgBatchSubmissionFinalAddress45">'Final Summary'!$C$128</definedName>
    <definedName name="fsgBatchSubmissionFinalAddress46">'Final Summary'!$C$129</definedName>
    <definedName name="fsgBatchSubmissionFinalAddress47">'Final Summary'!$C$130</definedName>
    <definedName name="fsgBatchSubmissionFinalAddress48">'Final Summary'!$C$131</definedName>
    <definedName name="fsgBatchSubmissionFinalAddress49">'Final Summary'!$C$132</definedName>
    <definedName name="fsgBatchSubmissionFinalAddress5">'Final Summary'!$C$88</definedName>
    <definedName name="fsgBatchSubmissionFinalAddress50">'Final Summary'!$C$133</definedName>
    <definedName name="fsgBatchSubmissionFinalAddress6">'Final Summary'!$C$89</definedName>
    <definedName name="fsgBatchSubmissionFinalAddress7">'Final Summary'!$C$90</definedName>
    <definedName name="fsgBatchSubmissionFinalAddress8">'Final Summary'!$C$91</definedName>
    <definedName name="fsgBatchSubmissionFinalAddress9">'Final Summary'!$C$92</definedName>
    <definedName name="fsgBatchSubmissionInspectionDate1">'Final Summary'!$I$84</definedName>
    <definedName name="fsgBatchSubmissionInspectionDate10">'Final Summary'!$I$93</definedName>
    <definedName name="fsgBatchSubmissionInspectionDate11">'Final Summary'!$I$94</definedName>
    <definedName name="fsgBatchSubmissionInspectionDate12">'Final Summary'!$I$95</definedName>
    <definedName name="fsgBatchSubmissionInspectionDate13">'Final Summary'!$I$96</definedName>
    <definedName name="fsgBatchSubmissionInspectionDate14">'Final Summary'!$I$97</definedName>
    <definedName name="fsgBatchSubmissionInspectionDate15">'Final Summary'!$I$98</definedName>
    <definedName name="fsgBatchSubmissionInspectionDate16">'Final Summary'!$I$99</definedName>
    <definedName name="fsgBatchSubmissionInspectionDate17">'Final Summary'!$I$100</definedName>
    <definedName name="fsgBatchSubmissionInspectionDate18">'Final Summary'!$I$101</definedName>
    <definedName name="fsgBatchSubmissionInspectionDate19">'Final Summary'!$I$102</definedName>
    <definedName name="fsgBatchSubmissionInspectionDate2">'Final Summary'!$I$85</definedName>
    <definedName name="fsgBatchSubmissionInspectionDate20">'Final Summary'!$I$103</definedName>
    <definedName name="fsgBatchSubmissionInspectionDate3">'Final Summary'!$I$86</definedName>
    <definedName name="fsgBatchSubmissionInspectionDate4">'Final Summary'!$I$87</definedName>
    <definedName name="fsgBatchSubmissionInspectionDate5">'Final Summary'!$I$88</definedName>
    <definedName name="fsgBatchSubmissionInspectionDate6">'Final Summary'!$I$89</definedName>
    <definedName name="fsgBatchSubmissionInspectionDate7">'Final Summary'!$I$90</definedName>
    <definedName name="fsgBatchSubmissionInspectionDate8">'Final Summary'!$I$91</definedName>
    <definedName name="fsgBatchSubmissionInspectionDate9">'Final Summary'!$I$92</definedName>
    <definedName name="fsgBuilderComments">'Final Summary'!$C$37</definedName>
    <definedName name="fsgBuilderDate">'Final Summary'!$C$47</definedName>
    <definedName name="fsgBuilderEmail">'Final Summary'!$C$43</definedName>
    <definedName name="fsgBuilderName">'Final Summary'!$C$41</definedName>
    <definedName name="fsgBuilderPhone">'Final Summary'!$C$45</definedName>
    <definedName name="fsgRemoveBatchAddress1">'Final Summary'!#REF!</definedName>
    <definedName name="fsgRemoveBatchAddress10">'Final Summary'!#REF!</definedName>
    <definedName name="fsgRemoveBatchAddress11">'Final Summary'!#REF!</definedName>
    <definedName name="fsgRemoveBatchAddress12">'Final Summary'!#REF!</definedName>
    <definedName name="fsgRemoveBatchAddress13">'Final Summary'!#REF!</definedName>
    <definedName name="fsgRemoveBatchAddress14">'Final Summary'!#REF!</definedName>
    <definedName name="fsgRemoveBatchAddress15">'Final Summary'!#REF!</definedName>
    <definedName name="fsgRemoveBatchAddress16">'Final Summary'!#REF!</definedName>
    <definedName name="fsgRemoveBatchAddress17">'Final Summary'!#REF!</definedName>
    <definedName name="fsgRemoveBatchAddress18">'Final Summary'!#REF!</definedName>
    <definedName name="fsgRemoveBatchAddress19">'Final Summary'!#REF!</definedName>
    <definedName name="fsgRemoveBatchAddress2">'Final Summary'!#REF!</definedName>
    <definedName name="fsgRemoveBatchAddress20">'Final Summary'!#REF!</definedName>
    <definedName name="fsgRemoveBatchAddress3">'Final Summary'!#REF!</definedName>
    <definedName name="fsgRemoveBatchAddress4">'Final Summary'!#REF!</definedName>
    <definedName name="fsgRemoveBatchAddress5">'Final Summary'!#REF!</definedName>
    <definedName name="fsgRemoveBatchAddress6">'Final Summary'!#REF!</definedName>
    <definedName name="fsgRemoveBatchAddress7">'Final Summary'!#REF!</definedName>
    <definedName name="fsgRemoveBatchAddress8">'Final Summary'!#REF!</definedName>
    <definedName name="fsgRemoveBatchAddress9">'Final Summary'!#REF!</definedName>
    <definedName name="fsgSampleDate1">'Final Summary'!$C$161</definedName>
    <definedName name="fsgSampleDate10">'Final Summary'!$C$170</definedName>
    <definedName name="fsgSampleDate11">'Final Summary'!$C$171</definedName>
    <definedName name="fsgSampleDate12">'Final Summary'!$C$172</definedName>
    <definedName name="fsgSampleDate13">'Final Summary'!$C$173</definedName>
    <definedName name="fsgSampleDate14">'Final Summary'!$C$174</definedName>
    <definedName name="fsgSampleDate15">'Final Summary'!$C$175</definedName>
    <definedName name="fsgSampleDate16">'Final Summary'!$C$176</definedName>
    <definedName name="fsgSampleDate2">'Final Summary'!$C$162</definedName>
    <definedName name="fsgSampleDate3">'Final Summary'!$C$163</definedName>
    <definedName name="fsgSampleDate4">'Final Summary'!$C$164</definedName>
    <definedName name="fsgSampleDate5">'Final Summary'!$C$165</definedName>
    <definedName name="fsgSampleDate6">'Final Summary'!$C$166</definedName>
    <definedName name="fsgSampleDate7">'Final Summary'!$C$167</definedName>
    <definedName name="fsgSampleDate8">'Final Summary'!$C$168</definedName>
    <definedName name="fsgSampleDate9">'Final Summary'!$C$169</definedName>
    <definedName name="fsgSampleNotes1">'Final Summary'!$F$161</definedName>
    <definedName name="fsgSampleNotes10">'Final Summary'!$F$170</definedName>
    <definedName name="fsgSampleNotes11">'Final Summary'!$F$171</definedName>
    <definedName name="fsgSampleNotes12">'Final Summary'!$F$172</definedName>
    <definedName name="fsgSampleNotes13">'Final Summary'!$F$173</definedName>
    <definedName name="fsgSampleNotes14">'Final Summary'!$F$174</definedName>
    <definedName name="fsgSampleNotes15">'Final Summary'!$F$175</definedName>
    <definedName name="fsgSampleNotes16">'Final Summary'!$F$176</definedName>
    <definedName name="fsgSampleNotes2">'Final Summary'!$F$162</definedName>
    <definedName name="fsgSampleNotes3">'Final Summary'!$F$163</definedName>
    <definedName name="fsgSampleNotes4">'Final Summary'!$F$164</definedName>
    <definedName name="fsgSampleNotes5">'Final Summary'!$F$165</definedName>
    <definedName name="fsgSampleNotes6">'Final Summary'!$F$166</definedName>
    <definedName name="fsgSampleNotes7">'Final Summary'!$F$167</definedName>
    <definedName name="fsgSampleNotes8">'Final Summary'!$F$168</definedName>
    <definedName name="fsgSampleNotes9">'Final Summary'!$F$169</definedName>
    <definedName name="fsgSampleUnitsAvailable1">'Final Summary'!$D$161</definedName>
    <definedName name="fsgSampleUnitsAvailable10">'Final Summary'!$D$170</definedName>
    <definedName name="fsgSampleUnitsAvailable11">'Final Summary'!$D$171</definedName>
    <definedName name="fsgSampleUnitsAvailable12">'Final Summary'!$D$172</definedName>
    <definedName name="fsgSampleUnitsAvailable13">'Final Summary'!$D$173</definedName>
    <definedName name="fsgSampleUnitsAvailable14">'Final Summary'!$D$174</definedName>
    <definedName name="fsgSampleUnitsAvailable15">'Final Summary'!$D$175</definedName>
    <definedName name="fsgSampleUnitsAvailable16">'Final Summary'!$D$176</definedName>
    <definedName name="fsgSampleUnitsAvailable2">'Final Summary'!$D$162</definedName>
    <definedName name="fsgSampleUnitsAvailable3">'Final Summary'!$D$163</definedName>
    <definedName name="fsgSampleUnitsAvailable4">'Final Summary'!$D$164</definedName>
    <definedName name="fsgSampleUnitsAvailable5">'Final Summary'!$D$165</definedName>
    <definedName name="fsgSampleUnitsAvailable6">'Final Summary'!$D$166</definedName>
    <definedName name="fsgSampleUnitsAvailable7">'Final Summary'!$D$167</definedName>
    <definedName name="fsgSampleUnitsAvailable8">'Final Summary'!$D$168</definedName>
    <definedName name="fsgSampleUnitsAvailable9">'Final Summary'!$D$169</definedName>
    <definedName name="fsgSampleUnitsInspected1">'Final Summary'!$E$161</definedName>
    <definedName name="fsgSampleUnitsInspected10">'Final Summary'!$E$170</definedName>
    <definedName name="fsgSampleUnitsInspected11">'Final Summary'!$E$171</definedName>
    <definedName name="fsgSampleUnitsInspected12">'Final Summary'!$E$172</definedName>
    <definedName name="fsgSampleUnitsInspected13">'Final Summary'!$E$173</definedName>
    <definedName name="fsgSampleUnitsInspected14">'Final Summary'!$E$174</definedName>
    <definedName name="fsgSampleUnitsInspected15">'Final Summary'!$E$175</definedName>
    <definedName name="fsgSampleUnitsInspected16">'Final Summary'!$E$176</definedName>
    <definedName name="fsgSampleUnitsInspected2">'Final Summary'!$E$162</definedName>
    <definedName name="fsgSampleUnitsInspected3">'Final Summary'!$E$163</definedName>
    <definedName name="fsgSampleUnitsInspected4">'Final Summary'!$E$164</definedName>
    <definedName name="fsgSampleUnitsInspected5">'Final Summary'!$E$165</definedName>
    <definedName name="fsgSampleUnitsInspected6">'Final Summary'!$E$166</definedName>
    <definedName name="fsgSampleUnitsInspected7">'Final Summary'!$E$167</definedName>
    <definedName name="fsgSampleUnitsInspected8">'Final Summary'!$E$168</definedName>
    <definedName name="fsgSampleUnitsInspected9">'Final Summary'!$E$169</definedName>
    <definedName name="fsgTeamVerifierElementsVerified1">'Final Summary'!$E$72</definedName>
    <definedName name="fsgTeamVerifierElementsVerified2">'Final Summary'!$E$73</definedName>
    <definedName name="fsgTeamVerifierElementsVerified3">'Final Summary'!$E$74</definedName>
    <definedName name="fsgTeamVerifierElementsVerified4">'Final Summary'!$E$75</definedName>
    <definedName name="fsgTeamVerifierElementsVerified5">'Final Summary'!$E$76</definedName>
    <definedName name="fsgTeamVerifierInspectionDate1">'Final Summary'!$G$72</definedName>
    <definedName name="fsgTeamVerifierInspectionDate2">'Final Summary'!$G$73</definedName>
    <definedName name="fsgTeamVerifierInspectionDate3">'Final Summary'!$G$74</definedName>
    <definedName name="fsgTeamVerifierInspectionDate4">'Final Summary'!$G$75</definedName>
    <definedName name="fsgTeamVerifierInspectionDate5">'Final Summary'!$G$76</definedName>
    <definedName name="fsgTeamVerifierName1">'Final Summary'!$C$72</definedName>
    <definedName name="fsgTeamVerifierName2">'Final Summary'!$C$73</definedName>
    <definedName name="fsgTeamVerifierName3">'Final Summary'!$C$74</definedName>
    <definedName name="fsgTeamVerifierName4">'Final Summary'!$C$75</definedName>
    <definedName name="fsgTeamVerifierName5">'Final Summary'!$C$76</definedName>
    <definedName name="fsgTeamVerifierRole1">'Final Summary'!$D$72</definedName>
    <definedName name="fsgTeamVerifierRole2">'Final Summary'!$D$73</definedName>
    <definedName name="fsgTeamVerifierRole3">'Final Summary'!$D$74</definedName>
    <definedName name="fsgTeamVerifierRole4">'Final Summary'!$D$75</definedName>
    <definedName name="fsgTeamVerifierRole5">'Final Summary'!$D$76</definedName>
    <definedName name="fsgVerifierComments">'Final Summary'!$C$51</definedName>
    <definedName name="fsgVerifierDate">'Final Summary'!$C$65</definedName>
    <definedName name="fsgVerifierEmail">'Final Summary'!$C$57</definedName>
    <definedName name="fsgVerifierEndTime">'Final Summary'!$C$63</definedName>
    <definedName name="fsgVerifierName">'Final Summary'!$C$55</definedName>
    <definedName name="fsgVerifierPhone">'Final Summary'!$C$59</definedName>
    <definedName name="fsgVerifierStartTime">'Final Summary'!$C$61</definedName>
    <definedName name="GoalLevel">'Verification Report'!$L$1</definedName>
    <definedName name="hidCh10ErrorsMsg">'Ch10'!$X$3</definedName>
    <definedName name="hidCh10MandatoryMsg">'Ch10'!$X$2</definedName>
    <definedName name="hidCh10OverviewMsg">'Ch10'!$X$1</definedName>
    <definedName name="hidCh5ErrorsMsg">'Ch5'!$X$3</definedName>
    <definedName name="hidCh5MandatoryMsg">'Ch5'!$X$2</definedName>
    <definedName name="hidCh5OverviewMsg">'Ch5'!$X$1</definedName>
    <definedName name="hidCh6ErrorsMsg">'Ch6'!$X$3</definedName>
    <definedName name="hidCh6MandatoryMsg">'Ch6'!$X$2</definedName>
    <definedName name="hidCh6OverviewMsg">'Ch6'!$X$1</definedName>
    <definedName name="hidCh7ErrorsMsg">'Ch7'!$X$3</definedName>
    <definedName name="hidCh7MandatoryMsg">'Ch7'!$X$2</definedName>
    <definedName name="hidCh7OverviewMsg">'Ch7'!$X$1</definedName>
    <definedName name="hidCh8ErrorsMsg">'Ch8'!$X$3</definedName>
    <definedName name="hidCh8MandatoryMsg">'Ch8'!$X$2</definedName>
    <definedName name="hidCh8OverviewMsg">'Ch8'!$X$1</definedName>
    <definedName name="hidCh9ErrorsMsg">'Ch9'!$X$3</definedName>
    <definedName name="hidCh9MandatoryMsg">'Ch9'!$X$2</definedName>
    <definedName name="hidCh9OverviewMsg">'Ch9'!$X$1</definedName>
    <definedName name="hidFSMandatoryMsg">'Final Summary'!$F$18</definedName>
    <definedName name="hidFSOverviewMsg">'Final Summary'!$C$18</definedName>
    <definedName name="hidODClimateFormula">'Overview (Design)'!$N$15</definedName>
    <definedName name="hidODClimateLabel">'Overview (Design)'!$N$14</definedName>
    <definedName name="hidODCountyFormula">'Overview (Design)'!$L$15</definedName>
    <definedName name="hidODCountyLabel">'Overview (Design)'!$L$14</definedName>
    <definedName name="hidODMoistFormula">'Overview (Design)'!$O$15</definedName>
    <definedName name="hidODMoistLabel">'Overview (Design)'!$O$14</definedName>
    <definedName name="hidODNumberUnitsLabel">'Overview (Design)'!$A$19</definedName>
    <definedName name="hidODProjectNameLabel">'Overview (Design)'!$A$20</definedName>
    <definedName name="hidODStateFormula">'Overview (Design)'!$K$15</definedName>
    <definedName name="hidODStateLabel">'Overview (Design)'!$K$14</definedName>
    <definedName name="hidODTropicalFormula">'Overview (Design)'!$Q$15</definedName>
    <definedName name="hidODTropicalLabel">'Overview (Design)'!$Q$14</definedName>
    <definedName name="hidODWarmFormula">'Overview (Design)'!$P$15</definedName>
    <definedName name="hidODWarmLabel">'Overview (Design)'!$P$14</definedName>
    <definedName name="hidOVClimateFormula">'Overview (Verification)'!$W$13</definedName>
    <definedName name="hidOVClimateLabel">'Overview (Verification)'!$W$12</definedName>
    <definedName name="hidOVCountyFormula">'Overview (Verification)'!$U$13</definedName>
    <definedName name="hidOVCountyLabel">'Overview (Verification)'!$U$12</definedName>
    <definedName name="hidOVMoistFormula">'Overview (Verification)'!$X$13</definedName>
    <definedName name="hidOVMoistLabel">'Overview (Verification)'!$X$12</definedName>
    <definedName name="hidOVNumberUnitsLabel">'Overview (Verification)'!$A$17</definedName>
    <definedName name="hidOVProjectNameLabel">'Overview (Verification)'!$A$18</definedName>
    <definedName name="hidOVStateFormula">'Overview (Verification)'!$T$13</definedName>
    <definedName name="hidOVStateLabel">'Overview (Verification)'!$T$12</definedName>
    <definedName name="hidOVTropicalFormula">'Overview (Verification)'!$Z$13</definedName>
    <definedName name="hidOVTropicalLabel">'Overview (Verification)'!$Z$12</definedName>
    <definedName name="hidOVWarmFormula">'Overview (Verification)'!$Y$13</definedName>
    <definedName name="hidOVWarmLabel">'Overview (Verification)'!$Y$12</definedName>
    <definedName name="hidRSMandatoryMsg">'Rough Summary'!$F$18</definedName>
    <definedName name="hidRSOverviewMsg">'Rough Summary'!$C$18</definedName>
    <definedName name="hidVRErrorsMsg">'Verification Report'!$X$3</definedName>
    <definedName name="hidVRMandatoryMsg">'Verification Report'!$X$2</definedName>
    <definedName name="hidVROverviewMsg">'Verification Report'!$X$1</definedName>
    <definedName name="hyptarg1">'Ch6'!$W$126</definedName>
    <definedName name="hyptarg2">'Ch6'!$W$135</definedName>
    <definedName name="hyptarg3">'Ch6'!$W$211</definedName>
    <definedName name="hyptarg4">'Ch6'!$W$267</definedName>
    <definedName name="hyptarg5">'Ch6'!$W$416</definedName>
    <definedName name="hyptarg6">'Ch6'!$W$429</definedName>
    <definedName name="hyptarg7.1">'Ch7'!$W$91</definedName>
    <definedName name="hyptarg7.2">'Ch7'!$W$182</definedName>
    <definedName name="hyptarg7.26">'Ch7'!$W$376</definedName>
    <definedName name="hyptarg7.3">'Ch7'!$W$190</definedName>
    <definedName name="hyptarg7.4">'Ch7'!$W$198</definedName>
    <definedName name="hyptarg7.5">'Ch7'!$W$213</definedName>
    <definedName name="hyptarg8.1">'Ch8'!$W$12</definedName>
    <definedName name="hyptarg9.1">'Ch9'!$W$132</definedName>
    <definedName name="hyptarg9.2">'Ch9'!$W$134</definedName>
    <definedName name="hyptarg9.3">'Ch9'!$W$154</definedName>
    <definedName name="photoRevList">'Photo Review'!$H$9:$H$11</definedName>
    <definedName name="_xlnm.Print_Area" localSheetId="8">'Ch10'!$D$1:$X$188</definedName>
    <definedName name="_xlnm.Print_Area" localSheetId="3">'Ch5'!$A$1:$X$265</definedName>
    <definedName name="_xlnm.Print_Area" localSheetId="4">'Ch6'!$A$1:$X$518</definedName>
    <definedName name="_xlnm.Print_Area" localSheetId="6">'Ch8'!$A$1:$X$170</definedName>
    <definedName name="_xlnm.Print_Area" localSheetId="10">'Design Summ.'!$A$1:$M$26</definedName>
    <definedName name="_xlnm.Print_Area" localSheetId="18">'Final Summary'!$A$1:$I$182</definedName>
    <definedName name="_xlnm.Print_Area" localSheetId="1">'Overview (Design)'!$A$1:$U$64</definedName>
    <definedName name="_xlnm.Print_Area" localSheetId="14">'Overview (Verification)'!$A$1:$Y$62</definedName>
    <definedName name="_xlnm.Print_Area" localSheetId="9">'Req. Doc.'!$A$1:$J$2013</definedName>
    <definedName name="_xlnm.Print_Area" localSheetId="17">'Rough Summary'!$A$1:$I$183</definedName>
    <definedName name="_xlnm.Print_Area" localSheetId="15">'Verification Report'!$I$1:$Y$2015</definedName>
    <definedName name="ReportType">'Verification Report'!$L$5</definedName>
    <definedName name="rsgBatchSubmissionCity1">'Rough Summary'!$E$84</definedName>
    <definedName name="rsgBatchSubmissionCity10">'Rough Summary'!$E$93</definedName>
    <definedName name="rsgBatchSubmissionCity11">'Rough Summary'!$E$94</definedName>
    <definedName name="rsgBatchSubmissionCity12">'Rough Summary'!$E$95</definedName>
    <definedName name="rsgBatchSubmissionCity13">'Rough Summary'!$E$96</definedName>
    <definedName name="rsgBatchSubmissionCity14">'Rough Summary'!$E$97</definedName>
    <definedName name="rsgBatchSubmissionCity15">'Rough Summary'!$E$98</definedName>
    <definedName name="rsgBatchSubmissionCity16">'Rough Summary'!$E$99</definedName>
    <definedName name="rsgBatchSubmissionCity17">'Rough Summary'!$E$100</definedName>
    <definedName name="rsgBatchSubmissionCity18">'Rough Summary'!$E$101</definedName>
    <definedName name="rsgBatchSubmissionCity19">'Rough Summary'!$E$102</definedName>
    <definedName name="rsgBatchSubmissionCity2">'Rough Summary'!$E$85</definedName>
    <definedName name="rsgBatchSubmissionCity20">'Rough Summary'!$E$103</definedName>
    <definedName name="rsgBatchSubmissionCity21">'Rough Summary'!$E$104</definedName>
    <definedName name="rsgBatchSubmissionCity22">'Rough Summary'!$E$105</definedName>
    <definedName name="rsgBatchSubmissionCity23">'Rough Summary'!$E$106</definedName>
    <definedName name="rsgBatchSubmissionCity24">'Rough Summary'!$E$107</definedName>
    <definedName name="rsgBatchSubmissionCity25">'Rough Summary'!$E$108</definedName>
    <definedName name="rsgBatchSubmissionCity26">'Rough Summary'!$E$109</definedName>
    <definedName name="rsgBatchSubmissionCity27">'Rough Summary'!$E$110</definedName>
    <definedName name="rsgBatchSubmissionCity28">'Rough Summary'!$E$111</definedName>
    <definedName name="rsgBatchSubmissionCity29">'Rough Summary'!$E$112</definedName>
    <definedName name="rsgBatchSubmissionCity3">'Rough Summary'!$E$86</definedName>
    <definedName name="rsgBatchSubmissionCity30">'Rough Summary'!$E$113</definedName>
    <definedName name="rsgBatchSubmissionCity31">'Rough Summary'!$E$114</definedName>
    <definedName name="rsgBatchSubmissionCity32">'Rough Summary'!$E$115</definedName>
    <definedName name="rsgBatchSubmissionCity33">'Rough Summary'!$E$116</definedName>
    <definedName name="rsgBatchSubmissionCity34">'Rough Summary'!$E$117</definedName>
    <definedName name="rsgBatchSubmissionCity35">'Rough Summary'!$E$118</definedName>
    <definedName name="rsgBatchSubmissionCity36">'Rough Summary'!$E$119</definedName>
    <definedName name="rsgBatchSubmissionCity37">'Rough Summary'!$E$120</definedName>
    <definedName name="rsgBatchSubmissionCity38">'Rough Summary'!$E$121</definedName>
    <definedName name="rsgBatchSubmissionCity39">'Rough Summary'!$E$122</definedName>
    <definedName name="rsgBatchSubmissionCity4">'Rough Summary'!$E$87</definedName>
    <definedName name="rsgBatchSubmissionCity40">'Rough Summary'!$E$123</definedName>
    <definedName name="rsgBatchSubmissionCity41">'Rough Summary'!$E$124</definedName>
    <definedName name="rsgBatchSubmissionCity42">'Rough Summary'!$E$125</definedName>
    <definedName name="rsgBatchSubmissionCity43">'Rough Summary'!$E$126</definedName>
    <definedName name="rsgBatchSubmissionCity44">'Rough Summary'!$E$127</definedName>
    <definedName name="rsgBatchSubmissionCity45">'Rough Summary'!$E$128</definedName>
    <definedName name="rsgBatchSubmissionCity46">'Rough Summary'!$E$129</definedName>
    <definedName name="rsgBatchSubmissionCity47">'Rough Summary'!$E$130</definedName>
    <definedName name="rsgBatchSubmissionCity48">'Rough Summary'!$E$131</definedName>
    <definedName name="rsgBatchSubmissionCity49">'Rough Summary'!$E$132</definedName>
    <definedName name="rsgBatchSubmissionCity5">'Rough Summary'!$E$88</definedName>
    <definedName name="rsgBatchSubmissionCity50">'Rough Summary'!$E$133</definedName>
    <definedName name="rsgBatchSubmissionCity6">'Rough Summary'!$E$89</definedName>
    <definedName name="rsgBatchSubmissionCity7">'Rough Summary'!$E$90</definedName>
    <definedName name="rsgBatchSubmissionCity8">'Rough Summary'!$E$91</definedName>
    <definedName name="rsgBatchSubmissionCity9">'Rough Summary'!$E$92</definedName>
    <definedName name="rsgBatchSubmissionInspectionDate1">'Rough Summary'!$I$84</definedName>
    <definedName name="rsgBatchSubmissionInspectionDate10">'Rough Summary'!$I$93</definedName>
    <definedName name="rsgBatchSubmissionInspectionDate11">'Rough Summary'!$I$94</definedName>
    <definedName name="rsgBatchSubmissionInspectionDate12">'Rough Summary'!$I$95</definedName>
    <definedName name="rsgBatchSubmissionInspectionDate13">'Rough Summary'!$I$96</definedName>
    <definedName name="rsgBatchSubmissionInspectionDate14">'Rough Summary'!$I$97</definedName>
    <definedName name="rsgBatchSubmissionInspectionDate15">'Rough Summary'!$I$98</definedName>
    <definedName name="rsgBatchSubmissionInspectionDate16">'Rough Summary'!$I$99</definedName>
    <definedName name="rsgBatchSubmissionInspectionDate17">'Rough Summary'!$I$100</definedName>
    <definedName name="rsgBatchSubmissionInspectionDate18">'Rough Summary'!$I$101</definedName>
    <definedName name="rsgBatchSubmissionInspectionDate19">'Rough Summary'!$I$102</definedName>
    <definedName name="rsgBatchSubmissionInspectionDate2">'Rough Summary'!$I$85</definedName>
    <definedName name="rsgBatchSubmissionInspectionDate20">'Rough Summary'!$I$103</definedName>
    <definedName name="rsgBatchSubmissionInspectionDate21">'Final Summary'!$I$104</definedName>
    <definedName name="rsgBatchSubmissionInspectionDate22">'Final Summary'!$I$105</definedName>
    <definedName name="rsgBatchSubmissionInspectionDate23">'Final Summary'!$I$106</definedName>
    <definedName name="rsgBatchSubmissionInspectionDate24">'Final Summary'!$I$107</definedName>
    <definedName name="rsgBatchSubmissionInspectionDate25">'Final Summary'!$I$108</definedName>
    <definedName name="rsgBatchSubmissionInspectionDate26">'Final Summary'!$I$109</definedName>
    <definedName name="rsgBatchSubmissionInspectionDate27">'Final Summary'!$I$110</definedName>
    <definedName name="rsgBatchSubmissionInspectionDate28">'Final Summary'!$I$111</definedName>
    <definedName name="rsgBatchSubmissionInspectionDate29">'Final Summary'!$I$112</definedName>
    <definedName name="rsgBatchSubmissionInspectionDate3">'Rough Summary'!$I$86</definedName>
    <definedName name="rsgBatchSubmissionInspectionDate30">'Final Summary'!$I$113</definedName>
    <definedName name="rsgBatchSubmissionInspectionDate31">'Final Summary'!$I$114</definedName>
    <definedName name="rsgBatchSubmissionInspectionDate32">'Final Summary'!$I$115</definedName>
    <definedName name="rsgBatchSubmissionInspectionDate33">'Final Summary'!$I$116</definedName>
    <definedName name="rsgBatchSubmissionInspectionDate34">'Final Summary'!$I$117</definedName>
    <definedName name="rsgBatchSubmissionInspectionDate35">'Final Summary'!$I$118</definedName>
    <definedName name="rsgBatchSubmissionInspectionDate36">'Final Summary'!$I$119</definedName>
    <definedName name="rsgBatchSubmissionInspectionDate37">'Final Summary'!$I$120</definedName>
    <definedName name="rsgBatchSubmissionInspectionDate38">'Final Summary'!$I$121</definedName>
    <definedName name="rsgBatchSubmissionInspectionDate39">'Final Summary'!$I$122</definedName>
    <definedName name="rsgBatchSubmissionInspectionDate4">'Rough Summary'!$I$87</definedName>
    <definedName name="rsgBatchSubmissionInspectionDate40">'Final Summary'!$I$123</definedName>
    <definedName name="rsgBatchSubmissionInspectionDate41">'Final Summary'!$I$124</definedName>
    <definedName name="rsgBatchSubmissionInspectionDate42">'Final Summary'!$I$125</definedName>
    <definedName name="rsgBatchSubmissionInspectionDate43">'Final Summary'!$I$126</definedName>
    <definedName name="rsgBatchSubmissionInspectionDate44">'Final Summary'!$I$127</definedName>
    <definedName name="rsgBatchSubmissionInspectionDate45">'Final Summary'!$I$128</definedName>
    <definedName name="rsgBatchSubmissionInspectionDate46">'Final Summary'!$I$129</definedName>
    <definedName name="rsgBatchSubmissionInspectionDate47">'Final Summary'!$I$130</definedName>
    <definedName name="rsgBatchSubmissionInspectionDate48">'Final Summary'!$I$131</definedName>
    <definedName name="rsgBatchSubmissionInspectionDate49">'Final Summary'!$I$132</definedName>
    <definedName name="rsgBatchSubmissionInspectionDate5">'Rough Summary'!$I$88</definedName>
    <definedName name="rsgBatchSubmissionInspectionDate50">'Final Summary'!$I$133</definedName>
    <definedName name="rsgBatchSubmissionInspectionDate6">'Rough Summary'!$I$89</definedName>
    <definedName name="rsgBatchSubmissionInspectionDate7">'Rough Summary'!$I$90</definedName>
    <definedName name="rsgBatchSubmissionInspectionDate8">'Rough Summary'!$I$91</definedName>
    <definedName name="rsgBatchSubmissionInspectionDate9">'Rough Summary'!$I$92</definedName>
    <definedName name="rsgBatchSubmissionProjectID1">'Rough Summary'!$H$84</definedName>
    <definedName name="rsgBatchSubmissionProjectID10">'Rough Summary'!$H$93</definedName>
    <definedName name="rsgBatchSubmissionProjectID11">'Rough Summary'!$H$94</definedName>
    <definedName name="rsgBatchSubmissionProjectID12">'Rough Summary'!$H$95</definedName>
    <definedName name="rsgBatchSubmissionProjectID13">'Rough Summary'!$H$96</definedName>
    <definedName name="rsgBatchSubmissionProjectID14">'Rough Summary'!$H$97</definedName>
    <definedName name="rsgBatchSubmissionProjectID15">'Rough Summary'!$H$98</definedName>
    <definedName name="rsgBatchSubmissionProjectID16">'Rough Summary'!$H$99</definedName>
    <definedName name="rsgBatchSubmissionProjectID17">'Rough Summary'!$H$100</definedName>
    <definedName name="rsgBatchSubmissionProjectID18">'Rough Summary'!$H$101</definedName>
    <definedName name="rsgBatchSubmissionProjectID19">'Rough Summary'!$H$102</definedName>
    <definedName name="rsgBatchSubmissionProjectID2">'Rough Summary'!$H$85</definedName>
    <definedName name="rsgBatchSubmissionProjectID20">'Rough Summary'!$H$103</definedName>
    <definedName name="rsgBatchSubmissionProjectID21">'Rough Summary'!$H$104</definedName>
    <definedName name="rsgBatchSubmissionProjectID22">'Rough Summary'!$H$105</definedName>
    <definedName name="rsgBatchSubmissionProjectID23">'Rough Summary'!$H$106</definedName>
    <definedName name="rsgBatchSubmissionProjectID24">'Rough Summary'!$H$107</definedName>
    <definedName name="rsgBatchSubmissionProjectID25">'Rough Summary'!$H$108</definedName>
    <definedName name="rsgBatchSubmissionProjectID26">'Rough Summary'!$H$109</definedName>
    <definedName name="rsgBatchSubmissionProjectID27">'Rough Summary'!$H$110</definedName>
    <definedName name="rsgBatchSubmissionProjectID28">'Rough Summary'!$H$111</definedName>
    <definedName name="rsgBatchSubmissionProjectID29">'Rough Summary'!$H$112</definedName>
    <definedName name="rsgBatchSubmissionProjectID3">'Rough Summary'!$H$86</definedName>
    <definedName name="rsgBatchSubmissionProjectID30">'Rough Summary'!$H$113</definedName>
    <definedName name="rsgBatchSubmissionProjectID31">'Rough Summary'!$H$114</definedName>
    <definedName name="rsgBatchSubmissionProjectID32">'Rough Summary'!$H$115</definedName>
    <definedName name="rsgBatchSubmissionProjectID33">'Rough Summary'!$H$116</definedName>
    <definedName name="rsgBatchSubmissionProjectID34">'Rough Summary'!$H$117</definedName>
    <definedName name="rsgBatchSubmissionProjectID35">'Rough Summary'!$H$118</definedName>
    <definedName name="rsgBatchSubmissionProjectID36">'Rough Summary'!$H$119</definedName>
    <definedName name="rsgBatchSubmissionProjectID37">'Rough Summary'!$H$120</definedName>
    <definedName name="rsgBatchSubmissionProjectID38">'Rough Summary'!$H$121</definedName>
    <definedName name="rsgBatchSubmissionProjectID39">'Rough Summary'!$H$122</definedName>
    <definedName name="rsgBatchSubmissionProjectID4">'Rough Summary'!$H$87</definedName>
    <definedName name="rsgBatchSubmissionProjectID40">'Rough Summary'!$H$123</definedName>
    <definedName name="rsgBatchSubmissionProjectID41">'Rough Summary'!$H$124</definedName>
    <definedName name="rsgBatchSubmissionProjectID42">'Rough Summary'!$H$125</definedName>
    <definedName name="rsgBatchSubmissionProjectID43">'Rough Summary'!$H$126</definedName>
    <definedName name="rsgBatchSubmissionProjectID44">'Rough Summary'!$H$127</definedName>
    <definedName name="rsgBatchSubmissionProjectID45">'Rough Summary'!$H$128</definedName>
    <definedName name="rsgBatchSubmissionProjectID46">'Rough Summary'!$H$129</definedName>
    <definedName name="rsgBatchSubmissionProjectID47">'Rough Summary'!$H$130</definedName>
    <definedName name="rsgBatchSubmissionProjectID48">'Rough Summary'!$H$131</definedName>
    <definedName name="rsgBatchSubmissionProjectID49">'Rough Summary'!$H$132</definedName>
    <definedName name="rsgBatchSubmissionProjectID5">'Rough Summary'!$H$88</definedName>
    <definedName name="rsgBatchSubmissionProjectID50">'Rough Summary'!$H$133</definedName>
    <definedName name="rsgBatchSubmissionProjectID6">'Rough Summary'!$H$89</definedName>
    <definedName name="rsgBatchSubmissionProjectID7">'Rough Summary'!$H$90</definedName>
    <definedName name="rsgBatchSubmissionProjectID8">'Rough Summary'!$H$91</definedName>
    <definedName name="rsgBatchSubmissionProjectID9">'Rough Summary'!$H$92</definedName>
    <definedName name="rsgBatchSubmissionRoughAddress1">'Rough Summary'!$C$84</definedName>
    <definedName name="rsgBatchSubmissionRoughAddress10">'Rough Summary'!$C$93</definedName>
    <definedName name="rsgBatchSubmissionRoughAddress11">'Rough Summary'!$C$94</definedName>
    <definedName name="rsgBatchSubmissionRoughAddress12">'Rough Summary'!$C$95</definedName>
    <definedName name="rsgBatchSubmissionRoughAddress13">'Rough Summary'!$C$96</definedName>
    <definedName name="rsgBatchSubmissionRoughAddress14">'Rough Summary'!$C$97</definedName>
    <definedName name="rsgBatchSubmissionRoughAddress15">'Rough Summary'!$C$98</definedName>
    <definedName name="rsgBatchSubmissionRoughAddress16">'Rough Summary'!$C$99</definedName>
    <definedName name="rsgBatchSubmissionRoughAddress17">'Rough Summary'!$C$100</definedName>
    <definedName name="rsgBatchSubmissionRoughAddress18">'Rough Summary'!$C$101</definedName>
    <definedName name="rsgBatchSubmissionRoughAddress19">'Rough Summary'!$C$102</definedName>
    <definedName name="rsgBatchSubmissionRoughAddress2">'Rough Summary'!$C$85</definedName>
    <definedName name="rsgBatchSubmissionRoughAddress20">'Rough Summary'!$C$103</definedName>
    <definedName name="rsgBatchSubmissionRoughAddress21">'Rough Summary'!$C$104</definedName>
    <definedName name="rsgBatchSubmissionRoughAddress22">'Rough Summary'!$C$105</definedName>
    <definedName name="rsgBatchSubmissionRoughAddress23">'Rough Summary'!$C$106</definedName>
    <definedName name="rsgBatchSubmissionRoughAddress24">'Rough Summary'!$C$107</definedName>
    <definedName name="rsgBatchSubmissionRoughAddress25">'Rough Summary'!$C$108</definedName>
    <definedName name="rsgBatchSubmissionRoughAddress26">'Rough Summary'!$C$109</definedName>
    <definedName name="rsgBatchSubmissionRoughAddress27">'Rough Summary'!$C$110</definedName>
    <definedName name="rsgBatchSubmissionRoughAddress28">'Rough Summary'!$C$111</definedName>
    <definedName name="rsgBatchSubmissionRoughAddress29">'Rough Summary'!$C$112</definedName>
    <definedName name="rsgBatchSubmissionRoughAddress3">'Rough Summary'!$C$86</definedName>
    <definedName name="rsgBatchSubmissionRoughAddress30">'Rough Summary'!$C$113</definedName>
    <definedName name="rsgBatchSubmissionRoughAddress31">'Rough Summary'!$C$114</definedName>
    <definedName name="rsgBatchSubmissionRoughAddress32">'Rough Summary'!$C$115</definedName>
    <definedName name="rsgBatchSubmissionRoughAddress33">'Rough Summary'!$C$116</definedName>
    <definedName name="rsgBatchSubmissionRoughAddress34">'Rough Summary'!$C$117</definedName>
    <definedName name="rsgBatchSubmissionRoughAddress35">'Rough Summary'!$C$118</definedName>
    <definedName name="rsgBatchSubmissionRoughAddress36">'Rough Summary'!$C$119</definedName>
    <definedName name="rsgBatchSubmissionRoughAddress37">'Rough Summary'!$C$120</definedName>
    <definedName name="rsgBatchSubmissionRoughAddress38">'Rough Summary'!$C$121</definedName>
    <definedName name="rsgBatchSubmissionRoughAddress39">'Rough Summary'!$C$122</definedName>
    <definedName name="rsgBatchSubmissionRoughAddress4">'Rough Summary'!$C$87</definedName>
    <definedName name="rsgBatchSubmissionRoughAddress40">'Rough Summary'!$C$123</definedName>
    <definedName name="rsgBatchSubmissionRoughAddress41">'Rough Summary'!$C$124</definedName>
    <definedName name="rsgBatchSubmissionRoughAddress42">'Rough Summary'!$C$125</definedName>
    <definedName name="rsgBatchSubmissionRoughAddress43">'Rough Summary'!$C$126</definedName>
    <definedName name="rsgBatchSubmissionRoughAddress44">'Rough Summary'!$C$127</definedName>
    <definedName name="rsgBatchSubmissionRoughAddress45">'Rough Summary'!$C$128</definedName>
    <definedName name="rsgBatchSubmissionRoughAddress46">'Rough Summary'!$C$129</definedName>
    <definedName name="rsgBatchSubmissionRoughAddress47">'Rough Summary'!$C$130</definedName>
    <definedName name="rsgBatchSubmissionRoughAddress48">'Rough Summary'!$C$131</definedName>
    <definedName name="rsgBatchSubmissionRoughAddress49">'Rough Summary'!$C$132</definedName>
    <definedName name="rsgBatchSubmissionRoughAddress5">'Rough Summary'!$C$88</definedName>
    <definedName name="rsgBatchSubmissionRoughAddress50">'Rough Summary'!$C$133</definedName>
    <definedName name="rsgBatchSubmissionRoughAddress6">'Rough Summary'!$C$89</definedName>
    <definedName name="rsgBatchSubmissionRoughAddress7">'Rough Summary'!$C$90</definedName>
    <definedName name="rsgBatchSubmissionRoughAddress8">'Rough Summary'!$C$91</definedName>
    <definedName name="rsgBatchSubmissionRoughAddress9">'Rough Summary'!$C$92</definedName>
    <definedName name="rsgBatchSubmissionZIP1">'Rough Summary'!$G$84</definedName>
    <definedName name="rsgBatchSubmissionZIP10">'Rough Summary'!$G$93</definedName>
    <definedName name="rsgBatchSubmissionZIP11">'Rough Summary'!$G$94</definedName>
    <definedName name="rsgBatchSubmissionZIP12">'Rough Summary'!$G$95</definedName>
    <definedName name="rsgBatchSubmissionZIP13">'Rough Summary'!$G$96</definedName>
    <definedName name="rsgBatchSubmissionZIP14">'Rough Summary'!$G$97</definedName>
    <definedName name="rsgBatchSubmissionZIP15">'Rough Summary'!$G$98</definedName>
    <definedName name="rsgBatchSubmissionZIP16">'Rough Summary'!$G$99</definedName>
    <definedName name="rsgBatchSubmissionZIP17">'Rough Summary'!$G$100</definedName>
    <definedName name="rsgBatchSubmissionZIP18">'Rough Summary'!$G$101</definedName>
    <definedName name="rsgBatchSubmissionZIP19">'Rough Summary'!$G$102</definedName>
    <definedName name="rsgBatchSubmissionZIP2">'Rough Summary'!$G$85</definedName>
    <definedName name="rsgBatchSubmissionZIP20">'Rough Summary'!$G$103</definedName>
    <definedName name="rsgBatchSubmissionZIP21">'Rough Summary'!$G$104</definedName>
    <definedName name="rsgBatchSubmissionZIP22">'Rough Summary'!$G$105</definedName>
    <definedName name="rsgBatchSubmissionZIP23">'Rough Summary'!$G$106</definedName>
    <definedName name="rsgBatchSubmissionZIP24">'Rough Summary'!$G$107</definedName>
    <definedName name="rsgBatchSubmissionZIP25">'Rough Summary'!$G$108</definedName>
    <definedName name="rsgBatchSubmissionZIP26">'Rough Summary'!$G$109</definedName>
    <definedName name="rsgBatchSubmissionZIP27">'Rough Summary'!$G$110</definedName>
    <definedName name="rsgBatchSubmissionZIP28">'Rough Summary'!$G$111</definedName>
    <definedName name="rsgBatchSubmissionZIP29">'Rough Summary'!$G$112</definedName>
    <definedName name="rsgBatchSubmissionZIP3">'Rough Summary'!$G$86</definedName>
    <definedName name="rsgBatchSubmissionZIP30">'Rough Summary'!$G$113</definedName>
    <definedName name="rsgBatchSubmissionZIP31">'Rough Summary'!$G$114</definedName>
    <definedName name="rsgBatchSubmissionZIP32">'Rough Summary'!$G$115</definedName>
    <definedName name="rsgBatchSubmissionZIP33">'Rough Summary'!$G$116</definedName>
    <definedName name="rsgBatchSubmissionZIP34">'Rough Summary'!$G$117</definedName>
    <definedName name="rsgBatchSubmissionZIP35">'Rough Summary'!$G$118</definedName>
    <definedName name="rsgBatchSubmissionZIP36">'Rough Summary'!$G$119</definedName>
    <definedName name="rsgBatchSubmissionZIP37">'Rough Summary'!$G$120</definedName>
    <definedName name="rsgBatchSubmissionZIP38">'Rough Summary'!$G$121</definedName>
    <definedName name="rsgBatchSubmissionZIP39">'Rough Summary'!$G$122</definedName>
    <definedName name="rsgBatchSubmissionZIP4">'Rough Summary'!$G$87</definedName>
    <definedName name="rsgBatchSubmissionZIP40">'Rough Summary'!$G$123</definedName>
    <definedName name="rsgBatchSubmissionZIP41">'Rough Summary'!$G$124</definedName>
    <definedName name="rsgBatchSubmissionZIP42">'Rough Summary'!$G$125</definedName>
    <definedName name="rsgBatchSubmissionZIP43">'Rough Summary'!$G$126</definedName>
    <definedName name="rsgBatchSubmissionZIP44">'Rough Summary'!$G$127</definedName>
    <definedName name="rsgBatchSubmissionZIP45">'Rough Summary'!$G$128</definedName>
    <definedName name="rsgBatchSubmissionZIP46">'Rough Summary'!$G$129</definedName>
    <definedName name="rsgBatchSubmissionZIP47">'Rough Summary'!$G$130</definedName>
    <definedName name="rsgBatchSubmissionZIP48">'Rough Summary'!$G$131</definedName>
    <definedName name="rsgBatchSubmissionZIP49">'Rough Summary'!$G$132</definedName>
    <definedName name="rsgBatchSubmissionZIP5">'Rough Summary'!$G$88</definedName>
    <definedName name="rsgBatchSubmissionZIP50">'Rough Summary'!$G$133</definedName>
    <definedName name="rsgBatchSubmissionZIP6">'Rough Summary'!$G$89</definedName>
    <definedName name="rsgBatchSubmissionZIP7">'Rough Summary'!$G$90</definedName>
    <definedName name="rsgBatchSubmissionZIP8">'Rough Summary'!$G$91</definedName>
    <definedName name="rsgBatchSubmissionZIP9">'Rough Summary'!$G$92</definedName>
    <definedName name="rsgBuilderComments">'Rough Summary'!$C$37</definedName>
    <definedName name="rsgBuilderDate">'Rough Summary'!$C$47</definedName>
    <definedName name="rsgBuilderEmail">'Rough Summary'!$C$43</definedName>
    <definedName name="rsgBuilderName">'Rough Summary'!$C$41</definedName>
    <definedName name="rsgBuilderPhone">'Rough Summary'!$C$45</definedName>
    <definedName name="rsgSampleDate1">'Rough Summary'!$C$161</definedName>
    <definedName name="rsgSampleDate10">'Rough Summary'!$C$170</definedName>
    <definedName name="rsgSampleDate11">'Rough Summary'!$C$171</definedName>
    <definedName name="rsgSampleDate12">'Rough Summary'!$C$172</definedName>
    <definedName name="rsgSampleDate13">'Rough Summary'!$C$173</definedName>
    <definedName name="rsgSampleDate14">'Rough Summary'!$C$174</definedName>
    <definedName name="rsgSampleDate15">'Rough Summary'!$C$175</definedName>
    <definedName name="rsgSampleDate16">'Rough Summary'!$C$176</definedName>
    <definedName name="rsgSampleDate2">'Rough Summary'!$C$162</definedName>
    <definedName name="rsgSampleDate3">'Rough Summary'!$C$163</definedName>
    <definedName name="rsgSampleDate4">'Rough Summary'!$C$164</definedName>
    <definedName name="rsgSampleDate5">'Rough Summary'!$C$165</definedName>
    <definedName name="rsgSampleDate6">'Rough Summary'!$C$166</definedName>
    <definedName name="rsgSampleDate7">'Rough Summary'!$C$167</definedName>
    <definedName name="rsgSampleDate8">'Rough Summary'!$C$168</definedName>
    <definedName name="rsgSampleDate9">'Rough Summary'!$C$169</definedName>
    <definedName name="rsgSampleNotes1">'Rough Summary'!$F$161</definedName>
    <definedName name="rsgSampleNotes10">'Rough Summary'!$F$170</definedName>
    <definedName name="rsgSampleNotes11">'Rough Summary'!$F$171</definedName>
    <definedName name="rsgSampleNotes12">'Rough Summary'!$F$172</definedName>
    <definedName name="rsgSampleNotes13">'Rough Summary'!$F$173</definedName>
    <definedName name="rsgSampleNotes14">'Rough Summary'!$F$174</definedName>
    <definedName name="rsgSampleNotes15">'Rough Summary'!$F$175</definedName>
    <definedName name="rsgSampleNotes16">'Rough Summary'!$F$176</definedName>
    <definedName name="rsgSampleNotes2">'Rough Summary'!$F$162</definedName>
    <definedName name="rsgSampleNotes3">'Rough Summary'!$F$163</definedName>
    <definedName name="rsgSampleNotes4">'Rough Summary'!$F$164</definedName>
    <definedName name="rsgSampleNotes5">'Rough Summary'!$F$165</definedName>
    <definedName name="rsgSampleNotes6">'Rough Summary'!$F$166</definedName>
    <definedName name="rsgSampleNotes7">'Rough Summary'!$F$167</definedName>
    <definedName name="rsgSampleNotes8">'Rough Summary'!$F$168</definedName>
    <definedName name="rsgSampleNotes9">'Rough Summary'!$F$169</definedName>
    <definedName name="rsgSampleUnitsAvailable1">'Rough Summary'!$D$161</definedName>
    <definedName name="rsgSampleUnitsAvailable10">'Rough Summary'!$D$170</definedName>
    <definedName name="rsgSampleUnitsAvailable11">'Rough Summary'!$D$171</definedName>
    <definedName name="rsgSampleUnitsAvailable12">'Rough Summary'!$D$172</definedName>
    <definedName name="rsgSampleUnitsAvailable13">'Rough Summary'!$D$173</definedName>
    <definedName name="rsgSampleUnitsAvailable14">'Rough Summary'!$D$174</definedName>
    <definedName name="rsgSampleUnitsAvailable15">'Rough Summary'!$D$175</definedName>
    <definedName name="rsgSampleUnitsAvailable16">'Rough Summary'!$D$176</definedName>
    <definedName name="rsgSampleUnitsAvailable2">'Rough Summary'!$D$162</definedName>
    <definedName name="rsgSampleUnitsAvailable3">'Rough Summary'!$D$163</definedName>
    <definedName name="rsgSampleUnitsAvailable4">'Rough Summary'!$D$164</definedName>
    <definedName name="rsgSampleUnitsAvailable5">'Rough Summary'!$D$165</definedName>
    <definedName name="rsgSampleUnitsAvailable6">'Rough Summary'!$D$166</definedName>
    <definedName name="rsgSampleUnitsAvailable7">'Rough Summary'!$D$167</definedName>
    <definedName name="rsgSampleUnitsAvailable8">'Rough Summary'!$D$168</definedName>
    <definedName name="rsgSampleUnitsAvailable9">'Rough Summary'!$D$169</definedName>
    <definedName name="rsgSampleUnitsInspected1">'Rough Summary'!$E$161</definedName>
    <definedName name="rsgSampleUnitsInspected10">'Rough Summary'!$E$170</definedName>
    <definedName name="rsgSampleUnitsInspected11">'Rough Summary'!$E$171</definedName>
    <definedName name="rsgSampleUnitsInspected12">'Rough Summary'!$E$172</definedName>
    <definedName name="rsgSampleUnitsInspected13">'Rough Summary'!$E$173</definedName>
    <definedName name="rsgSampleUnitsInspected14">'Rough Summary'!$E$174</definedName>
    <definedName name="rsgSampleUnitsInspected15">'Rough Summary'!$E$175</definedName>
    <definedName name="rsgSampleUnitsInspected16">'Rough Summary'!$E$176</definedName>
    <definedName name="rsgSampleUnitsInspected2">'Rough Summary'!$E$162</definedName>
    <definedName name="rsgSampleUnitsInspected3">'Rough Summary'!$E$163</definedName>
    <definedName name="rsgSampleUnitsInspected4">'Rough Summary'!$E$164</definedName>
    <definedName name="rsgSampleUnitsInspected5">'Rough Summary'!$E$165</definedName>
    <definedName name="rsgSampleUnitsInspected6">'Rough Summary'!$E$166</definedName>
    <definedName name="rsgSampleUnitsInspected7">'Rough Summary'!$E$167</definedName>
    <definedName name="rsgSampleUnitsInspected8">'Rough Summary'!$E$168</definedName>
    <definedName name="rsgSampleUnitsInspected9">'Rough Summary'!$E$169</definedName>
    <definedName name="rsgTeamVerifierElementsVerified1">'Rough Summary'!$E$72</definedName>
    <definedName name="rsgTeamVerifierElementsVerified2">'Rough Summary'!$E$73</definedName>
    <definedName name="rsgTeamVerifierElementsVerified3">'Rough Summary'!$E$74</definedName>
    <definedName name="rsgTeamVerifierElementsVerified4">'Rough Summary'!$E$75</definedName>
    <definedName name="rsgTeamVerifierElementsVerified5">'Rough Summary'!$E$76</definedName>
    <definedName name="rsgTeamVerifierInspectionDate1">'Rough Summary'!$G$72</definedName>
    <definedName name="rsgTeamVerifierInspectionDate2">'Rough Summary'!$G$73</definedName>
    <definedName name="rsgTeamVerifierInspectionDate3">'Rough Summary'!$G$74</definedName>
    <definedName name="rsgTeamVerifierInspectionDate4">'Rough Summary'!$G$75</definedName>
    <definedName name="rsgTeamVerifierInspectionDate5">'Rough Summary'!$G$76</definedName>
    <definedName name="rsgTeamVerifierName1">'Rough Summary'!$C$72</definedName>
    <definedName name="rsgTeamVerifierName2">'Rough Summary'!$C$73</definedName>
    <definedName name="rsgTeamVerifierName3">'Rough Summary'!$C$74</definedName>
    <definedName name="rsgTeamVerifierName4">'Rough Summary'!$C$75</definedName>
    <definedName name="rsgTeamVerifierName5">'Rough Summary'!$C$76</definedName>
    <definedName name="rsgTeamVerifierRole1">'Rough Summary'!$D$72</definedName>
    <definedName name="rsgTeamVerifierRole2">'Rough Summary'!$D$73</definedName>
    <definedName name="rsgTeamVerifierRole3">'Rough Summary'!$D$74</definedName>
    <definedName name="rsgTeamVerifierRole4">'Rough Summary'!$D$75</definedName>
    <definedName name="rsgTeamVerifierRole5">'Rough Summary'!$D$76</definedName>
    <definedName name="rsgVerifierComments">'Rough Summary'!$C$51</definedName>
    <definedName name="rsgVerifierDate">'Rough Summary'!$C$65</definedName>
    <definedName name="rsgVerifierEmail">'Rough Summary'!$C$57</definedName>
    <definedName name="rsgVerifierEndTime">'Rough Summary'!$C$63</definedName>
    <definedName name="rsgVerifierName">'Rough Summary'!$C$55</definedName>
    <definedName name="rsgVerifierPhone">'Rough Summary'!$C$59</definedName>
    <definedName name="rsgVerifierStartTime">'Rough Summary'!$C$61</definedName>
    <definedName name="startError">Points!$B$3</definedName>
    <definedName name="TorF">Dropdowns!$B$5:$B$6</definedName>
    <definedName name="vch1001_1_1">'Verification Report'!$AQ$1843</definedName>
    <definedName name="vch1001_1_10">'Verification Report'!$AQ$1858</definedName>
    <definedName name="vch1001_1_11">'Verification Report'!$AQ$1859</definedName>
    <definedName name="vch1001_1_12">'Verification Report'!$AQ$1860</definedName>
    <definedName name="vch1001_1_13">'Verification Report'!$AQ$1866</definedName>
    <definedName name="vch1001_1_14">'Verification Report'!$AQ$1870</definedName>
    <definedName name="vch1001_1_15">'Verification Report'!$AQ$1872</definedName>
    <definedName name="vch1001_1_16">'Verification Report'!$AQ$1874</definedName>
    <definedName name="vch1001_1_17">'Verification Report'!$AQ$1875</definedName>
    <definedName name="vch1001_1_18">'Verification Report'!$AQ$1877</definedName>
    <definedName name="vch1001_1_19">'Verification Report'!$AQ$1879</definedName>
    <definedName name="vch1001_1_2">'Verification Report'!$AQ$1844</definedName>
    <definedName name="vch1001_1_20">'Verification Report'!$AQ$1880</definedName>
    <definedName name="vch1001_1_21">'Verification Report'!$AQ$1882</definedName>
    <definedName name="vch1001_1_22">'Verification Report'!$AQ$1884</definedName>
    <definedName name="vch1001_1_23">'Verification Report'!$AQ$1886</definedName>
    <definedName name="vch1001_1_24">'Verification Report'!$AQ$1887</definedName>
    <definedName name="vch1001_1_3">'Verification Report'!$AQ$1845</definedName>
    <definedName name="vch1001_1_4">'Verification Report'!$AQ$1849</definedName>
    <definedName name="vch1001_1_5">'Verification Report'!$AQ$1850</definedName>
    <definedName name="vch1001_1_6">'Verification Report'!$AQ$1851</definedName>
    <definedName name="vch1001_1_7">'Verification Report'!$AQ$1853</definedName>
    <definedName name="vch1001_1_8">'Verification Report'!$AQ$1855</definedName>
    <definedName name="vch1001_1_9">'Verification Report'!$AQ$1856</definedName>
    <definedName name="vch1001_2">'Verification Report'!$AQ$1888</definedName>
    <definedName name="vch1002_1_1">'Verification Report'!$AQ$1909</definedName>
    <definedName name="vch1002_1_2">'Verification Report'!$AQ$1912</definedName>
    <definedName name="vch1002_1_3">'Verification Report'!$AQ$1915</definedName>
    <definedName name="vch1002_1_4">'Verification Report'!$AQ$1917</definedName>
    <definedName name="vch1002_1_5">'Verification Report'!$AQ$1918</definedName>
    <definedName name="vch1002_1_6">'Verification Report'!$AQ$1920</definedName>
    <definedName name="vch1002_1_7">'Verification Report'!$AQ$1921</definedName>
    <definedName name="vch1002_1_8">'Verification Report'!$AQ$1922</definedName>
    <definedName name="vch1002_2_1">'Verification Report'!$AQ$1928</definedName>
    <definedName name="vch1002_2_10">'Verification Report'!$AQ$1946</definedName>
    <definedName name="vch1002_2_11">'Verification Report'!$AQ$1949</definedName>
    <definedName name="vch1002_2_2">'Verification Report'!$AQ$1930</definedName>
    <definedName name="vch1002_2_3">'Verification Report'!$AQ$1933</definedName>
    <definedName name="vch1002_2_4">'Verification Report'!$AQ$1935</definedName>
    <definedName name="vch1002_2_5">'Verification Report'!$AQ$1938</definedName>
    <definedName name="vch1002_2_6">'Verification Report'!$AQ$1940</definedName>
    <definedName name="vch1002_2_7">'Verification Report'!$AQ$1941</definedName>
    <definedName name="vch1002_2_8">'Verification Report'!$AQ$1943</definedName>
    <definedName name="vch1002_2_9">'Verification Report'!$AQ$1945</definedName>
    <definedName name="vch1002_3_1">'Verification Report'!$AQ$1955</definedName>
    <definedName name="vch1002_3_10">'Verification Report'!$AQ$1976</definedName>
    <definedName name="vch1002_3_2">'Verification Report'!$AQ$1957</definedName>
    <definedName name="vch1002_3_3">'Verification Report'!$AQ$1961</definedName>
    <definedName name="vch1002_3_4">'Verification Report'!$AQ$1968</definedName>
    <definedName name="vch1002_3_5">'Verification Report'!$AQ$1970</definedName>
    <definedName name="vch1002_3_6">'Verification Report'!$AQ$1971</definedName>
    <definedName name="vch1002_3_7">'Verification Report'!$AQ$1973</definedName>
    <definedName name="vch1002_3_8">'Verification Report'!$AQ$1974</definedName>
    <definedName name="vch1002_3_9">'Verification Report'!$AQ$1975</definedName>
    <definedName name="vch1002_4">'Verification Report'!$AQ$1977</definedName>
    <definedName name="vch1003_1_1">'Verification Report'!$AQ$1994</definedName>
    <definedName name="vch1003_1_2">'Verification Report'!$AQ$1996</definedName>
    <definedName name="vch1003_1_3">'Verification Report'!$AQ$1999</definedName>
    <definedName name="vch1004_1_1">'Verification Report'!$AQ$2012</definedName>
    <definedName name="vch1004_1_2">'Verification Report'!$AQ$2014</definedName>
    <definedName name="vch501_1_1">'Verification Report'!$AQ$14</definedName>
    <definedName name="vch501_1_2_a">'Verification Report'!$AQ$16</definedName>
    <definedName name="vch501_1_2_b">'Verification Report'!$AQ$17</definedName>
    <definedName name="vch501_1_2_c">'Verification Report'!$AQ$18</definedName>
    <definedName name="vch501_2_1">'Verification Report'!$AQ$21</definedName>
    <definedName name="vch501_2_2">'Verification Report'!$AQ$23</definedName>
    <definedName name="vch501_2_3">'Verification Report'!$AQ$25</definedName>
    <definedName name="vch501_2_4">'Verification Report'!$AQ$27</definedName>
    <definedName name="vch501_2_5">'Verification Report'!$AQ$36</definedName>
    <definedName name="vch501_2_6">'Verification Report'!$AQ$39</definedName>
    <definedName name="vch502_1">'Verification Report'!$AQ$45</definedName>
    <definedName name="vch503_1_1">'Verification Report'!$AQ$56</definedName>
    <definedName name="vch503_1_2">'Verification Report'!$AQ$57</definedName>
    <definedName name="vch503_1_3">'Verification Report'!$AQ$59</definedName>
    <definedName name="vch503_1_4">'Verification Report'!$AQ$61</definedName>
    <definedName name="vch503_1_5">'Verification Report'!$AQ$62</definedName>
    <definedName name="vch503_1_6">'Verification Report'!$AQ$63</definedName>
    <definedName name="vch503_1_7">'Verification Report'!$AQ$65</definedName>
    <definedName name="vch503_2">'Verification Report'!$AQ$68</definedName>
    <definedName name="vch503_2_1">'Verification Report'!$AQ$69</definedName>
    <definedName name="vch503_2_2">'Verification Report'!$AQ$70</definedName>
    <definedName name="vch503_2_3">'Verification Report'!$AQ$72</definedName>
    <definedName name="vch503_2_4">'Verification Report'!$AQ$77</definedName>
    <definedName name="vch503_2_5">'Verification Report'!$AQ$79</definedName>
    <definedName name="vch503_3_1">'Verification Report'!$AQ$83</definedName>
    <definedName name="vch503_3_2_a">'Verification Report'!$AQ$87</definedName>
    <definedName name="vch503_3_2_b">'Verification Report'!$AQ$88</definedName>
    <definedName name="vch503_3_2_c">'Verification Report'!$AQ$90</definedName>
    <definedName name="vch503_3_2_d">'Verification Report'!$AQ$91</definedName>
    <definedName name="vch503_3_3">'Verification Report'!$AQ$92</definedName>
    <definedName name="vch503_4_1">'Verification Report'!$AQ$100</definedName>
    <definedName name="vch503_4_2">'Verification Report'!$AQ$103</definedName>
    <definedName name="vch503_4_3">'Verification Report'!$AQ$107</definedName>
    <definedName name="vch503_4_4">'Verification Report'!$AQ$114</definedName>
    <definedName name="vch503_5">'Verification Report'!$AQ$121</definedName>
    <definedName name="vch503_5_1">'Verification Report'!$AQ$123</definedName>
    <definedName name="vch503_5_10">'Verification Report'!$AQ$151</definedName>
    <definedName name="vch503_5_11">'Verification Report'!$AQ$153</definedName>
    <definedName name="vch503_5_12">'Verification Report'!$AQ$155</definedName>
    <definedName name="vch503_5_2">'Verification Report'!$AQ$129</definedName>
    <definedName name="vch503_5_3">'Verification Report'!$AQ$131</definedName>
    <definedName name="vch503_5_4">'Verification Report'!$AQ$133</definedName>
    <definedName name="vch503_5_5">'Verification Report'!$AQ$135</definedName>
    <definedName name="vch503_5_6">'Verification Report'!$AQ$140</definedName>
    <definedName name="vch503_5_7">'Verification Report'!$AQ$141</definedName>
    <definedName name="vch503_5_8">'Verification Report'!$AQ$146</definedName>
    <definedName name="vch503_5_9">'Verification Report'!$AQ$148</definedName>
    <definedName name="vch503_6_1">'Verification Report'!$AQ$159</definedName>
    <definedName name="vch503_6_2">'Verification Report'!$AQ$160</definedName>
    <definedName name="vch503_6_3">'Verification Report'!$AQ$161</definedName>
    <definedName name="vch503_6_4">'Verification Report'!$AQ$163</definedName>
    <definedName name="vch503_7">'Verification Report'!$AQ$164</definedName>
    <definedName name="vch503_8">'Verification Report'!$AQ$170</definedName>
    <definedName name="vch504_1">'Verification Report'!$AQ$178</definedName>
    <definedName name="vch504_2_1">'Verification Report'!$AQ$185</definedName>
    <definedName name="vch504_2_2">'Verification Report'!$AQ$186</definedName>
    <definedName name="vch504_2_3">'Verification Report'!$AQ$188</definedName>
    <definedName name="vch504_3_1">'Verification Report'!$AQ$193</definedName>
    <definedName name="vch504_3_2">'Verification Report'!$AQ$195</definedName>
    <definedName name="vch504_3_3">'Verification Report'!$AQ$196</definedName>
    <definedName name="vch504_3_4">'Verification Report'!$AQ$198</definedName>
    <definedName name="vch504_3_5">'Verification Report'!$AQ$200</definedName>
    <definedName name="vch504_3_6">'Verification Report'!$AQ$204</definedName>
    <definedName name="vch504_3_7">'Verification Report'!$AQ$207</definedName>
    <definedName name="vch504_3_8a">'Verification Report'!$AQ$209</definedName>
    <definedName name="vch504_3_8b">'Verification Report'!$AQ$210</definedName>
    <definedName name="vch504_3_8c">'Verification Report'!$AQ$211</definedName>
    <definedName name="vch504_3_8d">'Verification Report'!$AQ$212</definedName>
    <definedName name="vch504_3_8e">'Verification Report'!$AQ$213</definedName>
    <definedName name="vch504_3_8f">'Verification Report'!$AQ$214</definedName>
    <definedName name="vch504_3_9">'Verification Report'!$AQ$216</definedName>
    <definedName name="vch505_1_1">'Verification Report'!$AQ$223</definedName>
    <definedName name="vch505_1_2">'Verification Report'!$AQ$225</definedName>
    <definedName name="vch505_1_3">'Verification Report'!$AQ$226</definedName>
    <definedName name="vch505_1_4">'Verification Report'!$AQ$230</definedName>
    <definedName name="vch505_2_1_a">'Verification Report'!$AQ$238</definedName>
    <definedName name="vch505_2_1_b">'Verification Report'!$AQ$241</definedName>
    <definedName name="vch505_2_1_c">'Verification Report'!$AQ$245</definedName>
    <definedName name="vch505_2_2">'Verification Report'!$AQ$246</definedName>
    <definedName name="vch505_3">'Verification Report'!$AQ$249</definedName>
    <definedName name="vch505_4">'Verification Report'!$AQ$255</definedName>
    <definedName name="vch505_5">'Verification Report'!$AQ$256</definedName>
    <definedName name="vch505_6">'Verification Report'!$AQ$258</definedName>
    <definedName name="vch601_2_1">'Verification Report'!$AQ$284</definedName>
    <definedName name="vch601_2_2">'Verification Report'!$AQ$287</definedName>
    <definedName name="vch601_2_3">'Verification Report'!$AQ$290</definedName>
    <definedName name="vch601_3_1">'Verification Report'!$AQ$294</definedName>
    <definedName name="vch601_3_2">'Verification Report'!$AQ$295</definedName>
    <definedName name="vch601_3_3">'Verification Report'!$AQ$296</definedName>
    <definedName name="vch601_3_4">'Verification Report'!$AQ$297</definedName>
    <definedName name="vch601_3_5">'Verification Report'!$AQ$298</definedName>
    <definedName name="vch601_4">'Verification Report'!$AQ$299</definedName>
    <definedName name="vch601_5_1">'Verification Report'!$AQ$305</definedName>
    <definedName name="vch601_5_2">'Verification Report'!$AQ$306</definedName>
    <definedName name="vch601_5_3">'Verification Report'!$AQ$307</definedName>
    <definedName name="vch601_5_4">'Verification Report'!$AQ$308</definedName>
    <definedName name="vch601_5_5">'Verification Report'!$AQ$309</definedName>
    <definedName name="vch601_6">'Verification Report'!$AQ$311</definedName>
    <definedName name="vch601_7_a">'Verification Report'!$AQ$318</definedName>
    <definedName name="vch601_7_b">'Verification Report'!$AQ$319</definedName>
    <definedName name="vch601_7_c">'Verification Report'!$AQ$320</definedName>
    <definedName name="vch601_7_d">'Verification Report'!$AQ$324</definedName>
    <definedName name="vch601_7_e">'Verification Report'!$AQ$326</definedName>
    <definedName name="vch601_8">'Verification Report'!$AQ$333</definedName>
    <definedName name="vch601_9">'Verification Report'!$AQ$341</definedName>
    <definedName name="vch602_1_1_1">'Verification Report'!$AQ$352</definedName>
    <definedName name="vch602_1_1_2">'Verification Report'!$AQ$355</definedName>
    <definedName name="vch602_1_10">'Verification Report'!$AQ$452</definedName>
    <definedName name="vch602_1_11">'Verification Report'!$AQ$464</definedName>
    <definedName name="vch602_1_12">'Verification Report'!$AQ$466</definedName>
    <definedName name="vch602_1_13">'Verification Report'!$AQ$469</definedName>
    <definedName name="vch602_1_14_1">'Verification Report'!$AQ$475</definedName>
    <definedName name="vch602_1_14_2">'Verification Report'!$AQ$477</definedName>
    <definedName name="vch602_1_14_3">'Verification Report'!$AQ$478</definedName>
    <definedName name="vch602_1_2__1">'Verification Report'!$AQ$359</definedName>
    <definedName name="vch602_1_2__2">'Verification Report'!$AQ$360</definedName>
    <definedName name="vch602_1_3_1">'Verification Report'!$AQ$362</definedName>
    <definedName name="vch602_1_3_2">'Verification Report'!$AQ$364</definedName>
    <definedName name="vch602_1_4_1_1">'Verification Report'!$AQ$370</definedName>
    <definedName name="vch602_1_4_1_2">'Verification Report'!$AQ$372</definedName>
    <definedName name="vch602_1_4_2_1">'Verification Report'!$AQ$376</definedName>
    <definedName name="vch602_1_4_2_2">'Verification Report'!$AQ$378</definedName>
    <definedName name="vch602_1_5">'Verification Report'!$AQ$381</definedName>
    <definedName name="vch602_1_5_1">'Verification Report'!$AQ$382</definedName>
    <definedName name="vch602_1_5_2">'Verification Report'!$AQ$384</definedName>
    <definedName name="vch602_1_6_1">'Verification Report'!$AQ$390</definedName>
    <definedName name="vch602_1_6_2">'Verification Report'!$AQ$394</definedName>
    <definedName name="vch602_1_6_3">'Verification Report'!$AQ$398</definedName>
    <definedName name="vch602_1_7_1_1">'Verification Report'!$AQ$403</definedName>
    <definedName name="vch602_1_7_1_2">'Verification Report'!$AQ$405</definedName>
    <definedName name="vch602_1_7_1_3">'Verification Report'!$AQ$408</definedName>
    <definedName name="vch602_1_7_2">'Verification Report'!$AQ$410</definedName>
    <definedName name="vch602_1_7_3">'Verification Report'!$AQ$412</definedName>
    <definedName name="vch602_1_8">'Verification Report'!$AQ$416</definedName>
    <definedName name="vch602_1_9_1">'Verification Report'!$AQ$424</definedName>
    <definedName name="vch602_1_9_2">'Verification Report'!$AQ$434</definedName>
    <definedName name="vch602_1_9_3">'Verification Report'!$AQ$437</definedName>
    <definedName name="vch602_1_9_4">'Verification Report'!$AQ$438</definedName>
    <definedName name="vch602_1_9_5">'Verification Report'!$AQ$442</definedName>
    <definedName name="vch602_1_9_6">'Verification Report'!$AQ$448</definedName>
    <definedName name="vch602_1_9_7">'Verification Report'!$AQ$450</definedName>
    <definedName name="vch602_2_1">'Verification Report'!$AQ$483</definedName>
    <definedName name="vch602_2_2">'Verification Report'!$AQ$485</definedName>
    <definedName name="vch602_2_3">'Verification Report'!$AQ$486</definedName>
    <definedName name="vch602_3">'Verification Report'!$AQ$489</definedName>
    <definedName name="vch602_4_1">'Verification Report'!$AQ$493</definedName>
    <definedName name="vch602_4_2">'Verification Report'!$AQ$498</definedName>
    <definedName name="vch602_4_3">'Verification Report'!$AQ$500</definedName>
    <definedName name="vch603_1">'Verification Report'!$AQ$504</definedName>
    <definedName name="vch603_2">'Verification Report'!$AQ$510</definedName>
    <definedName name="vch603_3">'Verification Report'!$AQ$517</definedName>
    <definedName name="vch604_1a">'Verification Report'!$AQ$522</definedName>
    <definedName name="vch604_1b">'Verification Report'!$AQ$524</definedName>
    <definedName name="vch604_1c">'Verification Report'!$AQ$526</definedName>
    <definedName name="vch604_1d">'Verification Report'!$AQ$528</definedName>
    <definedName name="vch605_1">'Verification Report'!$AQ$533</definedName>
    <definedName name="vch605_1_2">'Verification Report'!$AQ$546</definedName>
    <definedName name="vch605_2">'Verification Report'!$AQ$548</definedName>
    <definedName name="vch605_3_2_a">'Verification Report'!$AQ$561</definedName>
    <definedName name="vch605_3_2_b">'Verification Report'!$AQ$562</definedName>
    <definedName name="vch605_3_2_c">'Verification Report'!$AQ$563</definedName>
    <definedName name="vch605_3_2_d">'Verification Report'!$AQ$564</definedName>
    <definedName name="vch605_3_2_e">'Verification Report'!$AQ$565</definedName>
    <definedName name="vch605_3_2_f">'Verification Report'!$AQ$566</definedName>
    <definedName name="vch605_3_2_g">'Verification Report'!$AQ$567</definedName>
    <definedName name="vch605_3_2_h">'Verification Report'!$AQ$568</definedName>
    <definedName name="vch605_3_2_i">'Verification Report'!$AQ$569</definedName>
    <definedName name="vch606_1_a">'Verification Report'!$AQ$574</definedName>
    <definedName name="vch606_1_b">'Verification Report'!$AQ$575</definedName>
    <definedName name="vch606_1_c">'Verification Report'!$AQ$576</definedName>
    <definedName name="vch606_1_d">'Verification Report'!$AQ$577</definedName>
    <definedName name="vch606_1_e">'Verification Report'!$AQ$578</definedName>
    <definedName name="vch606_1_f">'Verification Report'!$AQ$579</definedName>
    <definedName name="vch606_1_g">'Verification Report'!$AQ$580</definedName>
    <definedName name="vch606_1_h">'Verification Report'!$AQ$581</definedName>
    <definedName name="vch606_2_1a">'Verification Report'!$AQ$601</definedName>
    <definedName name="vch606_2_1b">'Verification Report'!$AQ$602</definedName>
    <definedName name="vch606_2_2a">'Verification Report'!$AQ$604</definedName>
    <definedName name="vch606_2_2b">'Verification Report'!$AQ$605</definedName>
    <definedName name="vch606_3">'Verification Report'!$AQ$607</definedName>
    <definedName name="vch607_1_1">'Verification Report'!$AQ$616</definedName>
    <definedName name="vch607_1_2">'Verification Report'!$AQ$618</definedName>
    <definedName name="vch607_2">'Verification Report'!$AQ$619</definedName>
    <definedName name="vch608_1">'Verification Report'!$AQ$622</definedName>
    <definedName name="vch609_1a">'Verification Report'!$AQ$632</definedName>
    <definedName name="vch609_1b">'Verification Report'!$AQ$635</definedName>
    <definedName name="vch610_1_1_1">'Verification Report'!$AQ$647</definedName>
    <definedName name="vch610_1_1_2">'Verification Report'!$AQ$656</definedName>
    <definedName name="vch610_1_1_3">'Verification Report'!$AQ$663</definedName>
    <definedName name="vch610_1_2_1a">'Verification Report'!$AQ$671</definedName>
    <definedName name="vch610_1_2_1b">'Verification Report'!$AQ$678</definedName>
    <definedName name="vch610_1_2_2_f">'Verification Report'!$AQ$702</definedName>
    <definedName name="vch610_1_2_2a">'Verification Report'!$AQ$684</definedName>
    <definedName name="vch610_1_2_2b">'Verification Report'!$AQ$690</definedName>
    <definedName name="vch610_1_2_2c">'Verification Report'!$AQ$696</definedName>
    <definedName name="vch611_1">'Verification Report'!$AQ$708</definedName>
    <definedName name="vch611_2_1">'Verification Report'!$AQ$719</definedName>
    <definedName name="vch611_2_2">'Verification Report'!$AQ$720</definedName>
    <definedName name="vch611_2_3">'Verification Report'!$AQ$721</definedName>
    <definedName name="vch611_2_4">'Verification Report'!$AQ$722</definedName>
    <definedName name="vch611_2_5">'Verification Report'!$AQ$723</definedName>
    <definedName name="vch611_2_6">'Verification Report'!$AQ$724</definedName>
    <definedName name="vch611_2_7">'Verification Report'!$AQ$725</definedName>
    <definedName name="vch611_3_1">'Verification Report'!$AQ$729</definedName>
    <definedName name="vch611_3_2">'Verification Report'!$AQ$734</definedName>
    <definedName name="vch611_3_3">'Verification Report'!$AQ$738</definedName>
    <definedName name="vch611_3_4">'Verification Report'!$AQ$740</definedName>
    <definedName name="vch611_3_5">'Verification Report'!$AQ$742</definedName>
    <definedName name="vch611_3_6">'Verification Report'!$AQ$743</definedName>
    <definedName name="vch611_3_7">'Verification Report'!$AQ$744</definedName>
    <definedName name="vch611_3_8">'Verification Report'!$AQ$748</definedName>
    <definedName name="vch611_3_9">'Verification Report'!$AQ$750</definedName>
    <definedName name="vch611_4_1">'Verification Report'!$AQ$758</definedName>
    <definedName name="vch611_4_2">'Verification Report'!$AQ$768</definedName>
    <definedName name="vch701_1">'Verification Report'!$AQ$776</definedName>
    <definedName name="vch701_1_">'Verification Report'!$AQ$778</definedName>
    <definedName name="vch701_1_4">'Verification Report'!$AQ$790</definedName>
    <definedName name="vch701_3">'Verification Report'!$AQ$799</definedName>
    <definedName name="vch701_4_1">'Verification Report'!$AQ$813</definedName>
    <definedName name="vch701_4_1_1">'Verification Report'!$AQ$804</definedName>
    <definedName name="vch701_4_1_2">'Verification Report'!$AQ$807</definedName>
    <definedName name="vch701_4_2_2">'Verification Report'!$AQ$816</definedName>
    <definedName name="vch701_4_2_3">'Verification Report'!$AQ$817</definedName>
    <definedName name="vch701_4_3_1_1">'Verification Report'!$AQ$821</definedName>
    <definedName name="vch701_4_3_1_2">'Verification Report'!$AQ$823</definedName>
    <definedName name="vch701_4_3_2_1">'Verification Report'!$AQ$858</definedName>
    <definedName name="vch701_4_3_2_1_">'Verification Report'!$AQ$839</definedName>
    <definedName name="vch701_4_3_2_2">'Verification Report'!$AQ$855</definedName>
    <definedName name="vch701_4_3_2e">'Verification Report'!$AQ$842</definedName>
    <definedName name="vch701_4_3_3_4">'Verification Report'!$AQ$885</definedName>
    <definedName name="vch701_4_3_3_5">'Verification Report'!$AQ$891</definedName>
    <definedName name="vch701_4_4_1">'Verification Report'!$AQ$899</definedName>
    <definedName name="vch701_4_4_2">'Verification Report'!$AQ$901</definedName>
    <definedName name="vch701_4_5">'Verification Report'!$AQ$902</definedName>
    <definedName name="vch702_2_1">'Verification Report'!$AQ$907</definedName>
    <definedName name="vch702_2_2">'Verification Report'!$AQ$913</definedName>
    <definedName name="vch703_1_1">'Verification Report'!$AQ$924</definedName>
    <definedName name="vch703_1_2">'Verification Report'!$AQ$937</definedName>
    <definedName name="vch703_1_3">'Verification Report'!$AQ$940</definedName>
    <definedName name="vch703_1_3_1">'Verification Report'!$AQ$942</definedName>
    <definedName name="vch703_1_3_2">'Verification Report'!$AQ$944</definedName>
    <definedName name="vch703_2_1">'Verification Report'!$AQ$946</definedName>
    <definedName name="vch703_2_1_2">'Verification Report'!$AQ$948</definedName>
    <definedName name="vch703_2_2">'Verification Report'!$AQ$954</definedName>
    <definedName name="vch703_2_3">'Verification Report'!$AQ$955</definedName>
    <definedName name="vch703_2_5_1">'Verification Report'!$AQ$962</definedName>
    <definedName name="vch703_2_5_1_1">'Verification Report'!$AQ$969</definedName>
    <definedName name="vch703_2_5_2">'Verification Report'!$AQ$977</definedName>
    <definedName name="vch703_2_5_2_1">'Verification Report'!$AQ$985</definedName>
    <definedName name="vch703_3_0_1">'Verification Report'!$AQ$995</definedName>
    <definedName name="vch703_3_0_2">'Verification Report'!$AQ$1001</definedName>
    <definedName name="vch703_3_1">'Verification Report'!$AQ$1007</definedName>
    <definedName name="vch703_3_2__1_1">'Verification Report'!$AQ$1014</definedName>
    <definedName name="vch703_3_2__2_1">'Verification Report'!$AQ$1020</definedName>
    <definedName name="vch703_3_2__3_1">'Verification Report'!$AQ$1023</definedName>
    <definedName name="vch703_3_2__4_1">'Verification Report'!$AQ$1028</definedName>
    <definedName name="vch703_3_3__1_1">'Verification Report'!$AQ$1034</definedName>
    <definedName name="vch703_3_3__3">'Verification Report'!$AQ$1039</definedName>
    <definedName name="vch703_3_4_1_1">'Verification Report'!$AQ$1044</definedName>
    <definedName name="vch703_3_4_1_5">'Verification Report'!$AQ$1048</definedName>
    <definedName name="vch703_3_4_2">'Verification Report'!$AQ$1050</definedName>
    <definedName name="vch703_3_5">'Verification Report'!$AQ$1051</definedName>
    <definedName name="vch703_3_6">'Verification Report'!$AQ$1056</definedName>
    <definedName name="vch703_3_7_1">'Verification Report'!$AQ$1061</definedName>
    <definedName name="vch703_3_7_2">'Verification Report'!$AQ$1063</definedName>
    <definedName name="vch703_3_8">'Verification Report'!$AQ$1068</definedName>
    <definedName name="vch703_4_1">'Verification Report'!$AQ$1074</definedName>
    <definedName name="vch703_4_2">'Verification Report'!$AQ$1076</definedName>
    <definedName name="vch703_4_3_1">'Verification Report'!$AQ$1079</definedName>
    <definedName name="vch703_4_3_2">'Verification Report'!$AQ$1080</definedName>
    <definedName name="vch703_4_3_3">'Verification Report'!$AQ$1082</definedName>
    <definedName name="vch703_4_4">'Verification Report'!$AQ$1084</definedName>
    <definedName name="vch703_5_1">'Verification Report'!$AQ$1095</definedName>
    <definedName name="vch703_5_1_1_a">'Verification Report'!$AQ$1097</definedName>
    <definedName name="vch703_5_2">'Verification Report'!$AQ$1112</definedName>
    <definedName name="vch703_5_3">'Verification Report'!$AQ$1114</definedName>
    <definedName name="vch703_5_4">'Verification Report'!$AQ$1116</definedName>
    <definedName name="vch703_5_5">'Verification Report'!$AQ$1118</definedName>
    <definedName name="vch703_6_1_1">'Verification Report'!$AQ$1128</definedName>
    <definedName name="vch703_6_1_2">'Verification Report'!$AQ$1130</definedName>
    <definedName name="vch703_6_1_3">'Verification Report'!$AQ$1132</definedName>
    <definedName name="vch703_6_2__1">'Verification Report'!$AQ$1135</definedName>
    <definedName name="vch703_6_2__2">'Verification Report'!$AQ$1136</definedName>
    <definedName name="vch703_6_2__3">'Verification Report'!$AQ$1137</definedName>
    <definedName name="vch703_7_1">'Verification Report'!$AQ$1140</definedName>
    <definedName name="vch703_7_2">'Verification Report'!$AQ$1168</definedName>
    <definedName name="vch703_7_3_1_a">'Verification Report'!$AQ$1176</definedName>
    <definedName name="vch703_7_3_1_b">'Verification Report'!$AQ$1178</definedName>
    <definedName name="vch703_7_3_1_c">'Verification Report'!$AQ$1179</definedName>
    <definedName name="vch703_7_3_1_d">'Verification Report'!$AQ$1180</definedName>
    <definedName name="vch703_7_3_2">'Verification Report'!$AQ$1182</definedName>
    <definedName name="vch703_7_3_3">'Verification Report'!$AQ$1185</definedName>
    <definedName name="vch703_7_3_4">'Verification Report'!$AQ$1186</definedName>
    <definedName name="vch703_7_3_5_a">'Verification Report'!$AQ$1191</definedName>
    <definedName name="vch703_7_3_5_b">'Verification Report'!$AQ$1193</definedName>
    <definedName name="vch703_7_3_6">'Verification Report'!$AQ$1195</definedName>
    <definedName name="vch703_7_4">'Verification Report'!$AQ$1197</definedName>
    <definedName name="vch704_2_1">'Verification Report'!$AQ$1225</definedName>
    <definedName name="vch704_2_2">'Verification Report'!$AQ$1227</definedName>
    <definedName name="vch705_2_1_1">'Verification Report'!$AQ$1234</definedName>
    <definedName name="vch705_2_1_2">'Verification Report'!$AQ$1238</definedName>
    <definedName name="vch705_2_1_3_1">'Verification Report'!$AQ$1241</definedName>
    <definedName name="vch705_2_1_3_2">'Verification Report'!$AQ$1245</definedName>
    <definedName name="vch705_2_1_4">'Verification Report'!$AQ$1250</definedName>
    <definedName name="vch705_2_2">'Verification Report'!$AQ$1255</definedName>
    <definedName name="vch705_2_3">'Verification Report'!$AQ$1258</definedName>
    <definedName name="vch705_2_4">'Verification Report'!$AQ$1261</definedName>
    <definedName name="vch705_3">'Verification Report'!$AQ$1263</definedName>
    <definedName name="vch705_4">'Verification Report'!$AQ$1264</definedName>
    <definedName name="vch705_5_1">'Verification Report'!$AQ$1268</definedName>
    <definedName name="vch705_5_2">'Verification Report'!$AQ$1273</definedName>
    <definedName name="vch705_6_2_1_1">'Verification Report'!$AQ$1295</definedName>
    <definedName name="vch705_6_2_1_1_1">'Verification Report'!$AQ$1295</definedName>
    <definedName name="vch705_6_2_1_1_2">'Verification Report'!$AQ$1297</definedName>
    <definedName name="vch705_6_2_1_2">'Verification Report'!$AQ$1298</definedName>
    <definedName name="vch705_6_2_2">'Verification Report'!$AQ$1301</definedName>
    <definedName name="vch705_6_2_3">'Verification Report'!$AQ$1309</definedName>
    <definedName name="vch705_6_3">'Verification Report'!$AQ$1315</definedName>
    <definedName name="vch705_6_3_1">'Verification Report'!$AQ$1317</definedName>
    <definedName name="vch705_6_4_1">'Verification Report'!$AQ$1327</definedName>
    <definedName name="vch705_6_4_2">'Verification Report'!$AQ$1329</definedName>
    <definedName name="vch705_7">'Verification Report'!$AQ$1331</definedName>
    <definedName name="vch706_1_1">'Verification Report'!$AQ$1338</definedName>
    <definedName name="vch706_1_2">'Verification Report'!$AQ$1339</definedName>
    <definedName name="vch706_1_3">'Verification Report'!$AQ$1340</definedName>
    <definedName name="vch706_1_4">'Verification Report'!$AQ$1341</definedName>
    <definedName name="vch706_1_5">'Verification Report'!$AQ$1343</definedName>
    <definedName name="vch706_2_1">'Verification Report'!$AQ$1346</definedName>
    <definedName name="vch706_2_2">'Verification Report'!$AQ$1349</definedName>
    <definedName name="vch706_3_1">'Verification Report'!$AQ$1364</definedName>
    <definedName name="vch706_3_2">'Verification Report'!$AQ$1365</definedName>
    <definedName name="vch706_3_3">'Verification Report'!$AQ$1366</definedName>
    <definedName name="vch706_3_4">'Verification Report'!$AQ$1367</definedName>
    <definedName name="vch706_3_5">'Verification Report'!$AQ$1368</definedName>
    <definedName name="vch706_3_6">'Verification Report'!$AQ$1369</definedName>
    <definedName name="vch706_3_7">'Verification Report'!$AQ$1370</definedName>
    <definedName name="vch706_3_8">'Verification Report'!$AQ$1371</definedName>
    <definedName name="vch706_4_1_1">'Verification Report'!$AQ$1374</definedName>
    <definedName name="vch706_4_1_2">'Verification Report'!$AQ$1376</definedName>
    <definedName name="vch706_4_2">'Verification Report'!$AQ$1378</definedName>
    <definedName name="vch706_5">'Verification Report'!$AQ$1381</definedName>
    <definedName name="vch706_6">'Verification Report'!$AQ$1389</definedName>
    <definedName name="vch706_7_1">'Verification Report'!$AQ$1393</definedName>
    <definedName name="vch706_7_2">'Verification Report'!$AQ$1394</definedName>
    <definedName name="vch706_8">'Verification Report'!$AQ$1397</definedName>
    <definedName name="vch706_9">'Verification Report'!$AQ$1400</definedName>
    <definedName name="vch801_1">'Verification Report'!$AQ$1408</definedName>
    <definedName name="vch801_1_6">'Verification Report'!$AQ$1437</definedName>
    <definedName name="vch801_2_1">'Verification Report'!$AQ$1442</definedName>
    <definedName name="vch801_2_2">'Verification Report'!$AQ$1443</definedName>
    <definedName name="vch801_3_1">'Verification Report'!$AQ$1450</definedName>
    <definedName name="vch801_3_2">'Verification Report'!$AQ$1459</definedName>
    <definedName name="vch801_3_3">'Verification Report'!$AQ$1464</definedName>
    <definedName name="vch801_4_1_1">'Verification Report'!$AQ$1469</definedName>
    <definedName name="vch801_4_1_2">'Verification Report'!$AQ$1473</definedName>
    <definedName name="vch801_4_2">'Verification Report'!$AQ$1474</definedName>
    <definedName name="vch801_5_2">'Verification Report'!$AQ$1481</definedName>
    <definedName name="vch801_5_3">'Verification Report'!$AQ$1487</definedName>
    <definedName name="vch801_5_4_a">'Verification Report'!$AQ$1490</definedName>
    <definedName name="vch801_5_4_b">'Verification Report'!$AQ$1494</definedName>
    <definedName name="vch801_5_4_c">'Verification Report'!$AQ$1496</definedName>
    <definedName name="vch801_6_1">'Verification Report'!$AQ$1498</definedName>
    <definedName name="vch801_6_2_1">'Verification Report'!$AQ$1502</definedName>
    <definedName name="vch801_6_2_2">'Verification Report'!$AQ$1503</definedName>
    <definedName name="vch801_6_2_3">'Verification Report'!$AQ$1504</definedName>
    <definedName name="vch801_6_3">'Verification Report'!$AQ$1506</definedName>
    <definedName name="vch801_6_4_1">'Verification Report'!$AQ$1512</definedName>
    <definedName name="vch801_6_4_2">'Verification Report'!$AQ$1514</definedName>
    <definedName name="vch801_6_4_3">'Verification Report'!$AQ$1515</definedName>
    <definedName name="vch801_6_5">'Verification Report'!$AQ$1519</definedName>
    <definedName name="vch801_7_1">'Verification Report'!$AQ$1523</definedName>
    <definedName name="vch801_7_2_1">'Verification Report'!$AQ$1537</definedName>
    <definedName name="vch801_7_2_2">'Verification Report'!$AQ$1539</definedName>
    <definedName name="vch801_8">'Verification Report'!$AQ$1540</definedName>
    <definedName name="vch802_1_1">'Verification Report'!$AQ$1547</definedName>
    <definedName name="vch802_1_2">'Verification Report'!$AQ$1549</definedName>
    <definedName name="vch802_2">'Verification Report'!$AQ$1551</definedName>
    <definedName name="vch802_3_1">'Verification Report'!$AQ$1556</definedName>
    <definedName name="vch802_3_2">'Verification Report'!$AQ$1557</definedName>
    <definedName name="vch802_4">'Verification Report'!$AQ$1558</definedName>
    <definedName name="vch802_5">'Verification Report'!$AQ$1561</definedName>
    <definedName name="vch802_6">'Verification Report'!$AQ$1563</definedName>
    <definedName name="vch901_1_1">'Verification Report'!$AQ$1569</definedName>
    <definedName name="vch901_1_2">'Verification Report'!$AQ$1575</definedName>
    <definedName name="vch901_1_3_1">'Verification Report'!$AQ$1580</definedName>
    <definedName name="vch901_1_3_2">'Verification Report'!$AQ$1583</definedName>
    <definedName name="vch901_1_4">'Verification Report'!$AQ$1586</definedName>
    <definedName name="vch901_1_5">'Verification Report'!$AQ$1590</definedName>
    <definedName name="vch901_1_6">'Verification Report'!$AQ$1593</definedName>
    <definedName name="vch901_10_1">'Verification Report'!$AQ$1705</definedName>
    <definedName name="vch901_10_2">'Verification Report'!$AQ$1710</definedName>
    <definedName name="vch901_10_3">'Verification Report'!$AQ$1711</definedName>
    <definedName name="vch901_11">'Verification Report'!$AQ$1715</definedName>
    <definedName name="vch901_12">'Verification Report'!$AQ$1720</definedName>
    <definedName name="vch901_13_1">'Verification Report'!$AQ$1724</definedName>
    <definedName name="vch901_13_2">'Verification Report'!$AQ$1725</definedName>
    <definedName name="vch901_14_1">'Verification Report'!$AQ$1728</definedName>
    <definedName name="vch901_14_2">'Verification Report'!$AQ$1730</definedName>
    <definedName name="vch901_2_1_1">'Verification Report'!$AQ$1599</definedName>
    <definedName name="vch901_2_1_2">'Verification Report'!$AQ$1602</definedName>
    <definedName name="vch901_2_1_3">'Verification Report'!$AQ$1604</definedName>
    <definedName name="vch901_2_1_4">'Verification Report'!$AQ$1607</definedName>
    <definedName name="vch901_2_1_5">'Verification Report'!$AQ$1609</definedName>
    <definedName name="vch901_2_2">'Verification Report'!$AQ$1611</definedName>
    <definedName name="vch901_3_1_a">'Verification Report'!$AQ$1614</definedName>
    <definedName name="vch901_3_1_b">'Verification Report'!$AQ$1616</definedName>
    <definedName name="vch901_3_1_c">'Verification Report'!$AQ$1618</definedName>
    <definedName name="vch901_3_2">'Verification Report'!$AQ$1624</definedName>
    <definedName name="vch901_4_1">'Verification Report'!$AQ$1628</definedName>
    <definedName name="vch901_4_a">'Verification Report'!$AQ$1633</definedName>
    <definedName name="vch901_4_b">'Verification Report'!$AQ$1634</definedName>
    <definedName name="vch901_4_c">'Verification Report'!$AQ$1635</definedName>
    <definedName name="vch901_4_d">'Verification Report'!$AQ$1636</definedName>
    <definedName name="vch901_5_1">'Verification Report'!$AQ$1647</definedName>
    <definedName name="vch901_5_2">'Verification Report'!$AQ$1649</definedName>
    <definedName name="vch901_6">'Verification Report'!$AQ$1652</definedName>
    <definedName name="vch901_7_1">'Verification Report'!$AQ$1661</definedName>
    <definedName name="vch901_7_2">'Verification Report'!$AQ$1671</definedName>
    <definedName name="vch901_7_3">'Verification Report'!$AQ$1672</definedName>
    <definedName name="vch901_8">'Verification Report'!$AQ$1675</definedName>
    <definedName name="vch901_9_1_1">'Verification Report'!$AQ$1686</definedName>
    <definedName name="vch901_9_1_2">'Verification Report'!$AQ$1688</definedName>
    <definedName name="vch901_9_1_3">'Verification Report'!$AQ$1689</definedName>
    <definedName name="vch901_9_2">'Verification Report'!$AQ$1691</definedName>
    <definedName name="vch901_9_3">'Verification Report'!$AQ$1696</definedName>
    <definedName name="vch902_1_1">'Verification Report'!$AQ$1736</definedName>
    <definedName name="vch902_1_1_a">'Verification Report'!$AQ$1738</definedName>
    <definedName name="vch902_1_2">'Verification Report'!$AQ$1746</definedName>
    <definedName name="vch902_1_2_">'Verification Report'!$AQ$1740</definedName>
    <definedName name="vch902_1_2_2">'Verification Report'!$AQ$1748</definedName>
    <definedName name="vch902_1_3">'Verification Report'!$AQ$1749</definedName>
    <definedName name="vch902_1_3_">'Verification Report'!$AQ$1742</definedName>
    <definedName name="vch902_1_4_1">'Verification Report'!$AQ$1755</definedName>
    <definedName name="vch902_1_4_2">'Verification Report'!$AQ$1757</definedName>
    <definedName name="vch902_1_5_1">'Verification Report'!$AQ$1760</definedName>
    <definedName name="vch902_1_5_2">'Verification Report'!$AQ$1762</definedName>
    <definedName name="vch902_1_5_3">'Verification Report'!$AQ$1764</definedName>
    <definedName name="vch902_2_1">'Verification Report'!$AQ$1768</definedName>
    <definedName name="vch902_2_2">'Verification Report'!$AQ$1777</definedName>
    <definedName name="vch902_2_3">'Verification Report'!$AQ$1779</definedName>
    <definedName name="vch902_2_4">'Verification Report'!$AQ$1782</definedName>
    <definedName name="vch902_3_1">'Verification Report'!$AQ$1787</definedName>
    <definedName name="vch902_3_2_a">'Verification Report'!$AQ$1791</definedName>
    <definedName name="vch902_4_1">'Verification Report'!$AQ$1794</definedName>
    <definedName name="vch902_4_2">'Verification Report'!$AQ$1796</definedName>
    <definedName name="vch902_5">'Verification Report'!$AQ$1799</definedName>
    <definedName name="vch902_6">'Verification Report'!$AQ$1801</definedName>
    <definedName name="vch903_1">'Verification Report'!$AQ$1805</definedName>
    <definedName name="vch903_2">'Verification Report'!$AQ$1809</definedName>
    <definedName name="vch903_3_1">'Verification Report'!$AQ$1815</definedName>
    <definedName name="vch903_3_2">'Verification Report'!$AQ$1816</definedName>
    <definedName name="vch904_1">'Verification Report'!$AQ$1821</definedName>
    <definedName name="vch904_2">'Verification Report'!$AQ$1826</definedName>
    <definedName name="vch905_1">'Verification Report'!$AQ$1830</definedName>
    <definedName name="vch905_2">'Verification Report'!$AQ$1835</definedName>
    <definedName name="verAGFloorArea">'Overview (Verification)'!$P$20</definedName>
    <definedName name="verAttachedGarage">'Overview (Verification)'!$P$46</definedName>
    <definedName name="verAttic">'Overview (Verification)'!$P$45</definedName>
    <definedName name="verBuilderName">'Overview (Verification)'!$P$8</definedName>
    <definedName name="verBuildingCode">'Overview (Verification)'!$P$58</definedName>
    <definedName name="verCDucts">'Overview (Verification)'!$P$37</definedName>
    <definedName name="verCity">'Overview (Verification)'!$P$11</definedName>
    <definedName name="verCool1">'Overview (Verification)'!$P$34</definedName>
    <definedName name="verCool1Other">'Overview (Verification)'!$T$34</definedName>
    <definedName name="verCool2">'Overview (Verification)'!$P$35</definedName>
    <definedName name="verCool2Other">'Overview (Verification)'!$T$35</definedName>
    <definedName name="verCool3">'Overview (Verification)'!$P$36</definedName>
    <definedName name="verCool3Other">'Overview (Verification)'!$T$36</definedName>
    <definedName name="verCounty">'Overview (Verification)'!$P$13</definedName>
    <definedName name="verCToilet">'Overview (Verification)'!$P$55</definedName>
    <definedName name="verDuctless">'Overview (Verification)'!$P$52</definedName>
    <definedName name="verEnergyCode">'Overview (Verification)'!$P$57</definedName>
    <definedName name="verFloors">'Overview (Verification)'!$P$22</definedName>
    <definedName name="verFoundation">'Overview (Verification)'!$P$27</definedName>
    <definedName name="verFuel">'Overview (Verification)'!$P$32</definedName>
    <definedName name="verGoalLevel">Points!$T$10</definedName>
    <definedName name="verHDucts">'Overview (Verification)'!$P$33</definedName>
    <definedName name="verHERS">'Overview (Verification)'!$P$26</definedName>
    <definedName name="verHomeAddress">'Overview (Verification)'!$P$9</definedName>
    <definedName name="verHVAC1">'Overview (Verification)'!$P$29</definedName>
    <definedName name="verHVAC1Other">'Overview (Verification)'!$T$29</definedName>
    <definedName name="verHVAC2">'Overview (Verification)'!$P$30</definedName>
    <definedName name="verHVAC2Other">'Overview (Verification)'!$T$30</definedName>
    <definedName name="verHVAC3">'Overview (Verification)'!$P$31</definedName>
    <definedName name="verHVAC3Other">'Overview (Verification)'!$T$31</definedName>
    <definedName name="verLot">'Overview (Verification)'!$P$10</definedName>
    <definedName name="verMassWalls">'Overview (Verification)'!$P$51</definedName>
    <definedName name="verPassiveSolar">'Overview (Verification)'!$P$50</definedName>
    <definedName name="verProjectDesc">'Overview (Verification)'!$P$24</definedName>
    <definedName name="verProjectID">'Overview (Verification)'!$P$60</definedName>
    <definedName name="verProjectName">'Overview (Verification)'!$P$18</definedName>
    <definedName name="verRadiantHydronic">'Overview (Verification)'!$P$53</definedName>
    <definedName name="verRecessedLighting">'Overview (Verification)'!$P$47</definedName>
    <definedName name="verRenewable">'Overview (Verification)'!$P$43</definedName>
    <definedName name="verSingleOrMulti">'Overview (Verification)'!$P$16</definedName>
    <definedName name="VersionDate">'Info &amp; Intro'!$E$7</definedName>
    <definedName name="VersionNum">'Info &amp; Intro'!$B$7</definedName>
    <definedName name="versSHGC">'Overview (Verification)'!$P$40</definedName>
    <definedName name="verStartError">Points!$B$4</definedName>
    <definedName name="verState">'Overview (Verification)'!$P$12</definedName>
    <definedName name="versUV">'Overview (Verification)'!$P$42</definedName>
    <definedName name="verTCFloorArea">'Overview (Verification)'!$P$21</definedName>
    <definedName name="verTEInsulation">'Overview (Verification)'!$P$44</definedName>
    <definedName name="verTLWH">'Overview (Verification)'!$P$54</definedName>
    <definedName name="verUnits">'Overview (Verification)'!$P$17</definedName>
    <definedName name="verwdSHGC">'Overview (Verification)'!$P$39</definedName>
    <definedName name="verwdUV">'Overview (Verification)'!$P$41</definedName>
    <definedName name="verZIP">'Overview (Verification)'!$P$14</definedName>
    <definedName name="vnt1001_1_1">'Verification Report'!$AS$1843</definedName>
    <definedName name="vnt1001_1_10">'Verification Report'!$AS$1858</definedName>
    <definedName name="vnt1001_1_11">'Verification Report'!$AS$1859</definedName>
    <definedName name="vnt1001_1_12">'Verification Report'!$AS$1860</definedName>
    <definedName name="vnt1001_1_13">'Verification Report'!$AS$1866</definedName>
    <definedName name="vnt1001_1_14">'Verification Report'!$AS$1870</definedName>
    <definedName name="vnt1001_1_15">'Verification Report'!$AS$1872</definedName>
    <definedName name="vnt1001_1_16">'Verification Report'!$AS$1874</definedName>
    <definedName name="vnt1001_1_17">'Verification Report'!$AS$1875</definedName>
    <definedName name="vnt1001_1_18">'Verification Report'!$AS$1877</definedName>
    <definedName name="vnt1001_1_19">'Verification Report'!$AS$1879</definedName>
    <definedName name="vnt1001_1_2">'Verification Report'!$AS$1844</definedName>
    <definedName name="vnt1001_1_20">'Verification Report'!$AS$1880</definedName>
    <definedName name="vnt1001_1_21">'Verification Report'!$AS$1882</definedName>
    <definedName name="vnt1001_1_22">'Verification Report'!$AS$1884</definedName>
    <definedName name="vnt1001_1_23">'Verification Report'!$AS$1886</definedName>
    <definedName name="vnt1001_1_24">'Verification Report'!$AS$1887</definedName>
    <definedName name="vnt1001_1_3">'Verification Report'!$AS$1845</definedName>
    <definedName name="vnt1001_1_4">'Verification Report'!$AS$1849</definedName>
    <definedName name="vnt1001_1_5">'Verification Report'!$AS$1850</definedName>
    <definedName name="vnt1001_1_6">'Verification Report'!$AS$1851</definedName>
    <definedName name="vnt1001_1_7">'Verification Report'!$AS$1853</definedName>
    <definedName name="vnt1001_1_8">'Verification Report'!$AS$1855</definedName>
    <definedName name="vnt1001_1_9">'Verification Report'!$AS$1856</definedName>
    <definedName name="vnt1001_2">'Verification Report'!$AS$1888</definedName>
    <definedName name="vnt1002_1_1">'Verification Report'!$AS$1909</definedName>
    <definedName name="vnt1002_1_2">'Verification Report'!$AS$1912</definedName>
    <definedName name="vnt1002_1_3">'Verification Report'!$AS$1915</definedName>
    <definedName name="vnt1002_1_4">'Verification Report'!$AS$1917</definedName>
    <definedName name="vnt1002_1_5">'Verification Report'!$AS$1918</definedName>
    <definedName name="vnt1002_1_6">'Verification Report'!$AS$1920</definedName>
    <definedName name="vnt1002_1_7">'Verification Report'!$AS$1921</definedName>
    <definedName name="vnt1002_1_8">'Verification Report'!$AS$1922</definedName>
    <definedName name="vnt1002_2_1">'Verification Report'!$AS$1928</definedName>
    <definedName name="vnt1002_2_10">'Verification Report'!$AS$1946</definedName>
    <definedName name="vnt1002_2_11">'Verification Report'!$AS$1949</definedName>
    <definedName name="vnt1002_2_2">'Verification Report'!$AS$1930</definedName>
    <definedName name="vnt1002_2_3">'Verification Report'!$AS$1933</definedName>
    <definedName name="vnt1002_2_4">'Verification Report'!$AS$1935</definedName>
    <definedName name="vnt1002_2_5">'Verification Report'!$AS$1938</definedName>
    <definedName name="vnt1002_2_6">'Verification Report'!$AS$1940</definedName>
    <definedName name="vnt1002_2_7">'Verification Report'!$AS$1941</definedName>
    <definedName name="vnt1002_2_8">'Verification Report'!$AS$1943</definedName>
    <definedName name="vnt1002_2_9">'Verification Report'!$AS$1945</definedName>
    <definedName name="vnt1002_3_1">'Verification Report'!$AS$1955</definedName>
    <definedName name="vnt1002_3_10">'Verification Report'!$AS$1976</definedName>
    <definedName name="vnt1002_3_2">'Verification Report'!$AS$1957</definedName>
    <definedName name="vnt1002_3_3">'Verification Report'!$AS$1961</definedName>
    <definedName name="vnt1002_3_4">'Verification Report'!$AS$1968</definedName>
    <definedName name="vnt1002_3_5">'Verification Report'!$AS$1970</definedName>
    <definedName name="vnt1002_3_6">'Verification Report'!$AS$1971</definedName>
    <definedName name="vnt1002_3_7">'Verification Report'!$AS$1973</definedName>
    <definedName name="vnt1002_3_8">'Verification Report'!$AS$1974</definedName>
    <definedName name="vnt1002_3_9">'Verification Report'!$AS$1975</definedName>
    <definedName name="vnt1002_4">'Verification Report'!$AS$1977</definedName>
    <definedName name="vnt1003_1_1">'Verification Report'!$AS$1994</definedName>
    <definedName name="vnt1003_1_2">'Verification Report'!$AS$1996</definedName>
    <definedName name="vnt1003_1_3">'Verification Report'!$AS$1999</definedName>
    <definedName name="vnt1004_1_1">'Verification Report'!$AS$2012</definedName>
    <definedName name="vnt1004_1_2">'Verification Report'!$AS$2014</definedName>
    <definedName name="vnt501_1">'Verification Report'!$AS$13</definedName>
    <definedName name="vnt501_2">'Verification Report'!$AS$19</definedName>
    <definedName name="vnt501_2_1">'Verification Report'!$AS$21</definedName>
    <definedName name="vnt501_2_2">'Verification Report'!$AS$23</definedName>
    <definedName name="vnt501_2_3">'Verification Report'!$AS$25</definedName>
    <definedName name="vnt501_2_4">'Verification Report'!$AS$27</definedName>
    <definedName name="vnt501_2_5">'Verification Report'!$AS$36</definedName>
    <definedName name="vnt501_2_6">'Verification Report'!$AS$39</definedName>
    <definedName name="vnt502_1">'Verification Report'!$AS$45</definedName>
    <definedName name="vnt503_0">'Verification Report'!$AS$50</definedName>
    <definedName name="vnt503_1">'Verification Report'!$AS$55</definedName>
    <definedName name="vnt503_2">'Verification Report'!$AS$67</definedName>
    <definedName name="vnt503_3">'Verification Report'!$AS$80</definedName>
    <definedName name="vnt503_4">'Verification Report'!$AS$93</definedName>
    <definedName name="vnt503_4_1">'Verification Report'!$AS$100</definedName>
    <definedName name="vnt503_4_2">'Verification Report'!$AS$103</definedName>
    <definedName name="vnt503_4_3">'Verification Report'!$AS$107</definedName>
    <definedName name="vnt503_4_4">'Verification Report'!$AS$114</definedName>
    <definedName name="vnt503_5">'Verification Report'!$AS$119</definedName>
    <definedName name="vnt503_5_1">'Verification Report'!$AS$123</definedName>
    <definedName name="vnt503_5_10">'Verification Report'!$AS$151</definedName>
    <definedName name="vnt503_5_11">'Verification Report'!$AS$153</definedName>
    <definedName name="vnt503_5_12">'Verification Report'!$AS$155</definedName>
    <definedName name="vnt503_5_2">'Verification Report'!$AS$129</definedName>
    <definedName name="vnt503_5_3">'Verification Report'!$AS$131</definedName>
    <definedName name="vnt503_5_4">'Verification Report'!$AS$133</definedName>
    <definedName name="vnt503_5_5">'Verification Report'!$AS$135</definedName>
    <definedName name="vnt503_5_6">'Verification Report'!$AS$140</definedName>
    <definedName name="vnt503_5_7">'Verification Report'!$AS$141</definedName>
    <definedName name="vnt503_5_8">'Verification Report'!$AS$146</definedName>
    <definedName name="vnt503_5_9">'Verification Report'!$AS$148</definedName>
    <definedName name="vnt503_6">'Verification Report'!$AS$157</definedName>
    <definedName name="vnt503_7">'Verification Report'!$AS$164</definedName>
    <definedName name="vnt503_8">'Verification Report'!$AS$170</definedName>
    <definedName name="vnt504_1">'Verification Report'!$AS$178</definedName>
    <definedName name="vnt504_2">'Verification Report'!$AS$183</definedName>
    <definedName name="vnt504_3">'Verification Report'!$AS$190</definedName>
    <definedName name="vnt504_3_1">'Verification Report'!$AS$193</definedName>
    <definedName name="vnt504_3_2">'Verification Report'!$AS$195</definedName>
    <definedName name="vnt504_3_3">'Verification Report'!$AS$196</definedName>
    <definedName name="vnt504_3_4">'Verification Report'!$AS$198</definedName>
    <definedName name="vnt504_3_5">'Verification Report'!$AS$200</definedName>
    <definedName name="vnt504_3_6">'Verification Report'!$AS$204</definedName>
    <definedName name="vnt504_3_7">'Verification Report'!$AS$207</definedName>
    <definedName name="vnt504_3_8">'Verification Report'!$AS$208</definedName>
    <definedName name="vnt504_3_9">'Verification Report'!$AS$216</definedName>
    <definedName name="vnt505_1_1">'Verification Report'!$AS$223</definedName>
    <definedName name="vnt505_1_2">'Verification Report'!$AS$225</definedName>
    <definedName name="vnt505_1_3">'Verification Report'!$AS$226</definedName>
    <definedName name="vnt505_1_4">'Verification Report'!$AS$230</definedName>
    <definedName name="vnt505_2_1">'Verification Report'!$AS$236</definedName>
    <definedName name="vnt505_2_2">'Verification Report'!$AS$246</definedName>
    <definedName name="vnt505_3">'Verification Report'!$AS$249</definedName>
    <definedName name="vnt505_4">'Verification Report'!$AS$255</definedName>
    <definedName name="vnt505_5">'Verification Report'!$AS$256</definedName>
    <definedName name="vnt505_6">'Verification Report'!$AS$258</definedName>
    <definedName name="vnt601_1">'Verification Report'!$AS$268</definedName>
    <definedName name="vnt601_2_1">'Verification Report'!$AS$284</definedName>
    <definedName name="vnt601_2_2">'Verification Report'!$AS$287</definedName>
    <definedName name="vnt601_2_3">'Verification Report'!$AS$290</definedName>
    <definedName name="vnt601_3_1">'Verification Report'!$AS$294</definedName>
    <definedName name="vnt601_3_2">'Verification Report'!$AS$295</definedName>
    <definedName name="vnt601_3_3">'Verification Report'!$AS$296</definedName>
    <definedName name="vnt601_3_4">'Verification Report'!$AS$297</definedName>
    <definedName name="vnt601_3_5">'Verification Report'!$AS$298</definedName>
    <definedName name="vnt601_4">'Verification Report'!$AS$299</definedName>
    <definedName name="vnt601_5_1">'Verification Report'!$AS$305</definedName>
    <definedName name="vnt601_5_2">'Verification Report'!$AS$306</definedName>
    <definedName name="vnt601_5_3">'Verification Report'!$AS$307</definedName>
    <definedName name="vnt601_5_4">'Verification Report'!$AS$308</definedName>
    <definedName name="vnt601_5_5">'Verification Report'!$AS$309</definedName>
    <definedName name="vnt601_6">'Verification Report'!$AS$310</definedName>
    <definedName name="vnt601_7">'Verification Report'!$AS$315</definedName>
    <definedName name="vnt601_8">'Verification Report'!$AS$333</definedName>
    <definedName name="vnt601_9">'Verification Report'!$AS$341</definedName>
    <definedName name="vnt602_1_1_1">'Verification Report'!$AS$352</definedName>
    <definedName name="vnt602_1_1_2">'Verification Report'!$AS$355</definedName>
    <definedName name="vnt602_1_10">'Verification Report'!$AS$452</definedName>
    <definedName name="vnt602_1_11">'Verification Report'!$AS$464</definedName>
    <definedName name="vnt602_1_12">'Verification Report'!$AS$466</definedName>
    <definedName name="vnt602_1_13">'Verification Report'!$AS$469</definedName>
    <definedName name="vnt602_1_14_1">'Verification Report'!$AS$475</definedName>
    <definedName name="vnt602_1_14_2">'Verification Report'!$AS$477</definedName>
    <definedName name="vnt602_1_14_3">'Verification Report'!$AS$478</definedName>
    <definedName name="vnt602_1_2">'Verification Report'!$AS$357</definedName>
    <definedName name="vnt602_1_3_1">'Verification Report'!$AS$362</definedName>
    <definedName name="vnt602_1_3_2">'Verification Report'!$AS$364</definedName>
    <definedName name="vnt602_1_4_1_1">'Verification Report'!$AS$370</definedName>
    <definedName name="vnt602_1_4_1_2">'Verification Report'!$AS$372</definedName>
    <definedName name="vnt602_1_4_2_1">'Verification Report'!$AS$376</definedName>
    <definedName name="vnt602_1_4_2_2">'Verification Report'!$AS$378</definedName>
    <definedName name="vnt602_1_5">'Verification Report'!$AS$381</definedName>
    <definedName name="vnt602_1_6_1">'Verification Report'!$AS$390</definedName>
    <definedName name="vnt602_1_7_1_1">'Verification Report'!$AS$403</definedName>
    <definedName name="vnt602_1_7_1_2">'Verification Report'!$AS$405</definedName>
    <definedName name="vnt602_1_7_1_3">'Verification Report'!$AS$408</definedName>
    <definedName name="vnt602_1_7_2">'Verification Report'!$AS$410</definedName>
    <definedName name="vnt602_1_7_3">'Verification Report'!$AS$412</definedName>
    <definedName name="vnt602_1_8">'Verification Report'!$AS$416</definedName>
    <definedName name="vnt602_1_9_1">'Verification Report'!$AS$424</definedName>
    <definedName name="vnt602_1_9_2">'Verification Report'!$AS$434</definedName>
    <definedName name="vnt602_1_9_3">'Verification Report'!$AS$437</definedName>
    <definedName name="vnt602_1_9_4">'Verification Report'!$AS$438</definedName>
    <definedName name="vnt602_1_9_5">'Verification Report'!$AS$442</definedName>
    <definedName name="vnt602_1_9_6">'Verification Report'!$AS$448</definedName>
    <definedName name="vnt602_1_9_7">'Verification Report'!$AS$450</definedName>
    <definedName name="vnt602_2_1">'Verification Report'!$AS$483</definedName>
    <definedName name="vnt602_2_2">'Verification Report'!$AS$485</definedName>
    <definedName name="vnt602_2_3">'Verification Report'!$AS$486</definedName>
    <definedName name="vnt602_3">'Verification Report'!$AS$489</definedName>
    <definedName name="vnt602_4_1">'Verification Report'!$AS$493</definedName>
    <definedName name="vnt602_4_2">'Verification Report'!$AS$498</definedName>
    <definedName name="vnt602_4_3">'Verification Report'!$AS$500</definedName>
    <definedName name="vnt603_1">'Verification Report'!$AS$504</definedName>
    <definedName name="vnt603_2">'Verification Report'!$AS$510</definedName>
    <definedName name="vnt603_3">'Verification Report'!$AS$517</definedName>
    <definedName name="vnt604_1a">'Verification Report'!$AS$521</definedName>
    <definedName name="vnt604_1b">'Verification Report'!$AS$523</definedName>
    <definedName name="vnt604_1c">'Verification Report'!$AS$525</definedName>
    <definedName name="vnt604_1d">'Verification Report'!$AS$527</definedName>
    <definedName name="vnt605_1">'Verification Report'!$AS$533</definedName>
    <definedName name="vnt605_2">'Verification Report'!$AS$548</definedName>
    <definedName name="vnt605_3_2_a">'Verification Report'!$AS$561</definedName>
    <definedName name="vnt605_3_2_h">'Verification Report'!$AS$568</definedName>
    <definedName name="vnt605_3_2_i">'Verification Report'!$AS$569</definedName>
    <definedName name="vnt606_1_a">'Verification Report'!$AS$574</definedName>
    <definedName name="vnt606_2_1a">'Verification Report'!$AS$601</definedName>
    <definedName name="vnt606_2_1b">'Verification Report'!$AS$602</definedName>
    <definedName name="vnt606_2_2a">'Verification Report'!$AS$604</definedName>
    <definedName name="vnt606_2_2b">'Verification Report'!$AS$605</definedName>
    <definedName name="vnt606_3">'Verification Report'!$AS$607</definedName>
    <definedName name="vnt607_1_1">'Verification Report'!$AS$616</definedName>
    <definedName name="vnt607_1_2">'Verification Report'!$AS$618</definedName>
    <definedName name="vnt607_2">'Verification Report'!$AS$619</definedName>
    <definedName name="vnt608_1">'Verification Report'!$AS$622</definedName>
    <definedName name="vnt609_1a">'Verification Report'!$AS$631</definedName>
    <definedName name="vnt609_1b">'Verification Report'!$AS$634</definedName>
    <definedName name="vnt610_1_1_1">'Verification Report'!$AS$647</definedName>
    <definedName name="vnt610_1_1_2">'Verification Report'!$AS$656</definedName>
    <definedName name="vnt610_1_1_3">'Verification Report'!$AS$663</definedName>
    <definedName name="vnt610_1_2_1">'Verification Report'!$AS$669</definedName>
    <definedName name="vnt610_1_2_1_e">'Verification Report'!$AS$676</definedName>
    <definedName name="vnt610_1_2_2_e">'Verification Report'!$AS$701</definedName>
    <definedName name="vnt610_1_2_2a">'Verification Report'!$AS$683</definedName>
    <definedName name="vnt610_1_2_2b">'Verification Report'!$AS$689</definedName>
    <definedName name="vnt610_1_2_2c">'Verification Report'!$AS$695</definedName>
    <definedName name="vnt611_1">'Verification Report'!$AS$708</definedName>
    <definedName name="vnt611_2_1">'Verification Report'!$AS$719</definedName>
    <definedName name="vnt611_2_2">'Verification Report'!$AS$720</definedName>
    <definedName name="vnt611_2_3">'Verification Report'!$AS$721</definedName>
    <definedName name="vnt611_2_4">'Verification Report'!$AS$722</definedName>
    <definedName name="vnt611_2_5">'Verification Report'!$AS$723</definedName>
    <definedName name="vnt611_2_6">'Verification Report'!$AS$724</definedName>
    <definedName name="vnt611_2_7">'Verification Report'!$AS$725</definedName>
    <definedName name="vnt611_3_1">'Verification Report'!$AS$729</definedName>
    <definedName name="vnt611_3_2">'Verification Report'!$AS$734</definedName>
    <definedName name="vnt611_3_3">'Verification Report'!$AS$738</definedName>
    <definedName name="vnt611_3_4">'Verification Report'!$AS$740</definedName>
    <definedName name="vnt611_3_5">'Verification Report'!$AS$742</definedName>
    <definedName name="vnt611_3_6">'Verification Report'!$AS$743</definedName>
    <definedName name="vnt611_3_7">'Verification Report'!$AS$744</definedName>
    <definedName name="vnt611_3_8">'Verification Report'!$AS$748</definedName>
    <definedName name="vnt611_3_9">'Verification Report'!$AS$750</definedName>
    <definedName name="vnt611_4_1">'Verification Report'!$AS$757</definedName>
    <definedName name="vnt611_4_2">'Verification Report'!$AS$766</definedName>
    <definedName name="vnt701_1_">'Verification Report'!$AS$778</definedName>
    <definedName name="vnt701_1_1">'Verification Report'!$AS$781</definedName>
    <definedName name="vnt701_1_2">'Verification Report'!$AS$783</definedName>
    <definedName name="vnt701_1_3">'Verification Report'!$AS$786</definedName>
    <definedName name="vnt701_1_4">'Verification Report'!$AS$789</definedName>
    <definedName name="vnt701_3">'Verification Report'!$AS$799</definedName>
    <definedName name="vnt701_4_1">'Verification Report'!$AS$813</definedName>
    <definedName name="vnt701_4_1_1">'Verification Report'!$AS$804</definedName>
    <definedName name="vnt701_4_1_2">'Verification Report'!$AS$807</definedName>
    <definedName name="vnt701_4_2_2">'Verification Report'!$AS$816</definedName>
    <definedName name="vnt701_4_2_3">'Verification Report'!$AS$817</definedName>
    <definedName name="vnt701_4_3_1">'Verification Report'!$AS$820</definedName>
    <definedName name="vnt701_4_3_1_a">'Verification Report'!$AS$824</definedName>
    <definedName name="vnt701_4_3_1_b">'Verification Report'!$AS$825</definedName>
    <definedName name="vnt701_4_3_1_c">'Verification Report'!$AS$826</definedName>
    <definedName name="vnt701_4_3_1_d">'Verification Report'!$AS$827</definedName>
    <definedName name="vnt701_4_3_1_e">'Verification Report'!$AS$828</definedName>
    <definedName name="vnt701_4_3_1_f">'Verification Report'!$AS$829</definedName>
    <definedName name="vnt701_4_3_1_g">'Verification Report'!$AS$830</definedName>
    <definedName name="vnt701_4_3_1_h">'Verification Report'!$AS$831</definedName>
    <definedName name="vnt701_4_3_1_i">'Verification Report'!$AS$832</definedName>
    <definedName name="vnt701_4_3_1_j">'Verification Report'!$AS$833</definedName>
    <definedName name="vnt701_4_3_1_k">'Verification Report'!$AS$834</definedName>
    <definedName name="vnt701_4_3_1_l">'Verification Report'!$AS$835</definedName>
    <definedName name="vnt701_4_3_2_1_">'Verification Report'!$AS$839</definedName>
    <definedName name="vnt701_4_3_2_1_1">'Verification Report'!$AS$859</definedName>
    <definedName name="vnt701_4_3_2_1_10">'Verification Report'!$AS$876</definedName>
    <definedName name="vnt701_4_3_2_1_11">'Verification Report'!$AS$879</definedName>
    <definedName name="vnt701_4_3_2_1_2">'Verification Report'!$AS$860</definedName>
    <definedName name="vnt701_4_3_2_1_3">'Verification Report'!$AS$862</definedName>
    <definedName name="vnt701_4_3_2_1_4">'Verification Report'!$AS$863</definedName>
    <definedName name="vnt701_4_3_2_1_5">'Verification Report'!$AS$867</definedName>
    <definedName name="vnt701_4_3_2_1_6">'Verification Report'!$AS$869</definedName>
    <definedName name="vnt701_4_3_2_1_7">'Verification Report'!$AS$872</definedName>
    <definedName name="vnt701_4_3_2_1_8">'Verification Report'!$AS$874</definedName>
    <definedName name="vnt701_4_3_2_1_9">'Verification Report'!$AS$875</definedName>
    <definedName name="vnt701_4_3_2_1_a">'Verification Report'!$AS$844</definedName>
    <definedName name="vnt701_4_3_2_1_b">'Verification Report'!$AS$845</definedName>
    <definedName name="vnt701_4_3_2_1_c">'Verification Report'!$AS$847</definedName>
    <definedName name="vnt701_4_3_2_1_d">'Verification Report'!$AS$848</definedName>
    <definedName name="vnt701_4_3_2_1_e">'Verification Report'!$AS$850</definedName>
    <definedName name="vnt701_4_3_2_1_f">'Verification Report'!$AS$851</definedName>
    <definedName name="vnt701_4_3_2_1_g">'Verification Report'!$AS$852</definedName>
    <definedName name="vnt701_4_3_2_1_h">'Verification Report'!$AS$853</definedName>
    <definedName name="vnt701_4_3_2_2">'Verification Report'!$AS$855</definedName>
    <definedName name="vnt701_4_3_2e">'Verification Report'!$AS$842</definedName>
    <definedName name="vnt701_4_3_3_3">'Verification Report'!$AS$882</definedName>
    <definedName name="vnt701_4_3_3_4">'Verification Report'!$AS$885</definedName>
    <definedName name="vnt701_4_3_3_5">'Verification Report'!$AS$891</definedName>
    <definedName name="vnt701_4_4_1">'Verification Report'!$AS$899</definedName>
    <definedName name="vnt701_4_4_2">'Verification Report'!$AS$901</definedName>
    <definedName name="vnt701_4_5">'Verification Report'!$AS$902</definedName>
    <definedName name="vnt702_2_1">'Verification Report'!$AS$907</definedName>
    <definedName name="vnt702_2_2">'Verification Report'!$AS$911</definedName>
    <definedName name="vnt702_2_2_m">'Verification Report'!$AS$917</definedName>
    <definedName name="vnt702_2_3">'Verification Report'!$AS$920</definedName>
    <definedName name="vnt703_1_1">'Verification Report'!$AS$924</definedName>
    <definedName name="vnt703_1_2">'Verification Report'!$AS$937</definedName>
    <definedName name="vnt703_1_3">'Verification Report'!$AS$940</definedName>
    <definedName name="vnt703_2_1">'Verification Report'!$AS$946</definedName>
    <definedName name="vnt703_2_2">'Verification Report'!$AS$953</definedName>
    <definedName name="vnt703_2_3">'Verification Report'!$AS$955</definedName>
    <definedName name="vnt703_2_4">'Verification Report'!$AS$958</definedName>
    <definedName name="vnt703_2_5_1">'Verification Report'!$AS$962</definedName>
    <definedName name="vnt703_2_5_1_1">'Verification Report'!$AS$969</definedName>
    <definedName name="vnt703_2_5_2">'Verification Report'!$AS$977</definedName>
    <definedName name="vnt703_2_5_2_1">'Verification Report'!$AS$985</definedName>
    <definedName name="vnt703_3_0_1">'Verification Report'!$AS$994</definedName>
    <definedName name="vnt703_3_0_2">'Verification Report'!$AS$1000</definedName>
    <definedName name="vnt703_3_1">'Verification Report'!$AS$1007</definedName>
    <definedName name="vnt703_3_2__1">'Verification Report'!$AS$1013</definedName>
    <definedName name="vnt703_3_2__2">'Verification Report'!$AS$1019</definedName>
    <definedName name="vnt703_3_2__3">'Verification Report'!$AS$1022</definedName>
    <definedName name="vnt703_3_2__4">'Verification Report'!$AS$1027</definedName>
    <definedName name="vnt703_3_3__1">'Verification Report'!$AS$1033</definedName>
    <definedName name="vnt703_3_3__3">'Verification Report'!$AS$1039</definedName>
    <definedName name="vnt703_3_4_1">'Verification Report'!$AS$1043</definedName>
    <definedName name="vnt703_3_4_1_5">'Verification Report'!$AS$1048</definedName>
    <definedName name="vnt703_3_4_2">'Verification Report'!$AS$1050</definedName>
    <definedName name="vnt703_3_5">'Verification Report'!$AS$1051</definedName>
    <definedName name="vnt703_3_6">'Verification Report'!$AS$1055</definedName>
    <definedName name="vnt703_3_7_1">'Verification Report'!$AS$1061</definedName>
    <definedName name="vnt703_3_8">'Verification Report'!$AS$1068</definedName>
    <definedName name="vnt703_4_1">'Verification Report'!$AS$1074</definedName>
    <definedName name="vnt703_4_2">'Verification Report'!$AS$1076</definedName>
    <definedName name="vnt703_4_3_1">'Verification Report'!$AS$1079</definedName>
    <definedName name="vnt703_4_3_2">'Verification Report'!$AS$1080</definedName>
    <definedName name="vnt703_4_3_3">'Verification Report'!$AS$1082</definedName>
    <definedName name="vnt703_4_4">'Verification Report'!$AS$1084</definedName>
    <definedName name="vnt703_5_1">'Verification Report'!$AS$1094</definedName>
    <definedName name="vnt703_5_2">'Verification Report'!$AS$1112</definedName>
    <definedName name="vnt703_5_3">'Verification Report'!$AS$1114</definedName>
    <definedName name="vnt703_5_4">'Verification Report'!$AS$1116</definedName>
    <definedName name="vnt703_5_5">'Verification Report'!$AS$1117</definedName>
    <definedName name="vnt703_6_1_1">'Verification Report'!$AS$1128</definedName>
    <definedName name="vnt703_6_1_2">'Verification Report'!$AS$1130</definedName>
    <definedName name="vnt703_6_1_3">'Verification Report'!$AS$1132</definedName>
    <definedName name="vnt703_6_2__1">'Verification Report'!$AS$1135</definedName>
    <definedName name="vnt703_6_2__2">'Verification Report'!$AS$1136</definedName>
    <definedName name="vnt703_6_2__3">'Verification Report'!$AS$1137</definedName>
    <definedName name="vnt703_7_1">'Verification Report'!$AS$1163</definedName>
    <definedName name="vnt703_7_1_1">'Verification Report'!$AS$1142</definedName>
    <definedName name="vnt703_7_1_2">'Verification Report'!$AS$1144</definedName>
    <definedName name="vnt703_7_1_3">'Verification Report'!$AS$1146</definedName>
    <definedName name="vnt703_7_1_4">'Verification Report'!$AS$1148</definedName>
    <definedName name="vnt703_7_1_5">'Verification Report'!$AS$1150</definedName>
    <definedName name="vnt703_7_1_6_a">'Verification Report'!$AS$1153</definedName>
    <definedName name="vnt703_7_1_6_b">'Verification Report'!$AS$1155</definedName>
    <definedName name="vnt703_7_1_6_c">'Verification Report'!$AS$1156</definedName>
    <definedName name="vnt703_7_1_7">'Verification Report'!$AS$1158</definedName>
    <definedName name="vnt703_7_1_8">'Verification Report'!$AS$1161</definedName>
    <definedName name="vnt703_7_1_9">'Verification Report'!$AS$1162</definedName>
    <definedName name="vnt703_7_2">'Verification Report'!$AS$1168</definedName>
    <definedName name="vnt703_7_3_1_a">'Verification Report'!$AS$1176</definedName>
    <definedName name="vnt703_7_3_1_b">'Verification Report'!$AS$1178</definedName>
    <definedName name="vnt703_7_3_1_c">'Verification Report'!$AS$1179</definedName>
    <definedName name="vnt703_7_3_1_d">'Verification Report'!$AS$1180</definedName>
    <definedName name="vnt703_7_3_2">'Verification Report'!$AS$1182</definedName>
    <definedName name="vnt703_7_3_3">'Verification Report'!$AS$1185</definedName>
    <definedName name="vnt703_7_3_4">'Verification Report'!$AS$1186</definedName>
    <definedName name="vnt703_7_3_5_a">'Verification Report'!$AS$1191</definedName>
    <definedName name="vnt703_7_3_5_b">'Verification Report'!$AS$1193</definedName>
    <definedName name="vnt703_7_3_6">'Verification Report'!$AS$1195</definedName>
    <definedName name="vnt703_7_4_1">'Verification Report'!$AS$1200</definedName>
    <definedName name="vnt703_7_4_2_a">'Verification Report'!$AS$1204</definedName>
    <definedName name="vnt703_7_4_2_b">'Verification Report'!$AS$1207</definedName>
    <definedName name="vnt703_7_4_2_c">'Verification Report'!$AS$1215</definedName>
    <definedName name="vnt703_7_4_3">'Verification Report'!$AS$1218</definedName>
    <definedName name="vnt704_1">'Verification Report'!$AS$1221</definedName>
    <definedName name="vnt705_2_1_1">'Verification Report'!$AS$1234</definedName>
    <definedName name="vnt705_2_1_2">'Verification Report'!$AS$1238</definedName>
    <definedName name="vnt705_2_1_3_1">'Verification Report'!$AS$1241</definedName>
    <definedName name="vnt705_2_1_3_2">'Verification Report'!$AS$1245</definedName>
    <definedName name="vnt705_2_1_4">'Verification Report'!$AS$1250</definedName>
    <definedName name="vnt705_2_2">'Verification Report'!$AS$1255</definedName>
    <definedName name="vnt705_2_3">'Verification Report'!$AS$1258</definedName>
    <definedName name="vnt705_2_4">'Verification Report'!$AS$1260</definedName>
    <definedName name="vnt705_3">'Verification Report'!$AS$1263</definedName>
    <definedName name="vnt705_4">'Verification Report'!$AS$1264</definedName>
    <definedName name="vnt705_5_1">'Verification Report'!$AS$1268</definedName>
    <definedName name="vnt705_5_2">'Verification Report'!$AS$1273</definedName>
    <definedName name="vnt705_5_2_1">'Verification Report'!$AS$1275</definedName>
    <definedName name="vnt705_5_2_2">'Verification Report'!$AS$1276</definedName>
    <definedName name="vnt705_5_2_3">'Verification Report'!$AS$1277</definedName>
    <definedName name="vnt705_5_2_4">'Verification Report'!$AS$1278</definedName>
    <definedName name="vnt705_5_2_5">'Verification Report'!$AS$1279</definedName>
    <definedName name="vnt705_5_2_6">'Verification Report'!$AS$1280</definedName>
    <definedName name="vnt705_6_1">'Verification Report'!$AS$1282</definedName>
    <definedName name="vnt705_6_2_1_1">'Verification Report'!$AS$1295</definedName>
    <definedName name="vnt705_6_2_1_1_1">'Verification Report'!$AS$1295</definedName>
    <definedName name="vnt705_6_2_1_2">'Verification Report'!$AS$1298</definedName>
    <definedName name="vnt705_6_2_2">'Verification Report'!$AS$1301</definedName>
    <definedName name="vnt705_6_2_3">'Verification Report'!$AS$1309</definedName>
    <definedName name="vnt705_6_3_a">'Verification Report'!$AS$1318</definedName>
    <definedName name="vnt705_6_3_b">'Verification Report'!$AS$1319</definedName>
    <definedName name="vnt705_6_3_c">'Verification Report'!$AS$1320</definedName>
    <definedName name="vnt705_6_3_d">'Verification Report'!$AS$1321</definedName>
    <definedName name="vnt705_6_3_e">'Verification Report'!$AS$1322</definedName>
    <definedName name="vnt705_6_3_f">'Verification Report'!$AS$1323</definedName>
    <definedName name="vnt705_6_3_g">'Verification Report'!$AS$1324</definedName>
    <definedName name="vnt705_6_4_1">'Verification Report'!$AS$1327</definedName>
    <definedName name="vnt705_6_4_2">'Verification Report'!$AS$1329</definedName>
    <definedName name="vnt705_7">'Verification Report'!$AS$1331</definedName>
    <definedName name="vnt706_1_1">'Verification Report'!$AS$1338</definedName>
    <definedName name="vnt706_1_2">'Verification Report'!$AS$1339</definedName>
    <definedName name="vnt706_1_3">'Verification Report'!$AS$1340</definedName>
    <definedName name="vnt706_1_4">'Verification Report'!$AS$1341</definedName>
    <definedName name="vnt706_1_5">'Verification Report'!$AS$1343</definedName>
    <definedName name="vnt706_2_1">'Verification Report'!$AS$1346</definedName>
    <definedName name="vnt706_2_2">'Verification Report'!$AS$1349</definedName>
    <definedName name="vnt706_3">'Verification Report'!$AS$1356</definedName>
    <definedName name="vnt706_3_1">'Verification Report'!$AS$1364</definedName>
    <definedName name="vnt706_3_2">'Verification Report'!$AS$1365</definedName>
    <definedName name="vnt706_3_3">'Verification Report'!$AS$1366</definedName>
    <definedName name="vnt706_3_4">'Verification Report'!$AS$1367</definedName>
    <definedName name="vnt706_3_5">'Verification Report'!$AS$1368</definedName>
    <definedName name="vnt706_3_6">'Verification Report'!$AS$1369</definedName>
    <definedName name="vnt706_3_7">'Verification Report'!$AS$1370</definedName>
    <definedName name="vnt706_3_8">'Verification Report'!$AS$1371</definedName>
    <definedName name="vnt706_4_1_1">'Verification Report'!$AS$1374</definedName>
    <definedName name="vnt706_4_1_2">'Verification Report'!$AS$1376</definedName>
    <definedName name="vnt706_4_2">'Verification Report'!$AS$1378</definedName>
    <definedName name="vnt706_5">'Verification Report'!$AS$1380</definedName>
    <definedName name="vnt706_6">'Verification Report'!$AS$1389</definedName>
    <definedName name="vnt706_7_1">'Verification Report'!$AS$1393</definedName>
    <definedName name="vnt706_7_2">'Verification Report'!$AS$1394</definedName>
    <definedName name="vnt706_8">'Verification Report'!$AS$1397</definedName>
    <definedName name="vnt706_9">'Verification Report'!$AS$1400</definedName>
    <definedName name="vnt801_1_1">'Verification Report'!$AS$1421</definedName>
    <definedName name="vnt801_1_5">'Verification Report'!$AS$1432</definedName>
    <definedName name="vnt801_1_6">'Verification Report'!$AS$1437</definedName>
    <definedName name="vnt801_2_1">'Verification Report'!$AS$1442</definedName>
    <definedName name="vnt801_2_2">'Verification Report'!$AS$1443</definedName>
    <definedName name="vnt801_3_1">'Verification Report'!$AS$1450</definedName>
    <definedName name="vnt801_3_2">'Verification Report'!$AS$1459</definedName>
    <definedName name="vnt801_3_3">'Verification Report'!$AS$1464</definedName>
    <definedName name="vnt801_4_1_1">'Verification Report'!$AS$1469</definedName>
    <definedName name="vnt801_4_1_2">'Verification Report'!$AS$1473</definedName>
    <definedName name="vnt801_4_2">'Verification Report'!$AS$1474</definedName>
    <definedName name="vnt801_5_1">'Verification Report'!$AS$1479</definedName>
    <definedName name="vnt801_5_2">'Verification Report'!$AS$1481</definedName>
    <definedName name="vnt801_5_3">'Verification Report'!$AS$1487</definedName>
    <definedName name="vnt801_5_4_a">'Verification Report'!$AS$1490</definedName>
    <definedName name="vnt801_5_4_b">'Verification Report'!$AS$1494</definedName>
    <definedName name="vnt801_5_4_c">'Verification Report'!$AS$1496</definedName>
    <definedName name="vnt801_6_1">'Verification Report'!$AS$1498</definedName>
    <definedName name="vnt801_6_2_1">'Verification Report'!$AS$1502</definedName>
    <definedName name="vnt801_6_2_2">'Verification Report'!$AS$1503</definedName>
    <definedName name="vnt801_6_2_3">'Verification Report'!$AS$1504</definedName>
    <definedName name="vnt801_6_3">'Verification Report'!$AS$1506</definedName>
    <definedName name="vnt801_6_4_1">'Verification Report'!$AS$1512</definedName>
    <definedName name="vnt801_6_4_2">'Verification Report'!$AS$1514</definedName>
    <definedName name="vnt801_6_4_3">'Verification Report'!$AS$1515</definedName>
    <definedName name="vnt801_6_5">'Verification Report'!$AS$1519</definedName>
    <definedName name="vnt801_7_1">'Verification Report'!$AS$1523</definedName>
    <definedName name="vnt801_7_2_1">'Verification Report'!$AS$1537</definedName>
    <definedName name="vnt801_7_2_2">'Verification Report'!$AS$1539</definedName>
    <definedName name="vnt801_8">'Verification Report'!$AS$1540</definedName>
    <definedName name="vnt802_1_1">'Verification Report'!$AS$1547</definedName>
    <definedName name="vnt802_1_2">'Verification Report'!$AS$1549</definedName>
    <definedName name="vnt802_2">'Verification Report'!$AS$1550</definedName>
    <definedName name="vnt802_3_1">'Verification Report'!$AS$1556</definedName>
    <definedName name="vnt802_3_2">'Verification Report'!$AS$1557</definedName>
    <definedName name="vnt802_4">'Verification Report'!$AS$1558</definedName>
    <definedName name="vnt802_5">'Verification Report'!$AS$1561</definedName>
    <definedName name="vnt802_6">'Verification Report'!$AS$1563</definedName>
    <definedName name="vnt901_1_1">'Verification Report'!$AS$1569</definedName>
    <definedName name="vnt901_1_2">'Verification Report'!$AS$1575</definedName>
    <definedName name="vnt901_1_3_1">'Verification Report'!$AS$1580</definedName>
    <definedName name="vnt901_1_3_2">'Verification Report'!$AS$1583</definedName>
    <definedName name="vnt901_1_4">'Verification Report'!$AS$1586</definedName>
    <definedName name="vnt901_1_5">'Verification Report'!$AS$1590</definedName>
    <definedName name="vnt901_1_6">'Verification Report'!$AS$1593</definedName>
    <definedName name="vnt901_10_1">'Verification Report'!$AS$1705</definedName>
    <definedName name="vnt901_10_2">'Verification Report'!$AS$1710</definedName>
    <definedName name="vnt901_10_3">'Verification Report'!$AS$1711</definedName>
    <definedName name="vnt901_11">'Verification Report'!$AS$1715</definedName>
    <definedName name="vnt901_12">'Verification Report'!$AS$1720</definedName>
    <definedName name="vnt901_13">'Verification Report'!$AS$1722</definedName>
    <definedName name="vnt901_14_1">'Verification Report'!$AS$1728</definedName>
    <definedName name="vnt901_14_2">'Verification Report'!$AS$1730</definedName>
    <definedName name="vnt901_2_1_1">'Verification Report'!$AS$1599</definedName>
    <definedName name="vnt901_2_1_2">'Verification Report'!$AS$1602</definedName>
    <definedName name="vnt901_2_1_3">'Verification Report'!$AS$1604</definedName>
    <definedName name="vnt901_2_1_4">'Verification Report'!$AS$1607</definedName>
    <definedName name="vnt901_2_1_5">'Verification Report'!$AS$1609</definedName>
    <definedName name="vnt901_2_2">'Verification Report'!$AS$1611</definedName>
    <definedName name="vnt901_3_1_a">'Verification Report'!$AS$1614</definedName>
    <definedName name="vnt901_3_1_b">'Verification Report'!$AS$1616</definedName>
    <definedName name="vnt901_3_1_c">'Verification Report'!$AS$1618</definedName>
    <definedName name="vnt901_3_2">'Verification Report'!$AS$1624</definedName>
    <definedName name="vnt901_4_1">'Verification Report'!$AS$1628</definedName>
    <definedName name="vnt901_4_a">'Verification Report'!$AS$1633</definedName>
    <definedName name="vnt901_5_1">'Verification Report'!$AS$1647</definedName>
    <definedName name="vnt901_5_2">'Verification Report'!$AS$1649</definedName>
    <definedName name="vnt901_6">'Verification Report'!$AS$1652</definedName>
    <definedName name="vnt901_7_1">'Verification Report'!$AS$1661</definedName>
    <definedName name="vnt901_7_2">'Verification Report'!$AS$1671</definedName>
    <definedName name="vnt901_8">'Verification Report'!$AS$1675</definedName>
    <definedName name="vnt901_9">'Verification Report'!$AS$1681</definedName>
    <definedName name="vnt901_9_1_1">'Verification Report'!$AS$1686</definedName>
    <definedName name="vnt901_9_1_2">'Verification Report'!$AS$1688</definedName>
    <definedName name="vnt901_9_1_3">'Verification Report'!$AS$1689</definedName>
    <definedName name="vnt901_9_2">'Verification Report'!$AS$1691</definedName>
    <definedName name="vnt901_9_3">'Verification Report'!$AS$1696</definedName>
    <definedName name="vnt902_1_1">'Verification Report'!$AS$1736</definedName>
    <definedName name="vnt902_1_1_a">'Verification Report'!$AS$1738</definedName>
    <definedName name="vnt902_1_2">'Verification Report'!$AS$1745</definedName>
    <definedName name="vnt902_1_2_">'Verification Report'!$AS$1740</definedName>
    <definedName name="vnt902_1_3">'Verification Report'!$AS$1749</definedName>
    <definedName name="vnt902_1_3_">'Verification Report'!$AS$1742</definedName>
    <definedName name="vnt902_1_4">'Verification Report'!$AS$1753</definedName>
    <definedName name="vnt902_1_5_1">'Verification Report'!$AS$1760</definedName>
    <definedName name="vnt902_1_5_2">'Verification Report'!$AS$1762</definedName>
    <definedName name="vnt902_1_5_3">'Verification Report'!$AS$1764</definedName>
    <definedName name="vnt902_2_1">'Verification Report'!$AS$1768</definedName>
    <definedName name="vnt902_2_2">'Verification Report'!$AS$1777</definedName>
    <definedName name="vnt902_2_3">'Verification Report'!$AS$1779</definedName>
    <definedName name="vnt902_2_4">'Verification Report'!$AS$1782</definedName>
    <definedName name="vnt902_3">'Verification Report'!$AS$1785</definedName>
    <definedName name="vnt902_4_1">'Verification Report'!$AS$1794</definedName>
    <definedName name="vnt902_4_2">'Verification Report'!$AS$1796</definedName>
    <definedName name="vnt902_5">'Verification Report'!$AS$1799</definedName>
    <definedName name="vnt902_6">'Verification Report'!$AS$1801</definedName>
    <definedName name="vnt903_1">'Verification Report'!$AS$1805</definedName>
    <definedName name="vnt903_2">'Verification Report'!$AS$1809</definedName>
    <definedName name="vnt903_3">'Verification Report'!$AS$1813</definedName>
    <definedName name="vnt904_1">'Verification Report'!$AS$1821</definedName>
    <definedName name="vnt904_2">'Verification Report'!$AS$1826</definedName>
    <definedName name="vnt905_1">'Verification Report'!$AS$1830</definedName>
    <definedName name="vnt905_2">'Verification Report'!$AS$1835</definedName>
    <definedName name="vpa1001_1">'Verification Report'!$AM$1840</definedName>
    <definedName name="vpa1001_1_1">'Verification Report'!$AM$1843</definedName>
    <definedName name="vpa1001_1_2">'Verification Report'!$AM$1844</definedName>
    <definedName name="vpa1001_1_3">'Verification Report'!$AM$1845</definedName>
    <definedName name="vpa1001_2">'Verification Report'!$AM$1888</definedName>
    <definedName name="vpa1002_1">'Verification Report'!$AM$1906</definedName>
    <definedName name="vpa1002_1_1">'Verification Report'!$AM$1909</definedName>
    <definedName name="vpa1002_1_2">'Verification Report'!$AM$1912</definedName>
    <definedName name="vpa1002_1_3">'Verification Report'!$AM$1915</definedName>
    <definedName name="vpa1002_2">'Verification Report'!$AM$1924</definedName>
    <definedName name="vpa1002_2_1">'Verification Report'!$AM$1928</definedName>
    <definedName name="vpa1002_2_2">'Verification Report'!$AM$1930</definedName>
    <definedName name="vpa1002_3">'Verification Report'!$AM$1951</definedName>
    <definedName name="vpa1002_3_1">'Verification Report'!$AM$1955</definedName>
    <definedName name="vpa1002_4">'Verification Report'!$AM$1977</definedName>
    <definedName name="vpa1003_1">'Verification Report'!$AM$1993</definedName>
    <definedName name="vpa1003_1_1">'Verification Report'!$AM$1994</definedName>
    <definedName name="vpa1003_1_2">'Verification Report'!$AM$1996</definedName>
    <definedName name="vpa1003_1_3">'Verification Report'!$AM$1999</definedName>
    <definedName name="vpa1004_1_1">'Verification Report'!$AM$2012</definedName>
    <definedName name="vpa1004_1_2">'Verification Report'!$AM$2014</definedName>
    <definedName name="vpa501_1_1">'Verification Report'!$AM$14</definedName>
    <definedName name="vpa501_1_2_a">'Verification Report'!$AM$16</definedName>
    <definedName name="vpa501_1_2_b">'Verification Report'!$AM$17</definedName>
    <definedName name="vpa501_1_2_c">'Verification Report'!$AM$18</definedName>
    <definedName name="vpa501_2_1">'Verification Report'!$AM$21</definedName>
    <definedName name="vpa501_2_2">'Verification Report'!$AM$23</definedName>
    <definedName name="vpa501_2_3">'Verification Report'!$AM$25</definedName>
    <definedName name="vpa501_2_4">'Verification Report'!$AM$27</definedName>
    <definedName name="vpa501_2_5">'Verification Report'!$AM$36</definedName>
    <definedName name="vpa501_2_6_a">'Verification Report'!$AM$41</definedName>
    <definedName name="vpa501_2_6_b">'Verification Report'!$AM$42</definedName>
    <definedName name="vpa501_2_6_c">'Verification Report'!$AM$43</definedName>
    <definedName name="vpa502_1">'Verification Report'!$AM$45</definedName>
    <definedName name="vpa503_1_1">'Verification Report'!$AM$56</definedName>
    <definedName name="vpa503_1_2">'Verification Report'!$AM$57</definedName>
    <definedName name="vpa503_1_3">'Verification Report'!$AM$59</definedName>
    <definedName name="vpa503_1_4">'Verification Report'!$AM$61</definedName>
    <definedName name="vpa503_1_5">'Verification Report'!$AM$62</definedName>
    <definedName name="vpa503_1_6">'Verification Report'!$AM$63</definedName>
    <definedName name="vpa503_1_7">'Verification Report'!$AM$65</definedName>
    <definedName name="vpa503_2_1">'Verification Report'!$AM$69</definedName>
    <definedName name="vpa503_2_2">'Verification Report'!$AM$70</definedName>
    <definedName name="vpa503_2_3_a">'Verification Report'!$AM$74</definedName>
    <definedName name="vpa503_2_3_b">'Verification Report'!$AM$75</definedName>
    <definedName name="vpa503_2_3_c">'Verification Report'!$AM$76</definedName>
    <definedName name="vpa503_2_4">'Verification Report'!$AM$77</definedName>
    <definedName name="vpa503_2_5">'Verification Report'!$AM$79</definedName>
    <definedName name="vpa503_3_1">'Verification Report'!$AM$83</definedName>
    <definedName name="vpa503_3_2">'Verification Report'!$AM$85</definedName>
    <definedName name="vpa503_3_3">'Verification Report'!$AM$92</definedName>
    <definedName name="vpa503_4_1">'Verification Report'!$AM$100</definedName>
    <definedName name="vpa503_4_2">'Verification Report'!$AM$103</definedName>
    <definedName name="vpa503_4_3_a">'Verification Report'!$AM$111</definedName>
    <definedName name="vpa503_4_3_b">'Verification Report'!$AM$112</definedName>
    <definedName name="vpa503_4_3_c">'Verification Report'!$AM$113</definedName>
    <definedName name="vpa503_4_4_a">'Verification Report'!$AM$116</definedName>
    <definedName name="vpa503_4_4_b">'Verification Report'!$AM$117</definedName>
    <definedName name="vpa503_4_4_c">'Verification Report'!$AM$118</definedName>
    <definedName name="vpa503_5_1_a">'Verification Report'!$AM$125</definedName>
    <definedName name="vpa503_5_1_b">'Verification Report'!$AM$126</definedName>
    <definedName name="vpa503_5_1_c">'Verification Report'!$AM$127</definedName>
    <definedName name="vpa503_5_1_d">'Verification Report'!$AM$128</definedName>
    <definedName name="vpa503_5_10">'Verification Report'!$AM$151</definedName>
    <definedName name="vpa503_5_11">'Verification Report'!$AM$153</definedName>
    <definedName name="vpa503_5_12">'Verification Report'!$AM$155</definedName>
    <definedName name="vpa503_5_2">'Verification Report'!$AM$129</definedName>
    <definedName name="vpa503_5_3">'Verification Report'!$AM$131</definedName>
    <definedName name="vpa503_5_4">'Verification Report'!$AM$133</definedName>
    <definedName name="vpa503_5_5_a">'Verification Report'!$AM$136</definedName>
    <definedName name="vpa503_5_5_b">'Verification Report'!$AM$137</definedName>
    <definedName name="vpa503_5_5_c">'Verification Report'!$AM$138</definedName>
    <definedName name="vpa503_5_5_d">'Verification Report'!$AM$139</definedName>
    <definedName name="vpa503_5_6">'Verification Report'!$AM$140</definedName>
    <definedName name="vpa503_5_7">'Verification Report'!$AM$141</definedName>
    <definedName name="vpa503_5_8">'Verification Report'!$AM$146</definedName>
    <definedName name="vpa503_5_9">'Verification Report'!$AM$148</definedName>
    <definedName name="vpa503_6_1">'Verification Report'!$AM$159</definedName>
    <definedName name="vpa503_6_2">'Verification Report'!$AM$160</definedName>
    <definedName name="vpa503_6_3">'Verification Report'!$AM$161</definedName>
    <definedName name="vpa503_6_4">'Verification Report'!$AM$163</definedName>
    <definedName name="vpa503_7_1">'Verification Report'!$AM$166</definedName>
    <definedName name="vpa503_7_2">'Verification Report'!$AM$168</definedName>
    <definedName name="vpa503_8">'Verification Report'!$AM$170</definedName>
    <definedName name="vpa504_1">'Verification Report'!$AM$178</definedName>
    <definedName name="vpa504_2_1">'Verification Report'!$AM$185</definedName>
    <definedName name="vpa504_2_2">'Verification Report'!$AM$186</definedName>
    <definedName name="vpa504_2_3">'Verification Report'!$AM$188</definedName>
    <definedName name="vpa504_3_1">'Verification Report'!$AM$193</definedName>
    <definedName name="vpa504_3_2">'Verification Report'!$AM$195</definedName>
    <definedName name="vpa504_3_3">'Verification Report'!$AM$196</definedName>
    <definedName name="vpa504_3_4">'Verification Report'!$AM$198</definedName>
    <definedName name="vpa504_3_5">'Verification Report'!$AM$200</definedName>
    <definedName name="vpa504_3_6">'Verification Report'!$AM$204</definedName>
    <definedName name="vpa504_3_7">'Verification Report'!$AM$207</definedName>
    <definedName name="vpa504_3_8">'Verification Report'!$AM$208</definedName>
    <definedName name="vpa504_3_9">'Verification Report'!$AM$216</definedName>
    <definedName name="vpa505_1_1">'Verification Report'!$AM$223</definedName>
    <definedName name="vpa505_1_2">'Verification Report'!$AM$225</definedName>
    <definedName name="vpa505_1_3_a">'Verification Report'!$AM$227</definedName>
    <definedName name="vpa505_1_3_b">'Verification Report'!$AM$228</definedName>
    <definedName name="vpa505_1_3_c">'Verification Report'!$AM$229</definedName>
    <definedName name="vpa505_1_4_a">'Verification Report'!$AM$232</definedName>
    <definedName name="vpa505_1_4_b">'Verification Report'!$AM$233</definedName>
    <definedName name="vpa505_1_4_c">'Verification Report'!$AM$234</definedName>
    <definedName name="vpa505_2_1">'Verification Report'!$AM$236</definedName>
    <definedName name="vpa505_2_2">'Verification Report'!$AM$246</definedName>
    <definedName name="vpa505_3_1">'Verification Report'!$AM$250</definedName>
    <definedName name="vpa505_3_2">'Verification Report'!$AM$251</definedName>
    <definedName name="vpa505_3_3">'Verification Report'!$AM$252</definedName>
    <definedName name="vpa505_3_4">'Verification Report'!$AM$253</definedName>
    <definedName name="vpa505_3_5">'Verification Report'!$AM$254</definedName>
    <definedName name="vpa505_4">'Verification Report'!$AM$255</definedName>
    <definedName name="vpa505_5">'Verification Report'!$AM$256</definedName>
    <definedName name="vpa505_6">'Verification Report'!$AM$258</definedName>
    <definedName name="vpa601_1_1">'Verification Report'!$AM$272</definedName>
    <definedName name="vpa601_1_2">'Verification Report'!$AM$273</definedName>
    <definedName name="vpa601_1_3">'Verification Report'!$AM$274</definedName>
    <definedName name="vpa601_1_4">'Verification Report'!$AM$275</definedName>
    <definedName name="vpa601_1_5">'Verification Report'!$AM$276</definedName>
    <definedName name="vpa601_2_1">'Verification Report'!$AM$284</definedName>
    <definedName name="vpa601_2_2">'Verification Report'!$AM$287</definedName>
    <definedName name="vpa601_2_3">'Verification Report'!$AM$290</definedName>
    <definedName name="vpa601_3_1">'Verification Report'!$AM$294</definedName>
    <definedName name="vpa601_3_2">'Verification Report'!$AM$295</definedName>
    <definedName name="vpa601_3_3">'Verification Report'!$AM$296</definedName>
    <definedName name="vpa601_3_4">'Verification Report'!$AM$297</definedName>
    <definedName name="vpa601_3_5">'Verification Report'!$AM$298</definedName>
    <definedName name="vpa601_4">'Verification Report'!$AM$299</definedName>
    <definedName name="vpa601_5">'Verification Report'!$AM$302</definedName>
    <definedName name="vpa601_5_1">'Verification Report'!$AM$305</definedName>
    <definedName name="vpa601_5_2">'Verification Report'!$AM$306</definedName>
    <definedName name="vpa601_5_3">'Verification Report'!$AM$307</definedName>
    <definedName name="vpa601_5_4">'Verification Report'!$AM$308</definedName>
    <definedName name="vpa601_5_5">'Verification Report'!$AM$309</definedName>
    <definedName name="vpa601_6">'Verification Report'!$AM$310</definedName>
    <definedName name="vpa601_6_1">'Verification Report'!$AM$313</definedName>
    <definedName name="vpa601_6_2">'Verification Report'!$AM$314</definedName>
    <definedName name="vpa601_7">'Verification Report'!$AM$315</definedName>
    <definedName name="vpa601_7_1">'Verification Report'!$AM$328</definedName>
    <definedName name="vpa601_7_2">'Verification Report'!$AM$329</definedName>
    <definedName name="vpa601_7_3">'Verification Report'!$AM$331</definedName>
    <definedName name="vpa601_8">'Verification Report'!$AM$333</definedName>
    <definedName name="vpa601_9">'Verification Report'!$AM$341</definedName>
    <definedName name="vpa602_1_1_1">'Verification Report'!$AM$352</definedName>
    <definedName name="vpa602_1_1_2">'Verification Report'!$AM$355</definedName>
    <definedName name="vpa602_1_10">'Verification Report'!$AM$451</definedName>
    <definedName name="vpa602_1_11">'Verification Report'!$AM$464</definedName>
    <definedName name="vpa602_1_12">'Verification Report'!$AM$466</definedName>
    <definedName name="vpa602_1_13">'Verification Report'!$AM$469</definedName>
    <definedName name="vpa602_1_14_1">'Verification Report'!$AM$475</definedName>
    <definedName name="vpa602_1_14_2">'Verification Report'!$AM$477</definedName>
    <definedName name="vpa602_1_14_3">'Verification Report'!$AM$478</definedName>
    <definedName name="vpa602_1_2">'Verification Report'!$AM$357</definedName>
    <definedName name="vpa602_1_3_1">'Verification Report'!$AM$362</definedName>
    <definedName name="vpa602_1_3_2">'Verification Report'!$AM$364</definedName>
    <definedName name="vpa602_1_4_1_1">'Verification Report'!$AM$370</definedName>
    <definedName name="vpa602_1_4_1_2">'Verification Report'!$AM$372</definedName>
    <definedName name="vpa602_1_4_2_1">'Verification Report'!$AM$376</definedName>
    <definedName name="vpa602_1_4_2_2">'Verification Report'!$AM$378</definedName>
    <definedName name="vpa602_1_5_1">'Verification Report'!$AM$382</definedName>
    <definedName name="vpa602_1_5_2">'Verification Report'!$AM$384</definedName>
    <definedName name="vpa602_1_6_1">'Verification Report'!$AM$390</definedName>
    <definedName name="vpa602_1_6_2">'Verification Report'!$AM$394</definedName>
    <definedName name="vpa602_1_6_3">'Verification Report'!$AM$398</definedName>
    <definedName name="vpa602_1_7_1_1">'Verification Report'!$AM$403</definedName>
    <definedName name="vpa602_1_7_1_2">'Verification Report'!$AM$405</definedName>
    <definedName name="vpa602_1_7_1_3">'Verification Report'!$AM$408</definedName>
    <definedName name="vpa602_1_7_2">'Verification Report'!$AM$410</definedName>
    <definedName name="vpa602_1_7_3">'Verification Report'!$AM$412</definedName>
    <definedName name="vpa602_1_8">'Verification Report'!$AM$416</definedName>
    <definedName name="vpa602_1_9_1">'Verification Report'!$AM$424</definedName>
    <definedName name="vpa602_1_9_2">'Verification Report'!$AM$434</definedName>
    <definedName name="vpa602_1_9_3">'Verification Report'!$AM$437</definedName>
    <definedName name="vpa602_1_9_4">'Verification Report'!$AM$438</definedName>
    <definedName name="vpa602_1_9_5_a">'Verification Report'!$AM$443</definedName>
    <definedName name="vpa602_1_9_5_b">'Verification Report'!$AM$446</definedName>
    <definedName name="vpa602_1_9_6">'Verification Report'!$AM$448</definedName>
    <definedName name="vpa602_1_9_7">'Verification Report'!$AM$450</definedName>
    <definedName name="vpa602_2">'Verification Report'!$AM$479</definedName>
    <definedName name="vpa602_3">'Verification Report'!$AM$489</definedName>
    <definedName name="vpa602_4_1">'Verification Report'!$AM$493</definedName>
    <definedName name="vpa602_4_2">'Verification Report'!$AM$498</definedName>
    <definedName name="vpa602_4_3">'Verification Report'!$AM$500</definedName>
    <definedName name="vpa603_1">'Verification Report'!$AM$504</definedName>
    <definedName name="vpa603_2">'Verification Report'!$AM$510</definedName>
    <definedName name="vpa603_3">'Verification Report'!$AM$517</definedName>
    <definedName name="vpa604_1a">'Verification Report'!$AM$521</definedName>
    <definedName name="vpa605_1">'Verification Report'!$AM$533</definedName>
    <definedName name="vpa605_2">'Verification Report'!$AM$548</definedName>
    <definedName name="vpa605_3">'Verification Report'!$AM$557</definedName>
    <definedName name="vpa605_3_1">'Verification Report'!$AM$559</definedName>
    <definedName name="vpa605_3_2">'Verification Report'!$AM$560</definedName>
    <definedName name="vpa606_1_1">'Verification Report'!$AM$584</definedName>
    <definedName name="vpa606_1_2">'Verification Report'!$AM$586</definedName>
    <definedName name="vpa606_1_3">'Verification Report'!$AM$588</definedName>
    <definedName name="vpa606_2_1a">'Verification Report'!$AM$601</definedName>
    <definedName name="vpa606_2_2a">'Verification Report'!$AM$604</definedName>
    <definedName name="vpa606_3">'Verification Report'!$AM$607</definedName>
    <definedName name="vpa607_1_1">'Verification Report'!$AM$616</definedName>
    <definedName name="vpa607_1_2">'Verification Report'!$AM$618</definedName>
    <definedName name="vpa607_2">'Verification Report'!$AM$619</definedName>
    <definedName name="vpa608_1">'Verification Report'!$AM$622</definedName>
    <definedName name="vpa609_1a">'Verification Report'!$AM$631</definedName>
    <definedName name="vpa610_1_1_1">'Verification Report'!$AM$647</definedName>
    <definedName name="vpa610_1_1_2">'Verification Report'!$AM$656</definedName>
    <definedName name="vpa610_1_1_3">'Verification Report'!$AM$663</definedName>
    <definedName name="vpa610_1_2">'Verification Report'!$AM$665</definedName>
    <definedName name="vpa610_1_2_1">'Verification Report'!$AM$669</definedName>
    <definedName name="vpa610_1_2_2a">'Verification Report'!$AM$683</definedName>
    <definedName name="vpa611_1">'Verification Report'!$AM$708</definedName>
    <definedName name="vpa611_2">'Verification Report'!$AM$716</definedName>
    <definedName name="vpa611_2_1">'Verification Report'!$AM$719</definedName>
    <definedName name="vpa611_2_2">'Verification Report'!$AM$720</definedName>
    <definedName name="vpa611_2_3">'Verification Report'!$AM$721</definedName>
    <definedName name="vpa611_2_4">'Verification Report'!$AM$722</definedName>
    <definedName name="vpa611_2_5">'Verification Report'!$AM$723</definedName>
    <definedName name="vpa611_2_6">'Verification Report'!$AM$724</definedName>
    <definedName name="vpa611_2_7">'Verification Report'!$AM$725</definedName>
    <definedName name="vpa611_3">'Verification Report'!$AM$727</definedName>
    <definedName name="vpa611_3_1">'Verification Report'!$AM$729</definedName>
    <definedName name="vpa611_3_2">'Verification Report'!$AM$734</definedName>
    <definedName name="vpa611_3_3">'Verification Report'!$AM$738</definedName>
    <definedName name="vpa611_3_4">'Verification Report'!$AM$740</definedName>
    <definedName name="vpa611_3_5">'Verification Report'!$AM$742</definedName>
    <definedName name="vpa611_3_6">'Verification Report'!$AM$743</definedName>
    <definedName name="vpa611_3_7">'Verification Report'!$AM$744</definedName>
    <definedName name="vpa611_3_8">'Verification Report'!$AM$748</definedName>
    <definedName name="vpa611_3_9">'Verification Report'!$AM$750</definedName>
    <definedName name="vpa611_4">'Verification Report'!$AM$752</definedName>
    <definedName name="vpa701_4_1">'Verification Report'!$AM$813</definedName>
    <definedName name="vpa701_4_1_1">'Verification Report'!$AM$804</definedName>
    <definedName name="vpa701_4_1_2">'Verification Report'!$AM$807</definedName>
    <definedName name="vpa701_4_2_2">'Verification Report'!$AM$816</definedName>
    <definedName name="vpa701_4_2_3">'Verification Report'!$AM$817</definedName>
    <definedName name="vpa701_4_3_1">'Verification Report'!$AM$820</definedName>
    <definedName name="vpa701_4_3_2">'Verification Report'!$AM$836</definedName>
    <definedName name="vpa701_4_3_2_1">'Verification Report'!$AM$858</definedName>
    <definedName name="vpa701_4_3_3_4">'Verification Report'!$AM$885</definedName>
    <definedName name="vpa701_4_3_3_5">'Verification Report'!$AM$891</definedName>
    <definedName name="vpa701_4_4">'Verification Report'!$AM$897</definedName>
    <definedName name="vpa701_4_5">'Verification Report'!$AM$902</definedName>
    <definedName name="vpa702_2_1">'Verification Report'!$AM$907</definedName>
    <definedName name="vpa702_2_2">'Verification Report'!$AM$911</definedName>
    <definedName name="vpa703_1">'Verification Report'!$AM$923</definedName>
    <definedName name="vpa703_1_1">'Verification Report'!$AM$924</definedName>
    <definedName name="vpa703_1_2">'Verification Report'!$AM$937</definedName>
    <definedName name="vpa703_1_3">'Verification Report'!$AM$940</definedName>
    <definedName name="vpa703_2_1">'Verification Report'!$AM$946</definedName>
    <definedName name="vpa703_2_2">'Verification Report'!$AM$953</definedName>
    <definedName name="vpa703_2_3">'Verification Report'!$AM$955</definedName>
    <definedName name="vpa703_2_4">'Verification Report'!$AM$958</definedName>
    <definedName name="vpa703_2_5_1">'Verification Report'!$AM$962</definedName>
    <definedName name="vpa703_2_5_2">'Verification Report'!$AM$977</definedName>
    <definedName name="vpa703_2_5_2_a">'Verification Report'!$AM$982</definedName>
    <definedName name="vpa703_2_5_2_b">'Verification Report'!$AM$983</definedName>
    <definedName name="vpa703_2_5_2_c">'Verification Report'!$AM$984</definedName>
    <definedName name="vpa703_3_1">'Verification Report'!$AM$1007</definedName>
    <definedName name="vpa703_3_2__1_1">'Verification Report'!$AM$1014</definedName>
    <definedName name="vpa703_3_2__1_2">'Verification Report'!$AM$1015</definedName>
    <definedName name="vpa703_3_2__1_3">'Verification Report'!$AM$1016</definedName>
    <definedName name="vpa703_3_2__1_4">'Verification Report'!$AM$1017</definedName>
    <definedName name="vpa703_3_2__1_5">'Verification Report'!$AM$1018</definedName>
    <definedName name="vpa703_3_2__2_1">'Verification Report'!$AM$1020</definedName>
    <definedName name="vpa703_3_2__2_2">'Verification Report'!$AM$1021</definedName>
    <definedName name="vpa703_3_2__3_1">'Verification Report'!$AM$1023</definedName>
    <definedName name="vpa703_3_2__3_2">'Verification Report'!$AM$1024</definedName>
    <definedName name="vpa703_3_2__3_3">'Verification Report'!$AM$1025</definedName>
    <definedName name="vpa703_3_2__3_4">'Verification Report'!$AM$1026</definedName>
    <definedName name="vpa703_3_2__4_1">'Verification Report'!$AM$1028</definedName>
    <definedName name="vpa703_3_2__4_2">'Verification Report'!$AM$1029</definedName>
    <definedName name="vpa703_3_3__1_1">'Verification Report'!$AM$1034</definedName>
    <definedName name="vpa703_3_3__1_2">'Verification Report'!$AM$1035</definedName>
    <definedName name="vpa703_3_3__1_3">'Verification Report'!$AM$1036</definedName>
    <definedName name="vpa703_3_3__1_4">'Verification Report'!$AM$1037</definedName>
    <definedName name="vpa703_3_3__3">'Verification Report'!$AM$1039</definedName>
    <definedName name="vpa703_3_4_1">'Verification Report'!$AM$1049</definedName>
    <definedName name="vpa703_3_4_1_1">'Verification Report'!$AM$1044</definedName>
    <definedName name="vpa703_3_4_1_2">'Verification Report'!$AM$1045</definedName>
    <definedName name="vpa703_3_4_1_3">'Verification Report'!$AM$1046</definedName>
    <definedName name="vpa703_3_4_1_4">'Verification Report'!$AM$1047</definedName>
    <definedName name="vpa703_3_4_1_5">'Verification Report'!$AM$1048</definedName>
    <definedName name="vpa703_3_4_2">'Verification Report'!$AM$1050</definedName>
    <definedName name="vpa703_3_5">'Verification Report'!$AM$1051</definedName>
    <definedName name="vpa703_3_6_1">'Verification Report'!$AM$1058</definedName>
    <definedName name="vpa703_3_6_2">'Verification Report'!$AM$1059</definedName>
    <definedName name="vpa703_3_6_3">'Verification Report'!$AM$1060</definedName>
    <definedName name="vpa703_3_7_1">'Verification Report'!$AM$1061</definedName>
    <definedName name="vpa703_3_8">'Verification Report'!$AM$1068</definedName>
    <definedName name="vpa703_4_1">'Verification Report'!$AM$1074</definedName>
    <definedName name="vpa703_4_2">'Verification Report'!$AM$1076</definedName>
    <definedName name="vpa703_4_3">'Verification Report'!$AM$1078</definedName>
    <definedName name="vpa703_4_4_1">'Verification Report'!$AM$1090</definedName>
    <definedName name="vpa703_4_4_2">'Verification Report'!$AM$1091</definedName>
    <definedName name="vpa703_4_4_3">'Verification Report'!$AM$1092</definedName>
    <definedName name="vpa703_5_1_1_a_a">'Verification Report'!$AM$1098</definedName>
    <definedName name="vpa703_5_1_1_a_b">'Verification Report'!$AM$1099</definedName>
    <definedName name="vpa703_5_1_1_b_a">'Verification Report'!$AM$1102</definedName>
    <definedName name="vpa703_5_1_1_b_b">'Verification Report'!$AM$1103</definedName>
    <definedName name="vpa703_5_1_2_a">'Verification Report'!$AM$1105</definedName>
    <definedName name="vpa703_5_1_2_b">'Verification Report'!$AM$1106</definedName>
    <definedName name="vpa703_5_1_3">'Verification Report'!$AM$1107</definedName>
    <definedName name="vpa703_5_1_4_a">'Verification Report'!$AM$1109</definedName>
    <definedName name="vpa703_5_1_4_b">'Verification Report'!$AM$1110</definedName>
    <definedName name="vpa703_5_1_4_c">'Verification Report'!$AM$1111</definedName>
    <definedName name="vpa703_5_2">'Verification Report'!$AM$1112</definedName>
    <definedName name="vpa703_5_3">'Verification Report'!$AM$1114</definedName>
    <definedName name="vpa703_5_4">'Verification Report'!$AM$1116</definedName>
    <definedName name="vpa703_5_5_1">'Verification Report'!$AM$1120</definedName>
    <definedName name="vpa703_5_5_2">'Verification Report'!$AM$1121</definedName>
    <definedName name="vpa703_5_5_3">'Verification Report'!$AM$1122</definedName>
    <definedName name="vpa703_5_5_4">'Verification Report'!$AM$1123</definedName>
    <definedName name="vpa703_5_5_5">'Verification Report'!$AM$1124</definedName>
    <definedName name="vpa703_6_1_1">'Verification Report'!$AM$1128</definedName>
    <definedName name="vpa703_6_1_2">'Verification Report'!$AM$1130</definedName>
    <definedName name="vpa703_6_1_3">'Verification Report'!$AM$1132</definedName>
    <definedName name="vpa703_6_2__1">'Verification Report'!$AM$1135</definedName>
    <definedName name="vpa703_6_2__2">'Verification Report'!$AM$1136</definedName>
    <definedName name="vpa703_6_2__3">'Verification Report'!$AM$1137</definedName>
    <definedName name="vpa703_7_1">'Verification Report'!$AM$1140</definedName>
    <definedName name="vpa703_7_2">'Verification Report'!$AM$1168</definedName>
    <definedName name="vpa703_7_3_1">'Verification Report'!$AM$1172</definedName>
    <definedName name="vpa703_7_3_2">'Verification Report'!$AM$1173</definedName>
    <definedName name="vpa703_7_4">'Verification Report'!$AM$1197</definedName>
    <definedName name="vpa705_2_1_1_1">'Verification Report'!$AM$1236</definedName>
    <definedName name="vpa705_2_1_1_2">'Verification Report'!$AM$1237</definedName>
    <definedName name="vpa705_2_1_2">'Verification Report'!$AM$1238</definedName>
    <definedName name="vpa705_2_1_3_1_a">'Verification Report'!$AM$1243</definedName>
    <definedName name="vpa705_2_1_3_1_b">'Verification Report'!$AM$1244</definedName>
    <definedName name="vpa705_2_1_3_2_a">'Verification Report'!$AM$1248</definedName>
    <definedName name="vpa705_2_1_3_2_b">'Verification Report'!$AM$1249</definedName>
    <definedName name="vpa705_2_1_4_1">'Verification Report'!$AM$1253</definedName>
    <definedName name="vpa705_2_1_4_2">'Verification Report'!$AM$1254</definedName>
    <definedName name="vpa705_2_2">'Verification Report'!$AM$1255</definedName>
    <definedName name="vpa705_2_3">'Verification Report'!$AM$1258</definedName>
    <definedName name="vpa705_2_4">'Verification Report'!$AM$1260</definedName>
    <definedName name="vpa705_3">'Verification Report'!$AM$1263</definedName>
    <definedName name="vpa705_4">'Verification Report'!$AM$1264</definedName>
    <definedName name="vpa705_5_1">'Verification Report'!$AM$1268</definedName>
    <definedName name="vpa705_5_2">'Verification Report'!$AM$1273</definedName>
    <definedName name="vpa705_6_1">'Verification Report'!$AM$1282</definedName>
    <definedName name="vpa705_6_2_1_1">'Verification Report'!$AM$1295</definedName>
    <definedName name="vpa705_6_2_1_1_1">'Verification Report'!$AM$1295</definedName>
    <definedName name="vpa705_6_2_1_2">'Verification Report'!$AM$1298</definedName>
    <definedName name="vpa705_6_2_2">'Verification Report'!$AM$1301</definedName>
    <definedName name="vpa705_6_2_3_1">'Verification Report'!$AM$1312</definedName>
    <definedName name="vpa705_6_2_3_2">'Verification Report'!$AM$1313</definedName>
    <definedName name="vpa705_6_3">'Verification Report'!$AM$1315</definedName>
    <definedName name="vpa705_6_4_1">'Verification Report'!$AM$1327</definedName>
    <definedName name="vpa705_6_4_2">'Verification Report'!$AM$1329</definedName>
    <definedName name="vpa705_7">'Verification Report'!$AM$1331</definedName>
    <definedName name="vpa706_1">'Verification Report'!$AM$1336</definedName>
    <definedName name="vpa706_1_1">'Verification Report'!$AM$1338</definedName>
    <definedName name="vpa706_1_2">'Verification Report'!$AM$1339</definedName>
    <definedName name="vpa706_1_3">'Verification Report'!$AM$1340</definedName>
    <definedName name="vpa706_1_4">'Verification Report'!$AM$1341</definedName>
    <definedName name="vpa706_1_5">'Verification Report'!$AM$1343</definedName>
    <definedName name="vpa706_2_1">'Verification Report'!$AM$1346</definedName>
    <definedName name="vpa706_2_2_a">'Verification Report'!$AM$1352</definedName>
    <definedName name="vpa706_2_2_b">'Verification Report'!$AM$1354</definedName>
    <definedName name="vpa706_3_a">'Verification Report'!$AM$1358</definedName>
    <definedName name="vpa706_3_b">'Verification Report'!$AM$1359</definedName>
    <definedName name="vpa706_4_1_1">'Verification Report'!$AM$1374</definedName>
    <definedName name="vpa706_4_1_2">'Verification Report'!$AM$1376</definedName>
    <definedName name="vpa706_4_2">'Verification Report'!$AM$1378</definedName>
    <definedName name="vpa706_5">'Verification Report'!$AM$1380</definedName>
    <definedName name="vpa706_6">'Verification Report'!$AM$1389</definedName>
    <definedName name="vpa706_7_1">'Verification Report'!$AM$1393</definedName>
    <definedName name="vpa706_7_2">'Verification Report'!$AM$1394</definedName>
    <definedName name="vpa706_8">'Verification Report'!$AM$1397</definedName>
    <definedName name="vpa706_9">'Verification Report'!$AM$1400</definedName>
    <definedName name="vpa801_1_1">'Verification Report'!$AM$1421</definedName>
    <definedName name="vpa801_1_2">'Verification Report'!$AM$1423</definedName>
    <definedName name="vpa801_1_3">'Verification Report'!$AM$1425</definedName>
    <definedName name="vpa801_1_4">'Verification Report'!$AM$1427</definedName>
    <definedName name="vpa801_1_4_a">'Verification Report'!$AM$1430</definedName>
    <definedName name="vpa801_1_5">'Verification Report'!$AM$1432</definedName>
    <definedName name="vpa801_1_6">'Verification Report'!$AM$1437</definedName>
    <definedName name="vpa801_2_1">'Verification Report'!$AM$1442</definedName>
    <definedName name="vpa801_2_2">'Verification Report'!$AM$1443</definedName>
    <definedName name="vpa801_2_3">'Verification Report'!$AM$1444</definedName>
    <definedName name="vpa801_3_1">'Verification Report'!$AM$1450</definedName>
    <definedName name="vpa801_3_2_a">'Verification Report'!$AM$1461</definedName>
    <definedName name="vpa801_3_2_b">'Verification Report'!$AM$1462</definedName>
    <definedName name="vpa801_3_2_c">'Verification Report'!$AM$1463</definedName>
    <definedName name="vpa801_3_3">'Verification Report'!$AM$1464</definedName>
    <definedName name="vpa801_4_1_1">'Verification Report'!$AM$1469</definedName>
    <definedName name="vpa801_4_1_2">'Verification Report'!$AM$1473</definedName>
    <definedName name="vpa801_4_2">'Verification Report'!$AM$1474</definedName>
    <definedName name="vpa801_5_2">'Verification Report'!$AM$1481</definedName>
    <definedName name="vpa801_5_3">'Verification Report'!$AM$1487</definedName>
    <definedName name="vpa801_5_4_a">'Verification Report'!$AM$1490</definedName>
    <definedName name="vpa801_5_4_b">'Verification Report'!$AM$1494</definedName>
    <definedName name="vpa801_5_4_c">'Verification Report'!$AM$1496</definedName>
    <definedName name="vpa801_6_1">'Verification Report'!$AM$1498</definedName>
    <definedName name="vpa801_6_2_1">'Verification Report'!$AM$1502</definedName>
    <definedName name="vpa801_6_2_2">'Verification Report'!$AM$1503</definedName>
    <definedName name="vpa801_6_2_3">'Verification Report'!$AM$1504</definedName>
    <definedName name="vpa801_6_4_1">'Verification Report'!$AM$1512</definedName>
    <definedName name="vpa801_6_4_2">'Verification Report'!$AM$1514</definedName>
    <definedName name="vpa801_6_4_3">'Verification Report'!$AM$1515</definedName>
    <definedName name="vpa801_6_5">'Verification Report'!$AM$1519</definedName>
    <definedName name="vpa801_7_1_1">'Verification Report'!$AM$1524</definedName>
    <definedName name="vpa801_7_1_2_a">'Verification Report'!$AM$1527</definedName>
    <definedName name="vpa801_7_1_2_b">'Verification Report'!$AM$1528</definedName>
    <definedName name="vpa801_7_1_2_c">'Verification Report'!$AM$1529</definedName>
    <definedName name="vpa801_7_1_2_d">'Verification Report'!$AM$1531</definedName>
    <definedName name="vpa801_7_2_1">'Verification Report'!$AM$1537</definedName>
    <definedName name="vpa801_7_2_2">'Verification Report'!$AM$1539</definedName>
    <definedName name="vpa801_8">'Verification Report'!$AM$1540</definedName>
    <definedName name="vpa802_1_1">'Verification Report'!$AM$1547</definedName>
    <definedName name="vpa802_1_2">'Verification Report'!$AM$1549</definedName>
    <definedName name="vpa802_2">'Verification Report'!$AM$1550</definedName>
    <definedName name="vpa802_3">'Verification Report'!$AM$1553</definedName>
    <definedName name="vpa802_4">'Verification Report'!$AM$1558</definedName>
    <definedName name="vpa802_5">'Verification Report'!$AM$1561</definedName>
    <definedName name="vpa802_6">'Verification Report'!$AM$1563</definedName>
    <definedName name="vpa901_1_1">'Verification Report'!$AM$1569</definedName>
    <definedName name="vpa901_1_2">'Verification Report'!$AM$1575</definedName>
    <definedName name="vpa901_1_3_1_a">'Verification Report'!$AM$1581</definedName>
    <definedName name="vpa901_1_3_1_b">'Verification Report'!$AM$1582</definedName>
    <definedName name="vpa901_1_3_2_a">'Verification Report'!$AM$1584</definedName>
    <definedName name="vpa901_1_3_2_b">'Verification Report'!$AM$1585</definedName>
    <definedName name="vpa901_1_4">'Verification Report'!$AM$1586</definedName>
    <definedName name="vpa901_1_5">'Verification Report'!$AM$1590</definedName>
    <definedName name="vpa901_1_6_1">'Verification Report'!$AM$1594</definedName>
    <definedName name="vpa901_1_6_2">'Verification Report'!$AM$1595</definedName>
    <definedName name="vpa901_10_1">'Verification Report'!$AM$1705</definedName>
    <definedName name="vpa901_10_2">'Verification Report'!$AM$1710</definedName>
    <definedName name="vpa901_10_3">'Verification Report'!$AM$1711</definedName>
    <definedName name="vpa901_11">'Verification Report'!$AM$1715</definedName>
    <definedName name="vpa901_12">'Verification Report'!$AM$1720</definedName>
    <definedName name="vpa901_13_1">'Verification Report'!$AM$1724</definedName>
    <definedName name="vpa901_13_2">'Verification Report'!$AM$1725</definedName>
    <definedName name="vpa901_14_1">'Verification Report'!$AM$1728</definedName>
    <definedName name="vpa901_14_2">'Verification Report'!$AM$1730</definedName>
    <definedName name="vpa901_2_1_1">'Verification Report'!$AM$1600</definedName>
    <definedName name="vpa901_2_1_2">'Verification Report'!$AM$1603</definedName>
    <definedName name="vpa901_2_1_3">'Verification Report'!$AM$1605</definedName>
    <definedName name="vpa901_2_1_4">'Verification Report'!$AM$1608</definedName>
    <definedName name="vpa901_2_1_5">'Verification Report'!$AM$1610</definedName>
    <definedName name="vpa901_2_2">'Verification Report'!$AM$1611</definedName>
    <definedName name="vpa901_3_1_a">'Verification Report'!$AM$1615</definedName>
    <definedName name="vpa901_3_1_b">'Verification Report'!$AM$1617</definedName>
    <definedName name="vpa901_3_1_c">'Verification Report'!$AM$1618</definedName>
    <definedName name="vpa901_3_2">'Verification Report'!$AM$1624</definedName>
    <definedName name="vpa901_4">'Verification Report'!$AM$1625</definedName>
    <definedName name="vpa901_4_1">'Verification Report'!$AM$1628</definedName>
    <definedName name="vpa901_4_2">'Verification Report'!$AM$1637</definedName>
    <definedName name="vpa901_4_3">'Verification Report'!$AM$1639</definedName>
    <definedName name="vpa901_4_4">'Verification Report'!$AM$1640</definedName>
    <definedName name="vpa901_4_5">'Verification Report'!$AM$1641</definedName>
    <definedName name="vpa901_4_6">'Verification Report'!$AM$1643</definedName>
    <definedName name="vpa901_5_1">'Verification Report'!$AM$1647</definedName>
    <definedName name="vpa901_5_2">'Verification Report'!$AM$1649</definedName>
    <definedName name="vpa901_6">'Verification Report'!$AM$1652</definedName>
    <definedName name="vpa901_7">'Verification Report'!$AM$1654</definedName>
    <definedName name="vpa901_8">'Verification Report'!$AM$1675</definedName>
    <definedName name="vpa901_9_1">'Verification Report'!$AM$1684</definedName>
    <definedName name="vpa901_9_2">'Verification Report'!$AM$1691</definedName>
    <definedName name="vpa901_9_3">'Verification Report'!$AM$1696</definedName>
    <definedName name="vpa902_1_1_a">'Verification Report'!$AM$1738</definedName>
    <definedName name="vpa902_1_2">'Verification Report'!$AM$1745</definedName>
    <definedName name="vpa902_1_2_">'Verification Report'!$AM$1740</definedName>
    <definedName name="vpa902_1_2_1">'Verification Report'!$AM$1747</definedName>
    <definedName name="vpa902_1_2_2">'Verification Report'!$AM$1748</definedName>
    <definedName name="vpa902_1_3">'Verification Report'!$AM$1749</definedName>
    <definedName name="vpa902_1_3_">'Verification Report'!$AM$1742</definedName>
    <definedName name="vpa902_1_4">'Verification Report'!$AM$1753</definedName>
    <definedName name="vpa902_1_4_1">'Verification Report'!$AM$1754</definedName>
    <definedName name="vpa902_1_4_2">'Verification Report'!$AM$1756</definedName>
    <definedName name="vpa902_1_5">'Verification Report'!$AM$1758</definedName>
    <definedName name="vpa902_2_1">'Verification Report'!$AM$1768</definedName>
    <definedName name="vpa902_2_1_1">'Verification Report'!$AM$1771</definedName>
    <definedName name="vpa902_2_1_2">'Verification Report'!$AM$1773</definedName>
    <definedName name="vpa902_2_1_3">'Verification Report'!$AM$1775</definedName>
    <definedName name="vpa902_2_1_4">'Verification Report'!$AM$1776</definedName>
    <definedName name="vpa902_2_2">'Verification Report'!$AM$1777</definedName>
    <definedName name="vpa902_2_3">'Verification Report'!$AM$1779</definedName>
    <definedName name="vpa902_2_4">'Verification Report'!$AM$1782</definedName>
    <definedName name="vpa902_3_1">'Verification Report'!$AM$1787</definedName>
    <definedName name="vpa902_3_1_a">'Verification Report'!$AM$1788</definedName>
    <definedName name="vpa902_3_1_b">'Verification Report'!$AM$1789</definedName>
    <definedName name="vpa902_3_2_a">'Verification Report'!$AM$1791</definedName>
    <definedName name="vpa902_4">'Verification Report'!$AM$1792</definedName>
    <definedName name="vpa902_5">'Verification Report'!$AM$1799</definedName>
    <definedName name="vpa902_6">'Verification Report'!$AM$1801</definedName>
    <definedName name="vpa903_1_1_1">'Verification Report'!$AM$1806</definedName>
    <definedName name="vpa903_1_2_2">'Verification Report'!$AM$1808</definedName>
    <definedName name="vpa903_2_1">'Verification Report'!$AM$1810</definedName>
    <definedName name="vpa903_2_2">'Verification Report'!$AM$1811</definedName>
    <definedName name="vpa903_3">'Verification Report'!$AM$1813</definedName>
    <definedName name="vpa904_1">'Verification Report'!$AM$1821</definedName>
    <definedName name="vpa904_2">'Verification Report'!$AM$1826</definedName>
    <definedName name="vpa905_1">'Verification Report'!$AM$1830</definedName>
    <definedName name="vpa905_2">'Verification Report'!$AM$1835</definedName>
    <definedName name="vpc1001_1">'Verification Report'!$AO$1840</definedName>
    <definedName name="vpc1002_1">'Verification Report'!$AO$1906</definedName>
    <definedName name="vpc1002_2">'Verification Report'!$AO$1924</definedName>
    <definedName name="vpc1002_3">'Verification Report'!$AO$1951</definedName>
    <definedName name="vpc1003_1">'Verification Report'!$AO$1993</definedName>
    <definedName name="vpc1004_1_1">'Verification Report'!$AO$2012</definedName>
    <definedName name="vpc1004_1_2">'Verification Report'!$AO$2014</definedName>
    <definedName name="vpc501_1">'Verification Report'!$AO$13</definedName>
    <definedName name="vpc501_2_1">'Verification Report'!$AO$21</definedName>
    <definedName name="vpc501_2_2">'Verification Report'!$AO$23</definedName>
    <definedName name="vpc501_2_3">'Verification Report'!$AO$25</definedName>
    <definedName name="vpc501_2_4">'Verification Report'!$AO$27</definedName>
    <definedName name="vpc501_2_5">'Verification Report'!$AO$36</definedName>
    <definedName name="vpc501_2_6">'Verification Report'!$AO$39</definedName>
    <definedName name="vpc502_1">'Verification Report'!$AO$45</definedName>
    <definedName name="vpc503_1_1">'Verification Report'!$AO$56</definedName>
    <definedName name="vpc503_1_2">'Verification Report'!$AO$57</definedName>
    <definedName name="vpc503_1_3">'Verification Report'!$AO$59</definedName>
    <definedName name="vpc503_1_4">'Verification Report'!$AO$61</definedName>
    <definedName name="vpc503_1_5">'Verification Report'!$AO$62</definedName>
    <definedName name="vpc503_1_6">'Verification Report'!$AO$63</definedName>
    <definedName name="vpc503_1_7">'Verification Report'!$AO$65</definedName>
    <definedName name="vpc503_2_1">'Verification Report'!$AO$69</definedName>
    <definedName name="vpc503_2_2">'Verification Report'!$AO$70</definedName>
    <definedName name="vpc503_2_3">'Verification Report'!$AO$72</definedName>
    <definedName name="vpc503_2_4">'Verification Report'!$AO$77</definedName>
    <definedName name="vpc503_2_5">'Verification Report'!$AO$79</definedName>
    <definedName name="vpc503_3_1">'Verification Report'!$AO$83</definedName>
    <definedName name="vpc503_3_2">'Verification Report'!$AO$85</definedName>
    <definedName name="vpc503_3_3">'Verification Report'!$AO$92</definedName>
    <definedName name="vpc503_4_1">'Verification Report'!$AO$100</definedName>
    <definedName name="vpc503_4_2">'Verification Report'!$AO$103</definedName>
    <definedName name="vpc503_4_3">'Verification Report'!$AO$107</definedName>
    <definedName name="vpc503_4_4">'Verification Report'!$AO$114</definedName>
    <definedName name="vpc503_5_1">'Verification Report'!$AO$123</definedName>
    <definedName name="vpc503_5_10">'Verification Report'!$AO$151</definedName>
    <definedName name="vpc503_5_11">'Verification Report'!$AO$153</definedName>
    <definedName name="vpc503_5_12">'Verification Report'!$AO$155</definedName>
    <definedName name="vpc503_5_2">'Verification Report'!$AO$129</definedName>
    <definedName name="vpc503_5_3">'Verification Report'!$AO$131</definedName>
    <definedName name="vpc503_5_4">'Verification Report'!$AO$133</definedName>
    <definedName name="vpc503_5_5">'Verification Report'!$AO$135</definedName>
    <definedName name="vpc503_5_6">'Verification Report'!$AO$140</definedName>
    <definedName name="vpc503_5_7">'Verification Report'!$AO$141</definedName>
    <definedName name="vpc503_5_8">'Verification Report'!$AO$146</definedName>
    <definedName name="vpc503_5_9">'Verification Report'!$AO$148</definedName>
    <definedName name="vpc503_6_1">'Verification Report'!$AO$159</definedName>
    <definedName name="vpc503_6_2">'Verification Report'!$AO$160</definedName>
    <definedName name="vpc503_6_3">'Verification Report'!$AO$161</definedName>
    <definedName name="vpc503_6_4">'Verification Report'!$AO$163</definedName>
    <definedName name="vpc503_7">'Verification Report'!$AO$164</definedName>
    <definedName name="vpc503_8">'Verification Report'!$AO$170</definedName>
    <definedName name="vpc504_1">'Verification Report'!$AO$178</definedName>
    <definedName name="vpc504_2_1">'Verification Report'!$AO$185</definedName>
    <definedName name="vpc504_2_2">'Verification Report'!$AO$186</definedName>
    <definedName name="vpc504_2_3">'Verification Report'!$AO$188</definedName>
    <definedName name="vpc504_3_1">'Verification Report'!$AO$193</definedName>
    <definedName name="vpc504_3_2">'Verification Report'!$AO$195</definedName>
    <definedName name="vpc504_3_3">'Verification Report'!$AO$196</definedName>
    <definedName name="vpc504_3_4">'Verification Report'!$AO$198</definedName>
    <definedName name="vpc504_3_5">'Verification Report'!$AO$200</definedName>
    <definedName name="vpc504_3_6">'Verification Report'!$AO$204</definedName>
    <definedName name="vpc504_3_7">'Verification Report'!$AO$207</definedName>
    <definedName name="vpc504_3_8">'Verification Report'!$AO$208</definedName>
    <definedName name="vpc504_3_9">'Verification Report'!$AO$216</definedName>
    <definedName name="vpc505_1_1">'Verification Report'!$AO$223</definedName>
    <definedName name="vpc505_1_2">'Verification Report'!$AO$225</definedName>
    <definedName name="vpc505_1_3">'Verification Report'!$AO$226</definedName>
    <definedName name="vpc505_1_4">'Verification Report'!$AO$230</definedName>
    <definedName name="vpc505_2_1">'Verification Report'!$AO$236</definedName>
    <definedName name="vpc505_2_2">'Verification Report'!$AO$246</definedName>
    <definedName name="vpc505_3">'Verification Report'!$AO$249</definedName>
    <definedName name="vpc505_4">'Verification Report'!$AO$255</definedName>
    <definedName name="vpc505_5">'Verification Report'!$AO$256</definedName>
    <definedName name="vpc505_6">'Verification Report'!$AO$258</definedName>
    <definedName name="vpc601_1">'Verification Report'!$AO$268</definedName>
    <definedName name="vpc601_2_1">'Verification Report'!$AO$284</definedName>
    <definedName name="vpc601_2_2">'Verification Report'!$AO$287</definedName>
    <definedName name="vpc601_2_3">'Verification Report'!$AO$290</definedName>
    <definedName name="vpc601_3_1">'Verification Report'!$AO$294</definedName>
    <definedName name="vpc601_3_2">'Verification Report'!$AO$295</definedName>
    <definedName name="vpc601_3_3">'Verification Report'!$AO$296</definedName>
    <definedName name="vpc601_3_4">'Verification Report'!$AO$297</definedName>
    <definedName name="vpc601_3_5">'Verification Report'!$AO$298</definedName>
    <definedName name="vpc601_4">'Verification Report'!$AO$299</definedName>
    <definedName name="vpc601_5_1">'Verification Report'!$AO$305</definedName>
    <definedName name="vpc601_5_2">'Verification Report'!$AO$306</definedName>
    <definedName name="vpc601_5_3">'Verification Report'!$AO$307</definedName>
    <definedName name="vpc601_5_4">'Verification Report'!$AO$308</definedName>
    <definedName name="vpc601_5_5">'Verification Report'!$AO$309</definedName>
    <definedName name="vpc601_6">'Verification Report'!$AO$310</definedName>
    <definedName name="vpc601_7">'Verification Report'!$AO$315</definedName>
    <definedName name="vpc601_8">'Verification Report'!$AO$333</definedName>
    <definedName name="vpc601_9">'Verification Report'!$AO$341</definedName>
    <definedName name="vpc602_1_1_2">'Verification Report'!$AO$355</definedName>
    <definedName name="vpc602_1_10">'Verification Report'!$AO$451</definedName>
    <definedName name="vpc602_1_12">'Verification Report'!$AO$466</definedName>
    <definedName name="vpc602_1_14_1">'Verification Report'!$AO$475</definedName>
    <definedName name="vpc602_1_14_2">'Verification Report'!$AO$477</definedName>
    <definedName name="vpc602_1_14_3">'Verification Report'!$AO$478</definedName>
    <definedName name="vpc602_1_2">'Verification Report'!$AO$357</definedName>
    <definedName name="vpc602_1_3_2">'Verification Report'!$AO$364</definedName>
    <definedName name="vpc602_1_4_1_1">'Verification Report'!$AO$370</definedName>
    <definedName name="vpc602_1_4_2_1">'Verification Report'!$AO$376</definedName>
    <definedName name="vpc602_1_5_1">'Verification Report'!$AO$382</definedName>
    <definedName name="vpc602_1_5_2">'Verification Report'!$AO$384</definedName>
    <definedName name="vpc602_1_6_1">'Verification Report'!$AO$390</definedName>
    <definedName name="vpc602_1_6_2">'Verification Report'!$AO$394</definedName>
    <definedName name="vpc602_1_6_3">'Verification Report'!$AO$398</definedName>
    <definedName name="vpc602_1_7_1_1">'Verification Report'!$AO$403</definedName>
    <definedName name="vpc602_1_7_1_2">'Verification Report'!$AO$405</definedName>
    <definedName name="vpc602_1_7_1_3">'Verification Report'!$AO$408</definedName>
    <definedName name="vpc602_1_7_2">'Verification Report'!$AO$410</definedName>
    <definedName name="vpc602_1_7_3">'Verification Report'!$AO$412</definedName>
    <definedName name="vpc602_1_9_2">'Verification Report'!$AO$434</definedName>
    <definedName name="vpc602_1_9_3">'Verification Report'!$AO$437</definedName>
    <definedName name="vpc602_1_9_4">'Verification Report'!$AO$438</definedName>
    <definedName name="vpc602_1_9_5">'Verification Report'!$AO$442</definedName>
    <definedName name="vpc602_1_9_6">'Verification Report'!$AO$448</definedName>
    <definedName name="vpc602_1_9_7">'Verification Report'!$AO$450</definedName>
    <definedName name="vpc602_2">'Verification Report'!$AO$479</definedName>
    <definedName name="vpc602_3">'Verification Report'!$AO$489</definedName>
    <definedName name="vpc602_4_2">'Verification Report'!$AO$498</definedName>
    <definedName name="vpc602_4_3">'Verification Report'!$AO$500</definedName>
    <definedName name="vpc603_1">'Verification Report'!$AO$504</definedName>
    <definedName name="vpc603_2">'Verification Report'!$AO$510</definedName>
    <definedName name="vpc603_3">'Verification Report'!$AO$517</definedName>
    <definedName name="vpc604_1a">'Verification Report'!$AO$521</definedName>
    <definedName name="vpc605_1">'Verification Report'!$AO$533</definedName>
    <definedName name="vpc605_2">'Verification Report'!$AO$548</definedName>
    <definedName name="vpc605_3">'Verification Report'!$AO$557</definedName>
    <definedName name="vpc606_1">'Verification Report'!$AO$573</definedName>
    <definedName name="vpc606_2_1a">'Verification Report'!$AO$601</definedName>
    <definedName name="vpc606_2_2a">'Verification Report'!$AO$604</definedName>
    <definedName name="vpc606_3">'Verification Report'!$AO$607</definedName>
    <definedName name="vpc607_1_1">'Verification Report'!$AO$616</definedName>
    <definedName name="vpc607_1_2">'Verification Report'!$AO$618</definedName>
    <definedName name="vpc607_2">'Verification Report'!$AO$619</definedName>
    <definedName name="vpc608_1">'Verification Report'!$AO$622</definedName>
    <definedName name="vpc609_1a">'Verification Report'!$AO$631</definedName>
    <definedName name="vpc610_1_1_1">'Verification Report'!$AO$647</definedName>
    <definedName name="vpc610_1_1_2">'Verification Report'!$AO$656</definedName>
    <definedName name="vpc610_1_1_3">'Verification Report'!$AO$663</definedName>
    <definedName name="vpc610_1_2">'Verification Report'!$AO$665</definedName>
    <definedName name="vpc611_1">'Verification Report'!$AO$708</definedName>
    <definedName name="vpc611_2">'Verification Report'!$AO$716</definedName>
    <definedName name="vpc611_3">'Verification Report'!$AO$727</definedName>
    <definedName name="vpc611_4">'Verification Report'!$AO$752</definedName>
    <definedName name="vpc701_1_4">'Verification Report'!$AO$789</definedName>
    <definedName name="vpc702_2_2">'Verification Report'!$AO$911</definedName>
    <definedName name="vpc703_1">'Verification Report'!$AO$923</definedName>
    <definedName name="vpc703_2_1">'Verification Report'!$AO$946</definedName>
    <definedName name="vpc703_2_2">'Verification Report'!$AO$953</definedName>
    <definedName name="vpc703_2_3">'Verification Report'!$AO$955</definedName>
    <definedName name="vpc703_2_4">'Verification Report'!$AO$958</definedName>
    <definedName name="vpc703_2_5_2">'Verification Report'!$AO$977</definedName>
    <definedName name="vpc703_3_1">'Verification Report'!$AO$1007</definedName>
    <definedName name="vpc703_3_2__1">'Verification Report'!$AO$1013</definedName>
    <definedName name="vpc703_3_2__2">'Verification Report'!$AO$1019</definedName>
    <definedName name="vpc703_3_2__3">'Verification Report'!$AO$1022</definedName>
    <definedName name="vpc703_3_2__4">'Verification Report'!$AO$1027</definedName>
    <definedName name="vpc703_3_3__1">'Verification Report'!$AO$1033</definedName>
    <definedName name="vpc703_3_3__3">'Verification Report'!$AO$1039</definedName>
    <definedName name="vpc703_3_4_1">'Verification Report'!$AO$1043</definedName>
    <definedName name="vpc703_3_4_1_5">'Verification Report'!$AO$1048</definedName>
    <definedName name="vpc703_3_4_2">'Verification Report'!$AO$1050</definedName>
    <definedName name="vpc703_3_5">'Verification Report'!$AO$1051</definedName>
    <definedName name="vpc703_3_6">'Verification Report'!$AO$1055</definedName>
    <definedName name="vpc703_3_7_1">'Verification Report'!$AO$1061</definedName>
    <definedName name="vpc703_3_8">'Verification Report'!$AO$1068</definedName>
    <definedName name="vpc703_4_1">'Verification Report'!$AO$1074</definedName>
    <definedName name="vpc703_4_2">'Verification Report'!$AO$1076</definedName>
    <definedName name="vpc703_4_3">'Verification Report'!$AO$1078</definedName>
    <definedName name="vpc703_4_4">'Verification Report'!$AO$1084</definedName>
    <definedName name="vpc703_5_1_1_a">'Verification Report'!$AO$1097</definedName>
    <definedName name="vpc703_5_1_1_b">'Verification Report'!$AO$1100</definedName>
    <definedName name="vpc703_5_1_2_a">'Verification Report'!$AO$1105</definedName>
    <definedName name="vpc703_5_1_2_b">'Verification Report'!$AO$1106</definedName>
    <definedName name="vpc703_5_1_3">'Verification Report'!$AO$1107</definedName>
    <definedName name="vpc703_5_1_4">'Verification Report'!$AO$1108</definedName>
    <definedName name="vpc703_5_2">'Verification Report'!$AO$1112</definedName>
    <definedName name="vpc703_5_3">'Verification Report'!$AO$1114</definedName>
    <definedName name="vpc703_5_4">'Verification Report'!$AO$1116</definedName>
    <definedName name="vpc703_5_5">'Verification Report'!$AO$1117</definedName>
    <definedName name="vpc703_6_1_1">'Verification Report'!$AO$1128</definedName>
    <definedName name="vpc703_6_1_2">'Verification Report'!$AO$1130</definedName>
    <definedName name="vpc703_6_1_3">'Verification Report'!$AO$1132</definedName>
    <definedName name="vpc703_6_2__1">'Verification Report'!$AO$1135</definedName>
    <definedName name="vpc703_6_2__2">'Verification Report'!$AO$1136</definedName>
    <definedName name="vpc703_6_2__3">'Verification Report'!$AO$1137</definedName>
    <definedName name="vpc703_7_1">'Verification Report'!$AO$1140</definedName>
    <definedName name="vpc703_7_2">'Verification Report'!$AO$1168</definedName>
    <definedName name="vpc703_7_3">'Verification Report'!$AO$1170</definedName>
    <definedName name="vpc703_7_4">'Verification Report'!$AO$1197</definedName>
    <definedName name="vpc704_1">'Verification Report'!$AO$1221</definedName>
    <definedName name="vpc705_2_1_1">'Verification Report'!$AO$1234</definedName>
    <definedName name="vpc705_2_1_2">'Verification Report'!$AO$1238</definedName>
    <definedName name="vpc705_2_1_3_1">'Verification Report'!$AO$1241</definedName>
    <definedName name="vpc705_2_1_3_2">'Verification Report'!$AO$1245</definedName>
    <definedName name="vpc705_2_1_4">'Verification Report'!$AO$1250</definedName>
    <definedName name="vpc705_2_2">'Verification Report'!$AO$1255</definedName>
    <definedName name="vpc705_2_3">'Verification Report'!$AO$1258</definedName>
    <definedName name="vpc705_2_4">'Verification Report'!$AO$1260</definedName>
    <definedName name="vpc705_3">'Verification Report'!$AO$1263</definedName>
    <definedName name="vpc705_4">'Verification Report'!$AO$1264</definedName>
    <definedName name="vpc705_5_1">'Verification Report'!$AO$1268</definedName>
    <definedName name="vpc705_5_2">'Verification Report'!$AO$1273</definedName>
    <definedName name="vpc705_6_1">'Verification Report'!$AO$1282</definedName>
    <definedName name="vpc705_6_2_1_1">'Verification Report'!$AO$1295</definedName>
    <definedName name="vpc705_6_2_1_1_1">'Verification Report'!$AO$1295</definedName>
    <definedName name="vpc705_6_2_1_2">'Verification Report'!$AO$1298</definedName>
    <definedName name="vpc705_6_2_2">'Verification Report'!$AO$1301</definedName>
    <definedName name="vpc705_6_2_3">'Verification Report'!$AO$1309</definedName>
    <definedName name="vpc705_6_3">'Verification Report'!$AO$1315</definedName>
    <definedName name="vpc705_6_4_1">'Verification Report'!$AO$1327</definedName>
    <definedName name="vpc705_6_4_2">'Verification Report'!$AO$1329</definedName>
    <definedName name="vpc705_7">'Verification Report'!$AO$1331</definedName>
    <definedName name="vpc706_1">'Verification Report'!$AO$1336</definedName>
    <definedName name="vpc706_2_1">'Verification Report'!$AO$1346</definedName>
    <definedName name="vpc706_2_2">'Verification Report'!$AO$1349</definedName>
    <definedName name="vpc706_3">'Verification Report'!$AO$1356</definedName>
    <definedName name="vpc706_4_1_1">'Verification Report'!$AO$1374</definedName>
    <definedName name="vpc706_4_1_2">'Verification Report'!$AO$1376</definedName>
    <definedName name="vpc706_4_2">'Verification Report'!$AO$1378</definedName>
    <definedName name="vpc706_5">'Verification Report'!$AO$1380</definedName>
    <definedName name="vpc706_6">'Verification Report'!$AO$1389</definedName>
    <definedName name="vpc706_7_1">'Verification Report'!$AO$1393</definedName>
    <definedName name="vpc706_7_2">'Verification Report'!$AO$1394</definedName>
    <definedName name="vpc706_8">'Verification Report'!$AO$1397</definedName>
    <definedName name="vpc706_9">'Verification Report'!$AO$1400</definedName>
    <definedName name="vpc801_1">'Verification Report'!$AO$1407</definedName>
    <definedName name="vpc801_1_6">'Verification Report'!$AO$1437</definedName>
    <definedName name="vpc801_2_1">'Verification Report'!$AO$1442</definedName>
    <definedName name="vpc801_2_2">'Verification Report'!$AO$1443</definedName>
    <definedName name="vpc801_3_1">'Verification Report'!$AO$1450</definedName>
    <definedName name="vpc801_3_2">'Verification Report'!$AO$1459</definedName>
    <definedName name="vpc801_3_3">'Verification Report'!$AO$1464</definedName>
    <definedName name="vpc801_4_1_1">'Verification Report'!$AO$1469</definedName>
    <definedName name="vpc801_4_1_2">'Verification Report'!$AO$1473</definedName>
    <definedName name="vpc801_4_2">'Verification Report'!$AO$1474</definedName>
    <definedName name="vpc801_5_2">'Verification Report'!$AO$1481</definedName>
    <definedName name="vpc801_5_3">'Verification Report'!$AO$1487</definedName>
    <definedName name="vpc801_5_4_a">'Verification Report'!$AO$1490</definedName>
    <definedName name="vpc801_5_4_b">'Verification Report'!$AO$1494</definedName>
    <definedName name="vpc801_5_4_c">'Verification Report'!$AO$1496</definedName>
    <definedName name="vpc801_6_1">'Verification Report'!$AO$1498</definedName>
    <definedName name="vpc801_6_2_1">'Verification Report'!$AO$1502</definedName>
    <definedName name="vpc801_6_2_2">'Verification Report'!$AO$1503</definedName>
    <definedName name="vpc801_6_2_3">'Verification Report'!$AO$1504</definedName>
    <definedName name="vpc801_6_4_1">'Verification Report'!$AO$1512</definedName>
    <definedName name="vpc801_6_4_3">'Verification Report'!$AO$1515</definedName>
    <definedName name="vpc801_6_5">'Verification Report'!$AO$1519</definedName>
    <definedName name="vpc801_7_1">'Verification Report'!$AO$1523</definedName>
    <definedName name="vpc801_7_2">'Verification Report'!$AO$1534</definedName>
    <definedName name="vpc801_8">'Verification Report'!$AO$1540</definedName>
    <definedName name="vpc802_1">'Verification Report'!$AO$1543</definedName>
    <definedName name="vpc802_2">'Verification Report'!$AO$1550</definedName>
    <definedName name="vpc802_3">'Verification Report'!$AO$1553</definedName>
    <definedName name="vpc802_4">'Verification Report'!$AO$1558</definedName>
    <definedName name="vpc802_5">'Verification Report'!$AO$1561</definedName>
    <definedName name="vpc802_6">'Verification Report'!$AO$1563</definedName>
    <definedName name="vpc901_1_1">'Verification Report'!$AO$1569</definedName>
    <definedName name="vpc901_1_2">'Verification Report'!$AO$1575</definedName>
    <definedName name="vpc901_1_3_1">'Verification Report'!$AO$1580</definedName>
    <definedName name="vpc901_1_3_2">'Verification Report'!$AO$1583</definedName>
    <definedName name="vpc901_1_5">'Verification Report'!$AO$1590</definedName>
    <definedName name="vpc901_1_6">'Verification Report'!$AO$1593</definedName>
    <definedName name="vpc901_10">'Verification Report'!$AO$1702</definedName>
    <definedName name="vpc901_11">'Verification Report'!$AO$1715</definedName>
    <definedName name="vpc901_13">'Verification Report'!$AO$1722</definedName>
    <definedName name="vpc901_14_1">'Verification Report'!$AO$1728</definedName>
    <definedName name="vpc901_14_2">'Verification Report'!$AO$1730</definedName>
    <definedName name="vpc901_2_1_1">'Verification Report'!$AO$1599</definedName>
    <definedName name="vpc901_2_1_2">'Verification Report'!$AO$1602</definedName>
    <definedName name="vpc901_2_1_3">'Verification Report'!$AO$1604</definedName>
    <definedName name="vpc901_2_1_4">'Verification Report'!$AO$1607</definedName>
    <definedName name="vpc901_2_1_5">'Verification Report'!$AO$1609</definedName>
    <definedName name="vpc901_2_2">'Verification Report'!$AO$1611</definedName>
    <definedName name="vpc901_3_1_a">'Verification Report'!$AO$1614</definedName>
    <definedName name="vpc901_3_1_b">'Verification Report'!$AO$1616</definedName>
    <definedName name="vpc901_3_1_c">'Verification Report'!$AO$1618</definedName>
    <definedName name="vpc901_3_2">'Verification Report'!$AO$1624</definedName>
    <definedName name="vpc901_4">'Verification Report'!$AO$1625</definedName>
    <definedName name="vpc901_5_1">'Verification Report'!$AO$1647</definedName>
    <definedName name="vpc901_5_2">'Verification Report'!$AO$1649</definedName>
    <definedName name="vpc901_7">'Verification Report'!$AO$1654</definedName>
    <definedName name="vpc901_8">'Verification Report'!$AO$1675</definedName>
    <definedName name="vpc901_9_1">'Verification Report'!$AO$1684</definedName>
    <definedName name="vpc901_9_2">'Verification Report'!$AO$1691</definedName>
    <definedName name="vpc901_9_3">'Verification Report'!$AO$1696</definedName>
    <definedName name="vpc902_1_1_a">'Verification Report'!$AO$1738</definedName>
    <definedName name="vpc902_1_2">'Verification Report'!$AO$1745</definedName>
    <definedName name="vpc902_1_3">'Verification Report'!$AO$1749</definedName>
    <definedName name="vpc902_1_3_">'Verification Report'!$AO$1742</definedName>
    <definedName name="vpc902_1_4">'Verification Report'!$AO$1753</definedName>
    <definedName name="vpc902_1_5">'Verification Report'!$AO$1758</definedName>
    <definedName name="vpc902_2_1">'Verification Report'!$AO$1768</definedName>
    <definedName name="vpc902_2_2">'Verification Report'!$AO$1777</definedName>
    <definedName name="vpc902_2_3">'Verification Report'!$AO$1779</definedName>
    <definedName name="vpc902_2_4">'Verification Report'!$AO$1782</definedName>
    <definedName name="vpc902_3_1">'Verification Report'!$AO$1787</definedName>
    <definedName name="vpc902_3_2_a">'Verification Report'!$AO$1791</definedName>
    <definedName name="vpc902_4">'Verification Report'!$AO$1792</definedName>
    <definedName name="vpc902_5">'Verification Report'!$AO$1799</definedName>
    <definedName name="vpc903_1">'Verification Report'!$AO$1805</definedName>
    <definedName name="vpc903_2">'Verification Report'!$AO$1809</definedName>
    <definedName name="vpc903_3">'Verification Report'!$AO$1813</definedName>
    <definedName name="vpc904_1">'Verification Report'!$AO$1821</definedName>
    <definedName name="vpc904_2">'Verification Report'!$AO$1826</definedName>
    <definedName name="vpc905_1">'Verification Report'!$AO$1830</definedName>
    <definedName name="vpc905_2">'Verification Report'!$AO$1835</definedName>
    <definedName name="vscAGFloorArea">'Overview (Verification)'!$I$20</definedName>
    <definedName name="vscAttachedGarage">'Overview (Verification)'!$I$46</definedName>
    <definedName name="vscAttic">'Overview (Verification)'!$I$45</definedName>
    <definedName name="vscBuilderName">'Overview (Verification)'!$I$8</definedName>
    <definedName name="vscBuildingCode">'Overview (Verification)'!$I$58</definedName>
    <definedName name="vscCDucts">'Overview (Verification)'!$I$37</definedName>
    <definedName name="vscCity">'Overview (Verification)'!$I$11</definedName>
    <definedName name="vscCool1">'Overview (Verification)'!$I$34</definedName>
    <definedName name="vscCool2">'Overview (Verification)'!$I$35</definedName>
    <definedName name="vscCool3">'Overview (Verification)'!$I$36</definedName>
    <definedName name="vscCounty">'Overview (Verification)'!$I$13</definedName>
    <definedName name="vscCToilet">'Overview (Verification)'!$I$55</definedName>
    <definedName name="vscDuctless">'Overview (Verification)'!$I$52</definedName>
    <definedName name="vscEnergyCode">'Overview (Verification)'!$I$57</definedName>
    <definedName name="vscFloors">'Overview (Verification)'!$I$22</definedName>
    <definedName name="vscFoundation">'Overview (Verification)'!$I$27</definedName>
    <definedName name="vscFuel">'Overview (Verification)'!$I$32</definedName>
    <definedName name="vscHDucts">'Overview (Verification)'!$I$33</definedName>
    <definedName name="vscHERS">'Overview (Verification)'!$I$26</definedName>
    <definedName name="vscHomeAddress">'Overview (Verification)'!$I$9</definedName>
    <definedName name="vscHVAC1">'Overview (Verification)'!$I$29</definedName>
    <definedName name="vscHVAC2">'Overview (Verification)'!$I$30</definedName>
    <definedName name="vscHVAC3">'Overview (Verification)'!$I$31</definedName>
    <definedName name="vscLot">'Overview (Verification)'!$I$10</definedName>
    <definedName name="vscMassWalls">'Overview (Verification)'!$I$51</definedName>
    <definedName name="vscPassiveSolar">'Overview (Verification)'!$I$50</definedName>
    <definedName name="vscProjectDesc">'Overview (Verification)'!$I$24</definedName>
    <definedName name="vscProjectName">'Overview (Verification)'!$I$18</definedName>
    <definedName name="vscRadiantHydronic">'Overview (Verification)'!$I$53</definedName>
    <definedName name="vscRecessedLighting">'Overview (Verification)'!$I$47</definedName>
    <definedName name="vscRenewable">'Overview (Verification)'!$I$43</definedName>
    <definedName name="vscSingleOrMulti">'Overview (Verification)'!$I$16</definedName>
    <definedName name="vscsSHGC">'Overview (Verification)'!$I$40</definedName>
    <definedName name="vscState">'Overview (Verification)'!$I$12</definedName>
    <definedName name="vscsUV">'Overview (Verification)'!$I$42</definedName>
    <definedName name="vscTCFloorArea">'Overview (Verification)'!$I$21</definedName>
    <definedName name="vscTEInsulation">'Overview (Verification)'!$I$44</definedName>
    <definedName name="vscTLWH">'Overview (Verification)'!$I$54</definedName>
    <definedName name="vscUnits">'Overview (Verification)'!$I$17</definedName>
    <definedName name="vscwdSHGC">'Overview (Verification)'!$I$39</definedName>
    <definedName name="vscwdUV">'Overview (Verification)'!$I$41</definedName>
    <definedName name="vscZIP">'Overview (Verification)'!$I$14</definedName>
    <definedName name="vsfAGFloorArea">'Overview (Verification)'!$J$20</definedName>
    <definedName name="vsfAttachedGarage">'Overview (Verification)'!$J$46</definedName>
    <definedName name="vsfAttic">'Overview (Verification)'!$J$45</definedName>
    <definedName name="vsfBuilderName">'Overview (Verification)'!$J$8</definedName>
    <definedName name="vsfBuildingCode">'Overview (Verification)'!$J$58</definedName>
    <definedName name="vsfCDucts">'Overview (Verification)'!$J$37</definedName>
    <definedName name="vsfCity">'Overview (Verification)'!$J$11</definedName>
    <definedName name="vsfCool1">'Overview (Verification)'!$J$34</definedName>
    <definedName name="vsfCool2">'Overview (Verification)'!$J$35</definedName>
    <definedName name="vsfCool3">'Overview (Verification)'!$J$36</definedName>
    <definedName name="vsfCounty">'Overview (Verification)'!$J$13</definedName>
    <definedName name="vsfCToilet">'Overview (Verification)'!$J$55</definedName>
    <definedName name="vsfDuctless">'Overview (Verification)'!$J$52</definedName>
    <definedName name="vsfEnergyCode">'Overview (Verification)'!$J$57</definedName>
    <definedName name="vsfFloors">'Overview (Verification)'!$J$22</definedName>
    <definedName name="vsfFoundation">'Overview (Verification)'!$J$27</definedName>
    <definedName name="vsfFuel">'Overview (Verification)'!$J$32</definedName>
    <definedName name="vsfHDucts">'Overview (Verification)'!$J$33</definedName>
    <definedName name="vsfHERS">'Overview (Verification)'!$J$26</definedName>
    <definedName name="vsfHomeAddress">'Overview (Verification)'!$J$9</definedName>
    <definedName name="vsfHVAC1">'Overview (Verification)'!$J$29</definedName>
    <definedName name="vsfHVAC2">'Overview (Verification)'!$J$30</definedName>
    <definedName name="vsfHVAC3">'Overview (Verification)'!$J$31</definedName>
    <definedName name="vsfLot">'Overview (Verification)'!$J$10</definedName>
    <definedName name="vsfMassWalls">'Overview (Verification)'!$J$51</definedName>
    <definedName name="vsfPassiveSolar">'Overview (Verification)'!$J$50</definedName>
    <definedName name="vsfProjectDesc">'Overview (Verification)'!$J$24</definedName>
    <definedName name="vsfProjectID">'Overview (Verification)'!$J$60</definedName>
    <definedName name="vsfProjectName">'Overview (Verification)'!$J$18</definedName>
    <definedName name="vsfRadiantHydronic">'Overview (Verification)'!$J$53</definedName>
    <definedName name="vsfRecessedLighting">'Overview (Verification)'!$J$47</definedName>
    <definedName name="vsfRenewable">'Overview (Verification)'!$J$43</definedName>
    <definedName name="vsfSingleOrMulti">'Overview (Verification)'!$J$16</definedName>
    <definedName name="vsfsSHGC">'Overview (Verification)'!$J$40</definedName>
    <definedName name="vsfState">'Overview (Verification)'!$J$12</definedName>
    <definedName name="vsfsUV">'Overview (Verification)'!$J$42</definedName>
    <definedName name="vsfTCFloorArea">'Overview (Verification)'!$J$21</definedName>
    <definedName name="vsfTEInsulation">'Overview (Verification)'!$J$44</definedName>
    <definedName name="vsfTLWH">'Overview (Verification)'!$J$54</definedName>
    <definedName name="vsfUnits">'Overview (Verification)'!$J$17</definedName>
    <definedName name="vsfwdSHGC">'Overview (Verification)'!$J$39</definedName>
    <definedName name="vsfwdUV">'Overview (Verification)'!$J$41</definedName>
    <definedName name="vsfZIP">'Overview (Verification)'!$J$14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1835" i="16" l="1"/>
  <c r="AS1830" i="16"/>
  <c r="AS1826" i="16"/>
  <c r="AS1821" i="16"/>
  <c r="AS1813" i="16"/>
  <c r="AS1809" i="16"/>
  <c r="AS1805" i="16"/>
  <c r="AS1801" i="16"/>
  <c r="AS1799" i="16"/>
  <c r="AS1796" i="16"/>
  <c r="AS1794" i="16"/>
  <c r="AS1785" i="16"/>
  <c r="AS1782" i="16"/>
  <c r="AS1779" i="16"/>
  <c r="AS1777" i="16"/>
  <c r="AS1768" i="16"/>
  <c r="AS1764" i="16"/>
  <c r="AS1762" i="16"/>
  <c r="AS1760" i="16"/>
  <c r="AS1753" i="16"/>
  <c r="AS1742" i="16"/>
  <c r="AS1749" i="16"/>
  <c r="AS1740" i="16"/>
  <c r="AS1745" i="16"/>
  <c r="AS1738" i="16"/>
  <c r="AS1736" i="16"/>
  <c r="AS1696" i="16"/>
  <c r="AS1691" i="16"/>
  <c r="AS1689" i="16"/>
  <c r="AS1688" i="16"/>
  <c r="AS1686" i="16"/>
  <c r="AS1681" i="16"/>
  <c r="AS1675" i="16"/>
  <c r="AS1671" i="16"/>
  <c r="AS1661" i="16"/>
  <c r="AS1652" i="16"/>
  <c r="AS1649" i="16"/>
  <c r="AS1647" i="16"/>
  <c r="AS1633" i="16"/>
  <c r="AS1628" i="16"/>
  <c r="AS1624" i="16"/>
  <c r="AS1618" i="16"/>
  <c r="AS1616" i="16"/>
  <c r="AS1614" i="16"/>
  <c r="AS1611" i="16"/>
  <c r="AS1609" i="16"/>
  <c r="AS1607" i="16"/>
  <c r="AS1604" i="16"/>
  <c r="AS1602" i="16"/>
  <c r="AS1599" i="16"/>
  <c r="AS1730" i="16"/>
  <c r="AS1728" i="16"/>
  <c r="AS1722" i="16"/>
  <c r="AS1720" i="16"/>
  <c r="AS1715" i="16"/>
  <c r="AS1711" i="16"/>
  <c r="AS1710" i="16"/>
  <c r="AS1705" i="16"/>
  <c r="AS1593" i="16"/>
  <c r="AS1590" i="16"/>
  <c r="AS1586" i="16"/>
  <c r="AS1583" i="16"/>
  <c r="AS1580" i="16"/>
  <c r="AS1575" i="16"/>
  <c r="AS1569" i="16"/>
  <c r="AS1563" i="16"/>
  <c r="AS1561" i="16"/>
  <c r="AS1558" i="16"/>
  <c r="AS1557" i="16"/>
  <c r="AS1556" i="16"/>
  <c r="AS1550" i="16"/>
  <c r="AS1549" i="16"/>
  <c r="AS1547" i="16"/>
  <c r="AS1540" i="16"/>
  <c r="AS1539" i="16"/>
  <c r="AS1537" i="16"/>
  <c r="AS1523" i="16"/>
  <c r="AS1519" i="16"/>
  <c r="AS1515" i="16"/>
  <c r="AS1514" i="16"/>
  <c r="AS1512" i="16"/>
  <c r="AS1506" i="16"/>
  <c r="AS1504" i="16"/>
  <c r="AS1503" i="16"/>
  <c r="AS1502" i="16"/>
  <c r="AS1498" i="16"/>
  <c r="AS1496" i="16"/>
  <c r="AS1494" i="16"/>
  <c r="AS1490" i="16"/>
  <c r="AS1487" i="16"/>
  <c r="AS1481" i="16"/>
  <c r="AS1479" i="16"/>
  <c r="AS1474" i="16"/>
  <c r="AS1473" i="16"/>
  <c r="AS1469" i="16"/>
  <c r="AS1464" i="16"/>
  <c r="AS1459" i="16"/>
  <c r="AS1450" i="16"/>
  <c r="AS1443" i="16"/>
  <c r="AS1442" i="16"/>
  <c r="AS1437" i="16"/>
  <c r="AS1432" i="16"/>
  <c r="AS1421" i="16"/>
  <c r="AS1400" i="16"/>
  <c r="AS1397" i="16"/>
  <c r="AS1394" i="16"/>
  <c r="AS1393" i="16"/>
  <c r="AS1389" i="16"/>
  <c r="AS1380" i="16"/>
  <c r="AS1378" i="16"/>
  <c r="AS1376" i="16"/>
  <c r="AS1374" i="16"/>
  <c r="AS1371" i="16"/>
  <c r="AS1370" i="16"/>
  <c r="AS1369" i="16"/>
  <c r="AS1368" i="16"/>
  <c r="AS1367" i="16"/>
  <c r="AS1366" i="16"/>
  <c r="AS1365" i="16"/>
  <c r="AS1364" i="16"/>
  <c r="AS1356" i="16"/>
  <c r="AS1349" i="16"/>
  <c r="AS1346" i="16"/>
  <c r="AS1343" i="16"/>
  <c r="AS1341" i="16"/>
  <c r="AS1340" i="16"/>
  <c r="AS1339" i="16"/>
  <c r="AS1338" i="16"/>
  <c r="AS1331" i="16"/>
  <c r="AS1329" i="16"/>
  <c r="AS1327" i="16"/>
  <c r="AS1324" i="16"/>
  <c r="AS1323" i="16"/>
  <c r="AS1322" i="16"/>
  <c r="AS1321" i="16"/>
  <c r="AS1320" i="16"/>
  <c r="AS1319" i="16"/>
  <c r="AS1318" i="16"/>
  <c r="AS1309" i="16"/>
  <c r="AS1301" i="16"/>
  <c r="AS1298" i="16"/>
  <c r="AS1295" i="16"/>
  <c r="AS1282" i="16"/>
  <c r="AS1280" i="16"/>
  <c r="AS1279" i="16"/>
  <c r="AS1278" i="16"/>
  <c r="AS1277" i="16"/>
  <c r="AS1276" i="16"/>
  <c r="AS1275" i="16"/>
  <c r="AS1273" i="16"/>
  <c r="AS1268" i="16"/>
  <c r="AS1264" i="16"/>
  <c r="AS1263" i="16"/>
  <c r="AS1260" i="16"/>
  <c r="AS1258" i="16"/>
  <c r="AS1255" i="16"/>
  <c r="AS1250" i="16"/>
  <c r="AS1245" i="16"/>
  <c r="AS1241" i="16"/>
  <c r="AS1238" i="16"/>
  <c r="AS1234" i="16"/>
  <c r="AS1221" i="16"/>
  <c r="AS1218" i="16"/>
  <c r="AS1215" i="16"/>
  <c r="AS1207" i="16"/>
  <c r="AS1204" i="16"/>
  <c r="AS1200" i="16"/>
  <c r="AS1195" i="16"/>
  <c r="AS1193" i="16"/>
  <c r="AS1191" i="16"/>
  <c r="AS1186" i="16"/>
  <c r="AS1185" i="16"/>
  <c r="AS1182" i="16"/>
  <c r="AS1180" i="16"/>
  <c r="AS1179" i="16"/>
  <c r="AS1178" i="16"/>
  <c r="AS1176" i="16"/>
  <c r="AS1168" i="16"/>
  <c r="AS1162" i="16"/>
  <c r="AS1161" i="16"/>
  <c r="AS1158" i="16"/>
  <c r="AS1156" i="16"/>
  <c r="AS1155" i="16"/>
  <c r="AS1153" i="16"/>
  <c r="AS1150" i="16"/>
  <c r="AS1148" i="16"/>
  <c r="AS1146" i="16"/>
  <c r="AS1144" i="16"/>
  <c r="AS1142" i="16"/>
  <c r="AS1163" i="16"/>
  <c r="AS1137" i="16"/>
  <c r="AS1136" i="16"/>
  <c r="AS1135" i="16"/>
  <c r="AS1132" i="16"/>
  <c r="AS1130" i="16"/>
  <c r="AS1128" i="16"/>
  <c r="AS1117" i="16"/>
  <c r="AS1116" i="16"/>
  <c r="AS1114" i="16"/>
  <c r="AS1112" i="16"/>
  <c r="AS1094" i="16"/>
  <c r="AS1084" i="16"/>
  <c r="AS1082" i="16"/>
  <c r="AS1080" i="16"/>
  <c r="AS1079" i="16"/>
  <c r="AS1076" i="16"/>
  <c r="AS1074" i="16"/>
  <c r="AS1068" i="16"/>
  <c r="AS1061" i="16"/>
  <c r="AS1055" i="16"/>
  <c r="AS1051" i="16"/>
  <c r="AS1050" i="16"/>
  <c r="AS1048" i="16"/>
  <c r="AS1043" i="16"/>
  <c r="AS1039" i="16"/>
  <c r="AS1033" i="16"/>
  <c r="AS1027" i="16"/>
  <c r="AS1022" i="16"/>
  <c r="AS1019" i="16"/>
  <c r="AS1013" i="16"/>
  <c r="AS1007" i="16"/>
  <c r="AS1000" i="16"/>
  <c r="AS994" i="16"/>
  <c r="AS985" i="16"/>
  <c r="AS977" i="16"/>
  <c r="AS969" i="16"/>
  <c r="AS962" i="16"/>
  <c r="AS958" i="16"/>
  <c r="AS955" i="16"/>
  <c r="AS953" i="16"/>
  <c r="AS946" i="16"/>
  <c r="AS940" i="16"/>
  <c r="AS937" i="16"/>
  <c r="AS924" i="16"/>
  <c r="AS920" i="16"/>
  <c r="AS917" i="16"/>
  <c r="AS911" i="16"/>
  <c r="AS907" i="16"/>
  <c r="AS902" i="16"/>
  <c r="AS901" i="16"/>
  <c r="AS899" i="16"/>
  <c r="AS891" i="16"/>
  <c r="AS885" i="16"/>
  <c r="AS882" i="16"/>
  <c r="AS842" i="16"/>
  <c r="AS855" i="16"/>
  <c r="AS853" i="16"/>
  <c r="AS852" i="16"/>
  <c r="AS851" i="16"/>
  <c r="AS850" i="16"/>
  <c r="AS848" i="16"/>
  <c r="AS847" i="16"/>
  <c r="AS845" i="16"/>
  <c r="AS844" i="16"/>
  <c r="AS875" i="16"/>
  <c r="AS874" i="16"/>
  <c r="AS872" i="16"/>
  <c r="AS869" i="16"/>
  <c r="AS867" i="16"/>
  <c r="AS863" i="16"/>
  <c r="AS862" i="16"/>
  <c r="AS860" i="16"/>
  <c r="AS879" i="16"/>
  <c r="AS876" i="16"/>
  <c r="AS859" i="16"/>
  <c r="AS839" i="16"/>
  <c r="AS835" i="16"/>
  <c r="AS834" i="16"/>
  <c r="AS833" i="16"/>
  <c r="AS832" i="16"/>
  <c r="AS831" i="16"/>
  <c r="AS830" i="16"/>
  <c r="AS829" i="16"/>
  <c r="AS828" i="16"/>
  <c r="AS827" i="16"/>
  <c r="AS826" i="16"/>
  <c r="AS825" i="16"/>
  <c r="AS824" i="16"/>
  <c r="AS820" i="16"/>
  <c r="AS817" i="16"/>
  <c r="AS816" i="16"/>
  <c r="AS807" i="16"/>
  <c r="AS804" i="16"/>
  <c r="AS813" i="16"/>
  <c r="AS799" i="16"/>
  <c r="AS789" i="16"/>
  <c r="AS786" i="16"/>
  <c r="AS783" i="16"/>
  <c r="AS781" i="16"/>
  <c r="AS778" i="16"/>
  <c r="AS766" i="16"/>
  <c r="AS757" i="16"/>
  <c r="AS750" i="16"/>
  <c r="AS748" i="16"/>
  <c r="AS744" i="16"/>
  <c r="AS743" i="16"/>
  <c r="AS742" i="16"/>
  <c r="AS740" i="16"/>
  <c r="AS738" i="16"/>
  <c r="AS734" i="16"/>
  <c r="AS729" i="16"/>
  <c r="AS725" i="16"/>
  <c r="AS724" i="16"/>
  <c r="AS723" i="16"/>
  <c r="AS722" i="16"/>
  <c r="AS721" i="16"/>
  <c r="AS720" i="16"/>
  <c r="AS719" i="16"/>
  <c r="AS708" i="16"/>
  <c r="AS695" i="16"/>
  <c r="AS689" i="16"/>
  <c r="AS683" i="16"/>
  <c r="AS701" i="16"/>
  <c r="AS676" i="16"/>
  <c r="AS669" i="16"/>
  <c r="AS663" i="16"/>
  <c r="AS656" i="16"/>
  <c r="AS647" i="16"/>
  <c r="AS634" i="16"/>
  <c r="AS631" i="16"/>
  <c r="AS622" i="16"/>
  <c r="AS619" i="16"/>
  <c r="AS618" i="16"/>
  <c r="AS616" i="16"/>
  <c r="AS607" i="16"/>
  <c r="AS605" i="16"/>
  <c r="AS604" i="16"/>
  <c r="AS602" i="16"/>
  <c r="AS601" i="16"/>
  <c r="AS574" i="16"/>
  <c r="AS569" i="16"/>
  <c r="AS568" i="16"/>
  <c r="AS561" i="16"/>
  <c r="AS548" i="16"/>
  <c r="AS533" i="16"/>
  <c r="AS527" i="16"/>
  <c r="AS525" i="16"/>
  <c r="AS523" i="16"/>
  <c r="AS521" i="16"/>
  <c r="AS517" i="16"/>
  <c r="AS510" i="16"/>
  <c r="AS504" i="16"/>
  <c r="AS500" i="16"/>
  <c r="AS498" i="16"/>
  <c r="AS493" i="16"/>
  <c r="AS489" i="16"/>
  <c r="AS486" i="16"/>
  <c r="AS485" i="16"/>
  <c r="AS483" i="16"/>
  <c r="AS450" i="16"/>
  <c r="AS448" i="16"/>
  <c r="AS442" i="16"/>
  <c r="AS438" i="16"/>
  <c r="AS437" i="16"/>
  <c r="AS434" i="16"/>
  <c r="AS424" i="16"/>
  <c r="AS416" i="16"/>
  <c r="AS412" i="16"/>
  <c r="AS410" i="16"/>
  <c r="AS408" i="16"/>
  <c r="AS405" i="16"/>
  <c r="AS403" i="16"/>
  <c r="AS390" i="16"/>
  <c r="AS381" i="16"/>
  <c r="AS378" i="16"/>
  <c r="AS376" i="16"/>
  <c r="AS372" i="16"/>
  <c r="AS370" i="16"/>
  <c r="AS364" i="16"/>
  <c r="AS362" i="16"/>
  <c r="AS357" i="16"/>
  <c r="AS478" i="16"/>
  <c r="AS477" i="16"/>
  <c r="AS475" i="16"/>
  <c r="AS469" i="16"/>
  <c r="AS466" i="16"/>
  <c r="AS464" i="16"/>
  <c r="AS452" i="16"/>
  <c r="AS355" i="16"/>
  <c r="AS352" i="16"/>
  <c r="AS341" i="16"/>
  <c r="AS333" i="16"/>
  <c r="AS315" i="16"/>
  <c r="AS310" i="16"/>
  <c r="AS309" i="16"/>
  <c r="AS308" i="16"/>
  <c r="AS307" i="16"/>
  <c r="AS306" i="16"/>
  <c r="AS305" i="16"/>
  <c r="AS299" i="16"/>
  <c r="AS298" i="16"/>
  <c r="AS297" i="16"/>
  <c r="AS296" i="16"/>
  <c r="AS295" i="16"/>
  <c r="AS294" i="16"/>
  <c r="AS290" i="16"/>
  <c r="AS287" i="16"/>
  <c r="AS284" i="16"/>
  <c r="AS268" i="16"/>
  <c r="AS258" i="16"/>
  <c r="AS256" i="16"/>
  <c r="AS255" i="16"/>
  <c r="AS249" i="16"/>
  <c r="AS246" i="16"/>
  <c r="AS236" i="16"/>
  <c r="AS230" i="16"/>
  <c r="AS226" i="16"/>
  <c r="AS225" i="16"/>
  <c r="AS223" i="16"/>
  <c r="AS216" i="16"/>
  <c r="AS208" i="16"/>
  <c r="AS207" i="16"/>
  <c r="AS204" i="16"/>
  <c r="AS200" i="16"/>
  <c r="AS198" i="16"/>
  <c r="AS196" i="16"/>
  <c r="AS195" i="16"/>
  <c r="AS193" i="16"/>
  <c r="AS190" i="16"/>
  <c r="AS183" i="16"/>
  <c r="AS178" i="16"/>
  <c r="AS170" i="16"/>
  <c r="AS164" i="16"/>
  <c r="AS157" i="16"/>
  <c r="AS148" i="16"/>
  <c r="AS146" i="16"/>
  <c r="AS141" i="16"/>
  <c r="AS140" i="16"/>
  <c r="AS135" i="16"/>
  <c r="AS133" i="16"/>
  <c r="AS131" i="16"/>
  <c r="AS129" i="16"/>
  <c r="AS155" i="16"/>
  <c r="AS153" i="16"/>
  <c r="AS151" i="16"/>
  <c r="AS123" i="16"/>
  <c r="AS119" i="16"/>
  <c r="AS114" i="16"/>
  <c r="AS107" i="16"/>
  <c r="AS103" i="16"/>
  <c r="AS100" i="16"/>
  <c r="AS93" i="16"/>
  <c r="AS80" i="16"/>
  <c r="AS67" i="16"/>
  <c r="AS55" i="16"/>
  <c r="AS50" i="16"/>
  <c r="AS45" i="16"/>
  <c r="AS39" i="16"/>
  <c r="AS36" i="16"/>
  <c r="AS27" i="16"/>
  <c r="AS25" i="16"/>
  <c r="AS23" i="16"/>
  <c r="AS21" i="16"/>
  <c r="AS19" i="16"/>
  <c r="AS13" i="16"/>
  <c r="AS2014" i="16"/>
  <c r="AS2012" i="16"/>
  <c r="AS1999" i="16"/>
  <c r="AS1996" i="16"/>
  <c r="AS1994" i="16"/>
  <c r="AS1977" i="16"/>
  <c r="AS1975" i="16"/>
  <c r="AS1974" i="16"/>
  <c r="AS1973" i="16"/>
  <c r="AS1971" i="16"/>
  <c r="AS1970" i="16"/>
  <c r="AS1968" i="16"/>
  <c r="AS1961" i="16"/>
  <c r="AS1957" i="16"/>
  <c r="AS1976" i="16"/>
  <c r="AS1955" i="16"/>
  <c r="AS1945" i="16"/>
  <c r="AS1943" i="16"/>
  <c r="AS1941" i="16"/>
  <c r="AS1940" i="16"/>
  <c r="AS1938" i="16"/>
  <c r="AS1935" i="16"/>
  <c r="AS1933" i="16"/>
  <c r="AS1930" i="16"/>
  <c r="AS1949" i="16"/>
  <c r="AS1946" i="16"/>
  <c r="AS1928" i="16"/>
  <c r="AS1922" i="16"/>
  <c r="AS1921" i="16"/>
  <c r="AS1920" i="16"/>
  <c r="AS1918" i="16"/>
  <c r="AS1917" i="16"/>
  <c r="AS1915" i="16"/>
  <c r="AS1912" i="16"/>
  <c r="AS1909" i="16"/>
  <c r="AS1888" i="16"/>
  <c r="AS1856" i="16"/>
  <c r="AS1855" i="16"/>
  <c r="AS1853" i="16"/>
  <c r="AS1851" i="16"/>
  <c r="AS1850" i="16"/>
  <c r="AS1849" i="16"/>
  <c r="AS1845" i="16"/>
  <c r="AS1887" i="16"/>
  <c r="AS1886" i="16"/>
  <c r="AS1884" i="16"/>
  <c r="AS1882" i="16"/>
  <c r="AS1880" i="16"/>
  <c r="AS1844" i="16"/>
  <c r="AS1879" i="16"/>
  <c r="AS1877" i="16"/>
  <c r="AS1875" i="16"/>
  <c r="AS1874" i="16"/>
  <c r="AS1872" i="16"/>
  <c r="AS1870" i="16"/>
  <c r="AS1866" i="16"/>
  <c r="AS1860" i="16"/>
  <c r="AS1859" i="16"/>
  <c r="AS1858" i="16"/>
  <c r="AS1843" i="16"/>
  <c r="AQ1835" i="16"/>
  <c r="AQ1830" i="16"/>
  <c r="AQ1826" i="16"/>
  <c r="AQ1821" i="16"/>
  <c r="AQ1816" i="16"/>
  <c r="AQ1815" i="16"/>
  <c r="AQ1809" i="16"/>
  <c r="AQ1805" i="16"/>
  <c r="AQ1801" i="16"/>
  <c r="AQ1799" i="16"/>
  <c r="AQ1796" i="16"/>
  <c r="AQ1794" i="16"/>
  <c r="AQ1791" i="16"/>
  <c r="AQ1787" i="16"/>
  <c r="AQ1782" i="16"/>
  <c r="AQ1779" i="16"/>
  <c r="AQ1777" i="16"/>
  <c r="AQ1768" i="16"/>
  <c r="AQ1764" i="16"/>
  <c r="AQ1762" i="16"/>
  <c r="AQ1760" i="16"/>
  <c r="AQ1757" i="16"/>
  <c r="AQ1755" i="16"/>
  <c r="AQ1742" i="16"/>
  <c r="AQ1749" i="16"/>
  <c r="AQ1748" i="16"/>
  <c r="AQ1740" i="16"/>
  <c r="AQ1746" i="16"/>
  <c r="AQ1738" i="16"/>
  <c r="AQ1736" i="16"/>
  <c r="AQ1696" i="16"/>
  <c r="AQ1691" i="16"/>
  <c r="AQ1689" i="16"/>
  <c r="AQ1688" i="16"/>
  <c r="AQ1686" i="16"/>
  <c r="AQ1675" i="16"/>
  <c r="AQ1672" i="16"/>
  <c r="AQ1671" i="16"/>
  <c r="AQ1661" i="16"/>
  <c r="AQ1652" i="16"/>
  <c r="AQ1649" i="16"/>
  <c r="AQ1647" i="16"/>
  <c r="AQ1636" i="16"/>
  <c r="AQ1635" i="16"/>
  <c r="AQ1634" i="16"/>
  <c r="AQ1633" i="16"/>
  <c r="AQ1628" i="16"/>
  <c r="AQ1624" i="16"/>
  <c r="AQ1618" i="16"/>
  <c r="AQ1616" i="16"/>
  <c r="AQ1614" i="16"/>
  <c r="AQ1611" i="16"/>
  <c r="AQ1609" i="16"/>
  <c r="AQ1607" i="16"/>
  <c r="AQ1604" i="16"/>
  <c r="AQ1602" i="16"/>
  <c r="AQ1599" i="16"/>
  <c r="AQ1730" i="16"/>
  <c r="AQ1728" i="16"/>
  <c r="AQ1725" i="16"/>
  <c r="AQ1724" i="16"/>
  <c r="AQ1720" i="16"/>
  <c r="AQ1715" i="16"/>
  <c r="AQ1711" i="16"/>
  <c r="AQ1710" i="16"/>
  <c r="AQ1705" i="16"/>
  <c r="AQ1593" i="16"/>
  <c r="AQ1590" i="16"/>
  <c r="AQ1586" i="16"/>
  <c r="AQ1583" i="16"/>
  <c r="AQ1580" i="16"/>
  <c r="AQ1575" i="16"/>
  <c r="AQ1569" i="16"/>
  <c r="AQ1563" i="16"/>
  <c r="AQ1561" i="16"/>
  <c r="AQ1558" i="16"/>
  <c r="AQ1557" i="16"/>
  <c r="AQ1556" i="16"/>
  <c r="AQ1551" i="16"/>
  <c r="AQ1549" i="16"/>
  <c r="AQ1547" i="16"/>
  <c r="AQ1540" i="16"/>
  <c r="AQ1539" i="16"/>
  <c r="AQ1537" i="16"/>
  <c r="AQ1523" i="16"/>
  <c r="AQ1519" i="16"/>
  <c r="AQ1515" i="16"/>
  <c r="AQ1514" i="16"/>
  <c r="AQ1512" i="16"/>
  <c r="AQ1506" i="16"/>
  <c r="AQ1504" i="16"/>
  <c r="AQ1503" i="16"/>
  <c r="AQ1502" i="16"/>
  <c r="AQ1498" i="16"/>
  <c r="AQ1496" i="16"/>
  <c r="AQ1494" i="16"/>
  <c r="AQ1490" i="16"/>
  <c r="AQ1487" i="16"/>
  <c r="AQ1481" i="16"/>
  <c r="AQ1474" i="16"/>
  <c r="AQ1473" i="16"/>
  <c r="AQ1469" i="16"/>
  <c r="AQ1464" i="16"/>
  <c r="AQ1459" i="16"/>
  <c r="AQ1450" i="16"/>
  <c r="AQ1443" i="16"/>
  <c r="AQ1442" i="16"/>
  <c r="AQ1437" i="16"/>
  <c r="AQ1408" i="16"/>
  <c r="AQ1400" i="16"/>
  <c r="AQ1397" i="16"/>
  <c r="AQ1394" i="16"/>
  <c r="AQ1393" i="16"/>
  <c r="AQ1389" i="16"/>
  <c r="AQ1381" i="16"/>
  <c r="AQ1378" i="16"/>
  <c r="AQ1376" i="16"/>
  <c r="AQ1374" i="16"/>
  <c r="AQ1371" i="16"/>
  <c r="AQ1370" i="16"/>
  <c r="AQ1369" i="16"/>
  <c r="AQ1368" i="16"/>
  <c r="AQ1367" i="16"/>
  <c r="AQ1366" i="16"/>
  <c r="AQ1365" i="16"/>
  <c r="AQ1364" i="16"/>
  <c r="AQ1349" i="16"/>
  <c r="AQ1346" i="16"/>
  <c r="AQ1343" i="16"/>
  <c r="AQ1341" i="16"/>
  <c r="AQ1340" i="16"/>
  <c r="AQ1339" i="16"/>
  <c r="AQ1338" i="16"/>
  <c r="AQ1331" i="16"/>
  <c r="AQ1329" i="16"/>
  <c r="AQ1327" i="16"/>
  <c r="AQ1317" i="16"/>
  <c r="AQ1315" i="16"/>
  <c r="AQ1309" i="16"/>
  <c r="AQ1301" i="16"/>
  <c r="AQ1298" i="16"/>
  <c r="AQ1297" i="16"/>
  <c r="AQ1295" i="16"/>
  <c r="AQ1273" i="16"/>
  <c r="AQ1268" i="16"/>
  <c r="AQ1264" i="16"/>
  <c r="AQ1263" i="16"/>
  <c r="AQ1261" i="16"/>
  <c r="AQ1258" i="16"/>
  <c r="AQ1255" i="16"/>
  <c r="AQ1250" i="16"/>
  <c r="AQ1245" i="16"/>
  <c r="AQ1241" i="16"/>
  <c r="AQ1238" i="16"/>
  <c r="AQ1234" i="16"/>
  <c r="AQ1227" i="16"/>
  <c r="AQ1225" i="16"/>
  <c r="AQ1197" i="16"/>
  <c r="AQ1195" i="16"/>
  <c r="AQ1193" i="16"/>
  <c r="AQ1191" i="16"/>
  <c r="AQ1186" i="16"/>
  <c r="AQ1185" i="16"/>
  <c r="AQ1182" i="16"/>
  <c r="AQ1180" i="16"/>
  <c r="AQ1179" i="16"/>
  <c r="AQ1178" i="16"/>
  <c r="AQ1176" i="16"/>
  <c r="AQ1168" i="16"/>
  <c r="AQ1140" i="16"/>
  <c r="AQ1137" i="16"/>
  <c r="AQ1136" i="16"/>
  <c r="AQ1135" i="16"/>
  <c r="AQ1132" i="16"/>
  <c r="AQ1130" i="16"/>
  <c r="AQ1128" i="16"/>
  <c r="AQ1118" i="16"/>
  <c r="AQ1116" i="16"/>
  <c r="AQ1114" i="16"/>
  <c r="AQ1112" i="16"/>
  <c r="AQ1097" i="16"/>
  <c r="AQ1095" i="16"/>
  <c r="AQ1084" i="16"/>
  <c r="AQ1082" i="16"/>
  <c r="AQ1080" i="16"/>
  <c r="AQ1079" i="16"/>
  <c r="AQ1076" i="16"/>
  <c r="AQ1074" i="16"/>
  <c r="AQ1068" i="16"/>
  <c r="AQ1063" i="16"/>
  <c r="AQ1061" i="16"/>
  <c r="AQ1056" i="16"/>
  <c r="AQ1051" i="16"/>
  <c r="AQ1050" i="16"/>
  <c r="AQ1048" i="16"/>
  <c r="AQ1044" i="16"/>
  <c r="AQ1039" i="16"/>
  <c r="AQ1034" i="16"/>
  <c r="AQ1028" i="16"/>
  <c r="AQ1023" i="16"/>
  <c r="AQ1020" i="16"/>
  <c r="AQ1014" i="16"/>
  <c r="AQ1007" i="16"/>
  <c r="AQ1001" i="16"/>
  <c r="AQ995" i="16"/>
  <c r="AQ985" i="16"/>
  <c r="AQ977" i="16"/>
  <c r="AQ969" i="16"/>
  <c r="AQ962" i="16"/>
  <c r="AQ955" i="16"/>
  <c r="AQ954" i="16"/>
  <c r="AQ948" i="16"/>
  <c r="AQ946" i="16"/>
  <c r="AQ940" i="16"/>
  <c r="AQ937" i="16"/>
  <c r="AQ924" i="16"/>
  <c r="AQ913" i="16"/>
  <c r="AQ907" i="16"/>
  <c r="AQ902" i="16"/>
  <c r="AQ901" i="16"/>
  <c r="AQ899" i="16"/>
  <c r="AQ891" i="16"/>
  <c r="AQ885" i="16"/>
  <c r="AQ842" i="16"/>
  <c r="AQ855" i="16"/>
  <c r="AQ839" i="16"/>
  <c r="AQ858" i="16"/>
  <c r="AQ823" i="16"/>
  <c r="AQ821" i="16"/>
  <c r="AQ817" i="16"/>
  <c r="AQ816" i="16"/>
  <c r="AQ807" i="16"/>
  <c r="AQ804" i="16"/>
  <c r="AQ813" i="16"/>
  <c r="AQ799" i="16"/>
  <c r="AQ790" i="16"/>
  <c r="AQ778" i="16"/>
  <c r="AQ776" i="16"/>
  <c r="AQ768" i="16"/>
  <c r="AQ758" i="16"/>
  <c r="AQ750" i="16"/>
  <c r="AQ748" i="16"/>
  <c r="AQ744" i="16"/>
  <c r="AQ743" i="16"/>
  <c r="AQ742" i="16"/>
  <c r="AQ740" i="16"/>
  <c r="AQ738" i="16"/>
  <c r="AQ734" i="16"/>
  <c r="AQ729" i="16"/>
  <c r="AQ725" i="16"/>
  <c r="AQ724" i="16"/>
  <c r="AQ723" i="16"/>
  <c r="AQ722" i="16"/>
  <c r="AQ721" i="16"/>
  <c r="AQ720" i="16"/>
  <c r="AQ719" i="16"/>
  <c r="AQ708" i="16"/>
  <c r="AQ696" i="16"/>
  <c r="AQ690" i="16"/>
  <c r="AQ684" i="16"/>
  <c r="AQ702" i="16"/>
  <c r="AQ678" i="16"/>
  <c r="AQ671" i="16"/>
  <c r="AQ663" i="16"/>
  <c r="AQ656" i="16"/>
  <c r="AQ647" i="16"/>
  <c r="AQ635" i="16"/>
  <c r="AQ632" i="16"/>
  <c r="AQ622" i="16"/>
  <c r="AQ619" i="16"/>
  <c r="AQ618" i="16"/>
  <c r="AQ616" i="16"/>
  <c r="AQ607" i="16"/>
  <c r="AQ605" i="16"/>
  <c r="AQ604" i="16"/>
  <c r="AQ602" i="16"/>
  <c r="AQ601" i="16"/>
  <c r="AQ581" i="16"/>
  <c r="AQ580" i="16"/>
  <c r="AQ579" i="16"/>
  <c r="AQ578" i="16"/>
  <c r="AQ577" i="16"/>
  <c r="AQ576" i="16"/>
  <c r="AQ575" i="16"/>
  <c r="AQ574" i="16"/>
  <c r="AQ569" i="16"/>
  <c r="AQ568" i="16"/>
  <c r="AQ567" i="16"/>
  <c r="AQ566" i="16"/>
  <c r="AQ565" i="16"/>
  <c r="AQ564" i="16"/>
  <c r="AQ563" i="16"/>
  <c r="AQ562" i="16"/>
  <c r="AQ561" i="16"/>
  <c r="AQ548" i="16"/>
  <c r="AQ546" i="16"/>
  <c r="AQ533" i="16"/>
  <c r="AQ528" i="16"/>
  <c r="AQ526" i="16"/>
  <c r="AQ524" i="16"/>
  <c r="AQ522" i="16"/>
  <c r="AQ517" i="16"/>
  <c r="AQ510" i="16"/>
  <c r="AQ504" i="16"/>
  <c r="AQ500" i="16"/>
  <c r="AQ498" i="16"/>
  <c r="AQ493" i="16"/>
  <c r="AQ489" i="16"/>
  <c r="AQ486" i="16"/>
  <c r="AQ485" i="16"/>
  <c r="AQ483" i="16"/>
  <c r="AQ450" i="16"/>
  <c r="AQ448" i="16"/>
  <c r="AQ442" i="16"/>
  <c r="AQ438" i="16"/>
  <c r="AQ437" i="16"/>
  <c r="AQ434" i="16"/>
  <c r="AQ424" i="16"/>
  <c r="AQ416" i="16"/>
  <c r="AQ412" i="16"/>
  <c r="AQ410" i="16"/>
  <c r="AQ408" i="16"/>
  <c r="AQ405" i="16"/>
  <c r="AQ403" i="16"/>
  <c r="AQ398" i="16"/>
  <c r="AQ394" i="16"/>
  <c r="AQ390" i="16"/>
  <c r="AQ384" i="16"/>
  <c r="AQ382" i="16"/>
  <c r="AQ381" i="16"/>
  <c r="AQ378" i="16"/>
  <c r="AQ376" i="16"/>
  <c r="AQ372" i="16"/>
  <c r="AQ370" i="16"/>
  <c r="AQ364" i="16"/>
  <c r="AQ362" i="16"/>
  <c r="AQ360" i="16"/>
  <c r="AQ359" i="16"/>
  <c r="AQ478" i="16"/>
  <c r="AQ477" i="16"/>
  <c r="AQ475" i="16"/>
  <c r="AQ469" i="16"/>
  <c r="AQ466" i="16"/>
  <c r="AQ464" i="16"/>
  <c r="AQ452" i="16"/>
  <c r="AQ355" i="16"/>
  <c r="AQ352" i="16"/>
  <c r="AQ341" i="16"/>
  <c r="AQ333" i="16"/>
  <c r="AQ326" i="16"/>
  <c r="AQ324" i="16"/>
  <c r="AQ320" i="16"/>
  <c r="AQ319" i="16"/>
  <c r="AQ318" i="16"/>
  <c r="AQ311" i="16"/>
  <c r="AQ309" i="16"/>
  <c r="AQ308" i="16"/>
  <c r="AQ307" i="16"/>
  <c r="AQ306" i="16"/>
  <c r="AQ305" i="16"/>
  <c r="AQ299" i="16"/>
  <c r="AQ298" i="16"/>
  <c r="AQ297" i="16"/>
  <c r="AQ296" i="16"/>
  <c r="AQ295" i="16"/>
  <c r="AQ294" i="16"/>
  <c r="AQ290" i="16"/>
  <c r="AQ287" i="16"/>
  <c r="AQ284" i="16"/>
  <c r="AQ258" i="16"/>
  <c r="AQ256" i="16"/>
  <c r="AQ255" i="16"/>
  <c r="AQ249" i="16"/>
  <c r="AQ246" i="16"/>
  <c r="AQ245" i="16"/>
  <c r="AQ241" i="16"/>
  <c r="AQ238" i="16"/>
  <c r="AQ230" i="16"/>
  <c r="AQ226" i="16"/>
  <c r="AQ225" i="16"/>
  <c r="AQ223" i="16"/>
  <c r="AQ216" i="16"/>
  <c r="AQ214" i="16"/>
  <c r="AQ213" i="16"/>
  <c r="AQ212" i="16"/>
  <c r="AQ211" i="16"/>
  <c r="AQ210" i="16"/>
  <c r="AQ209" i="16"/>
  <c r="AQ207" i="16"/>
  <c r="AQ204" i="16"/>
  <c r="AQ200" i="16"/>
  <c r="AQ198" i="16"/>
  <c r="AQ196" i="16"/>
  <c r="AQ195" i="16"/>
  <c r="AQ193" i="16"/>
  <c r="AQ188" i="16"/>
  <c r="AQ186" i="16"/>
  <c r="AQ185" i="16"/>
  <c r="AQ178" i="16"/>
  <c r="AQ170" i="16"/>
  <c r="AQ164" i="16"/>
  <c r="AQ163" i="16"/>
  <c r="AQ161" i="16"/>
  <c r="AQ160" i="16"/>
  <c r="AQ159" i="16"/>
  <c r="AQ148" i="16"/>
  <c r="AQ146" i="16"/>
  <c r="AQ141" i="16"/>
  <c r="AQ140" i="16"/>
  <c r="AQ135" i="16"/>
  <c r="AQ133" i="16"/>
  <c r="AQ131" i="16"/>
  <c r="AQ129" i="16"/>
  <c r="AQ155" i="16"/>
  <c r="AQ153" i="16"/>
  <c r="AQ151" i="16"/>
  <c r="AQ123" i="16"/>
  <c r="AQ121" i="16"/>
  <c r="AQ114" i="16"/>
  <c r="AQ107" i="16"/>
  <c r="AQ103" i="16"/>
  <c r="AQ100" i="16"/>
  <c r="AQ92" i="16"/>
  <c r="AQ91" i="16"/>
  <c r="AQ90" i="16"/>
  <c r="AQ88" i="16"/>
  <c r="AQ87" i="16"/>
  <c r="AQ83" i="16"/>
  <c r="AQ79" i="16"/>
  <c r="AQ77" i="16"/>
  <c r="AQ72" i="16"/>
  <c r="AQ70" i="16"/>
  <c r="AQ69" i="16"/>
  <c r="AQ68" i="16"/>
  <c r="AQ65" i="16"/>
  <c r="AQ63" i="16"/>
  <c r="AQ62" i="16"/>
  <c r="AQ61" i="16"/>
  <c r="AQ59" i="16"/>
  <c r="AQ57" i="16"/>
  <c r="AQ56" i="16"/>
  <c r="AQ45" i="16"/>
  <c r="AQ39" i="16"/>
  <c r="AQ36" i="16"/>
  <c r="AQ27" i="16"/>
  <c r="AQ25" i="16"/>
  <c r="AQ23" i="16"/>
  <c r="AQ21" i="16"/>
  <c r="AQ18" i="16"/>
  <c r="AQ17" i="16"/>
  <c r="AQ16" i="16"/>
  <c r="AQ14" i="16"/>
  <c r="AQ2014" i="16"/>
  <c r="AQ2012" i="16"/>
  <c r="AQ1999" i="16"/>
  <c r="AQ1996" i="16"/>
  <c r="AQ1994" i="16"/>
  <c r="AQ1977" i="16"/>
  <c r="AQ1975" i="16"/>
  <c r="AQ1974" i="16"/>
  <c r="AQ1973" i="16"/>
  <c r="AQ1971" i="16"/>
  <c r="AQ1970" i="16"/>
  <c r="AQ1968" i="16"/>
  <c r="AQ1961" i="16"/>
  <c r="AQ1957" i="16"/>
  <c r="AQ1976" i="16"/>
  <c r="AQ1955" i="16"/>
  <c r="AQ1945" i="16"/>
  <c r="AQ1943" i="16"/>
  <c r="AQ1941" i="16"/>
  <c r="AQ1940" i="16"/>
  <c r="AQ1938" i="16"/>
  <c r="AQ1935" i="16"/>
  <c r="AQ1933" i="16"/>
  <c r="AQ1930" i="16"/>
  <c r="AQ1949" i="16"/>
  <c r="AQ1946" i="16"/>
  <c r="AQ1928" i="16"/>
  <c r="AQ1922" i="16"/>
  <c r="AQ1921" i="16"/>
  <c r="AQ1920" i="16"/>
  <c r="AQ1918" i="16"/>
  <c r="AQ1917" i="16"/>
  <c r="AQ1915" i="16"/>
  <c r="AQ1912" i="16"/>
  <c r="AQ1909" i="16"/>
  <c r="AQ1888" i="16"/>
  <c r="AQ1856" i="16"/>
  <c r="AQ1855" i="16"/>
  <c r="AQ1853" i="16"/>
  <c r="AQ1851" i="16"/>
  <c r="AQ1850" i="16"/>
  <c r="AQ1849" i="16"/>
  <c r="AQ1845" i="16"/>
  <c r="AQ1887" i="16"/>
  <c r="AQ1886" i="16"/>
  <c r="AQ1884" i="16"/>
  <c r="AQ1882" i="16"/>
  <c r="AQ1880" i="16"/>
  <c r="AQ1844" i="16"/>
  <c r="AQ1879" i="16"/>
  <c r="AQ1877" i="16"/>
  <c r="AQ1875" i="16"/>
  <c r="AQ1874" i="16"/>
  <c r="AQ1872" i="16"/>
  <c r="AQ1870" i="16"/>
  <c r="AQ1866" i="16"/>
  <c r="AQ1860" i="16"/>
  <c r="AQ1859" i="16"/>
  <c r="AQ1858" i="16"/>
  <c r="AQ1843" i="16"/>
  <c r="AS278" i="28"/>
  <c r="AS273" i="28"/>
  <c r="AS269" i="28"/>
  <c r="AS264" i="28"/>
  <c r="AS256" i="28"/>
  <c r="AS252" i="28"/>
  <c r="AS248" i="28"/>
  <c r="AS244" i="28"/>
  <c r="AS242" i="28"/>
  <c r="AS239" i="28"/>
  <c r="AS237" i="28"/>
  <c r="AS228" i="28"/>
  <c r="AS225" i="28"/>
  <c r="AS222" i="28"/>
  <c r="AS220" i="28"/>
  <c r="AS211" i="28"/>
  <c r="AS207" i="28"/>
  <c r="AS205" i="28"/>
  <c r="AS203" i="28"/>
  <c r="AS196" i="28"/>
  <c r="AS185" i="28"/>
  <c r="AS192" i="28"/>
  <c r="AS183" i="28"/>
  <c r="AS188" i="28"/>
  <c r="AS181" i="28"/>
  <c r="AS179" i="28"/>
  <c r="AS139" i="28"/>
  <c r="AS134" i="28"/>
  <c r="AS132" i="28"/>
  <c r="AS131" i="28"/>
  <c r="AS129" i="28"/>
  <c r="AS124" i="28"/>
  <c r="AS118" i="28"/>
  <c r="AS114" i="28"/>
  <c r="AS104" i="28"/>
  <c r="AS95" i="28"/>
  <c r="AS92" i="28"/>
  <c r="AS90" i="28"/>
  <c r="AS76" i="28"/>
  <c r="AS71" i="28"/>
  <c r="AS67" i="28"/>
  <c r="AS61" i="28"/>
  <c r="AS59" i="28"/>
  <c r="AS57" i="28"/>
  <c r="AS54" i="28"/>
  <c r="AS52" i="28"/>
  <c r="AS50" i="28"/>
  <c r="AS47" i="28"/>
  <c r="AS45" i="28"/>
  <c r="AS42" i="28"/>
  <c r="AS173" i="28"/>
  <c r="AS171" i="28"/>
  <c r="AS165" i="28"/>
  <c r="AS163" i="28"/>
  <c r="AS158" i="28"/>
  <c r="AS154" i="28"/>
  <c r="AS153" i="28"/>
  <c r="AS148" i="28"/>
  <c r="AS36" i="28"/>
  <c r="AS33" i="28"/>
  <c r="AS29" i="28"/>
  <c r="AS26" i="28"/>
  <c r="AS23" i="28"/>
  <c r="AS18" i="28"/>
  <c r="AS12" i="28"/>
  <c r="AS167" i="27"/>
  <c r="AS165" i="27"/>
  <c r="AS162" i="27"/>
  <c r="AS161" i="27"/>
  <c r="AS160" i="27"/>
  <c r="AS154" i="27"/>
  <c r="AS153" i="27"/>
  <c r="AS151" i="27"/>
  <c r="AS144" i="27"/>
  <c r="AS143" i="27"/>
  <c r="AS141" i="27"/>
  <c r="AS127" i="27"/>
  <c r="AS123" i="27"/>
  <c r="AS119" i="27"/>
  <c r="AS118" i="27"/>
  <c r="AS116" i="27"/>
  <c r="AS110" i="27"/>
  <c r="AS108" i="27"/>
  <c r="AS107" i="27"/>
  <c r="AS106" i="27"/>
  <c r="AS102" i="27"/>
  <c r="AS100" i="27"/>
  <c r="AS98" i="27"/>
  <c r="AS94" i="27"/>
  <c r="AS91" i="27"/>
  <c r="AS85" i="27"/>
  <c r="AS83" i="27"/>
  <c r="AS78" i="27"/>
  <c r="AS77" i="27"/>
  <c r="AS73" i="27"/>
  <c r="AS68" i="27"/>
  <c r="AS63" i="27"/>
  <c r="AS54" i="27"/>
  <c r="AS47" i="27"/>
  <c r="AS46" i="27"/>
  <c r="AS41" i="27"/>
  <c r="AS36" i="27"/>
  <c r="AS25" i="27"/>
  <c r="AS636" i="25"/>
  <c r="AS633" i="25"/>
  <c r="AS630" i="25"/>
  <c r="AS629" i="25"/>
  <c r="AS625" i="25"/>
  <c r="AS616" i="25"/>
  <c r="AS614" i="25"/>
  <c r="AS612" i="25"/>
  <c r="AS610" i="25"/>
  <c r="AS607" i="25"/>
  <c r="AS606" i="25"/>
  <c r="AS605" i="25"/>
  <c r="AS604" i="25"/>
  <c r="AS603" i="25"/>
  <c r="AS602" i="25"/>
  <c r="AS601" i="25"/>
  <c r="AS600" i="25"/>
  <c r="AS592" i="25"/>
  <c r="AS585" i="25"/>
  <c r="AS582" i="25"/>
  <c r="AS579" i="25"/>
  <c r="AS577" i="25"/>
  <c r="AS576" i="25"/>
  <c r="AS575" i="25"/>
  <c r="AS574" i="25"/>
  <c r="AS567" i="25"/>
  <c r="AS565" i="25"/>
  <c r="AS563" i="25"/>
  <c r="AS560" i="25"/>
  <c r="AS559" i="25"/>
  <c r="AS558" i="25"/>
  <c r="AS557" i="25"/>
  <c r="AS556" i="25"/>
  <c r="AS555" i="25"/>
  <c r="AS554" i="25"/>
  <c r="AS545" i="25"/>
  <c r="AS537" i="25"/>
  <c r="AS534" i="25"/>
  <c r="AS531" i="25"/>
  <c r="AS518" i="25"/>
  <c r="AS516" i="25"/>
  <c r="AS515" i="25"/>
  <c r="AS514" i="25"/>
  <c r="AS513" i="25"/>
  <c r="AS512" i="25"/>
  <c r="AS511" i="25"/>
  <c r="AS509" i="25"/>
  <c r="AS504" i="25"/>
  <c r="AS500" i="25"/>
  <c r="AS499" i="25"/>
  <c r="AS496" i="25"/>
  <c r="AS494" i="25"/>
  <c r="AS491" i="25"/>
  <c r="AS486" i="25"/>
  <c r="AS481" i="25"/>
  <c r="AS477" i="25"/>
  <c r="AS474" i="25"/>
  <c r="AS470" i="25"/>
  <c r="AS457" i="25"/>
  <c r="AS454" i="25"/>
  <c r="AS451" i="25"/>
  <c r="AS443" i="25"/>
  <c r="AS440" i="25"/>
  <c r="AS436" i="25"/>
  <c r="AS431" i="25"/>
  <c r="AS429" i="25"/>
  <c r="AS427" i="25"/>
  <c r="AS422" i="25"/>
  <c r="AS421" i="25"/>
  <c r="AS418" i="25"/>
  <c r="AS416" i="25"/>
  <c r="AS415" i="25"/>
  <c r="AS414" i="25"/>
  <c r="AS412" i="25"/>
  <c r="AS404" i="25"/>
  <c r="AS398" i="25"/>
  <c r="AS397" i="25"/>
  <c r="AS394" i="25"/>
  <c r="AS392" i="25"/>
  <c r="AS391" i="25"/>
  <c r="AS389" i="25"/>
  <c r="AS386" i="25"/>
  <c r="AS384" i="25"/>
  <c r="AS382" i="25"/>
  <c r="AS380" i="25"/>
  <c r="AS378" i="25"/>
  <c r="AS399" i="25"/>
  <c r="AS373" i="25"/>
  <c r="AS372" i="25"/>
  <c r="AS371" i="25"/>
  <c r="AS368" i="25"/>
  <c r="AS366" i="25"/>
  <c r="AS364" i="25"/>
  <c r="AS353" i="25"/>
  <c r="AS352" i="25"/>
  <c r="AS350" i="25"/>
  <c r="AS348" i="25"/>
  <c r="AS330" i="25"/>
  <c r="AS320" i="25"/>
  <c r="AS318" i="25"/>
  <c r="AS316" i="25"/>
  <c r="AS315" i="25"/>
  <c r="AS312" i="25"/>
  <c r="AS310" i="25"/>
  <c r="AS304" i="25"/>
  <c r="AS297" i="25"/>
  <c r="AS291" i="25"/>
  <c r="AS287" i="25"/>
  <c r="AS286" i="25"/>
  <c r="AS284" i="25"/>
  <c r="AS279" i="25"/>
  <c r="AS275" i="25"/>
  <c r="AS269" i="25"/>
  <c r="AS263" i="25"/>
  <c r="AS258" i="25"/>
  <c r="AS255" i="25"/>
  <c r="AS249" i="25"/>
  <c r="AS243" i="25"/>
  <c r="AS236" i="25"/>
  <c r="AS230" i="25"/>
  <c r="AS221" i="25"/>
  <c r="AS213" i="25"/>
  <c r="AS205" i="25"/>
  <c r="AS198" i="25"/>
  <c r="AS194" i="25"/>
  <c r="AS191" i="25"/>
  <c r="AS189" i="25"/>
  <c r="AS182" i="25"/>
  <c r="AS176" i="25"/>
  <c r="AS173" i="25"/>
  <c r="AS160" i="25"/>
  <c r="AS156" i="25"/>
  <c r="AS153" i="25"/>
  <c r="AS147" i="25"/>
  <c r="AS143" i="25"/>
  <c r="AS138" i="25"/>
  <c r="AS137" i="25"/>
  <c r="AS135" i="25"/>
  <c r="AS127" i="25"/>
  <c r="AS121" i="25"/>
  <c r="AS118" i="25"/>
  <c r="AS78" i="25"/>
  <c r="AS91" i="25"/>
  <c r="AS89" i="25"/>
  <c r="AS88" i="25"/>
  <c r="AS87" i="25"/>
  <c r="AS86" i="25"/>
  <c r="AS84" i="25"/>
  <c r="AS83" i="25"/>
  <c r="AS81" i="25"/>
  <c r="AS80" i="25"/>
  <c r="AS111" i="25"/>
  <c r="AS110" i="25"/>
  <c r="AS108" i="25"/>
  <c r="AS105" i="25"/>
  <c r="AS103" i="25"/>
  <c r="AS99" i="25"/>
  <c r="AS98" i="25"/>
  <c r="AS96" i="25"/>
  <c r="AS115" i="25"/>
  <c r="AS112" i="25"/>
  <c r="AS95" i="25"/>
  <c r="AS75" i="25"/>
  <c r="AS71" i="25"/>
  <c r="AS70" i="25"/>
  <c r="AS69" i="25"/>
  <c r="AS68" i="25"/>
  <c r="AS67" i="25"/>
  <c r="AS66" i="25"/>
  <c r="AS65" i="25"/>
  <c r="AS64" i="25"/>
  <c r="AS63" i="25"/>
  <c r="AS62" i="25"/>
  <c r="AS61" i="25"/>
  <c r="AS60" i="25"/>
  <c r="AS56" i="25"/>
  <c r="AS53" i="25"/>
  <c r="AS52" i="25"/>
  <c r="AS43" i="25"/>
  <c r="AS40" i="25"/>
  <c r="AS49" i="25"/>
  <c r="AS35" i="25"/>
  <c r="AS25" i="25"/>
  <c r="AS22" i="25"/>
  <c r="AS19" i="25"/>
  <c r="AS17" i="25"/>
  <c r="AS14" i="25"/>
  <c r="AS511" i="24"/>
  <c r="AS502" i="24"/>
  <c r="AS495" i="24"/>
  <c r="AS493" i="24"/>
  <c r="AS489" i="24"/>
  <c r="AS488" i="24"/>
  <c r="AS487" i="24"/>
  <c r="AS485" i="24"/>
  <c r="AS483" i="24"/>
  <c r="AS479" i="24"/>
  <c r="AS474" i="24"/>
  <c r="AS470" i="24"/>
  <c r="AS469" i="24"/>
  <c r="AS468" i="24"/>
  <c r="AS467" i="24"/>
  <c r="AS466" i="24"/>
  <c r="AS465" i="24"/>
  <c r="AS464" i="24"/>
  <c r="AS453" i="24"/>
  <c r="AS440" i="24"/>
  <c r="AS434" i="24"/>
  <c r="AS428" i="24"/>
  <c r="AS446" i="24"/>
  <c r="AS421" i="24"/>
  <c r="AS414" i="24"/>
  <c r="AS408" i="24"/>
  <c r="AS401" i="24"/>
  <c r="AS392" i="24"/>
  <c r="AS379" i="24"/>
  <c r="AS376" i="24"/>
  <c r="AS367" i="24"/>
  <c r="AS364" i="24"/>
  <c r="AS363" i="24"/>
  <c r="AS361" i="24"/>
  <c r="AS352" i="24"/>
  <c r="AS350" i="24"/>
  <c r="AS349" i="24"/>
  <c r="AS347" i="24"/>
  <c r="AS346" i="24"/>
  <c r="AS319" i="24"/>
  <c r="AS314" i="24"/>
  <c r="AS313" i="24"/>
  <c r="AS306" i="24"/>
  <c r="AS293" i="24"/>
  <c r="AS278" i="24"/>
  <c r="AS272" i="24"/>
  <c r="AS270" i="24"/>
  <c r="AS268" i="24"/>
  <c r="AS266" i="24"/>
  <c r="AS262" i="24"/>
  <c r="AS255" i="24"/>
  <c r="AS249" i="24"/>
  <c r="AS245" i="24"/>
  <c r="AS243" i="24"/>
  <c r="AS238" i="24"/>
  <c r="AS234" i="24"/>
  <c r="AS231" i="24"/>
  <c r="AS230" i="24"/>
  <c r="AS228" i="24"/>
  <c r="AS195" i="24"/>
  <c r="AS193" i="24"/>
  <c r="AS187" i="24"/>
  <c r="AS183" i="24"/>
  <c r="AS182" i="24"/>
  <c r="AS179" i="24"/>
  <c r="AS169" i="24"/>
  <c r="AS161" i="24"/>
  <c r="AS157" i="24"/>
  <c r="AS155" i="24"/>
  <c r="AS153" i="24"/>
  <c r="AS150" i="24"/>
  <c r="AS148" i="24"/>
  <c r="AS135" i="24"/>
  <c r="AS126" i="24"/>
  <c r="AS123" i="24"/>
  <c r="AS121" i="24"/>
  <c r="AS117" i="24"/>
  <c r="AS115" i="24"/>
  <c r="AS109" i="24"/>
  <c r="AS107" i="24"/>
  <c r="AS102" i="24"/>
  <c r="AS223" i="24"/>
  <c r="AS222" i="24"/>
  <c r="AS220" i="24"/>
  <c r="AS214" i="24"/>
  <c r="AS211" i="24"/>
  <c r="AS209" i="24"/>
  <c r="AS197" i="24"/>
  <c r="AS100" i="24"/>
  <c r="AS97" i="24"/>
  <c r="AS86" i="24"/>
  <c r="AS78" i="24"/>
  <c r="AS60" i="24"/>
  <c r="AS55" i="24"/>
  <c r="AS54" i="24"/>
  <c r="AS53" i="24"/>
  <c r="AS52" i="24"/>
  <c r="AS51" i="24"/>
  <c r="AS50" i="24"/>
  <c r="AS44" i="24"/>
  <c r="AS43" i="24"/>
  <c r="AS42" i="24"/>
  <c r="AS41" i="24"/>
  <c r="AS40" i="24"/>
  <c r="AS39" i="24"/>
  <c r="AS35" i="24"/>
  <c r="AS32" i="24"/>
  <c r="AS29" i="24"/>
  <c r="AS13" i="24"/>
  <c r="AS259" i="8"/>
  <c r="AS257" i="8"/>
  <c r="AS256" i="8"/>
  <c r="AS250" i="8"/>
  <c r="AS247" i="8"/>
  <c r="AS237" i="8"/>
  <c r="AS231" i="8"/>
  <c r="AS227" i="8"/>
  <c r="AS226" i="8"/>
  <c r="AS224" i="8"/>
  <c r="AS217" i="8"/>
  <c r="AS209" i="8"/>
  <c r="AS208" i="8"/>
  <c r="AS205" i="8"/>
  <c r="AS201" i="8"/>
  <c r="AS199" i="8"/>
  <c r="AS197" i="8"/>
  <c r="AS196" i="8"/>
  <c r="AS194" i="8"/>
  <c r="AS191" i="8"/>
  <c r="AS184" i="8"/>
  <c r="AS179" i="8"/>
  <c r="AS171" i="8"/>
  <c r="AS165" i="8"/>
  <c r="AS158" i="8"/>
  <c r="AS149" i="8"/>
  <c r="AS147" i="8"/>
  <c r="AS142" i="8"/>
  <c r="AS141" i="8"/>
  <c r="AS136" i="8"/>
  <c r="AS134" i="8"/>
  <c r="AS132" i="8"/>
  <c r="AS130" i="8"/>
  <c r="AS156" i="8"/>
  <c r="AS154" i="8"/>
  <c r="AS152" i="8"/>
  <c r="AS124" i="8"/>
  <c r="AS120" i="8"/>
  <c r="AS115" i="8"/>
  <c r="AS108" i="8"/>
  <c r="AS104" i="8"/>
  <c r="AS101" i="8"/>
  <c r="AS94" i="8"/>
  <c r="AS81" i="8"/>
  <c r="AS68" i="8"/>
  <c r="AS56" i="8"/>
  <c r="AS51" i="8"/>
  <c r="AS46" i="8"/>
  <c r="AS40" i="8"/>
  <c r="AS37" i="8"/>
  <c r="AS28" i="8"/>
  <c r="AS26" i="8"/>
  <c r="AS24" i="8"/>
  <c r="AS22" i="8"/>
  <c r="AS20" i="8"/>
  <c r="AS14" i="8"/>
  <c r="AS186" i="29"/>
  <c r="AS184" i="29"/>
  <c r="AS171" i="29"/>
  <c r="AS168" i="29"/>
  <c r="AS166" i="29"/>
  <c r="AS149" i="29"/>
  <c r="AS147" i="29"/>
  <c r="AS146" i="29"/>
  <c r="AS145" i="29"/>
  <c r="AS143" i="29"/>
  <c r="AS142" i="29"/>
  <c r="AS140" i="29"/>
  <c r="AS133" i="29"/>
  <c r="AS129" i="29"/>
  <c r="AS148" i="29"/>
  <c r="AS127" i="29"/>
  <c r="AS117" i="29"/>
  <c r="AS115" i="29"/>
  <c r="AS113" i="29"/>
  <c r="AS112" i="29"/>
  <c r="AS110" i="29"/>
  <c r="AS107" i="29"/>
  <c r="AS105" i="29"/>
  <c r="AS102" i="29"/>
  <c r="AS121" i="29"/>
  <c r="AS118" i="29"/>
  <c r="AS100" i="29"/>
  <c r="AS94" i="29"/>
  <c r="AS93" i="29"/>
  <c r="AS92" i="29"/>
  <c r="AS90" i="29"/>
  <c r="AS89" i="29"/>
  <c r="AS87" i="29"/>
  <c r="AS84" i="29"/>
  <c r="AS81" i="29"/>
  <c r="AS60" i="29"/>
  <c r="AS28" i="29"/>
  <c r="AS27" i="29"/>
  <c r="AS25" i="29"/>
  <c r="AS23" i="29"/>
  <c r="AS22" i="29"/>
  <c r="AS21" i="29"/>
  <c r="AS17" i="29"/>
  <c r="AS59" i="29"/>
  <c r="AS58" i="29"/>
  <c r="AS56" i="29"/>
  <c r="AS54" i="29"/>
  <c r="AS52" i="29"/>
  <c r="AS16" i="29"/>
  <c r="AS51" i="29"/>
  <c r="AS49" i="29"/>
  <c r="AS47" i="29"/>
  <c r="AS46" i="29"/>
  <c r="AS44" i="29"/>
  <c r="AS42" i="29"/>
  <c r="AS38" i="29"/>
  <c r="AS32" i="29"/>
  <c r="AS31" i="29"/>
  <c r="AS30" i="29"/>
  <c r="AS15" i="29"/>
  <c r="AQ278" i="28"/>
  <c r="AQ273" i="28"/>
  <c r="AQ269" i="28"/>
  <c r="AQ264" i="28"/>
  <c r="AQ259" i="28"/>
  <c r="AQ258" i="28"/>
  <c r="AQ252" i="28"/>
  <c r="AQ248" i="28"/>
  <c r="AQ244" i="28"/>
  <c r="AQ242" i="28"/>
  <c r="AQ239" i="28"/>
  <c r="AQ237" i="28"/>
  <c r="AQ234" i="28"/>
  <c r="AQ230" i="28"/>
  <c r="AQ225" i="28"/>
  <c r="AQ222" i="28"/>
  <c r="AQ220" i="28"/>
  <c r="AQ211" i="28"/>
  <c r="AQ207" i="28"/>
  <c r="AQ205" i="28"/>
  <c r="AQ203" i="28"/>
  <c r="AQ200" i="28"/>
  <c r="AQ198" i="28"/>
  <c r="AQ185" i="28"/>
  <c r="AQ192" i="28"/>
  <c r="AQ191" i="28"/>
  <c r="AQ183" i="28"/>
  <c r="AQ189" i="28"/>
  <c r="AQ181" i="28"/>
  <c r="AQ179" i="28"/>
  <c r="AQ139" i="28"/>
  <c r="AQ134" i="28"/>
  <c r="AQ132" i="28"/>
  <c r="AQ131" i="28"/>
  <c r="AQ129" i="28"/>
  <c r="AQ118" i="28"/>
  <c r="AQ115" i="28"/>
  <c r="AQ114" i="28"/>
  <c r="AQ104" i="28"/>
  <c r="AQ95" i="28"/>
  <c r="AQ92" i="28"/>
  <c r="AQ90" i="28"/>
  <c r="AQ79" i="28"/>
  <c r="AQ78" i="28"/>
  <c r="AQ77" i="28"/>
  <c r="AQ76" i="28"/>
  <c r="AQ71" i="28"/>
  <c r="AQ67" i="28"/>
  <c r="AQ61" i="28"/>
  <c r="AQ59" i="28"/>
  <c r="AQ57" i="28"/>
  <c r="AQ54" i="28"/>
  <c r="AQ52" i="28"/>
  <c r="AQ50" i="28"/>
  <c r="AQ47" i="28"/>
  <c r="AQ45" i="28"/>
  <c r="AQ42" i="28"/>
  <c r="AQ173" i="28"/>
  <c r="AQ171" i="28"/>
  <c r="AQ168" i="28"/>
  <c r="AQ167" i="28"/>
  <c r="AQ163" i="28"/>
  <c r="AQ158" i="28"/>
  <c r="AQ154" i="28"/>
  <c r="AQ153" i="28"/>
  <c r="AQ148" i="28"/>
  <c r="AQ36" i="28"/>
  <c r="AQ33" i="28"/>
  <c r="AQ29" i="28"/>
  <c r="AQ26" i="28"/>
  <c r="AQ23" i="28"/>
  <c r="AQ18" i="28"/>
  <c r="AQ12" i="28"/>
  <c r="AQ167" i="27"/>
  <c r="AQ165" i="27"/>
  <c r="AQ162" i="27"/>
  <c r="AQ161" i="27"/>
  <c r="AQ160" i="27"/>
  <c r="AQ155" i="27"/>
  <c r="AQ153" i="27"/>
  <c r="AQ151" i="27"/>
  <c r="AQ144" i="27"/>
  <c r="AQ143" i="27"/>
  <c r="AQ141" i="27"/>
  <c r="AQ127" i="27"/>
  <c r="AQ123" i="27"/>
  <c r="AQ119" i="27"/>
  <c r="AQ118" i="27"/>
  <c r="AQ116" i="27"/>
  <c r="AQ110" i="27"/>
  <c r="AQ108" i="27"/>
  <c r="AQ107" i="27"/>
  <c r="AQ106" i="27"/>
  <c r="AQ102" i="27"/>
  <c r="AQ100" i="27"/>
  <c r="AQ98" i="27"/>
  <c r="AQ94" i="27"/>
  <c r="AQ91" i="27"/>
  <c r="AQ85" i="27"/>
  <c r="AQ78" i="27"/>
  <c r="AQ77" i="27"/>
  <c r="AQ73" i="27"/>
  <c r="AQ68" i="27"/>
  <c r="AQ63" i="27"/>
  <c r="AQ54" i="27"/>
  <c r="AQ47" i="27"/>
  <c r="AQ46" i="27"/>
  <c r="AQ41" i="27"/>
  <c r="AQ12" i="27"/>
  <c r="AQ636" i="25"/>
  <c r="AQ633" i="25"/>
  <c r="AQ630" i="25"/>
  <c r="AQ629" i="25"/>
  <c r="AQ625" i="25"/>
  <c r="AQ617" i="25"/>
  <c r="AQ614" i="25"/>
  <c r="AQ612" i="25"/>
  <c r="AQ610" i="25"/>
  <c r="AQ607" i="25"/>
  <c r="AQ606" i="25"/>
  <c r="AQ605" i="25"/>
  <c r="AQ604" i="25"/>
  <c r="AQ603" i="25"/>
  <c r="AQ602" i="25"/>
  <c r="AQ601" i="25"/>
  <c r="AQ600" i="25"/>
  <c r="AQ585" i="25"/>
  <c r="AQ582" i="25"/>
  <c r="AQ579" i="25"/>
  <c r="AQ577" i="25"/>
  <c r="AQ576" i="25"/>
  <c r="AQ575" i="25"/>
  <c r="AQ574" i="25"/>
  <c r="AQ567" i="25"/>
  <c r="AQ565" i="25"/>
  <c r="AQ563" i="25"/>
  <c r="AQ551" i="25"/>
  <c r="AQ545" i="25"/>
  <c r="AQ537" i="25"/>
  <c r="AQ534" i="25"/>
  <c r="AQ533" i="25"/>
  <c r="AQ531" i="25"/>
  <c r="AQ509" i="25"/>
  <c r="AQ504" i="25"/>
  <c r="AQ500" i="25"/>
  <c r="AQ499" i="25"/>
  <c r="AQ497" i="25"/>
  <c r="AQ494" i="25"/>
  <c r="AQ491" i="25"/>
  <c r="AQ486" i="25"/>
  <c r="AQ481" i="25"/>
  <c r="AQ477" i="25"/>
  <c r="AQ474" i="25"/>
  <c r="AQ470" i="25"/>
  <c r="AQ463" i="25"/>
  <c r="AQ461" i="25"/>
  <c r="AQ433" i="25"/>
  <c r="AQ431" i="25"/>
  <c r="AQ429" i="25"/>
  <c r="AQ427" i="25"/>
  <c r="AQ422" i="25"/>
  <c r="AQ421" i="25"/>
  <c r="AQ418" i="25"/>
  <c r="AQ416" i="25"/>
  <c r="AQ415" i="25"/>
  <c r="AQ414" i="25"/>
  <c r="AQ412" i="25"/>
  <c r="AQ404" i="25"/>
  <c r="AQ376" i="25"/>
  <c r="AQ373" i="25"/>
  <c r="AQ372" i="25"/>
  <c r="AQ371" i="25"/>
  <c r="AQ368" i="25"/>
  <c r="AQ366" i="25"/>
  <c r="AQ364" i="25"/>
  <c r="AQ354" i="25"/>
  <c r="AQ352" i="25"/>
  <c r="AQ350" i="25"/>
  <c r="AQ348" i="25"/>
  <c r="AQ333" i="25"/>
  <c r="AQ331" i="25"/>
  <c r="AQ320" i="25"/>
  <c r="AQ318" i="25"/>
  <c r="AQ316" i="25"/>
  <c r="AQ315" i="25"/>
  <c r="AQ312" i="25"/>
  <c r="AQ310" i="25"/>
  <c r="AQ304" i="25"/>
  <c r="AQ299" i="25"/>
  <c r="AQ297" i="25"/>
  <c r="AQ292" i="25"/>
  <c r="AQ287" i="25"/>
  <c r="AQ286" i="25"/>
  <c r="AQ284" i="25"/>
  <c r="AQ280" i="25"/>
  <c r="AQ275" i="25"/>
  <c r="AQ270" i="25"/>
  <c r="AQ264" i="25"/>
  <c r="AQ259" i="25"/>
  <c r="AQ256" i="25"/>
  <c r="AQ250" i="25"/>
  <c r="AQ243" i="25"/>
  <c r="AQ237" i="25"/>
  <c r="AQ231" i="25"/>
  <c r="AQ221" i="25"/>
  <c r="AQ213" i="25"/>
  <c r="AQ205" i="25"/>
  <c r="AQ198" i="25"/>
  <c r="AQ191" i="25"/>
  <c r="AQ190" i="25"/>
  <c r="AQ184" i="25"/>
  <c r="AQ182" i="25"/>
  <c r="AQ176" i="25"/>
  <c r="AQ173" i="25"/>
  <c r="AQ160" i="25"/>
  <c r="AQ149" i="25"/>
  <c r="AQ143" i="25"/>
  <c r="AQ138" i="25"/>
  <c r="AQ137" i="25"/>
  <c r="AQ135" i="25"/>
  <c r="AQ127" i="25"/>
  <c r="AQ121" i="25"/>
  <c r="AQ78" i="25"/>
  <c r="AQ91" i="25"/>
  <c r="AQ75" i="25"/>
  <c r="AQ94" i="25"/>
  <c r="AQ59" i="25"/>
  <c r="AQ57" i="25"/>
  <c r="AQ53" i="25"/>
  <c r="AQ52" i="25"/>
  <c r="AQ43" i="25"/>
  <c r="AQ40" i="25"/>
  <c r="AQ49" i="25"/>
  <c r="AQ35" i="25"/>
  <c r="AQ26" i="25"/>
  <c r="AQ14" i="25"/>
  <c r="AQ12" i="25"/>
  <c r="AQ513" i="24"/>
  <c r="AQ503" i="24"/>
  <c r="AQ495" i="24"/>
  <c r="AQ493" i="24"/>
  <c r="AQ489" i="24"/>
  <c r="AQ488" i="24"/>
  <c r="AQ487" i="24"/>
  <c r="AQ485" i="24"/>
  <c r="AQ483" i="24"/>
  <c r="AQ479" i="24"/>
  <c r="AQ474" i="24"/>
  <c r="AQ470" i="24"/>
  <c r="AQ469" i="24"/>
  <c r="AQ468" i="24"/>
  <c r="AQ467" i="24"/>
  <c r="AQ466" i="24"/>
  <c r="AQ465" i="24"/>
  <c r="AQ464" i="24"/>
  <c r="AQ453" i="24"/>
  <c r="AQ441" i="24"/>
  <c r="AQ435" i="24"/>
  <c r="AQ429" i="24"/>
  <c r="AQ447" i="24"/>
  <c r="AQ423" i="24"/>
  <c r="AQ416" i="24"/>
  <c r="AQ408" i="24"/>
  <c r="AQ401" i="24"/>
  <c r="AQ392" i="24"/>
  <c r="AQ380" i="24"/>
  <c r="AQ377" i="24"/>
  <c r="AQ367" i="24"/>
  <c r="AQ364" i="24"/>
  <c r="AQ363" i="24"/>
  <c r="AQ361" i="24"/>
  <c r="AQ352" i="24"/>
  <c r="AQ350" i="24"/>
  <c r="AQ349" i="24"/>
  <c r="AQ347" i="24"/>
  <c r="AQ346" i="24"/>
  <c r="AQ326" i="24"/>
  <c r="AQ325" i="24"/>
  <c r="AQ324" i="24"/>
  <c r="AQ323" i="24"/>
  <c r="AQ322" i="24"/>
  <c r="AQ321" i="24"/>
  <c r="AQ320" i="24"/>
  <c r="AQ319" i="24"/>
  <c r="AQ314" i="24"/>
  <c r="AQ313" i="24"/>
  <c r="AQ312" i="24"/>
  <c r="AQ311" i="24"/>
  <c r="AQ310" i="24"/>
  <c r="AQ309" i="24"/>
  <c r="AQ308" i="24"/>
  <c r="AQ307" i="24"/>
  <c r="AQ306" i="24"/>
  <c r="AQ293" i="24"/>
  <c r="AQ291" i="24"/>
  <c r="AQ278" i="24"/>
  <c r="AQ273" i="24"/>
  <c r="AQ271" i="24"/>
  <c r="AQ269" i="24"/>
  <c r="AQ267" i="24"/>
  <c r="AQ262" i="24"/>
  <c r="AQ255" i="24"/>
  <c r="AQ249" i="24"/>
  <c r="AQ245" i="24"/>
  <c r="AQ243" i="24"/>
  <c r="AQ238" i="24"/>
  <c r="AQ234" i="24"/>
  <c r="AQ231" i="24"/>
  <c r="AQ230" i="24"/>
  <c r="AQ228" i="24"/>
  <c r="AQ195" i="24"/>
  <c r="AQ193" i="24"/>
  <c r="AQ187" i="24"/>
  <c r="AQ183" i="24"/>
  <c r="AQ182" i="24"/>
  <c r="AQ179" i="24"/>
  <c r="AQ169" i="24"/>
  <c r="AQ161" i="24"/>
  <c r="AQ157" i="24"/>
  <c r="AQ155" i="24"/>
  <c r="AQ153" i="24"/>
  <c r="AQ150" i="24"/>
  <c r="AQ148" i="24"/>
  <c r="AQ143" i="24"/>
  <c r="AQ139" i="24"/>
  <c r="AQ135" i="24"/>
  <c r="AQ129" i="24"/>
  <c r="AQ127" i="24"/>
  <c r="AQ126" i="24"/>
  <c r="AQ123" i="24"/>
  <c r="AQ121" i="24"/>
  <c r="AQ117" i="24"/>
  <c r="AQ115" i="24"/>
  <c r="AQ109" i="24"/>
  <c r="AQ107" i="24"/>
  <c r="AQ105" i="24"/>
  <c r="AQ104" i="24"/>
  <c r="AQ223" i="24"/>
  <c r="AQ222" i="24"/>
  <c r="AQ220" i="24"/>
  <c r="AQ214" i="24"/>
  <c r="AQ211" i="24"/>
  <c r="AQ209" i="24"/>
  <c r="AQ197" i="24"/>
  <c r="AQ100" i="24"/>
  <c r="AQ97" i="24"/>
  <c r="AQ86" i="24"/>
  <c r="AQ78" i="24"/>
  <c r="AQ71" i="24"/>
  <c r="AQ69" i="24"/>
  <c r="AQ65" i="24"/>
  <c r="AQ64" i="24"/>
  <c r="AQ63" i="24"/>
  <c r="AQ56" i="24"/>
  <c r="AQ54" i="24"/>
  <c r="AQ53" i="24"/>
  <c r="AQ52" i="24"/>
  <c r="AQ51" i="24"/>
  <c r="AQ50" i="24"/>
  <c r="AQ44" i="24"/>
  <c r="AQ43" i="24"/>
  <c r="AQ42" i="24"/>
  <c r="AQ41" i="24"/>
  <c r="AQ40" i="24"/>
  <c r="AQ39" i="24"/>
  <c r="AQ35" i="24"/>
  <c r="AQ32" i="24"/>
  <c r="AQ29" i="24"/>
  <c r="AQ259" i="8"/>
  <c r="AQ257" i="8"/>
  <c r="AQ256" i="8"/>
  <c r="AQ250" i="8"/>
  <c r="AQ247" i="8"/>
  <c r="AQ246" i="8"/>
  <c r="AQ242" i="8"/>
  <c r="AQ239" i="8"/>
  <c r="AQ231" i="8"/>
  <c r="AQ227" i="8"/>
  <c r="AQ226" i="8"/>
  <c r="AQ224" i="8"/>
  <c r="AQ217" i="8"/>
  <c r="AQ215" i="8"/>
  <c r="AQ214" i="8"/>
  <c r="AQ213" i="8"/>
  <c r="AQ212" i="8"/>
  <c r="AQ211" i="8"/>
  <c r="AQ210" i="8"/>
  <c r="AQ208" i="8"/>
  <c r="AQ205" i="8"/>
  <c r="AQ201" i="8"/>
  <c r="AQ199" i="8"/>
  <c r="AQ197" i="8"/>
  <c r="AQ196" i="8"/>
  <c r="AQ194" i="8"/>
  <c r="AQ189" i="8"/>
  <c r="AQ187" i="8"/>
  <c r="AQ186" i="8"/>
  <c r="AQ179" i="8"/>
  <c r="AQ171" i="8"/>
  <c r="AQ165" i="8"/>
  <c r="AQ164" i="8"/>
  <c r="AQ162" i="8"/>
  <c r="AQ161" i="8"/>
  <c r="AQ160" i="8"/>
  <c r="AQ149" i="8"/>
  <c r="AQ147" i="8"/>
  <c r="AQ142" i="8"/>
  <c r="AQ141" i="8"/>
  <c r="AQ136" i="8"/>
  <c r="AQ134" i="8"/>
  <c r="AQ132" i="8"/>
  <c r="AQ130" i="8"/>
  <c r="AQ156" i="8"/>
  <c r="AQ154" i="8"/>
  <c r="AQ152" i="8"/>
  <c r="AQ124" i="8"/>
  <c r="AQ122" i="8"/>
  <c r="AQ115" i="8"/>
  <c r="AQ108" i="8"/>
  <c r="AQ104" i="8"/>
  <c r="AQ101" i="8"/>
  <c r="AQ93" i="8"/>
  <c r="AQ92" i="8"/>
  <c r="AQ91" i="8"/>
  <c r="AQ89" i="8"/>
  <c r="AQ88" i="8"/>
  <c r="AQ84" i="8"/>
  <c r="AQ80" i="8"/>
  <c r="AQ78" i="8"/>
  <c r="AQ73" i="8"/>
  <c r="AQ71" i="8"/>
  <c r="AQ70" i="8"/>
  <c r="AQ69" i="8"/>
  <c r="AQ66" i="8"/>
  <c r="AQ64" i="8"/>
  <c r="AQ63" i="8"/>
  <c r="AQ62" i="8"/>
  <c r="AQ60" i="8"/>
  <c r="AQ58" i="8"/>
  <c r="AQ57" i="8"/>
  <c r="AQ46" i="8"/>
  <c r="AQ40" i="8"/>
  <c r="AQ37" i="8"/>
  <c r="AQ28" i="8"/>
  <c r="AQ26" i="8"/>
  <c r="AQ24" i="8"/>
  <c r="AQ22" i="8"/>
  <c r="AQ19" i="8"/>
  <c r="AQ18" i="8"/>
  <c r="AQ17" i="8"/>
  <c r="AQ15" i="8"/>
  <c r="AQ186" i="29"/>
  <c r="AQ184" i="29"/>
  <c r="AQ171" i="29"/>
  <c r="AQ168" i="29"/>
  <c r="AQ166" i="29"/>
  <c r="AQ149" i="29"/>
  <c r="AQ147" i="29"/>
  <c r="AQ146" i="29"/>
  <c r="AQ145" i="29"/>
  <c r="AQ143" i="29"/>
  <c r="AQ142" i="29"/>
  <c r="AQ140" i="29"/>
  <c r="AQ133" i="29"/>
  <c r="AQ129" i="29"/>
  <c r="AQ148" i="29"/>
  <c r="AQ127" i="29"/>
  <c r="AQ117" i="29"/>
  <c r="AQ115" i="29"/>
  <c r="AQ113" i="29"/>
  <c r="AQ112" i="29"/>
  <c r="AQ110" i="29"/>
  <c r="AQ107" i="29"/>
  <c r="AQ105" i="29"/>
  <c r="AQ102" i="29"/>
  <c r="AQ121" i="29"/>
  <c r="AQ118" i="29"/>
  <c r="AQ100" i="29"/>
  <c r="AQ94" i="29"/>
  <c r="AQ93" i="29"/>
  <c r="AQ92" i="29"/>
  <c r="AQ90" i="29"/>
  <c r="AQ89" i="29"/>
  <c r="AQ87" i="29"/>
  <c r="AQ84" i="29"/>
  <c r="AQ81" i="29"/>
  <c r="AQ60" i="29"/>
  <c r="AQ28" i="29"/>
  <c r="AQ27" i="29"/>
  <c r="AQ25" i="29"/>
  <c r="AQ23" i="29"/>
  <c r="AQ22" i="29"/>
  <c r="AQ21" i="29"/>
  <c r="AQ17" i="29"/>
  <c r="AQ59" i="29"/>
  <c r="AQ58" i="29"/>
  <c r="AQ56" i="29"/>
  <c r="AQ54" i="29"/>
  <c r="AQ52" i="29"/>
  <c r="AQ16" i="29"/>
  <c r="AQ51" i="29"/>
  <c r="AQ49" i="29"/>
  <c r="AQ47" i="29"/>
  <c r="AQ46" i="29"/>
  <c r="AQ44" i="29"/>
  <c r="AQ42" i="29"/>
  <c r="AQ38" i="29"/>
  <c r="AQ32" i="29"/>
  <c r="AQ31" i="29"/>
  <c r="AQ30" i="29"/>
  <c r="AQ15" i="29"/>
  <c r="G168" i="16"/>
  <c r="G166" i="16"/>
  <c r="G163" i="16"/>
  <c r="G161" i="16"/>
  <c r="G160" i="16"/>
  <c r="G159" i="16"/>
  <c r="A2012" i="66"/>
  <c r="A2010" i="66"/>
  <c r="A1997" i="66"/>
  <c r="A1994" i="66"/>
  <c r="A1992" i="66"/>
  <c r="A1975" i="66"/>
  <c r="A1886" i="66"/>
  <c r="A1833" i="66"/>
  <c r="A1828" i="66"/>
  <c r="A1824" i="66"/>
  <c r="A1819" i="66"/>
  <c r="A1807" i="66"/>
  <c r="A1803" i="66"/>
  <c r="A1799" i="66"/>
  <c r="A1797" i="66"/>
  <c r="A1794" i="66"/>
  <c r="A1792" i="66"/>
  <c r="A1789" i="66"/>
  <c r="A1785" i="66"/>
  <c r="A1780" i="66"/>
  <c r="A1777" i="66"/>
  <c r="A1775" i="66"/>
  <c r="A1766" i="66"/>
  <c r="A1747" i="66"/>
  <c r="A1740" i="66"/>
  <c r="A1738" i="66"/>
  <c r="A1736" i="66"/>
  <c r="A1734" i="66"/>
  <c r="A1718" i="66"/>
  <c r="A1713" i="66"/>
  <c r="A1694" i="66"/>
  <c r="A1689" i="66"/>
  <c r="A1673" i="66"/>
  <c r="A1650" i="66"/>
  <c r="A1647" i="66"/>
  <c r="A1645" i="66"/>
  <c r="A1626" i="66"/>
  <c r="A1622" i="66"/>
  <c r="A1616" i="66"/>
  <c r="A1614" i="66"/>
  <c r="A1612" i="66"/>
  <c r="A1609" i="66"/>
  <c r="A1607" i="66"/>
  <c r="A1605" i="66"/>
  <c r="A1602" i="66"/>
  <c r="A1600" i="66"/>
  <c r="A1597" i="66"/>
  <c r="A1591" i="66"/>
  <c r="A1588" i="66"/>
  <c r="A1584" i="66"/>
  <c r="A1573" i="66"/>
  <c r="A1567" i="66"/>
  <c r="A1561" i="66"/>
  <c r="A1559" i="66"/>
  <c r="A1556" i="66"/>
  <c r="A1538" i="66"/>
  <c r="A1537" i="66"/>
  <c r="A1535" i="66"/>
  <c r="A1521" i="66"/>
  <c r="A1517" i="66"/>
  <c r="A1513" i="66"/>
  <c r="A1512" i="66"/>
  <c r="A1510" i="66"/>
  <c r="A1504" i="66"/>
  <c r="A1496" i="66"/>
  <c r="A1472" i="66"/>
  <c r="A1398" i="66"/>
  <c r="A1395" i="66"/>
  <c r="A1387" i="66"/>
  <c r="A1376" i="66"/>
  <c r="A1347" i="66"/>
  <c r="A1344" i="66"/>
  <c r="A1329" i="66"/>
  <c r="A1327" i="66"/>
  <c r="A1325" i="66"/>
  <c r="A1313" i="66"/>
  <c r="A1307" i="66"/>
  <c r="A1299" i="66"/>
  <c r="A1271" i="66"/>
  <c r="A1266" i="66"/>
  <c r="A1262" i="66"/>
  <c r="A1261" i="66"/>
  <c r="A1256" i="66"/>
  <c r="A1253" i="66"/>
  <c r="A1248" i="66"/>
  <c r="A1243" i="66"/>
  <c r="A1239" i="66"/>
  <c r="A1236" i="66"/>
  <c r="A1232" i="66"/>
  <c r="A1223" i="66"/>
  <c r="A1195" i="66"/>
  <c r="A1166" i="66"/>
  <c r="A1138" i="66"/>
  <c r="A1114" i="66"/>
  <c r="A1112" i="66"/>
  <c r="A1110" i="66"/>
  <c r="A1082" i="66"/>
  <c r="A1074" i="66"/>
  <c r="A1072" i="66"/>
  <c r="A1066" i="66"/>
  <c r="A1059" i="66"/>
  <c r="A1049" i="66"/>
  <c r="A1006" i="66"/>
  <c r="A984" i="66"/>
  <c r="A976" i="66"/>
  <c r="A968" i="66"/>
  <c r="A961" i="66"/>
  <c r="A954" i="66"/>
  <c r="A939" i="66"/>
  <c r="A936" i="66"/>
  <c r="A923" i="66"/>
  <c r="A906" i="66"/>
  <c r="A901" i="66"/>
  <c r="A890" i="66"/>
  <c r="A884" i="66"/>
  <c r="A881" i="66"/>
  <c r="A857" i="66"/>
  <c r="A854" i="66"/>
  <c r="A838" i="66"/>
  <c r="A818" i="66"/>
  <c r="A816" i="66"/>
  <c r="A815" i="66"/>
  <c r="A812" i="66"/>
  <c r="A806" i="66"/>
  <c r="A803" i="66"/>
  <c r="A767" i="66"/>
  <c r="A765" i="66" s="1"/>
  <c r="A757" i="66"/>
  <c r="A756" i="66" s="1"/>
  <c r="A707" i="66"/>
  <c r="A621" i="66"/>
  <c r="A618" i="66"/>
  <c r="A606" i="66"/>
  <c r="A547" i="66"/>
  <c r="A532" i="66"/>
  <c r="A516" i="66"/>
  <c r="A509" i="66"/>
  <c r="A503" i="66"/>
  <c r="A499" i="66"/>
  <c r="A497" i="66"/>
  <c r="A492" i="66"/>
  <c r="A488" i="66"/>
  <c r="A468" i="66"/>
  <c r="A465" i="66"/>
  <c r="A463" i="66"/>
  <c r="A415" i="66"/>
  <c r="A411" i="66"/>
  <c r="A409" i="66"/>
  <c r="A407" i="66"/>
  <c r="A404" i="66"/>
  <c r="A402" i="66"/>
  <c r="A377" i="66"/>
  <c r="A375" i="66"/>
  <c r="A363" i="66"/>
  <c r="A361" i="66"/>
  <c r="A354" i="66"/>
  <c r="A351" i="66"/>
  <c r="A340" i="66"/>
  <c r="A332" i="66"/>
  <c r="A308" i="66"/>
  <c r="A307" i="66"/>
  <c r="A306" i="66"/>
  <c r="A305" i="66"/>
  <c r="A304" i="66"/>
  <c r="A298" i="66"/>
  <c r="A289" i="66"/>
  <c r="A286" i="66"/>
  <c r="A283" i="66"/>
  <c r="A257" i="66"/>
  <c r="A255" i="66"/>
  <c r="A254" i="66"/>
  <c r="A248" i="66"/>
  <c r="A245" i="66"/>
  <c r="A229" i="66"/>
  <c r="A225" i="66"/>
  <c r="A224" i="66"/>
  <c r="A222" i="66"/>
  <c r="A215" i="66"/>
  <c r="A206" i="66"/>
  <c r="A203" i="66"/>
  <c r="A199" i="66"/>
  <c r="A197" i="66"/>
  <c r="A195" i="66"/>
  <c r="A194" i="66"/>
  <c r="A192" i="66"/>
  <c r="A187" i="66"/>
  <c r="A185" i="66"/>
  <c r="A184" i="66"/>
  <c r="A177" i="66"/>
  <c r="A154" i="66"/>
  <c r="A152" i="66"/>
  <c r="A150" i="66"/>
  <c r="A147" i="66"/>
  <c r="A145" i="66"/>
  <c r="A140" i="66"/>
  <c r="A139" i="66"/>
  <c r="A134" i="66"/>
  <c r="A132" i="66"/>
  <c r="A130" i="66"/>
  <c r="A128" i="66"/>
  <c r="A122" i="66"/>
  <c r="A113" i="66"/>
  <c r="A106" i="66"/>
  <c r="A102" i="66"/>
  <c r="A99" i="66"/>
  <c r="A91" i="66"/>
  <c r="A90" i="66"/>
  <c r="A89" i="66"/>
  <c r="A87" i="66"/>
  <c r="A86" i="66"/>
  <c r="A82" i="66"/>
  <c r="A78" i="66"/>
  <c r="A76" i="66"/>
  <c r="A71" i="66"/>
  <c r="A69" i="66"/>
  <c r="A68" i="66"/>
  <c r="A64" i="66"/>
  <c r="A62" i="66"/>
  <c r="A61" i="66"/>
  <c r="A60" i="66"/>
  <c r="A58" i="66"/>
  <c r="A56" i="66"/>
  <c r="A55" i="66"/>
  <c r="A44" i="66"/>
  <c r="A38" i="66"/>
  <c r="A35" i="66"/>
  <c r="A26" i="66"/>
  <c r="A24" i="66"/>
  <c r="A22" i="66"/>
  <c r="A20" i="66"/>
  <c r="A17" i="66"/>
  <c r="A16" i="66"/>
  <c r="A15" i="66"/>
  <c r="A14" i="66" s="1"/>
  <c r="A13" i="66"/>
  <c r="U940" i="16"/>
  <c r="CG4" i="2"/>
  <c r="U176" i="25"/>
  <c r="R944" i="16"/>
  <c r="R178" i="25"/>
  <c r="R180" i="25"/>
  <c r="R942" i="16"/>
  <c r="A301" i="66" l="1"/>
  <c r="K133" i="18"/>
  <c r="J133" i="18" s="1"/>
  <c r="K132" i="18"/>
  <c r="J132" i="18" s="1"/>
  <c r="K131" i="18"/>
  <c r="J131" i="18" s="1"/>
  <c r="K130" i="18"/>
  <c r="J130" i="18" s="1"/>
  <c r="K129" i="18"/>
  <c r="J129" i="18" s="1"/>
  <c r="K128" i="18"/>
  <c r="J128" i="18" s="1"/>
  <c r="K127" i="18"/>
  <c r="J127" i="18" s="1"/>
  <c r="K126" i="18"/>
  <c r="J126" i="18" s="1"/>
  <c r="K125" i="18"/>
  <c r="J125" i="18" s="1"/>
  <c r="K124" i="18"/>
  <c r="J124" i="18" s="1"/>
  <c r="K123" i="18"/>
  <c r="J123" i="18" s="1"/>
  <c r="K122" i="18"/>
  <c r="J122" i="18"/>
  <c r="K121" i="18"/>
  <c r="J121" i="18" s="1"/>
  <c r="K120" i="18"/>
  <c r="J120" i="18" s="1"/>
  <c r="K119" i="18"/>
  <c r="J119" i="18" s="1"/>
  <c r="K118" i="18"/>
  <c r="J118" i="18" s="1"/>
  <c r="K117" i="18"/>
  <c r="J117" i="18" s="1"/>
  <c r="K116" i="18"/>
  <c r="J116" i="18" s="1"/>
  <c r="K115" i="18"/>
  <c r="J115" i="18" s="1"/>
  <c r="K114" i="18"/>
  <c r="J114" i="18" s="1"/>
  <c r="K113" i="18"/>
  <c r="J113" i="18" s="1"/>
  <c r="K112" i="18"/>
  <c r="J112" i="18" s="1"/>
  <c r="K111" i="18"/>
  <c r="J111" i="18" s="1"/>
  <c r="K110" i="18"/>
  <c r="J110" i="18" s="1"/>
  <c r="K109" i="18"/>
  <c r="J109" i="18" s="1"/>
  <c r="K108" i="18"/>
  <c r="J108" i="18" s="1"/>
  <c r="K107" i="18"/>
  <c r="J107" i="18" s="1"/>
  <c r="K106" i="18"/>
  <c r="J106" i="18" s="1"/>
  <c r="K105" i="18"/>
  <c r="J105" i="18" s="1"/>
  <c r="K104" i="18"/>
  <c r="J104" i="18" s="1"/>
  <c r="K103" i="18"/>
  <c r="J103" i="18" s="1"/>
  <c r="K102" i="18"/>
  <c r="J102" i="18" s="1"/>
  <c r="K101" i="18"/>
  <c r="J101" i="18" s="1"/>
  <c r="K100" i="18"/>
  <c r="J100" i="18" s="1"/>
  <c r="K99" i="18"/>
  <c r="J99" i="18" s="1"/>
  <c r="K98" i="18"/>
  <c r="J98" i="18" s="1"/>
  <c r="K97" i="18"/>
  <c r="J97" i="18" s="1"/>
  <c r="K96" i="18"/>
  <c r="J96" i="18" s="1"/>
  <c r="K95" i="18"/>
  <c r="J95" i="18" s="1"/>
  <c r="K94" i="18"/>
  <c r="J94" i="18" s="1"/>
  <c r="K93" i="18"/>
  <c r="J93" i="18" s="1"/>
  <c r="K92" i="18"/>
  <c r="J92" i="18" s="1"/>
  <c r="K91" i="18"/>
  <c r="J91" i="18" s="1"/>
  <c r="K90" i="18"/>
  <c r="J90" i="18" s="1"/>
  <c r="K89" i="18"/>
  <c r="J89" i="18" s="1"/>
  <c r="K88" i="18"/>
  <c r="J88" i="18" s="1"/>
  <c r="K87" i="18"/>
  <c r="J87" i="18" s="1"/>
  <c r="K86" i="18"/>
  <c r="J86" i="18" s="1"/>
  <c r="K85" i="18"/>
  <c r="J85" i="18" s="1"/>
  <c r="K84" i="18"/>
  <c r="J84" i="18" s="1"/>
  <c r="K104" i="17" l="1"/>
  <c r="J104" i="17" s="1"/>
  <c r="K105" i="17"/>
  <c r="J105" i="17" s="1"/>
  <c r="K106" i="17"/>
  <c r="J106" i="17" s="1"/>
  <c r="K107" i="17"/>
  <c r="J107" i="17" s="1"/>
  <c r="K108" i="17"/>
  <c r="J108" i="17" s="1"/>
  <c r="J109" i="17"/>
  <c r="K109" i="17"/>
  <c r="K110" i="17"/>
  <c r="J110" i="17" s="1"/>
  <c r="K111" i="17"/>
  <c r="J111" i="17" s="1"/>
  <c r="K112" i="17"/>
  <c r="J112" i="17" s="1"/>
  <c r="K113" i="17"/>
  <c r="J113" i="17" s="1"/>
  <c r="K114" i="17"/>
  <c r="J114" i="17" s="1"/>
  <c r="K115" i="17"/>
  <c r="J115" i="17" s="1"/>
  <c r="K116" i="17"/>
  <c r="J116" i="17" s="1"/>
  <c r="K117" i="17"/>
  <c r="J117" i="17" s="1"/>
  <c r="K118" i="17"/>
  <c r="J118" i="17" s="1"/>
  <c r="K119" i="17"/>
  <c r="J119" i="17" s="1"/>
  <c r="K120" i="17"/>
  <c r="J120" i="17" s="1"/>
  <c r="K121" i="17"/>
  <c r="J121" i="17" s="1"/>
  <c r="K122" i="17"/>
  <c r="J122" i="17" s="1"/>
  <c r="K123" i="17"/>
  <c r="J123" i="17" s="1"/>
  <c r="K124" i="17"/>
  <c r="J124" i="17" s="1"/>
  <c r="K125" i="17"/>
  <c r="J125" i="17" s="1"/>
  <c r="K126" i="17"/>
  <c r="J126" i="17" s="1"/>
  <c r="K127" i="17"/>
  <c r="J127" i="17" s="1"/>
  <c r="K128" i="17"/>
  <c r="J128" i="17" s="1"/>
  <c r="K129" i="17"/>
  <c r="J129" i="17" s="1"/>
  <c r="K130" i="17"/>
  <c r="J130" i="17" s="1"/>
  <c r="K131" i="17"/>
  <c r="J131" i="17" s="1"/>
  <c r="K132" i="17"/>
  <c r="J132" i="17" s="1"/>
  <c r="K133" i="17"/>
  <c r="J133" i="17" s="1"/>
  <c r="K85" i="17"/>
  <c r="J85" i="17" s="1"/>
  <c r="K86" i="17"/>
  <c r="J86" i="17" s="1"/>
  <c r="K87" i="17"/>
  <c r="J87" i="17" s="1"/>
  <c r="K88" i="17"/>
  <c r="J88" i="17" s="1"/>
  <c r="K89" i="17"/>
  <c r="J89" i="17" s="1"/>
  <c r="K90" i="17"/>
  <c r="J90" i="17" s="1"/>
  <c r="K91" i="17"/>
  <c r="J91" i="17" s="1"/>
  <c r="K92" i="17"/>
  <c r="J92" i="17" s="1"/>
  <c r="K93" i="17"/>
  <c r="J93" i="17" s="1"/>
  <c r="K94" i="17"/>
  <c r="J94" i="17" s="1"/>
  <c r="K95" i="17"/>
  <c r="J95" i="17" s="1"/>
  <c r="K96" i="17"/>
  <c r="J96" i="17" s="1"/>
  <c r="K97" i="17"/>
  <c r="J97" i="17" s="1"/>
  <c r="K98" i="17"/>
  <c r="J98" i="17" s="1"/>
  <c r="K99" i="17"/>
  <c r="J99" i="17" s="1"/>
  <c r="K100" i="17"/>
  <c r="J100" i="17" s="1"/>
  <c r="K101" i="17"/>
  <c r="J101" i="17" s="1"/>
  <c r="K102" i="17"/>
  <c r="J102" i="17" s="1"/>
  <c r="K103" i="17"/>
  <c r="J103" i="17" s="1"/>
  <c r="K84" i="17"/>
  <c r="J84" i="17" s="1"/>
  <c r="B942" i="66" l="1"/>
  <c r="B941" i="66"/>
  <c r="B940" i="66"/>
  <c r="AE944" i="16"/>
  <c r="AF944" i="16" s="1"/>
  <c r="AE942" i="16"/>
  <c r="AF942" i="16" s="1"/>
  <c r="AQ944" i="16"/>
  <c r="AP944" i="16"/>
  <c r="AQ942" i="16"/>
  <c r="AP942" i="16"/>
  <c r="U352" i="16"/>
  <c r="AQ180" i="25"/>
  <c r="AP180" i="25"/>
  <c r="AQ178" i="25"/>
  <c r="AP178" i="25"/>
  <c r="AT4" i="2"/>
  <c r="U97" i="24"/>
  <c r="AR778" i="16" l="1"/>
  <c r="AP778" i="16"/>
  <c r="Y778" i="16"/>
  <c r="U778" i="16"/>
  <c r="AR14" i="25"/>
  <c r="AP14" i="25"/>
  <c r="U14" i="25"/>
  <c r="CC4" i="2" s="1"/>
  <c r="U962" i="16" l="1"/>
  <c r="U198" i="25"/>
  <c r="CH4" i="2" s="1"/>
  <c r="K177" i="18" l="1"/>
  <c r="E177" i="18"/>
  <c r="D177" i="18"/>
  <c r="K177" i="17" l="1"/>
  <c r="E177" i="17"/>
  <c r="D177" i="17"/>
  <c r="AP1227" i="16" l="1"/>
  <c r="O1221" i="16"/>
  <c r="AP463" i="25" l="1"/>
  <c r="O457" i="25"/>
  <c r="H163" i="66" l="1"/>
  <c r="AN165" i="8"/>
  <c r="AP165" i="8"/>
  <c r="AP164" i="16"/>
  <c r="AN164" i="16"/>
  <c r="U164" i="16"/>
  <c r="O164" i="16"/>
  <c r="AO164" i="16" s="1"/>
  <c r="U165" i="8"/>
  <c r="AI4" i="2" s="1"/>
  <c r="O165" i="8"/>
  <c r="AO165" i="8" l="1"/>
  <c r="A163" i="66"/>
  <c r="I163" i="66"/>
  <c r="N164" i="16"/>
  <c r="AL14" i="16" l="1"/>
  <c r="AM14" i="16"/>
  <c r="AN13" i="16"/>
  <c r="AR13" i="16"/>
  <c r="AM15" i="8" l="1"/>
  <c r="AN14" i="8"/>
  <c r="AR14" i="8"/>
  <c r="R1506" i="16" l="1"/>
  <c r="AE1506" i="16" s="1"/>
  <c r="S1770" i="16" l="1"/>
  <c r="O25" i="10"/>
  <c r="O26" i="10" s="1"/>
  <c r="N25" i="10"/>
  <c r="S960" i="16" s="1"/>
  <c r="O6" i="10"/>
  <c r="O7" i="10" s="1"/>
  <c r="N6" i="10"/>
  <c r="S196" i="25" s="1"/>
  <c r="B1290" i="66"/>
  <c r="C1290" i="66" s="1"/>
  <c r="B1291" i="66"/>
  <c r="C1291" i="66" s="1"/>
  <c r="B1292" i="66"/>
  <c r="C1292" i="66" s="1"/>
  <c r="B1293" i="66"/>
  <c r="C1293" i="66" s="1"/>
  <c r="B1294" i="66"/>
  <c r="C1294" i="66" s="1"/>
  <c r="B1295" i="66"/>
  <c r="C1295" i="66" s="1"/>
  <c r="AP1297" i="16"/>
  <c r="AP533" i="25"/>
  <c r="O1295" i="16"/>
  <c r="S1298" i="16" s="1"/>
  <c r="O1298" i="16" s="1"/>
  <c r="S213" i="28"/>
  <c r="S212" i="28"/>
  <c r="R211" i="28" s="1"/>
  <c r="T196" i="25" l="1"/>
  <c r="W196" i="25" s="1"/>
  <c r="T960" i="16"/>
  <c r="W960" i="16" s="1"/>
  <c r="T1298" i="16"/>
  <c r="AP1317" i="16"/>
  <c r="AS274" i="25" l="1"/>
  <c r="AR274" i="25"/>
  <c r="AQ274" i="25"/>
  <c r="AP274" i="25"/>
  <c r="AN274" i="25"/>
  <c r="AL274" i="25"/>
  <c r="AE274" i="25"/>
  <c r="AE1038" i="16"/>
  <c r="AF1038" i="16" s="1"/>
  <c r="AE1039" i="16"/>
  <c r="AS1038" i="16"/>
  <c r="AR1038" i="16"/>
  <c r="AQ1038" i="16"/>
  <c r="AP1038" i="16"/>
  <c r="AN1038" i="16"/>
  <c r="AL1038" i="16"/>
  <c r="AE821" i="16" l="1"/>
  <c r="AF821" i="16" s="1"/>
  <c r="AE57" i="25"/>
  <c r="J55" i="18" l="1"/>
  <c r="K73" i="18"/>
  <c r="K74" i="18"/>
  <c r="K75" i="18"/>
  <c r="K76" i="18"/>
  <c r="K72" i="18"/>
  <c r="J55" i="17" l="1"/>
  <c r="J72" i="18"/>
  <c r="J73" i="18"/>
  <c r="J74" i="18"/>
  <c r="J75" i="18"/>
  <c r="J76" i="18"/>
  <c r="K73" i="17" l="1"/>
  <c r="J73" i="17" s="1"/>
  <c r="K74" i="17"/>
  <c r="J74" i="17" s="1"/>
  <c r="K75" i="17"/>
  <c r="J75" i="17" s="1"/>
  <c r="K76" i="17"/>
  <c r="J76" i="17" s="1"/>
  <c r="K72" i="17"/>
  <c r="J72" i="17" s="1"/>
  <c r="AF1563" i="16" l="1"/>
  <c r="AF1561" i="16"/>
  <c r="AF1557" i="16"/>
  <c r="AF1558" i="16"/>
  <c r="AF1556" i="16"/>
  <c r="AF1549" i="16"/>
  <c r="AF1540" i="16"/>
  <c r="AF1539" i="16"/>
  <c r="AF1519" i="16"/>
  <c r="AF1515" i="16"/>
  <c r="AF1514" i="16"/>
  <c r="AF1512" i="16"/>
  <c r="AF1503" i="16"/>
  <c r="AF1504" i="16"/>
  <c r="AF1502" i="16"/>
  <c r="AF1498" i="16"/>
  <c r="AF1496" i="16"/>
  <c r="AF1494" i="16"/>
  <c r="AF1487" i="16"/>
  <c r="AF1473" i="16"/>
  <c r="AF1442" i="16"/>
  <c r="AF1437" i="16"/>
  <c r="AF725" i="16"/>
  <c r="AF724" i="16"/>
  <c r="AF723" i="16"/>
  <c r="AF722" i="16"/>
  <c r="AF721" i="16"/>
  <c r="AF720" i="16"/>
  <c r="AF719" i="16"/>
  <c r="AF466" i="16"/>
  <c r="AF398" i="16"/>
  <c r="AF394" i="16"/>
  <c r="AF390" i="16"/>
  <c r="AF384" i="16"/>
  <c r="AF382" i="16"/>
  <c r="AF309" i="16"/>
  <c r="AF308" i="16"/>
  <c r="AF307" i="16"/>
  <c r="AF306" i="16"/>
  <c r="AF305" i="16"/>
  <c r="AF271" i="16"/>
  <c r="AA7" i="16" l="1"/>
  <c r="F238" i="76" l="1"/>
  <c r="AA1597" i="16"/>
  <c r="AA498" i="16"/>
  <c r="AA500" i="16"/>
  <c r="AA729" i="16"/>
  <c r="AA1611" i="16"/>
  <c r="AA1624" i="16"/>
  <c r="AA1613" i="16"/>
  <c r="AA493" i="16"/>
  <c r="AA489" i="16"/>
  <c r="AA478" i="16"/>
  <c r="AA477" i="16"/>
  <c r="AA475" i="16"/>
  <c r="AA466" i="16"/>
  <c r="AA451" i="16"/>
  <c r="AA416" i="16"/>
  <c r="AA326" i="16"/>
  <c r="AA320" i="16"/>
  <c r="AA319" i="16"/>
  <c r="AA310" i="16"/>
  <c r="AA268" i="16"/>
  <c r="AA249" i="16"/>
  <c r="AA246" i="16"/>
  <c r="AA241" i="16"/>
  <c r="AA238" i="16"/>
  <c r="AA223" i="16"/>
  <c r="AA196" i="16"/>
  <c r="AA195" i="16"/>
  <c r="AA193" i="16"/>
  <c r="AA141" i="16"/>
  <c r="AA140" i="16"/>
  <c r="AA135" i="16"/>
  <c r="AA129" i="16"/>
  <c r="AA114" i="16"/>
  <c r="AA67" i="16"/>
  <c r="AA25" i="16"/>
  <c r="AA16" i="16"/>
  <c r="F729" i="76"/>
  <c r="F493" i="76"/>
  <c r="F452" i="76"/>
  <c r="F416" i="76"/>
  <c r="F326" i="76"/>
  <c r="F320" i="76"/>
  <c r="F319" i="76"/>
  <c r="F241" i="76"/>
  <c r="F68" i="76"/>
  <c r="F16" i="76"/>
  <c r="E1834" i="76"/>
  <c r="E1832" i="76"/>
  <c r="E1831" i="76"/>
  <c r="E1830" i="76"/>
  <c r="E1829" i="76"/>
  <c r="E1826" i="76"/>
  <c r="E1825" i="76"/>
  <c r="E1823" i="76"/>
  <c r="E1822" i="76"/>
  <c r="E1821" i="76"/>
  <c r="E1820" i="76"/>
  <c r="E1812" i="76"/>
  <c r="E1798" i="76"/>
  <c r="E1791" i="76"/>
  <c r="E1782" i="76"/>
  <c r="E1781" i="76"/>
  <c r="E1779" i="76"/>
  <c r="E1778" i="76"/>
  <c r="E1776" i="76"/>
  <c r="E1768" i="76"/>
  <c r="E1767" i="76"/>
  <c r="E1757" i="76"/>
  <c r="E1748" i="76"/>
  <c r="E1744" i="76"/>
  <c r="E1742" i="76"/>
  <c r="E1741" i="76"/>
  <c r="E1737" i="76"/>
  <c r="E1729" i="76"/>
  <c r="E1727" i="76"/>
  <c r="E1721" i="76"/>
  <c r="E1717" i="76"/>
  <c r="E1716" i="76"/>
  <c r="E1715" i="76"/>
  <c r="E1714" i="76"/>
  <c r="E1702" i="76"/>
  <c r="E1701" i="76"/>
  <c r="E1699" i="76"/>
  <c r="E1698" i="76"/>
  <c r="E1697" i="76"/>
  <c r="E1696" i="76"/>
  <c r="E1695" i="76"/>
  <c r="E1692" i="76"/>
  <c r="E1691" i="76"/>
  <c r="E1690" i="76"/>
  <c r="E1683" i="76"/>
  <c r="E1678" i="76"/>
  <c r="E1677" i="76"/>
  <c r="E1676" i="76"/>
  <c r="E1675" i="76"/>
  <c r="E1674" i="76"/>
  <c r="E1658" i="76"/>
  <c r="E1657" i="76"/>
  <c r="E1656" i="76"/>
  <c r="E1655" i="76"/>
  <c r="E1654" i="76"/>
  <c r="E1653" i="76"/>
  <c r="E1649" i="76"/>
  <c r="E1648" i="76"/>
  <c r="E1646" i="76"/>
  <c r="E1625" i="76"/>
  <c r="E1624" i="76"/>
  <c r="E1621" i="76"/>
  <c r="E1620" i="76"/>
  <c r="E1619" i="76"/>
  <c r="E1618" i="76"/>
  <c r="E1617" i="76"/>
  <c r="E1615" i="76"/>
  <c r="E1613" i="76"/>
  <c r="E1608" i="76"/>
  <c r="E1606" i="76"/>
  <c r="E1604" i="76"/>
  <c r="E1603" i="76"/>
  <c r="E1601" i="76"/>
  <c r="E1599" i="76"/>
  <c r="E1598" i="76"/>
  <c r="E1590" i="76"/>
  <c r="E1589" i="76"/>
  <c r="E1574" i="76"/>
  <c r="E1572" i="76"/>
  <c r="E1571" i="76"/>
  <c r="E1570" i="76"/>
  <c r="E1569" i="76"/>
  <c r="E1568" i="76"/>
  <c r="E1563" i="76"/>
  <c r="E1562" i="76"/>
  <c r="E1560" i="76"/>
  <c r="E1558" i="76"/>
  <c r="E1557" i="76"/>
  <c r="E1553" i="76"/>
  <c r="E1552" i="76"/>
  <c r="E1550" i="76"/>
  <c r="E1549" i="76"/>
  <c r="E1543" i="76"/>
  <c r="E1542" i="76"/>
  <c r="E1539" i="76"/>
  <c r="E1534" i="76"/>
  <c r="E1533" i="76"/>
  <c r="E1518" i="76"/>
  <c r="E1514" i="76"/>
  <c r="E1512" i="76"/>
  <c r="E1511" i="76"/>
  <c r="E1503" i="76"/>
  <c r="E1498" i="76"/>
  <c r="E1497" i="76"/>
  <c r="E1493" i="76"/>
  <c r="E1491" i="76"/>
  <c r="E1490" i="76"/>
  <c r="E1489" i="76"/>
  <c r="E1481" i="76"/>
  <c r="E1480" i="76"/>
  <c r="E1474" i="76"/>
  <c r="E1473" i="76"/>
  <c r="E1470" i="76"/>
  <c r="E1469" i="76"/>
  <c r="E1468" i="76"/>
  <c r="E1463" i="76"/>
  <c r="E1458" i="76"/>
  <c r="E1453" i="76"/>
  <c r="E1452" i="76"/>
  <c r="E1451" i="76"/>
  <c r="E1450" i="76"/>
  <c r="E1449" i="76"/>
  <c r="E1442" i="76"/>
  <c r="E1437" i="76"/>
  <c r="E1436" i="76"/>
  <c r="E1409" i="76"/>
  <c r="E1408" i="76"/>
  <c r="E1407" i="76"/>
  <c r="E1406" i="76"/>
  <c r="E1400" i="76"/>
  <c r="E1399" i="76"/>
  <c r="E1397" i="76"/>
  <c r="E1396" i="76"/>
  <c r="E1388" i="76"/>
  <c r="E1381" i="76"/>
  <c r="E1380" i="76"/>
  <c r="E1379" i="76"/>
  <c r="E1377" i="76"/>
  <c r="E1375" i="76"/>
  <c r="E1373" i="76"/>
  <c r="E1355" i="76"/>
  <c r="E1349" i="76"/>
  <c r="E1348" i="76"/>
  <c r="E1346" i="76"/>
  <c r="E1345" i="76"/>
  <c r="E1335" i="76"/>
  <c r="E1332" i="76"/>
  <c r="E1331" i="76"/>
  <c r="E1330" i="76"/>
  <c r="E1328" i="76"/>
  <c r="E1326" i="76"/>
  <c r="E1314" i="76"/>
  <c r="E1309" i="76"/>
  <c r="E1308" i="76"/>
  <c r="E1301" i="76"/>
  <c r="E1300" i="76"/>
  <c r="E1285" i="76"/>
  <c r="E1284" i="76"/>
  <c r="E1283" i="76"/>
  <c r="E1282" i="76"/>
  <c r="E1281" i="76"/>
  <c r="E1272" i="76"/>
  <c r="E1270" i="76"/>
  <c r="E1269" i="76"/>
  <c r="E1268" i="76"/>
  <c r="E1267" i="76"/>
  <c r="E1264" i="76"/>
  <c r="E1263" i="76"/>
  <c r="E1260" i="76"/>
  <c r="E1259" i="76"/>
  <c r="E1257" i="76"/>
  <c r="E1254" i="76"/>
  <c r="E1250" i="76"/>
  <c r="E1249" i="76"/>
  <c r="E1245" i="76"/>
  <c r="E1244" i="76"/>
  <c r="E1240" i="76"/>
  <c r="E1237" i="76"/>
  <c r="E1233" i="76"/>
  <c r="E1226" i="76"/>
  <c r="E1225" i="76"/>
  <c r="E1224" i="76"/>
  <c r="E1223" i="76"/>
  <c r="E1222" i="76"/>
  <c r="E1221" i="76"/>
  <c r="E1220" i="76"/>
  <c r="E1196" i="76"/>
  <c r="E1169" i="76"/>
  <c r="E1167" i="76"/>
  <c r="E1139" i="76"/>
  <c r="E1131" i="76"/>
  <c r="E1129" i="76"/>
  <c r="E1127" i="76"/>
  <c r="E1117" i="76"/>
  <c r="E1116" i="76"/>
  <c r="E1111" i="76"/>
  <c r="E1099" i="76"/>
  <c r="E1086" i="76"/>
  <c r="E1085" i="76"/>
  <c r="E1084" i="76"/>
  <c r="E1083" i="76"/>
  <c r="E1075" i="76"/>
  <c r="E1073" i="76"/>
  <c r="E1067" i="76"/>
  <c r="E1055" i="76"/>
  <c r="E1054" i="76"/>
  <c r="E1052" i="76"/>
  <c r="E1051" i="76"/>
  <c r="E1050" i="76"/>
  <c r="E1047" i="76"/>
  <c r="E1010" i="76"/>
  <c r="E1009" i="76"/>
  <c r="E1008" i="76"/>
  <c r="E1007" i="76"/>
  <c r="E980" i="76"/>
  <c r="E979" i="76"/>
  <c r="E978" i="76"/>
  <c r="E977" i="76"/>
  <c r="E959" i="76"/>
  <c r="E958" i="76"/>
  <c r="E956" i="76"/>
  <c r="E955" i="76"/>
  <c r="E953" i="76"/>
  <c r="E950" i="76"/>
  <c r="E949" i="76"/>
  <c r="E948" i="76"/>
  <c r="E947" i="76"/>
  <c r="E946" i="76"/>
  <c r="E914" i="76"/>
  <c r="E913" i="76"/>
  <c r="E912" i="76"/>
  <c r="E911" i="76"/>
  <c r="E795" i="76"/>
  <c r="E794" i="76"/>
  <c r="E793" i="76"/>
  <c r="E792" i="76"/>
  <c r="E791" i="76"/>
  <c r="E790" i="76"/>
  <c r="E789" i="76"/>
  <c r="E756" i="76"/>
  <c r="E755" i="76"/>
  <c r="E754" i="76"/>
  <c r="E753" i="76"/>
  <c r="E728" i="76"/>
  <c r="E718" i="76"/>
  <c r="E717" i="76"/>
  <c r="E715" i="76"/>
  <c r="E714" i="76"/>
  <c r="E713" i="76"/>
  <c r="E712" i="76"/>
  <c r="E711" i="76"/>
  <c r="E710" i="76"/>
  <c r="E709" i="76"/>
  <c r="E668" i="76"/>
  <c r="E667" i="76"/>
  <c r="E666" i="76"/>
  <c r="E664" i="76"/>
  <c r="E662" i="76"/>
  <c r="E661" i="76"/>
  <c r="E660" i="76"/>
  <c r="E659" i="76"/>
  <c r="E658" i="76"/>
  <c r="E657" i="76"/>
  <c r="E655" i="76"/>
  <c r="E654" i="76"/>
  <c r="E653" i="76"/>
  <c r="E652" i="76"/>
  <c r="E651" i="76"/>
  <c r="E650" i="76"/>
  <c r="E649" i="76"/>
  <c r="E648" i="76"/>
  <c r="E637" i="76"/>
  <c r="E636" i="76"/>
  <c r="E635" i="76"/>
  <c r="E634" i="76"/>
  <c r="E633" i="76"/>
  <c r="E632" i="76"/>
  <c r="E629" i="76"/>
  <c r="E628" i="76"/>
  <c r="E627" i="76"/>
  <c r="E626" i="76"/>
  <c r="E625" i="76"/>
  <c r="E624" i="76"/>
  <c r="E623" i="76"/>
  <c r="E620" i="76"/>
  <c r="E617" i="76"/>
  <c r="E612" i="76"/>
  <c r="E611" i="76"/>
  <c r="E610" i="76"/>
  <c r="E609" i="76"/>
  <c r="E608" i="76"/>
  <c r="E606" i="76"/>
  <c r="E605" i="76"/>
  <c r="E603" i="76"/>
  <c r="E602" i="76"/>
  <c r="E582" i="76"/>
  <c r="E581" i="76"/>
  <c r="E580" i="76"/>
  <c r="E579" i="76"/>
  <c r="E578" i="76"/>
  <c r="E577" i="76"/>
  <c r="E576" i="76"/>
  <c r="E575" i="76"/>
  <c r="E574" i="76"/>
  <c r="E558" i="76"/>
  <c r="E549" i="76"/>
  <c r="E547" i="76"/>
  <c r="E546" i="76"/>
  <c r="E545" i="76"/>
  <c r="E544" i="76"/>
  <c r="E543" i="76"/>
  <c r="E542" i="76"/>
  <c r="E541" i="76"/>
  <c r="E540" i="76"/>
  <c r="E539" i="76"/>
  <c r="E538" i="76"/>
  <c r="E537" i="76"/>
  <c r="E536" i="76"/>
  <c r="E535" i="76"/>
  <c r="E534" i="76"/>
  <c r="E519" i="76"/>
  <c r="E518" i="76"/>
  <c r="E516" i="76"/>
  <c r="E515" i="76"/>
  <c r="E514" i="76"/>
  <c r="E513" i="76"/>
  <c r="E512" i="76"/>
  <c r="E511" i="76"/>
  <c r="E509" i="76"/>
  <c r="E508" i="76"/>
  <c r="E507" i="76"/>
  <c r="E506" i="76"/>
  <c r="E505" i="76"/>
  <c r="E499" i="76"/>
  <c r="E491" i="76"/>
  <c r="E490" i="76"/>
  <c r="E482" i="76"/>
  <c r="E481" i="76"/>
  <c r="E480" i="76"/>
  <c r="E476" i="76"/>
  <c r="E468" i="76"/>
  <c r="E467" i="76"/>
  <c r="E463" i="76"/>
  <c r="E462" i="76"/>
  <c r="E461" i="76"/>
  <c r="E460" i="76"/>
  <c r="E459" i="76"/>
  <c r="E458" i="76"/>
  <c r="E457" i="76"/>
  <c r="E456" i="76"/>
  <c r="E455" i="76"/>
  <c r="E454" i="76"/>
  <c r="E453" i="76"/>
  <c r="E452" i="76"/>
  <c r="E449" i="76"/>
  <c r="E441" i="76"/>
  <c r="E440" i="76"/>
  <c r="E439" i="76"/>
  <c r="E436" i="76"/>
  <c r="E435" i="76"/>
  <c r="E415" i="76"/>
  <c r="E414" i="76"/>
  <c r="E413" i="76"/>
  <c r="E411" i="76"/>
  <c r="E409" i="76"/>
  <c r="E407" i="76"/>
  <c r="E406" i="76"/>
  <c r="E404" i="76"/>
  <c r="E400" i="76"/>
  <c r="E399" i="76"/>
  <c r="E397" i="76"/>
  <c r="E396" i="76"/>
  <c r="E395" i="76"/>
  <c r="E393" i="76"/>
  <c r="E392" i="76"/>
  <c r="E391" i="76"/>
  <c r="E386" i="76"/>
  <c r="E385" i="76"/>
  <c r="E383" i="76"/>
  <c r="E377" i="76"/>
  <c r="E371" i="76"/>
  <c r="E365" i="76"/>
  <c r="E360" i="76"/>
  <c r="E359" i="76"/>
  <c r="E358" i="76"/>
  <c r="E356" i="76"/>
  <c r="E346" i="76"/>
  <c r="E345" i="76"/>
  <c r="E344" i="76"/>
  <c r="E343" i="76"/>
  <c r="E342" i="76"/>
  <c r="E340" i="76"/>
  <c r="E339" i="76"/>
  <c r="E338" i="76"/>
  <c r="E337" i="76"/>
  <c r="E336" i="76"/>
  <c r="E335" i="76"/>
  <c r="E334" i="76"/>
  <c r="E316" i="76"/>
  <c r="E312" i="76"/>
  <c r="E311" i="76"/>
  <c r="E301" i="76"/>
  <c r="E300" i="76"/>
  <c r="E289" i="76"/>
  <c r="E288" i="76"/>
  <c r="E286" i="76"/>
  <c r="E285" i="76"/>
  <c r="E271" i="76"/>
  <c r="E270" i="76"/>
  <c r="E269" i="76"/>
  <c r="E263" i="76"/>
  <c r="E262" i="76"/>
  <c r="E261" i="76"/>
  <c r="E260" i="76"/>
  <c r="E259" i="76"/>
  <c r="E257" i="76"/>
  <c r="E248" i="76"/>
  <c r="E247" i="76"/>
  <c r="E237" i="76"/>
  <c r="E231" i="76"/>
  <c r="E224" i="76"/>
  <c r="E215" i="76"/>
  <c r="E214" i="76"/>
  <c r="E213" i="76"/>
  <c r="E212" i="76"/>
  <c r="E211" i="76"/>
  <c r="E210" i="76"/>
  <c r="E209" i="76"/>
  <c r="E206" i="76"/>
  <c r="E205" i="76"/>
  <c r="E203" i="76"/>
  <c r="E202" i="76"/>
  <c r="E201" i="76"/>
  <c r="E199" i="76"/>
  <c r="E197" i="76"/>
  <c r="E194" i="76"/>
  <c r="E189" i="76"/>
  <c r="E187" i="76"/>
  <c r="E182" i="76"/>
  <c r="E181" i="76"/>
  <c r="E180" i="76"/>
  <c r="E179" i="76"/>
  <c r="E172" i="76"/>
  <c r="E171" i="76"/>
  <c r="E169" i="76"/>
  <c r="E167" i="76"/>
  <c r="E158" i="76"/>
  <c r="E156" i="76"/>
  <c r="E154" i="76"/>
  <c r="E152" i="76"/>
  <c r="E150" i="76"/>
  <c r="E149" i="76"/>
  <c r="E147" i="76"/>
  <c r="E145" i="76"/>
  <c r="E144" i="76"/>
  <c r="E143" i="76"/>
  <c r="E142" i="76"/>
  <c r="E132" i="76"/>
  <c r="E134" i="76"/>
  <c r="E130" i="76"/>
  <c r="E124" i="76"/>
  <c r="E115" i="76"/>
  <c r="E110" i="76"/>
  <c r="E109" i="76"/>
  <c r="E108" i="76"/>
  <c r="E106" i="76"/>
  <c r="E105" i="76"/>
  <c r="E104" i="76"/>
  <c r="E102" i="76"/>
  <c r="E101" i="76"/>
  <c r="E91" i="76"/>
  <c r="E90" i="76"/>
  <c r="E89" i="76"/>
  <c r="E88" i="76"/>
  <c r="E87" i="76"/>
  <c r="E86" i="76"/>
  <c r="E84" i="76"/>
  <c r="E78" i="76"/>
  <c r="E73" i="76"/>
  <c r="E71" i="76"/>
  <c r="E35" i="76"/>
  <c r="E34" i="76"/>
  <c r="E33" i="76"/>
  <c r="E32" i="76"/>
  <c r="E31" i="76"/>
  <c r="E30" i="76"/>
  <c r="E29" i="76"/>
  <c r="E28" i="76"/>
  <c r="E38" i="76"/>
  <c r="E37" i="76"/>
  <c r="E66" i="76"/>
  <c r="E64" i="76"/>
  <c r="E60" i="76"/>
  <c r="E58" i="76"/>
  <c r="E47" i="76"/>
  <c r="E521" i="76"/>
  <c r="D457" i="76"/>
  <c r="S1411" i="16" l="1"/>
  <c r="S1410" i="16"/>
  <c r="S1408" i="16"/>
  <c r="O1315" i="16"/>
  <c r="E1313" i="76" s="1"/>
  <c r="S15" i="27"/>
  <c r="S14" i="27"/>
  <c r="S12" i="27" l="1"/>
  <c r="S1611" i="16"/>
  <c r="S54" i="28"/>
  <c r="AE1317" i="16"/>
  <c r="AD1317" i="16"/>
  <c r="O551" i="25"/>
  <c r="AQ553" i="25"/>
  <c r="AP553" i="25"/>
  <c r="AE553" i="25"/>
  <c r="AD553" i="25"/>
  <c r="AC553" i="25" l="1"/>
  <c r="AC1317" i="16"/>
  <c r="AF1317" i="16"/>
  <c r="S1616" i="16"/>
  <c r="T1616" i="16" s="1"/>
  <c r="AD1616" i="16" s="1"/>
  <c r="S1614" i="16"/>
  <c r="T1614" i="16" s="1"/>
  <c r="AD1614" i="16" s="1"/>
  <c r="E8" i="72"/>
  <c r="F9" i="72"/>
  <c r="K15" i="7"/>
  <c r="BC17" i="25" s="1"/>
  <c r="L15" i="7"/>
  <c r="BD17" i="25" s="1"/>
  <c r="F8" i="72"/>
  <c r="C26" i="10"/>
  <c r="AR842" i="16"/>
  <c r="AP842" i="16"/>
  <c r="Y842" i="16"/>
  <c r="AR78" i="25"/>
  <c r="AP78" i="25"/>
  <c r="AY23" i="24"/>
  <c r="O13" i="24" s="1"/>
  <c r="A267" i="66" s="1"/>
  <c r="AY30" i="24"/>
  <c r="AZ30" i="24" s="1"/>
  <c r="S121" i="24" s="1"/>
  <c r="AY25" i="25"/>
  <c r="W498" i="25" s="1"/>
  <c r="O496" i="25" s="1"/>
  <c r="AY19" i="29"/>
  <c r="S110" i="29" s="1"/>
  <c r="T110" i="29" s="1"/>
  <c r="AD110" i="29" s="1"/>
  <c r="AC110" i="29" s="1"/>
  <c r="B1836" i="66"/>
  <c r="C1836" i="66" s="1"/>
  <c r="B1837" i="66"/>
  <c r="C1837" i="66" s="1"/>
  <c r="B1838" i="66"/>
  <c r="B1839" i="66"/>
  <c r="B1840" i="66"/>
  <c r="B1841" i="66"/>
  <c r="B1842" i="66"/>
  <c r="B1843" i="66"/>
  <c r="B1844" i="66"/>
  <c r="B1845" i="66"/>
  <c r="B1846" i="66"/>
  <c r="B1847" i="66"/>
  <c r="C1847" i="66" s="1"/>
  <c r="B1848" i="66"/>
  <c r="C1848" i="66" s="1"/>
  <c r="B1849" i="66"/>
  <c r="C1849" i="66" s="1"/>
  <c r="B1850" i="66"/>
  <c r="C1850" i="66" s="1"/>
  <c r="B1851" i="66"/>
  <c r="C1851" i="66" s="1"/>
  <c r="B1852" i="66"/>
  <c r="C1852" i="66" s="1"/>
  <c r="B1853" i="66"/>
  <c r="C1853" i="66" s="1"/>
  <c r="B1854" i="66"/>
  <c r="C1854" i="66" s="1"/>
  <c r="B1855" i="66"/>
  <c r="C1855" i="66" s="1"/>
  <c r="B1856" i="66"/>
  <c r="C1856" i="66" s="1"/>
  <c r="B1857" i="66"/>
  <c r="C1857" i="66" s="1"/>
  <c r="B1858" i="66"/>
  <c r="C1858" i="66" s="1"/>
  <c r="B1859" i="66"/>
  <c r="C1859" i="66" s="1"/>
  <c r="B1860" i="66"/>
  <c r="C1860" i="66" s="1"/>
  <c r="B1861" i="66"/>
  <c r="C1861" i="66" s="1"/>
  <c r="B1862" i="66"/>
  <c r="C1862" i="66" s="1"/>
  <c r="B1863" i="66"/>
  <c r="C1863" i="66" s="1"/>
  <c r="B1864" i="66"/>
  <c r="C1864" i="66" s="1"/>
  <c r="B1865" i="66"/>
  <c r="C1865" i="66" s="1"/>
  <c r="B1866" i="66"/>
  <c r="C1866" i="66" s="1"/>
  <c r="B1867" i="66"/>
  <c r="C1867" i="66" s="1"/>
  <c r="B1868" i="66"/>
  <c r="C1868" i="66" s="1"/>
  <c r="B1869" i="66"/>
  <c r="C1869" i="66" s="1"/>
  <c r="B1870" i="66"/>
  <c r="C1870" i="66" s="1"/>
  <c r="B1871" i="66"/>
  <c r="C1871" i="66" s="1"/>
  <c r="B1872" i="66"/>
  <c r="C1872" i="66" s="1"/>
  <c r="B1873" i="66"/>
  <c r="C1873" i="66" s="1"/>
  <c r="B1874" i="66"/>
  <c r="C1874" i="66" s="1"/>
  <c r="B1875" i="66"/>
  <c r="C1875" i="66" s="1"/>
  <c r="B1876" i="66"/>
  <c r="C1876" i="66" s="1"/>
  <c r="B1877" i="66"/>
  <c r="C1877" i="66" s="1"/>
  <c r="B1878" i="66"/>
  <c r="C1878" i="66" s="1"/>
  <c r="B1879" i="66"/>
  <c r="C1879" i="66" s="1"/>
  <c r="B1880" i="66"/>
  <c r="C1880" i="66" s="1"/>
  <c r="B1881" i="66"/>
  <c r="C1881" i="66" s="1"/>
  <c r="B1882" i="66"/>
  <c r="C1882" i="66" s="1"/>
  <c r="B1883" i="66"/>
  <c r="C1883" i="66" s="1"/>
  <c r="B1884" i="66"/>
  <c r="C1884" i="66" s="1"/>
  <c r="B1885" i="66"/>
  <c r="C1885" i="66" s="1"/>
  <c r="B1886" i="66"/>
  <c r="B1887" i="66"/>
  <c r="B1888" i="66"/>
  <c r="B1889" i="66"/>
  <c r="B1890" i="66"/>
  <c r="C1890" i="66" s="1"/>
  <c r="B1891" i="66"/>
  <c r="C1891" i="66" s="1"/>
  <c r="B1892" i="66"/>
  <c r="C1892" i="66" s="1"/>
  <c r="B1893" i="66"/>
  <c r="C1893" i="66" s="1"/>
  <c r="B1894" i="66"/>
  <c r="C1894" i="66" s="1"/>
  <c r="B1895" i="66"/>
  <c r="C1895" i="66" s="1"/>
  <c r="B1896" i="66"/>
  <c r="C1896" i="66" s="1"/>
  <c r="B1897" i="66"/>
  <c r="C1897" i="66" s="1"/>
  <c r="B1898" i="66"/>
  <c r="C1898" i="66" s="1"/>
  <c r="B1899" i="66"/>
  <c r="C1899" i="66" s="1"/>
  <c r="B1900" i="66"/>
  <c r="C1900" i="66" s="1"/>
  <c r="B1901" i="66"/>
  <c r="C1901" i="66" s="1"/>
  <c r="B1902" i="66"/>
  <c r="C1902" i="66" s="1"/>
  <c r="B1903" i="66"/>
  <c r="C1903" i="66" s="1"/>
  <c r="B1904" i="66"/>
  <c r="B1905" i="66"/>
  <c r="B1906" i="66"/>
  <c r="B1907" i="66"/>
  <c r="B1908" i="66"/>
  <c r="B1909" i="66"/>
  <c r="B1910" i="66"/>
  <c r="B1911" i="66"/>
  <c r="B1912" i="66"/>
  <c r="B1913" i="66"/>
  <c r="B1914" i="66"/>
  <c r="B1915" i="66"/>
  <c r="C1915" i="66" s="1"/>
  <c r="B1916" i="66"/>
  <c r="C1916" i="66" s="1"/>
  <c r="B1917" i="66"/>
  <c r="C1917" i="66" s="1"/>
  <c r="B1918" i="66"/>
  <c r="C1918" i="66" s="1"/>
  <c r="B1919" i="66"/>
  <c r="C1919" i="66" s="1"/>
  <c r="B1920" i="66"/>
  <c r="C1920" i="66" s="1"/>
  <c r="B1921" i="66"/>
  <c r="C1921" i="66" s="1"/>
  <c r="B1922" i="66"/>
  <c r="B1923" i="66"/>
  <c r="B1924" i="66"/>
  <c r="B1925" i="66"/>
  <c r="C1925" i="66" s="1"/>
  <c r="B1926" i="66"/>
  <c r="B1927" i="66"/>
  <c r="B1928" i="66"/>
  <c r="B1929" i="66"/>
  <c r="B1930" i="66"/>
  <c r="B1931" i="66"/>
  <c r="C1931" i="66" s="1"/>
  <c r="B1932" i="66"/>
  <c r="C1932" i="66" s="1"/>
  <c r="B1933" i="66"/>
  <c r="C1933" i="66" s="1"/>
  <c r="B1934" i="66"/>
  <c r="C1934" i="66" s="1"/>
  <c r="B1935" i="66"/>
  <c r="C1935" i="66" s="1"/>
  <c r="B1936" i="66"/>
  <c r="C1936" i="66" s="1"/>
  <c r="B1937" i="66"/>
  <c r="C1937" i="66" s="1"/>
  <c r="B1938" i="66"/>
  <c r="C1938" i="66" s="1"/>
  <c r="B1939" i="66"/>
  <c r="C1939" i="66" s="1"/>
  <c r="B1940" i="66"/>
  <c r="C1940" i="66" s="1"/>
  <c r="B1941" i="66"/>
  <c r="C1941" i="66" s="1"/>
  <c r="B1942" i="66"/>
  <c r="C1942" i="66" s="1"/>
  <c r="B1943" i="66"/>
  <c r="C1943" i="66" s="1"/>
  <c r="B1944" i="66"/>
  <c r="C1944" i="66" s="1"/>
  <c r="B1945" i="66"/>
  <c r="C1945" i="66" s="1"/>
  <c r="B1946" i="66"/>
  <c r="C1946" i="66" s="1"/>
  <c r="B1947" i="66"/>
  <c r="C1947" i="66" s="1"/>
  <c r="B1948" i="66"/>
  <c r="C1948" i="66" s="1"/>
  <c r="B1949" i="66"/>
  <c r="B1950" i="66"/>
  <c r="B1951" i="66"/>
  <c r="B1952" i="66"/>
  <c r="C1952" i="66" s="1"/>
  <c r="B1953" i="66"/>
  <c r="B1954" i="66"/>
  <c r="B1955" i="66"/>
  <c r="C1955" i="66" s="1"/>
  <c r="B1956" i="66"/>
  <c r="C1956" i="66" s="1"/>
  <c r="B1957" i="66"/>
  <c r="C1957" i="66" s="1"/>
  <c r="B1958" i="66"/>
  <c r="C1958" i="66" s="1"/>
  <c r="B1959" i="66"/>
  <c r="C1959" i="66" s="1"/>
  <c r="B1960" i="66"/>
  <c r="C1960" i="66" s="1"/>
  <c r="B1961" i="66"/>
  <c r="C1961" i="66" s="1"/>
  <c r="B1962" i="66"/>
  <c r="C1962" i="66" s="1"/>
  <c r="B1963" i="66"/>
  <c r="C1963" i="66" s="1"/>
  <c r="B1964" i="66"/>
  <c r="C1964" i="66" s="1"/>
  <c r="B1965" i="66"/>
  <c r="C1965" i="66" s="1"/>
  <c r="B1966" i="66"/>
  <c r="C1966" i="66" s="1"/>
  <c r="B1967" i="66"/>
  <c r="C1967" i="66" s="1"/>
  <c r="B1968" i="66"/>
  <c r="C1968" i="66" s="1"/>
  <c r="B1969" i="66"/>
  <c r="C1969" i="66" s="1"/>
  <c r="B1970" i="66"/>
  <c r="C1970" i="66" s="1"/>
  <c r="B1971" i="66"/>
  <c r="C1971" i="66" s="1"/>
  <c r="B1972" i="66"/>
  <c r="C1972" i="66" s="1"/>
  <c r="B1973" i="66"/>
  <c r="C1973" i="66" s="1"/>
  <c r="B1974" i="66"/>
  <c r="C1974" i="66" s="1"/>
  <c r="B1975" i="66"/>
  <c r="B1976" i="66"/>
  <c r="B1977" i="66"/>
  <c r="B1978" i="66"/>
  <c r="B1979" i="66"/>
  <c r="B1980" i="66"/>
  <c r="C1980" i="66" s="1"/>
  <c r="B1981" i="66"/>
  <c r="C1981" i="66" s="1"/>
  <c r="B1982" i="66"/>
  <c r="C1982" i="66" s="1"/>
  <c r="B1983" i="66"/>
  <c r="C1983" i="66" s="1"/>
  <c r="B1984" i="66"/>
  <c r="C1984" i="66" s="1"/>
  <c r="B1985" i="66"/>
  <c r="C1985" i="66" s="1"/>
  <c r="B1986" i="66"/>
  <c r="C1986" i="66" s="1"/>
  <c r="B1987" i="66"/>
  <c r="C1987" i="66" s="1"/>
  <c r="B1988" i="66"/>
  <c r="C1988" i="66" s="1"/>
  <c r="B1989" i="66"/>
  <c r="C1989" i="66" s="1"/>
  <c r="B1990" i="66"/>
  <c r="C1990" i="66" s="1"/>
  <c r="B1991" i="66"/>
  <c r="B1992" i="66"/>
  <c r="B1993" i="66"/>
  <c r="B1994" i="66"/>
  <c r="B1995" i="66"/>
  <c r="B1996" i="66"/>
  <c r="B1997" i="66"/>
  <c r="B1998" i="66"/>
  <c r="B1999" i="66"/>
  <c r="B2000" i="66"/>
  <c r="C2000" i="66" s="1"/>
  <c r="B2001" i="66"/>
  <c r="C2001" i="66" s="1"/>
  <c r="B2002" i="66"/>
  <c r="C2002" i="66" s="1"/>
  <c r="B2003" i="66"/>
  <c r="C2003" i="66" s="1"/>
  <c r="B2004" i="66"/>
  <c r="C2004" i="66" s="1"/>
  <c r="B2005" i="66"/>
  <c r="B2006" i="66"/>
  <c r="B2007" i="66"/>
  <c r="B2008" i="66"/>
  <c r="B2009" i="66"/>
  <c r="B2010" i="66"/>
  <c r="B2011" i="66"/>
  <c r="B2012" i="66"/>
  <c r="B2013" i="66"/>
  <c r="B1835" i="66"/>
  <c r="C1835" i="66" s="1"/>
  <c r="B1565" i="66"/>
  <c r="C1565" i="66" s="1"/>
  <c r="B1566" i="66"/>
  <c r="B1567" i="66"/>
  <c r="B1568" i="66"/>
  <c r="B1569" i="66"/>
  <c r="B1570" i="66"/>
  <c r="B1571" i="66"/>
  <c r="C1571" i="66" s="1"/>
  <c r="B1572" i="66"/>
  <c r="C1572" i="66" s="1"/>
  <c r="B1573" i="66"/>
  <c r="B1574" i="66"/>
  <c r="B1575" i="66"/>
  <c r="C1575" i="66" s="1"/>
  <c r="B1576" i="66"/>
  <c r="B1577" i="66"/>
  <c r="B1578" i="66"/>
  <c r="C1578" i="66" s="1"/>
  <c r="B1579" i="66"/>
  <c r="C1579" i="66" s="1"/>
  <c r="B1580" i="66"/>
  <c r="C1580" i="66" s="1"/>
  <c r="B1581" i="66"/>
  <c r="C1581" i="66" s="1"/>
  <c r="B1582" i="66"/>
  <c r="C1582" i="66" s="1"/>
  <c r="B1583" i="66"/>
  <c r="C1583" i="66" s="1"/>
  <c r="B1584" i="66"/>
  <c r="B1585" i="66"/>
  <c r="B1586" i="66"/>
  <c r="B1587" i="66"/>
  <c r="B1588" i="66"/>
  <c r="B1589" i="66"/>
  <c r="B1590" i="66"/>
  <c r="B1591" i="66"/>
  <c r="B1592" i="66"/>
  <c r="C1592" i="66" s="1"/>
  <c r="B1593" i="66"/>
  <c r="C1593" i="66" s="1"/>
  <c r="B1594" i="66"/>
  <c r="B1595" i="66"/>
  <c r="B1596" i="66"/>
  <c r="B1597" i="66"/>
  <c r="B1598" i="66"/>
  <c r="B1599" i="66"/>
  <c r="B1600" i="66"/>
  <c r="B1601" i="66"/>
  <c r="B1602" i="66"/>
  <c r="B1603" i="66"/>
  <c r="B1604" i="66"/>
  <c r="B1605" i="66"/>
  <c r="B1606" i="66"/>
  <c r="B1607" i="66"/>
  <c r="B1608" i="66"/>
  <c r="B1609" i="66"/>
  <c r="B1610" i="66"/>
  <c r="B1611" i="66"/>
  <c r="B1612" i="66"/>
  <c r="B1613" i="66"/>
  <c r="B1614" i="66"/>
  <c r="B1615" i="66"/>
  <c r="B1616" i="66"/>
  <c r="B1617" i="66"/>
  <c r="B1618" i="66"/>
  <c r="B1619" i="66"/>
  <c r="B1620" i="66"/>
  <c r="B1621" i="66"/>
  <c r="B1622" i="66"/>
  <c r="B1623" i="66"/>
  <c r="B1624" i="66"/>
  <c r="B1625" i="66"/>
  <c r="B1626" i="66"/>
  <c r="B1627" i="66"/>
  <c r="B1628" i="66"/>
  <c r="B1629" i="66"/>
  <c r="B1630" i="66"/>
  <c r="C1630" i="66" s="1"/>
  <c r="B1631" i="66"/>
  <c r="B1632" i="66"/>
  <c r="B1633" i="66"/>
  <c r="B1634" i="66"/>
  <c r="B1635" i="66"/>
  <c r="B1636" i="66"/>
  <c r="B1637" i="66"/>
  <c r="B1638" i="66"/>
  <c r="B1639" i="66"/>
  <c r="B1640" i="66"/>
  <c r="B1641" i="66"/>
  <c r="B1642" i="66"/>
  <c r="B1643" i="66"/>
  <c r="B1644" i="66"/>
  <c r="C1644" i="66" s="1"/>
  <c r="B1645" i="66"/>
  <c r="B1646" i="66"/>
  <c r="B1647" i="66"/>
  <c r="B1648" i="66"/>
  <c r="B1649" i="66"/>
  <c r="B1650" i="66"/>
  <c r="B1651" i="66"/>
  <c r="B1652" i="66"/>
  <c r="B1653" i="66"/>
  <c r="B1654" i="66"/>
  <c r="B1655" i="66"/>
  <c r="B1656" i="66"/>
  <c r="B1657" i="66"/>
  <c r="C1657" i="66" s="1"/>
  <c r="B1658" i="66"/>
  <c r="C1658" i="66" s="1"/>
  <c r="B1659" i="66"/>
  <c r="B1660" i="66"/>
  <c r="B1661" i="66"/>
  <c r="B1662" i="66"/>
  <c r="B1663" i="66"/>
  <c r="B1664" i="66"/>
  <c r="B1665" i="66"/>
  <c r="B1666" i="66"/>
  <c r="B1667" i="66"/>
  <c r="B1668" i="66"/>
  <c r="B1669" i="66"/>
  <c r="C1669" i="66" s="1"/>
  <c r="B1670" i="66"/>
  <c r="C1670" i="66" s="1"/>
  <c r="B1671" i="66"/>
  <c r="C1671" i="66" s="1"/>
  <c r="B1672" i="66"/>
  <c r="C1672" i="66" s="1"/>
  <c r="B1673" i="66"/>
  <c r="B1674" i="66"/>
  <c r="B1675" i="66"/>
  <c r="B1676" i="66"/>
  <c r="B1677" i="66"/>
  <c r="B1678" i="66"/>
  <c r="B1679" i="66"/>
  <c r="C1679" i="66" s="1"/>
  <c r="B1680" i="66"/>
  <c r="C1680" i="66" s="1"/>
  <c r="B1681" i="66"/>
  <c r="C1681" i="66" s="1"/>
  <c r="B1682" i="66"/>
  <c r="B1683" i="66"/>
  <c r="B1684" i="66"/>
  <c r="C1684" i="66" s="1"/>
  <c r="B1685" i="66"/>
  <c r="C1685" i="66" s="1"/>
  <c r="B1686" i="66"/>
  <c r="C1686" i="66" s="1"/>
  <c r="B1687" i="66"/>
  <c r="C1687" i="66" s="1"/>
  <c r="B1688" i="66"/>
  <c r="C1688" i="66" s="1"/>
  <c r="B1689" i="66"/>
  <c r="B1690" i="66"/>
  <c r="B1691" i="66"/>
  <c r="C1691" i="66" s="1"/>
  <c r="B1692" i="66"/>
  <c r="C1692" i="66" s="1"/>
  <c r="B1693" i="66"/>
  <c r="C1693" i="66" s="1"/>
  <c r="B1694" i="66"/>
  <c r="B1695" i="66"/>
  <c r="B1696" i="66"/>
  <c r="B1697" i="66"/>
  <c r="B1698" i="66"/>
  <c r="B1699" i="66"/>
  <c r="B1700" i="66"/>
  <c r="B1701" i="66"/>
  <c r="B1702" i="66"/>
  <c r="B1703" i="66"/>
  <c r="C1703" i="66" s="1"/>
  <c r="B1704" i="66"/>
  <c r="C1704" i="66" s="1"/>
  <c r="B1705" i="66"/>
  <c r="C1705" i="66" s="1"/>
  <c r="B1706" i="66"/>
  <c r="C1706" i="66" s="1"/>
  <c r="B1707" i="66"/>
  <c r="C1707" i="66" s="1"/>
  <c r="B1708" i="66"/>
  <c r="C1708" i="66" s="1"/>
  <c r="B1709" i="66"/>
  <c r="C1709" i="66" s="1"/>
  <c r="B1710" i="66"/>
  <c r="C1710" i="66" s="1"/>
  <c r="B1711" i="66"/>
  <c r="C1711" i="66" s="1"/>
  <c r="B1712" i="66"/>
  <c r="C1712" i="66" s="1"/>
  <c r="B1713" i="66"/>
  <c r="B1714" i="66"/>
  <c r="B1715" i="66"/>
  <c r="B1716" i="66"/>
  <c r="B1717" i="66"/>
  <c r="B1718" i="66"/>
  <c r="B1719" i="66"/>
  <c r="B1720" i="66"/>
  <c r="B1721" i="66"/>
  <c r="B1722" i="66"/>
  <c r="C1722" i="66" s="1"/>
  <c r="B1723" i="66"/>
  <c r="C1723" i="66" s="1"/>
  <c r="B1724" i="66"/>
  <c r="B1725" i="66"/>
  <c r="B1726" i="66"/>
  <c r="C1726" i="66" s="1"/>
  <c r="B1727" i="66"/>
  <c r="C1727" i="66" s="1"/>
  <c r="B1728" i="66"/>
  <c r="C1728" i="66" s="1"/>
  <c r="B1729" i="66"/>
  <c r="C1729" i="66" s="1"/>
  <c r="B1730" i="66"/>
  <c r="C1730" i="66" s="1"/>
  <c r="B1731" i="66"/>
  <c r="C1731" i="66" s="1"/>
  <c r="B1732" i="66"/>
  <c r="B1733" i="66"/>
  <c r="B1734" i="66"/>
  <c r="B1735" i="66"/>
  <c r="B1736" i="66"/>
  <c r="B1737" i="66"/>
  <c r="B1738" i="66"/>
  <c r="B1739" i="66"/>
  <c r="B1740" i="66"/>
  <c r="B1741" i="66"/>
  <c r="B1742" i="66"/>
  <c r="B1743" i="66"/>
  <c r="B1744" i="66"/>
  <c r="B1745" i="66"/>
  <c r="C1745" i="66" s="1"/>
  <c r="B1746" i="66"/>
  <c r="C1746" i="66" s="1"/>
  <c r="B1747" i="66"/>
  <c r="B1748" i="66"/>
  <c r="B1749" i="66"/>
  <c r="C1749" i="66" s="1"/>
  <c r="B1750" i="66"/>
  <c r="C1750" i="66" s="1"/>
  <c r="B1751" i="66"/>
  <c r="B1752" i="66"/>
  <c r="C1752" i="66" s="1"/>
  <c r="B1753" i="66"/>
  <c r="C1753" i="66" s="1"/>
  <c r="B1754" i="66"/>
  <c r="C1754" i="66" s="1"/>
  <c r="B1755" i="66"/>
  <c r="C1755" i="66" s="1"/>
  <c r="B1756" i="66"/>
  <c r="B1757" i="66"/>
  <c r="B1758" i="66"/>
  <c r="C1758" i="66" s="1"/>
  <c r="B1759" i="66"/>
  <c r="C1759" i="66" s="1"/>
  <c r="B1760" i="66"/>
  <c r="C1760" i="66" s="1"/>
  <c r="B1761" i="66"/>
  <c r="C1761" i="66" s="1"/>
  <c r="B1762" i="66"/>
  <c r="C1762" i="66" s="1"/>
  <c r="B1763" i="66"/>
  <c r="C1763" i="66" s="1"/>
  <c r="B1764" i="66"/>
  <c r="C1764" i="66" s="1"/>
  <c r="B1765" i="66"/>
  <c r="B1766" i="66"/>
  <c r="B1767" i="66"/>
  <c r="B1768" i="66"/>
  <c r="B1769" i="66"/>
  <c r="C1769" i="66" s="1"/>
  <c r="B1770" i="66"/>
  <c r="C1770" i="66" s="1"/>
  <c r="B1771" i="66"/>
  <c r="C1771" i="66" s="1"/>
  <c r="B1772" i="66"/>
  <c r="C1772" i="66" s="1"/>
  <c r="B1773" i="66"/>
  <c r="C1773" i="66" s="1"/>
  <c r="B1774" i="66"/>
  <c r="C1774" i="66" s="1"/>
  <c r="B1775" i="66"/>
  <c r="B1776" i="66"/>
  <c r="B1777" i="66"/>
  <c r="B1778" i="66"/>
  <c r="B1779" i="66"/>
  <c r="B1780" i="66"/>
  <c r="B1781" i="66"/>
  <c r="B1782" i="66"/>
  <c r="B1783" i="66"/>
  <c r="B1784" i="66"/>
  <c r="B1785" i="66"/>
  <c r="B1786" i="66"/>
  <c r="B1787" i="66"/>
  <c r="B1788" i="66"/>
  <c r="B1789" i="66"/>
  <c r="B1790" i="66"/>
  <c r="B1791" i="66"/>
  <c r="B1792" i="66"/>
  <c r="B1793" i="66"/>
  <c r="B1794" i="66"/>
  <c r="B1795" i="66"/>
  <c r="B1796" i="66"/>
  <c r="B1797" i="66"/>
  <c r="B1798" i="66"/>
  <c r="B1799" i="66"/>
  <c r="B1800" i="66"/>
  <c r="B1801" i="66"/>
  <c r="C1801" i="66" s="1"/>
  <c r="B1802" i="66"/>
  <c r="C1802" i="66" s="1"/>
  <c r="B1803" i="66"/>
  <c r="B1804" i="66"/>
  <c r="C1804" i="66" s="1"/>
  <c r="B1805" i="66"/>
  <c r="C1805" i="66" s="1"/>
  <c r="B1806" i="66"/>
  <c r="C1806" i="66" s="1"/>
  <c r="B1807" i="66"/>
  <c r="B1808" i="66"/>
  <c r="C1808" i="66" s="1"/>
  <c r="B1809" i="66"/>
  <c r="C1809" i="66" s="1"/>
  <c r="B1810" i="66"/>
  <c r="C1810" i="66" s="1"/>
  <c r="B1811" i="66"/>
  <c r="B1812" i="66"/>
  <c r="B1813" i="66"/>
  <c r="C1813" i="66" s="1"/>
  <c r="B1814" i="66"/>
  <c r="C1814" i="66" s="1"/>
  <c r="B1815" i="66"/>
  <c r="C1815" i="66" s="1"/>
  <c r="B1816" i="66"/>
  <c r="C1816" i="66" s="1"/>
  <c r="B1817" i="66"/>
  <c r="C1817" i="66" s="1"/>
  <c r="B1818" i="66"/>
  <c r="C1818" i="66" s="1"/>
  <c r="B1819" i="66"/>
  <c r="B1820" i="66"/>
  <c r="B1821" i="66"/>
  <c r="B1822" i="66"/>
  <c r="B1823" i="66"/>
  <c r="B1824" i="66"/>
  <c r="B1825" i="66"/>
  <c r="B1826" i="66"/>
  <c r="B1827" i="66"/>
  <c r="C1827" i="66" s="1"/>
  <c r="B1828" i="66"/>
  <c r="B1829" i="66"/>
  <c r="B1830" i="66"/>
  <c r="B1831" i="66"/>
  <c r="B1832" i="66"/>
  <c r="B1833" i="66"/>
  <c r="B1834" i="66"/>
  <c r="B1564" i="66"/>
  <c r="C1564" i="66" s="1"/>
  <c r="B1404" i="66"/>
  <c r="C1404" i="66" s="1"/>
  <c r="B1405" i="66"/>
  <c r="B1406" i="66"/>
  <c r="B1407" i="66"/>
  <c r="B1408" i="66"/>
  <c r="B1409" i="66"/>
  <c r="B1410" i="66"/>
  <c r="C1410" i="66" s="1"/>
  <c r="B1411" i="66"/>
  <c r="C1411" i="66" s="1"/>
  <c r="B1412" i="66"/>
  <c r="C1412" i="66" s="1"/>
  <c r="B1413" i="66"/>
  <c r="C1413" i="66" s="1"/>
  <c r="B1414" i="66"/>
  <c r="C1414" i="66" s="1"/>
  <c r="B1415" i="66"/>
  <c r="C1415" i="66" s="1"/>
  <c r="B1416" i="66"/>
  <c r="C1416" i="66" s="1"/>
  <c r="B1417" i="66"/>
  <c r="C1417" i="66" s="1"/>
  <c r="B1418" i="66"/>
  <c r="C1418" i="66" s="1"/>
  <c r="B1419" i="66"/>
  <c r="C1419" i="66" s="1"/>
  <c r="B1420" i="66"/>
  <c r="C1420" i="66" s="1"/>
  <c r="B1421" i="66"/>
  <c r="C1421" i="66" s="1"/>
  <c r="B1422" i="66"/>
  <c r="C1422" i="66" s="1"/>
  <c r="B1423" i="66"/>
  <c r="C1423" i="66" s="1"/>
  <c r="B1424" i="66"/>
  <c r="C1424" i="66" s="1"/>
  <c r="B1425" i="66"/>
  <c r="C1425" i="66" s="1"/>
  <c r="B1426" i="66"/>
  <c r="C1426" i="66" s="1"/>
  <c r="B1427" i="66"/>
  <c r="C1427" i="66" s="1"/>
  <c r="B1428" i="66"/>
  <c r="C1428" i="66" s="1"/>
  <c r="B1429" i="66"/>
  <c r="C1429" i="66" s="1"/>
  <c r="B1430" i="66"/>
  <c r="C1430" i="66" s="1"/>
  <c r="B1431" i="66"/>
  <c r="C1431" i="66" s="1"/>
  <c r="B1432" i="66"/>
  <c r="C1432" i="66" s="1"/>
  <c r="B1433" i="66"/>
  <c r="C1433" i="66" s="1"/>
  <c r="B1434" i="66"/>
  <c r="C1434" i="66" s="1"/>
  <c r="B1435" i="66"/>
  <c r="C1435" i="66" s="1"/>
  <c r="B1436" i="66"/>
  <c r="C1436" i="66" s="1"/>
  <c r="B1437" i="66"/>
  <c r="C1437" i="66" s="1"/>
  <c r="B1438" i="66"/>
  <c r="B1439" i="66"/>
  <c r="B1440" i="66"/>
  <c r="C1440" i="66" s="1"/>
  <c r="B1441" i="66"/>
  <c r="C1441" i="66" s="1"/>
  <c r="B1442" i="66"/>
  <c r="C1442" i="66" s="1"/>
  <c r="B1443" i="66"/>
  <c r="C1443" i="66" s="1"/>
  <c r="B1444" i="66"/>
  <c r="C1444" i="66" s="1"/>
  <c r="B1445" i="66"/>
  <c r="C1445" i="66" s="1"/>
  <c r="B1446" i="66"/>
  <c r="C1446" i="66" s="1"/>
  <c r="B1447" i="66"/>
  <c r="B1448" i="66"/>
  <c r="C1448" i="66" s="1"/>
  <c r="B1449" i="66"/>
  <c r="C1449" i="66" s="1"/>
  <c r="B1450" i="66"/>
  <c r="C1450" i="66" s="1"/>
  <c r="B1451" i="66"/>
  <c r="C1451" i="66" s="1"/>
  <c r="B1452" i="66"/>
  <c r="C1452" i="66" s="1"/>
  <c r="B1453" i="66"/>
  <c r="C1453" i="66" s="1"/>
  <c r="B1454" i="66"/>
  <c r="C1454" i="66" s="1"/>
  <c r="B1455" i="66"/>
  <c r="C1455" i="66" s="1"/>
  <c r="B1456" i="66"/>
  <c r="C1456" i="66" s="1"/>
  <c r="B1457" i="66"/>
  <c r="C1457" i="66" s="1"/>
  <c r="B1458" i="66"/>
  <c r="C1458" i="66" s="1"/>
  <c r="B1459" i="66"/>
  <c r="C1459" i="66" s="1"/>
  <c r="B1460" i="66"/>
  <c r="C1460" i="66" s="1"/>
  <c r="B1461" i="66"/>
  <c r="C1461" i="66" s="1"/>
  <c r="B1462" i="66"/>
  <c r="C1462" i="66" s="1"/>
  <c r="B1463" i="66"/>
  <c r="C1463" i="66" s="1"/>
  <c r="B1464" i="66"/>
  <c r="B1465" i="66"/>
  <c r="B1466" i="66"/>
  <c r="B1467" i="66"/>
  <c r="C1467" i="66" s="1"/>
  <c r="B1468" i="66"/>
  <c r="C1468" i="66" s="1"/>
  <c r="B1469" i="66"/>
  <c r="C1469" i="66" s="1"/>
  <c r="B1470" i="66"/>
  <c r="C1470" i="66" s="1"/>
  <c r="B1471" i="66"/>
  <c r="C1471" i="66" s="1"/>
  <c r="B1472" i="66"/>
  <c r="B1473" i="66"/>
  <c r="B1474" i="66"/>
  <c r="C1474" i="66" s="1"/>
  <c r="B1475" i="66"/>
  <c r="B1476" i="66"/>
  <c r="B1477" i="66"/>
  <c r="C1477" i="66" s="1"/>
  <c r="B1478" i="66"/>
  <c r="C1478" i="66" s="1"/>
  <c r="B1479" i="66"/>
  <c r="C1479" i="66" s="1"/>
  <c r="B1480" i="66"/>
  <c r="C1480" i="66" s="1"/>
  <c r="B1481" i="66"/>
  <c r="C1481" i="66" s="1"/>
  <c r="B1482" i="66"/>
  <c r="C1482" i="66" s="1"/>
  <c r="B1483" i="66"/>
  <c r="C1483" i="66" s="1"/>
  <c r="B1484" i="66"/>
  <c r="C1484" i="66" s="1"/>
  <c r="B1485" i="66"/>
  <c r="C1485" i="66" s="1"/>
  <c r="B1486" i="66"/>
  <c r="C1486" i="66" s="1"/>
  <c r="B1487" i="66"/>
  <c r="C1487" i="66" s="1"/>
  <c r="B1488" i="66"/>
  <c r="C1488" i="66" s="1"/>
  <c r="B1489" i="66"/>
  <c r="C1489" i="66" s="1"/>
  <c r="B1490" i="66"/>
  <c r="C1490" i="66" s="1"/>
  <c r="B1491" i="66"/>
  <c r="C1491" i="66" s="1"/>
  <c r="B1492" i="66"/>
  <c r="C1492" i="66" s="1"/>
  <c r="B1493" i="66"/>
  <c r="C1493" i="66" s="1"/>
  <c r="B1494" i="66"/>
  <c r="C1494" i="66" s="1"/>
  <c r="B1495" i="66"/>
  <c r="B1496" i="66"/>
  <c r="B1497" i="66"/>
  <c r="B1498" i="66"/>
  <c r="B1499" i="66"/>
  <c r="B1500" i="66"/>
  <c r="C1500" i="66" s="1"/>
  <c r="B1501" i="66"/>
  <c r="C1501" i="66" s="1"/>
  <c r="B1502" i="66"/>
  <c r="C1502" i="66" s="1"/>
  <c r="B1503" i="66"/>
  <c r="C1503" i="66" s="1"/>
  <c r="B1504" i="66"/>
  <c r="B1505" i="66"/>
  <c r="B1506" i="66"/>
  <c r="B1507" i="66"/>
  <c r="B1508" i="66"/>
  <c r="B1509" i="66"/>
  <c r="C1509" i="66" s="1"/>
  <c r="B1510" i="66"/>
  <c r="B1511" i="66"/>
  <c r="B1512" i="66"/>
  <c r="B1513" i="66"/>
  <c r="B1514" i="66"/>
  <c r="B1515" i="66"/>
  <c r="C1515" i="66" s="1"/>
  <c r="B1516" i="66"/>
  <c r="C1516" i="66" s="1"/>
  <c r="B1517" i="66"/>
  <c r="B1518" i="66"/>
  <c r="B1519" i="66"/>
  <c r="B1520" i="66"/>
  <c r="B1521" i="66"/>
  <c r="B1522" i="66"/>
  <c r="C1522" i="66" s="1"/>
  <c r="B1523" i="66"/>
  <c r="C1523" i="66" s="1"/>
  <c r="B1524" i="66"/>
  <c r="C1524" i="66" s="1"/>
  <c r="B1525" i="66"/>
  <c r="C1525" i="66" s="1"/>
  <c r="B1526" i="66"/>
  <c r="C1526" i="66" s="1"/>
  <c r="B1527" i="66"/>
  <c r="C1527" i="66" s="1"/>
  <c r="B1528" i="66"/>
  <c r="C1528" i="66" s="1"/>
  <c r="B1529" i="66"/>
  <c r="C1529" i="66" s="1"/>
  <c r="B1530" i="66"/>
  <c r="C1530" i="66" s="1"/>
  <c r="B1531" i="66"/>
  <c r="C1531" i="66" s="1"/>
  <c r="B1532" i="66"/>
  <c r="B1533" i="66"/>
  <c r="B1534" i="66"/>
  <c r="B1535" i="66"/>
  <c r="B1536" i="66"/>
  <c r="B1537" i="66"/>
  <c r="B1538" i="66"/>
  <c r="B1539" i="66"/>
  <c r="B1540" i="66"/>
  <c r="C1540" i="66" s="1"/>
  <c r="B1541" i="66"/>
  <c r="B1542" i="66"/>
  <c r="B1543" i="66"/>
  <c r="C1543" i="66" s="1"/>
  <c r="B1544" i="66"/>
  <c r="C1544" i="66" s="1"/>
  <c r="B1545" i="66"/>
  <c r="C1545" i="66" s="1"/>
  <c r="B1546" i="66"/>
  <c r="C1546" i="66" s="1"/>
  <c r="B1547" i="66"/>
  <c r="C1547" i="66" s="1"/>
  <c r="B1548" i="66"/>
  <c r="B1549" i="66"/>
  <c r="B1550" i="66"/>
  <c r="B1551" i="66"/>
  <c r="B1552" i="66"/>
  <c r="B1553" i="66"/>
  <c r="B1554" i="66"/>
  <c r="C1554" i="66" s="1"/>
  <c r="B1555" i="66"/>
  <c r="C1555" i="66" s="1"/>
  <c r="B1556" i="66"/>
  <c r="B1557" i="66"/>
  <c r="B1558" i="66"/>
  <c r="B1559" i="66"/>
  <c r="B1560" i="66"/>
  <c r="B1561" i="66"/>
  <c r="B1562" i="66"/>
  <c r="B1563" i="66"/>
  <c r="B1403" i="66"/>
  <c r="C1403" i="66" s="1"/>
  <c r="B773" i="66"/>
  <c r="C773" i="66" s="1"/>
  <c r="B774" i="66"/>
  <c r="C774" i="66" s="1"/>
  <c r="B775" i="66"/>
  <c r="C775" i="66" s="1"/>
  <c r="B776" i="66"/>
  <c r="C776" i="66" s="1"/>
  <c r="B780" i="66"/>
  <c r="B781" i="66"/>
  <c r="B782" i="66"/>
  <c r="B783" i="66"/>
  <c r="B784" i="66"/>
  <c r="B785" i="66"/>
  <c r="B786" i="66"/>
  <c r="B787" i="66"/>
  <c r="B788" i="66"/>
  <c r="B789" i="66"/>
  <c r="B790" i="66"/>
  <c r="B791" i="66"/>
  <c r="B792" i="66"/>
  <c r="B793" i="66"/>
  <c r="B794" i="66"/>
  <c r="B795" i="66"/>
  <c r="B796" i="66"/>
  <c r="C796" i="66" s="1"/>
  <c r="B797" i="66"/>
  <c r="C797" i="66" s="1"/>
  <c r="B798" i="66"/>
  <c r="C798" i="66" s="1"/>
  <c r="B799" i="66"/>
  <c r="C799" i="66" s="1"/>
  <c r="B800" i="66"/>
  <c r="C800" i="66" s="1"/>
  <c r="B801" i="66"/>
  <c r="B802" i="66"/>
  <c r="B803" i="66"/>
  <c r="B804" i="66"/>
  <c r="B805" i="66"/>
  <c r="B806" i="66"/>
  <c r="B807" i="66"/>
  <c r="B808" i="66"/>
  <c r="B809" i="66"/>
  <c r="B810" i="66"/>
  <c r="B811" i="66"/>
  <c r="B812" i="66"/>
  <c r="B813" i="66"/>
  <c r="B814" i="66"/>
  <c r="B815" i="66"/>
  <c r="B816" i="66"/>
  <c r="B817" i="66"/>
  <c r="B818" i="66"/>
  <c r="B819" i="66"/>
  <c r="B820" i="66"/>
  <c r="B821" i="66"/>
  <c r="B822" i="66"/>
  <c r="B823" i="66"/>
  <c r="C823" i="66" s="1"/>
  <c r="B824" i="66"/>
  <c r="C824" i="66" s="1"/>
  <c r="B825" i="66"/>
  <c r="C825" i="66" s="1"/>
  <c r="B826" i="66"/>
  <c r="C826" i="66" s="1"/>
  <c r="B827" i="66"/>
  <c r="C827" i="66" s="1"/>
  <c r="B828" i="66"/>
  <c r="C828" i="66" s="1"/>
  <c r="B829" i="66"/>
  <c r="C829" i="66" s="1"/>
  <c r="B830" i="66"/>
  <c r="C830" i="66" s="1"/>
  <c r="B831" i="66"/>
  <c r="C831" i="66" s="1"/>
  <c r="B832" i="66"/>
  <c r="C832" i="66" s="1"/>
  <c r="B833" i="66"/>
  <c r="C833" i="66" s="1"/>
  <c r="B834" i="66"/>
  <c r="C834" i="66" s="1"/>
  <c r="B835" i="66"/>
  <c r="B836" i="66"/>
  <c r="B837" i="66"/>
  <c r="B838" i="66"/>
  <c r="B839" i="66"/>
  <c r="B840" i="66"/>
  <c r="B841" i="66"/>
  <c r="B842" i="66"/>
  <c r="B843" i="66"/>
  <c r="C843" i="66" s="1"/>
  <c r="B844" i="66"/>
  <c r="C844" i="66" s="1"/>
  <c r="B845" i="66"/>
  <c r="C845" i="66" s="1"/>
  <c r="B846" i="66"/>
  <c r="C846" i="66" s="1"/>
  <c r="B847" i="66"/>
  <c r="C847" i="66" s="1"/>
  <c r="B848" i="66"/>
  <c r="C848" i="66" s="1"/>
  <c r="B849" i="66"/>
  <c r="C849" i="66" s="1"/>
  <c r="B850" i="66"/>
  <c r="C850" i="66" s="1"/>
  <c r="B851" i="66"/>
  <c r="C851" i="66" s="1"/>
  <c r="B852" i="66"/>
  <c r="C852" i="66" s="1"/>
  <c r="B853" i="66"/>
  <c r="C853" i="66" s="1"/>
  <c r="B854" i="66"/>
  <c r="B855" i="66"/>
  <c r="B856" i="66"/>
  <c r="C856" i="66" s="1"/>
  <c r="B857" i="66"/>
  <c r="B858" i="66"/>
  <c r="C858" i="66" s="1"/>
  <c r="B859" i="66"/>
  <c r="C859" i="66" s="1"/>
  <c r="B860" i="66"/>
  <c r="C860" i="66" s="1"/>
  <c r="B861" i="66"/>
  <c r="C861" i="66" s="1"/>
  <c r="B862" i="66"/>
  <c r="C862" i="66" s="1"/>
  <c r="B863" i="66"/>
  <c r="C863" i="66" s="1"/>
  <c r="B864" i="66"/>
  <c r="C864" i="66" s="1"/>
  <c r="B865" i="66"/>
  <c r="C865" i="66" s="1"/>
  <c r="B866" i="66"/>
  <c r="C866" i="66" s="1"/>
  <c r="B867" i="66"/>
  <c r="C867" i="66" s="1"/>
  <c r="B868" i="66"/>
  <c r="C868" i="66" s="1"/>
  <c r="B869" i="66"/>
  <c r="C869" i="66" s="1"/>
  <c r="B870" i="66"/>
  <c r="C870" i="66" s="1"/>
  <c r="B871" i="66"/>
  <c r="C871" i="66" s="1"/>
  <c r="B872" i="66"/>
  <c r="C872" i="66" s="1"/>
  <c r="B873" i="66"/>
  <c r="C873" i="66" s="1"/>
  <c r="B874" i="66"/>
  <c r="C874" i="66" s="1"/>
  <c r="B875" i="66"/>
  <c r="C875" i="66" s="1"/>
  <c r="B876" i="66"/>
  <c r="C876" i="66" s="1"/>
  <c r="B877" i="66"/>
  <c r="C877" i="66" s="1"/>
  <c r="B878" i="66"/>
  <c r="C878" i="66" s="1"/>
  <c r="B879" i="66"/>
  <c r="C879" i="66" s="1"/>
  <c r="B880" i="66"/>
  <c r="C880" i="66" s="1"/>
  <c r="B881" i="66"/>
  <c r="B882" i="66"/>
  <c r="B883" i="66"/>
  <c r="B884" i="66"/>
  <c r="B885" i="66"/>
  <c r="B886" i="66"/>
  <c r="B887" i="66"/>
  <c r="B888" i="66"/>
  <c r="B889" i="66"/>
  <c r="B890" i="66"/>
  <c r="B891" i="66"/>
  <c r="B892" i="66"/>
  <c r="B893" i="66"/>
  <c r="B894" i="66"/>
  <c r="B895" i="66"/>
  <c r="B896" i="66"/>
  <c r="B897" i="66"/>
  <c r="B898" i="66"/>
  <c r="C898" i="66" s="1"/>
  <c r="B899" i="66"/>
  <c r="C899" i="66" s="1"/>
  <c r="B900" i="66"/>
  <c r="C900" i="66" s="1"/>
  <c r="B901" i="66"/>
  <c r="B902" i="66"/>
  <c r="C902" i="66" s="1"/>
  <c r="B903" i="66"/>
  <c r="C903" i="66" s="1"/>
  <c r="B904" i="66"/>
  <c r="C904" i="66" s="1"/>
  <c r="B905" i="66"/>
  <c r="B906" i="66"/>
  <c r="B907" i="66"/>
  <c r="B908" i="66"/>
  <c r="B909" i="66"/>
  <c r="B910" i="66"/>
  <c r="B911" i="66"/>
  <c r="B912" i="66"/>
  <c r="B913" i="66"/>
  <c r="B914" i="66"/>
  <c r="B915" i="66"/>
  <c r="B916" i="66"/>
  <c r="C916" i="66" s="1"/>
  <c r="B917" i="66"/>
  <c r="C917" i="66" s="1"/>
  <c r="B918" i="66"/>
  <c r="C918" i="66" s="1"/>
  <c r="B919" i="66"/>
  <c r="B920" i="66"/>
  <c r="B921" i="66"/>
  <c r="C921" i="66" s="1"/>
  <c r="B922" i="66"/>
  <c r="B923" i="66"/>
  <c r="B924" i="66"/>
  <c r="B925" i="66"/>
  <c r="B926" i="66"/>
  <c r="C926" i="66" s="1"/>
  <c r="B927" i="66"/>
  <c r="C927" i="66" s="1"/>
  <c r="B928" i="66"/>
  <c r="C928" i="66" s="1"/>
  <c r="B929" i="66"/>
  <c r="C929" i="66" s="1"/>
  <c r="B930" i="66"/>
  <c r="C930" i="66" s="1"/>
  <c r="B931" i="66"/>
  <c r="C931" i="66" s="1"/>
  <c r="B932" i="66"/>
  <c r="C932" i="66" s="1"/>
  <c r="B933" i="66"/>
  <c r="C933" i="66" s="1"/>
  <c r="B934" i="66"/>
  <c r="C934" i="66" s="1"/>
  <c r="B935" i="66"/>
  <c r="C935" i="66" s="1"/>
  <c r="B936" i="66"/>
  <c r="B937" i="66"/>
  <c r="B938" i="66"/>
  <c r="C938" i="66" s="1"/>
  <c r="B939" i="66"/>
  <c r="B943" i="66"/>
  <c r="B944" i="66"/>
  <c r="B945" i="66"/>
  <c r="B946" i="66"/>
  <c r="B947" i="66"/>
  <c r="B948" i="66"/>
  <c r="B949" i="66"/>
  <c r="B950" i="66"/>
  <c r="B951" i="66"/>
  <c r="C951" i="66" s="1"/>
  <c r="B952" i="66"/>
  <c r="B953" i="66"/>
  <c r="B954" i="66"/>
  <c r="B955" i="66"/>
  <c r="B956" i="66"/>
  <c r="B957" i="66"/>
  <c r="B958" i="66"/>
  <c r="B959" i="66"/>
  <c r="B960" i="66"/>
  <c r="B961" i="66"/>
  <c r="B962" i="66"/>
  <c r="B963" i="66"/>
  <c r="B964" i="66"/>
  <c r="B965" i="66"/>
  <c r="B966" i="66"/>
  <c r="B967" i="66"/>
  <c r="C967" i="66" s="1"/>
  <c r="B968" i="66"/>
  <c r="B969" i="66"/>
  <c r="B970" i="66"/>
  <c r="B971" i="66"/>
  <c r="B972" i="66"/>
  <c r="B973" i="66"/>
  <c r="B974" i="66"/>
  <c r="B975" i="66"/>
  <c r="B976" i="66"/>
  <c r="B977" i="66"/>
  <c r="B978" i="66"/>
  <c r="B979" i="66"/>
  <c r="B980" i="66"/>
  <c r="B981" i="66"/>
  <c r="C981" i="66" s="1"/>
  <c r="B982" i="66"/>
  <c r="C982" i="66" s="1"/>
  <c r="B983" i="66"/>
  <c r="C983" i="66" s="1"/>
  <c r="B984" i="66"/>
  <c r="B985" i="66"/>
  <c r="B986" i="66"/>
  <c r="B987" i="66"/>
  <c r="B988" i="66"/>
  <c r="B989" i="66"/>
  <c r="B990" i="66"/>
  <c r="B991" i="66"/>
  <c r="B992" i="66"/>
  <c r="B993" i="66"/>
  <c r="C993" i="66" s="1"/>
  <c r="B994" i="66"/>
  <c r="C994" i="66" s="1"/>
  <c r="B995" i="66"/>
  <c r="C995" i="66" s="1"/>
  <c r="B996" i="66"/>
  <c r="C996" i="66" s="1"/>
  <c r="B997" i="66"/>
  <c r="C997" i="66" s="1"/>
  <c r="B998" i="66"/>
  <c r="C998" i="66" s="1"/>
  <c r="B999" i="66"/>
  <c r="C999" i="66" s="1"/>
  <c r="B1000" i="66"/>
  <c r="C1000" i="66" s="1"/>
  <c r="B1001" i="66"/>
  <c r="C1001" i="66" s="1"/>
  <c r="B1002" i="66"/>
  <c r="C1002" i="66" s="1"/>
  <c r="B1003" i="66"/>
  <c r="C1003" i="66" s="1"/>
  <c r="B1004" i="66"/>
  <c r="C1004" i="66" s="1"/>
  <c r="B1005" i="66"/>
  <c r="C1005" i="66" s="1"/>
  <c r="B1006" i="66"/>
  <c r="B1007" i="66"/>
  <c r="B1008" i="66"/>
  <c r="B1009" i="66"/>
  <c r="B1010" i="66"/>
  <c r="B1011" i="66"/>
  <c r="B1012" i="66"/>
  <c r="C1012" i="66" s="1"/>
  <c r="B1013" i="66"/>
  <c r="C1013" i="66" s="1"/>
  <c r="B1014" i="66"/>
  <c r="C1014" i="66" s="1"/>
  <c r="B1015" i="66"/>
  <c r="C1015" i="66" s="1"/>
  <c r="B1016" i="66"/>
  <c r="C1016" i="66" s="1"/>
  <c r="B1017" i="66"/>
  <c r="C1017" i="66" s="1"/>
  <c r="B1018" i="66"/>
  <c r="C1018" i="66" s="1"/>
  <c r="B1019" i="66"/>
  <c r="C1019" i="66" s="1"/>
  <c r="B1020" i="66"/>
  <c r="C1020" i="66" s="1"/>
  <c r="B1021" i="66"/>
  <c r="C1021" i="66" s="1"/>
  <c r="B1022" i="66"/>
  <c r="C1022" i="66" s="1"/>
  <c r="B1023" i="66"/>
  <c r="C1023" i="66" s="1"/>
  <c r="B1024" i="66"/>
  <c r="C1024" i="66" s="1"/>
  <c r="B1025" i="66"/>
  <c r="C1025" i="66" s="1"/>
  <c r="B1026" i="66"/>
  <c r="C1026" i="66" s="1"/>
  <c r="B1027" i="66"/>
  <c r="C1027" i="66" s="1"/>
  <c r="B1028" i="66"/>
  <c r="C1028" i="66" s="1"/>
  <c r="B1029" i="66"/>
  <c r="B1030" i="66"/>
  <c r="B1031" i="66"/>
  <c r="B1032" i="66"/>
  <c r="C1032" i="66" s="1"/>
  <c r="B1033" i="66"/>
  <c r="C1033" i="66" s="1"/>
  <c r="B1034" i="66"/>
  <c r="C1034" i="66" s="1"/>
  <c r="B1035" i="66"/>
  <c r="C1035" i="66" s="1"/>
  <c r="B1036" i="66"/>
  <c r="C1036" i="66" s="1"/>
  <c r="B1037" i="66"/>
  <c r="C1037" i="66" s="1"/>
  <c r="B1038" i="66"/>
  <c r="B1039" i="66"/>
  <c r="B1040" i="66"/>
  <c r="B1041" i="66"/>
  <c r="C1041" i="66" s="1"/>
  <c r="B1042" i="66"/>
  <c r="C1042" i="66" s="1"/>
  <c r="B1043" i="66"/>
  <c r="C1043" i="66" s="1"/>
  <c r="B1044" i="66"/>
  <c r="C1044" i="66" s="1"/>
  <c r="B1045" i="66"/>
  <c r="C1045" i="66" s="1"/>
  <c r="B1046" i="66"/>
  <c r="C1046" i="66" s="1"/>
  <c r="B1047" i="66"/>
  <c r="C1047" i="66" s="1"/>
  <c r="B1048" i="66"/>
  <c r="C1048" i="66" s="1"/>
  <c r="B1049" i="66"/>
  <c r="B1050" i="66"/>
  <c r="B1051" i="66"/>
  <c r="B1052" i="66"/>
  <c r="C1052" i="66" s="1"/>
  <c r="B1053" i="66"/>
  <c r="B1054" i="66"/>
  <c r="B1055" i="66"/>
  <c r="B1056" i="66"/>
  <c r="C1056" i="66" s="1"/>
  <c r="B1057" i="66"/>
  <c r="C1057" i="66" s="1"/>
  <c r="B1058" i="66"/>
  <c r="C1058" i="66" s="1"/>
  <c r="B1059" i="66"/>
  <c r="B1060" i="66"/>
  <c r="C1060" i="66" s="1"/>
  <c r="B1061" i="66"/>
  <c r="C1061" i="66" s="1"/>
  <c r="B1062" i="66"/>
  <c r="C1062" i="66" s="1"/>
  <c r="B1063" i="66"/>
  <c r="C1063" i="66" s="1"/>
  <c r="B1064" i="66"/>
  <c r="C1064" i="66" s="1"/>
  <c r="B1065" i="66"/>
  <c r="C1065" i="66" s="1"/>
  <c r="B1066" i="66"/>
  <c r="B1067" i="66"/>
  <c r="B1068" i="66"/>
  <c r="C1068" i="66" s="1"/>
  <c r="B1069" i="66"/>
  <c r="C1069" i="66" s="1"/>
  <c r="B1070" i="66"/>
  <c r="C1070" i="66" s="1"/>
  <c r="B1071" i="66"/>
  <c r="B1072" i="66"/>
  <c r="B1073" i="66"/>
  <c r="C1073" i="66" s="1"/>
  <c r="B1074" i="66"/>
  <c r="B1075" i="66"/>
  <c r="C1075" i="66" s="1"/>
  <c r="B1076" i="66"/>
  <c r="B1077" i="66"/>
  <c r="C1077" i="66" s="1"/>
  <c r="B1078" i="66"/>
  <c r="C1078" i="66" s="1"/>
  <c r="B1079" i="66"/>
  <c r="C1079" i="66" s="1"/>
  <c r="B1080" i="66"/>
  <c r="C1080" i="66" s="1"/>
  <c r="B1081" i="66"/>
  <c r="C1081" i="66" s="1"/>
  <c r="B1082" i="66"/>
  <c r="B1083" i="66"/>
  <c r="B1084" i="66"/>
  <c r="B1085" i="66"/>
  <c r="B1086" i="66"/>
  <c r="B1087" i="66"/>
  <c r="C1087" i="66" s="1"/>
  <c r="B1088" i="66"/>
  <c r="C1088" i="66" s="1"/>
  <c r="B1089" i="66"/>
  <c r="C1089" i="66" s="1"/>
  <c r="B1090" i="66"/>
  <c r="C1090" i="66" s="1"/>
  <c r="B1091" i="66"/>
  <c r="B1092" i="66"/>
  <c r="B1093" i="66"/>
  <c r="C1093" i="66" s="1"/>
  <c r="B1094" i="66"/>
  <c r="C1094" i="66" s="1"/>
  <c r="B1095" i="66"/>
  <c r="C1095" i="66" s="1"/>
  <c r="B1096" i="66"/>
  <c r="C1096" i="66" s="1"/>
  <c r="B1097" i="66"/>
  <c r="C1097" i="66" s="1"/>
  <c r="B1098" i="66"/>
  <c r="C1098" i="66" s="1"/>
  <c r="B1099" i="66"/>
  <c r="C1099" i="66" s="1"/>
  <c r="B1100" i="66"/>
  <c r="C1100" i="66" s="1"/>
  <c r="B1101" i="66"/>
  <c r="C1101" i="66" s="1"/>
  <c r="B1102" i="66"/>
  <c r="C1102" i="66" s="1"/>
  <c r="B1103" i="66"/>
  <c r="C1103" i="66" s="1"/>
  <c r="B1104" i="66"/>
  <c r="C1104" i="66" s="1"/>
  <c r="B1105" i="66"/>
  <c r="C1105" i="66" s="1"/>
  <c r="B1106" i="66"/>
  <c r="C1106" i="66" s="1"/>
  <c r="B1107" i="66"/>
  <c r="C1107" i="66" s="1"/>
  <c r="B1108" i="66"/>
  <c r="C1108" i="66" s="1"/>
  <c r="B1109" i="66"/>
  <c r="C1109" i="66" s="1"/>
  <c r="B1110" i="66"/>
  <c r="B1111" i="66"/>
  <c r="B1112" i="66"/>
  <c r="B1113" i="66"/>
  <c r="B1114" i="66"/>
  <c r="B1115" i="66"/>
  <c r="B1116" i="66"/>
  <c r="B1117" i="66"/>
  <c r="B1118" i="66"/>
  <c r="C1118" i="66" s="1"/>
  <c r="B1119" i="66"/>
  <c r="C1119" i="66" s="1"/>
  <c r="B1120" i="66"/>
  <c r="C1120" i="66" s="1"/>
  <c r="B1121" i="66"/>
  <c r="C1121" i="66" s="1"/>
  <c r="B1122" i="66"/>
  <c r="C1122" i="66" s="1"/>
  <c r="B1123" i="66"/>
  <c r="B1124" i="66"/>
  <c r="B1125" i="66"/>
  <c r="B1126" i="66"/>
  <c r="C1126" i="66" s="1"/>
  <c r="B1127" i="66"/>
  <c r="C1127" i="66" s="1"/>
  <c r="B1128" i="66"/>
  <c r="C1128" i="66" s="1"/>
  <c r="B1129" i="66"/>
  <c r="C1129" i="66" s="1"/>
  <c r="B1130" i="66"/>
  <c r="C1130" i="66" s="1"/>
  <c r="B1131" i="66"/>
  <c r="C1131" i="66" s="1"/>
  <c r="B1132" i="66"/>
  <c r="B1133" i="66"/>
  <c r="C1133" i="66" s="1"/>
  <c r="B1134" i="66"/>
  <c r="C1134" i="66" s="1"/>
  <c r="B1135" i="66"/>
  <c r="C1135" i="66" s="1"/>
  <c r="B1136" i="66"/>
  <c r="C1136" i="66" s="1"/>
  <c r="B1137" i="66"/>
  <c r="B1138" i="66"/>
  <c r="B1139" i="66"/>
  <c r="B1140" i="66"/>
  <c r="C1140" i="66" s="1"/>
  <c r="B1141" i="66"/>
  <c r="C1141" i="66" s="1"/>
  <c r="B1142" i="66"/>
  <c r="C1142" i="66" s="1"/>
  <c r="B1143" i="66"/>
  <c r="C1143" i="66" s="1"/>
  <c r="B1144" i="66"/>
  <c r="C1144" i="66" s="1"/>
  <c r="B1145" i="66"/>
  <c r="C1145" i="66" s="1"/>
  <c r="B1146" i="66"/>
  <c r="C1146" i="66" s="1"/>
  <c r="B1147" i="66"/>
  <c r="C1147" i="66" s="1"/>
  <c r="B1148" i="66"/>
  <c r="C1148" i="66" s="1"/>
  <c r="B1149" i="66"/>
  <c r="C1149" i="66" s="1"/>
  <c r="B1150" i="66"/>
  <c r="C1150" i="66" s="1"/>
  <c r="B1151" i="66"/>
  <c r="C1151" i="66" s="1"/>
  <c r="B1152" i="66"/>
  <c r="C1152" i="66" s="1"/>
  <c r="B1153" i="66"/>
  <c r="C1153" i="66" s="1"/>
  <c r="B1154" i="66"/>
  <c r="C1154" i="66" s="1"/>
  <c r="B1155" i="66"/>
  <c r="C1155" i="66" s="1"/>
  <c r="B1156" i="66"/>
  <c r="C1156" i="66" s="1"/>
  <c r="B1157" i="66"/>
  <c r="C1157" i="66" s="1"/>
  <c r="B1158" i="66"/>
  <c r="C1158" i="66" s="1"/>
  <c r="B1159" i="66"/>
  <c r="C1159" i="66" s="1"/>
  <c r="B1160" i="66"/>
  <c r="C1160" i="66" s="1"/>
  <c r="B1161" i="66"/>
  <c r="C1161" i="66" s="1"/>
  <c r="B1162" i="66"/>
  <c r="C1162" i="66" s="1"/>
  <c r="B1163" i="66"/>
  <c r="C1163" i="66" s="1"/>
  <c r="B1164" i="66"/>
  <c r="C1164" i="66" s="1"/>
  <c r="B1165" i="66"/>
  <c r="C1165" i="66" s="1"/>
  <c r="B1166" i="66"/>
  <c r="B1167" i="66"/>
  <c r="B1168" i="66"/>
  <c r="B1169" i="66"/>
  <c r="B1170" i="66"/>
  <c r="C1170" i="66" s="1"/>
  <c r="B1171" i="66"/>
  <c r="C1171" i="66" s="1"/>
  <c r="B1172" i="66"/>
  <c r="C1172" i="66" s="1"/>
  <c r="B1173" i="66"/>
  <c r="C1173" i="66" s="1"/>
  <c r="B1174" i="66"/>
  <c r="C1174" i="66" s="1"/>
  <c r="B1175" i="66"/>
  <c r="C1175" i="66" s="1"/>
  <c r="B1176" i="66"/>
  <c r="C1176" i="66" s="1"/>
  <c r="B1177" i="66"/>
  <c r="C1177" i="66" s="1"/>
  <c r="B1178" i="66"/>
  <c r="C1178" i="66" s="1"/>
  <c r="B1179" i="66"/>
  <c r="C1179" i="66" s="1"/>
  <c r="B1180" i="66"/>
  <c r="C1180" i="66" s="1"/>
  <c r="B1181" i="66"/>
  <c r="C1181" i="66" s="1"/>
  <c r="B1182" i="66"/>
  <c r="C1182" i="66" s="1"/>
  <c r="B1183" i="66"/>
  <c r="C1183" i="66" s="1"/>
  <c r="B1184" i="66"/>
  <c r="C1184" i="66" s="1"/>
  <c r="B1185" i="66"/>
  <c r="C1185" i="66" s="1"/>
  <c r="B1186" i="66"/>
  <c r="C1186" i="66" s="1"/>
  <c r="B1187" i="66"/>
  <c r="C1187" i="66" s="1"/>
  <c r="B1188" i="66"/>
  <c r="C1188" i="66" s="1"/>
  <c r="B1189" i="66"/>
  <c r="C1189" i="66" s="1"/>
  <c r="B1190" i="66"/>
  <c r="C1190" i="66" s="1"/>
  <c r="B1191" i="66"/>
  <c r="C1191" i="66" s="1"/>
  <c r="B1192" i="66"/>
  <c r="C1192" i="66" s="1"/>
  <c r="B1193" i="66"/>
  <c r="C1193" i="66" s="1"/>
  <c r="B1194" i="66"/>
  <c r="C1194" i="66" s="1"/>
  <c r="B1195" i="66"/>
  <c r="B1196" i="66"/>
  <c r="B1197" i="66"/>
  <c r="C1197" i="66" s="1"/>
  <c r="B1198" i="66"/>
  <c r="C1198" i="66" s="1"/>
  <c r="B1199" i="66"/>
  <c r="C1199" i="66" s="1"/>
  <c r="B1200" i="66"/>
  <c r="C1200" i="66" s="1"/>
  <c r="B1201" i="66"/>
  <c r="C1201" i="66" s="1"/>
  <c r="B1202" i="66"/>
  <c r="C1202" i="66" s="1"/>
  <c r="B1203" i="66"/>
  <c r="C1203" i="66" s="1"/>
  <c r="B1204" i="66"/>
  <c r="C1204" i="66" s="1"/>
  <c r="B1205" i="66"/>
  <c r="C1205" i="66" s="1"/>
  <c r="B1206" i="66"/>
  <c r="C1206" i="66" s="1"/>
  <c r="B1207" i="66"/>
  <c r="C1207" i="66" s="1"/>
  <c r="B1208" i="66"/>
  <c r="C1208" i="66" s="1"/>
  <c r="B1209" i="66"/>
  <c r="C1209" i="66" s="1"/>
  <c r="B1210" i="66"/>
  <c r="C1210" i="66" s="1"/>
  <c r="B1211" i="66"/>
  <c r="C1211" i="66" s="1"/>
  <c r="B1212" i="66"/>
  <c r="C1212" i="66" s="1"/>
  <c r="B1213" i="66"/>
  <c r="C1213" i="66" s="1"/>
  <c r="B1214" i="66"/>
  <c r="C1214" i="66" s="1"/>
  <c r="B1215" i="66"/>
  <c r="C1215" i="66" s="1"/>
  <c r="B1216" i="66"/>
  <c r="C1216" i="66" s="1"/>
  <c r="B1217" i="66"/>
  <c r="C1217" i="66" s="1"/>
  <c r="B1218" i="66"/>
  <c r="C1218" i="66" s="1"/>
  <c r="B1219" i="66"/>
  <c r="C1219" i="66" s="1"/>
  <c r="B1220" i="66"/>
  <c r="C1220" i="66" s="1"/>
  <c r="B1221" i="66"/>
  <c r="C1221" i="66" s="1"/>
  <c r="B1222" i="66"/>
  <c r="C1222" i="66" s="1"/>
  <c r="B1223" i="66"/>
  <c r="B1224" i="66"/>
  <c r="B1225" i="66"/>
  <c r="B1226" i="66"/>
  <c r="C1226" i="66" s="1"/>
  <c r="B1227" i="66"/>
  <c r="C1227" i="66" s="1"/>
  <c r="B1228" i="66"/>
  <c r="B1229" i="66"/>
  <c r="B1230" i="66"/>
  <c r="C1230" i="66" s="1"/>
  <c r="B1231" i="66"/>
  <c r="C1231" i="66" s="1"/>
  <c r="B1232" i="66"/>
  <c r="B1233" i="66"/>
  <c r="B1234" i="66"/>
  <c r="C1234" i="66" s="1"/>
  <c r="B1235" i="66"/>
  <c r="C1235" i="66" s="1"/>
  <c r="B1236" i="66"/>
  <c r="B1237" i="66"/>
  <c r="B1238" i="66"/>
  <c r="B1239" i="66"/>
  <c r="B1240" i="66"/>
  <c r="B1241" i="66"/>
  <c r="C1241" i="66" s="1"/>
  <c r="B1242" i="66"/>
  <c r="C1242" i="66" s="1"/>
  <c r="B1243" i="66"/>
  <c r="B1244" i="66"/>
  <c r="B1245" i="66"/>
  <c r="B1246" i="66"/>
  <c r="C1246" i="66" s="1"/>
  <c r="B1247" i="66"/>
  <c r="C1247" i="66" s="1"/>
  <c r="B1248" i="66"/>
  <c r="B1249" i="66"/>
  <c r="B1250" i="66"/>
  <c r="B1251" i="66"/>
  <c r="C1251" i="66" s="1"/>
  <c r="B1252" i="66"/>
  <c r="C1252" i="66" s="1"/>
  <c r="B1253" i="66"/>
  <c r="B1254" i="66"/>
  <c r="B1255" i="66"/>
  <c r="C1255" i="66" s="1"/>
  <c r="B1256" i="66"/>
  <c r="B1257" i="66"/>
  <c r="B1258" i="66"/>
  <c r="B1259" i="66"/>
  <c r="B1260" i="66"/>
  <c r="B1261" i="66"/>
  <c r="B1262" i="66"/>
  <c r="B1263" i="66"/>
  <c r="B1264" i="66"/>
  <c r="B1265" i="66"/>
  <c r="B1266" i="66"/>
  <c r="B1267" i="66"/>
  <c r="B1268" i="66"/>
  <c r="B1269" i="66"/>
  <c r="B1270" i="66"/>
  <c r="B1271" i="66"/>
  <c r="B1272" i="66"/>
  <c r="B1273" i="66"/>
  <c r="C1273" i="66" s="1"/>
  <c r="B1274" i="66"/>
  <c r="C1274" i="66" s="1"/>
  <c r="B1275" i="66"/>
  <c r="C1275" i="66" s="1"/>
  <c r="B1276" i="66"/>
  <c r="C1276" i="66" s="1"/>
  <c r="B1277" i="66"/>
  <c r="C1277" i="66" s="1"/>
  <c r="B1278" i="66"/>
  <c r="C1278" i="66" s="1"/>
  <c r="B1279" i="66"/>
  <c r="B1280" i="66"/>
  <c r="B1281" i="66"/>
  <c r="B1282" i="66"/>
  <c r="B1283" i="66"/>
  <c r="B1284" i="66"/>
  <c r="B1285" i="66"/>
  <c r="B1286" i="66"/>
  <c r="B1287" i="66"/>
  <c r="B1288" i="66"/>
  <c r="B1289" i="66"/>
  <c r="B1296" i="66"/>
  <c r="C1296" i="66" s="1"/>
  <c r="B1297" i="66"/>
  <c r="C1297" i="66" s="1"/>
  <c r="B1298" i="66"/>
  <c r="C1298" i="66" s="1"/>
  <c r="B1299" i="66"/>
  <c r="B1300" i="66"/>
  <c r="B1301" i="66"/>
  <c r="B1302" i="66"/>
  <c r="C1302" i="66" s="1"/>
  <c r="B1303" i="66"/>
  <c r="C1303" i="66" s="1"/>
  <c r="B1304" i="66"/>
  <c r="C1304" i="66" s="1"/>
  <c r="B1305" i="66"/>
  <c r="C1305" i="66" s="1"/>
  <c r="B1306" i="66"/>
  <c r="C1306" i="66" s="1"/>
  <c r="B1307" i="66"/>
  <c r="B1308" i="66"/>
  <c r="C1308" i="66" s="1"/>
  <c r="B1309" i="66"/>
  <c r="C1309" i="66" s="1"/>
  <c r="B1310" i="66"/>
  <c r="C1310" i="66" s="1"/>
  <c r="B1311" i="66"/>
  <c r="C1311" i="66" s="1"/>
  <c r="B1312" i="66"/>
  <c r="C1312" i="66" s="1"/>
  <c r="B1313" i="66"/>
  <c r="B1314" i="66"/>
  <c r="B1315" i="66"/>
  <c r="C1315" i="66" s="1"/>
  <c r="B1316" i="66"/>
  <c r="C1316" i="66" s="1"/>
  <c r="B1317" i="66"/>
  <c r="C1317" i="66" s="1"/>
  <c r="B1318" i="66"/>
  <c r="C1318" i="66" s="1"/>
  <c r="B1319" i="66"/>
  <c r="C1319" i="66" s="1"/>
  <c r="B1320" i="66"/>
  <c r="C1320" i="66" s="1"/>
  <c r="B1321" i="66"/>
  <c r="C1321" i="66" s="1"/>
  <c r="B1322" i="66"/>
  <c r="C1322" i="66" s="1"/>
  <c r="B1323" i="66"/>
  <c r="C1323" i="66" s="1"/>
  <c r="B1324" i="66"/>
  <c r="B1325" i="66"/>
  <c r="B1326" i="66"/>
  <c r="B1327" i="66"/>
  <c r="B1328" i="66"/>
  <c r="B1329" i="66"/>
  <c r="B1330" i="66"/>
  <c r="B1331" i="66"/>
  <c r="B1332" i="66"/>
  <c r="B1333" i="66"/>
  <c r="C1333" i="66" s="1"/>
  <c r="B1334" i="66"/>
  <c r="B1335" i="66"/>
  <c r="B1336" i="66"/>
  <c r="C1336" i="66" s="1"/>
  <c r="B1337" i="66"/>
  <c r="C1337" i="66" s="1"/>
  <c r="B1338" i="66"/>
  <c r="C1338" i="66" s="1"/>
  <c r="B1339" i="66"/>
  <c r="C1339" i="66" s="1"/>
  <c r="B1340" i="66"/>
  <c r="C1340" i="66" s="1"/>
  <c r="B1341" i="66"/>
  <c r="C1341" i="66" s="1"/>
  <c r="B1342" i="66"/>
  <c r="B1343" i="66"/>
  <c r="B1344" i="66"/>
  <c r="B1345" i="66"/>
  <c r="B1346" i="66"/>
  <c r="B1347" i="66"/>
  <c r="B1348" i="66"/>
  <c r="B1349" i="66"/>
  <c r="B1350" i="66"/>
  <c r="C1350" i="66" s="1"/>
  <c r="B1351" i="66"/>
  <c r="C1351" i="66" s="1"/>
  <c r="B1352" i="66"/>
  <c r="C1352" i="66" s="1"/>
  <c r="B1353" i="66"/>
  <c r="C1353" i="66" s="1"/>
  <c r="B1354" i="66"/>
  <c r="B1355" i="66"/>
  <c r="B1356" i="66"/>
  <c r="C1356" i="66" s="1"/>
  <c r="B1357" i="66"/>
  <c r="C1357" i="66" s="1"/>
  <c r="B1358" i="66"/>
  <c r="C1358" i="66" s="1"/>
  <c r="B1359" i="66"/>
  <c r="C1359" i="66" s="1"/>
  <c r="B1360" i="66"/>
  <c r="C1360" i="66" s="1"/>
  <c r="B1361" i="66"/>
  <c r="C1361" i="66" s="1"/>
  <c r="B1362" i="66"/>
  <c r="C1362" i="66" s="1"/>
  <c r="B1363" i="66"/>
  <c r="C1363" i="66" s="1"/>
  <c r="B1364" i="66"/>
  <c r="C1364" i="66" s="1"/>
  <c r="B1365" i="66"/>
  <c r="C1365" i="66" s="1"/>
  <c r="B1366" i="66"/>
  <c r="C1366" i="66" s="1"/>
  <c r="B1367" i="66"/>
  <c r="C1367" i="66" s="1"/>
  <c r="B1368" i="66"/>
  <c r="C1368" i="66" s="1"/>
  <c r="B1369" i="66"/>
  <c r="C1369" i="66" s="1"/>
  <c r="B1370" i="66"/>
  <c r="B1371" i="66"/>
  <c r="B1372" i="66"/>
  <c r="C1372" i="66" s="1"/>
  <c r="B1373" i="66"/>
  <c r="C1373" i="66" s="1"/>
  <c r="B1374" i="66"/>
  <c r="C1374" i="66" s="1"/>
  <c r="B1375" i="66"/>
  <c r="C1375" i="66" s="1"/>
  <c r="B1376" i="66"/>
  <c r="B1377" i="66"/>
  <c r="B1378" i="66"/>
  <c r="B1379" i="66"/>
  <c r="B1380" i="66"/>
  <c r="C1380" i="66" s="1"/>
  <c r="B1381" i="66"/>
  <c r="C1381" i="66" s="1"/>
  <c r="B1382" i="66"/>
  <c r="C1382" i="66" s="1"/>
  <c r="B1383" i="66"/>
  <c r="C1383" i="66" s="1"/>
  <c r="B1384" i="66"/>
  <c r="C1384" i="66" s="1"/>
  <c r="B1385" i="66"/>
  <c r="C1385" i="66" s="1"/>
  <c r="B1386" i="66"/>
  <c r="C1386" i="66" s="1"/>
  <c r="B1387" i="66"/>
  <c r="B1388" i="66"/>
  <c r="B1389" i="66"/>
  <c r="B1390" i="66"/>
  <c r="B1391" i="66"/>
  <c r="C1391" i="66" s="1"/>
  <c r="B1392" i="66"/>
  <c r="C1392" i="66" s="1"/>
  <c r="B1393" i="66"/>
  <c r="C1393" i="66" s="1"/>
  <c r="B1394" i="66"/>
  <c r="C1394" i="66" s="1"/>
  <c r="B1395" i="66"/>
  <c r="B1396" i="66"/>
  <c r="B1397" i="66"/>
  <c r="B1398" i="66"/>
  <c r="B1399" i="66"/>
  <c r="B1400" i="66"/>
  <c r="B1401" i="66"/>
  <c r="C1401" i="66" s="1"/>
  <c r="B1402" i="66"/>
  <c r="C1402" i="66" s="1"/>
  <c r="B772" i="66"/>
  <c r="C772" i="66" s="1"/>
  <c r="B264" i="66"/>
  <c r="C264" i="66" s="1"/>
  <c r="B265" i="66"/>
  <c r="C265" i="66" s="1"/>
  <c r="B266" i="66"/>
  <c r="C266" i="66" s="1"/>
  <c r="B267" i="66"/>
  <c r="B268" i="66"/>
  <c r="B269" i="66"/>
  <c r="B270" i="66"/>
  <c r="B271" i="66"/>
  <c r="C271" i="66" s="1"/>
  <c r="B272" i="66"/>
  <c r="C272" i="66" s="1"/>
  <c r="B273" i="66"/>
  <c r="C273" i="66" s="1"/>
  <c r="B274" i="66"/>
  <c r="C274" i="66" s="1"/>
  <c r="B275" i="66"/>
  <c r="C275" i="66" s="1"/>
  <c r="B276" i="66"/>
  <c r="C276" i="66" s="1"/>
  <c r="B277" i="66"/>
  <c r="C277" i="66" s="1"/>
  <c r="B278" i="66"/>
  <c r="C278" i="66" s="1"/>
  <c r="B279" i="66"/>
  <c r="C279" i="66" s="1"/>
  <c r="B280" i="66"/>
  <c r="C280" i="66" s="1"/>
  <c r="B281" i="66"/>
  <c r="B282" i="66"/>
  <c r="B283" i="66"/>
  <c r="B284" i="66"/>
  <c r="B285" i="66"/>
  <c r="B286" i="66"/>
  <c r="B287" i="66"/>
  <c r="B288" i="66"/>
  <c r="B289" i="66"/>
  <c r="B290" i="66"/>
  <c r="B291" i="66"/>
  <c r="B292" i="66"/>
  <c r="B293" i="66"/>
  <c r="C293" i="66" s="1"/>
  <c r="B294" i="66"/>
  <c r="C294" i="66" s="1"/>
  <c r="B295" i="66"/>
  <c r="C295" i="66" s="1"/>
  <c r="B296" i="66"/>
  <c r="C296" i="66" s="1"/>
  <c r="B297" i="66"/>
  <c r="C297" i="66" s="1"/>
  <c r="B298" i="66"/>
  <c r="B299" i="66"/>
  <c r="B300" i="66"/>
  <c r="B301" i="66"/>
  <c r="B302" i="66"/>
  <c r="B303" i="66"/>
  <c r="B304" i="66"/>
  <c r="B305" i="66"/>
  <c r="B306" i="66"/>
  <c r="B307" i="66"/>
  <c r="B308" i="66"/>
  <c r="B309" i="66"/>
  <c r="B310" i="66"/>
  <c r="B311" i="66"/>
  <c r="B312" i="66"/>
  <c r="C312" i="66" s="1"/>
  <c r="B313" i="66"/>
  <c r="C313" i="66" s="1"/>
  <c r="B314" i="66"/>
  <c r="B315" i="66"/>
  <c r="B316" i="66"/>
  <c r="C316" i="66" s="1"/>
  <c r="B317" i="66"/>
  <c r="C317" i="66" s="1"/>
  <c r="B318" i="66"/>
  <c r="C318" i="66" s="1"/>
  <c r="B319" i="66"/>
  <c r="C319" i="66" s="1"/>
  <c r="B320" i="66"/>
  <c r="C320" i="66" s="1"/>
  <c r="B321" i="66"/>
  <c r="C321" i="66" s="1"/>
  <c r="B322" i="66"/>
  <c r="C322" i="66" s="1"/>
  <c r="B323" i="66"/>
  <c r="C323" i="66" s="1"/>
  <c r="B324" i="66"/>
  <c r="C324" i="66" s="1"/>
  <c r="B325" i="66"/>
  <c r="C325" i="66" s="1"/>
  <c r="B326" i="66"/>
  <c r="C326" i="66" s="1"/>
  <c r="B327" i="66"/>
  <c r="C327" i="66" s="1"/>
  <c r="B328" i="66"/>
  <c r="C328" i="66" s="1"/>
  <c r="B329" i="66"/>
  <c r="C329" i="66" s="1"/>
  <c r="B330" i="66"/>
  <c r="C330" i="66" s="1"/>
  <c r="B331" i="66"/>
  <c r="C331" i="66" s="1"/>
  <c r="B332" i="66"/>
  <c r="B333" i="66"/>
  <c r="B334" i="66"/>
  <c r="B335" i="66"/>
  <c r="B336" i="66"/>
  <c r="B337" i="66"/>
  <c r="C337" i="66" s="1"/>
  <c r="B338" i="66"/>
  <c r="C338" i="66" s="1"/>
  <c r="B339" i="66"/>
  <c r="C339" i="66" s="1"/>
  <c r="B340" i="66"/>
  <c r="B341" i="66"/>
  <c r="B342" i="66"/>
  <c r="B343" i="66"/>
  <c r="C343" i="66" s="1"/>
  <c r="B344" i="66"/>
  <c r="C344" i="66" s="1"/>
  <c r="B345" i="66"/>
  <c r="C345" i="66" s="1"/>
  <c r="B346" i="66"/>
  <c r="C346" i="66" s="1"/>
  <c r="B347" i="66"/>
  <c r="C347" i="66" s="1"/>
  <c r="B348" i="66"/>
  <c r="C348" i="66" s="1"/>
  <c r="B349" i="66"/>
  <c r="B350" i="66"/>
  <c r="B351" i="66"/>
  <c r="B352" i="66"/>
  <c r="B353" i="66"/>
  <c r="B354" i="66"/>
  <c r="B355" i="66"/>
  <c r="B356" i="66"/>
  <c r="B357" i="66"/>
  <c r="B358" i="66"/>
  <c r="C358" i="66" s="1"/>
  <c r="B359" i="66"/>
  <c r="C359" i="66" s="1"/>
  <c r="B360" i="66"/>
  <c r="B361" i="66"/>
  <c r="B362" i="66"/>
  <c r="B363" i="66"/>
  <c r="B364" i="66"/>
  <c r="B365" i="66"/>
  <c r="B366" i="66"/>
  <c r="B367" i="66"/>
  <c r="B368" i="66"/>
  <c r="B369" i="66"/>
  <c r="C369" i="66" s="1"/>
  <c r="B370" i="66"/>
  <c r="C370" i="66" s="1"/>
  <c r="B371" i="66"/>
  <c r="C371" i="66" s="1"/>
  <c r="B372" i="66"/>
  <c r="B373" i="66"/>
  <c r="B374" i="66"/>
  <c r="B375" i="66"/>
  <c r="B376" i="66"/>
  <c r="B377" i="66"/>
  <c r="B378" i="66"/>
  <c r="B379" i="66"/>
  <c r="B380" i="66"/>
  <c r="C380" i="66" s="1"/>
  <c r="B381" i="66"/>
  <c r="C381" i="66" s="1"/>
  <c r="B382" i="66"/>
  <c r="C382" i="66" s="1"/>
  <c r="B383" i="66"/>
  <c r="C383" i="66" s="1"/>
  <c r="B384" i="66"/>
  <c r="C384" i="66" s="1"/>
  <c r="B385" i="66"/>
  <c r="C385" i="66" s="1"/>
  <c r="B386" i="66"/>
  <c r="B387" i="66"/>
  <c r="B388" i="66"/>
  <c r="C388" i="66" s="1"/>
  <c r="B389" i="66"/>
  <c r="C389" i="66" s="1"/>
  <c r="B390" i="66"/>
  <c r="C390" i="66" s="1"/>
  <c r="B391" i="66"/>
  <c r="C391" i="66" s="1"/>
  <c r="B392" i="66"/>
  <c r="C392" i="66" s="1"/>
  <c r="B393" i="66"/>
  <c r="C393" i="66" s="1"/>
  <c r="B394" i="66"/>
  <c r="C394" i="66" s="1"/>
  <c r="B395" i="66"/>
  <c r="C395" i="66" s="1"/>
  <c r="B396" i="66"/>
  <c r="C396" i="66" s="1"/>
  <c r="B397" i="66"/>
  <c r="C397" i="66" s="1"/>
  <c r="B398" i="66"/>
  <c r="C398" i="66" s="1"/>
  <c r="B399" i="66"/>
  <c r="C399" i="66" s="1"/>
  <c r="B400" i="66"/>
  <c r="B401" i="66"/>
  <c r="B402" i="66"/>
  <c r="B403" i="66"/>
  <c r="B404" i="66"/>
  <c r="B405" i="66"/>
  <c r="B406" i="66"/>
  <c r="C406" i="66" s="1"/>
  <c r="B407" i="66"/>
  <c r="B408" i="66"/>
  <c r="B409" i="66"/>
  <c r="B410" i="66"/>
  <c r="B411" i="66"/>
  <c r="B412" i="66"/>
  <c r="B413" i="66"/>
  <c r="B414" i="66"/>
  <c r="B415" i="66"/>
  <c r="B416" i="66"/>
  <c r="B417" i="66"/>
  <c r="C417" i="66" s="1"/>
  <c r="B418" i="66"/>
  <c r="C418" i="66" s="1"/>
  <c r="B419" i="66"/>
  <c r="C419" i="66" s="1"/>
  <c r="B420" i="66"/>
  <c r="C420" i="66" s="1"/>
  <c r="B421" i="66"/>
  <c r="C421" i="66" s="1"/>
  <c r="B422" i="66"/>
  <c r="C422" i="66" s="1"/>
  <c r="B423" i="66"/>
  <c r="C423" i="66" s="1"/>
  <c r="B424" i="66"/>
  <c r="C424" i="66" s="1"/>
  <c r="B425" i="66"/>
  <c r="C425" i="66" s="1"/>
  <c r="B426" i="66"/>
  <c r="C426" i="66" s="1"/>
  <c r="B427" i="66"/>
  <c r="C427" i="66" s="1"/>
  <c r="B428" i="66"/>
  <c r="C428" i="66" s="1"/>
  <c r="B429" i="66"/>
  <c r="C429" i="66" s="1"/>
  <c r="B430" i="66"/>
  <c r="C430" i="66" s="1"/>
  <c r="B431" i="66"/>
  <c r="C431" i="66" s="1"/>
  <c r="B432" i="66"/>
  <c r="C432" i="66" s="1"/>
  <c r="B433" i="66"/>
  <c r="C433" i="66" s="1"/>
  <c r="B434" i="66"/>
  <c r="C434" i="66" s="1"/>
  <c r="B435" i="66"/>
  <c r="C435" i="66" s="1"/>
  <c r="B436" i="66"/>
  <c r="C436" i="66" s="1"/>
  <c r="B437" i="66"/>
  <c r="C437" i="66" s="1"/>
  <c r="B438" i="66"/>
  <c r="C438" i="66" s="1"/>
  <c r="B439" i="66"/>
  <c r="C439" i="66" s="1"/>
  <c r="B440" i="66"/>
  <c r="C440" i="66" s="1"/>
  <c r="B441" i="66"/>
  <c r="C441" i="66" s="1"/>
  <c r="B442" i="66"/>
  <c r="C442" i="66" s="1"/>
  <c r="B443" i="66"/>
  <c r="C443" i="66" s="1"/>
  <c r="B444" i="66"/>
  <c r="C444" i="66" s="1"/>
  <c r="B445" i="66"/>
  <c r="C445" i="66" s="1"/>
  <c r="B446" i="66"/>
  <c r="C446" i="66" s="1"/>
  <c r="B447" i="66"/>
  <c r="C447" i="66" s="1"/>
  <c r="B448" i="66"/>
  <c r="C448" i="66" s="1"/>
  <c r="B449" i="66"/>
  <c r="C449" i="66" s="1"/>
  <c r="B450" i="66"/>
  <c r="B451" i="66"/>
  <c r="B452" i="66"/>
  <c r="B453" i="66"/>
  <c r="B454" i="66"/>
  <c r="B455" i="66"/>
  <c r="B456" i="66"/>
  <c r="C456" i="66" s="1"/>
  <c r="B457" i="66"/>
  <c r="C457" i="66" s="1"/>
  <c r="B458" i="66"/>
  <c r="C458" i="66" s="1"/>
  <c r="B459" i="66"/>
  <c r="C459" i="66" s="1"/>
  <c r="B460" i="66"/>
  <c r="C460" i="66" s="1"/>
  <c r="B461" i="66"/>
  <c r="C461" i="66" s="1"/>
  <c r="B462" i="66"/>
  <c r="C462" i="66" s="1"/>
  <c r="B463" i="66"/>
  <c r="B464" i="66"/>
  <c r="B465" i="66"/>
  <c r="B466" i="66"/>
  <c r="B467" i="66"/>
  <c r="C467" i="66" s="1"/>
  <c r="B468" i="66"/>
  <c r="B469" i="66"/>
  <c r="B470" i="66"/>
  <c r="B471" i="66"/>
  <c r="B472" i="66"/>
  <c r="B473" i="66"/>
  <c r="B474" i="66"/>
  <c r="C474" i="66" s="1"/>
  <c r="B475" i="66"/>
  <c r="C475" i="66" s="1"/>
  <c r="B476" i="66"/>
  <c r="C476" i="66" s="1"/>
  <c r="B477" i="66"/>
  <c r="C477" i="66" s="1"/>
  <c r="B478" i="66"/>
  <c r="B479" i="66"/>
  <c r="B480" i="66"/>
  <c r="B481" i="66"/>
  <c r="B482" i="66"/>
  <c r="C482" i="66" s="1"/>
  <c r="B483" i="66"/>
  <c r="C483" i="66" s="1"/>
  <c r="B484" i="66"/>
  <c r="C484" i="66" s="1"/>
  <c r="B485" i="66"/>
  <c r="C485" i="66" s="1"/>
  <c r="B486" i="66"/>
  <c r="C486" i="66" s="1"/>
  <c r="B487" i="66"/>
  <c r="C487" i="66" s="1"/>
  <c r="B488" i="66"/>
  <c r="B489" i="66"/>
  <c r="B490" i="66"/>
  <c r="B491" i="66"/>
  <c r="B492" i="66"/>
  <c r="B493" i="66"/>
  <c r="B494" i="66"/>
  <c r="B495" i="66"/>
  <c r="B496" i="66"/>
  <c r="B497" i="66"/>
  <c r="B498" i="66"/>
  <c r="B499" i="66"/>
  <c r="B500" i="66"/>
  <c r="C500" i="66" s="1"/>
  <c r="B501" i="66"/>
  <c r="C501" i="66" s="1"/>
  <c r="B502" i="66"/>
  <c r="C502" i="66" s="1"/>
  <c r="B503" i="66"/>
  <c r="B504" i="66"/>
  <c r="B505" i="66"/>
  <c r="C505" i="66" s="1"/>
  <c r="B506" i="66"/>
  <c r="C506" i="66" s="1"/>
  <c r="B507" i="66"/>
  <c r="C507" i="66" s="1"/>
  <c r="B508" i="66"/>
  <c r="C508" i="66" s="1"/>
  <c r="B509" i="66"/>
  <c r="B510" i="66"/>
  <c r="B511" i="66"/>
  <c r="B512" i="66"/>
  <c r="C512" i="66" s="1"/>
  <c r="B513" i="66"/>
  <c r="C513" i="66" s="1"/>
  <c r="B514" i="66"/>
  <c r="C514" i="66" s="1"/>
  <c r="B515" i="66"/>
  <c r="C515" i="66" s="1"/>
  <c r="B516" i="66"/>
  <c r="B517" i="66"/>
  <c r="B518" i="66"/>
  <c r="C518" i="66" s="1"/>
  <c r="B519" i="66"/>
  <c r="C519" i="66" s="1"/>
  <c r="B520" i="66"/>
  <c r="B521" i="66"/>
  <c r="B522" i="66"/>
  <c r="C522" i="66" s="1"/>
  <c r="B523" i="66"/>
  <c r="C523" i="66" s="1"/>
  <c r="B524" i="66"/>
  <c r="C524" i="66" s="1"/>
  <c r="B525" i="66"/>
  <c r="C525" i="66" s="1"/>
  <c r="B526" i="66"/>
  <c r="C526" i="66" s="1"/>
  <c r="B527" i="66"/>
  <c r="C527" i="66" s="1"/>
  <c r="B528" i="66"/>
  <c r="C528" i="66" s="1"/>
  <c r="B529" i="66"/>
  <c r="C529" i="66" s="1"/>
  <c r="B530" i="66"/>
  <c r="C530" i="66" s="1"/>
  <c r="B531" i="66"/>
  <c r="C531" i="66" s="1"/>
  <c r="B532" i="66"/>
  <c r="B533" i="66"/>
  <c r="B534" i="66"/>
  <c r="B535" i="66"/>
  <c r="B536" i="66"/>
  <c r="B537" i="66"/>
  <c r="B538" i="66"/>
  <c r="C538" i="66" s="1"/>
  <c r="B539" i="66"/>
  <c r="C539" i="66" s="1"/>
  <c r="B540" i="66"/>
  <c r="C540" i="66" s="1"/>
  <c r="B541" i="66"/>
  <c r="C541" i="66" s="1"/>
  <c r="B542" i="66"/>
  <c r="C542" i="66" s="1"/>
  <c r="B543" i="66"/>
  <c r="C543" i="66" s="1"/>
  <c r="B544" i="66"/>
  <c r="C544" i="66" s="1"/>
  <c r="B545" i="66"/>
  <c r="C545" i="66" s="1"/>
  <c r="B546" i="66"/>
  <c r="C546" i="66" s="1"/>
  <c r="B547" i="66"/>
  <c r="B548" i="66"/>
  <c r="B549" i="66"/>
  <c r="C549" i="66" s="1"/>
  <c r="B550" i="66"/>
  <c r="C550" i="66" s="1"/>
  <c r="B551" i="66"/>
  <c r="C551" i="66" s="1"/>
  <c r="B552" i="66"/>
  <c r="C552" i="66" s="1"/>
  <c r="B553" i="66"/>
  <c r="C553" i="66" s="1"/>
  <c r="B554" i="66"/>
  <c r="C554" i="66" s="1"/>
  <c r="B555" i="66"/>
  <c r="C555" i="66" s="1"/>
  <c r="B556" i="66"/>
  <c r="B557" i="66"/>
  <c r="B558" i="66"/>
  <c r="C558" i="66" s="1"/>
  <c r="B559" i="66"/>
  <c r="C559" i="66" s="1"/>
  <c r="B560" i="66"/>
  <c r="C560" i="66" s="1"/>
  <c r="B561" i="66"/>
  <c r="C561" i="66" s="1"/>
  <c r="B562" i="66"/>
  <c r="C562" i="66" s="1"/>
  <c r="B563" i="66"/>
  <c r="C563" i="66" s="1"/>
  <c r="B564" i="66"/>
  <c r="C564" i="66" s="1"/>
  <c r="B565" i="66"/>
  <c r="C565" i="66" s="1"/>
  <c r="B566" i="66"/>
  <c r="C566" i="66" s="1"/>
  <c r="B567" i="66"/>
  <c r="C567" i="66" s="1"/>
  <c r="B568" i="66"/>
  <c r="C568" i="66" s="1"/>
  <c r="B569" i="66"/>
  <c r="C569" i="66" s="1"/>
  <c r="B570" i="66"/>
  <c r="C570" i="66" s="1"/>
  <c r="B571" i="66"/>
  <c r="C571" i="66" s="1"/>
  <c r="B572" i="66"/>
  <c r="B573" i="66"/>
  <c r="C573" i="66" s="1"/>
  <c r="B574" i="66"/>
  <c r="C574" i="66" s="1"/>
  <c r="B575" i="66"/>
  <c r="C575" i="66" s="1"/>
  <c r="B576" i="66"/>
  <c r="C576" i="66" s="1"/>
  <c r="B577" i="66"/>
  <c r="C577" i="66" s="1"/>
  <c r="B578" i="66"/>
  <c r="C578" i="66" s="1"/>
  <c r="B579" i="66"/>
  <c r="C579" i="66" s="1"/>
  <c r="B580" i="66"/>
  <c r="C580" i="66" s="1"/>
  <c r="B581" i="66"/>
  <c r="C581" i="66" s="1"/>
  <c r="B582" i="66"/>
  <c r="C582" i="66" s="1"/>
  <c r="B583" i="66"/>
  <c r="C583" i="66" s="1"/>
  <c r="B584" i="66"/>
  <c r="C584" i="66" s="1"/>
  <c r="B585" i="66"/>
  <c r="C585" i="66" s="1"/>
  <c r="B586" i="66"/>
  <c r="C586" i="66" s="1"/>
  <c r="B587" i="66"/>
  <c r="C587" i="66" s="1"/>
  <c r="B588" i="66"/>
  <c r="C588" i="66" s="1"/>
  <c r="B589" i="66"/>
  <c r="B590" i="66"/>
  <c r="B591" i="66"/>
  <c r="C591" i="66" s="1"/>
  <c r="B592" i="66"/>
  <c r="C592" i="66" s="1"/>
  <c r="B593" i="66"/>
  <c r="C593" i="66" s="1"/>
  <c r="B594" i="66"/>
  <c r="C594" i="66" s="1"/>
  <c r="B595" i="66"/>
  <c r="C595" i="66" s="1"/>
  <c r="B596" i="66"/>
  <c r="C596" i="66" s="1"/>
  <c r="B597" i="66"/>
  <c r="C597" i="66" s="1"/>
  <c r="B598" i="66"/>
  <c r="C598" i="66" s="1"/>
  <c r="B599" i="66"/>
  <c r="C599" i="66" s="1"/>
  <c r="B600" i="66"/>
  <c r="C600" i="66" s="1"/>
  <c r="B601" i="66"/>
  <c r="C601" i="66" s="1"/>
  <c r="B602" i="66"/>
  <c r="C602" i="66" s="1"/>
  <c r="B603" i="66"/>
  <c r="C603" i="66" s="1"/>
  <c r="B604" i="66"/>
  <c r="C604" i="66" s="1"/>
  <c r="B605" i="66"/>
  <c r="C605" i="66" s="1"/>
  <c r="B606" i="66"/>
  <c r="B607" i="66"/>
  <c r="B608" i="66"/>
  <c r="B609" i="66"/>
  <c r="B610" i="66"/>
  <c r="C610" i="66" s="1"/>
  <c r="B611" i="66"/>
  <c r="C611" i="66" s="1"/>
  <c r="B612" i="66"/>
  <c r="C612" i="66" s="1"/>
  <c r="B613" i="66"/>
  <c r="B614" i="66"/>
  <c r="B615" i="66"/>
  <c r="C615" i="66" s="1"/>
  <c r="B616" i="66"/>
  <c r="C616" i="66" s="1"/>
  <c r="B617" i="66"/>
  <c r="C617" i="66" s="1"/>
  <c r="B618" i="66"/>
  <c r="B619" i="66"/>
  <c r="B620" i="66"/>
  <c r="C620" i="66" s="1"/>
  <c r="B621" i="66"/>
  <c r="B622" i="66"/>
  <c r="B623" i="66"/>
  <c r="B624" i="66"/>
  <c r="C624" i="66" s="1"/>
  <c r="B625" i="66"/>
  <c r="C625" i="66" s="1"/>
  <c r="B626" i="66"/>
  <c r="C626" i="66" s="1"/>
  <c r="B627" i="66"/>
  <c r="C627" i="66" s="1"/>
  <c r="B628" i="66"/>
  <c r="C628" i="66" s="1"/>
  <c r="B629" i="66"/>
  <c r="C629" i="66" s="1"/>
  <c r="B630" i="66"/>
  <c r="B631" i="66"/>
  <c r="B632" i="66"/>
  <c r="C632" i="66" s="1"/>
  <c r="B633" i="66"/>
  <c r="C633" i="66" s="1"/>
  <c r="B634" i="66"/>
  <c r="C634" i="66" s="1"/>
  <c r="B635" i="66"/>
  <c r="C635" i="66" s="1"/>
  <c r="B636" i="66"/>
  <c r="C636" i="66" s="1"/>
  <c r="B637" i="66"/>
  <c r="C637" i="66" s="1"/>
  <c r="B638" i="66"/>
  <c r="C638" i="66" s="1"/>
  <c r="B639" i="66"/>
  <c r="C639" i="66" s="1"/>
  <c r="B640" i="66"/>
  <c r="C640" i="66" s="1"/>
  <c r="B641" i="66"/>
  <c r="C641" i="66" s="1"/>
  <c r="B642" i="66"/>
  <c r="C642" i="66" s="1"/>
  <c r="B643" i="66"/>
  <c r="C643" i="66" s="1"/>
  <c r="B644" i="66"/>
  <c r="B645" i="66"/>
  <c r="B646" i="66"/>
  <c r="C646" i="66" s="1"/>
  <c r="B647" i="66"/>
  <c r="C647" i="66" s="1"/>
  <c r="B648" i="66"/>
  <c r="C648" i="66" s="1"/>
  <c r="B649" i="66"/>
  <c r="C649" i="66" s="1"/>
  <c r="B650" i="66"/>
  <c r="C650" i="66" s="1"/>
  <c r="B651" i="66"/>
  <c r="C651" i="66" s="1"/>
  <c r="B652" i="66"/>
  <c r="C652" i="66" s="1"/>
  <c r="B653" i="66"/>
  <c r="C653" i="66" s="1"/>
  <c r="B654" i="66"/>
  <c r="C654" i="66" s="1"/>
  <c r="B655" i="66"/>
  <c r="C655" i="66" s="1"/>
  <c r="B656" i="66"/>
  <c r="C656" i="66" s="1"/>
  <c r="B657" i="66"/>
  <c r="C657" i="66" s="1"/>
  <c r="B658" i="66"/>
  <c r="C658" i="66" s="1"/>
  <c r="B659" i="66"/>
  <c r="C659" i="66" s="1"/>
  <c r="B660" i="66"/>
  <c r="C660" i="66" s="1"/>
  <c r="B661" i="66"/>
  <c r="C661" i="66" s="1"/>
  <c r="B662" i="66"/>
  <c r="C662" i="66" s="1"/>
  <c r="B663" i="66"/>
  <c r="C663" i="66" s="1"/>
  <c r="B664" i="66"/>
  <c r="C664" i="66" s="1"/>
  <c r="B665" i="66"/>
  <c r="C665" i="66" s="1"/>
  <c r="B666" i="66"/>
  <c r="C666" i="66" s="1"/>
  <c r="B667" i="66"/>
  <c r="C667" i="66" s="1"/>
  <c r="B668" i="66"/>
  <c r="B669" i="66"/>
  <c r="B670" i="66"/>
  <c r="B671" i="66"/>
  <c r="C671" i="66" s="1"/>
  <c r="B672" i="66"/>
  <c r="C672" i="66" s="1"/>
  <c r="B673" i="66"/>
  <c r="C673" i="66" s="1"/>
  <c r="B674" i="66"/>
  <c r="C674" i="66" s="1"/>
  <c r="B675" i="66"/>
  <c r="C675" i="66" s="1"/>
  <c r="B676" i="66"/>
  <c r="C676" i="66" s="1"/>
  <c r="B677" i="66"/>
  <c r="C677" i="66" s="1"/>
  <c r="B678" i="66"/>
  <c r="C678" i="66" s="1"/>
  <c r="B679" i="66"/>
  <c r="C679" i="66" s="1"/>
  <c r="B680" i="66"/>
  <c r="C680" i="66" s="1"/>
  <c r="B681" i="66"/>
  <c r="C681" i="66" s="1"/>
  <c r="B682" i="66"/>
  <c r="B683" i="66"/>
  <c r="B684" i="66"/>
  <c r="B685" i="66"/>
  <c r="B686" i="66"/>
  <c r="B687" i="66"/>
  <c r="B688" i="66"/>
  <c r="B689" i="66"/>
  <c r="B690" i="66"/>
  <c r="C690" i="66" s="1"/>
  <c r="B691" i="66"/>
  <c r="C691" i="66" s="1"/>
  <c r="B692" i="66"/>
  <c r="C692" i="66" s="1"/>
  <c r="B693" i="66"/>
  <c r="C693" i="66" s="1"/>
  <c r="B694" i="66"/>
  <c r="C694" i="66" s="1"/>
  <c r="B695" i="66"/>
  <c r="C695" i="66" s="1"/>
  <c r="B696" i="66"/>
  <c r="C696" i="66" s="1"/>
  <c r="B697" i="66"/>
  <c r="C697" i="66" s="1"/>
  <c r="B698" i="66"/>
  <c r="C698" i="66" s="1"/>
  <c r="B699" i="66"/>
  <c r="C699" i="66" s="1"/>
  <c r="B700" i="66"/>
  <c r="C700" i="66" s="1"/>
  <c r="B701" i="66"/>
  <c r="C701" i="66" s="1"/>
  <c r="B702" i="66"/>
  <c r="C702" i="66" s="1"/>
  <c r="B703" i="66"/>
  <c r="C703" i="66" s="1"/>
  <c r="B704" i="66"/>
  <c r="C704" i="66" s="1"/>
  <c r="B705" i="66"/>
  <c r="C705" i="66" s="1"/>
  <c r="B706" i="66"/>
  <c r="C706" i="66" s="1"/>
  <c r="B707" i="66"/>
  <c r="B708" i="66"/>
  <c r="B709" i="66"/>
  <c r="B710" i="66"/>
  <c r="B711" i="66"/>
  <c r="B712" i="66"/>
  <c r="C712" i="66" s="1"/>
  <c r="B713" i="66"/>
  <c r="C713" i="66" s="1"/>
  <c r="B714" i="66"/>
  <c r="C714" i="66" s="1"/>
  <c r="B715" i="66"/>
  <c r="B716" i="66"/>
  <c r="B717" i="66"/>
  <c r="B718" i="66"/>
  <c r="C718" i="66" s="1"/>
  <c r="B719" i="66"/>
  <c r="C719" i="66" s="1"/>
  <c r="B720" i="66"/>
  <c r="C720" i="66" s="1"/>
  <c r="B721" i="66"/>
  <c r="C721" i="66" s="1"/>
  <c r="B722" i="66"/>
  <c r="C722" i="66" s="1"/>
  <c r="B723" i="66"/>
  <c r="C723" i="66" s="1"/>
  <c r="B724" i="66"/>
  <c r="C724" i="66" s="1"/>
  <c r="B725" i="66"/>
  <c r="C725" i="66" s="1"/>
  <c r="B726" i="66"/>
  <c r="B727" i="66"/>
  <c r="B728" i="66"/>
  <c r="C728" i="66" s="1"/>
  <c r="B729" i="66"/>
  <c r="C729" i="66" s="1"/>
  <c r="B730" i="66"/>
  <c r="C730" i="66" s="1"/>
  <c r="B731" i="66"/>
  <c r="C731" i="66" s="1"/>
  <c r="B732" i="66"/>
  <c r="C732" i="66" s="1"/>
  <c r="B733" i="66"/>
  <c r="C733" i="66" s="1"/>
  <c r="B734" i="66"/>
  <c r="C734" i="66" s="1"/>
  <c r="B735" i="66"/>
  <c r="C735" i="66" s="1"/>
  <c r="B736" i="66"/>
  <c r="C736" i="66" s="1"/>
  <c r="B737" i="66"/>
  <c r="C737" i="66" s="1"/>
  <c r="B738" i="66"/>
  <c r="C738" i="66" s="1"/>
  <c r="B739" i="66"/>
  <c r="C739" i="66" s="1"/>
  <c r="B740" i="66"/>
  <c r="C740" i="66" s="1"/>
  <c r="B741" i="66"/>
  <c r="C741" i="66" s="1"/>
  <c r="B742" i="66"/>
  <c r="C742" i="66" s="1"/>
  <c r="B743" i="66"/>
  <c r="C743" i="66" s="1"/>
  <c r="B744" i="66"/>
  <c r="C744" i="66" s="1"/>
  <c r="B745" i="66"/>
  <c r="C745" i="66" s="1"/>
  <c r="B746" i="66"/>
  <c r="C746" i="66" s="1"/>
  <c r="B747" i="66"/>
  <c r="C747" i="66" s="1"/>
  <c r="B748" i="66"/>
  <c r="C748" i="66" s="1"/>
  <c r="B749" i="66"/>
  <c r="C749" i="66" s="1"/>
  <c r="B750" i="66"/>
  <c r="C750" i="66" s="1"/>
  <c r="B751" i="66"/>
  <c r="B752" i="66"/>
  <c r="B753" i="66"/>
  <c r="B754" i="66"/>
  <c r="B755" i="66"/>
  <c r="B756" i="66"/>
  <c r="B757" i="66"/>
  <c r="B758" i="66"/>
  <c r="B759" i="66"/>
  <c r="B760" i="66"/>
  <c r="B761" i="66"/>
  <c r="B762" i="66"/>
  <c r="B763" i="66"/>
  <c r="B764" i="66"/>
  <c r="C764" i="66" s="1"/>
  <c r="B765" i="66"/>
  <c r="B766" i="66"/>
  <c r="B767" i="66"/>
  <c r="B768" i="66"/>
  <c r="B769" i="66"/>
  <c r="B770" i="66"/>
  <c r="B771" i="66"/>
  <c r="C771" i="66" s="1"/>
  <c r="B263" i="66"/>
  <c r="C263" i="66" s="1"/>
  <c r="B8" i="66"/>
  <c r="C8" i="66" s="1"/>
  <c r="B9" i="66"/>
  <c r="C9" i="66" s="1"/>
  <c r="B10" i="66"/>
  <c r="C10" i="66" s="1"/>
  <c r="B11" i="66"/>
  <c r="C11" i="66" s="1"/>
  <c r="B12" i="66"/>
  <c r="B13" i="66"/>
  <c r="B15" i="66"/>
  <c r="B16" i="66"/>
  <c r="B17" i="66"/>
  <c r="B18" i="66"/>
  <c r="B19" i="66"/>
  <c r="B20" i="66"/>
  <c r="B21" i="66"/>
  <c r="B22" i="66"/>
  <c r="B23" i="66"/>
  <c r="B24" i="66"/>
  <c r="B25" i="66"/>
  <c r="B26" i="66"/>
  <c r="B27" i="66"/>
  <c r="B28" i="66"/>
  <c r="B29" i="66"/>
  <c r="B30" i="66"/>
  <c r="C30" i="66" s="1"/>
  <c r="B31" i="66"/>
  <c r="C31" i="66" s="1"/>
  <c r="B32" i="66"/>
  <c r="C32" i="66" s="1"/>
  <c r="B33" i="66"/>
  <c r="C33" i="66" s="1"/>
  <c r="B34" i="66"/>
  <c r="C34" i="66" s="1"/>
  <c r="B35" i="66"/>
  <c r="B36" i="66"/>
  <c r="B37" i="66"/>
  <c r="B38" i="66"/>
  <c r="B39" i="66"/>
  <c r="B40" i="66"/>
  <c r="C40" i="66" s="1"/>
  <c r="B41" i="66"/>
  <c r="C41" i="66" s="1"/>
  <c r="B42" i="66"/>
  <c r="C42" i="66" s="1"/>
  <c r="B43" i="66"/>
  <c r="C43" i="66" s="1"/>
  <c r="B44" i="66"/>
  <c r="B45" i="66"/>
  <c r="B46" i="66"/>
  <c r="B47" i="66"/>
  <c r="B48" i="66"/>
  <c r="C48" i="66" s="1"/>
  <c r="B49" i="66"/>
  <c r="C49" i="66" s="1"/>
  <c r="B50" i="66"/>
  <c r="C50" i="66" s="1"/>
  <c r="B51" i="66"/>
  <c r="C51" i="66" s="1"/>
  <c r="B52" i="66"/>
  <c r="C52" i="66" s="1"/>
  <c r="B53" i="66"/>
  <c r="C53" i="66" s="1"/>
  <c r="B54" i="66"/>
  <c r="B55" i="66"/>
  <c r="B56" i="66"/>
  <c r="B57" i="66"/>
  <c r="B58" i="66"/>
  <c r="B59" i="66"/>
  <c r="B60" i="66"/>
  <c r="B61" i="66"/>
  <c r="B62" i="66"/>
  <c r="B63" i="66"/>
  <c r="B64" i="66"/>
  <c r="B65" i="66"/>
  <c r="B66" i="66"/>
  <c r="B67" i="66"/>
  <c r="C67" i="66" s="1"/>
  <c r="B68" i="66"/>
  <c r="B69" i="66"/>
  <c r="B70" i="66"/>
  <c r="B71" i="66"/>
  <c r="B72" i="66"/>
  <c r="B73" i="66"/>
  <c r="C73" i="66" s="1"/>
  <c r="B74" i="66"/>
  <c r="C74" i="66" s="1"/>
  <c r="B75" i="66"/>
  <c r="C75" i="66" s="1"/>
  <c r="B76" i="66"/>
  <c r="B77" i="66"/>
  <c r="B78" i="66"/>
  <c r="B79" i="66"/>
  <c r="B80" i="66"/>
  <c r="B81" i="66"/>
  <c r="C81" i="66" s="1"/>
  <c r="B82" i="66"/>
  <c r="B83" i="66"/>
  <c r="B84" i="66"/>
  <c r="B85" i="66"/>
  <c r="B86" i="66"/>
  <c r="B87" i="66"/>
  <c r="B88" i="66"/>
  <c r="B89" i="66"/>
  <c r="B90" i="66"/>
  <c r="B91" i="66"/>
  <c r="B92" i="66"/>
  <c r="B93" i="66"/>
  <c r="B94" i="66"/>
  <c r="B95" i="66"/>
  <c r="B96" i="66"/>
  <c r="C96" i="66" s="1"/>
  <c r="B97" i="66"/>
  <c r="C97" i="66" s="1"/>
  <c r="B98" i="66"/>
  <c r="C98" i="66" s="1"/>
  <c r="B99" i="66"/>
  <c r="B100" i="66"/>
  <c r="B101" i="66"/>
  <c r="B102" i="66"/>
  <c r="B103" i="66"/>
  <c r="B104" i="66"/>
  <c r="B105" i="66"/>
  <c r="B106" i="66"/>
  <c r="B107" i="66"/>
  <c r="B108" i="66"/>
  <c r="B109" i="66"/>
  <c r="B110" i="66"/>
  <c r="C110" i="66" s="1"/>
  <c r="B111" i="66"/>
  <c r="C111" i="66" s="1"/>
  <c r="B112" i="66"/>
  <c r="C112" i="66" s="1"/>
  <c r="B113" i="66"/>
  <c r="B114" i="66"/>
  <c r="B115" i="66"/>
  <c r="C115" i="66" s="1"/>
  <c r="B116" i="66"/>
  <c r="C116" i="66" s="1"/>
  <c r="B117" i="66"/>
  <c r="C117" i="66" s="1"/>
  <c r="B118" i="66"/>
  <c r="B119" i="66"/>
  <c r="B120" i="66"/>
  <c r="C120" i="66" s="1"/>
  <c r="B121" i="66"/>
  <c r="C121" i="66" s="1"/>
  <c r="B122" i="66"/>
  <c r="B123" i="66"/>
  <c r="B124" i="66"/>
  <c r="C124" i="66" s="1"/>
  <c r="B125" i="66"/>
  <c r="C125" i="66" s="1"/>
  <c r="B126" i="66"/>
  <c r="C126" i="66" s="1"/>
  <c r="B127" i="66"/>
  <c r="C127" i="66" s="1"/>
  <c r="B128" i="66"/>
  <c r="B129" i="66"/>
  <c r="B130" i="66"/>
  <c r="B131" i="66"/>
  <c r="B132" i="66"/>
  <c r="B133" i="66"/>
  <c r="B134" i="66"/>
  <c r="B135" i="66"/>
  <c r="C135" i="66" s="1"/>
  <c r="B136" i="66"/>
  <c r="C136" i="66" s="1"/>
  <c r="B137" i="66"/>
  <c r="C137" i="66" s="1"/>
  <c r="B138" i="66"/>
  <c r="C138" i="66" s="1"/>
  <c r="B139" i="66"/>
  <c r="B140" i="66"/>
  <c r="B141" i="66"/>
  <c r="B142" i="66"/>
  <c r="B143" i="66"/>
  <c r="B144" i="66"/>
  <c r="B145" i="66"/>
  <c r="B146" i="66"/>
  <c r="B147" i="66"/>
  <c r="B148" i="66"/>
  <c r="B149" i="66"/>
  <c r="B150" i="66"/>
  <c r="B151" i="66"/>
  <c r="B152" i="66"/>
  <c r="B153" i="66"/>
  <c r="B154" i="66"/>
  <c r="B155" i="66"/>
  <c r="B156" i="66"/>
  <c r="B157" i="66"/>
  <c r="B158" i="66"/>
  <c r="C158" i="66" s="1"/>
  <c r="B159" i="66"/>
  <c r="C159" i="66" s="1"/>
  <c r="B160" i="66"/>
  <c r="C160" i="66" s="1"/>
  <c r="B161" i="66"/>
  <c r="C161" i="66" s="1"/>
  <c r="B162" i="66"/>
  <c r="C162" i="66" s="1"/>
  <c r="B163" i="66"/>
  <c r="B164" i="66"/>
  <c r="B165" i="66"/>
  <c r="B166" i="66"/>
  <c r="B167" i="66"/>
  <c r="B168" i="66"/>
  <c r="B169" i="66"/>
  <c r="B170" i="66"/>
  <c r="B171" i="66"/>
  <c r="B172" i="66"/>
  <c r="C172" i="66" s="1"/>
  <c r="B173" i="66"/>
  <c r="C173" i="66" s="1"/>
  <c r="B174" i="66"/>
  <c r="C174" i="66" s="1"/>
  <c r="B175" i="66"/>
  <c r="C175" i="66" s="1"/>
  <c r="B176" i="66"/>
  <c r="C176" i="66" s="1"/>
  <c r="B177" i="66"/>
  <c r="B178" i="66"/>
  <c r="B179" i="66"/>
  <c r="B180" i="66"/>
  <c r="B181" i="66"/>
  <c r="C181" i="66" s="1"/>
  <c r="B182" i="66"/>
  <c r="B183" i="66"/>
  <c r="B184" i="66"/>
  <c r="B185" i="66"/>
  <c r="B186" i="66"/>
  <c r="B187" i="66"/>
  <c r="B188" i="66"/>
  <c r="B189" i="66"/>
  <c r="B190" i="66"/>
  <c r="B191" i="66"/>
  <c r="B192" i="66"/>
  <c r="B193" i="66"/>
  <c r="B194" i="66"/>
  <c r="B195" i="66"/>
  <c r="B196" i="66"/>
  <c r="B197" i="66"/>
  <c r="B198" i="66"/>
  <c r="B199" i="66"/>
  <c r="B200" i="66"/>
  <c r="B201" i="66"/>
  <c r="B202" i="66"/>
  <c r="B203" i="66"/>
  <c r="B204" i="66"/>
  <c r="B205" i="66"/>
  <c r="B206" i="66"/>
  <c r="B207" i="66"/>
  <c r="B208" i="66"/>
  <c r="B209" i="66"/>
  <c r="B210" i="66"/>
  <c r="B211" i="66"/>
  <c r="B212" i="66"/>
  <c r="B213" i="66"/>
  <c r="B214" i="66"/>
  <c r="C214" i="66" s="1"/>
  <c r="B215" i="66"/>
  <c r="B216" i="66"/>
  <c r="C216" i="66" s="1"/>
  <c r="B217" i="66"/>
  <c r="C217" i="66" s="1"/>
  <c r="B218" i="66"/>
  <c r="C218" i="66" s="1"/>
  <c r="B219" i="66"/>
  <c r="C219" i="66" s="1"/>
  <c r="B220" i="66"/>
  <c r="B221" i="66"/>
  <c r="B222" i="66"/>
  <c r="B223" i="66"/>
  <c r="B224" i="66"/>
  <c r="B225" i="66"/>
  <c r="B226" i="66"/>
  <c r="C226" i="66" s="1"/>
  <c r="B227" i="66"/>
  <c r="C227" i="66" s="1"/>
  <c r="B228" i="66"/>
  <c r="C228" i="66" s="1"/>
  <c r="B229" i="66"/>
  <c r="B230" i="66"/>
  <c r="B231" i="66"/>
  <c r="C231" i="66" s="1"/>
  <c r="B232" i="66"/>
  <c r="C232" i="66" s="1"/>
  <c r="B233" i="66"/>
  <c r="C233" i="66" s="1"/>
  <c r="B234" i="66"/>
  <c r="B235" i="66"/>
  <c r="B236" i="66"/>
  <c r="B237" i="66"/>
  <c r="C237" i="66" s="1"/>
  <c r="B238" i="66"/>
  <c r="C238" i="66" s="1"/>
  <c r="B239" i="66"/>
  <c r="C239" i="66" s="1"/>
  <c r="B240" i="66"/>
  <c r="C240" i="66" s="1"/>
  <c r="B241" i="66"/>
  <c r="C241" i="66" s="1"/>
  <c r="B242" i="66"/>
  <c r="C242" i="66" s="1"/>
  <c r="B243" i="66"/>
  <c r="C243" i="66" s="1"/>
  <c r="B244" i="66"/>
  <c r="C244" i="66" s="1"/>
  <c r="B245" i="66"/>
  <c r="B246" i="66"/>
  <c r="B247" i="66"/>
  <c r="B248" i="66"/>
  <c r="B249" i="66"/>
  <c r="C249" i="66" s="1"/>
  <c r="B250" i="66"/>
  <c r="C250" i="66" s="1"/>
  <c r="B251" i="66"/>
  <c r="C251" i="66" s="1"/>
  <c r="B252" i="66"/>
  <c r="C252" i="66" s="1"/>
  <c r="B253" i="66"/>
  <c r="C253" i="66" s="1"/>
  <c r="B254" i="66"/>
  <c r="B255" i="66"/>
  <c r="B256" i="66"/>
  <c r="B257" i="66"/>
  <c r="B258" i="66"/>
  <c r="B259" i="66"/>
  <c r="B260" i="66"/>
  <c r="B261" i="66"/>
  <c r="B262" i="66"/>
  <c r="B7" i="66"/>
  <c r="C7" i="66" s="1"/>
  <c r="U1506" i="16"/>
  <c r="U110" i="27"/>
  <c r="DE4" i="2" s="1"/>
  <c r="P9" i="23"/>
  <c r="AY776" i="16" s="1"/>
  <c r="P11" i="23"/>
  <c r="P14" i="23"/>
  <c r="AY1574" i="16" s="1"/>
  <c r="P17" i="23"/>
  <c r="AY785" i="16" s="1"/>
  <c r="P18" i="23"/>
  <c r="AY786" i="16" s="1"/>
  <c r="P20" i="23"/>
  <c r="AY788" i="16" s="1"/>
  <c r="P21" i="23"/>
  <c r="AY1581" i="16" s="1"/>
  <c r="P22" i="23"/>
  <c r="AY790" i="16" s="1"/>
  <c r="P27" i="23"/>
  <c r="P29" i="23"/>
  <c r="AY797" i="16" s="1"/>
  <c r="P33" i="23"/>
  <c r="AY1864" i="16" s="1"/>
  <c r="P34" i="23"/>
  <c r="AY1433" i="16" s="1"/>
  <c r="AY802" i="16"/>
  <c r="S1261" i="16" s="1"/>
  <c r="P37" i="23"/>
  <c r="AY805" i="16" s="1"/>
  <c r="P39" i="23"/>
  <c r="AY1599" i="16" s="1"/>
  <c r="P41" i="23"/>
  <c r="P45" i="23"/>
  <c r="AY1444" i="16" s="1"/>
  <c r="AY1594" i="16"/>
  <c r="BD1411" i="16"/>
  <c r="BD1572" i="16"/>
  <c r="BD1843" i="16"/>
  <c r="BC1843" i="16"/>
  <c r="BC1572" i="16"/>
  <c r="BC1411" i="16"/>
  <c r="T1261" i="16"/>
  <c r="AD1261" i="16" s="1"/>
  <c r="AR19" i="16"/>
  <c r="AR21" i="16"/>
  <c r="AR23" i="16"/>
  <c r="AR25" i="16"/>
  <c r="AR27" i="16"/>
  <c r="AR36" i="16"/>
  <c r="AR39" i="16"/>
  <c r="AR45" i="16"/>
  <c r="AR50" i="16"/>
  <c r="AR55" i="16"/>
  <c r="AR67" i="16"/>
  <c r="AR80" i="16"/>
  <c r="AR93" i="16"/>
  <c r="AR100" i="16"/>
  <c r="AR103" i="16"/>
  <c r="AR107" i="16"/>
  <c r="AR114" i="16"/>
  <c r="AR119" i="16"/>
  <c r="AR123" i="16"/>
  <c r="AR129" i="16"/>
  <c r="AR131" i="16"/>
  <c r="AR133" i="16"/>
  <c r="AR135" i="16"/>
  <c r="AR141" i="16"/>
  <c r="AR140" i="16"/>
  <c r="AR146" i="16"/>
  <c r="AR148" i="16"/>
  <c r="AR151" i="16"/>
  <c r="AR153" i="16"/>
  <c r="AR155" i="16"/>
  <c r="AR157" i="16"/>
  <c r="AR164" i="16"/>
  <c r="AR170" i="16"/>
  <c r="AR178" i="16"/>
  <c r="AR183" i="16"/>
  <c r="AR190" i="16"/>
  <c r="AR193" i="16"/>
  <c r="AR196" i="16"/>
  <c r="AR195" i="16"/>
  <c r="AR198" i="16"/>
  <c r="AR200" i="16"/>
  <c r="AR204" i="16"/>
  <c r="AR208" i="16"/>
  <c r="AR207" i="16"/>
  <c r="AR216" i="16"/>
  <c r="AR223" i="16"/>
  <c r="AR226" i="16"/>
  <c r="AR225" i="16"/>
  <c r="AR230" i="16"/>
  <c r="AR236" i="16"/>
  <c r="AR246" i="16"/>
  <c r="AR249" i="16"/>
  <c r="AR256" i="16"/>
  <c r="AR255" i="16"/>
  <c r="AR258" i="16"/>
  <c r="AR268" i="16"/>
  <c r="AR284" i="16"/>
  <c r="AR287" i="16"/>
  <c r="AR290" i="16"/>
  <c r="AR299" i="16"/>
  <c r="AR298" i="16"/>
  <c r="AR297" i="16"/>
  <c r="AR296" i="16"/>
  <c r="AR295" i="16"/>
  <c r="AR294" i="16"/>
  <c r="AR310" i="16"/>
  <c r="AR309" i="16"/>
  <c r="AR308" i="16"/>
  <c r="AR307" i="16"/>
  <c r="AR306" i="16"/>
  <c r="AR305" i="16"/>
  <c r="AR315" i="16"/>
  <c r="AR333" i="16"/>
  <c r="AR341" i="16"/>
  <c r="AR352" i="16"/>
  <c r="AR355" i="16"/>
  <c r="AR357" i="16"/>
  <c r="AR362" i="16"/>
  <c r="AR364" i="16"/>
  <c r="AR370" i="16"/>
  <c r="AR372" i="16"/>
  <c r="AR376" i="16"/>
  <c r="AR378" i="16"/>
  <c r="AR381" i="16"/>
  <c r="AR390" i="16"/>
  <c r="AR403" i="16"/>
  <c r="AR405" i="16"/>
  <c r="AR408" i="16"/>
  <c r="AR410" i="16"/>
  <c r="AR412" i="16"/>
  <c r="AR416" i="16"/>
  <c r="AR424" i="16"/>
  <c r="AR434" i="16"/>
  <c r="AR438" i="16"/>
  <c r="AR437" i="16"/>
  <c r="AR442" i="16"/>
  <c r="AR448" i="16"/>
  <c r="AR450" i="16"/>
  <c r="AR452" i="16"/>
  <c r="AR464" i="16"/>
  <c r="AR466" i="16"/>
  <c r="AR469" i="16"/>
  <c r="AR475" i="16"/>
  <c r="AR478" i="16"/>
  <c r="AR477" i="16"/>
  <c r="AR483" i="16"/>
  <c r="AR486" i="16"/>
  <c r="AR485" i="16"/>
  <c r="AR489" i="16"/>
  <c r="AR493" i="16"/>
  <c r="AR498" i="16"/>
  <c r="AR500" i="16"/>
  <c r="AR504" i="16"/>
  <c r="AR510" i="16"/>
  <c r="AR517" i="16"/>
  <c r="AR521" i="16"/>
  <c r="AR523" i="16"/>
  <c r="AR525" i="16"/>
  <c r="AR527" i="16"/>
  <c r="AR533" i="16"/>
  <c r="AR548" i="16"/>
  <c r="AR561" i="16"/>
  <c r="AR569" i="16"/>
  <c r="AR568" i="16"/>
  <c r="AR574" i="16"/>
  <c r="AR602" i="16"/>
  <c r="AR601" i="16"/>
  <c r="AR605" i="16"/>
  <c r="AR604" i="16"/>
  <c r="AR607" i="16"/>
  <c r="AR616" i="16"/>
  <c r="AR619" i="16"/>
  <c r="AR618" i="16"/>
  <c r="AR622" i="16"/>
  <c r="AR631" i="16"/>
  <c r="AR634" i="16"/>
  <c r="AR647" i="16"/>
  <c r="AR656" i="16"/>
  <c r="AR663" i="16"/>
  <c r="AR669" i="16"/>
  <c r="AR676" i="16"/>
  <c r="AR683" i="16"/>
  <c r="AR689" i="16"/>
  <c r="AR695" i="16"/>
  <c r="AR701" i="16"/>
  <c r="AR708" i="16"/>
  <c r="AR725" i="16"/>
  <c r="AR724" i="16"/>
  <c r="AR723" i="16"/>
  <c r="AR722" i="16"/>
  <c r="AR721" i="16"/>
  <c r="AR720" i="16"/>
  <c r="AR719" i="16"/>
  <c r="AR729" i="16"/>
  <c r="AR734" i="16"/>
  <c r="AR738" i="16"/>
  <c r="AR740" i="16"/>
  <c r="AR744" i="16"/>
  <c r="AR743" i="16"/>
  <c r="AR742" i="16"/>
  <c r="AR748" i="16"/>
  <c r="AR750" i="16"/>
  <c r="AR757" i="16"/>
  <c r="AR766" i="16"/>
  <c r="AR781" i="16"/>
  <c r="AR783" i="16"/>
  <c r="AR786" i="16"/>
  <c r="AR789" i="16"/>
  <c r="AR799" i="16"/>
  <c r="AR804" i="16"/>
  <c r="AR807" i="16"/>
  <c r="AR813" i="16"/>
  <c r="AR817" i="16"/>
  <c r="AR816" i="16"/>
  <c r="AR820" i="16"/>
  <c r="AR835" i="16"/>
  <c r="AR834" i="16"/>
  <c r="AR833" i="16"/>
  <c r="AR832" i="16"/>
  <c r="AR831" i="16"/>
  <c r="AR830" i="16"/>
  <c r="AR829" i="16"/>
  <c r="AR828" i="16"/>
  <c r="AR827" i="16"/>
  <c r="AR826" i="16"/>
  <c r="AR825" i="16"/>
  <c r="AR824" i="16"/>
  <c r="AR839" i="16"/>
  <c r="AR845" i="16"/>
  <c r="AR844" i="16"/>
  <c r="AR848" i="16"/>
  <c r="AR847" i="16"/>
  <c r="AR853" i="16"/>
  <c r="AR852" i="16"/>
  <c r="AR851" i="16"/>
  <c r="AR850" i="16"/>
  <c r="AR855" i="16"/>
  <c r="AR860" i="16"/>
  <c r="AR859" i="16"/>
  <c r="AR863" i="16"/>
  <c r="AR862" i="16"/>
  <c r="AR867" i="16"/>
  <c r="AR869" i="16"/>
  <c r="AR872" i="16"/>
  <c r="AR876" i="16"/>
  <c r="AR875" i="16"/>
  <c r="AR874" i="16"/>
  <c r="AR879" i="16"/>
  <c r="AR882" i="16"/>
  <c r="AR885" i="16"/>
  <c r="AR891" i="16"/>
  <c r="AR899" i="16"/>
  <c r="AR902" i="16"/>
  <c r="AR901" i="16"/>
  <c r="AR907" i="16"/>
  <c r="AR911" i="16"/>
  <c r="AR917" i="16"/>
  <c r="AR920" i="16"/>
  <c r="AR924" i="16"/>
  <c r="AR937" i="16"/>
  <c r="AR940" i="16"/>
  <c r="AR946" i="16"/>
  <c r="AR953" i="16"/>
  <c r="AR955" i="16"/>
  <c r="AR958" i="16"/>
  <c r="AR962" i="16"/>
  <c r="AR969" i="16"/>
  <c r="AR977" i="16"/>
  <c r="AR985" i="16"/>
  <c r="AR994" i="16"/>
  <c r="AR1000" i="16"/>
  <c r="AR1007" i="16"/>
  <c r="AR1013" i="16"/>
  <c r="AR1019" i="16"/>
  <c r="AR1022" i="16"/>
  <c r="AR1027" i="16"/>
  <c r="AR1033" i="16"/>
  <c r="AR1039" i="16"/>
  <c r="AR1043" i="16"/>
  <c r="AR1048" i="16"/>
  <c r="AR1051" i="16"/>
  <c r="AR1050" i="16"/>
  <c r="AR1055" i="16"/>
  <c r="AR1061" i="16"/>
  <c r="AR1068" i="16"/>
  <c r="AR1074" i="16"/>
  <c r="AR1076" i="16"/>
  <c r="AR1080" i="16"/>
  <c r="AR1079" i="16"/>
  <c r="AR1082" i="16"/>
  <c r="AR1084" i="16"/>
  <c r="AR1094" i="16"/>
  <c r="AR1112" i="16"/>
  <c r="AR1114" i="16"/>
  <c r="AR1117" i="16"/>
  <c r="AR1116" i="16"/>
  <c r="AR1128" i="16"/>
  <c r="AR1130" i="16"/>
  <c r="AR1132" i="16"/>
  <c r="AR1137" i="16"/>
  <c r="AR1136" i="16"/>
  <c r="AR1135" i="16"/>
  <c r="AR1142" i="16"/>
  <c r="AR1144" i="16"/>
  <c r="AR1146" i="16"/>
  <c r="AR1148" i="16"/>
  <c r="AR1150" i="16"/>
  <c r="AR1153" i="16"/>
  <c r="AR1156" i="16"/>
  <c r="AR1155" i="16"/>
  <c r="AR1158" i="16"/>
  <c r="AR1163" i="16"/>
  <c r="AR1162" i="16"/>
  <c r="AR1161" i="16"/>
  <c r="AR1168" i="16"/>
  <c r="AR1176" i="16"/>
  <c r="AR1180" i="16"/>
  <c r="AR1179" i="16"/>
  <c r="AR1178" i="16"/>
  <c r="AR1182" i="16"/>
  <c r="AR1186" i="16"/>
  <c r="AR1185" i="16"/>
  <c r="AR1191" i="16"/>
  <c r="AR1193" i="16"/>
  <c r="AR1195" i="16"/>
  <c r="AR1200" i="16"/>
  <c r="AR1204" i="16"/>
  <c r="AR1207" i="16"/>
  <c r="AR1215" i="16"/>
  <c r="AR1218" i="16"/>
  <c r="AR1221" i="16"/>
  <c r="AR1234" i="16"/>
  <c r="AR1238" i="16"/>
  <c r="AR1241" i="16"/>
  <c r="AR1245" i="16"/>
  <c r="AR1250" i="16"/>
  <c r="AR1255" i="16"/>
  <c r="AR1258" i="16"/>
  <c r="AR1260" i="16"/>
  <c r="AR1264" i="16"/>
  <c r="AR1263" i="16"/>
  <c r="AR1268" i="16"/>
  <c r="AR1280" i="16"/>
  <c r="AR1279" i="16"/>
  <c r="AR1278" i="16"/>
  <c r="AR1277" i="16"/>
  <c r="AR1276" i="16"/>
  <c r="AR1275" i="16"/>
  <c r="AR1282" i="16"/>
  <c r="AR1298" i="16"/>
  <c r="AR1295" i="16"/>
  <c r="AR1301" i="16"/>
  <c r="AR1309" i="16"/>
  <c r="AR1324" i="16"/>
  <c r="AR1323" i="16"/>
  <c r="AR1322" i="16"/>
  <c r="AR1321" i="16"/>
  <c r="AR1320" i="16"/>
  <c r="AR1319" i="16"/>
  <c r="AR1318" i="16"/>
  <c r="AR1327" i="16"/>
  <c r="AR1329" i="16"/>
  <c r="AR1331" i="16"/>
  <c r="AR1341" i="16"/>
  <c r="AR1340" i="16"/>
  <c r="AR1339" i="16"/>
  <c r="AR1338" i="16"/>
  <c r="AR1343" i="16"/>
  <c r="AR1346" i="16"/>
  <c r="AR1349" i="16"/>
  <c r="AR1356" i="16"/>
  <c r="AR1371" i="16"/>
  <c r="AR1370" i="16"/>
  <c r="AR1369" i="16"/>
  <c r="AR1368" i="16"/>
  <c r="AR1367" i="16"/>
  <c r="AR1366" i="16"/>
  <c r="AR1365" i="16"/>
  <c r="AR1364" i="16"/>
  <c r="AR1374" i="16"/>
  <c r="AR1376" i="16"/>
  <c r="AR1378" i="16"/>
  <c r="AR1380" i="16"/>
  <c r="AR1389" i="16"/>
  <c r="AR1394" i="16"/>
  <c r="AR1393" i="16"/>
  <c r="AR1397" i="16"/>
  <c r="AR1400" i="16"/>
  <c r="AR1421" i="16"/>
  <c r="AR1432" i="16"/>
  <c r="AR1437" i="16"/>
  <c r="AR1443" i="16"/>
  <c r="AR1442" i="16"/>
  <c r="AR1450" i="16"/>
  <c r="AR1459" i="16"/>
  <c r="AR1464" i="16"/>
  <c r="AR1469" i="16"/>
  <c r="AR1474" i="16"/>
  <c r="AR1473" i="16"/>
  <c r="AR1479" i="16"/>
  <c r="AR1481" i="16"/>
  <c r="AR1487" i="16"/>
  <c r="AR1490" i="16"/>
  <c r="AR1494" i="16"/>
  <c r="AR1496" i="16"/>
  <c r="AR1498" i="16"/>
  <c r="AR1504" i="16"/>
  <c r="AR1503" i="16"/>
  <c r="AR1502" i="16"/>
  <c r="AR1506" i="16"/>
  <c r="AR1512" i="16"/>
  <c r="AR1515" i="16"/>
  <c r="AR1514" i="16"/>
  <c r="AR1519" i="16"/>
  <c r="AR1523" i="16"/>
  <c r="AR1537" i="16"/>
  <c r="AR1540" i="16"/>
  <c r="AR1539" i="16"/>
  <c r="AR1547" i="16"/>
  <c r="AR1550" i="16"/>
  <c r="AR1549" i="16"/>
  <c r="AR1558" i="16"/>
  <c r="AR1557" i="16"/>
  <c r="AR1556" i="16"/>
  <c r="AR1561" i="16"/>
  <c r="AR1563" i="16"/>
  <c r="AR1569" i="16"/>
  <c r="AR1575" i="16"/>
  <c r="AR1580" i="16"/>
  <c r="AR1583" i="16"/>
  <c r="AR1586" i="16"/>
  <c r="AR1590" i="16"/>
  <c r="AR1593" i="16"/>
  <c r="AR1599" i="16"/>
  <c r="AR1602" i="16"/>
  <c r="AR1604" i="16"/>
  <c r="AR1607" i="16"/>
  <c r="AR1609" i="16"/>
  <c r="AR1611" i="16"/>
  <c r="AR1614" i="16"/>
  <c r="AR1616" i="16"/>
  <c r="AR1618" i="16"/>
  <c r="AR1624" i="16"/>
  <c r="AR1628" i="16"/>
  <c r="AR1633" i="16"/>
  <c r="AR1647" i="16"/>
  <c r="AR1649" i="16"/>
  <c r="AR1652" i="16"/>
  <c r="AR1661" i="16"/>
  <c r="AR1671" i="16"/>
  <c r="AR1675" i="16"/>
  <c r="AR1681" i="16"/>
  <c r="AR1686" i="16"/>
  <c r="AR1689" i="16"/>
  <c r="AR1688" i="16"/>
  <c r="AR1691" i="16"/>
  <c r="AR1696" i="16"/>
  <c r="AR1705" i="16"/>
  <c r="AR1711" i="16"/>
  <c r="AR1710" i="16"/>
  <c r="AR1715" i="16"/>
  <c r="AR1720" i="16"/>
  <c r="AR1722" i="16"/>
  <c r="AR1728" i="16"/>
  <c r="AR1730" i="16"/>
  <c r="AR1736" i="16"/>
  <c r="AR1738" i="16"/>
  <c r="AR1740" i="16"/>
  <c r="AR1742" i="16"/>
  <c r="AR1745" i="16"/>
  <c r="AR1749" i="16"/>
  <c r="AR1753" i="16"/>
  <c r="AR1760" i="16"/>
  <c r="AR1762" i="16"/>
  <c r="AR1764" i="16"/>
  <c r="AR1768" i="16"/>
  <c r="AR1777" i="16"/>
  <c r="AR1779" i="16"/>
  <c r="AR1782" i="16"/>
  <c r="AR1785" i="16"/>
  <c r="AR1794" i="16"/>
  <c r="AR1796" i="16"/>
  <c r="AR1799" i="16"/>
  <c r="AR1801" i="16"/>
  <c r="AR1805" i="16"/>
  <c r="AR1809" i="16"/>
  <c r="AR1813" i="16"/>
  <c r="AR1821" i="16"/>
  <c r="AR1826" i="16"/>
  <c r="AR1830" i="16"/>
  <c r="AR1835" i="16"/>
  <c r="AR1845" i="16"/>
  <c r="AR1844" i="16"/>
  <c r="AR1843" i="16"/>
  <c r="AR1851" i="16"/>
  <c r="AR1850" i="16"/>
  <c r="AR1849" i="16"/>
  <c r="AR1853" i="16"/>
  <c r="AR1860" i="16"/>
  <c r="AR1859" i="16"/>
  <c r="AR1858" i="16"/>
  <c r="AR1856" i="16"/>
  <c r="AR1855" i="16"/>
  <c r="AR1866" i="16"/>
  <c r="AR1870" i="16"/>
  <c r="AR1872" i="16"/>
  <c r="AR1875" i="16"/>
  <c r="AR1874" i="16"/>
  <c r="AR1877" i="16"/>
  <c r="AR1880" i="16"/>
  <c r="AR1879" i="16"/>
  <c r="AR1882" i="16"/>
  <c r="AR1884" i="16"/>
  <c r="AR1888" i="16"/>
  <c r="AR1887" i="16"/>
  <c r="AR1886" i="16"/>
  <c r="AR1909" i="16"/>
  <c r="AR1912" i="16"/>
  <c r="AR1915" i="16"/>
  <c r="AR1918" i="16"/>
  <c r="AR1917" i="16"/>
  <c r="AR1922" i="16"/>
  <c r="AR1921" i="16"/>
  <c r="AR1920" i="16"/>
  <c r="AR1928" i="16"/>
  <c r="AR1930" i="16"/>
  <c r="AR1933" i="16"/>
  <c r="AR1935" i="16"/>
  <c r="AR1938" i="16"/>
  <c r="AR1941" i="16"/>
  <c r="AR1940" i="16"/>
  <c r="AR1943" i="16"/>
  <c r="AR1946" i="16"/>
  <c r="AR1945" i="16"/>
  <c r="AR1949" i="16"/>
  <c r="AR1955" i="16"/>
  <c r="AR1957" i="16"/>
  <c r="AR1961" i="16"/>
  <c r="AR1968" i="16"/>
  <c r="AR1971" i="16"/>
  <c r="AR1970" i="16"/>
  <c r="AR1977" i="16"/>
  <c r="AR1976" i="16"/>
  <c r="AR1975" i="16"/>
  <c r="AR1974" i="16"/>
  <c r="AR1973" i="16"/>
  <c r="AR1994" i="16"/>
  <c r="AR1996" i="16"/>
  <c r="AR1999" i="16"/>
  <c r="AR2012" i="16"/>
  <c r="AR2014" i="16"/>
  <c r="AP2014" i="16"/>
  <c r="AP2012" i="16"/>
  <c r="AP1999" i="16"/>
  <c r="AP1996" i="16"/>
  <c r="AP1994" i="16"/>
  <c r="AP1977" i="16"/>
  <c r="AP1976" i="16"/>
  <c r="AP1975" i="16"/>
  <c r="AP1974" i="16"/>
  <c r="AP1973" i="16"/>
  <c r="AP1971" i="16"/>
  <c r="AP1970" i="16"/>
  <c r="AP1968" i="16"/>
  <c r="AP1961" i="16"/>
  <c r="AP1957" i="16"/>
  <c r="AP1955" i="16"/>
  <c r="AP1949" i="16"/>
  <c r="AP1946" i="16"/>
  <c r="AP1945" i="16"/>
  <c r="AP1943" i="16"/>
  <c r="AP1941" i="16"/>
  <c r="AP1940" i="16"/>
  <c r="AP1938" i="16"/>
  <c r="AP1935" i="16"/>
  <c r="AP1933" i="16"/>
  <c r="AP1930" i="16"/>
  <c r="AP1928" i="16"/>
  <c r="AP1922" i="16"/>
  <c r="AP1921" i="16"/>
  <c r="AP1920" i="16"/>
  <c r="AP1918" i="16"/>
  <c r="AP1917" i="16"/>
  <c r="AP1915" i="16"/>
  <c r="AP1912" i="16"/>
  <c r="AP1909" i="16"/>
  <c r="AP1888" i="16"/>
  <c r="AP1887" i="16"/>
  <c r="AP1886" i="16"/>
  <c r="AP1884" i="16"/>
  <c r="AP1882" i="16"/>
  <c r="AP1880" i="16"/>
  <c r="AP1879" i="16"/>
  <c r="AP1877" i="16"/>
  <c r="AP1875" i="16"/>
  <c r="AP1874" i="16"/>
  <c r="AP1872" i="16"/>
  <c r="AP1870" i="16"/>
  <c r="AP1866" i="16"/>
  <c r="AP1860" i="16"/>
  <c r="AP1859" i="16"/>
  <c r="AP1858" i="16"/>
  <c r="AP1856" i="16"/>
  <c r="AP1855" i="16"/>
  <c r="AP1853" i="16"/>
  <c r="AP1851" i="16"/>
  <c r="AP1850" i="16"/>
  <c r="AP1849" i="16"/>
  <c r="AP1845" i="16"/>
  <c r="AP1844" i="16"/>
  <c r="AP1843" i="16"/>
  <c r="AP1835" i="16"/>
  <c r="AP1830" i="16"/>
  <c r="AP1826" i="16"/>
  <c r="AP1821" i="16"/>
  <c r="AP1816" i="16"/>
  <c r="AP1815" i="16"/>
  <c r="AP1809" i="16"/>
  <c r="AP1805" i="16"/>
  <c r="AP1801" i="16"/>
  <c r="AP1799" i="16"/>
  <c r="AP1796" i="16"/>
  <c r="AP1794" i="16"/>
  <c r="AP1791" i="16"/>
  <c r="AP1787" i="16"/>
  <c r="AP1782" i="16"/>
  <c r="AP1779" i="16"/>
  <c r="AP1777" i="16"/>
  <c r="AP1768" i="16"/>
  <c r="AP1764" i="16"/>
  <c r="AP1762" i="16"/>
  <c r="AP1760" i="16"/>
  <c r="AP1757" i="16"/>
  <c r="AP1755" i="16"/>
  <c r="AP1749" i="16"/>
  <c r="AP1748" i="16"/>
  <c r="AP1746" i="16"/>
  <c r="AP1742" i="16"/>
  <c r="AP1740" i="16"/>
  <c r="AP1738" i="16"/>
  <c r="AP1736" i="16"/>
  <c r="AP1730" i="16"/>
  <c r="AP1728" i="16"/>
  <c r="AP1725" i="16"/>
  <c r="AP1724" i="16"/>
  <c r="AP1720" i="16"/>
  <c r="AP1715" i="16"/>
  <c r="AP1711" i="16"/>
  <c r="AP1710" i="16"/>
  <c r="AP1705" i="16"/>
  <c r="AP1696" i="16"/>
  <c r="AP1691" i="16"/>
  <c r="AP1689" i="16"/>
  <c r="AP1688" i="16"/>
  <c r="AP1686" i="16"/>
  <c r="AP1675" i="16"/>
  <c r="AP1672" i="16"/>
  <c r="AP1671" i="16"/>
  <c r="AP1661" i="16"/>
  <c r="AP1652" i="16"/>
  <c r="AP1649" i="16"/>
  <c r="AP1647" i="16"/>
  <c r="AP1636" i="16"/>
  <c r="AP1635" i="16"/>
  <c r="AP1634" i="16"/>
  <c r="AP1633" i="16"/>
  <c r="AP1628" i="16"/>
  <c r="AP1624" i="16"/>
  <c r="AP1618" i="16"/>
  <c r="AP1616" i="16"/>
  <c r="AP1614" i="16"/>
  <c r="AP1611" i="16"/>
  <c r="AP1609" i="16"/>
  <c r="AP1607" i="16"/>
  <c r="AP1604" i="16"/>
  <c r="AP1602" i="16"/>
  <c r="AP1599" i="16"/>
  <c r="AP1593" i="16"/>
  <c r="AP1590" i="16"/>
  <c r="AP1586" i="16"/>
  <c r="AP1583" i="16"/>
  <c r="AP1580" i="16"/>
  <c r="AP1575" i="16"/>
  <c r="AP1569" i="16"/>
  <c r="AP1563" i="16"/>
  <c r="AP1561" i="16"/>
  <c r="AP1558" i="16"/>
  <c r="AP1557" i="16"/>
  <c r="AP1556" i="16"/>
  <c r="AP1551" i="16"/>
  <c r="AP1549" i="16"/>
  <c r="AP1547" i="16"/>
  <c r="AP1540" i="16"/>
  <c r="AP1539" i="16"/>
  <c r="AP1537" i="16"/>
  <c r="AP1523" i="16"/>
  <c r="AP1519" i="16"/>
  <c r="AP1515" i="16"/>
  <c r="AP1514" i="16"/>
  <c r="AP1512" i="16"/>
  <c r="AP1506" i="16"/>
  <c r="AP1504" i="16"/>
  <c r="AP1503" i="16"/>
  <c r="AP1502" i="16"/>
  <c r="AP1498" i="16"/>
  <c r="AP1496" i="16"/>
  <c r="AP1494" i="16"/>
  <c r="AP1490" i="16"/>
  <c r="AP1487" i="16"/>
  <c r="AP1481" i="16"/>
  <c r="AP1474" i="16"/>
  <c r="AP1473" i="16"/>
  <c r="AP1469" i="16"/>
  <c r="AP1464" i="16"/>
  <c r="AP1459" i="16"/>
  <c r="AP1450" i="16"/>
  <c r="AP1443" i="16"/>
  <c r="AP1442" i="16"/>
  <c r="AP1437" i="16"/>
  <c r="AP1408" i="16"/>
  <c r="AP1400" i="16"/>
  <c r="AP1397" i="16"/>
  <c r="AP1394" i="16"/>
  <c r="AP1393" i="16"/>
  <c r="AP1389" i="16"/>
  <c r="AP1381" i="16"/>
  <c r="AP1378" i="16"/>
  <c r="AP1376" i="16"/>
  <c r="AP1374" i="16"/>
  <c r="AP1371" i="16"/>
  <c r="AP1370" i="16"/>
  <c r="AP1369" i="16"/>
  <c r="AP1368" i="16"/>
  <c r="AP1367" i="16"/>
  <c r="AP1366" i="16"/>
  <c r="AP1365" i="16"/>
  <c r="AP1364" i="16"/>
  <c r="AP1349" i="16"/>
  <c r="AP1346" i="16"/>
  <c r="AP1343" i="16"/>
  <c r="AP1341" i="16"/>
  <c r="AP1340" i="16"/>
  <c r="AP1339" i="16"/>
  <c r="AP1338" i="16"/>
  <c r="AP1331" i="16"/>
  <c r="AP1329" i="16"/>
  <c r="AP1327" i="16"/>
  <c r="AP1315" i="16"/>
  <c r="AP1309" i="16"/>
  <c r="AP1301" i="16"/>
  <c r="AP1298" i="16"/>
  <c r="AP1295" i="16"/>
  <c r="AP1273" i="16"/>
  <c r="AP1268" i="16"/>
  <c r="AP1264" i="16"/>
  <c r="AP1263" i="16"/>
  <c r="AP1261" i="16"/>
  <c r="AP1258" i="16"/>
  <c r="AP1255" i="16"/>
  <c r="AP1250" i="16"/>
  <c r="AP1245" i="16"/>
  <c r="AP1241" i="16"/>
  <c r="AP1238" i="16"/>
  <c r="AP1234" i="16"/>
  <c r="AP1225" i="16"/>
  <c r="AP1197" i="16"/>
  <c r="AP1195" i="16"/>
  <c r="AP1193" i="16"/>
  <c r="AP1191" i="16"/>
  <c r="AP1186" i="16"/>
  <c r="AP1185" i="16"/>
  <c r="AP1182" i="16"/>
  <c r="AP1180" i="16"/>
  <c r="AP1179" i="16"/>
  <c r="AP1178" i="16"/>
  <c r="AP1176" i="16"/>
  <c r="AP1168" i="16"/>
  <c r="AP1140" i="16"/>
  <c r="AP1137" i="16"/>
  <c r="AP1136" i="16"/>
  <c r="AP1135" i="16"/>
  <c r="AP1132" i="16"/>
  <c r="AP1130" i="16"/>
  <c r="AP1128" i="16"/>
  <c r="AP1118" i="16"/>
  <c r="AP1116" i="16"/>
  <c r="AP1114" i="16"/>
  <c r="AP1112" i="16"/>
  <c r="AP1097" i="16"/>
  <c r="AP1095" i="16"/>
  <c r="AP1084" i="16"/>
  <c r="AP1082" i="16"/>
  <c r="AP1080" i="16"/>
  <c r="AP1079" i="16"/>
  <c r="AP1076" i="16"/>
  <c r="AP1074" i="16"/>
  <c r="AP1068" i="16"/>
  <c r="AP1063" i="16"/>
  <c r="AP1061" i="16"/>
  <c r="AP1056" i="16"/>
  <c r="AP1051" i="16"/>
  <c r="AP1050" i="16"/>
  <c r="AP1048" i="16"/>
  <c r="AP1044" i="16"/>
  <c r="AP1039" i="16"/>
  <c r="AP1034" i="16"/>
  <c r="AP1028" i="16"/>
  <c r="AP1023" i="16"/>
  <c r="AP1020" i="16"/>
  <c r="AP1014" i="16"/>
  <c r="AP1007" i="16"/>
  <c r="AP1001" i="16"/>
  <c r="AP995" i="16"/>
  <c r="AP985" i="16"/>
  <c r="AP977" i="16"/>
  <c r="AP969" i="16"/>
  <c r="AP962" i="16"/>
  <c r="AP955" i="16"/>
  <c r="AP954" i="16"/>
  <c r="AP948" i="16"/>
  <c r="AP946" i="16"/>
  <c r="AP940" i="16"/>
  <c r="AP937" i="16"/>
  <c r="AP924" i="16"/>
  <c r="AP913" i="16"/>
  <c r="AP907" i="16"/>
  <c r="AP902" i="16"/>
  <c r="AP901" i="16"/>
  <c r="AP899" i="16"/>
  <c r="AP891" i="16"/>
  <c r="AP885" i="16"/>
  <c r="AP858" i="16"/>
  <c r="AP855" i="16"/>
  <c r="AP839" i="16"/>
  <c r="AP823" i="16"/>
  <c r="AP821" i="16"/>
  <c r="AP817" i="16"/>
  <c r="AP816" i="16"/>
  <c r="AP813" i="16"/>
  <c r="AP807" i="16"/>
  <c r="AP804" i="16"/>
  <c r="AP799" i="16"/>
  <c r="AP790" i="16"/>
  <c r="AP776" i="16"/>
  <c r="AP768" i="16"/>
  <c r="AP758" i="16"/>
  <c r="AP750" i="16"/>
  <c r="AP748" i="16"/>
  <c r="AP744" i="16"/>
  <c r="AP743" i="16"/>
  <c r="AP742" i="16"/>
  <c r="AP740" i="16"/>
  <c r="AP738" i="16"/>
  <c r="AP734" i="16"/>
  <c r="AP729" i="16"/>
  <c r="AP725" i="16"/>
  <c r="AP724" i="16"/>
  <c r="AP723" i="16"/>
  <c r="AP722" i="16"/>
  <c r="AP721" i="16"/>
  <c r="AP720" i="16"/>
  <c r="AP719" i="16"/>
  <c r="AP708" i="16"/>
  <c r="AP702" i="16"/>
  <c r="AP696" i="16"/>
  <c r="AP690" i="16"/>
  <c r="AP684" i="16"/>
  <c r="AP678" i="16"/>
  <c r="AP671" i="16"/>
  <c r="AP663" i="16"/>
  <c r="AP656" i="16"/>
  <c r="AP647" i="16"/>
  <c r="AP635" i="16"/>
  <c r="AP632" i="16"/>
  <c r="AP622" i="16"/>
  <c r="AP619" i="16"/>
  <c r="AP618" i="16"/>
  <c r="AP616" i="16"/>
  <c r="AP607" i="16"/>
  <c r="AP605" i="16"/>
  <c r="AP604" i="16"/>
  <c r="AP602" i="16"/>
  <c r="AP601" i="16"/>
  <c r="AP581" i="16"/>
  <c r="AP580" i="16"/>
  <c r="AP579" i="16"/>
  <c r="AP578" i="16"/>
  <c r="AP577" i="16"/>
  <c r="AP576" i="16"/>
  <c r="AP575" i="16"/>
  <c r="AP574" i="16"/>
  <c r="AP569" i="16"/>
  <c r="AP568" i="16"/>
  <c r="AP567" i="16"/>
  <c r="AP566" i="16"/>
  <c r="AP565" i="16"/>
  <c r="AP564" i="16"/>
  <c r="AP563" i="16"/>
  <c r="AP562" i="16"/>
  <c r="AP561" i="16"/>
  <c r="AP548" i="16"/>
  <c r="AP546" i="16"/>
  <c r="AP533" i="16"/>
  <c r="AP528" i="16"/>
  <c r="AP526" i="16"/>
  <c r="AP524" i="16"/>
  <c r="AP522" i="16"/>
  <c r="AP517" i="16"/>
  <c r="AP510" i="16"/>
  <c r="AP504" i="16"/>
  <c r="AP500" i="16"/>
  <c r="AP498" i="16"/>
  <c r="AP493" i="16"/>
  <c r="AP489" i="16"/>
  <c r="AP486" i="16"/>
  <c r="AP485" i="16"/>
  <c r="AP483" i="16"/>
  <c r="AP478" i="16"/>
  <c r="AP477" i="16"/>
  <c r="AP475" i="16"/>
  <c r="AP469" i="16"/>
  <c r="AP466" i="16"/>
  <c r="AP464" i="16"/>
  <c r="AP452" i="16"/>
  <c r="AP450" i="16"/>
  <c r="AP448" i="16"/>
  <c r="AP442" i="16"/>
  <c r="AP438" i="16"/>
  <c r="AP437" i="16"/>
  <c r="AP434" i="16"/>
  <c r="AP424" i="16"/>
  <c r="AP416" i="16"/>
  <c r="AP412" i="16"/>
  <c r="AP410" i="16"/>
  <c r="AP408" i="16"/>
  <c r="AP405" i="16"/>
  <c r="AP403" i="16"/>
  <c r="AP398" i="16"/>
  <c r="AP394" i="16"/>
  <c r="AP390" i="16"/>
  <c r="AP384" i="16"/>
  <c r="AP382" i="16"/>
  <c r="AP381" i="16"/>
  <c r="AP378" i="16"/>
  <c r="AP376" i="16"/>
  <c r="AP372" i="16"/>
  <c r="AP370" i="16"/>
  <c r="AP364" i="16"/>
  <c r="AP362" i="16"/>
  <c r="AP360" i="16"/>
  <c r="AP359" i="16"/>
  <c r="AP355" i="16"/>
  <c r="AP352" i="16"/>
  <c r="AP341" i="16"/>
  <c r="AP333" i="16"/>
  <c r="AP326" i="16"/>
  <c r="AP324" i="16"/>
  <c r="AP320" i="16"/>
  <c r="AP319" i="16"/>
  <c r="AP318" i="16"/>
  <c r="AP311" i="16"/>
  <c r="AP309" i="16"/>
  <c r="AP308" i="16"/>
  <c r="AP307" i="16"/>
  <c r="AP306" i="16"/>
  <c r="AP305" i="16"/>
  <c r="AP299" i="16"/>
  <c r="AP298" i="16"/>
  <c r="AP297" i="16"/>
  <c r="AP296" i="16"/>
  <c r="AP295" i="16"/>
  <c r="AP294" i="16"/>
  <c r="AP290" i="16"/>
  <c r="AP287" i="16"/>
  <c r="AP284" i="16"/>
  <c r="AP258" i="16"/>
  <c r="AP256" i="16"/>
  <c r="AP255" i="16"/>
  <c r="AP249" i="16"/>
  <c r="AP246" i="16"/>
  <c r="AP245" i="16"/>
  <c r="AP241" i="16"/>
  <c r="AP238" i="16"/>
  <c r="AP230" i="16"/>
  <c r="AP226" i="16"/>
  <c r="AP225" i="16"/>
  <c r="AP223" i="16"/>
  <c r="AP216" i="16"/>
  <c r="AP214" i="16"/>
  <c r="AP213" i="16"/>
  <c r="AP212" i="16"/>
  <c r="AP211" i="16"/>
  <c r="AP210" i="16"/>
  <c r="AP209" i="16"/>
  <c r="AP207" i="16"/>
  <c r="AP204" i="16"/>
  <c r="AP200" i="16"/>
  <c r="AP198" i="16"/>
  <c r="AP196" i="16"/>
  <c r="AP195" i="16"/>
  <c r="AP193" i="16"/>
  <c r="AP188" i="16"/>
  <c r="AP186" i="16"/>
  <c r="AP185" i="16"/>
  <c r="AP178" i="16"/>
  <c r="AP170" i="16"/>
  <c r="AP163" i="16"/>
  <c r="AP161" i="16"/>
  <c r="AP160" i="16"/>
  <c r="AP159" i="16"/>
  <c r="AP155" i="16"/>
  <c r="AP153" i="16"/>
  <c r="AP151" i="16"/>
  <c r="AP148" i="16"/>
  <c r="AP146" i="16"/>
  <c r="AP141" i="16"/>
  <c r="AP140" i="16"/>
  <c r="AP135" i="16"/>
  <c r="AP133" i="16"/>
  <c r="AP131" i="16"/>
  <c r="AP129" i="16"/>
  <c r="AP123" i="16"/>
  <c r="AP121" i="16"/>
  <c r="AP114" i="16"/>
  <c r="AP107" i="16"/>
  <c r="AP103" i="16"/>
  <c r="AP100" i="16"/>
  <c r="AP92" i="16"/>
  <c r="AP91" i="16"/>
  <c r="AP90" i="16"/>
  <c r="AP88" i="16"/>
  <c r="AP87" i="16"/>
  <c r="AP83" i="16"/>
  <c r="AP79" i="16"/>
  <c r="AP77" i="16"/>
  <c r="AP72" i="16"/>
  <c r="AP70" i="16"/>
  <c r="AP69" i="16"/>
  <c r="AP68" i="16"/>
  <c r="AP65" i="16"/>
  <c r="AP63" i="16"/>
  <c r="AP62" i="16"/>
  <c r="AP61" i="16"/>
  <c r="AP59" i="16"/>
  <c r="AP57" i="16"/>
  <c r="AP56" i="16"/>
  <c r="AP45" i="16"/>
  <c r="AP39" i="16"/>
  <c r="AP36" i="16"/>
  <c r="AP27" i="16"/>
  <c r="AP25" i="16"/>
  <c r="AP23" i="16"/>
  <c r="AP21" i="16"/>
  <c r="AP18" i="16"/>
  <c r="AP17" i="16"/>
  <c r="AP16" i="16"/>
  <c r="AP14" i="16"/>
  <c r="AN21" i="16"/>
  <c r="AN23" i="16"/>
  <c r="AN25" i="16"/>
  <c r="AN27" i="16"/>
  <c r="AN36" i="16"/>
  <c r="AN39" i="16"/>
  <c r="AN45" i="16"/>
  <c r="AN57" i="16"/>
  <c r="AN56" i="16"/>
  <c r="AN59" i="16"/>
  <c r="AN63" i="16"/>
  <c r="AN62" i="16"/>
  <c r="AN61" i="16"/>
  <c r="AN65" i="16"/>
  <c r="AN70" i="16"/>
  <c r="AN69" i="16"/>
  <c r="AN72" i="16"/>
  <c r="AN77" i="16"/>
  <c r="AN79" i="16"/>
  <c r="AN83" i="16"/>
  <c r="AN85" i="16"/>
  <c r="AN92" i="16"/>
  <c r="AN100" i="16"/>
  <c r="AN103" i="16"/>
  <c r="AN107" i="16"/>
  <c r="AN114" i="16"/>
  <c r="AN123" i="16"/>
  <c r="AN129" i="16"/>
  <c r="AN131" i="16"/>
  <c r="AN133" i="16"/>
  <c r="AN135" i="16"/>
  <c r="AN141" i="16"/>
  <c r="AN140" i="16"/>
  <c r="AN146" i="16"/>
  <c r="AN148" i="16"/>
  <c r="AN151" i="16"/>
  <c r="AN153" i="16"/>
  <c r="AN155" i="16"/>
  <c r="AN161" i="16"/>
  <c r="AN160" i="16"/>
  <c r="AN159" i="16"/>
  <c r="AN163" i="16"/>
  <c r="AN170" i="16"/>
  <c r="AN178" i="16"/>
  <c r="AN186" i="16"/>
  <c r="AN185" i="16"/>
  <c r="AN188" i="16"/>
  <c r="AN193" i="16"/>
  <c r="AN196" i="16"/>
  <c r="AN195" i="16"/>
  <c r="AN198" i="16"/>
  <c r="AN200" i="16"/>
  <c r="AN204" i="16"/>
  <c r="AN208" i="16"/>
  <c r="AN207" i="16"/>
  <c r="AN216" i="16"/>
  <c r="AN223" i="16"/>
  <c r="AN226" i="16"/>
  <c r="AN225" i="16"/>
  <c r="AN230" i="16"/>
  <c r="AN236" i="16"/>
  <c r="AN246" i="16"/>
  <c r="AN249" i="16"/>
  <c r="AN256" i="16"/>
  <c r="AN255" i="16"/>
  <c r="AN258" i="16"/>
  <c r="AN268" i="16"/>
  <c r="AN284" i="16"/>
  <c r="AN287" i="16"/>
  <c r="AN290" i="16"/>
  <c r="AN299" i="16"/>
  <c r="AN298" i="16"/>
  <c r="AN297" i="16"/>
  <c r="AN296" i="16"/>
  <c r="AN295" i="16"/>
  <c r="AN294" i="16"/>
  <c r="AN310" i="16"/>
  <c r="AN309" i="16"/>
  <c r="AN308" i="16"/>
  <c r="AN307" i="16"/>
  <c r="AN306" i="16"/>
  <c r="AN305" i="16"/>
  <c r="AN315" i="16"/>
  <c r="AN333" i="16"/>
  <c r="AN341" i="16"/>
  <c r="AN355" i="16"/>
  <c r="AN357" i="16"/>
  <c r="AN364" i="16"/>
  <c r="AN370" i="16"/>
  <c r="AN376" i="16"/>
  <c r="AN382" i="16"/>
  <c r="AN384" i="16"/>
  <c r="AN390" i="16"/>
  <c r="AN394" i="16"/>
  <c r="AN398" i="16"/>
  <c r="AN403" i="16"/>
  <c r="AN405" i="16"/>
  <c r="AN408" i="16"/>
  <c r="AN410" i="16"/>
  <c r="AN412" i="16"/>
  <c r="AN434" i="16"/>
  <c r="AN438" i="16"/>
  <c r="AN437" i="16"/>
  <c r="AN442" i="16"/>
  <c r="AN448" i="16"/>
  <c r="AN451" i="16"/>
  <c r="AN450" i="16"/>
  <c r="AN466" i="16"/>
  <c r="AN475" i="16"/>
  <c r="AN479" i="16"/>
  <c r="AN478" i="16"/>
  <c r="AN477" i="16"/>
  <c r="AN489" i="16"/>
  <c r="AN498" i="16"/>
  <c r="AN500" i="16"/>
  <c r="AN504" i="16"/>
  <c r="AN510" i="16"/>
  <c r="AN517" i="16"/>
  <c r="AN521" i="16"/>
  <c r="AN533" i="16"/>
  <c r="AN548" i="16"/>
  <c r="AN557" i="16"/>
  <c r="AN573" i="16"/>
  <c r="AN601" i="16"/>
  <c r="AN604" i="16"/>
  <c r="AN607" i="16"/>
  <c r="AN616" i="16"/>
  <c r="AN619" i="16"/>
  <c r="AN618" i="16"/>
  <c r="AN622" i="16"/>
  <c r="AN631" i="16"/>
  <c r="AN647" i="16"/>
  <c r="AN656" i="16"/>
  <c r="AN663" i="16"/>
  <c r="AN665" i="16"/>
  <c r="AN708" i="16"/>
  <c r="AN716" i="16"/>
  <c r="AN727" i="16"/>
  <c r="AN752" i="16"/>
  <c r="AN789" i="16"/>
  <c r="AN911" i="16"/>
  <c r="AN923" i="16"/>
  <c r="AN946" i="16"/>
  <c r="AN953" i="16"/>
  <c r="AN955" i="16"/>
  <c r="AN958" i="16"/>
  <c r="AN977" i="16"/>
  <c r="AN1007" i="16"/>
  <c r="AN1013" i="16"/>
  <c r="AN1019" i="16"/>
  <c r="AN1022" i="16"/>
  <c r="AN1027" i="16"/>
  <c r="AN1033" i="16"/>
  <c r="AN1039" i="16"/>
  <c r="AN1043" i="16"/>
  <c r="AN1048" i="16"/>
  <c r="AN1051" i="16"/>
  <c r="AN1050" i="16"/>
  <c r="AN1055" i="16"/>
  <c r="AN1061" i="16"/>
  <c r="AN1068" i="16"/>
  <c r="AN1074" i="16"/>
  <c r="AN1076" i="16"/>
  <c r="AN1078" i="16"/>
  <c r="AN1084" i="16"/>
  <c r="AN1097" i="16"/>
  <c r="AN1100" i="16"/>
  <c r="AN1108" i="16"/>
  <c r="AN1107" i="16"/>
  <c r="AN1106" i="16"/>
  <c r="AN1105" i="16"/>
  <c r="AN1112" i="16"/>
  <c r="AN1114" i="16"/>
  <c r="AN1117" i="16"/>
  <c r="AN1116" i="16"/>
  <c r="AN1128" i="16"/>
  <c r="AN1130" i="16"/>
  <c r="AN1132" i="16"/>
  <c r="AN1137" i="16"/>
  <c r="AN1136" i="16"/>
  <c r="AN1135" i="16"/>
  <c r="AN1140" i="16"/>
  <c r="AN1168" i="16"/>
  <c r="AN1170" i="16"/>
  <c r="AN1197" i="16"/>
  <c r="AN1221" i="16"/>
  <c r="AN1234" i="16"/>
  <c r="AN1238" i="16"/>
  <c r="AN1241" i="16"/>
  <c r="AN1245" i="16"/>
  <c r="AN1250" i="16"/>
  <c r="AN1255" i="16"/>
  <c r="AN1258" i="16"/>
  <c r="AN1260" i="16"/>
  <c r="AN1264" i="16"/>
  <c r="AN1263" i="16"/>
  <c r="AN1268" i="16"/>
  <c r="AN1273" i="16"/>
  <c r="AN1282" i="16"/>
  <c r="AN1298" i="16"/>
  <c r="AN1295" i="16"/>
  <c r="AN1301" i="16"/>
  <c r="AN1309" i="16"/>
  <c r="AN1315" i="16"/>
  <c r="AN1327" i="16"/>
  <c r="AN1329" i="16"/>
  <c r="AN1331" i="16"/>
  <c r="AN1336" i="16"/>
  <c r="AN1346" i="16"/>
  <c r="AN1349" i="16"/>
  <c r="AN1356" i="16"/>
  <c r="AN1374" i="16"/>
  <c r="AN1376" i="16"/>
  <c r="AN1378" i="16"/>
  <c r="AN1380" i="16"/>
  <c r="AN1389" i="16"/>
  <c r="AN1394" i="16"/>
  <c r="AN1393" i="16"/>
  <c r="AN1397" i="16"/>
  <c r="AN1400" i="16"/>
  <c r="AN1407" i="16"/>
  <c r="AN1437" i="16"/>
  <c r="AN1443" i="16"/>
  <c r="AN1442" i="16"/>
  <c r="AN1450" i="16"/>
  <c r="AN1459" i="16"/>
  <c r="AN1464" i="16"/>
  <c r="AN1469" i="16"/>
  <c r="AN1474" i="16"/>
  <c r="AN1473" i="16"/>
  <c r="AN1481" i="16"/>
  <c r="AN1487" i="16"/>
  <c r="AN1490" i="16"/>
  <c r="AN1494" i="16"/>
  <c r="AN1496" i="16"/>
  <c r="AN1498" i="16"/>
  <c r="AN1504" i="16"/>
  <c r="AN1503" i="16"/>
  <c r="AN1502" i="16"/>
  <c r="AN1512" i="16"/>
  <c r="AN1515" i="16"/>
  <c r="AN1519" i="16"/>
  <c r="AN1523" i="16"/>
  <c r="AN1534" i="16"/>
  <c r="AN1540" i="16"/>
  <c r="AN1543" i="16"/>
  <c r="AN1550" i="16"/>
  <c r="AN1553" i="16"/>
  <c r="AN1558" i="16"/>
  <c r="AN1561" i="16"/>
  <c r="AN1563" i="16"/>
  <c r="AN1569" i="16"/>
  <c r="AN1575" i="16"/>
  <c r="AN1580" i="16"/>
  <c r="AN1583" i="16"/>
  <c r="AN1590" i="16"/>
  <c r="AN1593" i="16"/>
  <c r="AN1599" i="16"/>
  <c r="AN1602" i="16"/>
  <c r="AN1604" i="16"/>
  <c r="AN1607" i="16"/>
  <c r="AN1609" i="16"/>
  <c r="AN1611" i="16"/>
  <c r="AN1614" i="16"/>
  <c r="AN1616" i="16"/>
  <c r="AN1618" i="16"/>
  <c r="AN1625" i="16"/>
  <c r="AN1624" i="16"/>
  <c r="AN1647" i="16"/>
  <c r="AN1649" i="16"/>
  <c r="AN1654" i="16"/>
  <c r="AN1675" i="16"/>
  <c r="AN1684" i="16"/>
  <c r="AN1691" i="16"/>
  <c r="AN1696" i="16"/>
  <c r="AN1702" i="16"/>
  <c r="AN1715" i="16"/>
  <c r="AN1722" i="16"/>
  <c r="AN1728" i="16"/>
  <c r="AN1730" i="16"/>
  <c r="AN1738" i="16"/>
  <c r="AN1742" i="16"/>
  <c r="AN1745" i="16"/>
  <c r="AN1749" i="16"/>
  <c r="AN1753" i="16"/>
  <c r="AN1758" i="16"/>
  <c r="AN1768" i="16"/>
  <c r="AN1777" i="16"/>
  <c r="AN1779" i="16"/>
  <c r="AN1782" i="16"/>
  <c r="AN1787" i="16"/>
  <c r="AN1792" i="16"/>
  <c r="AN1791" i="16"/>
  <c r="AN1799" i="16"/>
  <c r="AN1805" i="16"/>
  <c r="AN1809" i="16"/>
  <c r="AN1813" i="16"/>
  <c r="AN1821" i="16"/>
  <c r="AN1826" i="16"/>
  <c r="AN1830" i="16"/>
  <c r="AN1835" i="16"/>
  <c r="AN1840" i="16"/>
  <c r="AN1906" i="16"/>
  <c r="AN1924" i="16"/>
  <c r="AN1951" i="16"/>
  <c r="AN1993" i="16"/>
  <c r="AN2012" i="16"/>
  <c r="AN2014" i="16"/>
  <c r="AL2014" i="16"/>
  <c r="AL2012" i="16"/>
  <c r="AL1999" i="16"/>
  <c r="AL1996" i="16"/>
  <c r="AL1994" i="16"/>
  <c r="AL1993" i="16"/>
  <c r="AL1977" i="16"/>
  <c r="AL1955" i="16"/>
  <c r="AL1951" i="16"/>
  <c r="AL1930" i="16"/>
  <c r="AL1928" i="16"/>
  <c r="AL1924" i="16"/>
  <c r="AL1915" i="16"/>
  <c r="AL1912" i="16"/>
  <c r="AL1909" i="16"/>
  <c r="AL1906" i="16"/>
  <c r="AL1888" i="16"/>
  <c r="AL1845" i="16"/>
  <c r="AL1844" i="16"/>
  <c r="AL1843" i="16"/>
  <c r="AL1840" i="16"/>
  <c r="AL1835" i="16"/>
  <c r="AL1830" i="16"/>
  <c r="AL1826" i="16"/>
  <c r="AL1821" i="16"/>
  <c r="AL1813" i="16"/>
  <c r="AL1811" i="16"/>
  <c r="AL1810" i="16"/>
  <c r="AL1808" i="16"/>
  <c r="AL1806" i="16"/>
  <c r="AL1801" i="16"/>
  <c r="AL1799" i="16"/>
  <c r="AL1792" i="16"/>
  <c r="AL1791" i="16"/>
  <c r="AL1789" i="16"/>
  <c r="AL1788" i="16"/>
  <c r="AL1787" i="16"/>
  <c r="AL1782" i="16"/>
  <c r="AL1779" i="16"/>
  <c r="AL1777" i="16"/>
  <c r="AL1776" i="16"/>
  <c r="AL1775" i="16"/>
  <c r="AL1773" i="16"/>
  <c r="AL1771" i="16"/>
  <c r="AL1768" i="16"/>
  <c r="AL1758" i="16"/>
  <c r="AL1756" i="16"/>
  <c r="AL1754" i="16"/>
  <c r="AL1753" i="16"/>
  <c r="AL1749" i="16"/>
  <c r="AL1748" i="16"/>
  <c r="AL1747" i="16"/>
  <c r="AL1745" i="16"/>
  <c r="AL1742" i="16"/>
  <c r="AL1740" i="16"/>
  <c r="AL1738" i="16"/>
  <c r="AL1730" i="16"/>
  <c r="AL1728" i="16"/>
  <c r="AL1725" i="16"/>
  <c r="AL1724" i="16"/>
  <c r="AL1720" i="16"/>
  <c r="AL1715" i="16"/>
  <c r="AL1711" i="16"/>
  <c r="AL1710" i="16"/>
  <c r="AL1705" i="16"/>
  <c r="AL1696" i="16"/>
  <c r="AL1691" i="16"/>
  <c r="AL1684" i="16"/>
  <c r="AL1675" i="16"/>
  <c r="AL1654" i="16"/>
  <c r="AL1652" i="16"/>
  <c r="AL1649" i="16"/>
  <c r="AL1647" i="16"/>
  <c r="AL1643" i="16"/>
  <c r="AL1641" i="16"/>
  <c r="AL1640" i="16"/>
  <c r="AL1639" i="16"/>
  <c r="AL1637" i="16"/>
  <c r="AL1628" i="16"/>
  <c r="AL1625" i="16"/>
  <c r="AL1624" i="16"/>
  <c r="AL1618" i="16"/>
  <c r="AL1617" i="16"/>
  <c r="AL1615" i="16"/>
  <c r="AL1611" i="16"/>
  <c r="AL1610" i="16"/>
  <c r="AL1608" i="16"/>
  <c r="AL1605" i="16"/>
  <c r="AL1603" i="16"/>
  <c r="AL1600" i="16"/>
  <c r="AL1595" i="16"/>
  <c r="AL1594" i="16"/>
  <c r="AL1590" i="16"/>
  <c r="AL1586" i="16"/>
  <c r="AL1585" i="16"/>
  <c r="AL1584" i="16"/>
  <c r="AL1582" i="16"/>
  <c r="AL1581" i="16"/>
  <c r="AL1575" i="16"/>
  <c r="AL1569" i="16"/>
  <c r="AL1563" i="16"/>
  <c r="AL1561" i="16"/>
  <c r="AL1558" i="16"/>
  <c r="AL1553" i="16"/>
  <c r="AL1550" i="16"/>
  <c r="AL1549" i="16"/>
  <c r="AL1547" i="16"/>
  <c r="AL1540" i="16"/>
  <c r="AL1539" i="16"/>
  <c r="AL1537" i="16"/>
  <c r="AL1531" i="16"/>
  <c r="AL1529" i="16"/>
  <c r="AL1528" i="16"/>
  <c r="AL1527" i="16"/>
  <c r="AL1524" i="16"/>
  <c r="AL1519" i="16"/>
  <c r="AL1515" i="16"/>
  <c r="AL1514" i="16"/>
  <c r="AL1512" i="16"/>
  <c r="AL1504" i="16"/>
  <c r="AL1503" i="16"/>
  <c r="AL1502" i="16"/>
  <c r="AL1498" i="16"/>
  <c r="AL1496" i="16"/>
  <c r="AL1494" i="16"/>
  <c r="AL1490" i="16"/>
  <c r="AL1487" i="16"/>
  <c r="AL1481" i="16"/>
  <c r="AL1474" i="16"/>
  <c r="AL1473" i="16"/>
  <c r="AL1469" i="16"/>
  <c r="AL1464" i="16"/>
  <c r="AL1463" i="16"/>
  <c r="AL1462" i="16"/>
  <c r="AL1461" i="16"/>
  <c r="AL1450" i="16"/>
  <c r="AL1444" i="16"/>
  <c r="AL1443" i="16"/>
  <c r="AL1442" i="16"/>
  <c r="AL1437" i="16"/>
  <c r="AL1423" i="16"/>
  <c r="AL1432" i="16"/>
  <c r="AL1430" i="16"/>
  <c r="AL1427" i="16"/>
  <c r="AL1425" i="16"/>
  <c r="AL1421" i="16"/>
  <c r="AL1400" i="16"/>
  <c r="AL1397" i="16"/>
  <c r="AL1394" i="16"/>
  <c r="AL1393" i="16"/>
  <c r="AL1389" i="16"/>
  <c r="AL1380" i="16"/>
  <c r="AL1378" i="16"/>
  <c r="AL1376" i="16"/>
  <c r="AL1374" i="16"/>
  <c r="AL1359" i="16"/>
  <c r="AL1358" i="16"/>
  <c r="AL1354" i="16"/>
  <c r="AL1352" i="16"/>
  <c r="AL1346" i="16"/>
  <c r="AL1343" i="16"/>
  <c r="AL1341" i="16"/>
  <c r="AL1340" i="16"/>
  <c r="AL1339" i="16"/>
  <c r="AL1338" i="16"/>
  <c r="AL1336" i="16"/>
  <c r="AL1331" i="16"/>
  <c r="AL1329" i="16"/>
  <c r="AL1327" i="16"/>
  <c r="AL1315" i="16"/>
  <c r="AL1313" i="16"/>
  <c r="AL1312" i="16"/>
  <c r="AL1301" i="16"/>
  <c r="AL1298" i="16"/>
  <c r="AL1295" i="16"/>
  <c r="AL1282" i="16"/>
  <c r="AL1273" i="16"/>
  <c r="AL1268" i="16"/>
  <c r="AL1264" i="16"/>
  <c r="AL1263" i="16"/>
  <c r="AL1260" i="16"/>
  <c r="AL1258" i="16"/>
  <c r="AL1255" i="16"/>
  <c r="AL1254" i="16"/>
  <c r="AL1253" i="16"/>
  <c r="AL1249" i="16"/>
  <c r="AL1248" i="16"/>
  <c r="AL1244" i="16"/>
  <c r="AL1243" i="16"/>
  <c r="AL1238" i="16"/>
  <c r="AL1237" i="16"/>
  <c r="AL1236" i="16"/>
  <c r="AL1197" i="16"/>
  <c r="AL1173" i="16"/>
  <c r="AL1172" i="16"/>
  <c r="AL1168" i="16"/>
  <c r="AL1140" i="16"/>
  <c r="AL1137" i="16"/>
  <c r="AL1136" i="16"/>
  <c r="AL1135" i="16"/>
  <c r="AL1132" i="16"/>
  <c r="AL1130" i="16"/>
  <c r="AL1128" i="16"/>
  <c r="AL1124" i="16"/>
  <c r="AL1123" i="16"/>
  <c r="AL1122" i="16"/>
  <c r="AL1121" i="16"/>
  <c r="AL1120" i="16"/>
  <c r="AL1116" i="16"/>
  <c r="AL1114" i="16"/>
  <c r="AL1112" i="16"/>
  <c r="AL1111" i="16"/>
  <c r="AL1110" i="16"/>
  <c r="AL1109" i="16"/>
  <c r="AL1107" i="16"/>
  <c r="AL1106" i="16"/>
  <c r="AL1105" i="16"/>
  <c r="AL1103" i="16"/>
  <c r="AL1102" i="16"/>
  <c r="AL1099" i="16"/>
  <c r="AL1098" i="16"/>
  <c r="AL1092" i="16"/>
  <c r="AL1091" i="16"/>
  <c r="AL1090" i="16"/>
  <c r="AL1078" i="16"/>
  <c r="AL1076" i="16"/>
  <c r="AL1074" i="16"/>
  <c r="AL1068" i="16"/>
  <c r="AL1061" i="16"/>
  <c r="AL1060" i="16"/>
  <c r="AL1059" i="16"/>
  <c r="AL1058" i="16"/>
  <c r="AL1051" i="16"/>
  <c r="AL1050" i="16"/>
  <c r="AL1049" i="16"/>
  <c r="AL1048" i="16"/>
  <c r="AL1047" i="16"/>
  <c r="AL1046" i="16"/>
  <c r="AL1045" i="16"/>
  <c r="AL1044" i="16"/>
  <c r="AL1039" i="16"/>
  <c r="AL1037" i="16"/>
  <c r="AL1036" i="16"/>
  <c r="AL1035" i="16"/>
  <c r="AL1034" i="16"/>
  <c r="AL1029" i="16"/>
  <c r="AL1028" i="16"/>
  <c r="AL1026" i="16"/>
  <c r="AL1025" i="16"/>
  <c r="AL1024" i="16"/>
  <c r="AL1023" i="16"/>
  <c r="AL1021" i="16"/>
  <c r="AL1020" i="16"/>
  <c r="AL1018" i="16"/>
  <c r="AL1017" i="16"/>
  <c r="AL1016" i="16"/>
  <c r="AL1015" i="16"/>
  <c r="AL1014" i="16"/>
  <c r="AL1007" i="16"/>
  <c r="AL984" i="16"/>
  <c r="AL983" i="16"/>
  <c r="AL982" i="16"/>
  <c r="AL977" i="16"/>
  <c r="AL962" i="16"/>
  <c r="AL958" i="16"/>
  <c r="AL955" i="16"/>
  <c r="AL953" i="16"/>
  <c r="AL946" i="16"/>
  <c r="AL940" i="16"/>
  <c r="AL937" i="16"/>
  <c r="AL924" i="16"/>
  <c r="AL923" i="16"/>
  <c r="AL911" i="16"/>
  <c r="AL907" i="16"/>
  <c r="AL902" i="16"/>
  <c r="AL897" i="16"/>
  <c r="AL891" i="16"/>
  <c r="AL885" i="16"/>
  <c r="AL858" i="16"/>
  <c r="AL836" i="16"/>
  <c r="AL820" i="16"/>
  <c r="AL817" i="16"/>
  <c r="AL816" i="16"/>
  <c r="AL813" i="16"/>
  <c r="AL807" i="16"/>
  <c r="AL804" i="16"/>
  <c r="AL752" i="16"/>
  <c r="AL750" i="16"/>
  <c r="AL748" i="16"/>
  <c r="AL744" i="16"/>
  <c r="AL743" i="16"/>
  <c r="AL742" i="16"/>
  <c r="AL740" i="16"/>
  <c r="AL738" i="16"/>
  <c r="AL734" i="16"/>
  <c r="AL729" i="16"/>
  <c r="AL727" i="16"/>
  <c r="AL725" i="16"/>
  <c r="AL724" i="16"/>
  <c r="AL723" i="16"/>
  <c r="AL722" i="16"/>
  <c r="AL721" i="16"/>
  <c r="AL720" i="16"/>
  <c r="AL719" i="16"/>
  <c r="AL716" i="16"/>
  <c r="AL708" i="16"/>
  <c r="AL683" i="16"/>
  <c r="AL669" i="16"/>
  <c r="AL665" i="16"/>
  <c r="AL663" i="16"/>
  <c r="AL656" i="16"/>
  <c r="AL647" i="16"/>
  <c r="AL631" i="16"/>
  <c r="AL622" i="16"/>
  <c r="AL619" i="16"/>
  <c r="AL618" i="16"/>
  <c r="AL616" i="16"/>
  <c r="AL607" i="16"/>
  <c r="AL604" i="16"/>
  <c r="AL601" i="16"/>
  <c r="AL588" i="16"/>
  <c r="AL586" i="16"/>
  <c r="AL584" i="16"/>
  <c r="AL560" i="16"/>
  <c r="AL559" i="16"/>
  <c r="AL557" i="16"/>
  <c r="AL548" i="16"/>
  <c r="AL533" i="16"/>
  <c r="AL521" i="16"/>
  <c r="AL517" i="16"/>
  <c r="AL510" i="16"/>
  <c r="AL504" i="16"/>
  <c r="AL500" i="16"/>
  <c r="AL498" i="16"/>
  <c r="AL493" i="16"/>
  <c r="AL489" i="16"/>
  <c r="AL479" i="16"/>
  <c r="AL478" i="16"/>
  <c r="AL477" i="16"/>
  <c r="AL475" i="16"/>
  <c r="AL469" i="16"/>
  <c r="AL466" i="16"/>
  <c r="AL464" i="16"/>
  <c r="AL451" i="16"/>
  <c r="AL450" i="16"/>
  <c r="AL448" i="16"/>
  <c r="AL446" i="16"/>
  <c r="AL443" i="16"/>
  <c r="AL438" i="16"/>
  <c r="AL437" i="16"/>
  <c r="AL434" i="16"/>
  <c r="AL424" i="16"/>
  <c r="AL416" i="16"/>
  <c r="AL412" i="16"/>
  <c r="AL410" i="16"/>
  <c r="AL408" i="16"/>
  <c r="AL405" i="16"/>
  <c r="AL403" i="16"/>
  <c r="AL398" i="16"/>
  <c r="AL394" i="16"/>
  <c r="AL390" i="16"/>
  <c r="AL384" i="16"/>
  <c r="AL382" i="16"/>
  <c r="AL378" i="16"/>
  <c r="AL376" i="16"/>
  <c r="AL372" i="16"/>
  <c r="AL370" i="16"/>
  <c r="AL364" i="16"/>
  <c r="AL362" i="16"/>
  <c r="AL357" i="16"/>
  <c r="AL355" i="16"/>
  <c r="AL352" i="16"/>
  <c r="AL341" i="16"/>
  <c r="AL333" i="16"/>
  <c r="AL331" i="16"/>
  <c r="AL329" i="16"/>
  <c r="AL328" i="16"/>
  <c r="AL315" i="16"/>
  <c r="AL314" i="16"/>
  <c r="AL313" i="16"/>
  <c r="AL310" i="16"/>
  <c r="AL309" i="16"/>
  <c r="AL308" i="16"/>
  <c r="AL307" i="16"/>
  <c r="AL306" i="16"/>
  <c r="AL305" i="16"/>
  <c r="AL302" i="16"/>
  <c r="AL299" i="16"/>
  <c r="AL298" i="16"/>
  <c r="AL297" i="16"/>
  <c r="AL296" i="16"/>
  <c r="AL295" i="16"/>
  <c r="AL294" i="16"/>
  <c r="AL290" i="16"/>
  <c r="AL287" i="16"/>
  <c r="AL284" i="16"/>
  <c r="AL276" i="16"/>
  <c r="AL275" i="16"/>
  <c r="AL274" i="16"/>
  <c r="AL273" i="16"/>
  <c r="AL272" i="16"/>
  <c r="AL258" i="16"/>
  <c r="AL256" i="16"/>
  <c r="AL255" i="16"/>
  <c r="AL254" i="16"/>
  <c r="AL253" i="16"/>
  <c r="AL252" i="16"/>
  <c r="AL251" i="16"/>
  <c r="AL250" i="16"/>
  <c r="AL246" i="16"/>
  <c r="AL236" i="16"/>
  <c r="AL234" i="16"/>
  <c r="AL233" i="16"/>
  <c r="AL232" i="16"/>
  <c r="AL229" i="16"/>
  <c r="AL228" i="16"/>
  <c r="AL227" i="16"/>
  <c r="AL225" i="16"/>
  <c r="AL223" i="16"/>
  <c r="AL216" i="16"/>
  <c r="AL208" i="16"/>
  <c r="AL207" i="16"/>
  <c r="AL204" i="16"/>
  <c r="AL200" i="16"/>
  <c r="AL198" i="16"/>
  <c r="AL196" i="16"/>
  <c r="AL195" i="16"/>
  <c r="AL193" i="16"/>
  <c r="AL188" i="16"/>
  <c r="AL186" i="16"/>
  <c r="AL185" i="16"/>
  <c r="AL178" i="16"/>
  <c r="AL170" i="16"/>
  <c r="AL168" i="16"/>
  <c r="AL166" i="16"/>
  <c r="AL163" i="16"/>
  <c r="AL161" i="16"/>
  <c r="AL160" i="16"/>
  <c r="AL159" i="16"/>
  <c r="AL155" i="16"/>
  <c r="AL153" i="16"/>
  <c r="AL151" i="16"/>
  <c r="AL148" i="16"/>
  <c r="AL146" i="16"/>
  <c r="AL141" i="16"/>
  <c r="AL140" i="16"/>
  <c r="AL139" i="16"/>
  <c r="AL138" i="16"/>
  <c r="AL137" i="16"/>
  <c r="AL136" i="16"/>
  <c r="AL133" i="16"/>
  <c r="AL131" i="16"/>
  <c r="AL129" i="16"/>
  <c r="AL128" i="16"/>
  <c r="AL127" i="16"/>
  <c r="AL126" i="16"/>
  <c r="AL125" i="16"/>
  <c r="AL118" i="16"/>
  <c r="AL117" i="16"/>
  <c r="AL116" i="16"/>
  <c r="AL113" i="16"/>
  <c r="AL112" i="16"/>
  <c r="AL111" i="16"/>
  <c r="AL103" i="16"/>
  <c r="AL100" i="16"/>
  <c r="AL92" i="16"/>
  <c r="AL85" i="16"/>
  <c r="AL83" i="16"/>
  <c r="AL79" i="16"/>
  <c r="AL77" i="16"/>
  <c r="AL76" i="16"/>
  <c r="AL75" i="16"/>
  <c r="AL74" i="16"/>
  <c r="AL70" i="16"/>
  <c r="AL69" i="16"/>
  <c r="AL65" i="16"/>
  <c r="AL63" i="16"/>
  <c r="AL62" i="16"/>
  <c r="AL61" i="16"/>
  <c r="AL59" i="16"/>
  <c r="AL57" i="16"/>
  <c r="AL56" i="16"/>
  <c r="AL45" i="16"/>
  <c r="AL43" i="16"/>
  <c r="AL42" i="16"/>
  <c r="AL41" i="16"/>
  <c r="AL36" i="16"/>
  <c r="AL27" i="16"/>
  <c r="AL25" i="16"/>
  <c r="AL23" i="16"/>
  <c r="AL21" i="16"/>
  <c r="AL18" i="16"/>
  <c r="AL17" i="16"/>
  <c r="AL16" i="16"/>
  <c r="U39" i="16"/>
  <c r="AL12" i="29"/>
  <c r="AL17" i="29"/>
  <c r="AL16" i="29"/>
  <c r="AL15" i="29"/>
  <c r="AL60" i="29"/>
  <c r="AL78" i="29"/>
  <c r="AL81" i="29"/>
  <c r="AL84" i="29"/>
  <c r="AL87" i="29"/>
  <c r="AL96" i="29"/>
  <c r="AL100" i="29"/>
  <c r="AL102" i="29"/>
  <c r="AL123" i="29"/>
  <c r="AL127" i="29"/>
  <c r="AL149" i="29"/>
  <c r="AL165" i="29"/>
  <c r="AL166" i="29"/>
  <c r="AL168" i="29"/>
  <c r="AL171" i="29"/>
  <c r="AL184" i="29"/>
  <c r="AL186" i="29"/>
  <c r="AN186" i="29"/>
  <c r="AN184" i="29"/>
  <c r="AN165" i="29"/>
  <c r="AN123" i="29"/>
  <c r="AN96" i="29"/>
  <c r="AN78" i="29"/>
  <c r="AN12" i="29"/>
  <c r="AP17" i="29"/>
  <c r="AP16" i="29"/>
  <c r="AP15" i="29"/>
  <c r="AP23" i="29"/>
  <c r="AP22" i="29"/>
  <c r="AP21" i="29"/>
  <c r="AP25" i="29"/>
  <c r="AP32" i="29"/>
  <c r="AP31" i="29"/>
  <c r="AP30" i="29"/>
  <c r="AP28" i="29"/>
  <c r="AP27" i="29"/>
  <c r="AP38" i="29"/>
  <c r="AP42" i="29"/>
  <c r="AP44" i="29"/>
  <c r="AP47" i="29"/>
  <c r="AP46" i="29"/>
  <c r="AP49" i="29"/>
  <c r="AP52" i="29"/>
  <c r="AP51" i="29"/>
  <c r="AP54" i="29"/>
  <c r="AP56" i="29"/>
  <c r="AP60" i="29"/>
  <c r="AP59" i="29"/>
  <c r="AP58" i="29"/>
  <c r="AP81" i="29"/>
  <c r="AP84" i="29"/>
  <c r="AP87" i="29"/>
  <c r="AP90" i="29"/>
  <c r="AP89" i="29"/>
  <c r="AP94" i="29"/>
  <c r="AP93" i="29"/>
  <c r="AP92" i="29"/>
  <c r="AP100" i="29"/>
  <c r="AP102" i="29"/>
  <c r="AP105" i="29"/>
  <c r="AP107" i="29"/>
  <c r="AP110" i="29"/>
  <c r="AP113" i="29"/>
  <c r="AP112" i="29"/>
  <c r="AP115" i="29"/>
  <c r="AP118" i="29"/>
  <c r="AP117" i="29"/>
  <c r="AP121" i="29"/>
  <c r="AP127" i="29"/>
  <c r="AP129" i="29"/>
  <c r="AP133" i="29"/>
  <c r="AP140" i="29"/>
  <c r="AP143" i="29"/>
  <c r="AP142" i="29"/>
  <c r="AP149" i="29"/>
  <c r="AP148" i="29"/>
  <c r="AP147" i="29"/>
  <c r="AP146" i="29"/>
  <c r="AP145" i="29"/>
  <c r="AP166" i="29"/>
  <c r="AP168" i="29"/>
  <c r="AP171" i="29"/>
  <c r="AP184" i="29"/>
  <c r="AP186" i="29"/>
  <c r="AR186" i="29"/>
  <c r="AR184" i="29"/>
  <c r="AR171" i="29"/>
  <c r="AR168" i="29"/>
  <c r="AR166" i="29"/>
  <c r="AR149" i="29"/>
  <c r="AR148" i="29"/>
  <c r="AR147" i="29"/>
  <c r="AR146" i="29"/>
  <c r="AR145" i="29"/>
  <c r="AR143" i="29"/>
  <c r="AR142" i="29"/>
  <c r="AR140" i="29"/>
  <c r="AR133" i="29"/>
  <c r="AR129" i="29"/>
  <c r="AR127" i="29"/>
  <c r="AR121" i="29"/>
  <c r="AR118" i="29"/>
  <c r="AR117" i="29"/>
  <c r="AR115" i="29"/>
  <c r="AR113" i="29"/>
  <c r="AR112" i="29"/>
  <c r="AR110" i="29"/>
  <c r="AR107" i="29"/>
  <c r="AR105" i="29"/>
  <c r="AR102" i="29"/>
  <c r="AR100" i="29"/>
  <c r="AR94" i="29"/>
  <c r="AR93" i="29"/>
  <c r="AR92" i="29"/>
  <c r="AR90" i="29"/>
  <c r="AR89" i="29"/>
  <c r="AR87" i="29"/>
  <c r="AR84" i="29"/>
  <c r="AR81" i="29"/>
  <c r="AR60" i="29"/>
  <c r="AR59" i="29"/>
  <c r="AR58" i="29"/>
  <c r="AR56" i="29"/>
  <c r="AR54" i="29"/>
  <c r="AR52" i="29"/>
  <c r="AR51" i="29"/>
  <c r="AR49" i="29"/>
  <c r="AR47" i="29"/>
  <c r="AR46" i="29"/>
  <c r="AR44" i="29"/>
  <c r="AR42" i="29"/>
  <c r="AR38" i="29"/>
  <c r="AR32" i="29"/>
  <c r="AR31" i="29"/>
  <c r="AR30" i="29"/>
  <c r="AR28" i="29"/>
  <c r="AR27" i="29"/>
  <c r="AR25" i="29"/>
  <c r="AR23" i="29"/>
  <c r="AR22" i="29"/>
  <c r="AR21" i="29"/>
  <c r="AR17" i="29"/>
  <c r="AR16" i="29"/>
  <c r="AR15" i="29"/>
  <c r="AR12" i="28"/>
  <c r="AR18" i="28"/>
  <c r="AR23" i="28"/>
  <c r="AR26" i="28"/>
  <c r="AR29" i="28"/>
  <c r="AR33" i="28"/>
  <c r="AR36" i="28"/>
  <c r="AR42" i="28"/>
  <c r="AR45" i="28"/>
  <c r="AR47" i="28"/>
  <c r="AR50" i="28"/>
  <c r="AR52" i="28"/>
  <c r="AR54" i="28"/>
  <c r="AR57" i="28"/>
  <c r="AR59" i="28"/>
  <c r="AR61" i="28"/>
  <c r="AR67" i="28"/>
  <c r="AR71" i="28"/>
  <c r="AR76" i="28"/>
  <c r="AR90" i="28"/>
  <c r="AR92" i="28"/>
  <c r="AR95" i="28"/>
  <c r="AR104" i="28"/>
  <c r="AR114" i="28"/>
  <c r="AR118" i="28"/>
  <c r="AR124" i="28"/>
  <c r="AR129" i="28"/>
  <c r="AR132" i="28"/>
  <c r="AR131" i="28"/>
  <c r="AR134" i="28"/>
  <c r="AR139" i="28"/>
  <c r="AR148" i="28"/>
  <c r="AR153" i="28"/>
  <c r="AR154" i="28"/>
  <c r="AR158" i="28"/>
  <c r="AR163" i="28"/>
  <c r="AR165" i="28"/>
  <c r="AR171" i="28"/>
  <c r="AR173" i="28"/>
  <c r="AR179" i="28"/>
  <c r="AR181" i="28"/>
  <c r="AR183" i="28"/>
  <c r="AR185" i="28"/>
  <c r="AR188" i="28"/>
  <c r="AR192" i="28"/>
  <c r="AR196" i="28"/>
  <c r="AR203" i="28"/>
  <c r="AR205" i="28"/>
  <c r="AR207" i="28"/>
  <c r="AR211" i="28"/>
  <c r="AR220" i="28"/>
  <c r="AR222" i="28"/>
  <c r="AR225" i="28"/>
  <c r="AR228" i="28"/>
  <c r="AR237" i="28"/>
  <c r="AR239" i="28"/>
  <c r="AR242" i="28"/>
  <c r="AR244" i="28"/>
  <c r="AR248" i="28"/>
  <c r="AR252" i="28"/>
  <c r="AR256" i="28"/>
  <c r="AR264" i="28"/>
  <c r="AR269" i="28"/>
  <c r="AR273" i="28"/>
  <c r="AR278" i="28"/>
  <c r="AP278" i="28"/>
  <c r="AP273" i="28"/>
  <c r="AP269" i="28"/>
  <c r="AP264" i="28"/>
  <c r="AP259" i="28"/>
  <c r="AP258" i="28"/>
  <c r="AP252" i="28"/>
  <c r="AP248" i="28"/>
  <c r="AP244" i="28"/>
  <c r="AP242" i="28"/>
  <c r="AP239" i="28"/>
  <c r="AP237" i="28"/>
  <c r="AP234" i="28"/>
  <c r="AP230" i="28"/>
  <c r="AP225" i="28"/>
  <c r="AP222" i="28"/>
  <c r="AP220" i="28"/>
  <c r="AP211" i="28"/>
  <c r="AP207" i="28"/>
  <c r="AP205" i="28"/>
  <c r="AP203" i="28"/>
  <c r="AP200" i="28"/>
  <c r="AP198" i="28"/>
  <c r="AP192" i="28"/>
  <c r="AP191" i="28"/>
  <c r="AP189" i="28"/>
  <c r="AP185" i="28"/>
  <c r="AP183" i="28"/>
  <c r="AP181" i="28"/>
  <c r="AP179" i="28"/>
  <c r="AP173" i="28"/>
  <c r="AP171" i="28"/>
  <c r="AP168" i="28"/>
  <c r="AP167" i="28"/>
  <c r="AP163" i="28"/>
  <c r="AP158" i="28"/>
  <c r="AP154" i="28"/>
  <c r="AP153" i="28"/>
  <c r="AP148" i="28"/>
  <c r="AP139" i="28"/>
  <c r="AP134" i="28"/>
  <c r="AP132" i="28"/>
  <c r="AP131" i="28"/>
  <c r="AP129" i="28"/>
  <c r="AP118" i="28"/>
  <c r="AP115" i="28"/>
  <c r="AP114" i="28"/>
  <c r="AP104" i="28"/>
  <c r="AP95" i="28"/>
  <c r="AP92" i="28"/>
  <c r="AP90" i="28"/>
  <c r="AP79" i="28"/>
  <c r="AP78" i="28"/>
  <c r="AP77" i="28"/>
  <c r="AP76" i="28"/>
  <c r="AP71" i="28"/>
  <c r="AP67" i="28"/>
  <c r="AP61" i="28"/>
  <c r="AP59" i="28"/>
  <c r="AP57" i="28"/>
  <c r="AP54" i="28"/>
  <c r="AP52" i="28"/>
  <c r="AP50" i="28"/>
  <c r="AP47" i="28"/>
  <c r="AP45" i="28"/>
  <c r="AP42" i="28"/>
  <c r="AP36" i="28"/>
  <c r="AP33" i="28"/>
  <c r="AP29" i="28"/>
  <c r="AP26" i="28"/>
  <c r="AP23" i="28"/>
  <c r="AP18" i="28"/>
  <c r="AP12" i="28"/>
  <c r="AN12" i="28"/>
  <c r="AN18" i="28"/>
  <c r="AN23" i="28"/>
  <c r="AN26" i="28"/>
  <c r="AN33" i="28"/>
  <c r="AN36" i="28"/>
  <c r="AN42" i="28"/>
  <c r="AN45" i="28"/>
  <c r="AN47" i="28"/>
  <c r="AN50" i="28"/>
  <c r="AN52" i="28"/>
  <c r="AN54" i="28"/>
  <c r="AN57" i="28"/>
  <c r="AN59" i="28"/>
  <c r="AN61" i="28"/>
  <c r="AN67" i="28"/>
  <c r="AN68" i="28"/>
  <c r="AN90" i="28"/>
  <c r="AN92" i="28"/>
  <c r="AN97" i="28"/>
  <c r="AN118" i="28"/>
  <c r="AN127" i="28"/>
  <c r="AN134" i="28"/>
  <c r="AN139" i="28"/>
  <c r="AN145" i="28"/>
  <c r="AN158" i="28"/>
  <c r="AN165" i="28"/>
  <c r="AN171" i="28"/>
  <c r="AN173" i="28"/>
  <c r="AN181" i="28"/>
  <c r="AN185" i="28"/>
  <c r="AN188" i="28"/>
  <c r="AN192" i="28"/>
  <c r="AN196" i="28"/>
  <c r="AN201" i="28"/>
  <c r="AN211" i="28"/>
  <c r="AN220" i="28"/>
  <c r="AN222" i="28"/>
  <c r="AN225" i="28"/>
  <c r="AN230" i="28"/>
  <c r="AN234" i="28"/>
  <c r="AN235" i="28"/>
  <c r="AN242" i="28"/>
  <c r="AN248" i="28"/>
  <c r="AN252" i="28"/>
  <c r="AN256" i="28"/>
  <c r="AN264" i="28"/>
  <c r="AN269" i="28"/>
  <c r="AN273" i="28"/>
  <c r="AN278" i="28"/>
  <c r="AL278" i="28"/>
  <c r="AL273" i="28"/>
  <c r="AL269" i="28"/>
  <c r="AL264" i="28"/>
  <c r="AL256" i="28"/>
  <c r="AL254" i="28"/>
  <c r="AL253" i="28"/>
  <c r="AL251" i="28"/>
  <c r="AL249" i="28"/>
  <c r="AL244" i="28"/>
  <c r="AL242" i="28"/>
  <c r="AL235" i="28"/>
  <c r="AL234" i="28"/>
  <c r="AL232" i="28"/>
  <c r="AL231" i="28"/>
  <c r="AL230" i="28"/>
  <c r="AL225" i="28"/>
  <c r="AL222" i="28"/>
  <c r="AL220" i="28"/>
  <c r="AL219" i="28"/>
  <c r="AL218" i="28"/>
  <c r="AL216" i="28"/>
  <c r="AL214" i="28"/>
  <c r="AL211" i="28"/>
  <c r="AL201" i="28"/>
  <c r="AL199" i="28"/>
  <c r="AL197" i="28"/>
  <c r="AL196" i="28"/>
  <c r="AL192" i="28"/>
  <c r="AL191" i="28"/>
  <c r="AL190" i="28"/>
  <c r="AL188" i="28"/>
  <c r="AL185" i="28"/>
  <c r="AL183" i="28"/>
  <c r="AL181" i="28"/>
  <c r="AL173" i="28"/>
  <c r="AL171" i="28"/>
  <c r="AL168" i="28"/>
  <c r="AL167" i="28"/>
  <c r="AL163" i="28"/>
  <c r="AL158" i="28"/>
  <c r="AL154" i="28"/>
  <c r="AL153" i="28"/>
  <c r="AL148" i="28"/>
  <c r="AL139" i="28"/>
  <c r="AL134" i="28"/>
  <c r="AL127" i="28"/>
  <c r="AL118" i="28"/>
  <c r="AL97" i="28"/>
  <c r="AL95" i="28"/>
  <c r="AL92" i="28"/>
  <c r="AL90" i="28"/>
  <c r="AL86" i="28"/>
  <c r="AL84" i="28"/>
  <c r="AL83" i="28"/>
  <c r="AL82" i="28"/>
  <c r="AL80" i="28"/>
  <c r="AL71" i="28"/>
  <c r="AL68" i="28"/>
  <c r="AL67" i="28"/>
  <c r="AL61" i="28"/>
  <c r="AL60" i="28"/>
  <c r="AL58" i="28"/>
  <c r="AL54" i="28"/>
  <c r="AL53" i="28"/>
  <c r="AL51" i="28"/>
  <c r="AL48" i="28"/>
  <c r="AL46" i="28"/>
  <c r="AL43" i="28"/>
  <c r="AL38" i="28"/>
  <c r="AL37" i="28"/>
  <c r="AL33" i="28"/>
  <c r="AL29" i="28"/>
  <c r="AL28" i="28"/>
  <c r="AL27" i="28"/>
  <c r="AL25" i="28"/>
  <c r="AL24" i="28"/>
  <c r="AL18" i="28"/>
  <c r="AL12" i="28"/>
  <c r="AL25" i="27"/>
  <c r="AL27" i="27"/>
  <c r="AL29" i="27"/>
  <c r="AL31" i="27"/>
  <c r="AL34" i="27"/>
  <c r="AL36" i="27"/>
  <c r="AL41" i="27"/>
  <c r="AL48" i="27"/>
  <c r="AL47" i="27"/>
  <c r="AL46" i="27"/>
  <c r="AL54" i="27"/>
  <c r="AL68" i="27"/>
  <c r="AL67" i="27"/>
  <c r="AL66" i="27"/>
  <c r="AL65" i="27"/>
  <c r="AL73" i="27"/>
  <c r="AL78" i="27"/>
  <c r="AL77" i="27"/>
  <c r="AL85" i="27"/>
  <c r="AL91" i="27"/>
  <c r="AL94" i="27"/>
  <c r="AL98" i="27"/>
  <c r="AL100" i="27"/>
  <c r="AL102" i="27"/>
  <c r="AL108" i="27"/>
  <c r="AL107" i="27"/>
  <c r="AL106" i="27"/>
  <c r="AL116" i="27"/>
  <c r="AL119" i="27"/>
  <c r="AL118" i="27"/>
  <c r="AL123" i="27"/>
  <c r="AL128" i="27"/>
  <c r="AL133" i="27"/>
  <c r="AL132" i="27"/>
  <c r="AL131" i="27"/>
  <c r="AL135" i="27"/>
  <c r="AL141" i="27"/>
  <c r="AL144" i="27"/>
  <c r="AL143" i="27"/>
  <c r="AL151" i="27"/>
  <c r="AL154" i="27"/>
  <c r="AL153" i="27"/>
  <c r="AL157" i="27"/>
  <c r="AL162" i="27"/>
  <c r="AL165" i="27"/>
  <c r="AL167" i="27"/>
  <c r="AN167" i="27"/>
  <c r="AN165" i="27"/>
  <c r="AN162" i="27"/>
  <c r="AN157" i="27"/>
  <c r="AN154" i="27"/>
  <c r="AN147" i="27"/>
  <c r="AN144" i="27"/>
  <c r="AN138" i="27"/>
  <c r="AN127" i="27"/>
  <c r="AN123" i="27"/>
  <c r="AN119" i="27"/>
  <c r="AN116" i="27"/>
  <c r="AN108" i="27"/>
  <c r="AN107" i="27"/>
  <c r="AN106" i="27"/>
  <c r="AN102" i="27"/>
  <c r="AN100" i="27"/>
  <c r="AN98" i="27"/>
  <c r="AN94" i="27"/>
  <c r="AN91" i="27"/>
  <c r="AN85" i="27"/>
  <c r="AN78" i="27"/>
  <c r="AN77" i="27"/>
  <c r="AN73" i="27"/>
  <c r="AN68" i="27"/>
  <c r="AN63" i="27"/>
  <c r="AN54" i="27"/>
  <c r="AN47" i="27"/>
  <c r="AN46" i="27"/>
  <c r="AN41" i="27"/>
  <c r="AN11" i="27"/>
  <c r="AP12" i="27"/>
  <c r="AP41" i="27"/>
  <c r="AP47" i="27"/>
  <c r="AP46" i="27"/>
  <c r="AP54" i="27"/>
  <c r="AP63" i="27"/>
  <c r="AP68" i="27"/>
  <c r="AP73" i="27"/>
  <c r="AP78" i="27"/>
  <c r="AP77" i="27"/>
  <c r="AP85" i="27"/>
  <c r="AP91" i="27"/>
  <c r="AP94" i="27"/>
  <c r="AP98" i="27"/>
  <c r="AP100" i="27"/>
  <c r="AP102" i="27"/>
  <c r="AP108" i="27"/>
  <c r="AP107" i="27"/>
  <c r="AP106" i="27"/>
  <c r="AP110" i="27"/>
  <c r="AP116" i="27"/>
  <c r="AP119" i="27"/>
  <c r="AP118" i="27"/>
  <c r="AP123" i="27"/>
  <c r="AP127" i="27"/>
  <c r="AP141" i="27"/>
  <c r="AP144" i="27"/>
  <c r="AP143" i="27"/>
  <c r="AP151" i="27"/>
  <c r="AP153" i="27"/>
  <c r="AP155" i="27"/>
  <c r="AP162" i="27"/>
  <c r="AP161" i="27"/>
  <c r="AP160" i="27"/>
  <c r="AP165" i="27"/>
  <c r="AP167" i="27"/>
  <c r="AR167" i="27"/>
  <c r="AR165" i="27"/>
  <c r="AR162" i="27"/>
  <c r="AR161" i="27"/>
  <c r="AR160" i="27"/>
  <c r="AR154" i="27"/>
  <c r="AR153" i="27"/>
  <c r="AR151" i="27"/>
  <c r="AR144" i="27"/>
  <c r="AR143" i="27"/>
  <c r="AR141" i="27"/>
  <c r="AR127" i="27"/>
  <c r="AR123" i="27"/>
  <c r="AR119" i="27"/>
  <c r="AR118" i="27"/>
  <c r="AR116" i="27"/>
  <c r="AR110" i="27"/>
  <c r="AR108" i="27"/>
  <c r="AR107" i="27"/>
  <c r="AR106" i="27"/>
  <c r="AR102" i="27"/>
  <c r="AR100" i="27"/>
  <c r="AR98" i="27"/>
  <c r="AR94" i="27"/>
  <c r="AR91" i="27"/>
  <c r="AR85" i="27"/>
  <c r="AR83" i="27"/>
  <c r="AR78" i="27"/>
  <c r="AR77" i="27"/>
  <c r="AR73" i="27"/>
  <c r="AR68" i="27"/>
  <c r="AR63" i="27"/>
  <c r="AR54" i="27"/>
  <c r="AR47" i="27"/>
  <c r="AR46" i="27"/>
  <c r="AR41" i="27"/>
  <c r="AR36" i="27"/>
  <c r="AR25" i="27"/>
  <c r="AR17" i="25"/>
  <c r="AR19" i="25"/>
  <c r="AR22" i="25"/>
  <c r="AR25" i="25"/>
  <c r="AR35" i="25"/>
  <c r="AR40" i="25"/>
  <c r="AR43" i="25"/>
  <c r="AR49" i="25"/>
  <c r="AR53" i="25"/>
  <c r="AR52" i="25"/>
  <c r="AR56" i="25"/>
  <c r="AR71" i="25"/>
  <c r="AR70" i="25"/>
  <c r="AR69" i="25"/>
  <c r="AR68" i="25"/>
  <c r="AR67" i="25"/>
  <c r="AR66" i="25"/>
  <c r="AR65" i="25"/>
  <c r="AR64" i="25"/>
  <c r="AR63" i="25"/>
  <c r="AR62" i="25"/>
  <c r="AR61" i="25"/>
  <c r="AR60" i="25"/>
  <c r="AR75" i="25"/>
  <c r="AR81" i="25"/>
  <c r="AR80" i="25"/>
  <c r="AR84" i="25"/>
  <c r="AR83" i="25"/>
  <c r="AR89" i="25"/>
  <c r="AR88" i="25"/>
  <c r="AR87" i="25"/>
  <c r="AR86" i="25"/>
  <c r="AR91" i="25"/>
  <c r="AR96" i="25"/>
  <c r="AR95" i="25"/>
  <c r="AR99" i="25"/>
  <c r="AR98" i="25"/>
  <c r="AR103" i="25"/>
  <c r="AR105" i="25"/>
  <c r="AR108" i="25"/>
  <c r="AR112" i="25"/>
  <c r="AR111" i="25"/>
  <c r="AR110" i="25"/>
  <c r="AR115" i="25"/>
  <c r="AR118" i="25"/>
  <c r="AR121" i="25"/>
  <c r="AR127" i="25"/>
  <c r="AR135" i="25"/>
  <c r="AR137" i="25"/>
  <c r="AR138" i="25"/>
  <c r="AR143" i="25"/>
  <c r="AR147" i="25"/>
  <c r="AR153" i="25"/>
  <c r="AR156" i="25"/>
  <c r="AR160" i="25"/>
  <c r="AR173" i="25"/>
  <c r="AR176" i="25"/>
  <c r="AR182" i="25"/>
  <c r="AR189" i="25"/>
  <c r="AR191" i="25"/>
  <c r="AR194" i="25"/>
  <c r="AR198" i="25"/>
  <c r="AR205" i="25"/>
  <c r="AR213" i="25"/>
  <c r="AR221" i="25"/>
  <c r="AR230" i="25"/>
  <c r="AR236" i="25"/>
  <c r="AR243" i="25"/>
  <c r="AR249" i="25"/>
  <c r="AR255" i="25"/>
  <c r="AR258" i="25"/>
  <c r="AR263" i="25"/>
  <c r="AR269" i="25"/>
  <c r="AR275" i="25"/>
  <c r="AR279" i="25"/>
  <c r="AR284" i="25"/>
  <c r="AR287" i="25"/>
  <c r="AR286" i="25"/>
  <c r="AR291" i="25"/>
  <c r="AR297" i="25"/>
  <c r="AR304" i="25"/>
  <c r="AR310" i="25"/>
  <c r="AR312" i="25"/>
  <c r="AR316" i="25"/>
  <c r="AR315" i="25"/>
  <c r="AR318" i="25"/>
  <c r="AR320" i="25"/>
  <c r="AR330" i="25"/>
  <c r="AR348" i="25"/>
  <c r="AR350" i="25"/>
  <c r="AR353" i="25"/>
  <c r="AR352" i="25"/>
  <c r="AR364" i="25"/>
  <c r="AR366" i="25"/>
  <c r="AR368" i="25"/>
  <c r="AR373" i="25"/>
  <c r="AR372" i="25"/>
  <c r="AR371" i="25"/>
  <c r="AR378" i="25"/>
  <c r="AR380" i="25"/>
  <c r="AR382" i="25"/>
  <c r="AR384" i="25"/>
  <c r="AR386" i="25"/>
  <c r="AR389" i="25"/>
  <c r="AR392" i="25"/>
  <c r="AR391" i="25"/>
  <c r="AR394" i="25"/>
  <c r="AR399" i="25"/>
  <c r="AR398" i="25"/>
  <c r="AR397" i="25"/>
  <c r="AR404" i="25"/>
  <c r="AR412" i="25"/>
  <c r="AR416" i="25"/>
  <c r="AR415" i="25"/>
  <c r="AR414" i="25"/>
  <c r="AR418" i="25"/>
  <c r="AR422" i="25"/>
  <c r="AR421" i="25"/>
  <c r="AR427" i="25"/>
  <c r="AR429" i="25"/>
  <c r="AR431" i="25"/>
  <c r="AR436" i="25"/>
  <c r="AR440" i="25"/>
  <c r="AR443" i="25"/>
  <c r="AR451" i="25"/>
  <c r="AR454" i="25"/>
  <c r="AR457" i="25"/>
  <c r="AR470" i="25"/>
  <c r="AR474" i="25"/>
  <c r="AR477" i="25"/>
  <c r="AR481" i="25"/>
  <c r="AR486" i="25"/>
  <c r="AR491" i="25"/>
  <c r="AR494" i="25"/>
  <c r="AR496" i="25"/>
  <c r="AR500" i="25"/>
  <c r="AR499" i="25"/>
  <c r="AR504" i="25"/>
  <c r="AR509" i="25"/>
  <c r="AR516" i="25"/>
  <c r="AR515" i="25"/>
  <c r="AR514" i="25"/>
  <c r="AR513" i="25"/>
  <c r="AR512" i="25"/>
  <c r="AR511" i="25"/>
  <c r="AR518" i="25"/>
  <c r="AR534" i="25"/>
  <c r="AR531" i="25"/>
  <c r="AR537" i="25"/>
  <c r="AR545" i="25"/>
  <c r="AR560" i="25"/>
  <c r="AR559" i="25"/>
  <c r="AR558" i="25"/>
  <c r="AR557" i="25"/>
  <c r="AR556" i="25"/>
  <c r="AR555" i="25"/>
  <c r="AR554" i="25"/>
  <c r="AR563" i="25"/>
  <c r="AR565" i="25"/>
  <c r="AR567" i="25"/>
  <c r="AR577" i="25"/>
  <c r="AR576" i="25"/>
  <c r="AR575" i="25"/>
  <c r="AR574" i="25"/>
  <c r="AR579" i="25"/>
  <c r="AR582" i="25"/>
  <c r="AR585" i="25"/>
  <c r="AR592" i="25"/>
  <c r="AR607" i="25"/>
  <c r="AR606" i="25"/>
  <c r="AR605" i="25"/>
  <c r="AR604" i="25"/>
  <c r="AR603" i="25"/>
  <c r="AR602" i="25"/>
  <c r="AR601" i="25"/>
  <c r="AR600" i="25"/>
  <c r="AR610" i="25"/>
  <c r="AR612" i="25"/>
  <c r="AR614" i="25"/>
  <c r="AR616" i="25"/>
  <c r="AR625" i="25"/>
  <c r="AR630" i="25"/>
  <c r="AR629" i="25"/>
  <c r="AR633" i="25"/>
  <c r="AR636" i="25"/>
  <c r="AP636" i="25"/>
  <c r="AP633" i="25"/>
  <c r="AP630" i="25"/>
  <c r="AP629" i="25"/>
  <c r="AP625" i="25"/>
  <c r="AP617" i="25"/>
  <c r="AP614" i="25"/>
  <c r="AP612" i="25"/>
  <c r="AP610" i="25"/>
  <c r="AP607" i="25"/>
  <c r="AP606" i="25"/>
  <c r="AP605" i="25"/>
  <c r="AP604" i="25"/>
  <c r="AP603" i="25"/>
  <c r="AP602" i="25"/>
  <c r="AP601" i="25"/>
  <c r="AP600" i="25"/>
  <c r="AP585" i="25"/>
  <c r="AP582" i="25"/>
  <c r="AP579" i="25"/>
  <c r="AP577" i="25"/>
  <c r="AP576" i="25"/>
  <c r="AP575" i="25"/>
  <c r="AP574" i="25"/>
  <c r="AP567" i="25"/>
  <c r="AP565" i="25"/>
  <c r="AP563" i="25"/>
  <c r="AP551" i="25"/>
  <c r="AP545" i="25"/>
  <c r="AP537" i="25"/>
  <c r="AP534" i="25"/>
  <c r="AP531" i="25"/>
  <c r="AP509" i="25"/>
  <c r="AP504" i="25"/>
  <c r="AP500" i="25"/>
  <c r="AP499" i="25"/>
  <c r="AP497" i="25"/>
  <c r="AP494" i="25"/>
  <c r="AP491" i="25"/>
  <c r="AP486" i="25"/>
  <c r="AP481" i="25"/>
  <c r="AP477" i="25"/>
  <c r="AP474" i="25"/>
  <c r="AP470" i="25"/>
  <c r="AP461" i="25"/>
  <c r="AP433" i="25"/>
  <c r="AP431" i="25"/>
  <c r="AP429" i="25"/>
  <c r="AP427" i="25"/>
  <c r="AP422" i="25"/>
  <c r="AP421" i="25"/>
  <c r="AP418" i="25"/>
  <c r="AP416" i="25"/>
  <c r="AP415" i="25"/>
  <c r="AP414" i="25"/>
  <c r="AP412" i="25"/>
  <c r="AP404" i="25"/>
  <c r="AP376" i="25"/>
  <c r="AP373" i="25"/>
  <c r="AP372" i="25"/>
  <c r="AP371" i="25"/>
  <c r="AP368" i="25"/>
  <c r="AP366" i="25"/>
  <c r="AP364" i="25"/>
  <c r="AP354" i="25"/>
  <c r="AP352" i="25"/>
  <c r="AP350" i="25"/>
  <c r="AP348" i="25"/>
  <c r="AP333" i="25"/>
  <c r="AP331" i="25"/>
  <c r="AP320" i="25"/>
  <c r="AP318" i="25"/>
  <c r="AP316" i="25"/>
  <c r="AP315" i="25"/>
  <c r="AP312" i="25"/>
  <c r="AP310" i="25"/>
  <c r="AP304" i="25"/>
  <c r="AP299" i="25"/>
  <c r="AP297" i="25"/>
  <c r="AP292" i="25"/>
  <c r="AP287" i="25"/>
  <c r="AP286" i="25"/>
  <c r="AP284" i="25"/>
  <c r="AP280" i="25"/>
  <c r="AP275" i="25"/>
  <c r="AP270" i="25"/>
  <c r="AP264" i="25"/>
  <c r="AP259" i="25"/>
  <c r="AP256" i="25"/>
  <c r="AP250" i="25"/>
  <c r="AP243" i="25"/>
  <c r="AP237" i="25"/>
  <c r="AP231" i="25"/>
  <c r="AP221" i="25"/>
  <c r="AP213" i="25"/>
  <c r="AP205" i="25"/>
  <c r="AP198" i="25"/>
  <c r="AP191" i="25"/>
  <c r="AP190" i="25"/>
  <c r="AP184" i="25"/>
  <c r="AP182" i="25"/>
  <c r="AP176" i="25"/>
  <c r="AP173" i="25"/>
  <c r="AP160" i="25"/>
  <c r="AP149" i="25"/>
  <c r="AP143" i="25"/>
  <c r="AP138" i="25"/>
  <c r="AP137" i="25"/>
  <c r="AP135" i="25"/>
  <c r="AP127" i="25"/>
  <c r="AP121" i="25"/>
  <c r="AP94" i="25"/>
  <c r="AP91" i="25"/>
  <c r="AP75" i="25"/>
  <c r="AP59" i="25"/>
  <c r="AP57" i="25"/>
  <c r="AP53" i="25"/>
  <c r="AP52" i="25"/>
  <c r="AP49" i="25"/>
  <c r="AP43" i="25"/>
  <c r="AP40" i="25"/>
  <c r="AP35" i="25"/>
  <c r="AP26" i="25"/>
  <c r="AP12" i="25"/>
  <c r="AN25" i="25"/>
  <c r="AN147" i="25"/>
  <c r="AN159" i="25"/>
  <c r="AN182" i="25"/>
  <c r="AN189" i="25"/>
  <c r="AN191" i="25"/>
  <c r="AN194" i="25"/>
  <c r="AN213" i="25"/>
  <c r="AN243" i="25"/>
  <c r="AN249" i="25"/>
  <c r="AN255" i="25"/>
  <c r="AN258" i="25"/>
  <c r="AN263" i="25"/>
  <c r="AN269" i="25"/>
  <c r="AN275" i="25"/>
  <c r="AN279" i="25"/>
  <c r="AN284" i="25"/>
  <c r="AN287" i="25"/>
  <c r="AN286" i="25"/>
  <c r="AN291" i="25"/>
  <c r="AN297" i="25"/>
  <c r="AN304" i="25"/>
  <c r="AN310" i="25"/>
  <c r="AN312" i="25"/>
  <c r="AN314" i="25"/>
  <c r="AN320" i="25"/>
  <c r="AN333" i="25"/>
  <c r="AN336" i="25"/>
  <c r="AN344" i="25"/>
  <c r="AN343" i="25"/>
  <c r="AN342" i="25"/>
  <c r="AN341" i="25"/>
  <c r="AN348" i="25"/>
  <c r="AN350" i="25"/>
  <c r="AN353" i="25"/>
  <c r="AN352" i="25"/>
  <c r="AN364" i="25"/>
  <c r="AN366" i="25"/>
  <c r="AN368" i="25"/>
  <c r="AN371" i="25"/>
  <c r="AN372" i="25"/>
  <c r="AN373" i="25"/>
  <c r="AN376" i="25"/>
  <c r="AN404" i="25"/>
  <c r="AN406" i="25"/>
  <c r="AN433" i="25"/>
  <c r="AN457" i="25"/>
  <c r="AN470" i="25"/>
  <c r="AN474" i="25"/>
  <c r="AN477" i="25"/>
  <c r="AN481" i="25"/>
  <c r="AN486" i="25"/>
  <c r="AN491" i="25"/>
  <c r="AN494" i="25"/>
  <c r="AN496" i="25"/>
  <c r="AN500" i="25"/>
  <c r="AN499" i="25"/>
  <c r="AN504" i="25"/>
  <c r="AN509" i="25"/>
  <c r="AN518" i="25"/>
  <c r="AN534" i="25"/>
  <c r="AN531" i="25"/>
  <c r="AN537" i="25"/>
  <c r="AN545" i="25"/>
  <c r="AN551" i="25"/>
  <c r="AN563" i="25"/>
  <c r="AN565" i="25"/>
  <c r="AN567" i="25"/>
  <c r="AN572" i="25"/>
  <c r="AN582" i="25"/>
  <c r="AN585" i="25"/>
  <c r="AN592" i="25"/>
  <c r="AN610" i="25"/>
  <c r="AN612" i="25"/>
  <c r="AN614" i="25"/>
  <c r="AN616" i="25"/>
  <c r="AN625" i="25"/>
  <c r="AN629" i="25"/>
  <c r="AN630" i="25"/>
  <c r="AN633" i="25"/>
  <c r="AN636" i="25"/>
  <c r="AL636" i="25"/>
  <c r="AL633" i="25"/>
  <c r="AL630" i="25"/>
  <c r="AL629" i="25"/>
  <c r="AL625" i="25"/>
  <c r="AL616" i="25"/>
  <c r="AL614" i="25"/>
  <c r="AL612" i="25"/>
  <c r="AL610" i="25"/>
  <c r="AL595" i="25"/>
  <c r="AL594" i="25"/>
  <c r="AL590" i="25"/>
  <c r="AL588" i="25"/>
  <c r="AL582" i="25"/>
  <c r="AL579" i="25"/>
  <c r="AL577" i="25"/>
  <c r="AL576" i="25"/>
  <c r="AL575" i="25"/>
  <c r="AL574" i="25"/>
  <c r="AL572" i="25"/>
  <c r="AL567" i="25"/>
  <c r="AL565" i="25"/>
  <c r="AL563" i="25"/>
  <c r="AL551" i="25"/>
  <c r="AL549" i="25"/>
  <c r="AL548" i="25"/>
  <c r="AL537" i="25"/>
  <c r="AL534" i="25"/>
  <c r="AL531" i="25"/>
  <c r="AL518" i="25"/>
  <c r="AL509" i="25"/>
  <c r="AL504" i="25"/>
  <c r="AL500" i="25"/>
  <c r="AL499" i="25"/>
  <c r="AL496" i="25"/>
  <c r="AL494" i="25"/>
  <c r="AL491" i="25"/>
  <c r="AL490" i="25"/>
  <c r="AL489" i="25"/>
  <c r="AL485" i="25"/>
  <c r="AL484" i="25"/>
  <c r="AL480" i="25"/>
  <c r="AL479" i="25"/>
  <c r="AL474" i="25"/>
  <c r="AL473" i="25"/>
  <c r="AL472" i="25"/>
  <c r="AL433" i="25"/>
  <c r="AL409" i="25"/>
  <c r="AL408" i="25"/>
  <c r="AL404" i="25"/>
  <c r="AL376" i="25"/>
  <c r="AL373" i="25"/>
  <c r="AL372" i="25"/>
  <c r="AL371" i="25"/>
  <c r="AL368" i="25"/>
  <c r="AL366" i="25"/>
  <c r="AL364" i="25"/>
  <c r="AL360" i="25"/>
  <c r="AL359" i="25"/>
  <c r="AL358" i="25"/>
  <c r="AL357" i="25"/>
  <c r="AL356" i="25"/>
  <c r="AL352" i="25"/>
  <c r="AL350" i="25"/>
  <c r="AL348" i="25"/>
  <c r="AL347" i="25"/>
  <c r="AL346" i="25"/>
  <c r="AL345" i="25"/>
  <c r="AL343" i="25"/>
  <c r="AL342" i="25"/>
  <c r="AL341" i="25"/>
  <c r="AL339" i="25"/>
  <c r="AL338" i="25"/>
  <c r="AL335" i="25"/>
  <c r="AL334" i="25"/>
  <c r="AL328" i="25"/>
  <c r="AL327" i="25"/>
  <c r="AL326" i="25"/>
  <c r="AL314" i="25"/>
  <c r="AL312" i="25"/>
  <c r="AL310" i="25"/>
  <c r="AL304" i="25"/>
  <c r="AL297" i="25"/>
  <c r="AL296" i="25"/>
  <c r="AL295" i="25"/>
  <c r="AL294" i="25"/>
  <c r="AL287" i="25"/>
  <c r="AL286" i="25"/>
  <c r="AL285" i="25"/>
  <c r="AL284" i="25"/>
  <c r="AL283" i="25"/>
  <c r="AL282" i="25"/>
  <c r="AL281" i="25"/>
  <c r="AL280" i="25"/>
  <c r="AL275" i="25"/>
  <c r="AL273" i="25"/>
  <c r="AL272" i="25"/>
  <c r="AL271" i="25"/>
  <c r="AL270" i="25"/>
  <c r="AL265" i="25"/>
  <c r="AL264" i="25"/>
  <c r="AL262" i="25"/>
  <c r="AL261" i="25"/>
  <c r="AL260" i="25"/>
  <c r="AL259" i="25"/>
  <c r="AL257" i="25"/>
  <c r="AL256" i="25"/>
  <c r="AL254" i="25"/>
  <c r="AL253" i="25"/>
  <c r="AL252" i="25"/>
  <c r="AL251" i="25"/>
  <c r="AL250" i="25"/>
  <c r="AL243" i="25"/>
  <c r="AL220" i="25"/>
  <c r="AL219" i="25"/>
  <c r="AL218" i="25"/>
  <c r="AL213" i="25"/>
  <c r="AL198" i="25"/>
  <c r="AL194" i="25"/>
  <c r="AL191" i="25"/>
  <c r="AL189" i="25"/>
  <c r="AL182" i="25"/>
  <c r="AL176" i="25"/>
  <c r="AL173" i="25"/>
  <c r="AL160" i="25"/>
  <c r="AL159" i="25"/>
  <c r="AL147" i="25"/>
  <c r="AL143" i="25"/>
  <c r="AL138" i="25"/>
  <c r="AL133" i="25"/>
  <c r="AL127" i="25"/>
  <c r="AL121" i="25"/>
  <c r="AL94" i="25"/>
  <c r="AL72" i="25"/>
  <c r="AL56" i="25"/>
  <c r="AL53" i="25"/>
  <c r="AL52" i="25"/>
  <c r="AL49" i="25"/>
  <c r="AL43" i="25"/>
  <c r="AL40" i="25"/>
  <c r="AL497" i="24"/>
  <c r="AL495" i="24"/>
  <c r="AL493" i="24"/>
  <c r="AL489" i="24"/>
  <c r="AL488" i="24"/>
  <c r="AL487" i="24"/>
  <c r="AL485" i="24"/>
  <c r="AL483" i="24"/>
  <c r="AL479" i="24"/>
  <c r="AL474" i="24"/>
  <c r="AL472" i="24"/>
  <c r="AL470" i="24"/>
  <c r="AL469" i="24"/>
  <c r="AL468" i="24"/>
  <c r="AL467" i="24"/>
  <c r="AL466" i="24"/>
  <c r="AL465" i="24"/>
  <c r="AL464" i="24"/>
  <c r="AL461" i="24"/>
  <c r="AL453" i="24"/>
  <c r="AL428" i="24"/>
  <c r="AL414" i="24"/>
  <c r="AL410" i="24"/>
  <c r="AL408" i="24"/>
  <c r="AL401" i="24"/>
  <c r="AL392" i="24"/>
  <c r="AL376" i="24"/>
  <c r="AL367" i="24"/>
  <c r="AL364" i="24"/>
  <c r="AL363" i="24"/>
  <c r="AL361" i="24"/>
  <c r="AL352" i="24"/>
  <c r="AL349" i="24"/>
  <c r="AL346" i="24"/>
  <c r="AL333" i="24"/>
  <c r="AL331" i="24"/>
  <c r="AL329" i="24"/>
  <c r="AL305" i="24"/>
  <c r="AL304" i="24"/>
  <c r="AL302" i="24"/>
  <c r="AL293" i="24"/>
  <c r="AL278" i="24"/>
  <c r="AL266" i="24"/>
  <c r="AL262" i="24"/>
  <c r="AL255" i="24"/>
  <c r="AL249" i="24"/>
  <c r="AL245" i="24"/>
  <c r="AL243" i="24"/>
  <c r="AL238" i="24"/>
  <c r="AL234" i="24"/>
  <c r="AL224" i="24"/>
  <c r="AL223" i="24"/>
  <c r="AL222" i="24"/>
  <c r="AL220" i="24"/>
  <c r="AL214" i="24"/>
  <c r="AL211" i="24"/>
  <c r="AL209" i="24"/>
  <c r="AL196" i="24"/>
  <c r="AL195" i="24"/>
  <c r="AL193" i="24"/>
  <c r="AL191" i="24"/>
  <c r="AL188" i="24"/>
  <c r="AL183" i="24"/>
  <c r="AL182" i="24"/>
  <c r="AL179" i="24"/>
  <c r="AL169" i="24"/>
  <c r="AL161" i="24"/>
  <c r="AL157" i="24"/>
  <c r="AL155" i="24"/>
  <c r="AL153" i="24"/>
  <c r="AL150" i="24"/>
  <c r="AL148" i="24"/>
  <c r="AL143" i="24"/>
  <c r="AL139" i="24"/>
  <c r="AL135" i="24"/>
  <c r="AL129" i="24"/>
  <c r="AL127" i="24"/>
  <c r="AL123" i="24"/>
  <c r="AL121" i="24"/>
  <c r="AL117" i="24"/>
  <c r="AL115" i="24"/>
  <c r="AL109" i="24"/>
  <c r="AL107" i="24"/>
  <c r="AL102" i="24"/>
  <c r="AL100" i="24"/>
  <c r="AL97" i="24"/>
  <c r="AL86" i="24"/>
  <c r="AL78" i="24"/>
  <c r="AL76" i="24"/>
  <c r="AL74" i="24"/>
  <c r="AL73" i="24"/>
  <c r="AL60" i="24"/>
  <c r="AL59" i="24"/>
  <c r="AL58" i="24"/>
  <c r="AL55" i="24"/>
  <c r="AL54" i="24"/>
  <c r="AL53" i="24"/>
  <c r="AL52" i="24"/>
  <c r="AL51" i="24"/>
  <c r="AL50" i="24"/>
  <c r="AL47" i="24"/>
  <c r="AL44" i="24"/>
  <c r="AL43" i="24"/>
  <c r="AL42" i="24"/>
  <c r="AL41" i="24"/>
  <c r="AL40" i="24"/>
  <c r="AL39" i="24"/>
  <c r="AL35" i="24"/>
  <c r="AL32" i="24"/>
  <c r="AL29" i="24"/>
  <c r="AL21" i="24"/>
  <c r="AL20" i="24"/>
  <c r="AL19" i="24"/>
  <c r="AL18" i="24"/>
  <c r="AL17" i="24"/>
  <c r="AN13" i="24"/>
  <c r="AN29" i="24"/>
  <c r="AN32" i="24"/>
  <c r="AN35" i="24"/>
  <c r="AN44" i="24"/>
  <c r="AN43" i="24"/>
  <c r="AN42" i="24"/>
  <c r="AN41" i="24"/>
  <c r="AN40" i="24"/>
  <c r="AN39" i="24"/>
  <c r="AN55" i="24"/>
  <c r="AN54" i="24"/>
  <c r="AN53" i="24"/>
  <c r="AN52" i="24"/>
  <c r="AN51" i="24"/>
  <c r="AN50" i="24"/>
  <c r="AN60" i="24"/>
  <c r="AN78" i="24"/>
  <c r="AN86" i="24"/>
  <c r="AN100" i="24"/>
  <c r="AN102" i="24"/>
  <c r="AN109" i="24"/>
  <c r="AN115" i="24"/>
  <c r="AN121" i="24"/>
  <c r="AN127" i="24"/>
  <c r="AN129" i="24"/>
  <c r="AN135" i="24"/>
  <c r="AN139" i="24"/>
  <c r="AN143" i="24"/>
  <c r="AN148" i="24"/>
  <c r="AN150" i="24"/>
  <c r="AN153" i="24"/>
  <c r="AN155" i="24"/>
  <c r="AN157" i="24"/>
  <c r="AN179" i="24"/>
  <c r="AN183" i="24"/>
  <c r="AN182" i="24"/>
  <c r="AN187" i="24"/>
  <c r="AN193" i="24"/>
  <c r="AN196" i="24"/>
  <c r="AN195" i="24"/>
  <c r="AN211" i="24"/>
  <c r="AN220" i="24"/>
  <c r="AN224" i="24"/>
  <c r="AN223" i="24"/>
  <c r="AN222" i="24"/>
  <c r="AN234" i="24"/>
  <c r="AN243" i="24"/>
  <c r="AN245" i="24"/>
  <c r="AN249" i="24"/>
  <c r="AN255" i="24"/>
  <c r="AN262" i="24"/>
  <c r="AN266" i="24"/>
  <c r="AN278" i="24"/>
  <c r="AN293" i="24"/>
  <c r="AN302" i="24"/>
  <c r="AN318" i="24"/>
  <c r="AN346" i="24"/>
  <c r="AN349" i="24"/>
  <c r="AN352" i="24"/>
  <c r="AN361" i="24"/>
  <c r="AN364" i="24"/>
  <c r="AN363" i="24"/>
  <c r="AN367" i="24"/>
  <c r="AN376" i="24"/>
  <c r="AN392" i="24"/>
  <c r="AN401" i="24"/>
  <c r="AN408" i="24"/>
  <c r="AN410" i="24"/>
  <c r="AN453" i="24"/>
  <c r="AN461" i="24"/>
  <c r="AN472" i="24"/>
  <c r="AN497" i="24"/>
  <c r="AP513" i="24"/>
  <c r="AP503" i="24"/>
  <c r="AP495" i="24"/>
  <c r="AP493" i="24"/>
  <c r="AP489" i="24"/>
  <c r="AP488" i="24"/>
  <c r="AP487" i="24"/>
  <c r="AP485" i="24"/>
  <c r="AP483" i="24"/>
  <c r="AP479" i="24"/>
  <c r="AP474" i="24"/>
  <c r="AP470" i="24"/>
  <c r="AP469" i="24"/>
  <c r="AP468" i="24"/>
  <c r="AP467" i="24"/>
  <c r="AP466" i="24"/>
  <c r="AP465" i="24"/>
  <c r="AP464" i="24"/>
  <c r="AP453" i="24"/>
  <c r="AP447" i="24"/>
  <c r="AP441" i="24"/>
  <c r="AP435" i="24"/>
  <c r="AP429" i="24"/>
  <c r="AP423" i="24"/>
  <c r="AP416" i="24"/>
  <c r="AP408" i="24"/>
  <c r="AP401" i="24"/>
  <c r="AP392" i="24"/>
  <c r="AP380" i="24"/>
  <c r="AP377" i="24"/>
  <c r="AP367" i="24"/>
  <c r="AP364" i="24"/>
  <c r="AP363" i="24"/>
  <c r="AP361" i="24"/>
  <c r="AP352" i="24"/>
  <c r="AP350" i="24"/>
  <c r="AP349" i="24"/>
  <c r="AP347" i="24"/>
  <c r="AP346" i="24"/>
  <c r="AP326" i="24"/>
  <c r="AP325" i="24"/>
  <c r="AP324" i="24"/>
  <c r="AP323" i="24"/>
  <c r="AP322" i="24"/>
  <c r="AP321" i="24"/>
  <c r="AP320" i="24"/>
  <c r="AP319" i="24"/>
  <c r="AP314" i="24"/>
  <c r="AP313" i="24"/>
  <c r="AP312" i="24"/>
  <c r="AP311" i="24"/>
  <c r="AP310" i="24"/>
  <c r="AP309" i="24"/>
  <c r="AP308" i="24"/>
  <c r="AP307" i="24"/>
  <c r="AP306" i="24"/>
  <c r="AP293" i="24"/>
  <c r="AP291" i="24"/>
  <c r="AP278" i="24"/>
  <c r="AP273" i="24"/>
  <c r="AP271" i="24"/>
  <c r="AP269" i="24"/>
  <c r="AP267" i="24"/>
  <c r="AP262" i="24"/>
  <c r="AP255" i="24"/>
  <c r="AP249" i="24"/>
  <c r="AP245" i="24"/>
  <c r="AP243" i="24"/>
  <c r="AP238" i="24"/>
  <c r="AP234" i="24"/>
  <c r="AP231" i="24"/>
  <c r="AP230" i="24"/>
  <c r="AP228" i="24"/>
  <c r="AP223" i="24"/>
  <c r="AP222" i="24"/>
  <c r="AP220" i="24"/>
  <c r="AP214" i="24"/>
  <c r="AP211" i="24"/>
  <c r="AP209" i="24"/>
  <c r="AP197" i="24"/>
  <c r="AP195" i="24"/>
  <c r="AP193" i="24"/>
  <c r="AP187" i="24"/>
  <c r="AP183" i="24"/>
  <c r="AP182" i="24"/>
  <c r="AP179" i="24"/>
  <c r="AP169" i="24"/>
  <c r="AP161" i="24"/>
  <c r="AP157" i="24"/>
  <c r="AP155" i="24"/>
  <c r="AP153" i="24"/>
  <c r="AP150" i="24"/>
  <c r="AP148" i="24"/>
  <c r="AP143" i="24"/>
  <c r="AP139" i="24"/>
  <c r="AP135" i="24"/>
  <c r="AP129" i="24"/>
  <c r="AP127" i="24"/>
  <c r="AP126" i="24"/>
  <c r="AP123" i="24"/>
  <c r="AP121" i="24"/>
  <c r="AP117" i="24"/>
  <c r="AP115" i="24"/>
  <c r="AP109" i="24"/>
  <c r="AP107" i="24"/>
  <c r="AP105" i="24"/>
  <c r="AP104" i="24"/>
  <c r="AP100" i="24"/>
  <c r="AP97" i="24"/>
  <c r="AP86" i="24"/>
  <c r="AP78" i="24"/>
  <c r="AP71" i="24"/>
  <c r="AP69" i="24"/>
  <c r="AP65" i="24"/>
  <c r="AP64" i="24"/>
  <c r="AP63" i="24"/>
  <c r="AP56" i="24"/>
  <c r="AP54" i="24"/>
  <c r="AP53" i="24"/>
  <c r="AP52" i="24"/>
  <c r="AP51" i="24"/>
  <c r="AP50" i="24"/>
  <c r="AP44" i="24"/>
  <c r="AP43" i="24"/>
  <c r="AP42" i="24"/>
  <c r="AP41" i="24"/>
  <c r="AP40" i="24"/>
  <c r="AP39" i="24"/>
  <c r="AP35" i="24"/>
  <c r="AP32" i="24"/>
  <c r="AP29" i="24"/>
  <c r="AR511" i="24"/>
  <c r="AR502" i="24"/>
  <c r="AR495" i="24"/>
  <c r="AR493" i="24"/>
  <c r="AR488" i="24"/>
  <c r="AR489" i="24"/>
  <c r="AR487" i="24"/>
  <c r="AR485" i="24"/>
  <c r="AR483" i="24"/>
  <c r="AR479" i="24"/>
  <c r="AR474" i="24"/>
  <c r="AR470" i="24"/>
  <c r="AR469" i="24"/>
  <c r="AR468" i="24"/>
  <c r="AR467" i="24"/>
  <c r="AR466" i="24"/>
  <c r="AR465" i="24"/>
  <c r="AR464" i="24"/>
  <c r="AR453" i="24"/>
  <c r="AR446" i="24"/>
  <c r="AR440" i="24"/>
  <c r="AR434" i="24"/>
  <c r="AR428" i="24"/>
  <c r="AR421" i="24"/>
  <c r="AR414" i="24"/>
  <c r="AR408" i="24"/>
  <c r="AR401" i="24"/>
  <c r="AR392" i="24"/>
  <c r="AR379" i="24"/>
  <c r="AR376" i="24"/>
  <c r="AR367" i="24"/>
  <c r="AR364" i="24"/>
  <c r="AR363" i="24"/>
  <c r="AR361" i="24"/>
  <c r="AR352" i="24"/>
  <c r="AR350" i="24"/>
  <c r="AR349" i="24"/>
  <c r="AR347" i="24"/>
  <c r="AR346" i="24"/>
  <c r="AR319" i="24"/>
  <c r="AR314" i="24"/>
  <c r="AR313" i="24"/>
  <c r="AR306" i="24"/>
  <c r="AR293" i="24"/>
  <c r="AR278" i="24"/>
  <c r="AR272" i="24"/>
  <c r="AR270" i="24"/>
  <c r="AR268" i="24"/>
  <c r="AR266" i="24"/>
  <c r="AR262" i="24"/>
  <c r="AR255" i="24"/>
  <c r="AR249" i="24"/>
  <c r="AR245" i="24"/>
  <c r="AR243" i="24"/>
  <c r="AR238" i="24"/>
  <c r="AR234" i="24"/>
  <c r="AR231" i="24"/>
  <c r="AR230" i="24"/>
  <c r="AR228" i="24"/>
  <c r="AR223" i="24"/>
  <c r="AR222" i="24"/>
  <c r="AR220" i="24"/>
  <c r="AR214" i="24"/>
  <c r="AR211" i="24"/>
  <c r="AR209" i="24"/>
  <c r="AR197" i="24"/>
  <c r="AR195" i="24"/>
  <c r="AR193" i="24"/>
  <c r="AR187" i="24"/>
  <c r="AR183" i="24"/>
  <c r="AR182" i="24"/>
  <c r="AR179" i="24"/>
  <c r="AR169" i="24"/>
  <c r="AR161" i="24"/>
  <c r="AR157" i="24"/>
  <c r="AR155" i="24"/>
  <c r="AR153" i="24"/>
  <c r="AR150" i="24"/>
  <c r="AR148" i="24"/>
  <c r="AR135" i="24"/>
  <c r="AR126" i="24"/>
  <c r="AR123" i="24"/>
  <c r="AR121" i="24"/>
  <c r="AR117" i="24"/>
  <c r="AR115" i="24"/>
  <c r="AR109" i="24"/>
  <c r="AR107" i="24"/>
  <c r="AR102" i="24"/>
  <c r="AR100" i="24"/>
  <c r="AR97" i="24"/>
  <c r="AR86" i="24"/>
  <c r="AR78" i="24"/>
  <c r="AR60" i="24"/>
  <c r="AR55" i="24"/>
  <c r="AR54" i="24"/>
  <c r="AR53" i="24"/>
  <c r="AR52" i="24"/>
  <c r="AR51" i="24"/>
  <c r="AR50" i="24"/>
  <c r="AR43" i="24"/>
  <c r="AR42" i="24"/>
  <c r="AR41" i="24"/>
  <c r="AR40" i="24"/>
  <c r="AR44" i="24"/>
  <c r="AR39" i="24"/>
  <c r="AR35" i="24"/>
  <c r="AR32" i="24"/>
  <c r="AR29" i="24"/>
  <c r="AR13" i="24"/>
  <c r="AR259" i="8"/>
  <c r="AR257" i="8"/>
  <c r="AR256" i="8"/>
  <c r="AR250" i="8"/>
  <c r="AR247" i="8"/>
  <c r="AR237" i="8"/>
  <c r="AR231" i="8"/>
  <c r="AR227" i="8"/>
  <c r="AR226" i="8"/>
  <c r="AR224" i="8"/>
  <c r="AR217" i="8"/>
  <c r="AR209" i="8"/>
  <c r="AR208" i="8"/>
  <c r="AR205" i="8"/>
  <c r="AR201" i="8"/>
  <c r="AR199" i="8"/>
  <c r="AR197" i="8"/>
  <c r="AR196" i="8"/>
  <c r="AR194" i="8"/>
  <c r="AR191" i="8"/>
  <c r="AR184" i="8"/>
  <c r="AR179" i="8"/>
  <c r="AR171" i="8"/>
  <c r="AR165" i="8"/>
  <c r="AR158" i="8"/>
  <c r="AR156" i="8"/>
  <c r="AR154" i="8"/>
  <c r="AR152" i="8"/>
  <c r="AR149" i="8"/>
  <c r="AR147" i="8"/>
  <c r="AR142" i="8"/>
  <c r="AR141" i="8"/>
  <c r="AR136" i="8"/>
  <c r="AR134" i="8"/>
  <c r="AR132" i="8"/>
  <c r="AR130" i="8"/>
  <c r="AR124" i="8"/>
  <c r="AR120" i="8"/>
  <c r="AR115" i="8"/>
  <c r="AR108" i="8"/>
  <c r="AR104" i="8"/>
  <c r="AR101" i="8"/>
  <c r="AR94" i="8"/>
  <c r="AR81" i="8"/>
  <c r="AR68" i="8"/>
  <c r="AR56" i="8"/>
  <c r="AR51" i="8"/>
  <c r="AR46" i="8"/>
  <c r="AR40" i="8"/>
  <c r="AR37" i="8"/>
  <c r="AR28" i="8"/>
  <c r="AR26" i="8"/>
  <c r="AR24" i="8"/>
  <c r="AR22" i="8"/>
  <c r="AR20" i="8"/>
  <c r="AP19" i="8"/>
  <c r="AP18" i="8"/>
  <c r="AP17" i="8"/>
  <c r="AP15" i="8"/>
  <c r="AP22" i="8"/>
  <c r="AP24" i="8"/>
  <c r="AP26" i="8"/>
  <c r="AP28" i="8"/>
  <c r="AP37" i="8"/>
  <c r="AP40" i="8"/>
  <c r="AP46" i="8"/>
  <c r="AP58" i="8"/>
  <c r="AP57" i="8"/>
  <c r="AP60" i="8"/>
  <c r="AP64" i="8"/>
  <c r="AP63" i="8"/>
  <c r="AP62" i="8"/>
  <c r="AP66" i="8"/>
  <c r="AP71" i="8"/>
  <c r="AP70" i="8"/>
  <c r="AP69" i="8"/>
  <c r="AP73" i="8"/>
  <c r="AP78" i="8"/>
  <c r="AP80" i="8"/>
  <c r="AP84" i="8"/>
  <c r="AP89" i="8"/>
  <c r="AP88" i="8"/>
  <c r="AP93" i="8"/>
  <c r="AP92" i="8"/>
  <c r="AP91" i="8"/>
  <c r="AP101" i="8"/>
  <c r="AP104" i="8"/>
  <c r="AP108" i="8"/>
  <c r="AP115" i="8"/>
  <c r="AP122" i="8"/>
  <c r="AP124" i="8"/>
  <c r="AP130" i="8"/>
  <c r="AP132" i="8"/>
  <c r="AP134" i="8"/>
  <c r="AP136" i="8"/>
  <c r="AP142" i="8"/>
  <c r="AP141" i="8"/>
  <c r="AP147" i="8"/>
  <c r="AP149" i="8"/>
  <c r="AP152" i="8"/>
  <c r="AP154" i="8"/>
  <c r="AP156" i="8"/>
  <c r="AP162" i="8"/>
  <c r="AP161" i="8"/>
  <c r="AP160" i="8"/>
  <c r="AP164" i="8"/>
  <c r="AP171" i="8"/>
  <c r="AP179" i="8"/>
  <c r="AP187" i="8"/>
  <c r="AP186" i="8"/>
  <c r="AP189" i="8"/>
  <c r="AP194" i="8"/>
  <c r="AP197" i="8"/>
  <c r="AP196" i="8"/>
  <c r="AP199" i="8"/>
  <c r="AP201" i="8"/>
  <c r="AP205" i="8"/>
  <c r="AP208" i="8"/>
  <c r="AP215" i="8"/>
  <c r="AP214" i="8"/>
  <c r="AP213" i="8"/>
  <c r="AP212" i="8"/>
  <c r="AP211" i="8"/>
  <c r="AP210" i="8"/>
  <c r="AP217" i="8"/>
  <c r="AP224" i="8"/>
  <c r="AP227" i="8"/>
  <c r="AP226" i="8"/>
  <c r="AP231" i="8"/>
  <c r="AP239" i="8"/>
  <c r="AP242" i="8"/>
  <c r="AP247" i="8"/>
  <c r="AP246" i="8"/>
  <c r="AP250" i="8"/>
  <c r="AP257" i="8"/>
  <c r="AP256" i="8"/>
  <c r="AP259" i="8"/>
  <c r="AN259" i="8"/>
  <c r="AN257" i="8"/>
  <c r="AN256" i="8"/>
  <c r="AN250" i="8"/>
  <c r="AN247" i="8"/>
  <c r="AN237" i="8"/>
  <c r="AN231" i="8"/>
  <c r="AN227" i="8"/>
  <c r="AN226" i="8"/>
  <c r="AN224" i="8"/>
  <c r="AN217" i="8"/>
  <c r="AN209" i="8"/>
  <c r="AN208" i="8"/>
  <c r="AN205" i="8"/>
  <c r="AN201" i="8"/>
  <c r="AN199" i="8"/>
  <c r="AN197" i="8"/>
  <c r="AN196" i="8"/>
  <c r="AN194" i="8"/>
  <c r="AN189" i="8"/>
  <c r="AN187" i="8"/>
  <c r="AN186" i="8"/>
  <c r="AN179" i="8"/>
  <c r="AN171" i="8"/>
  <c r="AN164" i="8"/>
  <c r="AN162" i="8"/>
  <c r="AN161" i="8"/>
  <c r="AN160" i="8"/>
  <c r="AN156" i="8"/>
  <c r="AN154" i="8"/>
  <c r="AN152" i="8"/>
  <c r="AN149" i="8"/>
  <c r="AN147" i="8"/>
  <c r="AN142" i="8"/>
  <c r="AN141" i="8"/>
  <c r="AN136" i="8"/>
  <c r="AN134" i="8"/>
  <c r="AN132" i="8"/>
  <c r="AN130" i="8"/>
  <c r="AN124" i="8"/>
  <c r="AN115" i="8"/>
  <c r="AN108" i="8"/>
  <c r="AN104" i="8"/>
  <c r="AN101" i="8"/>
  <c r="AN93" i="8"/>
  <c r="AN86" i="8"/>
  <c r="AN84" i="8"/>
  <c r="AN80" i="8"/>
  <c r="AN78" i="8"/>
  <c r="AN73" i="8"/>
  <c r="AN71" i="8"/>
  <c r="AN70" i="8"/>
  <c r="AN66" i="8"/>
  <c r="AN64" i="8"/>
  <c r="AN63" i="8"/>
  <c r="AN62" i="8"/>
  <c r="AN60" i="8"/>
  <c r="AN58" i="8"/>
  <c r="AN57" i="8"/>
  <c r="AN46" i="8"/>
  <c r="AN40" i="8"/>
  <c r="AN37" i="8"/>
  <c r="AN28" i="8"/>
  <c r="AN26" i="8"/>
  <c r="AN24" i="8"/>
  <c r="AN22" i="8"/>
  <c r="AL259" i="8"/>
  <c r="AL257" i="8"/>
  <c r="AL256" i="8"/>
  <c r="AL255" i="8"/>
  <c r="AL254" i="8"/>
  <c r="AL253" i="8"/>
  <c r="AL252" i="8"/>
  <c r="AL251" i="8"/>
  <c r="AL247" i="8"/>
  <c r="AL237" i="8"/>
  <c r="AL235" i="8"/>
  <c r="AL234" i="8"/>
  <c r="AL233" i="8"/>
  <c r="AL230" i="8"/>
  <c r="AL229" i="8"/>
  <c r="AL228" i="8"/>
  <c r="AL226" i="8"/>
  <c r="AL224" i="8"/>
  <c r="AL217" i="8"/>
  <c r="AL209" i="8"/>
  <c r="AL208" i="8"/>
  <c r="AL205" i="8"/>
  <c r="AL201" i="8"/>
  <c r="AL199" i="8"/>
  <c r="AL197" i="8"/>
  <c r="AL196" i="8"/>
  <c r="AL194" i="8"/>
  <c r="AL189" i="8"/>
  <c r="AL187" i="8"/>
  <c r="AL186" i="8"/>
  <c r="AL179" i="8"/>
  <c r="AL171" i="8"/>
  <c r="AL169" i="8"/>
  <c r="AL167" i="8"/>
  <c r="AL164" i="8"/>
  <c r="AL162" i="8"/>
  <c r="AL161" i="8"/>
  <c r="AL160" i="8"/>
  <c r="AL156" i="8"/>
  <c r="AL154" i="8"/>
  <c r="AL152" i="8"/>
  <c r="AL149" i="8"/>
  <c r="AL147" i="8"/>
  <c r="AL142" i="8"/>
  <c r="AL141" i="8"/>
  <c r="AL140" i="8"/>
  <c r="AL139" i="8"/>
  <c r="AL138" i="8"/>
  <c r="AL137" i="8"/>
  <c r="AL134" i="8"/>
  <c r="AL132" i="8"/>
  <c r="AL130" i="8"/>
  <c r="AL129" i="8"/>
  <c r="AL128" i="8"/>
  <c r="AL127" i="8"/>
  <c r="AL126" i="8"/>
  <c r="AL119" i="8"/>
  <c r="AL118" i="8"/>
  <c r="AL117" i="8"/>
  <c r="AL114" i="8"/>
  <c r="AL113" i="8"/>
  <c r="AL112" i="8"/>
  <c r="AL104" i="8"/>
  <c r="AL101" i="8"/>
  <c r="AL93" i="8"/>
  <c r="AL86" i="8"/>
  <c r="AL84" i="8"/>
  <c r="AL80" i="8"/>
  <c r="AL78" i="8"/>
  <c r="AL77" i="8"/>
  <c r="AL76" i="8"/>
  <c r="AL75" i="8"/>
  <c r="AL71" i="8"/>
  <c r="AL70" i="8"/>
  <c r="AL66" i="8"/>
  <c r="AL64" i="8"/>
  <c r="AL63" i="8"/>
  <c r="AL62" i="8"/>
  <c r="AL60" i="8"/>
  <c r="AL58" i="8"/>
  <c r="AL57" i="8"/>
  <c r="AL46" i="8"/>
  <c r="AL44" i="8"/>
  <c r="AL43" i="8"/>
  <c r="AL42" i="8"/>
  <c r="AL37" i="8"/>
  <c r="AL28" i="8"/>
  <c r="AL26" i="8"/>
  <c r="AL24" i="8"/>
  <c r="AL22" i="8"/>
  <c r="AL19" i="8"/>
  <c r="AL18" i="8"/>
  <c r="AL17" i="8"/>
  <c r="AL15" i="8"/>
  <c r="U40" i="8"/>
  <c r="AB4" i="2" s="1"/>
  <c r="Y39" i="16"/>
  <c r="Y36" i="16"/>
  <c r="Y27" i="16"/>
  <c r="Y25" i="16"/>
  <c r="Y23" i="16"/>
  <c r="Y21" i="16"/>
  <c r="Y19" i="16"/>
  <c r="Y13" i="16"/>
  <c r="A2013" i="66"/>
  <c r="A2011" i="66"/>
  <c r="A2005" i="66" s="1"/>
  <c r="A1998" i="66"/>
  <c r="A1999" i="66" s="1"/>
  <c r="A1995" i="66"/>
  <c r="A1993" i="66"/>
  <c r="A1976" i="66"/>
  <c r="A1977" i="66" s="1"/>
  <c r="A1978" i="66" s="1"/>
  <c r="A1979" i="66" s="1"/>
  <c r="A1887" i="66"/>
  <c r="A1888" i="66" s="1"/>
  <c r="A1834" i="66"/>
  <c r="A1829" i="66"/>
  <c r="A1825" i="66"/>
  <c r="A1820" i="66"/>
  <c r="A1821" i="66" s="1"/>
  <c r="A1822" i="66" s="1"/>
  <c r="A1800" i="66"/>
  <c r="A1798" i="66"/>
  <c r="A1795" i="66"/>
  <c r="A1793" i="66"/>
  <c r="A1786" i="66"/>
  <c r="A1781" i="66"/>
  <c r="A1778" i="66"/>
  <c r="A1776" i="66"/>
  <c r="A1767" i="66"/>
  <c r="A1748" i="66"/>
  <c r="A1741" i="66"/>
  <c r="A1737" i="66"/>
  <c r="A1735" i="66"/>
  <c r="A1719" i="66"/>
  <c r="A1714" i="66"/>
  <c r="A1695" i="66"/>
  <c r="A1690" i="66"/>
  <c r="A1674" i="66"/>
  <c r="A1651" i="66"/>
  <c r="C1651" i="66" s="1"/>
  <c r="A1648" i="66"/>
  <c r="A1627" i="66"/>
  <c r="A1628" i="66" s="1"/>
  <c r="A1629" i="66" s="1"/>
  <c r="A1617" i="66"/>
  <c r="A1615" i="66"/>
  <c r="A1613" i="66"/>
  <c r="A1608" i="66"/>
  <c r="A1606" i="66"/>
  <c r="A1603" i="66"/>
  <c r="A1601" i="66"/>
  <c r="A1598" i="66"/>
  <c r="A1589" i="66"/>
  <c r="A1585" i="66"/>
  <c r="A1574" i="66"/>
  <c r="A1562" i="66"/>
  <c r="A1560" i="66"/>
  <c r="A1557" i="66"/>
  <c r="A1539" i="66"/>
  <c r="A1536" i="66"/>
  <c r="A1518" i="66"/>
  <c r="A1514" i="66"/>
  <c r="A1511" i="66"/>
  <c r="A1507" i="66" s="1"/>
  <c r="A1505" i="66"/>
  <c r="A1506" i="66" s="1"/>
  <c r="A1497" i="66"/>
  <c r="A1473" i="66"/>
  <c r="A1399" i="66"/>
  <c r="A1388" i="66"/>
  <c r="A1377" i="66"/>
  <c r="A1348" i="66"/>
  <c r="A1349" i="66" s="1"/>
  <c r="A1330" i="66"/>
  <c r="A1331" i="66" s="1"/>
  <c r="A1328" i="66"/>
  <c r="C1328" i="66" s="1"/>
  <c r="A1300" i="66"/>
  <c r="A1301" i="66" s="1"/>
  <c r="A1272" i="66"/>
  <c r="A1267" i="66"/>
  <c r="A1263" i="66"/>
  <c r="A1264" i="66" s="1"/>
  <c r="A1257" i="66"/>
  <c r="A1254" i="66"/>
  <c r="A1249" i="66"/>
  <c r="A1250" i="66" s="1"/>
  <c r="A1244" i="66"/>
  <c r="A1237" i="66"/>
  <c r="A1233" i="66"/>
  <c r="A1224" i="66"/>
  <c r="A1225" i="66" s="1"/>
  <c r="C1225" i="66" s="1"/>
  <c r="A1196" i="66"/>
  <c r="A1139" i="66"/>
  <c r="A1113" i="66"/>
  <c r="A1111" i="66"/>
  <c r="A1083" i="66"/>
  <c r="A1067" i="66"/>
  <c r="A1050" i="66"/>
  <c r="A1051" i="66" s="1"/>
  <c r="C1051" i="66" s="1"/>
  <c r="A1007" i="66"/>
  <c r="A985" i="66"/>
  <c r="A977" i="66"/>
  <c r="A969" i="66"/>
  <c r="A955" i="66"/>
  <c r="A956" i="66" s="1"/>
  <c r="A940" i="66"/>
  <c r="A937" i="66"/>
  <c r="A907" i="66"/>
  <c r="A891" i="66"/>
  <c r="A885" i="66"/>
  <c r="A882" i="66"/>
  <c r="A883" i="66" s="1"/>
  <c r="A855" i="66"/>
  <c r="A819" i="66"/>
  <c r="A820" i="66" s="1"/>
  <c r="A821" i="66" s="1"/>
  <c r="A817" i="66"/>
  <c r="A813" i="66"/>
  <c r="A807" i="66"/>
  <c r="A808" i="66" s="1"/>
  <c r="A804" i="66"/>
  <c r="A805" i="66" s="1"/>
  <c r="A768" i="66"/>
  <c r="A708" i="66"/>
  <c r="A619" i="66"/>
  <c r="C619" i="66" s="1"/>
  <c r="A607" i="66"/>
  <c r="A608" i="66" s="1"/>
  <c r="A548" i="66"/>
  <c r="C548" i="66" s="1"/>
  <c r="A533" i="66"/>
  <c r="A534" i="66" s="1"/>
  <c r="A517" i="66"/>
  <c r="C517" i="66" s="1"/>
  <c r="A510" i="66"/>
  <c r="A498" i="66"/>
  <c r="A489" i="66"/>
  <c r="A469" i="66"/>
  <c r="C469" i="66" s="1"/>
  <c r="A466" i="66"/>
  <c r="A464" i="66"/>
  <c r="A416" i="66"/>
  <c r="A412" i="66"/>
  <c r="A413" i="66" s="1"/>
  <c r="A410" i="66"/>
  <c r="A408" i="66"/>
  <c r="A405" i="66"/>
  <c r="C405" i="66" s="1"/>
  <c r="A378" i="66"/>
  <c r="A364" i="66"/>
  <c r="A355" i="66"/>
  <c r="A352" i="66"/>
  <c r="A341" i="66"/>
  <c r="C341" i="66" s="1"/>
  <c r="A299" i="66"/>
  <c r="A300" i="66" s="1"/>
  <c r="A284" i="66"/>
  <c r="A258" i="66"/>
  <c r="C258" i="66" s="1"/>
  <c r="A256" i="66"/>
  <c r="A246" i="66"/>
  <c r="A230" i="66"/>
  <c r="A223" i="66"/>
  <c r="A220" i="66" s="1"/>
  <c r="A204" i="66"/>
  <c r="A200" i="66"/>
  <c r="A201" i="66" s="1"/>
  <c r="A202" i="66" s="1"/>
  <c r="A198" i="66"/>
  <c r="A193" i="66"/>
  <c r="A188" i="66"/>
  <c r="C188" i="66" s="1"/>
  <c r="A186" i="66"/>
  <c r="A182" i="66" s="1"/>
  <c r="A178" i="66"/>
  <c r="A155" i="66"/>
  <c r="A153" i="66"/>
  <c r="A151" i="66"/>
  <c r="A148" i="66"/>
  <c r="A146" i="66"/>
  <c r="C146" i="66" s="1"/>
  <c r="A141" i="66"/>
  <c r="A133" i="66"/>
  <c r="A131" i="66"/>
  <c r="A129" i="66"/>
  <c r="A123" i="66"/>
  <c r="A114" i="66"/>
  <c r="C114" i="66" s="1"/>
  <c r="A107" i="66"/>
  <c r="A108" i="66" s="1"/>
  <c r="A103" i="66"/>
  <c r="A100" i="66"/>
  <c r="A88" i="66"/>
  <c r="A83" i="66"/>
  <c r="A77" i="66"/>
  <c r="A72" i="66"/>
  <c r="A70" i="66"/>
  <c r="A65" i="66"/>
  <c r="A63" i="66"/>
  <c r="A59" i="66"/>
  <c r="A57" i="66"/>
  <c r="A45" i="66"/>
  <c r="A39" i="66"/>
  <c r="C39" i="66" s="1"/>
  <c r="A36" i="66"/>
  <c r="A27" i="66"/>
  <c r="A28" i="66" s="1"/>
  <c r="A29" i="66" s="1"/>
  <c r="A25" i="66"/>
  <c r="C25" i="66" s="1"/>
  <c r="A23" i="66"/>
  <c r="A21" i="66"/>
  <c r="A18" i="66" s="1"/>
  <c r="J65" i="17"/>
  <c r="J63" i="17"/>
  <c r="J61" i="17"/>
  <c r="J59" i="17"/>
  <c r="J57" i="17"/>
  <c r="J65" i="18"/>
  <c r="J63" i="18"/>
  <c r="J61" i="18"/>
  <c r="J59" i="18"/>
  <c r="J57" i="18"/>
  <c r="J47" i="18"/>
  <c r="J45" i="18"/>
  <c r="J43" i="18"/>
  <c r="J41" i="18"/>
  <c r="AD1301" i="16"/>
  <c r="AD768" i="16"/>
  <c r="AD758" i="16"/>
  <c r="AD708" i="16"/>
  <c r="AD635" i="16"/>
  <c r="AD632" i="16"/>
  <c r="AD622" i="16"/>
  <c r="AD607" i="16"/>
  <c r="AD605" i="16"/>
  <c r="AD604" i="16"/>
  <c r="AD602" i="16"/>
  <c r="AD601" i="16"/>
  <c r="AD581" i="16"/>
  <c r="AD569" i="16"/>
  <c r="AD568" i="16"/>
  <c r="AD528" i="16"/>
  <c r="AD526" i="16"/>
  <c r="AD524" i="16"/>
  <c r="AD522" i="16"/>
  <c r="AD517" i="16"/>
  <c r="AD510" i="16"/>
  <c r="AD341" i="16"/>
  <c r="AD214" i="16"/>
  <c r="AD27" i="16"/>
  <c r="E20" i="18"/>
  <c r="E20" i="17"/>
  <c r="H2012" i="66"/>
  <c r="H2010" i="66"/>
  <c r="H1997" i="66"/>
  <c r="H1994" i="66"/>
  <c r="H1992" i="66"/>
  <c r="H1974" i="66"/>
  <c r="H1973" i="66"/>
  <c r="H1972" i="66"/>
  <c r="H1975" i="66"/>
  <c r="H1971" i="66"/>
  <c r="H1969" i="66"/>
  <c r="H1968" i="66"/>
  <c r="H1966" i="66"/>
  <c r="H1959" i="66"/>
  <c r="H1955" i="66"/>
  <c r="H1953" i="66"/>
  <c r="H1947" i="66"/>
  <c r="H1944" i="66"/>
  <c r="H1943" i="66"/>
  <c r="H1941" i="66"/>
  <c r="H1939" i="66"/>
  <c r="H1938" i="66"/>
  <c r="H1936" i="66"/>
  <c r="H1933" i="66"/>
  <c r="H1931" i="66"/>
  <c r="H1928" i="66"/>
  <c r="H1926" i="66"/>
  <c r="H1919" i="66"/>
  <c r="H1920" i="66"/>
  <c r="H1918" i="66"/>
  <c r="H1916" i="66"/>
  <c r="H1915" i="66"/>
  <c r="H1913" i="66"/>
  <c r="H1910" i="66"/>
  <c r="H1907" i="66"/>
  <c r="H1885" i="66"/>
  <c r="H1886" i="66"/>
  <c r="H1884" i="66"/>
  <c r="H1882" i="66"/>
  <c r="H1880" i="66"/>
  <c r="H1878" i="66"/>
  <c r="H1877" i="66"/>
  <c r="H1875" i="66"/>
  <c r="H1873" i="66"/>
  <c r="H1872" i="66"/>
  <c r="H1870" i="66"/>
  <c r="H1868" i="66"/>
  <c r="H1864" i="66"/>
  <c r="H1854" i="66"/>
  <c r="H1856" i="66"/>
  <c r="H1857" i="66"/>
  <c r="H1858" i="66"/>
  <c r="H1853" i="66"/>
  <c r="H1851" i="66"/>
  <c r="H1848" i="66"/>
  <c r="H1849" i="66"/>
  <c r="H1847" i="66"/>
  <c r="H1843" i="66"/>
  <c r="H1842" i="66"/>
  <c r="H1841" i="66"/>
  <c r="H1833" i="66"/>
  <c r="H1828" i="66"/>
  <c r="H1824" i="66"/>
  <c r="H1819" i="66"/>
  <c r="H1814" i="66"/>
  <c r="H1813" i="66"/>
  <c r="H1807" i="66"/>
  <c r="H1803" i="66"/>
  <c r="H1799" i="66"/>
  <c r="H1797" i="66"/>
  <c r="H1794" i="66"/>
  <c r="H1792" i="66"/>
  <c r="H1789" i="66"/>
  <c r="H1785" i="66"/>
  <c r="H1780" i="66"/>
  <c r="H1777" i="66"/>
  <c r="H1775" i="66"/>
  <c r="H1766" i="66"/>
  <c r="H1762" i="66"/>
  <c r="H1760" i="66"/>
  <c r="H1758" i="66"/>
  <c r="H1755" i="66"/>
  <c r="H1753" i="66"/>
  <c r="H1747" i="66"/>
  <c r="H1746" i="66"/>
  <c r="H1744" i="66"/>
  <c r="H1740" i="66"/>
  <c r="H1738" i="66"/>
  <c r="H1736" i="66"/>
  <c r="H1734" i="66"/>
  <c r="H1728" i="66"/>
  <c r="H1726" i="66"/>
  <c r="H1723" i="66"/>
  <c r="H1722" i="66"/>
  <c r="H1718" i="66"/>
  <c r="H1713" i="66"/>
  <c r="H1709" i="66"/>
  <c r="H1708" i="66"/>
  <c r="H1703" i="66"/>
  <c r="H1694" i="66"/>
  <c r="H1689" i="66"/>
  <c r="H1687" i="66"/>
  <c r="H1686" i="66"/>
  <c r="H1684" i="66"/>
  <c r="H1673" i="66"/>
  <c r="H1670" i="66"/>
  <c r="H1669" i="66"/>
  <c r="H1659" i="66"/>
  <c r="H1650" i="66"/>
  <c r="H1647" i="66"/>
  <c r="H1645" i="66"/>
  <c r="H1634" i="66"/>
  <c r="H1633" i="66"/>
  <c r="H1632" i="66"/>
  <c r="H1631" i="66"/>
  <c r="H1626" i="66"/>
  <c r="H1622" i="66"/>
  <c r="H1616" i="66"/>
  <c r="H1614" i="66"/>
  <c r="H1612" i="66"/>
  <c r="H1609" i="66"/>
  <c r="H1607" i="66"/>
  <c r="H1605" i="66"/>
  <c r="H1602" i="66"/>
  <c r="H1600" i="66"/>
  <c r="H1597" i="66"/>
  <c r="H1591" i="66"/>
  <c r="H1588" i="66"/>
  <c r="H1584" i="66"/>
  <c r="H1581" i="66"/>
  <c r="H1578" i="66"/>
  <c r="H1573" i="66"/>
  <c r="H1567" i="66"/>
  <c r="H1561" i="66"/>
  <c r="H1559" i="66"/>
  <c r="H1555" i="66"/>
  <c r="H1556" i="66"/>
  <c r="H1554" i="66"/>
  <c r="H1549" i="66"/>
  <c r="H1547" i="66"/>
  <c r="H1545" i="66"/>
  <c r="H1538" i="66"/>
  <c r="H1537" i="66"/>
  <c r="H1535" i="66"/>
  <c r="H1521" i="66"/>
  <c r="H1517" i="66"/>
  <c r="H1513" i="66"/>
  <c r="H1512" i="66"/>
  <c r="H1510" i="66"/>
  <c r="H1504" i="66"/>
  <c r="H1501" i="66"/>
  <c r="H1500" i="66"/>
  <c r="H1502" i="66"/>
  <c r="H1496" i="66"/>
  <c r="H1494" i="66"/>
  <c r="H1492" i="66"/>
  <c r="H1488" i="66"/>
  <c r="H1485" i="66"/>
  <c r="H1479" i="66"/>
  <c r="H1472" i="66"/>
  <c r="H1471" i="66"/>
  <c r="H1467" i="66"/>
  <c r="H1462" i="66"/>
  <c r="H1457" i="66"/>
  <c r="H1448" i="66"/>
  <c r="H1441" i="66"/>
  <c r="H1440" i="66"/>
  <c r="H1435" i="66"/>
  <c r="H1406" i="66"/>
  <c r="H1398" i="66"/>
  <c r="H1395" i="66"/>
  <c r="H1392" i="66"/>
  <c r="H1391" i="66"/>
  <c r="H1387" i="66"/>
  <c r="H1379" i="66"/>
  <c r="H1376" i="66"/>
  <c r="H1374" i="66"/>
  <c r="H1372" i="66"/>
  <c r="H1369" i="66"/>
  <c r="H1368" i="66"/>
  <c r="H1367" i="66"/>
  <c r="H1366" i="66"/>
  <c r="H1365" i="66"/>
  <c r="H1364" i="66"/>
  <c r="H1363" i="66"/>
  <c r="H1362" i="66"/>
  <c r="H1347" i="66"/>
  <c r="H1344" i="66"/>
  <c r="H1341" i="66"/>
  <c r="H1339" i="66"/>
  <c r="H1338" i="66"/>
  <c r="H1337" i="66"/>
  <c r="H1336" i="66"/>
  <c r="H1329" i="66"/>
  <c r="H1327" i="66"/>
  <c r="H1325" i="66"/>
  <c r="H1313" i="66"/>
  <c r="H1307" i="66"/>
  <c r="H1299" i="66"/>
  <c r="H1296" i="66"/>
  <c r="H1293" i="66"/>
  <c r="H1271" i="66"/>
  <c r="H1266" i="66"/>
  <c r="H1262" i="66"/>
  <c r="H1261" i="66"/>
  <c r="H1259" i="66"/>
  <c r="H1256" i="66"/>
  <c r="H1253" i="66"/>
  <c r="H1248" i="66"/>
  <c r="H1243" i="66"/>
  <c r="H1239" i="66"/>
  <c r="H1236" i="66"/>
  <c r="H1232" i="66"/>
  <c r="H1223" i="66"/>
  <c r="H1195" i="66"/>
  <c r="H1193" i="66"/>
  <c r="H1191" i="66"/>
  <c r="H1189" i="66"/>
  <c r="H1184" i="66"/>
  <c r="H1183" i="66"/>
  <c r="H1180" i="66"/>
  <c r="H1177" i="66"/>
  <c r="H1178" i="66"/>
  <c r="H1176" i="66"/>
  <c r="H1174" i="66"/>
  <c r="H1166" i="66"/>
  <c r="H1138" i="66"/>
  <c r="H1134" i="66"/>
  <c r="H1135" i="66"/>
  <c r="H1133" i="66"/>
  <c r="H1130" i="66"/>
  <c r="H1128" i="66"/>
  <c r="H1126" i="66"/>
  <c r="H1116" i="66"/>
  <c r="H1114" i="66"/>
  <c r="H1112" i="66"/>
  <c r="H1110" i="66"/>
  <c r="H1095" i="66"/>
  <c r="H1093" i="66"/>
  <c r="H1080" i="66"/>
  <c r="H1082" i="66"/>
  <c r="H1078" i="66"/>
  <c r="H1077" i="66"/>
  <c r="H1074" i="66"/>
  <c r="H1072" i="66"/>
  <c r="H1066" i="66"/>
  <c r="H1061" i="66"/>
  <c r="H1059" i="66"/>
  <c r="H1054" i="66"/>
  <c r="H1049" i="66"/>
  <c r="H1048" i="66"/>
  <c r="H1046" i="66"/>
  <c r="H1042" i="66"/>
  <c r="H1037" i="66"/>
  <c r="H1033" i="66"/>
  <c r="H1027" i="66"/>
  <c r="H1022" i="66"/>
  <c r="H1019" i="66"/>
  <c r="H1013" i="66"/>
  <c r="H1006" i="66"/>
  <c r="H1000" i="66"/>
  <c r="H994" i="66"/>
  <c r="H984" i="66"/>
  <c r="H976" i="66"/>
  <c r="H968" i="66"/>
  <c r="H961" i="66"/>
  <c r="H954" i="66"/>
  <c r="H953" i="66"/>
  <c r="H947" i="66"/>
  <c r="H945" i="66"/>
  <c r="H939" i="66"/>
  <c r="H936" i="66"/>
  <c r="H923" i="66"/>
  <c r="H912" i="66"/>
  <c r="H906" i="66"/>
  <c r="H901" i="66"/>
  <c r="H900" i="66"/>
  <c r="H898" i="66"/>
  <c r="A896" i="66" s="1"/>
  <c r="H890" i="66"/>
  <c r="H884" i="66"/>
  <c r="H857" i="66"/>
  <c r="H854" i="66"/>
  <c r="H838" i="66"/>
  <c r="A835" i="66" s="1"/>
  <c r="H822" i="66"/>
  <c r="H820" i="66"/>
  <c r="H816" i="66"/>
  <c r="H815" i="66"/>
  <c r="H812" i="66"/>
  <c r="H806" i="66"/>
  <c r="H803" i="66"/>
  <c r="H798" i="66"/>
  <c r="H789" i="66"/>
  <c r="H775" i="66"/>
  <c r="H776" i="66" s="1"/>
  <c r="H767" i="66"/>
  <c r="H757" i="66"/>
  <c r="H749" i="66"/>
  <c r="H747" i="66"/>
  <c r="H742" i="66"/>
  <c r="H743" i="66"/>
  <c r="H741" i="66"/>
  <c r="H739" i="66"/>
  <c r="H737" i="66"/>
  <c r="H733" i="66"/>
  <c r="H728" i="66"/>
  <c r="H724" i="66"/>
  <c r="H723" i="66"/>
  <c r="H722" i="66"/>
  <c r="H721" i="66"/>
  <c r="H720" i="66"/>
  <c r="H719" i="66"/>
  <c r="H718" i="66"/>
  <c r="H707" i="66"/>
  <c r="H701" i="66"/>
  <c r="H695" i="66"/>
  <c r="H689" i="66"/>
  <c r="H683" i="66"/>
  <c r="H677" i="66"/>
  <c r="H670" i="66"/>
  <c r="A668" i="66" s="1"/>
  <c r="H662" i="66"/>
  <c r="H655" i="66"/>
  <c r="H646" i="66"/>
  <c r="H634" i="66"/>
  <c r="H631" i="66"/>
  <c r="H621" i="66"/>
  <c r="H618" i="66"/>
  <c r="H617" i="66"/>
  <c r="H615" i="66"/>
  <c r="H606" i="66"/>
  <c r="H604" i="66"/>
  <c r="H603" i="66"/>
  <c r="H601" i="66"/>
  <c r="H600" i="66"/>
  <c r="H580" i="66"/>
  <c r="H579" i="66"/>
  <c r="H578" i="66"/>
  <c r="H577" i="66"/>
  <c r="H576" i="66"/>
  <c r="H575" i="66"/>
  <c r="H574" i="66"/>
  <c r="H573" i="66"/>
  <c r="H568" i="66"/>
  <c r="H567" i="66"/>
  <c r="H566" i="66"/>
  <c r="H565" i="66"/>
  <c r="H564" i="66"/>
  <c r="H563" i="66"/>
  <c r="H562" i="66"/>
  <c r="H561" i="66"/>
  <c r="H560" i="66"/>
  <c r="H547" i="66"/>
  <c r="H545" i="66"/>
  <c r="H532" i="66"/>
  <c r="H527" i="66"/>
  <c r="H525" i="66"/>
  <c r="H523" i="66"/>
  <c r="H521" i="66"/>
  <c r="H516" i="66"/>
  <c r="H509" i="66"/>
  <c r="H503" i="66"/>
  <c r="H499" i="66"/>
  <c r="H497" i="66"/>
  <c r="H492" i="66"/>
  <c r="H488" i="66"/>
  <c r="H485" i="66"/>
  <c r="H484" i="66"/>
  <c r="H482" i="66"/>
  <c r="H477" i="66"/>
  <c r="H476" i="66"/>
  <c r="H474" i="66"/>
  <c r="H468" i="66"/>
  <c r="H465" i="66"/>
  <c r="H463" i="66"/>
  <c r="H451" i="66"/>
  <c r="H449" i="66"/>
  <c r="H447" i="66"/>
  <c r="H441" i="66"/>
  <c r="H437" i="66"/>
  <c r="H436" i="66"/>
  <c r="H433" i="66"/>
  <c r="H423" i="66"/>
  <c r="H415" i="66"/>
  <c r="H411" i="66"/>
  <c r="H409" i="66"/>
  <c r="H407" i="66"/>
  <c r="H404" i="66"/>
  <c r="H402" i="66"/>
  <c r="H397" i="66"/>
  <c r="H393" i="66"/>
  <c r="H389" i="66"/>
  <c r="H383" i="66"/>
  <c r="H381" i="66"/>
  <c r="H380" i="66"/>
  <c r="H377" i="66"/>
  <c r="H375" i="66"/>
  <c r="H371" i="66"/>
  <c r="H369" i="66"/>
  <c r="H363" i="66"/>
  <c r="H361" i="66"/>
  <c r="H359" i="66"/>
  <c r="H358" i="66"/>
  <c r="H354" i="66"/>
  <c r="H351" i="66"/>
  <c r="H340" i="66"/>
  <c r="H332" i="66"/>
  <c r="H325" i="66"/>
  <c r="H323" i="66"/>
  <c r="H318" i="66"/>
  <c r="H319" i="66"/>
  <c r="H317" i="66"/>
  <c r="H310" i="66"/>
  <c r="H308" i="66"/>
  <c r="H307" i="66"/>
  <c r="H306" i="66"/>
  <c r="H305" i="66"/>
  <c r="H304" i="66"/>
  <c r="H298" i="66"/>
  <c r="H297" i="66"/>
  <c r="H296" i="66"/>
  <c r="H295" i="66"/>
  <c r="H294" i="66"/>
  <c r="H293" i="66"/>
  <c r="H289" i="66"/>
  <c r="H286" i="66"/>
  <c r="H283" i="66"/>
  <c r="H257" i="66"/>
  <c r="H255" i="66"/>
  <c r="H254" i="66"/>
  <c r="H248" i="66"/>
  <c r="H245" i="66"/>
  <c r="H244" i="66"/>
  <c r="H240" i="66"/>
  <c r="H237" i="66"/>
  <c r="H229" i="66"/>
  <c r="H225" i="66"/>
  <c r="H224" i="66"/>
  <c r="H222" i="66"/>
  <c r="H215" i="66"/>
  <c r="H212" i="66"/>
  <c r="H211" i="66"/>
  <c r="H210" i="66"/>
  <c r="H209" i="66"/>
  <c r="H213" i="66"/>
  <c r="H208" i="66"/>
  <c r="H206" i="66"/>
  <c r="H203" i="66"/>
  <c r="H199" i="66"/>
  <c r="H197" i="66"/>
  <c r="H195" i="66"/>
  <c r="H194" i="66"/>
  <c r="H192" i="66"/>
  <c r="H187" i="66"/>
  <c r="H185" i="66"/>
  <c r="H184" i="66"/>
  <c r="H177" i="66"/>
  <c r="H170" i="66"/>
  <c r="H162" i="66"/>
  <c r="H159" i="66"/>
  <c r="H160" i="66"/>
  <c r="H158" i="66"/>
  <c r="H154" i="66"/>
  <c r="H152" i="66"/>
  <c r="H150" i="66"/>
  <c r="H147" i="66"/>
  <c r="H145" i="66"/>
  <c r="H140" i="66"/>
  <c r="H139" i="66"/>
  <c r="H134" i="66"/>
  <c r="H132" i="66"/>
  <c r="H130" i="66"/>
  <c r="H128" i="66"/>
  <c r="H122" i="66"/>
  <c r="H120" i="66"/>
  <c r="H113" i="66"/>
  <c r="H106" i="66"/>
  <c r="H102" i="66"/>
  <c r="H99" i="66"/>
  <c r="H90" i="66"/>
  <c r="H91" i="66"/>
  <c r="H89" i="66"/>
  <c r="H87" i="66"/>
  <c r="H86" i="66"/>
  <c r="H82" i="66"/>
  <c r="H78" i="66"/>
  <c r="H76" i="66"/>
  <c r="H71" i="66"/>
  <c r="H68" i="66"/>
  <c r="H69" i="66"/>
  <c r="H67" i="66"/>
  <c r="H64" i="66"/>
  <c r="H61" i="66"/>
  <c r="H62" i="66"/>
  <c r="H60" i="66"/>
  <c r="H58" i="66"/>
  <c r="H56" i="66"/>
  <c r="H55" i="66"/>
  <c r="H44" i="66"/>
  <c r="H38" i="66"/>
  <c r="H35" i="66"/>
  <c r="H26" i="66"/>
  <c r="H24" i="66"/>
  <c r="H22" i="66"/>
  <c r="H20" i="66"/>
  <c r="H17" i="66"/>
  <c r="H16" i="66"/>
  <c r="H15" i="66"/>
  <c r="H13" i="66"/>
  <c r="A1396" i="66"/>
  <c r="A1314" i="66"/>
  <c r="A1167" i="66"/>
  <c r="A493" i="66"/>
  <c r="A403" i="66"/>
  <c r="A333" i="66"/>
  <c r="C333" i="66" s="1"/>
  <c r="A287" i="66"/>
  <c r="A288" i="66" s="1"/>
  <c r="A196" i="66"/>
  <c r="A1779" i="66"/>
  <c r="A490" i="66"/>
  <c r="A1646" i="66"/>
  <c r="A1642" i="66" s="1"/>
  <c r="A1568" i="66"/>
  <c r="AX1889" i="16"/>
  <c r="AX1888" i="16"/>
  <c r="AX1886" i="16"/>
  <c r="AX1885" i="16"/>
  <c r="AX1884" i="16"/>
  <c r="AX1883" i="16"/>
  <c r="AX1882" i="16"/>
  <c r="AX1881" i="16"/>
  <c r="AX1880" i="16"/>
  <c r="AX1878" i="16"/>
  <c r="AX1877" i="16"/>
  <c r="AX1876" i="16"/>
  <c r="AX1875" i="16"/>
  <c r="AX1874" i="16"/>
  <c r="AX1873" i="16"/>
  <c r="AX1872" i="16"/>
  <c r="AX1871" i="16"/>
  <c r="AX1870" i="16"/>
  <c r="AX1868" i="16"/>
  <c r="AX1867" i="16"/>
  <c r="AX1866" i="16"/>
  <c r="AX1865" i="16"/>
  <c r="AX1864" i="16"/>
  <c r="AX1863" i="16"/>
  <c r="AX1862" i="16"/>
  <c r="AX1861" i="16"/>
  <c r="AX1860" i="16"/>
  <c r="AX1858" i="16"/>
  <c r="AX1857" i="16"/>
  <c r="AX1855" i="16"/>
  <c r="AX1853" i="16"/>
  <c r="AX1852" i="16"/>
  <c r="AX1851" i="16"/>
  <c r="AX1849" i="16"/>
  <c r="AX1848" i="16"/>
  <c r="AX1847" i="16"/>
  <c r="AX1845" i="16"/>
  <c r="AX1844" i="16"/>
  <c r="AX1843" i="16"/>
  <c r="AX1842" i="16"/>
  <c r="AX1841" i="16"/>
  <c r="AX1840" i="16"/>
  <c r="AX1839" i="16"/>
  <c r="AX1618" i="16"/>
  <c r="AX1617" i="16"/>
  <c r="AX1615" i="16"/>
  <c r="AX1614" i="16"/>
  <c r="AX1613" i="16"/>
  <c r="AX1612" i="16"/>
  <c r="AX1611" i="16"/>
  <c r="AX1610" i="16"/>
  <c r="AX1609" i="16"/>
  <c r="AX1607" i="16"/>
  <c r="AX1606" i="16"/>
  <c r="AX1605" i="16"/>
  <c r="AX1604" i="16"/>
  <c r="AX1603" i="16"/>
  <c r="AX1602" i="16"/>
  <c r="AX1601" i="16"/>
  <c r="AX1600" i="16"/>
  <c r="AX1599" i="16"/>
  <c r="AX1597" i="16"/>
  <c r="AX1596" i="16"/>
  <c r="AX1595" i="16"/>
  <c r="AX1594" i="16"/>
  <c r="AX1593" i="16"/>
  <c r="AX1592" i="16"/>
  <c r="AX1591" i="16"/>
  <c r="AX1590" i="16"/>
  <c r="AX1589" i="16"/>
  <c r="AX1587" i="16"/>
  <c r="AX1586" i="16"/>
  <c r="AX1584" i="16"/>
  <c r="AX1582" i="16"/>
  <c r="AX1581" i="16"/>
  <c r="AX1580" i="16"/>
  <c r="AX1578" i="16"/>
  <c r="AX1577" i="16"/>
  <c r="AX1576" i="16"/>
  <c r="AX1574" i="16"/>
  <c r="AX1573" i="16"/>
  <c r="AX1572" i="16"/>
  <c r="AX1571" i="16"/>
  <c r="AX1570" i="16"/>
  <c r="AX1569" i="16"/>
  <c r="AX1568" i="16"/>
  <c r="AX1457" i="16"/>
  <c r="AX1456" i="16"/>
  <c r="AX1454" i="16"/>
  <c r="AX1453" i="16"/>
  <c r="AX1452" i="16"/>
  <c r="AX1451" i="16"/>
  <c r="AX1450" i="16"/>
  <c r="AX1449" i="16"/>
  <c r="AX1448" i="16"/>
  <c r="AX1446" i="16"/>
  <c r="AX1445" i="16"/>
  <c r="AX1444" i="16"/>
  <c r="AX1443" i="16"/>
  <c r="AX1442" i="16"/>
  <c r="AX1441" i="16"/>
  <c r="AX1440" i="16"/>
  <c r="AX1439" i="16"/>
  <c r="AX1438" i="16"/>
  <c r="AX1436" i="16"/>
  <c r="AX1435" i="16"/>
  <c r="AX1434" i="16"/>
  <c r="AX1433" i="16"/>
  <c r="AX1432" i="16"/>
  <c r="AX1431" i="16"/>
  <c r="AX1430" i="16"/>
  <c r="AX1429" i="16"/>
  <c r="AX1428" i="16"/>
  <c r="AX1426" i="16"/>
  <c r="AX1425" i="16"/>
  <c r="AX1423" i="16"/>
  <c r="AX1421" i="16"/>
  <c r="AX1420" i="16"/>
  <c r="AX1419" i="16"/>
  <c r="AX1417" i="16"/>
  <c r="AX1416" i="16"/>
  <c r="AX1415" i="16"/>
  <c r="AX1408" i="16"/>
  <c r="AX1409" i="16"/>
  <c r="AX1410" i="16"/>
  <c r="AX1411" i="16"/>
  <c r="AX1412" i="16"/>
  <c r="AX1413" i="16"/>
  <c r="AX1407" i="16"/>
  <c r="I5" i="29"/>
  <c r="O1540" i="16"/>
  <c r="E1538" i="76" s="1"/>
  <c r="O144" i="27"/>
  <c r="I1538" i="66" s="1"/>
  <c r="O1346" i="16"/>
  <c r="E1344" i="76" s="1"/>
  <c r="O582" i="25"/>
  <c r="N1346" i="16" s="1"/>
  <c r="G162" i="16"/>
  <c r="G157" i="16" s="1"/>
  <c r="AO144" i="27"/>
  <c r="AR1273" i="16"/>
  <c r="S1769" i="16"/>
  <c r="T1822" i="16"/>
  <c r="Y2014" i="16"/>
  <c r="Y2012" i="16"/>
  <c r="Y1999" i="16"/>
  <c r="Y1996" i="16"/>
  <c r="Y1994" i="16"/>
  <c r="Y1977" i="16"/>
  <c r="Y1976" i="16"/>
  <c r="Y1975" i="16"/>
  <c r="Y1974" i="16"/>
  <c r="Y1973" i="16"/>
  <c r="Y1971" i="16"/>
  <c r="Y1970" i="16"/>
  <c r="Y1968" i="16"/>
  <c r="Y1961" i="16"/>
  <c r="Y1957" i="16"/>
  <c r="Y1955" i="16"/>
  <c r="Y1949" i="16"/>
  <c r="Y1946" i="16"/>
  <c r="Y1945" i="16"/>
  <c r="Y1943" i="16"/>
  <c r="Y1941" i="16"/>
  <c r="Y1940" i="16"/>
  <c r="Y1938" i="16"/>
  <c r="Y1935" i="16"/>
  <c r="Y1933" i="16"/>
  <c r="Y1930" i="16"/>
  <c r="Y1928" i="16"/>
  <c r="Y1922" i="16"/>
  <c r="Y1921" i="16"/>
  <c r="Y1920" i="16"/>
  <c r="Y1918" i="16"/>
  <c r="Y1917" i="16"/>
  <c r="Y1915" i="16"/>
  <c r="Y1912" i="16"/>
  <c r="Y1909" i="16"/>
  <c r="Y1888" i="16"/>
  <c r="Y1887" i="16"/>
  <c r="Y1886" i="16"/>
  <c r="Y1884" i="16"/>
  <c r="Y1882" i="16"/>
  <c r="Y1880" i="16"/>
  <c r="Y1879" i="16"/>
  <c r="Y1877" i="16"/>
  <c r="Y1875" i="16"/>
  <c r="Y1874" i="16"/>
  <c r="Y1872" i="16"/>
  <c r="Y1870" i="16"/>
  <c r="Y1866" i="16"/>
  <c r="Y1860" i="16"/>
  <c r="Y1859" i="16"/>
  <c r="Y1858" i="16"/>
  <c r="Y1856" i="16"/>
  <c r="Y1855" i="16"/>
  <c r="Y1853" i="16"/>
  <c r="Y1851" i="16"/>
  <c r="Y1850" i="16"/>
  <c r="Y1849" i="16"/>
  <c r="Y1845" i="16"/>
  <c r="Y1844" i="16"/>
  <c r="Y1843" i="16"/>
  <c r="Y1835" i="16"/>
  <c r="Y1830" i="16"/>
  <c r="Y1826" i="16"/>
  <c r="Y1821" i="16"/>
  <c r="Y1813" i="16"/>
  <c r="Y1809" i="16"/>
  <c r="Y1805" i="16"/>
  <c r="Y1801" i="16"/>
  <c r="Y1799" i="16"/>
  <c r="Y1796" i="16"/>
  <c r="Y1794" i="16"/>
  <c r="Y1785" i="16"/>
  <c r="Y1782" i="16"/>
  <c r="Y1779" i="16"/>
  <c r="Y1777" i="16"/>
  <c r="Y1768" i="16"/>
  <c r="Y1764" i="16"/>
  <c r="Y1762" i="16"/>
  <c r="Y1760" i="16"/>
  <c r="Y1753" i="16"/>
  <c r="Y1749" i="16"/>
  <c r="Y1745" i="16"/>
  <c r="Y1742" i="16"/>
  <c r="Y1740" i="16"/>
  <c r="Y1738" i="16"/>
  <c r="Y1736" i="16"/>
  <c r="Y1730" i="16"/>
  <c r="Y1728" i="16"/>
  <c r="Y1722" i="16"/>
  <c r="Y1720" i="16"/>
  <c r="Y1715" i="16"/>
  <c r="Y1711" i="16"/>
  <c r="Y1710" i="16"/>
  <c r="Y1705" i="16"/>
  <c r="Y1696" i="16"/>
  <c r="Y1691" i="16"/>
  <c r="Y1689" i="16"/>
  <c r="Y1688" i="16"/>
  <c r="Y1686" i="16"/>
  <c r="Y1681" i="16"/>
  <c r="Y1675" i="16"/>
  <c r="Y1671" i="16"/>
  <c r="Y1661" i="16"/>
  <c r="Y1652" i="16"/>
  <c r="Y1649" i="16"/>
  <c r="Y1647" i="16"/>
  <c r="Y1633" i="16"/>
  <c r="Y1628" i="16"/>
  <c r="Y1624" i="16"/>
  <c r="Y1618" i="16"/>
  <c r="Y1616" i="16"/>
  <c r="Y1614" i="16"/>
  <c r="Y1611" i="16"/>
  <c r="Y1609" i="16"/>
  <c r="Y1607" i="16"/>
  <c r="Y1604" i="16"/>
  <c r="Y1602" i="16"/>
  <c r="Y1599" i="16"/>
  <c r="Y1593" i="16"/>
  <c r="Y1590" i="16"/>
  <c r="Y1586" i="16"/>
  <c r="Y1583" i="16"/>
  <c r="Y1580" i="16"/>
  <c r="Y1575" i="16"/>
  <c r="Y1569" i="16"/>
  <c r="Y1563" i="16"/>
  <c r="Y1561" i="16"/>
  <c r="Y1558" i="16"/>
  <c r="Y1557" i="16"/>
  <c r="Y1556" i="16"/>
  <c r="Y1550" i="16"/>
  <c r="Y1549" i="16"/>
  <c r="Y1547" i="16"/>
  <c r="Y1540" i="16"/>
  <c r="Y1539" i="16"/>
  <c r="Y1537" i="16"/>
  <c r="Y1523" i="16"/>
  <c r="Y1519" i="16"/>
  <c r="Y1515" i="16"/>
  <c r="Y1514" i="16"/>
  <c r="Y1512" i="16"/>
  <c r="Y1506" i="16"/>
  <c r="Y1504" i="16"/>
  <c r="Y1503" i="16"/>
  <c r="Y1502" i="16"/>
  <c r="Y1498" i="16"/>
  <c r="Y1496" i="16"/>
  <c r="Y1494" i="16"/>
  <c r="Y1490" i="16"/>
  <c r="Y1487" i="16"/>
  <c r="Y1481" i="16"/>
  <c r="Y1479" i="16"/>
  <c r="Y1474" i="16"/>
  <c r="Y1473" i="16"/>
  <c r="Y1469" i="16"/>
  <c r="Y1464" i="16"/>
  <c r="Y1459" i="16"/>
  <c r="Y1450" i="16"/>
  <c r="Y1443" i="16"/>
  <c r="Y1442" i="16"/>
  <c r="Y1437" i="16"/>
  <c r="Y1432" i="16"/>
  <c r="Y1421" i="16"/>
  <c r="AM2014" i="16"/>
  <c r="O2014" i="16"/>
  <c r="AO2014" i="16" s="1"/>
  <c r="AM2012" i="16"/>
  <c r="O2012" i="16"/>
  <c r="AO2012" i="16" s="1"/>
  <c r="AM1999" i="16"/>
  <c r="AM1996" i="16"/>
  <c r="AM1994" i="16"/>
  <c r="AM1993" i="16"/>
  <c r="O1993" i="16"/>
  <c r="AO1993" i="16" s="1"/>
  <c r="M1981" i="16"/>
  <c r="M1980" i="16"/>
  <c r="M1979" i="16"/>
  <c r="M1978" i="16"/>
  <c r="M1956" i="16"/>
  <c r="AM1951" i="16"/>
  <c r="M1932" i="16"/>
  <c r="M1931" i="16"/>
  <c r="M1929" i="16"/>
  <c r="AM1924" i="16"/>
  <c r="M1916" i="16"/>
  <c r="M1914" i="16"/>
  <c r="M1913" i="16"/>
  <c r="M1911" i="16"/>
  <c r="M1910" i="16"/>
  <c r="AM1906" i="16"/>
  <c r="M1891" i="16"/>
  <c r="M1890" i="16"/>
  <c r="M1889" i="16"/>
  <c r="M1848" i="16"/>
  <c r="M1847" i="16"/>
  <c r="M1846" i="16"/>
  <c r="AM1840" i="16"/>
  <c r="AM1835" i="16"/>
  <c r="AE1835" i="16"/>
  <c r="AF1835" i="16" s="1"/>
  <c r="AD1835" i="16"/>
  <c r="O1835" i="16"/>
  <c r="E1833" i="76" s="1"/>
  <c r="AM1830" i="16"/>
  <c r="AE1830" i="16"/>
  <c r="AF1830" i="16" s="1"/>
  <c r="AD1830" i="16"/>
  <c r="O1830" i="16"/>
  <c r="E1828" i="76" s="1"/>
  <c r="AM1826" i="16"/>
  <c r="AE1826" i="16"/>
  <c r="AF1826" i="16" s="1"/>
  <c r="AM1821" i="16"/>
  <c r="AE1821" i="16"/>
  <c r="AF1821" i="16" s="1"/>
  <c r="AE1816" i="16"/>
  <c r="AF1816" i="16" s="1"/>
  <c r="AE1815" i="16"/>
  <c r="AF1815" i="16" s="1"/>
  <c r="AM1813" i="16"/>
  <c r="AM1811" i="16"/>
  <c r="AM1810" i="16"/>
  <c r="AE1809" i="16"/>
  <c r="AF1809" i="16" s="1"/>
  <c r="AD1809" i="16"/>
  <c r="AC1809" i="16" s="1"/>
  <c r="U1809" i="16"/>
  <c r="AM1808" i="16"/>
  <c r="AM1806" i="16"/>
  <c r="AE1805" i="16"/>
  <c r="AF1805" i="16" s="1"/>
  <c r="AD1805" i="16"/>
  <c r="U1805" i="16"/>
  <c r="AD1801" i="16"/>
  <c r="R1801" i="16"/>
  <c r="AM1799" i="16"/>
  <c r="AE1799" i="16"/>
  <c r="AF1799" i="16" s="1"/>
  <c r="AD1799" i="16"/>
  <c r="O1799" i="16"/>
  <c r="E1797" i="76" s="1"/>
  <c r="AE1796" i="16"/>
  <c r="AF1796" i="16" s="1"/>
  <c r="AD1796" i="16"/>
  <c r="AE1794" i="16"/>
  <c r="AF1794" i="16" s="1"/>
  <c r="AD1794" i="16"/>
  <c r="AM1792" i="16"/>
  <c r="O1792" i="16"/>
  <c r="E1790" i="76" s="1"/>
  <c r="AM1791" i="16"/>
  <c r="AE1791" i="16"/>
  <c r="AF1791" i="16" s="1"/>
  <c r="AM1789" i="16"/>
  <c r="AM1788" i="16"/>
  <c r="U1787" i="16"/>
  <c r="AM1782" i="16"/>
  <c r="AE1782" i="16"/>
  <c r="AF1782" i="16" s="1"/>
  <c r="AM1779" i="16"/>
  <c r="AE1779" i="16"/>
  <c r="AF1779" i="16" s="1"/>
  <c r="AM1777" i="16"/>
  <c r="AE1777" i="16"/>
  <c r="AF1777" i="16" s="1"/>
  <c r="AM1776" i="16"/>
  <c r="AM1775" i="16"/>
  <c r="AM1773" i="16"/>
  <c r="AM1771" i="16"/>
  <c r="U1768" i="16"/>
  <c r="AE1764" i="16"/>
  <c r="AD1764" i="16"/>
  <c r="AE1762" i="16"/>
  <c r="AF1762" i="16" s="1"/>
  <c r="AD1762" i="16"/>
  <c r="AE1760" i="16"/>
  <c r="AF1760" i="16" s="1"/>
  <c r="AD1760" i="16"/>
  <c r="AM1758" i="16"/>
  <c r="O1758" i="16"/>
  <c r="E1756" i="76" s="1"/>
  <c r="AE1757" i="16"/>
  <c r="AF1757" i="16" s="1"/>
  <c r="AD1757" i="16"/>
  <c r="AC1757" i="16" s="1"/>
  <c r="AM1756" i="16"/>
  <c r="AE1755" i="16"/>
  <c r="AF1755" i="16" s="1"/>
  <c r="AD1755" i="16"/>
  <c r="AM1754" i="16"/>
  <c r="AM1753" i="16"/>
  <c r="O1753" i="16"/>
  <c r="E1751" i="76" s="1"/>
  <c r="AM1749" i="16"/>
  <c r="AE1749" i="16"/>
  <c r="AD1749" i="16"/>
  <c r="O1749" i="16"/>
  <c r="E1747" i="76" s="1"/>
  <c r="AM1748" i="16"/>
  <c r="AE1748" i="16"/>
  <c r="AD1748" i="16"/>
  <c r="AM1747" i="16"/>
  <c r="AE1746" i="16"/>
  <c r="AF1746" i="16" s="1"/>
  <c r="AD1746" i="16"/>
  <c r="AM1745" i="16"/>
  <c r="O1745" i="16"/>
  <c r="AM1742" i="16"/>
  <c r="AE1742" i="16"/>
  <c r="AF1742" i="16" s="1"/>
  <c r="AD1742" i="16"/>
  <c r="O1742" i="16"/>
  <c r="E1740" i="76" s="1"/>
  <c r="AD1740" i="16"/>
  <c r="U1740" i="16"/>
  <c r="R1740" i="16"/>
  <c r="AM1738" i="16"/>
  <c r="AE1738" i="16"/>
  <c r="AF1738" i="16" s="1"/>
  <c r="S1738" i="16"/>
  <c r="T1738" i="16" s="1"/>
  <c r="AD1738" i="16" s="1"/>
  <c r="AD1736" i="16"/>
  <c r="R1736" i="16"/>
  <c r="AE1736" i="16" s="1"/>
  <c r="AF1736" i="16" s="1"/>
  <c r="AM1730" i="16"/>
  <c r="AE1730" i="16"/>
  <c r="AF1730" i="16" s="1"/>
  <c r="AM1728" i="16"/>
  <c r="AE1728" i="16"/>
  <c r="AF1728" i="16" s="1"/>
  <c r="AM1725" i="16"/>
  <c r="AE1725" i="16"/>
  <c r="AF1725" i="16" s="1"/>
  <c r="AM1724" i="16"/>
  <c r="AE1724" i="16"/>
  <c r="AF1724" i="16" s="1"/>
  <c r="AD1720" i="16"/>
  <c r="U1720" i="16"/>
  <c r="R1720" i="16"/>
  <c r="AE1720" i="16" s="1"/>
  <c r="AF1720" i="16" s="1"/>
  <c r="AM1715" i="16"/>
  <c r="AE1715" i="16"/>
  <c r="AF1715" i="16" s="1"/>
  <c r="AD1715" i="16"/>
  <c r="O1715" i="16"/>
  <c r="E1713" i="76" s="1"/>
  <c r="AM1711" i="16"/>
  <c r="AE1711" i="16"/>
  <c r="AF1711" i="16" s="1"/>
  <c r="AD1711" i="16"/>
  <c r="AM1710" i="16"/>
  <c r="AE1710" i="16"/>
  <c r="AF1710" i="16" s="1"/>
  <c r="AD1710" i="16"/>
  <c r="AM1705" i="16"/>
  <c r="AE1705" i="16"/>
  <c r="AD1705" i="16"/>
  <c r="O1702" i="16"/>
  <c r="E1700" i="76" s="1"/>
  <c r="AM1696" i="16"/>
  <c r="AE1696" i="16"/>
  <c r="AF1696" i="16" s="1"/>
  <c r="S1696" i="16"/>
  <c r="AM1691" i="16"/>
  <c r="AE1691" i="16"/>
  <c r="AF1691" i="16" s="1"/>
  <c r="S1691" i="16"/>
  <c r="AE1689" i="16"/>
  <c r="AF1689" i="16" s="1"/>
  <c r="S1689" i="16"/>
  <c r="T1689" i="16" s="1"/>
  <c r="AD1689" i="16" s="1"/>
  <c r="AE1688" i="16"/>
  <c r="AF1688" i="16" s="1"/>
  <c r="S1688" i="16"/>
  <c r="T1688" i="16" s="1"/>
  <c r="AD1688" i="16" s="1"/>
  <c r="AE1686" i="16"/>
  <c r="AF1686" i="16" s="1"/>
  <c r="S1686" i="16"/>
  <c r="T1686" i="16" s="1"/>
  <c r="AD1686" i="16" s="1"/>
  <c r="AC1686" i="16" s="1"/>
  <c r="AM1684" i="16"/>
  <c r="AM1675" i="16"/>
  <c r="AE1675" i="16"/>
  <c r="AF1675" i="16" s="1"/>
  <c r="AD1675" i="16"/>
  <c r="O1675" i="16"/>
  <c r="E1673" i="76" s="1"/>
  <c r="AE1672" i="16"/>
  <c r="AF1672" i="16" s="1"/>
  <c r="T1672" i="16"/>
  <c r="AD1672" i="16" s="1"/>
  <c r="AC1672" i="16" s="1"/>
  <c r="AE1671" i="16"/>
  <c r="AF1671" i="16" s="1"/>
  <c r="T1671" i="16"/>
  <c r="AD1671" i="16" s="1"/>
  <c r="AE1661" i="16"/>
  <c r="AF1661" i="16" s="1"/>
  <c r="T1661" i="16"/>
  <c r="AD1661" i="16" s="1"/>
  <c r="AM1654" i="16"/>
  <c r="O1654" i="16"/>
  <c r="E1652" i="76" s="1"/>
  <c r="AD1652" i="16"/>
  <c r="R1652" i="16"/>
  <c r="M1652" i="16" s="1"/>
  <c r="AM1652" i="16" s="1"/>
  <c r="AM1649" i="16"/>
  <c r="AE1649" i="16"/>
  <c r="AD1649" i="16"/>
  <c r="O1649" i="16"/>
  <c r="E1647" i="76" s="1"/>
  <c r="AM1647" i="16"/>
  <c r="AE1647" i="16"/>
  <c r="AF1647" i="16" s="1"/>
  <c r="AD1647" i="16"/>
  <c r="O1647" i="16"/>
  <c r="E1645" i="76" s="1"/>
  <c r="AM1643" i="16"/>
  <c r="AM1641" i="16"/>
  <c r="AM1640" i="16"/>
  <c r="AM1639" i="16"/>
  <c r="AM1637" i="16"/>
  <c r="AE1636" i="16"/>
  <c r="AF1636" i="16" s="1"/>
  <c r="AD1636" i="16"/>
  <c r="U1636" i="16"/>
  <c r="AE1635" i="16"/>
  <c r="AF1635" i="16" s="1"/>
  <c r="AD1635" i="16"/>
  <c r="U1635" i="16"/>
  <c r="AE1634" i="16"/>
  <c r="AF1634" i="16" s="1"/>
  <c r="AD1634" i="16"/>
  <c r="U1634" i="16"/>
  <c r="AE1633" i="16"/>
  <c r="AF1633" i="16" s="1"/>
  <c r="AD1633" i="16"/>
  <c r="U1633" i="16"/>
  <c r="AD1628" i="16"/>
  <c r="U1628" i="16"/>
  <c r="R1628" i="16"/>
  <c r="M1628" i="16" s="1"/>
  <c r="AM1628" i="16" s="1"/>
  <c r="AM1625" i="16"/>
  <c r="AM1624" i="16"/>
  <c r="AE1624" i="16"/>
  <c r="AF1624" i="16" s="1"/>
  <c r="S1624" i="16"/>
  <c r="T1624" i="16" s="1"/>
  <c r="AD1624" i="16" s="1"/>
  <c r="AM1618" i="16"/>
  <c r="AE1618" i="16"/>
  <c r="AF1618" i="16" s="1"/>
  <c r="AM1617" i="16"/>
  <c r="U1616" i="16"/>
  <c r="AM1615" i="16"/>
  <c r="U1614" i="16"/>
  <c r="R1614" i="16"/>
  <c r="AE1614" i="16" s="1"/>
  <c r="AF1614" i="16" s="1"/>
  <c r="AM1611" i="16"/>
  <c r="AE1611" i="16"/>
  <c r="AF1611" i="16" s="1"/>
  <c r="T1611" i="16"/>
  <c r="AD1611" i="16" s="1"/>
  <c r="AM1610" i="16"/>
  <c r="U1609" i="16"/>
  <c r="S1609" i="16"/>
  <c r="R1609" i="16" s="1"/>
  <c r="AM1608" i="16"/>
  <c r="U1607" i="16"/>
  <c r="S1607" i="16"/>
  <c r="O1607" i="16" s="1"/>
  <c r="AM1605" i="16"/>
  <c r="U1604" i="16"/>
  <c r="S1604" i="16"/>
  <c r="AM1603" i="16"/>
  <c r="U1602" i="16"/>
  <c r="S1602" i="16"/>
  <c r="R1602" i="16" s="1"/>
  <c r="AM1600" i="16"/>
  <c r="U1599" i="16"/>
  <c r="S1599" i="16"/>
  <c r="O1599" i="16" s="1"/>
  <c r="AM1595" i="16"/>
  <c r="AM1594" i="16"/>
  <c r="AE1593" i="16"/>
  <c r="AF1593" i="16" s="1"/>
  <c r="U1593" i="16"/>
  <c r="AM1590" i="16"/>
  <c r="AE1590" i="16"/>
  <c r="AF1590" i="16" s="1"/>
  <c r="S1590" i="16"/>
  <c r="T1590" i="16" s="1"/>
  <c r="AD1590" i="16" s="1"/>
  <c r="AD1586" i="16"/>
  <c r="U1586" i="16"/>
  <c r="R1586" i="16"/>
  <c r="AE1586" i="16" s="1"/>
  <c r="AF1586" i="16" s="1"/>
  <c r="AM1585" i="16"/>
  <c r="AM1584" i="16"/>
  <c r="U1583" i="16"/>
  <c r="AM1582" i="16"/>
  <c r="AM1581" i="16"/>
  <c r="U1580" i="16"/>
  <c r="AM1575" i="16"/>
  <c r="AE1575" i="16"/>
  <c r="AF1575" i="16" s="1"/>
  <c r="AD1575" i="16"/>
  <c r="O1575" i="16"/>
  <c r="E1573" i="76" s="1"/>
  <c r="AM1569" i="16"/>
  <c r="AE1569" i="16"/>
  <c r="AD1569" i="16"/>
  <c r="O1569" i="16"/>
  <c r="E1567" i="76" s="1"/>
  <c r="AM1563" i="16"/>
  <c r="S1563" i="16"/>
  <c r="T1563" i="16" s="1"/>
  <c r="AD1563" i="16" s="1"/>
  <c r="AC1563" i="16" s="1"/>
  <c r="AM1561" i="16"/>
  <c r="T1561" i="16"/>
  <c r="AD1561" i="16" s="1"/>
  <c r="AC1561" i="16" s="1"/>
  <c r="O1561" i="16"/>
  <c r="E1559" i="76" s="1"/>
  <c r="AM1558" i="16"/>
  <c r="T1558" i="16"/>
  <c r="AD1558" i="16" s="1"/>
  <c r="AC1558" i="16" s="1"/>
  <c r="O1558" i="16"/>
  <c r="E1556" i="76" s="1"/>
  <c r="T1557" i="16"/>
  <c r="AD1557" i="16" s="1"/>
  <c r="AC1557" i="16" s="1"/>
  <c r="T1556" i="16"/>
  <c r="AD1556" i="16" s="1"/>
  <c r="AC1556" i="16" s="1"/>
  <c r="AM1553" i="16"/>
  <c r="O1553" i="16"/>
  <c r="E1551" i="76" s="1"/>
  <c r="T1551" i="16"/>
  <c r="AD1551" i="16" s="1"/>
  <c r="AC1551" i="16" s="1"/>
  <c r="AM1550" i="16"/>
  <c r="O1550" i="16"/>
  <c r="E1548" i="76" s="1"/>
  <c r="AM1549" i="16"/>
  <c r="S1549" i="16"/>
  <c r="T1549" i="16" s="1"/>
  <c r="AD1549" i="16" s="1"/>
  <c r="AC1549" i="16" s="1"/>
  <c r="AM1547" i="16"/>
  <c r="U1547" i="16"/>
  <c r="S1547" i="16"/>
  <c r="T1547" i="16" s="1"/>
  <c r="AD1547" i="16" s="1"/>
  <c r="AC1547" i="16" s="1"/>
  <c r="AM1540" i="16"/>
  <c r="AD1540" i="16"/>
  <c r="AC1540" i="16" s="1"/>
  <c r="AM1539" i="16"/>
  <c r="AD1539" i="16"/>
  <c r="AC1539" i="16" s="1"/>
  <c r="AM1537" i="16"/>
  <c r="U1537" i="16"/>
  <c r="T1537" i="16"/>
  <c r="AD1537" i="16" s="1"/>
  <c r="AC1537" i="16" s="1"/>
  <c r="AM1531" i="16"/>
  <c r="AM1529" i="16"/>
  <c r="AM1528" i="16"/>
  <c r="AM1527" i="16"/>
  <c r="AM1524" i="16"/>
  <c r="U1523" i="16"/>
  <c r="T1523" i="16"/>
  <c r="AD1523" i="16" s="1"/>
  <c r="AC1523" i="16" s="1"/>
  <c r="AM1519" i="16"/>
  <c r="S1519" i="16"/>
  <c r="T1519" i="16" s="1"/>
  <c r="AD1519" i="16" s="1"/>
  <c r="AC1519" i="16" s="1"/>
  <c r="AM1515" i="16"/>
  <c r="AM1514" i="16"/>
  <c r="S1514" i="16"/>
  <c r="T1514" i="16" s="1"/>
  <c r="AD1514" i="16" s="1"/>
  <c r="AC1514" i="16" s="1"/>
  <c r="AM1512" i="16"/>
  <c r="S1512" i="16"/>
  <c r="AD1506" i="16"/>
  <c r="M1506" i="16"/>
  <c r="AM1504" i="16"/>
  <c r="S1504" i="16"/>
  <c r="O1504" i="16" s="1"/>
  <c r="AM1503" i="16"/>
  <c r="S1503" i="16"/>
  <c r="T1503" i="16" s="1"/>
  <c r="AD1503" i="16" s="1"/>
  <c r="AC1503" i="16" s="1"/>
  <c r="AM1502" i="16"/>
  <c r="S1502" i="16"/>
  <c r="AM1498" i="16"/>
  <c r="S1498" i="16"/>
  <c r="AM1496" i="16"/>
  <c r="AM1494" i="16"/>
  <c r="AM1490" i="16"/>
  <c r="AE1490" i="16"/>
  <c r="AF1490" i="16" s="1"/>
  <c r="U1490" i="16"/>
  <c r="S1487" i="16"/>
  <c r="S1496" i="16" s="1"/>
  <c r="AM1481" i="16"/>
  <c r="AE1481" i="16"/>
  <c r="AF1481" i="16" s="1"/>
  <c r="U1481" i="16"/>
  <c r="T1481" i="16"/>
  <c r="AD1481" i="16" s="1"/>
  <c r="AM1474" i="16"/>
  <c r="AE1474" i="16"/>
  <c r="AF1474" i="16" s="1"/>
  <c r="AD1474" i="16"/>
  <c r="AC1474" i="16" s="1"/>
  <c r="U1474" i="16"/>
  <c r="AM1473" i="16"/>
  <c r="S1473" i="16"/>
  <c r="O1473" i="16" s="1"/>
  <c r="AM1469" i="16"/>
  <c r="AE1469" i="16"/>
  <c r="AF1469" i="16" s="1"/>
  <c r="U1469" i="16"/>
  <c r="T1469" i="16"/>
  <c r="AD1469" i="16" s="1"/>
  <c r="AM1464" i="16"/>
  <c r="AE1464" i="16"/>
  <c r="AF1464" i="16" s="1"/>
  <c r="U1464" i="16"/>
  <c r="T1464" i="16"/>
  <c r="AD1464" i="16" s="1"/>
  <c r="AM1463" i="16"/>
  <c r="AM1462" i="16"/>
  <c r="AM1461" i="16"/>
  <c r="AE1459" i="16"/>
  <c r="AF1459" i="16" s="1"/>
  <c r="U1459" i="16"/>
  <c r="S1459" i="16"/>
  <c r="T1459" i="16" s="1"/>
  <c r="AD1459" i="16" s="1"/>
  <c r="AM1450" i="16"/>
  <c r="AE1450" i="16"/>
  <c r="AF1450" i="16" s="1"/>
  <c r="U1450" i="16"/>
  <c r="T1450" i="16"/>
  <c r="AD1450" i="16" s="1"/>
  <c r="AM1444" i="16"/>
  <c r="AM1443" i="16"/>
  <c r="AE1443" i="16"/>
  <c r="AF1443" i="16" s="1"/>
  <c r="U1443" i="16"/>
  <c r="T1443" i="16"/>
  <c r="AD1443" i="16" s="1"/>
  <c r="AM1442" i="16"/>
  <c r="T1442" i="16"/>
  <c r="AD1442" i="16" s="1"/>
  <c r="AC1442" i="16" s="1"/>
  <c r="O1442" i="16"/>
  <c r="E1440" i="76" s="1"/>
  <c r="AM1437" i="16"/>
  <c r="AM1432" i="16"/>
  <c r="AM1430" i="16"/>
  <c r="AM1427" i="16"/>
  <c r="AM1425" i="16"/>
  <c r="AM1423" i="16"/>
  <c r="AM1421" i="16"/>
  <c r="AE1408" i="16"/>
  <c r="AF1408" i="16" s="1"/>
  <c r="U1408" i="16"/>
  <c r="S1437" i="16"/>
  <c r="T1437" i="16" s="1"/>
  <c r="AD1437" i="16" s="1"/>
  <c r="AC1437" i="16" s="1"/>
  <c r="AF1506" i="16"/>
  <c r="T1607" i="16"/>
  <c r="AD1607" i="16" s="1"/>
  <c r="R1616" i="16"/>
  <c r="AE1616" i="16" s="1"/>
  <c r="AF1616" i="16" s="1"/>
  <c r="O1611" i="16"/>
  <c r="E1609" i="76" s="1"/>
  <c r="AO1611" i="16"/>
  <c r="O1614" i="16"/>
  <c r="E1612" i="76" s="1"/>
  <c r="O1602" i="16"/>
  <c r="S1490" i="16"/>
  <c r="T1490" i="16" s="1"/>
  <c r="AD1490" i="16" s="1"/>
  <c r="O1616" i="16"/>
  <c r="T1768" i="16"/>
  <c r="AD1768" i="16" s="1"/>
  <c r="O1437" i="16"/>
  <c r="T1487" i="16"/>
  <c r="AD1487" i="16" s="1"/>
  <c r="AC1487" i="16" s="1"/>
  <c r="O1519" i="16"/>
  <c r="E1517" i="76" s="1"/>
  <c r="Y1051" i="16"/>
  <c r="Y1400" i="16"/>
  <c r="Y1397" i="16"/>
  <c r="Y1394" i="16"/>
  <c r="Y1393" i="16"/>
  <c r="Y1389" i="16"/>
  <c r="Y1380" i="16"/>
  <c r="Y1378" i="16"/>
  <c r="Y1376" i="16"/>
  <c r="Y1374" i="16"/>
  <c r="Y1371" i="16"/>
  <c r="Y1370" i="16"/>
  <c r="Y1369" i="16"/>
  <c r="Y1368" i="16"/>
  <c r="Y1367" i="16"/>
  <c r="Y1366" i="16"/>
  <c r="Y1365" i="16"/>
  <c r="Y1364" i="16"/>
  <c r="Y1356" i="16"/>
  <c r="Y1349" i="16"/>
  <c r="Y1346" i="16"/>
  <c r="Y1343" i="16"/>
  <c r="Y1341" i="16"/>
  <c r="Y1340" i="16"/>
  <c r="Y1339" i="16"/>
  <c r="Y1338" i="16"/>
  <c r="Y1331" i="16"/>
  <c r="Y1329" i="16"/>
  <c r="Y1327" i="16"/>
  <c r="Y1324" i="16"/>
  <c r="Y1323" i="16"/>
  <c r="Y1322" i="16"/>
  <c r="Y1321" i="16"/>
  <c r="Y1320" i="16"/>
  <c r="Y1319" i="16"/>
  <c r="Y1318" i="16"/>
  <c r="Y1309" i="16"/>
  <c r="Y1301" i="16"/>
  <c r="Y1298" i="16"/>
  <c r="Y1295" i="16"/>
  <c r="Y1282" i="16"/>
  <c r="Y1280" i="16"/>
  <c r="Y1279" i="16"/>
  <c r="Y1278" i="16"/>
  <c r="Y1277" i="16"/>
  <c r="Y1276" i="16"/>
  <c r="Y1275" i="16"/>
  <c r="Y1273" i="16"/>
  <c r="Y1268" i="16"/>
  <c r="Y1264" i="16"/>
  <c r="Y1263" i="16"/>
  <c r="Y1260" i="16"/>
  <c r="Y1258" i="16"/>
  <c r="Y1255" i="16"/>
  <c r="Y1250" i="16"/>
  <c r="Y1245" i="16"/>
  <c r="Y1241" i="16"/>
  <c r="Y1238" i="16"/>
  <c r="Y1234" i="16"/>
  <c r="Y1221" i="16"/>
  <c r="Y1218" i="16"/>
  <c r="Y1215" i="16"/>
  <c r="Y1207" i="16"/>
  <c r="Y1204" i="16"/>
  <c r="Y1200" i="16"/>
  <c r="Y1195" i="16"/>
  <c r="Y1193" i="16"/>
  <c r="Y1191" i="16"/>
  <c r="Y1186" i="16"/>
  <c r="Y1185" i="16"/>
  <c r="Y1182" i="16"/>
  <c r="Y1180" i="16"/>
  <c r="Y1179" i="16"/>
  <c r="Y1178" i="16"/>
  <c r="Y1176" i="16"/>
  <c r="Y1168" i="16"/>
  <c r="Y1163" i="16"/>
  <c r="Y1162" i="16"/>
  <c r="Y1161" i="16"/>
  <c r="Y1158" i="16"/>
  <c r="Y1156" i="16"/>
  <c r="Y1155" i="16"/>
  <c r="Y1153" i="16"/>
  <c r="Y1150" i="16"/>
  <c r="Y1148" i="16"/>
  <c r="Y1146" i="16"/>
  <c r="Y1144" i="16"/>
  <c r="Y1142" i="16"/>
  <c r="Y1137" i="16"/>
  <c r="Y1136" i="16"/>
  <c r="Y1135" i="16"/>
  <c r="Y1132" i="16"/>
  <c r="Y1130" i="16"/>
  <c r="Y1128" i="16"/>
  <c r="Y1117" i="16"/>
  <c r="Y1116" i="16"/>
  <c r="Y1114" i="16"/>
  <c r="Y1112" i="16"/>
  <c r="Y1094" i="16"/>
  <c r="Y1084" i="16"/>
  <c r="Y1082" i="16"/>
  <c r="Y1080" i="16"/>
  <c r="Y1079" i="16"/>
  <c r="Y1076" i="16"/>
  <c r="Y1074" i="16"/>
  <c r="Y1068" i="16"/>
  <c r="Y1061" i="16"/>
  <c r="Y1055" i="16"/>
  <c r="Y1050" i="16"/>
  <c r="Y1048" i="16"/>
  <c r="Y1043" i="16"/>
  <c r="Y1039" i="16"/>
  <c r="Y1033" i="16"/>
  <c r="Y1027" i="16"/>
  <c r="Y1022" i="16"/>
  <c r="Y1019" i="16"/>
  <c r="Y1013" i="16"/>
  <c r="Y1007" i="16"/>
  <c r="Y1000" i="16"/>
  <c r="Y994" i="16"/>
  <c r="Y985" i="16"/>
  <c r="Y977" i="16"/>
  <c r="Y969" i="16"/>
  <c r="Y962" i="16"/>
  <c r="Y958" i="16"/>
  <c r="Y955" i="16"/>
  <c r="Y953" i="16"/>
  <c r="Y946" i="16"/>
  <c r="Y940" i="16"/>
  <c r="Y937" i="16"/>
  <c r="Y924" i="16"/>
  <c r="Y920" i="16"/>
  <c r="Y917" i="16"/>
  <c r="Y911" i="16"/>
  <c r="Y907" i="16"/>
  <c r="Y902" i="16"/>
  <c r="Y901" i="16"/>
  <c r="Y899" i="16"/>
  <c r="Y891" i="16"/>
  <c r="Y885" i="16"/>
  <c r="Y882" i="16"/>
  <c r="Y879" i="16"/>
  <c r="Y876" i="16"/>
  <c r="Y875" i="16"/>
  <c r="Y874" i="16"/>
  <c r="Y872" i="16"/>
  <c r="Y869" i="16"/>
  <c r="Y867" i="16"/>
  <c r="Y863" i="16"/>
  <c r="Y862" i="16"/>
  <c r="Y860" i="16"/>
  <c r="Y859" i="16"/>
  <c r="Y855" i="16"/>
  <c r="Y853" i="16"/>
  <c r="Y852" i="16"/>
  <c r="Y851" i="16"/>
  <c r="Y850" i="16"/>
  <c r="Y848" i="16"/>
  <c r="Y847" i="16"/>
  <c r="Y845" i="16"/>
  <c r="Y844" i="16"/>
  <c r="Y839" i="16"/>
  <c r="Y835" i="16"/>
  <c r="Y834" i="16"/>
  <c r="Y833" i="16"/>
  <c r="Y832" i="16"/>
  <c r="Y831" i="16"/>
  <c r="Y830" i="16"/>
  <c r="Y829" i="16"/>
  <c r="Y828" i="16"/>
  <c r="Y827" i="16"/>
  <c r="Y826" i="16"/>
  <c r="Y825" i="16"/>
  <c r="Y824" i="16"/>
  <c r="Y820" i="16"/>
  <c r="Y817" i="16"/>
  <c r="Y816" i="16"/>
  <c r="Y813" i="16"/>
  <c r="Y807" i="16"/>
  <c r="Y804" i="16"/>
  <c r="Y799" i="16"/>
  <c r="Y789" i="16"/>
  <c r="Y786" i="16"/>
  <c r="Y783" i="16"/>
  <c r="Y781" i="16"/>
  <c r="BD780" i="16"/>
  <c r="BC780" i="16"/>
  <c r="AX784" i="16"/>
  <c r="AX785" i="16"/>
  <c r="AX786" i="16"/>
  <c r="AX788" i="16"/>
  <c r="AX789" i="16"/>
  <c r="AX790" i="16"/>
  <c r="AX792" i="16"/>
  <c r="AX794" i="16"/>
  <c r="AX795" i="16"/>
  <c r="AX797" i="16"/>
  <c r="AX798" i="16"/>
  <c r="AX799" i="16"/>
  <c r="AX800" i="16"/>
  <c r="AX801" i="16"/>
  <c r="AX802" i="16"/>
  <c r="AX803" i="16"/>
  <c r="AX804" i="16"/>
  <c r="AX805" i="16"/>
  <c r="AX807" i="16"/>
  <c r="AX808" i="16"/>
  <c r="AX809" i="16"/>
  <c r="AX810" i="16"/>
  <c r="AX811" i="16"/>
  <c r="AX812" i="16"/>
  <c r="AX813" i="16"/>
  <c r="AX814" i="16"/>
  <c r="AX815" i="16"/>
  <c r="AX818" i="16"/>
  <c r="AX819" i="16"/>
  <c r="AX820" i="16"/>
  <c r="AX821" i="16"/>
  <c r="AX822" i="16"/>
  <c r="AX823" i="16"/>
  <c r="AX825" i="16"/>
  <c r="AX826" i="16"/>
  <c r="AX776" i="16"/>
  <c r="AX777" i="16"/>
  <c r="AX778" i="16"/>
  <c r="AX780" i="16"/>
  <c r="AX781" i="16"/>
  <c r="AX782" i="16"/>
  <c r="AX775" i="16"/>
  <c r="AM1400" i="16"/>
  <c r="AE1400" i="16"/>
  <c r="AF1400" i="16" s="1"/>
  <c r="S1400" i="16"/>
  <c r="T1400" i="16" s="1"/>
  <c r="AD1400" i="16" s="1"/>
  <c r="AM1397" i="16"/>
  <c r="AE1397" i="16"/>
  <c r="AF1397" i="16" s="1"/>
  <c r="AD1397" i="16"/>
  <c r="O1397" i="16"/>
  <c r="AM1394" i="16"/>
  <c r="AE1394" i="16"/>
  <c r="AF1394" i="16" s="1"/>
  <c r="S1394" i="16"/>
  <c r="AM1393" i="16"/>
  <c r="AE1393" i="16"/>
  <c r="AF1393" i="16" s="1"/>
  <c r="S1393" i="16"/>
  <c r="AM1389" i="16"/>
  <c r="AE1389" i="16"/>
  <c r="AF1389" i="16" s="1"/>
  <c r="AE1381" i="16"/>
  <c r="AF1381" i="16" s="1"/>
  <c r="AD1381" i="16"/>
  <c r="AM1380" i="16"/>
  <c r="AM1378" i="16"/>
  <c r="AE1378" i="16"/>
  <c r="AF1378" i="16" s="1"/>
  <c r="AD1378" i="16"/>
  <c r="O1378" i="16"/>
  <c r="E1376" i="76" s="1"/>
  <c r="AM1376" i="16"/>
  <c r="AE1376" i="16"/>
  <c r="AF1376" i="16" s="1"/>
  <c r="AD1376" i="16"/>
  <c r="O1376" i="16"/>
  <c r="E1374" i="76" s="1"/>
  <c r="AM1374" i="16"/>
  <c r="AE1374" i="16"/>
  <c r="AF1374" i="16" s="1"/>
  <c r="AD1374" i="16"/>
  <c r="O1374" i="16"/>
  <c r="E1372" i="76" s="1"/>
  <c r="AE1371" i="16"/>
  <c r="AF1371" i="16" s="1"/>
  <c r="S1371" i="16"/>
  <c r="T1371" i="16" s="1"/>
  <c r="AD1371" i="16" s="1"/>
  <c r="AE1370" i="16"/>
  <c r="AF1370" i="16" s="1"/>
  <c r="S1370" i="16"/>
  <c r="T1370" i="16" s="1"/>
  <c r="AD1370" i="16" s="1"/>
  <c r="AE1369" i="16"/>
  <c r="AF1369" i="16" s="1"/>
  <c r="S1369" i="16"/>
  <c r="T1369" i="16" s="1"/>
  <c r="AD1369" i="16" s="1"/>
  <c r="AE1368" i="16"/>
  <c r="AF1368" i="16" s="1"/>
  <c r="S1368" i="16"/>
  <c r="T1368" i="16" s="1"/>
  <c r="AD1368" i="16" s="1"/>
  <c r="AE1367" i="16"/>
  <c r="AF1367" i="16" s="1"/>
  <c r="S1367" i="16"/>
  <c r="T1367" i="16" s="1"/>
  <c r="AD1367" i="16" s="1"/>
  <c r="AE1366" i="16"/>
  <c r="AF1366" i="16" s="1"/>
  <c r="S1366" i="16"/>
  <c r="T1366" i="16" s="1"/>
  <c r="AD1366" i="16" s="1"/>
  <c r="AE1365" i="16"/>
  <c r="AF1365" i="16" s="1"/>
  <c r="S1365" i="16"/>
  <c r="T1365" i="16" s="1"/>
  <c r="AD1365" i="16" s="1"/>
  <c r="AE1364" i="16"/>
  <c r="AF1364" i="16" s="1"/>
  <c r="S1364" i="16"/>
  <c r="AM1359" i="16"/>
  <c r="AM1358" i="16"/>
  <c r="AM1354" i="16"/>
  <c r="AM1352" i="16"/>
  <c r="AE1349" i="16"/>
  <c r="AF1349" i="16" s="1"/>
  <c r="AD1349" i="16"/>
  <c r="U1349" i="16"/>
  <c r="AM1346" i="16"/>
  <c r="AE1346" i="16"/>
  <c r="AD1346" i="16"/>
  <c r="AM1343" i="16"/>
  <c r="AE1343" i="16"/>
  <c r="AF1343" i="16" s="1"/>
  <c r="AD1343" i="16"/>
  <c r="AM1341" i="16"/>
  <c r="AE1341" i="16"/>
  <c r="AF1341" i="16" s="1"/>
  <c r="AD1341" i="16"/>
  <c r="AM1340" i="16"/>
  <c r="AE1340" i="16"/>
  <c r="AF1340" i="16" s="1"/>
  <c r="AD1340" i="16"/>
  <c r="AM1339" i="16"/>
  <c r="AE1339" i="16"/>
  <c r="AF1339" i="16" s="1"/>
  <c r="AD1339" i="16"/>
  <c r="AM1338" i="16"/>
  <c r="AE1338" i="16"/>
  <c r="AF1338" i="16" s="1"/>
  <c r="AD1338" i="16"/>
  <c r="AM1336" i="16"/>
  <c r="O1336" i="16"/>
  <c r="E1334" i="76" s="1"/>
  <c r="AM1331" i="16"/>
  <c r="AM1329" i="16"/>
  <c r="AM1327" i="16"/>
  <c r="AM1315" i="16"/>
  <c r="AE1315" i="16"/>
  <c r="AF1315" i="16" s="1"/>
  <c r="AD1315" i="16"/>
  <c r="AO1315" i="16"/>
  <c r="AM1313" i="16"/>
  <c r="AM1312" i="16"/>
  <c r="AE1309" i="16"/>
  <c r="AF1309" i="16" s="1"/>
  <c r="U1309" i="16"/>
  <c r="AM1301" i="16"/>
  <c r="AE1301" i="16"/>
  <c r="AF1301" i="16" s="1"/>
  <c r="O1301" i="16"/>
  <c r="AM1298" i="16"/>
  <c r="AE1298" i="16"/>
  <c r="AF1298" i="16" s="1"/>
  <c r="AM1295" i="16"/>
  <c r="E1293" i="76"/>
  <c r="AM1282" i="16"/>
  <c r="S1282" i="16"/>
  <c r="O1282" i="16" s="1"/>
  <c r="AM1273" i="16"/>
  <c r="AE1273" i="16"/>
  <c r="AF1273" i="16" s="1"/>
  <c r="AD1273" i="16"/>
  <c r="O1273" i="16"/>
  <c r="AM1268" i="16"/>
  <c r="AE1268" i="16"/>
  <c r="AD1268" i="16"/>
  <c r="O1268" i="16"/>
  <c r="AM1264" i="16"/>
  <c r="AE1264" i="16"/>
  <c r="AF1264" i="16" s="1"/>
  <c r="AD1264" i="16"/>
  <c r="O1264" i="16"/>
  <c r="E1262" i="76" s="1"/>
  <c r="AM1263" i="16"/>
  <c r="AE1263" i="16"/>
  <c r="AF1263" i="16" s="1"/>
  <c r="AD1263" i="16"/>
  <c r="O1263" i="16"/>
  <c r="AE1261" i="16"/>
  <c r="AF1261" i="16" s="1"/>
  <c r="AM1260" i="16"/>
  <c r="AM1258" i="16"/>
  <c r="AE1258" i="16"/>
  <c r="AF1258" i="16" s="1"/>
  <c r="AD1258" i="16"/>
  <c r="O1258" i="16"/>
  <c r="AM1255" i="16"/>
  <c r="AE1255" i="16"/>
  <c r="AF1255" i="16" s="1"/>
  <c r="AD1255" i="16"/>
  <c r="O1255" i="16"/>
  <c r="AM1254" i="16"/>
  <c r="AM1253" i="16"/>
  <c r="AE1250" i="16"/>
  <c r="AF1250" i="16" s="1"/>
  <c r="U1250" i="16"/>
  <c r="AM1249" i="16"/>
  <c r="AM1248" i="16"/>
  <c r="AE1245" i="16"/>
  <c r="AF1245" i="16" s="1"/>
  <c r="U1245" i="16"/>
  <c r="AM1244" i="16"/>
  <c r="AM1243" i="16"/>
  <c r="AE1241" i="16"/>
  <c r="AF1241" i="16" s="1"/>
  <c r="U1241" i="16"/>
  <c r="AM1238" i="16"/>
  <c r="AE1238" i="16"/>
  <c r="AF1238" i="16" s="1"/>
  <c r="AD1238" i="16"/>
  <c r="O1238" i="16"/>
  <c r="AM1237" i="16"/>
  <c r="AM1236" i="16"/>
  <c r="AE1234" i="16"/>
  <c r="AF1234" i="16" s="1"/>
  <c r="AD1234" i="16"/>
  <c r="AC1234" i="16" s="1"/>
  <c r="U1234" i="16"/>
  <c r="E1219" i="76"/>
  <c r="AM1197" i="16"/>
  <c r="AE1197" i="16"/>
  <c r="AF1197" i="16" s="1"/>
  <c r="AE1195" i="16"/>
  <c r="AF1195" i="16" s="1"/>
  <c r="AE1193" i="16"/>
  <c r="AF1193" i="16" s="1"/>
  <c r="AE1191" i="16"/>
  <c r="AF1191" i="16" s="1"/>
  <c r="AE1186" i="16"/>
  <c r="AF1186" i="16" s="1"/>
  <c r="AE1185" i="16"/>
  <c r="AF1185" i="16" s="1"/>
  <c r="AE1182" i="16"/>
  <c r="AF1182" i="16" s="1"/>
  <c r="AE1180" i="16"/>
  <c r="AF1180" i="16" s="1"/>
  <c r="AE1179" i="16"/>
  <c r="AF1179" i="16" s="1"/>
  <c r="AE1178" i="16"/>
  <c r="AF1178" i="16" s="1"/>
  <c r="AE1176" i="16"/>
  <c r="AF1176" i="16" s="1"/>
  <c r="AM1173" i="16"/>
  <c r="AM1172" i="16"/>
  <c r="AM1168" i="16"/>
  <c r="AE1168" i="16"/>
  <c r="AF1168" i="16" s="1"/>
  <c r="AM1140" i="16"/>
  <c r="AE1140" i="16"/>
  <c r="AF1140" i="16" s="1"/>
  <c r="AM1137" i="16"/>
  <c r="AE1137" i="16"/>
  <c r="AF1137" i="16" s="1"/>
  <c r="AM1136" i="16"/>
  <c r="AE1136" i="16"/>
  <c r="AF1136" i="16" s="1"/>
  <c r="AM1135" i="16"/>
  <c r="AE1135" i="16"/>
  <c r="AF1135" i="16" s="1"/>
  <c r="AM1132" i="16"/>
  <c r="AE1132" i="16"/>
  <c r="AF1132" i="16" s="1"/>
  <c r="AM1130" i="16"/>
  <c r="AE1130" i="16"/>
  <c r="AF1130" i="16" s="1"/>
  <c r="AE1128" i="16"/>
  <c r="AF1128" i="16" s="1"/>
  <c r="AE1118" i="16"/>
  <c r="AF1118" i="16" s="1"/>
  <c r="AM1116" i="16"/>
  <c r="AE1116" i="16"/>
  <c r="AF1116" i="16" s="1"/>
  <c r="AM1114" i="16"/>
  <c r="AE1114" i="16"/>
  <c r="AF1114" i="16" s="1"/>
  <c r="AE1112" i="16"/>
  <c r="AF1112" i="16" s="1"/>
  <c r="AM1107" i="16"/>
  <c r="AM1106" i="16"/>
  <c r="AM1105" i="16"/>
  <c r="AE1097" i="16"/>
  <c r="AF1097" i="16" s="1"/>
  <c r="AE1095" i="16"/>
  <c r="AF1095" i="16" s="1"/>
  <c r="U1095" i="16"/>
  <c r="AE1084" i="16"/>
  <c r="AF1084" i="16" s="1"/>
  <c r="U1084" i="16"/>
  <c r="AE1082" i="16"/>
  <c r="AF1082" i="16" s="1"/>
  <c r="AE1080" i="16"/>
  <c r="AF1080" i="16" s="1"/>
  <c r="AE1079" i="16"/>
  <c r="AF1079" i="16" s="1"/>
  <c r="AE1076" i="16"/>
  <c r="AF1076" i="16" s="1"/>
  <c r="AE1074" i="16"/>
  <c r="AF1074" i="16" s="1"/>
  <c r="AE1068" i="16"/>
  <c r="AF1068" i="16" s="1"/>
  <c r="AE1063" i="16"/>
  <c r="AF1063" i="16" s="1"/>
  <c r="AM1061" i="16"/>
  <c r="AE1061" i="16"/>
  <c r="AF1061" i="16" s="1"/>
  <c r="AE1056" i="16"/>
  <c r="AF1056" i="16" s="1"/>
  <c r="AE1051" i="16"/>
  <c r="AF1051" i="16" s="1"/>
  <c r="AE1050" i="16"/>
  <c r="AF1050" i="16" s="1"/>
  <c r="AM1049" i="16"/>
  <c r="AM1048" i="16"/>
  <c r="AE1048" i="16"/>
  <c r="AF1048" i="16" s="1"/>
  <c r="AE1044" i="16"/>
  <c r="AF1044" i="16" s="1"/>
  <c r="AF1039" i="16"/>
  <c r="AE1034" i="16"/>
  <c r="AF1034" i="16" s="1"/>
  <c r="AE1028" i="16"/>
  <c r="AF1028" i="16" s="1"/>
  <c r="AE1023" i="16"/>
  <c r="AF1023" i="16" s="1"/>
  <c r="AE1020" i="16"/>
  <c r="AF1020" i="16" s="1"/>
  <c r="AE1014" i="16"/>
  <c r="AF1014" i="16" s="1"/>
  <c r="AM1007" i="16"/>
  <c r="AE1007" i="16"/>
  <c r="AF1007" i="16" s="1"/>
  <c r="U1001" i="16"/>
  <c r="U995" i="16"/>
  <c r="AE985" i="16"/>
  <c r="AF985" i="16" s="1"/>
  <c r="U985" i="16"/>
  <c r="AM977" i="16"/>
  <c r="AE977" i="16"/>
  <c r="AF977" i="16" s="1"/>
  <c r="U977" i="16"/>
  <c r="U969" i="16"/>
  <c r="AM958" i="16"/>
  <c r="AE955" i="16"/>
  <c r="AF955" i="16" s="1"/>
  <c r="AE954" i="16"/>
  <c r="AF954" i="16" s="1"/>
  <c r="AM953" i="16"/>
  <c r="O953" i="16"/>
  <c r="AE948" i="16"/>
  <c r="AF948" i="16" s="1"/>
  <c r="AM946" i="16"/>
  <c r="AE946" i="16"/>
  <c r="AF946" i="16" s="1"/>
  <c r="AM923" i="16"/>
  <c r="AM911" i="16"/>
  <c r="U891" i="16"/>
  <c r="U807" i="16"/>
  <c r="U790" i="16"/>
  <c r="AE776" i="16"/>
  <c r="AF776" i="16" s="1"/>
  <c r="U776" i="16"/>
  <c r="T776" i="16"/>
  <c r="AD776" i="16" s="1"/>
  <c r="AM186" i="29"/>
  <c r="AM184" i="29"/>
  <c r="AM171" i="29"/>
  <c r="AM168" i="29"/>
  <c r="AM166" i="29"/>
  <c r="AM165" i="29"/>
  <c r="AM123" i="29"/>
  <c r="AM96" i="29"/>
  <c r="AM78" i="29"/>
  <c r="AM12" i="29"/>
  <c r="AM278" i="28"/>
  <c r="AM273" i="28"/>
  <c r="AM269" i="28"/>
  <c r="AM264" i="28"/>
  <c r="AM256" i="28"/>
  <c r="AM254" i="28"/>
  <c r="AM253" i="28"/>
  <c r="AM251" i="28"/>
  <c r="AM249" i="28"/>
  <c r="AM242" i="28"/>
  <c r="AM235" i="28"/>
  <c r="AM234" i="28"/>
  <c r="AM232" i="28"/>
  <c r="AM231" i="28"/>
  <c r="AM225" i="28"/>
  <c r="AM222" i="28"/>
  <c r="AM220" i="28"/>
  <c r="AM219" i="28"/>
  <c r="AM218" i="28"/>
  <c r="AM216" i="28"/>
  <c r="AM214" i="28"/>
  <c r="AM201" i="28"/>
  <c r="AM199" i="28"/>
  <c r="AM197" i="28"/>
  <c r="AM196" i="28"/>
  <c r="AM192" i="28"/>
  <c r="AM191" i="28"/>
  <c r="AM190" i="28"/>
  <c r="AM188" i="28"/>
  <c r="AM185" i="28"/>
  <c r="AM181" i="28"/>
  <c r="AM173" i="28"/>
  <c r="AM171" i="28"/>
  <c r="AM168" i="28"/>
  <c r="AM167" i="28"/>
  <c r="AM158" i="28"/>
  <c r="AM154" i="28"/>
  <c r="AM153" i="28"/>
  <c r="AM148" i="28"/>
  <c r="AM139" i="28"/>
  <c r="AM134" i="28"/>
  <c r="AM127" i="28"/>
  <c r="AM118" i="28"/>
  <c r="AM97" i="28"/>
  <c r="AM92" i="28"/>
  <c r="AM90" i="28"/>
  <c r="AM86" i="28"/>
  <c r="AM84" i="28"/>
  <c r="AM83" i="28"/>
  <c r="AM82" i="28"/>
  <c r="AM80" i="28"/>
  <c r="AM68" i="28"/>
  <c r="AM67" i="28"/>
  <c r="AM61" i="28"/>
  <c r="AM60" i="28"/>
  <c r="AM58" i="28"/>
  <c r="AM54" i="28"/>
  <c r="AM53" i="28"/>
  <c r="AM51" i="28"/>
  <c r="AM48" i="28"/>
  <c r="AM46" i="28"/>
  <c r="AM43" i="28"/>
  <c r="AM38" i="28"/>
  <c r="AM37" i="28"/>
  <c r="AM33" i="28"/>
  <c r="AM27" i="28"/>
  <c r="AM28" i="28"/>
  <c r="AM25" i="28"/>
  <c r="AM24" i="28"/>
  <c r="AM18" i="28"/>
  <c r="AM12" i="28"/>
  <c r="U237" i="25"/>
  <c r="CM4" i="2" s="1"/>
  <c r="AM636" i="25"/>
  <c r="AM633" i="25"/>
  <c r="AM630" i="25"/>
  <c r="AM629" i="25"/>
  <c r="AM625" i="25"/>
  <c r="AM616" i="25"/>
  <c r="AM614" i="25"/>
  <c r="AM612" i="25"/>
  <c r="AM610" i="25"/>
  <c r="AM595" i="25"/>
  <c r="AM594" i="25"/>
  <c r="AM590" i="25"/>
  <c r="AM588" i="25"/>
  <c r="AM582" i="25"/>
  <c r="AM579" i="25"/>
  <c r="AM577" i="25"/>
  <c r="AM576" i="25"/>
  <c r="AM575" i="25"/>
  <c r="AM574" i="25"/>
  <c r="AM572" i="25"/>
  <c r="AM567" i="25"/>
  <c r="AM565" i="25"/>
  <c r="AM563" i="25"/>
  <c r="AM551" i="25"/>
  <c r="AM549" i="25"/>
  <c r="AM548" i="25"/>
  <c r="AM537" i="25"/>
  <c r="AM534" i="25"/>
  <c r="AM531" i="25"/>
  <c r="AM518" i="25"/>
  <c r="AM509" i="25"/>
  <c r="AM504" i="25"/>
  <c r="AM500" i="25"/>
  <c r="AM499" i="25"/>
  <c r="AM496" i="25"/>
  <c r="AM494" i="25"/>
  <c r="AM491" i="25"/>
  <c r="AM490" i="25"/>
  <c r="AM489" i="25"/>
  <c r="AM485" i="25"/>
  <c r="AM484" i="25"/>
  <c r="AM480" i="25"/>
  <c r="AM479" i="25"/>
  <c r="AM474" i="25"/>
  <c r="AM473" i="25"/>
  <c r="AM472" i="25"/>
  <c r="AM433" i="25"/>
  <c r="AM409" i="25"/>
  <c r="AM408" i="25"/>
  <c r="AM404" i="25"/>
  <c r="AM376" i="25"/>
  <c r="AM373" i="25"/>
  <c r="AM372" i="25"/>
  <c r="AM371" i="25"/>
  <c r="AM368" i="25"/>
  <c r="AM366" i="25"/>
  <c r="AM352" i="25"/>
  <c r="AM350" i="25"/>
  <c r="AM343" i="25"/>
  <c r="AM342" i="25"/>
  <c r="AM341" i="25"/>
  <c r="AM297" i="25"/>
  <c r="AM285" i="25"/>
  <c r="AM284" i="25"/>
  <c r="AM243" i="25"/>
  <c r="AM213" i="25"/>
  <c r="AM194" i="25"/>
  <c r="AM189" i="25"/>
  <c r="AM182" i="25"/>
  <c r="AM159" i="25"/>
  <c r="AM147" i="25"/>
  <c r="AO1295" i="16"/>
  <c r="U163" i="28"/>
  <c r="DY4" i="2" s="1"/>
  <c r="AE534" i="25"/>
  <c r="P60" i="23"/>
  <c r="G456" i="66"/>
  <c r="AX11" i="29"/>
  <c r="AY11" i="29"/>
  <c r="AX12" i="29"/>
  <c r="AY12" i="29"/>
  <c r="AX13" i="29"/>
  <c r="AY13" i="29"/>
  <c r="AX14" i="29"/>
  <c r="AY14" i="29"/>
  <c r="AX15" i="29"/>
  <c r="AY15" i="29"/>
  <c r="BC15" i="29"/>
  <c r="BD15" i="29"/>
  <c r="AX16" i="29"/>
  <c r="AY16" i="29"/>
  <c r="AX17" i="29"/>
  <c r="AY17" i="29"/>
  <c r="AX19" i="29"/>
  <c r="AX20" i="29"/>
  <c r="AY20" i="29"/>
  <c r="AX21" i="29"/>
  <c r="AY21" i="29"/>
  <c r="AX23" i="29"/>
  <c r="AY23" i="29"/>
  <c r="AX24" i="29"/>
  <c r="AY24" i="29"/>
  <c r="AX25" i="29"/>
  <c r="AY25" i="29"/>
  <c r="AX27" i="29"/>
  <c r="AY27" i="29"/>
  <c r="AX30" i="29"/>
  <c r="AY30" i="29"/>
  <c r="AX31" i="29"/>
  <c r="AY31" i="29"/>
  <c r="AX33" i="29"/>
  <c r="AY33" i="29"/>
  <c r="AX34" i="29"/>
  <c r="AY34" i="29"/>
  <c r="AX35" i="29"/>
  <c r="AY35" i="29"/>
  <c r="AX36" i="29"/>
  <c r="AY36" i="29"/>
  <c r="AX37" i="29"/>
  <c r="AY37" i="29"/>
  <c r="AX38" i="29"/>
  <c r="AY38" i="29"/>
  <c r="AX39" i="29"/>
  <c r="AY39" i="29"/>
  <c r="AX40" i="29"/>
  <c r="AY40" i="29"/>
  <c r="AX41" i="29"/>
  <c r="AY41" i="29"/>
  <c r="AX43" i="29"/>
  <c r="AY43" i="29"/>
  <c r="AX44" i="29"/>
  <c r="AY44" i="29"/>
  <c r="AX45" i="29"/>
  <c r="AY45" i="29"/>
  <c r="AX46" i="29"/>
  <c r="AY46" i="29"/>
  <c r="AX47" i="29"/>
  <c r="AY47" i="29"/>
  <c r="AX48" i="29"/>
  <c r="AY48" i="29"/>
  <c r="AX49" i="29"/>
  <c r="AY49" i="29"/>
  <c r="AX50" i="29"/>
  <c r="AY50" i="29"/>
  <c r="AX51" i="29"/>
  <c r="AY51" i="29"/>
  <c r="AX53" i="29"/>
  <c r="AY53" i="29"/>
  <c r="AX54" i="29"/>
  <c r="AY54" i="29"/>
  <c r="AX55" i="29"/>
  <c r="AY55" i="29"/>
  <c r="AX56" i="29"/>
  <c r="AY56" i="29"/>
  <c r="AX57" i="29"/>
  <c r="AY57" i="29"/>
  <c r="AX58" i="29"/>
  <c r="AY58" i="29"/>
  <c r="AX59" i="29"/>
  <c r="AY59" i="29"/>
  <c r="AX61" i="29"/>
  <c r="AY61" i="29"/>
  <c r="AX62" i="29"/>
  <c r="AY62" i="29"/>
  <c r="G20" i="72"/>
  <c r="G21" i="72" s="1"/>
  <c r="F20" i="72"/>
  <c r="F21" i="72" s="1"/>
  <c r="E20" i="72"/>
  <c r="E21" i="72" s="1"/>
  <c r="D20" i="72"/>
  <c r="D21" i="72" s="1"/>
  <c r="A21" i="3"/>
  <c r="D21" i="3" s="1"/>
  <c r="AX60" i="16"/>
  <c r="AX54" i="16"/>
  <c r="AX55" i="16"/>
  <c r="AX56" i="16"/>
  <c r="AX57" i="16"/>
  <c r="AX59" i="16"/>
  <c r="AX31" i="16"/>
  <c r="AX32" i="16"/>
  <c r="AX33" i="16"/>
  <c r="AX34" i="16"/>
  <c r="AX35" i="16"/>
  <c r="AX36" i="16"/>
  <c r="AX37" i="16"/>
  <c r="AX38" i="16"/>
  <c r="AX39" i="16"/>
  <c r="AX41" i="16"/>
  <c r="AX42" i="16"/>
  <c r="AX43" i="16"/>
  <c r="AX44" i="16"/>
  <c r="AX45" i="16"/>
  <c r="AX46" i="16"/>
  <c r="AX47" i="16"/>
  <c r="AX48" i="16"/>
  <c r="AX49" i="16"/>
  <c r="AX51" i="16"/>
  <c r="AX52" i="16"/>
  <c r="AX53" i="16"/>
  <c r="AX24" i="16"/>
  <c r="Q33" i="23"/>
  <c r="Q34" i="23"/>
  <c r="P35" i="23"/>
  <c r="AY37" i="16" s="1"/>
  <c r="Q35" i="23"/>
  <c r="P36" i="23"/>
  <c r="Q36" i="23"/>
  <c r="Q37" i="23"/>
  <c r="P40" i="23"/>
  <c r="AY42" i="16" s="1"/>
  <c r="P42" i="23"/>
  <c r="AY44" i="16" s="1"/>
  <c r="E41" i="23"/>
  <c r="E42" i="23"/>
  <c r="E33" i="23"/>
  <c r="E34" i="23"/>
  <c r="E35" i="23"/>
  <c r="E36" i="23"/>
  <c r="E37" i="23"/>
  <c r="E39" i="23"/>
  <c r="E40" i="23"/>
  <c r="E22" i="23"/>
  <c r="AX36" i="27"/>
  <c r="AY36" i="27"/>
  <c r="AX37" i="27"/>
  <c r="AY37" i="27"/>
  <c r="AX38" i="27"/>
  <c r="AY38" i="27"/>
  <c r="AX39" i="27"/>
  <c r="AY39" i="27"/>
  <c r="AX40" i="27"/>
  <c r="AY40" i="27"/>
  <c r="AX41" i="27"/>
  <c r="AY41" i="27"/>
  <c r="AX42" i="27"/>
  <c r="AY42" i="27"/>
  <c r="AX43" i="27"/>
  <c r="AY43" i="27"/>
  <c r="AX44" i="27"/>
  <c r="AY44" i="27"/>
  <c r="AX45" i="27"/>
  <c r="AY45" i="27"/>
  <c r="AX25" i="27"/>
  <c r="AY25" i="27"/>
  <c r="AX36" i="24"/>
  <c r="AY36" i="24"/>
  <c r="AX37" i="24"/>
  <c r="AY37" i="24"/>
  <c r="AX38" i="24"/>
  <c r="AY38" i="24"/>
  <c r="AX39" i="24"/>
  <c r="AY39" i="24"/>
  <c r="AX40" i="24"/>
  <c r="AY40" i="24"/>
  <c r="AX42" i="24"/>
  <c r="AY42" i="24"/>
  <c r="AX43" i="24"/>
  <c r="AY43" i="24"/>
  <c r="AX44" i="24"/>
  <c r="AY44" i="24"/>
  <c r="AX45" i="24"/>
  <c r="AY45" i="24"/>
  <c r="AX25" i="24"/>
  <c r="AY25" i="24"/>
  <c r="AX36" i="8"/>
  <c r="AY36" i="8"/>
  <c r="AX37" i="8"/>
  <c r="AY37" i="8"/>
  <c r="AX38" i="8"/>
  <c r="AY38" i="8"/>
  <c r="AX39" i="8"/>
  <c r="AY39" i="8"/>
  <c r="AX40" i="8"/>
  <c r="AY40" i="8"/>
  <c r="AX42" i="8"/>
  <c r="AY42" i="8"/>
  <c r="AX43" i="8"/>
  <c r="AY43" i="8"/>
  <c r="AX44" i="8"/>
  <c r="AY44" i="8"/>
  <c r="AX45" i="8"/>
  <c r="AY45" i="8"/>
  <c r="AX25" i="8"/>
  <c r="AY25" i="8"/>
  <c r="AE617" i="25"/>
  <c r="AD617" i="25"/>
  <c r="AE585" i="25"/>
  <c r="AD585" i="25"/>
  <c r="AE545" i="25"/>
  <c r="AE497" i="25"/>
  <c r="AE486" i="25"/>
  <c r="AE509" i="25"/>
  <c r="AD509" i="25"/>
  <c r="AE551" i="25"/>
  <c r="AD551" i="25"/>
  <c r="AE504" i="25"/>
  <c r="AD504" i="25"/>
  <c r="AE500" i="25"/>
  <c r="AC500" i="25" s="1"/>
  <c r="AD500" i="25"/>
  <c r="AE499" i="25"/>
  <c r="AD499" i="25"/>
  <c r="AE494" i="25"/>
  <c r="AD494" i="25"/>
  <c r="AE491" i="25"/>
  <c r="AD491" i="25"/>
  <c r="AE474" i="25"/>
  <c r="AD474" i="25"/>
  <c r="AE481" i="25"/>
  <c r="AE477" i="25"/>
  <c r="AE470" i="25"/>
  <c r="AD470" i="25"/>
  <c r="AE284" i="25"/>
  <c r="AE287" i="25"/>
  <c r="AE297" i="25"/>
  <c r="AE304" i="25"/>
  <c r="AE310" i="25"/>
  <c r="AE312" i="25"/>
  <c r="AE315" i="25"/>
  <c r="AE316" i="25"/>
  <c r="AE318" i="25"/>
  <c r="AE348" i="25"/>
  <c r="AE350" i="25"/>
  <c r="AE352" i="25"/>
  <c r="AE354" i="25"/>
  <c r="AE333" i="25"/>
  <c r="AE331" i="25"/>
  <c r="AE320" i="25"/>
  <c r="AE299" i="25"/>
  <c r="AE292" i="25"/>
  <c r="AE286" i="25"/>
  <c r="AE280" i="25"/>
  <c r="AE275" i="25"/>
  <c r="AE270" i="25"/>
  <c r="AE264" i="25"/>
  <c r="AE259" i="25"/>
  <c r="AE256" i="25"/>
  <c r="AE250" i="25"/>
  <c r="O145" i="28"/>
  <c r="A1700" i="66" s="1"/>
  <c r="AE243" i="25"/>
  <c r="AE221" i="25"/>
  <c r="AE213" i="25"/>
  <c r="U221" i="25"/>
  <c r="CK4" i="2" s="1"/>
  <c r="U213" i="25"/>
  <c r="CJ4" i="2"/>
  <c r="U205" i="25"/>
  <c r="CI4" i="2" s="1"/>
  <c r="U231" i="25"/>
  <c r="CL4" i="2" s="1"/>
  <c r="AD29" i="28"/>
  <c r="AE36" i="28"/>
  <c r="AD71" i="28"/>
  <c r="AE79" i="28"/>
  <c r="AD79" i="28"/>
  <c r="AE78" i="28"/>
  <c r="AC78" i="28" s="1"/>
  <c r="AD78" i="28"/>
  <c r="AE77" i="28"/>
  <c r="AD77" i="28"/>
  <c r="AE76" i="28"/>
  <c r="AD76" i="28"/>
  <c r="AC76" i="28" s="1"/>
  <c r="AE104" i="28"/>
  <c r="AE115" i="28"/>
  <c r="AE114" i="28"/>
  <c r="AD183" i="28"/>
  <c r="AE191" i="28"/>
  <c r="AD191" i="28"/>
  <c r="AE189" i="28"/>
  <c r="AD189" i="28"/>
  <c r="AC189" i="28" s="1"/>
  <c r="AE200" i="28"/>
  <c r="AD200" i="28"/>
  <c r="AC200" i="28" s="1"/>
  <c r="AE198" i="28"/>
  <c r="AC198" i="28" s="1"/>
  <c r="AD198" i="28"/>
  <c r="AE248" i="28"/>
  <c r="AD248" i="28"/>
  <c r="AE252" i="28"/>
  <c r="AD252" i="28"/>
  <c r="AE278" i="28"/>
  <c r="AD278" i="28"/>
  <c r="AC278" i="28" s="1"/>
  <c r="AE273" i="28"/>
  <c r="AD273" i="28"/>
  <c r="AE269" i="28"/>
  <c r="AE264" i="28"/>
  <c r="AE259" i="28"/>
  <c r="AE258" i="28"/>
  <c r="AD244" i="28"/>
  <c r="AE242" i="28"/>
  <c r="AD242" i="28"/>
  <c r="AC242" i="28" s="1"/>
  <c r="AE239" i="28"/>
  <c r="AD239" i="28"/>
  <c r="AC239" i="28" s="1"/>
  <c r="AE237" i="28"/>
  <c r="AD237" i="28"/>
  <c r="AC237" i="28" s="1"/>
  <c r="AE234" i="28"/>
  <c r="AE225" i="28"/>
  <c r="AE222" i="28"/>
  <c r="AE220" i="28"/>
  <c r="AE207" i="28"/>
  <c r="AD207" i="28"/>
  <c r="AE205" i="28"/>
  <c r="AD205" i="28"/>
  <c r="AE203" i="28"/>
  <c r="AD203" i="28"/>
  <c r="AE192" i="28"/>
  <c r="AD192" i="28"/>
  <c r="AE185" i="28"/>
  <c r="AD185" i="28"/>
  <c r="AE181" i="28"/>
  <c r="AD179" i="28"/>
  <c r="AE173" i="28"/>
  <c r="AE171" i="28"/>
  <c r="AE168" i="28"/>
  <c r="AE167" i="28"/>
  <c r="AD163" i="28"/>
  <c r="AE158" i="28"/>
  <c r="AD158" i="28"/>
  <c r="AE154" i="28"/>
  <c r="AD154" i="28"/>
  <c r="AE153" i="28"/>
  <c r="AD153" i="28"/>
  <c r="AC153" i="28" s="1"/>
  <c r="AE148" i="28"/>
  <c r="AD148" i="28"/>
  <c r="AE139" i="28"/>
  <c r="AE134" i="28"/>
  <c r="AE132" i="28"/>
  <c r="AE131" i="28"/>
  <c r="AE129" i="28"/>
  <c r="AE118" i="28"/>
  <c r="AD118" i="28"/>
  <c r="AC118" i="28" s="1"/>
  <c r="AD95" i="28"/>
  <c r="AE92" i="28"/>
  <c r="AD92" i="28"/>
  <c r="AE90" i="28"/>
  <c r="AD90" i="28"/>
  <c r="AE67" i="28"/>
  <c r="AE61" i="28"/>
  <c r="AE54" i="28"/>
  <c r="AE33" i="28"/>
  <c r="AE18" i="28"/>
  <c r="AD18" i="28"/>
  <c r="AE12" i="28"/>
  <c r="AD12" i="28"/>
  <c r="T265" i="28"/>
  <c r="S269" i="28" s="1"/>
  <c r="O278" i="28"/>
  <c r="I1833" i="66" s="1"/>
  <c r="O273" i="28"/>
  <c r="O242" i="28"/>
  <c r="I1797" i="66" s="1"/>
  <c r="O235" i="28"/>
  <c r="M211" i="28"/>
  <c r="AM211" i="28" s="1"/>
  <c r="N7" i="10"/>
  <c r="O531" i="25"/>
  <c r="N1295" i="16" s="1"/>
  <c r="N26" i="10"/>
  <c r="O201" i="28"/>
  <c r="A1756" i="66" s="1"/>
  <c r="O196" i="28"/>
  <c r="A1751" i="66" s="1"/>
  <c r="O192" i="28"/>
  <c r="O188" i="28"/>
  <c r="A1743" i="66" s="1"/>
  <c r="O185" i="28"/>
  <c r="I1740" i="66" s="1"/>
  <c r="S181" i="28"/>
  <c r="O158" i="28"/>
  <c r="S132" i="28"/>
  <c r="T132" i="28" s="1"/>
  <c r="AD132" i="28" s="1"/>
  <c r="AC132" i="28" s="1"/>
  <c r="S131" i="28"/>
  <c r="T131" i="28" s="1"/>
  <c r="AD131" i="28" s="1"/>
  <c r="AC131" i="28" s="1"/>
  <c r="S129" i="28"/>
  <c r="S134" i="28"/>
  <c r="O134" i="28" s="1"/>
  <c r="S139" i="28"/>
  <c r="T139" i="28" s="1"/>
  <c r="AD139" i="28" s="1"/>
  <c r="AC139" i="28" s="1"/>
  <c r="O118" i="28"/>
  <c r="N1675" i="16" s="1"/>
  <c r="O97" i="28"/>
  <c r="A1652" i="66" s="1"/>
  <c r="T115" i="28"/>
  <c r="AD115" i="28" s="1"/>
  <c r="T114" i="28"/>
  <c r="AD114" i="28" s="1"/>
  <c r="T104" i="28"/>
  <c r="AD104" i="28" s="1"/>
  <c r="R163" i="28"/>
  <c r="M163" i="28" s="1"/>
  <c r="R179" i="28"/>
  <c r="M179" i="28" s="1"/>
  <c r="R183" i="28"/>
  <c r="R244" i="28"/>
  <c r="R95" i="28"/>
  <c r="AE95" i="28" s="1"/>
  <c r="O92" i="28"/>
  <c r="I1647" i="66" s="1"/>
  <c r="O90" i="28"/>
  <c r="I1645" i="66" s="1"/>
  <c r="R71" i="28"/>
  <c r="AE71" i="28"/>
  <c r="S67" i="28"/>
  <c r="S59" i="28"/>
  <c r="S57" i="28"/>
  <c r="R57" i="28"/>
  <c r="AE57" i="28" s="1"/>
  <c r="O54" i="28"/>
  <c r="I1609" i="66" s="1"/>
  <c r="S52" i="28"/>
  <c r="T52" i="28"/>
  <c r="AD52" i="28" s="1"/>
  <c r="S50" i="28"/>
  <c r="T50" i="28" s="1"/>
  <c r="S47" i="28"/>
  <c r="O47" i="28" s="1"/>
  <c r="N1604" i="16" s="1"/>
  <c r="S45" i="28"/>
  <c r="S42" i="28"/>
  <c r="T42" i="28" s="1"/>
  <c r="T57" i="28"/>
  <c r="AD57" i="28" s="1"/>
  <c r="AC57" i="28" s="1"/>
  <c r="O18" i="28"/>
  <c r="I1573" i="66" s="1"/>
  <c r="O12" i="28"/>
  <c r="R29" i="28"/>
  <c r="M29" i="28" s="1"/>
  <c r="AM29" i="28" s="1"/>
  <c r="S33" i="28"/>
  <c r="T33" i="28" s="1"/>
  <c r="AD33" i="28" s="1"/>
  <c r="AX43" i="28"/>
  <c r="AY43" i="28"/>
  <c r="AX44" i="28"/>
  <c r="AY44" i="28"/>
  <c r="AX45" i="28"/>
  <c r="AY45" i="28"/>
  <c r="AX36" i="28"/>
  <c r="AY36" i="28"/>
  <c r="AX37" i="28"/>
  <c r="AY37" i="28"/>
  <c r="AX38" i="28"/>
  <c r="AY38" i="28"/>
  <c r="AX39" i="28"/>
  <c r="AY39" i="28"/>
  <c r="AX40" i="28"/>
  <c r="AY40" i="28"/>
  <c r="AX42" i="28"/>
  <c r="AY42" i="28"/>
  <c r="AX31" i="28"/>
  <c r="AY31" i="28"/>
  <c r="AX25" i="28"/>
  <c r="AY25" i="28"/>
  <c r="U79" i="28"/>
  <c r="DX4" i="2" s="1"/>
  <c r="U78" i="28"/>
  <c r="DW4" i="2" s="1"/>
  <c r="U77" i="28"/>
  <c r="DV4" i="2"/>
  <c r="U76" i="28"/>
  <c r="DU4" i="2" s="1"/>
  <c r="U252" i="28"/>
  <c r="ED4" i="2" s="1"/>
  <c r="U248" i="28"/>
  <c r="EC4" i="2"/>
  <c r="U230" i="28"/>
  <c r="EB4" i="2"/>
  <c r="U211" i="28"/>
  <c r="U183" i="28"/>
  <c r="DZ4" i="2"/>
  <c r="U71" i="28"/>
  <c r="DT4" i="2" s="1"/>
  <c r="U59" i="28"/>
  <c r="DS4" i="2" s="1"/>
  <c r="U57" i="28"/>
  <c r="DR4" i="2" s="1"/>
  <c r="U52" i="28"/>
  <c r="DQ4" i="2" s="1"/>
  <c r="U50" i="28"/>
  <c r="DP4" i="2"/>
  <c r="U47" i="28"/>
  <c r="DO4" i="2" s="1"/>
  <c r="U45" i="28"/>
  <c r="DN4" i="2" s="1"/>
  <c r="U42" i="28"/>
  <c r="DM4" i="2" s="1"/>
  <c r="U36" i="28"/>
  <c r="DL4" i="2"/>
  <c r="U29" i="28"/>
  <c r="DK4" i="2"/>
  <c r="U26" i="28"/>
  <c r="U23" i="28"/>
  <c r="DI4" i="2" s="1"/>
  <c r="T12" i="25"/>
  <c r="AD12" i="25" s="1"/>
  <c r="U320" i="25"/>
  <c r="CN4" i="2" s="1"/>
  <c r="U331" i="25"/>
  <c r="CO4" i="2" s="1"/>
  <c r="AE364" i="25"/>
  <c r="AE366" i="25"/>
  <c r="AE368" i="25"/>
  <c r="AE433" i="25"/>
  <c r="AE431" i="25"/>
  <c r="AE429" i="25"/>
  <c r="AE427" i="25"/>
  <c r="AE422" i="25"/>
  <c r="AE421" i="25"/>
  <c r="AE418" i="25"/>
  <c r="AE416" i="25"/>
  <c r="AE415" i="25"/>
  <c r="AE414" i="25"/>
  <c r="AE412" i="25"/>
  <c r="AE404" i="25"/>
  <c r="AE376" i="25"/>
  <c r="AE373" i="25"/>
  <c r="AE372" i="25"/>
  <c r="AE371" i="25"/>
  <c r="AE191" i="25"/>
  <c r="I1313" i="66"/>
  <c r="M153" i="29"/>
  <c r="M152" i="29"/>
  <c r="M151" i="29"/>
  <c r="M150" i="29"/>
  <c r="M128" i="29"/>
  <c r="M104" i="29"/>
  <c r="M103" i="29"/>
  <c r="M101" i="29"/>
  <c r="M88" i="29"/>
  <c r="M86" i="29"/>
  <c r="M85" i="29"/>
  <c r="M83" i="29"/>
  <c r="M82" i="29"/>
  <c r="M63" i="29"/>
  <c r="M62" i="29"/>
  <c r="M61" i="29"/>
  <c r="M20" i="29"/>
  <c r="M19" i="29"/>
  <c r="M18" i="29"/>
  <c r="U43" i="25"/>
  <c r="CE4" i="2" s="1"/>
  <c r="U127" i="25"/>
  <c r="U481" i="25"/>
  <c r="CR4" i="2" s="1"/>
  <c r="U585" i="25"/>
  <c r="CU4" i="2" s="1"/>
  <c r="U545" i="25"/>
  <c r="CT4" i="2" s="1"/>
  <c r="AE537" i="25"/>
  <c r="AC537" i="25"/>
  <c r="O537" i="25"/>
  <c r="I1299" i="66" s="1"/>
  <c r="S518" i="25"/>
  <c r="O518" i="25" s="1"/>
  <c r="A1280" i="66" s="1"/>
  <c r="O509" i="25"/>
  <c r="O504" i="25"/>
  <c r="N1268" i="16" s="1"/>
  <c r="O500" i="25"/>
  <c r="O499" i="25"/>
  <c r="AO499" i="25" s="1"/>
  <c r="O494" i="25"/>
  <c r="I1256" i="66" s="1"/>
  <c r="O491" i="25"/>
  <c r="AO491" i="25" s="1"/>
  <c r="O474" i="25"/>
  <c r="N1238" i="16" s="1"/>
  <c r="U486" i="25"/>
  <c r="CS4" i="2" s="1"/>
  <c r="U477" i="25"/>
  <c r="CQ4" i="2" s="1"/>
  <c r="U470" i="25"/>
  <c r="CP4" i="2" s="1"/>
  <c r="I1219" i="66"/>
  <c r="AE636" i="25"/>
  <c r="AE633" i="25"/>
  <c r="AC633" i="25" s="1"/>
  <c r="AE630" i="25"/>
  <c r="AE629" i="25"/>
  <c r="AE625" i="25"/>
  <c r="AE614" i="25"/>
  <c r="AE612" i="25"/>
  <c r="AE610" i="25"/>
  <c r="AE607" i="25"/>
  <c r="AE606" i="25"/>
  <c r="AE605" i="25"/>
  <c r="AE604" i="25"/>
  <c r="AE603" i="25"/>
  <c r="AE602" i="25"/>
  <c r="AE601" i="25"/>
  <c r="AE600" i="25"/>
  <c r="AE582" i="25"/>
  <c r="AE579" i="25"/>
  <c r="AE577" i="25"/>
  <c r="AE576" i="25"/>
  <c r="AE575" i="25"/>
  <c r="AE574" i="25"/>
  <c r="AD575" i="25"/>
  <c r="AD574" i="25"/>
  <c r="AC574" i="25" s="1"/>
  <c r="AD576" i="25"/>
  <c r="AD577" i="25"/>
  <c r="AD579" i="25"/>
  <c r="AD582" i="25"/>
  <c r="AD633" i="25"/>
  <c r="AD614" i="25"/>
  <c r="AC614" i="25" s="1"/>
  <c r="AD612" i="25"/>
  <c r="AD610" i="25"/>
  <c r="S606" i="25"/>
  <c r="T606" i="25" s="1"/>
  <c r="AD606" i="25" s="1"/>
  <c r="S605" i="25"/>
  <c r="T605" i="25" s="1"/>
  <c r="AD605" i="25" s="1"/>
  <c r="AC605" i="25" s="1"/>
  <c r="S604" i="25"/>
  <c r="T604" i="25" s="1"/>
  <c r="AD604" i="25" s="1"/>
  <c r="S603" i="25"/>
  <c r="T603" i="25" s="1"/>
  <c r="AD603" i="25" s="1"/>
  <c r="AC603" i="25" s="1"/>
  <c r="S602" i="25"/>
  <c r="T602" i="25" s="1"/>
  <c r="AD602" i="25" s="1"/>
  <c r="S601" i="25"/>
  <c r="T601" i="25" s="1"/>
  <c r="AD601" i="25" s="1"/>
  <c r="S600" i="25"/>
  <c r="T600" i="25" s="1"/>
  <c r="AD600" i="25" s="1"/>
  <c r="S607" i="25"/>
  <c r="T607" i="25" s="1"/>
  <c r="AD607" i="25" s="1"/>
  <c r="S630" i="25"/>
  <c r="S636" i="25"/>
  <c r="T636" i="25" s="1"/>
  <c r="AD636" i="25" s="1"/>
  <c r="S629" i="25"/>
  <c r="T629" i="25" s="1"/>
  <c r="AD629" i="25" s="1"/>
  <c r="O633" i="25"/>
  <c r="O610" i="25"/>
  <c r="I1372" i="66" s="1"/>
  <c r="O612" i="25"/>
  <c r="I1374" i="66" s="1"/>
  <c r="O614" i="25"/>
  <c r="O572" i="25"/>
  <c r="A1334" i="66" s="1"/>
  <c r="AM167" i="27"/>
  <c r="AM165" i="27"/>
  <c r="AM162" i="27"/>
  <c r="AM157" i="27"/>
  <c r="AM154" i="27"/>
  <c r="AM153" i="27"/>
  <c r="AM151" i="27"/>
  <c r="AM144" i="27"/>
  <c r="AM143" i="27"/>
  <c r="AM141" i="27"/>
  <c r="AM135" i="27"/>
  <c r="AM133" i="27"/>
  <c r="AM132" i="27"/>
  <c r="AM131" i="27"/>
  <c r="AM128" i="27"/>
  <c r="AM123" i="27"/>
  <c r="AM119" i="27"/>
  <c r="AM118" i="27"/>
  <c r="AM116" i="27"/>
  <c r="AM108" i="27"/>
  <c r="AM107" i="27"/>
  <c r="AM106" i="27"/>
  <c r="AM102" i="27"/>
  <c r="AM100" i="27"/>
  <c r="AM98" i="27"/>
  <c r="AM94" i="27"/>
  <c r="AM85" i="27"/>
  <c r="AM78" i="27"/>
  <c r="AM77" i="27"/>
  <c r="AM73" i="27"/>
  <c r="AM68" i="27"/>
  <c r="AM67" i="27"/>
  <c r="AM66" i="27"/>
  <c r="AM65" i="27"/>
  <c r="AM54" i="27"/>
  <c r="AM48" i="27"/>
  <c r="AM47" i="27"/>
  <c r="AM46" i="27"/>
  <c r="AM41" i="27"/>
  <c r="AM36" i="27"/>
  <c r="AM34" i="27"/>
  <c r="AM31" i="27"/>
  <c r="AM29" i="27"/>
  <c r="AM27" i="27"/>
  <c r="AM25" i="27"/>
  <c r="T155" i="27"/>
  <c r="AD155" i="27" s="1"/>
  <c r="AC155" i="27" s="1"/>
  <c r="T141" i="27"/>
  <c r="AD141" i="27" s="1"/>
  <c r="AC141" i="27" s="1"/>
  <c r="T127" i="27"/>
  <c r="AD127" i="27" s="1"/>
  <c r="AC127" i="27" s="1"/>
  <c r="AD144" i="27"/>
  <c r="AC144" i="27" s="1"/>
  <c r="AD143" i="27"/>
  <c r="AC143" i="27" s="1"/>
  <c r="S153" i="27"/>
  <c r="T153" i="27" s="1"/>
  <c r="AD153" i="27" s="1"/>
  <c r="AC153" i="27" s="1"/>
  <c r="S151" i="27"/>
  <c r="T151" i="27" s="1"/>
  <c r="AD151" i="27" s="1"/>
  <c r="AC151" i="27" s="1"/>
  <c r="T160" i="27"/>
  <c r="AD160" i="27" s="1"/>
  <c r="AC160" i="27" s="1"/>
  <c r="T161" i="27"/>
  <c r="AD161" i="27" s="1"/>
  <c r="AC161" i="27" s="1"/>
  <c r="T162" i="27"/>
  <c r="AD162" i="27" s="1"/>
  <c r="AC162" i="27" s="1"/>
  <c r="T165" i="27"/>
  <c r="AD165" i="27" s="1"/>
  <c r="AC165" i="27" s="1"/>
  <c r="S167" i="27"/>
  <c r="T167" i="27"/>
  <c r="AD167" i="27"/>
  <c r="AC167" i="27" s="1"/>
  <c r="O157" i="27"/>
  <c r="A1551" i="66" s="1"/>
  <c r="O154" i="27"/>
  <c r="A1548" i="66" s="1"/>
  <c r="U151" i="27"/>
  <c r="DH4" i="2" s="1"/>
  <c r="O165" i="27"/>
  <c r="I1559" i="66"/>
  <c r="O162" i="27"/>
  <c r="I1556" i="66" s="1"/>
  <c r="U141" i="27"/>
  <c r="DG4" i="2"/>
  <c r="S123" i="27"/>
  <c r="O123" i="27" s="1"/>
  <c r="S107" i="27"/>
  <c r="T107" i="27" s="1"/>
  <c r="AD107" i="27" s="1"/>
  <c r="AC107" i="27" s="1"/>
  <c r="AE94" i="27"/>
  <c r="AE85" i="27"/>
  <c r="AE78" i="27"/>
  <c r="AD78" i="27"/>
  <c r="AE73" i="27"/>
  <c r="AE68" i="27"/>
  <c r="AE63" i="27"/>
  <c r="AE54" i="27"/>
  <c r="AE47" i="27"/>
  <c r="AE12" i="27"/>
  <c r="R110" i="27"/>
  <c r="S102" i="27"/>
  <c r="T102" i="27" s="1"/>
  <c r="AD102" i="27" s="1"/>
  <c r="AC102" i="27" s="1"/>
  <c r="S106" i="27"/>
  <c r="T106" i="27" s="1"/>
  <c r="AD106" i="27" s="1"/>
  <c r="AC106" i="27" s="1"/>
  <c r="S108" i="27"/>
  <c r="T108" i="27" s="1"/>
  <c r="AD108" i="27" s="1"/>
  <c r="AC108" i="27" s="1"/>
  <c r="S116" i="27"/>
  <c r="T116" i="27" s="1"/>
  <c r="AD116" i="27" s="1"/>
  <c r="AC116" i="27" s="1"/>
  <c r="S118" i="27"/>
  <c r="T118" i="27" s="1"/>
  <c r="AD118" i="27" s="1"/>
  <c r="AC118" i="27" s="1"/>
  <c r="T85" i="27"/>
  <c r="AD85" i="27"/>
  <c r="AC85" i="27" s="1"/>
  <c r="U94" i="27"/>
  <c r="DD4" i="2" s="1"/>
  <c r="U85" i="27"/>
  <c r="DC4" i="2" s="1"/>
  <c r="S91" i="27"/>
  <c r="T91" i="27" s="1"/>
  <c r="AD91" i="27" s="1"/>
  <c r="AC91" i="27" s="1"/>
  <c r="U78" i="27"/>
  <c r="DB4" i="2"/>
  <c r="T73" i="27"/>
  <c r="AD73" i="27" s="1"/>
  <c r="T68" i="27"/>
  <c r="AD68" i="27" s="1"/>
  <c r="T54" i="27"/>
  <c r="AD54" i="27" s="1"/>
  <c r="T47" i="27"/>
  <c r="AD47" i="27" s="1"/>
  <c r="AC47" i="27" s="1"/>
  <c r="T46" i="27"/>
  <c r="AD46" i="27" s="1"/>
  <c r="AC46" i="27" s="1"/>
  <c r="S77" i="27"/>
  <c r="U73" i="27"/>
  <c r="DA4" i="2" s="1"/>
  <c r="U68" i="27"/>
  <c r="CZ4" i="2" s="1"/>
  <c r="S63" i="27"/>
  <c r="T63" i="27" s="1"/>
  <c r="AD63" i="27" s="1"/>
  <c r="AC63" i="27" s="1"/>
  <c r="U63" i="27"/>
  <c r="CY4" i="2" s="1"/>
  <c r="S41" i="27"/>
  <c r="U54" i="27"/>
  <c r="CX4" i="2"/>
  <c r="O46" i="27"/>
  <c r="AE190" i="25"/>
  <c r="O189" i="25"/>
  <c r="A952" i="66" s="1"/>
  <c r="AE182" i="25"/>
  <c r="AE184" i="25"/>
  <c r="C7" i="10"/>
  <c r="AX37" i="25"/>
  <c r="AY37" i="25"/>
  <c r="AX38" i="25"/>
  <c r="AY38" i="25"/>
  <c r="AX39" i="25"/>
  <c r="AY39" i="25"/>
  <c r="AX40" i="25"/>
  <c r="AY40" i="25"/>
  <c r="AX41" i="25"/>
  <c r="AY41" i="25"/>
  <c r="AX43" i="25"/>
  <c r="AY43" i="25"/>
  <c r="AX44" i="25"/>
  <c r="AY44" i="25"/>
  <c r="AX45" i="25"/>
  <c r="AY45" i="25"/>
  <c r="AX46" i="25"/>
  <c r="AY46" i="25"/>
  <c r="AX26" i="25"/>
  <c r="AY26" i="25"/>
  <c r="I4" i="8"/>
  <c r="I4" i="24"/>
  <c r="I4" i="28"/>
  <c r="I4" i="29"/>
  <c r="Z12" i="23"/>
  <c r="BI780" i="16"/>
  <c r="Q14" i="7"/>
  <c r="BI16" i="25" s="1"/>
  <c r="CF4" i="2"/>
  <c r="N4" i="2"/>
  <c r="J4" i="2"/>
  <c r="K4" i="2"/>
  <c r="L4" i="2"/>
  <c r="M4" i="2"/>
  <c r="S69" i="16"/>
  <c r="S72" i="16" s="1"/>
  <c r="T72" i="16" s="1"/>
  <c r="AD72" i="16" s="1"/>
  <c r="AC72" i="16" s="1"/>
  <c r="S70" i="8"/>
  <c r="S80" i="8" s="1"/>
  <c r="O80" i="8" s="1"/>
  <c r="AO80" i="8" s="1"/>
  <c r="AD17" i="8"/>
  <c r="AC17" i="8" s="1"/>
  <c r="O28" i="8"/>
  <c r="I26" i="66" s="1"/>
  <c r="O27" i="16"/>
  <c r="E27" i="76" s="1"/>
  <c r="S18" i="16"/>
  <c r="S17" i="16"/>
  <c r="O13" i="16" s="1"/>
  <c r="S19" i="8"/>
  <c r="T19" i="8" s="1"/>
  <c r="S18" i="8"/>
  <c r="T18" i="8" s="1"/>
  <c r="AD18" i="8" s="1"/>
  <c r="AC18" i="8" s="1"/>
  <c r="Y246" i="16"/>
  <c r="Y236" i="16"/>
  <c r="Y230" i="16"/>
  <c r="Y226" i="16"/>
  <c r="Y225" i="16"/>
  <c r="Y223" i="16"/>
  <c r="AE758" i="16"/>
  <c r="AE503" i="24"/>
  <c r="AC503" i="24" s="1"/>
  <c r="AX284" i="16"/>
  <c r="AX285" i="16"/>
  <c r="AX286" i="16"/>
  <c r="AX287" i="16"/>
  <c r="AX288" i="16"/>
  <c r="AX289" i="16"/>
  <c r="AX290" i="16"/>
  <c r="AX291" i="16"/>
  <c r="AX292" i="16"/>
  <c r="AX293" i="16"/>
  <c r="AX295" i="16"/>
  <c r="AX296" i="16"/>
  <c r="AX297" i="16"/>
  <c r="AX298" i="16"/>
  <c r="AX299" i="16"/>
  <c r="AX300" i="16"/>
  <c r="AX301" i="16"/>
  <c r="AX303" i="16"/>
  <c r="AX304" i="16"/>
  <c r="AX283" i="16"/>
  <c r="Y766" i="16"/>
  <c r="Y757" i="16"/>
  <c r="Y750" i="16"/>
  <c r="Y748" i="16"/>
  <c r="Y744" i="16"/>
  <c r="Y743" i="16"/>
  <c r="Y742" i="16"/>
  <c r="Y740" i="16"/>
  <c r="Y738" i="16"/>
  <c r="Y734" i="16"/>
  <c r="Y729" i="16"/>
  <c r="Y725" i="16"/>
  <c r="Y724" i="16"/>
  <c r="Y723" i="16"/>
  <c r="Y722" i="16"/>
  <c r="Y721" i="16"/>
  <c r="Y720" i="16"/>
  <c r="Y719" i="16"/>
  <c r="Y708" i="16"/>
  <c r="Y701" i="16"/>
  <c r="Y695" i="16"/>
  <c r="Y689" i="16"/>
  <c r="Y683" i="16"/>
  <c r="Y676" i="16"/>
  <c r="Y669" i="16"/>
  <c r="Y663" i="16"/>
  <c r="Y656" i="16"/>
  <c r="Y647" i="16"/>
  <c r="Y634" i="16"/>
  <c r="Y631" i="16"/>
  <c r="Y622" i="16"/>
  <c r="Y619" i="16"/>
  <c r="Y618" i="16"/>
  <c r="Y616" i="16"/>
  <c r="Y607" i="16"/>
  <c r="Y605" i="16"/>
  <c r="Y604" i="16"/>
  <c r="Y602" i="16"/>
  <c r="Y601" i="16"/>
  <c r="Y574" i="16"/>
  <c r="Y569" i="16"/>
  <c r="Y568" i="16"/>
  <c r="Y561" i="16"/>
  <c r="Y548" i="16"/>
  <c r="Y533" i="16"/>
  <c r="Y527" i="16"/>
  <c r="Y525" i="16"/>
  <c r="Y523" i="16"/>
  <c r="Y521" i="16"/>
  <c r="Y517" i="16"/>
  <c r="Y510" i="16"/>
  <c r="Y504" i="16"/>
  <c r="Y500" i="16"/>
  <c r="Y498" i="16"/>
  <c r="Y493" i="16"/>
  <c r="Y489" i="16"/>
  <c r="Y486" i="16"/>
  <c r="Y485" i="16"/>
  <c r="Y483" i="16"/>
  <c r="Y478" i="16"/>
  <c r="Y477" i="16"/>
  <c r="Y475" i="16"/>
  <c r="Y469" i="16"/>
  <c r="Y466" i="16"/>
  <c r="Y464" i="16"/>
  <c r="Y452" i="16"/>
  <c r="Y450" i="16"/>
  <c r="Y448" i="16"/>
  <c r="Y442" i="16"/>
  <c r="Y438" i="16"/>
  <c r="Y437" i="16"/>
  <c r="Y434" i="16"/>
  <c r="Y424" i="16"/>
  <c r="Y416" i="16"/>
  <c r="Y412" i="16"/>
  <c r="Y410" i="16"/>
  <c r="Y408" i="16"/>
  <c r="Y405" i="16"/>
  <c r="Y403" i="16"/>
  <c r="Y390" i="16"/>
  <c r="Y381" i="16"/>
  <c r="Y378" i="16"/>
  <c r="Y376" i="16"/>
  <c r="Y372" i="16"/>
  <c r="Y370" i="16"/>
  <c r="Y364" i="16"/>
  <c r="Y362" i="16"/>
  <c r="Y357" i="16"/>
  <c r="Y355" i="16"/>
  <c r="Y352" i="16"/>
  <c r="Y341" i="16"/>
  <c r="Y333" i="16"/>
  <c r="Y315" i="16"/>
  <c r="Y310" i="16"/>
  <c r="Y309" i="16"/>
  <c r="Y308" i="16"/>
  <c r="Y307" i="16"/>
  <c r="Y306" i="16"/>
  <c r="Y305" i="16"/>
  <c r="Y299" i="16"/>
  <c r="Y298" i="16"/>
  <c r="Y297" i="16"/>
  <c r="Y296" i="16"/>
  <c r="Y295" i="16"/>
  <c r="Y294" i="16"/>
  <c r="Y290" i="16"/>
  <c r="Y287" i="16"/>
  <c r="Y284" i="16"/>
  <c r="Y258" i="16"/>
  <c r="Y256" i="16"/>
  <c r="Y255" i="16"/>
  <c r="Y249" i="16"/>
  <c r="Y216" i="16"/>
  <c r="Y208" i="16"/>
  <c r="Y207" i="16"/>
  <c r="Y204" i="16"/>
  <c r="Y200" i="16"/>
  <c r="Y198" i="16"/>
  <c r="Y196" i="16"/>
  <c r="Y195" i="16"/>
  <c r="Y193" i="16"/>
  <c r="Y190" i="16"/>
  <c r="Y183" i="16"/>
  <c r="Y178" i="16"/>
  <c r="Y170" i="16"/>
  <c r="Y164" i="16"/>
  <c r="Y157" i="16"/>
  <c r="Y155" i="16"/>
  <c r="Y153" i="16"/>
  <c r="Y151" i="16"/>
  <c r="Y148" i="16"/>
  <c r="Y146" i="16"/>
  <c r="Y141" i="16"/>
  <c r="Y140" i="16"/>
  <c r="Y135" i="16"/>
  <c r="Y133" i="16"/>
  <c r="Y131" i="16"/>
  <c r="Y129" i="16"/>
  <c r="Y123" i="16"/>
  <c r="Y119" i="16"/>
  <c r="Y114" i="16"/>
  <c r="Y107" i="16"/>
  <c r="Y103" i="16"/>
  <c r="Y100" i="16"/>
  <c r="Y93" i="16"/>
  <c r="Y80" i="16"/>
  <c r="Y67" i="16"/>
  <c r="Y55" i="16"/>
  <c r="Y50" i="16"/>
  <c r="Y45" i="16"/>
  <c r="Y268" i="16"/>
  <c r="S734" i="16"/>
  <c r="T734" i="16" s="1"/>
  <c r="AD734" i="16" s="1"/>
  <c r="AC734" i="16" s="1"/>
  <c r="S738" i="16"/>
  <c r="T738" i="16" s="1"/>
  <c r="AD738" i="16" s="1"/>
  <c r="AC738" i="16" s="1"/>
  <c r="BD270" i="16"/>
  <c r="BC270" i="16"/>
  <c r="AX281" i="16"/>
  <c r="AX279" i="16"/>
  <c r="AX278" i="16"/>
  <c r="AX276" i="16"/>
  <c r="AX275" i="16"/>
  <c r="AX274" i="16"/>
  <c r="AX272" i="16"/>
  <c r="AX271" i="16"/>
  <c r="AX270" i="16"/>
  <c r="AX269" i="16"/>
  <c r="AX268" i="16"/>
  <c r="AX267" i="16"/>
  <c r="AX266" i="16"/>
  <c r="AE768" i="16"/>
  <c r="AM752" i="16"/>
  <c r="AM750" i="16"/>
  <c r="AM748" i="16"/>
  <c r="AM744" i="16"/>
  <c r="AM743" i="16"/>
  <c r="AM742" i="16"/>
  <c r="AM740" i="16"/>
  <c r="AM738" i="16"/>
  <c r="AM734" i="16"/>
  <c r="AM729" i="16"/>
  <c r="AM727" i="16"/>
  <c r="AM725" i="16"/>
  <c r="AD725" i="16"/>
  <c r="AC725" i="16" s="1"/>
  <c r="AM724" i="16"/>
  <c r="AD724" i="16"/>
  <c r="AC724" i="16" s="1"/>
  <c r="AM723" i="16"/>
  <c r="AD723" i="16"/>
  <c r="AC723" i="16" s="1"/>
  <c r="AM722" i="16"/>
  <c r="AD722" i="16"/>
  <c r="AC722" i="16" s="1"/>
  <c r="AM721" i="16"/>
  <c r="AD721" i="16"/>
  <c r="AC721" i="16" s="1"/>
  <c r="AM720" i="16"/>
  <c r="AD720" i="16"/>
  <c r="AC720" i="16" s="1"/>
  <c r="AM719" i="16"/>
  <c r="AD719" i="16"/>
  <c r="AC719" i="16" s="1"/>
  <c r="AM716" i="16"/>
  <c r="AM708" i="16"/>
  <c r="AE708" i="16"/>
  <c r="AF708" i="16" s="1"/>
  <c r="AE702" i="16"/>
  <c r="AF702" i="16" s="1"/>
  <c r="AE696" i="16"/>
  <c r="AF696" i="16" s="1"/>
  <c r="AE690" i="16"/>
  <c r="AF690" i="16" s="1"/>
  <c r="AE684" i="16"/>
  <c r="AM683" i="16"/>
  <c r="AE678" i="16"/>
  <c r="AF678" i="16" s="1"/>
  <c r="AE671" i="16"/>
  <c r="AF671" i="16" s="1"/>
  <c r="AM669" i="16"/>
  <c r="AM665" i="16"/>
  <c r="AM663" i="16"/>
  <c r="AM656" i="16"/>
  <c r="AM647" i="16"/>
  <c r="AE635" i="16"/>
  <c r="AF635" i="16" s="1"/>
  <c r="AE632" i="16"/>
  <c r="AF632" i="16" s="1"/>
  <c r="AM631" i="16"/>
  <c r="AM622" i="16"/>
  <c r="AE622" i="16"/>
  <c r="AF622" i="16" s="1"/>
  <c r="AM619" i="16"/>
  <c r="AM618" i="16"/>
  <c r="AM616" i="16"/>
  <c r="AM607" i="16"/>
  <c r="AE607" i="16"/>
  <c r="AE605" i="16"/>
  <c r="AF605" i="16" s="1"/>
  <c r="AM604" i="16"/>
  <c r="AE604" i="16"/>
  <c r="AF604" i="16" s="1"/>
  <c r="AE602" i="16"/>
  <c r="AF602" i="16" s="1"/>
  <c r="AM601" i="16"/>
  <c r="AE601" i="16"/>
  <c r="AF601" i="16" s="1"/>
  <c r="AM588" i="16"/>
  <c r="AM586" i="16"/>
  <c r="AM584" i="16"/>
  <c r="AE581" i="16"/>
  <c r="AF581" i="16" s="1"/>
  <c r="AE569" i="16"/>
  <c r="AE568" i="16"/>
  <c r="AF568" i="16" s="1"/>
  <c r="AM560" i="16"/>
  <c r="AM559" i="16"/>
  <c r="AM557" i="16"/>
  <c r="AM548" i="16"/>
  <c r="AM533" i="16"/>
  <c r="AE528" i="16"/>
  <c r="AE526" i="16"/>
  <c r="AE524" i="16"/>
  <c r="AF524" i="16" s="1"/>
  <c r="AE522" i="16"/>
  <c r="AF522" i="16" s="1"/>
  <c r="AM521" i="16"/>
  <c r="AM517" i="16"/>
  <c r="AE517" i="16"/>
  <c r="AF517" i="16" s="1"/>
  <c r="AM510" i="16"/>
  <c r="AE510" i="16"/>
  <c r="AF510" i="16" s="1"/>
  <c r="AM504" i="16"/>
  <c r="AE504" i="16"/>
  <c r="AF504" i="16" s="1"/>
  <c r="AM500" i="16"/>
  <c r="AM498" i="16"/>
  <c r="AE493" i="16"/>
  <c r="AF493" i="16" s="1"/>
  <c r="AD493" i="16"/>
  <c r="AM489" i="16"/>
  <c r="AM479" i="16"/>
  <c r="AM478" i="16"/>
  <c r="AM477" i="16"/>
  <c r="AD475" i="16"/>
  <c r="AD469" i="16"/>
  <c r="AM466" i="16"/>
  <c r="AD464" i="16"/>
  <c r="AM451" i="16"/>
  <c r="AM450" i="16"/>
  <c r="AM448" i="16"/>
  <c r="AM446" i="16"/>
  <c r="AM443" i="16"/>
  <c r="AM438" i="16"/>
  <c r="AM437" i="16"/>
  <c r="AM434" i="16"/>
  <c r="AE424" i="16"/>
  <c r="AF424" i="16" s="1"/>
  <c r="AD424" i="16"/>
  <c r="AD416" i="16"/>
  <c r="AM412" i="16"/>
  <c r="AM410" i="16"/>
  <c r="AM408" i="16"/>
  <c r="AD405" i="16"/>
  <c r="AM403" i="16"/>
  <c r="AM398" i="16"/>
  <c r="AM394" i="16"/>
  <c r="AM390" i="16"/>
  <c r="AM384" i="16"/>
  <c r="AM382" i="16"/>
  <c r="AM376" i="16"/>
  <c r="AM370" i="16"/>
  <c r="AM364" i="16"/>
  <c r="AM357" i="16"/>
  <c r="AM355" i="16"/>
  <c r="AM341" i="16"/>
  <c r="AE341" i="16"/>
  <c r="AF341" i="16" s="1"/>
  <c r="AM333" i="16"/>
  <c r="AE333" i="16"/>
  <c r="AF333" i="16" s="1"/>
  <c r="AM331" i="16"/>
  <c r="AM329" i="16"/>
  <c r="AM328" i="16"/>
  <c r="AM315" i="16"/>
  <c r="AM314" i="16"/>
  <c r="AM313" i="16"/>
  <c r="AM310" i="16"/>
  <c r="AM309" i="16"/>
  <c r="AM308" i="16"/>
  <c r="AM307" i="16"/>
  <c r="AM306" i="16"/>
  <c r="AM305" i="16"/>
  <c r="AM302" i="16"/>
  <c r="AM299" i="16"/>
  <c r="AM298" i="16"/>
  <c r="AM297" i="16"/>
  <c r="AM296" i="16"/>
  <c r="AM295" i="16"/>
  <c r="AM294" i="16"/>
  <c r="AM290" i="16"/>
  <c r="AM287" i="16"/>
  <c r="AM284" i="16"/>
  <c r="AM276" i="16"/>
  <c r="AM275" i="16"/>
  <c r="AM274" i="16"/>
  <c r="AM273" i="16"/>
  <c r="AM272" i="16"/>
  <c r="AC271" i="16"/>
  <c r="O36" i="16"/>
  <c r="E36" i="76" s="1"/>
  <c r="O752" i="16"/>
  <c r="E752" i="76" s="1"/>
  <c r="O716" i="16"/>
  <c r="E716" i="76" s="1"/>
  <c r="U708" i="16"/>
  <c r="U702" i="16"/>
  <c r="S702" i="16"/>
  <c r="T702" i="16" s="1"/>
  <c r="AD702" i="16" s="1"/>
  <c r="U696" i="16"/>
  <c r="S696" i="16"/>
  <c r="T696" i="16" s="1"/>
  <c r="AD696" i="16" s="1"/>
  <c r="U690" i="16"/>
  <c r="S690" i="16"/>
  <c r="T690" i="16" s="1"/>
  <c r="AD690" i="16" s="1"/>
  <c r="U684" i="16"/>
  <c r="S684" i="16"/>
  <c r="T684" i="16" s="1"/>
  <c r="AD684" i="16" s="1"/>
  <c r="U678" i="16"/>
  <c r="S678" i="16"/>
  <c r="T678" i="16" s="1"/>
  <c r="AD678" i="16" s="1"/>
  <c r="U671" i="16"/>
  <c r="S671" i="16"/>
  <c r="T671" i="16" s="1"/>
  <c r="AD671" i="16" s="1"/>
  <c r="S663" i="16"/>
  <c r="S656" i="16"/>
  <c r="T656" i="16" s="1"/>
  <c r="AD656" i="16" s="1"/>
  <c r="AC656" i="16" s="1"/>
  <c r="S647" i="16"/>
  <c r="O647" i="16" s="1"/>
  <c r="U635" i="16"/>
  <c r="U632" i="16"/>
  <c r="U622" i="16"/>
  <c r="O619" i="16"/>
  <c r="E619" i="76" s="1"/>
  <c r="O618" i="16"/>
  <c r="O616" i="16"/>
  <c r="E616" i="76" s="1"/>
  <c r="U607" i="16"/>
  <c r="U605" i="16"/>
  <c r="U604" i="16"/>
  <c r="O604" i="16"/>
  <c r="E604" i="76" s="1"/>
  <c r="U602" i="16"/>
  <c r="U601" i="16"/>
  <c r="O601" i="16"/>
  <c r="E601" i="76" s="1"/>
  <c r="U581" i="16"/>
  <c r="U580" i="16"/>
  <c r="U579" i="16"/>
  <c r="U578" i="16"/>
  <c r="U577" i="16"/>
  <c r="U576" i="16"/>
  <c r="U575" i="16"/>
  <c r="U574" i="16"/>
  <c r="S574" i="16"/>
  <c r="T574" i="16" s="1"/>
  <c r="AD574" i="16" s="1"/>
  <c r="AC574" i="16" s="1"/>
  <c r="O557" i="16"/>
  <c r="E557" i="76" s="1"/>
  <c r="O548" i="16"/>
  <c r="E548" i="76" s="1"/>
  <c r="O533" i="16"/>
  <c r="E533" i="76" s="1"/>
  <c r="O521" i="16"/>
  <c r="AO521" i="16" s="1"/>
  <c r="O517" i="16"/>
  <c r="E517" i="76" s="1"/>
  <c r="O510" i="16"/>
  <c r="E510" i="76" s="1"/>
  <c r="O504" i="16"/>
  <c r="E504" i="76" s="1"/>
  <c r="O500" i="16"/>
  <c r="O498" i="16"/>
  <c r="E498" i="76" s="1"/>
  <c r="R493" i="16"/>
  <c r="M493" i="16" s="1"/>
  <c r="AM493" i="16" s="1"/>
  <c r="O489" i="16"/>
  <c r="E489" i="76" s="1"/>
  <c r="O479" i="16"/>
  <c r="O478" i="16"/>
  <c r="E478" i="76" s="1"/>
  <c r="O477" i="16"/>
  <c r="U475" i="16"/>
  <c r="R475" i="16"/>
  <c r="AE475" i="16" s="1"/>
  <c r="O475" i="16"/>
  <c r="E475" i="76" s="1"/>
  <c r="U469" i="16"/>
  <c r="R469" i="16"/>
  <c r="AE469" i="16" s="1"/>
  <c r="U464" i="16"/>
  <c r="R464" i="16"/>
  <c r="AE464" i="16" s="1"/>
  <c r="U452" i="16"/>
  <c r="O450" i="16"/>
  <c r="E450" i="76" s="1"/>
  <c r="O448" i="16"/>
  <c r="U442" i="16"/>
  <c r="O438" i="16"/>
  <c r="O437" i="16"/>
  <c r="E437" i="76" s="1"/>
  <c r="O434" i="16"/>
  <c r="E434" i="76" s="1"/>
  <c r="R424" i="16"/>
  <c r="M424" i="16" s="1"/>
  <c r="AM424" i="16" s="1"/>
  <c r="U416" i="16"/>
  <c r="R416" i="16"/>
  <c r="M416" i="16" s="1"/>
  <c r="AM416" i="16" s="1"/>
  <c r="O412" i="16"/>
  <c r="E412" i="76" s="1"/>
  <c r="O410" i="16"/>
  <c r="E410" i="76" s="1"/>
  <c r="O408" i="16"/>
  <c r="E408" i="76" s="1"/>
  <c r="U405" i="16"/>
  <c r="R405" i="16"/>
  <c r="O405" i="16"/>
  <c r="O403" i="16"/>
  <c r="E403" i="76" s="1"/>
  <c r="U381" i="16"/>
  <c r="U378" i="16"/>
  <c r="U372" i="16"/>
  <c r="O364" i="16"/>
  <c r="E364" i="76" s="1"/>
  <c r="O355" i="16"/>
  <c r="E355" i="76" s="1"/>
  <c r="O341" i="16"/>
  <c r="U326" i="16"/>
  <c r="U324" i="16"/>
  <c r="U320" i="16"/>
  <c r="U319" i="16"/>
  <c r="U318" i="16"/>
  <c r="U311" i="16"/>
  <c r="S309" i="16"/>
  <c r="S308" i="16"/>
  <c r="T308" i="16" s="1"/>
  <c r="AD308" i="16" s="1"/>
  <c r="AC308" i="16" s="1"/>
  <c r="S307" i="16"/>
  <c r="T307" i="16" s="1"/>
  <c r="AD307" i="16" s="1"/>
  <c r="AC307" i="16" s="1"/>
  <c r="S306" i="16"/>
  <c r="T306" i="16" s="1"/>
  <c r="AD306" i="16" s="1"/>
  <c r="AC306" i="16" s="1"/>
  <c r="S305" i="16"/>
  <c r="O305" i="16" s="1"/>
  <c r="O299" i="16"/>
  <c r="E299" i="76" s="1"/>
  <c r="O298" i="16"/>
  <c r="O297" i="16"/>
  <c r="E297" i="76" s="1"/>
  <c r="O296" i="16"/>
  <c r="E296" i="76" s="1"/>
  <c r="O295" i="16"/>
  <c r="E295" i="76" s="1"/>
  <c r="O294" i="16"/>
  <c r="E294" i="76" s="1"/>
  <c r="O290" i="16"/>
  <c r="E290" i="76" s="1"/>
  <c r="O287" i="16"/>
  <c r="E287" i="76" s="1"/>
  <c r="O284" i="16"/>
  <c r="E284" i="76" s="1"/>
  <c r="AX10" i="16"/>
  <c r="AM258" i="16"/>
  <c r="AM256" i="16"/>
  <c r="AM255" i="16"/>
  <c r="AM254" i="16"/>
  <c r="AM253" i="16"/>
  <c r="AM252" i="16"/>
  <c r="AM251" i="16"/>
  <c r="AM250" i="16"/>
  <c r="AM246" i="16"/>
  <c r="AM236" i="16"/>
  <c r="AM234" i="16"/>
  <c r="AM233" i="16"/>
  <c r="AM232" i="16"/>
  <c r="AM229" i="16"/>
  <c r="AM228" i="16"/>
  <c r="AM227" i="16"/>
  <c r="AM225" i="16"/>
  <c r="AM223" i="16"/>
  <c r="AM216" i="16"/>
  <c r="AE214" i="16"/>
  <c r="AM208" i="16"/>
  <c r="AE208" i="16"/>
  <c r="AF208" i="16" s="1"/>
  <c r="AM207" i="16"/>
  <c r="AM204" i="16"/>
  <c r="AM200" i="16"/>
  <c r="AM198" i="16"/>
  <c r="AM196" i="16"/>
  <c r="AM195" i="16"/>
  <c r="AM193" i="16"/>
  <c r="AM188" i="16"/>
  <c r="AM186" i="16"/>
  <c r="AM185" i="16"/>
  <c r="AM178" i="16"/>
  <c r="AM170" i="16"/>
  <c r="AM168" i="16"/>
  <c r="AM166" i="16"/>
  <c r="AO163" i="16"/>
  <c r="AM163" i="16"/>
  <c r="AO161" i="16"/>
  <c r="AM161" i="16"/>
  <c r="AO160" i="16"/>
  <c r="AM160" i="16"/>
  <c r="AO159" i="16"/>
  <c r="AM159" i="16"/>
  <c r="AM155" i="16"/>
  <c r="AM153" i="16"/>
  <c r="AM151" i="16"/>
  <c r="AM148" i="16"/>
  <c r="AM118" i="16"/>
  <c r="AM117" i="16"/>
  <c r="AM116" i="16"/>
  <c r="AM113" i="16"/>
  <c r="AM112" i="16"/>
  <c r="AM111" i="16"/>
  <c r="AM103" i="16"/>
  <c r="AM100" i="16"/>
  <c r="AM92" i="16"/>
  <c r="AM85" i="16"/>
  <c r="AM83" i="16"/>
  <c r="AM79" i="16"/>
  <c r="AM77" i="16"/>
  <c r="AM76" i="16"/>
  <c r="AM75" i="16"/>
  <c r="AM74" i="16"/>
  <c r="AM70" i="16"/>
  <c r="AM69" i="16"/>
  <c r="AM65" i="16"/>
  <c r="AM63" i="16"/>
  <c r="AM62" i="16"/>
  <c r="AM61" i="16"/>
  <c r="AM59" i="16"/>
  <c r="AM57" i="16"/>
  <c r="AM56" i="16"/>
  <c r="AM45" i="16"/>
  <c r="AM43" i="16"/>
  <c r="AM42" i="16"/>
  <c r="AM41" i="16"/>
  <c r="AM36" i="16"/>
  <c r="AM27" i="16"/>
  <c r="AE27" i="16"/>
  <c r="AF27" i="16" s="1"/>
  <c r="AM25" i="16"/>
  <c r="AM23" i="16"/>
  <c r="AM21" i="16"/>
  <c r="AM18" i="16"/>
  <c r="AM17" i="16"/>
  <c r="AM16" i="16"/>
  <c r="O256" i="16"/>
  <c r="E256" i="76" s="1"/>
  <c r="U249" i="16"/>
  <c r="O246" i="16"/>
  <c r="E246" i="76" s="1"/>
  <c r="O236" i="16"/>
  <c r="E236" i="76" s="1"/>
  <c r="U230" i="16"/>
  <c r="U226" i="16"/>
  <c r="O223" i="16"/>
  <c r="O216" i="16"/>
  <c r="E216" i="76" s="1"/>
  <c r="O208" i="16"/>
  <c r="O207" i="16"/>
  <c r="E207" i="76" s="1"/>
  <c r="O204" i="16"/>
  <c r="O200" i="16"/>
  <c r="E200" i="76" s="1"/>
  <c r="O198" i="16"/>
  <c r="E198" i="76" s="1"/>
  <c r="O196" i="16"/>
  <c r="E196" i="76" s="1"/>
  <c r="O195" i="16"/>
  <c r="O193" i="16"/>
  <c r="E193" i="76" s="1"/>
  <c r="O188" i="16"/>
  <c r="E188" i="76" s="1"/>
  <c r="AO188" i="16"/>
  <c r="O186" i="16"/>
  <c r="E186" i="76" s="1"/>
  <c r="O185" i="16"/>
  <c r="U171" i="16"/>
  <c r="E168" i="76"/>
  <c r="E166" i="76"/>
  <c r="O157" i="16"/>
  <c r="E157" i="76" s="1"/>
  <c r="S155" i="16"/>
  <c r="S153" i="16"/>
  <c r="O153" i="16" s="1"/>
  <c r="E153" i="76" s="1"/>
  <c r="S151" i="16"/>
  <c r="T151" i="16" s="1"/>
  <c r="AD151" i="16" s="1"/>
  <c r="AC151" i="16" s="1"/>
  <c r="S148" i="16"/>
  <c r="S146" i="16"/>
  <c r="T146" i="16" s="1"/>
  <c r="AD146" i="16" s="1"/>
  <c r="AC146" i="16" s="1"/>
  <c r="S141" i="16"/>
  <c r="T141" i="16" s="1"/>
  <c r="AD141" i="16" s="1"/>
  <c r="AC141" i="16" s="1"/>
  <c r="S140" i="16"/>
  <c r="T140" i="16"/>
  <c r="AD140" i="16" s="1"/>
  <c r="AC140" i="16" s="1"/>
  <c r="U135" i="16"/>
  <c r="S135" i="16"/>
  <c r="T135" i="16" s="1"/>
  <c r="AD135" i="16" s="1"/>
  <c r="AC135" i="16" s="1"/>
  <c r="S133" i="16"/>
  <c r="T133" i="16" s="1"/>
  <c r="AD133" i="16" s="1"/>
  <c r="AC133" i="16" s="1"/>
  <c r="S131" i="16"/>
  <c r="T131" i="16" s="1"/>
  <c r="AD131" i="16" s="1"/>
  <c r="AC131" i="16" s="1"/>
  <c r="S129" i="16"/>
  <c r="T129" i="16" s="1"/>
  <c r="AD129" i="16" s="1"/>
  <c r="AC129" i="16" s="1"/>
  <c r="U123" i="16"/>
  <c r="S123" i="16"/>
  <c r="T123" i="16"/>
  <c r="AD123" i="16" s="1"/>
  <c r="AC123" i="16" s="1"/>
  <c r="U121" i="16"/>
  <c r="U114" i="16"/>
  <c r="U107" i="16"/>
  <c r="O103" i="16"/>
  <c r="E103" i="76" s="1"/>
  <c r="O100" i="16"/>
  <c r="O92" i="16"/>
  <c r="E92" i="76" s="1"/>
  <c r="O85" i="16"/>
  <c r="E85" i="76" s="1"/>
  <c r="AO85" i="16"/>
  <c r="O83" i="16"/>
  <c r="E83" i="76" s="1"/>
  <c r="U72" i="16"/>
  <c r="O65" i="16"/>
  <c r="O63" i="16"/>
  <c r="O62" i="16"/>
  <c r="E62" i="76" s="1"/>
  <c r="O61" i="16"/>
  <c r="S59" i="16"/>
  <c r="O59" i="16" s="1"/>
  <c r="E59" i="76" s="1"/>
  <c r="S57" i="16"/>
  <c r="O56" i="16"/>
  <c r="O45" i="16"/>
  <c r="E45" i="76" s="1"/>
  <c r="O25" i="16"/>
  <c r="O23" i="16"/>
  <c r="E23" i="76" s="1"/>
  <c r="O21" i="16"/>
  <c r="O293" i="24"/>
  <c r="I547" i="66" s="1"/>
  <c r="AM43" i="24"/>
  <c r="AM497" i="24"/>
  <c r="AM495" i="24"/>
  <c r="AM493" i="24"/>
  <c r="AM489" i="24"/>
  <c r="AM488" i="24"/>
  <c r="AM487" i="24"/>
  <c r="AM485" i="24"/>
  <c r="AM483" i="24"/>
  <c r="AM479" i="24"/>
  <c r="AM474" i="24"/>
  <c r="AM472" i="24"/>
  <c r="AM470" i="24"/>
  <c r="AM469" i="24"/>
  <c r="AM468" i="24"/>
  <c r="AM467" i="24"/>
  <c r="AM466" i="24"/>
  <c r="AM465" i="24"/>
  <c r="AM464" i="24"/>
  <c r="AM461" i="24"/>
  <c r="AM453" i="24"/>
  <c r="AM428" i="24"/>
  <c r="AM414" i="24"/>
  <c r="AM410" i="24"/>
  <c r="AM408" i="24"/>
  <c r="AM401" i="24"/>
  <c r="AM392" i="24"/>
  <c r="AM376" i="24"/>
  <c r="AM367" i="24"/>
  <c r="AM364" i="24"/>
  <c r="AM363" i="24"/>
  <c r="AM361" i="24"/>
  <c r="AM352" i="24"/>
  <c r="AM349" i="24"/>
  <c r="AM346" i="24"/>
  <c r="AM333" i="24"/>
  <c r="AM331" i="24"/>
  <c r="AM329" i="24"/>
  <c r="AM305" i="24"/>
  <c r="AM304" i="24"/>
  <c r="AM302" i="24"/>
  <c r="AM293" i="24"/>
  <c r="AM278" i="24"/>
  <c r="AM266" i="24"/>
  <c r="AM262" i="24"/>
  <c r="AM255" i="24"/>
  <c r="AM249" i="24"/>
  <c r="AM245" i="24"/>
  <c r="AM243" i="24"/>
  <c r="AM234" i="24"/>
  <c r="AM224" i="24"/>
  <c r="AM223" i="24"/>
  <c r="AM222" i="24"/>
  <c r="AM211" i="24"/>
  <c r="AM196" i="24"/>
  <c r="AM195" i="24"/>
  <c r="AM193" i="24"/>
  <c r="AM191" i="24"/>
  <c r="AM188" i="24"/>
  <c r="AM183" i="24"/>
  <c r="AM182" i="24"/>
  <c r="AM179" i="24"/>
  <c r="AM157" i="24"/>
  <c r="AM155" i="24"/>
  <c r="AM153" i="24"/>
  <c r="AM148" i="24"/>
  <c r="AM143" i="24"/>
  <c r="AM139" i="24"/>
  <c r="AM135" i="24"/>
  <c r="AM129" i="24"/>
  <c r="AM127" i="24"/>
  <c r="AM121" i="24"/>
  <c r="AM115" i="24"/>
  <c r="AM109" i="24"/>
  <c r="AM102" i="24"/>
  <c r="AM100" i="24"/>
  <c r="AM86" i="24"/>
  <c r="AM78" i="24"/>
  <c r="AM76" i="24"/>
  <c r="AM74" i="24"/>
  <c r="AM73" i="24"/>
  <c r="AM60" i="24"/>
  <c r="AM59" i="24"/>
  <c r="AM58" i="24"/>
  <c r="AM55" i="24"/>
  <c r="AM54" i="24"/>
  <c r="AM53" i="24"/>
  <c r="AM52" i="24"/>
  <c r="AM51" i="24"/>
  <c r="AM50" i="24"/>
  <c r="AM47" i="24"/>
  <c r="AM44" i="24"/>
  <c r="AM42" i="24"/>
  <c r="AM41" i="24"/>
  <c r="AM40" i="24"/>
  <c r="AM39" i="24"/>
  <c r="AM35" i="24"/>
  <c r="AM32" i="24"/>
  <c r="AM21" i="24"/>
  <c r="AM20" i="24"/>
  <c r="AM19" i="24"/>
  <c r="AM18" i="24"/>
  <c r="AM17" i="24"/>
  <c r="AM29" i="24"/>
  <c r="O186" i="29"/>
  <c r="O184" i="29"/>
  <c r="I2010" i="66" s="1"/>
  <c r="O165" i="29"/>
  <c r="A1991" i="66" s="1"/>
  <c r="AE513" i="24"/>
  <c r="AC513" i="24" s="1"/>
  <c r="O497" i="24"/>
  <c r="A751" i="66" s="1"/>
  <c r="S483" i="24"/>
  <c r="T483" i="24"/>
  <c r="AD483" i="24"/>
  <c r="AC483" i="24" s="1"/>
  <c r="S479" i="24"/>
  <c r="AE453" i="24"/>
  <c r="AC453" i="24" s="1"/>
  <c r="U453" i="24"/>
  <c r="CA4" i="2" s="1"/>
  <c r="S408" i="24"/>
  <c r="T408" i="24" s="1"/>
  <c r="AD408" i="24" s="1"/>
  <c r="AC408" i="24" s="1"/>
  <c r="S401" i="24"/>
  <c r="T401" i="24"/>
  <c r="AD401" i="24" s="1"/>
  <c r="AC401" i="24" s="1"/>
  <c r="S392" i="24"/>
  <c r="O392" i="24" s="1"/>
  <c r="AO392" i="24" s="1"/>
  <c r="S447" i="24"/>
  <c r="T447" i="24" s="1"/>
  <c r="AD447" i="24" s="1"/>
  <c r="S441" i="24"/>
  <c r="T441" i="24"/>
  <c r="AD441" i="24" s="1"/>
  <c r="S435" i="24"/>
  <c r="T435" i="24" s="1"/>
  <c r="AD435" i="24" s="1"/>
  <c r="S429" i="24"/>
  <c r="S423" i="24"/>
  <c r="T423" i="24" s="1"/>
  <c r="AD423" i="24"/>
  <c r="S416" i="24"/>
  <c r="T416" i="24" s="1"/>
  <c r="AD416" i="24" s="1"/>
  <c r="AE447" i="24"/>
  <c r="AE441" i="24"/>
  <c r="AE435" i="24"/>
  <c r="AE429" i="24"/>
  <c r="U447" i="24"/>
  <c r="BZ4" i="2" s="1"/>
  <c r="U441" i="24"/>
  <c r="BY4" i="2" s="1"/>
  <c r="U435" i="24"/>
  <c r="BX4" i="2" s="1"/>
  <c r="U429" i="24"/>
  <c r="BW4" i="2" s="1"/>
  <c r="AE423" i="24"/>
  <c r="AE416" i="24"/>
  <c r="U423" i="24"/>
  <c r="BV4" i="2" s="1"/>
  <c r="U416" i="24"/>
  <c r="BU4" i="2"/>
  <c r="AE380" i="24"/>
  <c r="AC380" i="24" s="1"/>
  <c r="AE377" i="24"/>
  <c r="AC377" i="24" s="1"/>
  <c r="U380" i="24"/>
  <c r="BT4" i="2" s="1"/>
  <c r="U377" i="24"/>
  <c r="BS4" i="2" s="1"/>
  <c r="AE367" i="24"/>
  <c r="AC367" i="24" s="1"/>
  <c r="U367" i="24"/>
  <c r="BR4" i="2"/>
  <c r="AE352" i="24"/>
  <c r="AC352" i="24" s="1"/>
  <c r="U352" i="24"/>
  <c r="BQ4" i="2" s="1"/>
  <c r="AE350" i="24"/>
  <c r="AC350" i="24" s="1"/>
  <c r="AE349" i="24"/>
  <c r="AC349" i="24" s="1"/>
  <c r="AE347" i="24"/>
  <c r="AC347" i="24" s="1"/>
  <c r="AE346" i="24"/>
  <c r="AC346" i="24" s="1"/>
  <c r="S319" i="24"/>
  <c r="T319" i="24" s="1"/>
  <c r="AD319" i="24"/>
  <c r="AC319" i="24" s="1"/>
  <c r="O349" i="24"/>
  <c r="O346" i="24"/>
  <c r="I600" i="66" s="1"/>
  <c r="U350" i="24"/>
  <c r="BP4" i="2" s="1"/>
  <c r="U349" i="24"/>
  <c r="BO4" i="2" s="1"/>
  <c r="U347" i="24"/>
  <c r="BN4" i="2" s="1"/>
  <c r="U346" i="24"/>
  <c r="BM4" i="2" s="1"/>
  <c r="AE314" i="24"/>
  <c r="AC314" i="24" s="1"/>
  <c r="AE313" i="24"/>
  <c r="AC313" i="24" s="1"/>
  <c r="O302" i="24"/>
  <c r="O278" i="24"/>
  <c r="N533" i="16" s="1"/>
  <c r="O266" i="24"/>
  <c r="A520" i="66" s="1"/>
  <c r="AE273" i="24"/>
  <c r="AC273" i="24" s="1"/>
  <c r="AE271" i="24"/>
  <c r="AC271" i="24"/>
  <c r="AE269" i="24"/>
  <c r="AC269" i="24" s="1"/>
  <c r="AE267" i="24"/>
  <c r="AC267" i="24" s="1"/>
  <c r="AE255" i="24"/>
  <c r="AC255" i="24" s="1"/>
  <c r="O255" i="24"/>
  <c r="AO255" i="24" s="1"/>
  <c r="O249" i="24"/>
  <c r="AE249" i="24"/>
  <c r="AC249" i="24" s="1"/>
  <c r="AE262" i="24"/>
  <c r="AC262" i="24" s="1"/>
  <c r="O223" i="24"/>
  <c r="AO223" i="24" s="1"/>
  <c r="O222" i="24"/>
  <c r="N477" i="16" s="1"/>
  <c r="G477" i="16" s="1"/>
  <c r="AD220" i="24"/>
  <c r="O220" i="24"/>
  <c r="I474" i="66" s="1"/>
  <c r="AD214" i="24"/>
  <c r="R214" i="24"/>
  <c r="M214" i="24" s="1"/>
  <c r="AM214" i="24" s="1"/>
  <c r="U214" i="24"/>
  <c r="BC4" i="2" s="1"/>
  <c r="AD209" i="24"/>
  <c r="U197" i="24"/>
  <c r="BA4" i="2" s="1"/>
  <c r="R161" i="24"/>
  <c r="O157" i="24"/>
  <c r="O155" i="24"/>
  <c r="O153" i="24"/>
  <c r="O148" i="24"/>
  <c r="O150" i="24"/>
  <c r="AO150" i="24" s="1"/>
  <c r="O109" i="24"/>
  <c r="U123" i="24"/>
  <c r="AV4" i="2" s="1"/>
  <c r="U117" i="24"/>
  <c r="AU4" i="2" s="1"/>
  <c r="O100" i="24"/>
  <c r="AO100" i="24" s="1"/>
  <c r="R238" i="24"/>
  <c r="M238" i="24" s="1"/>
  <c r="AM238" i="24" s="1"/>
  <c r="R220" i="24"/>
  <c r="R209" i="24"/>
  <c r="R169" i="24"/>
  <c r="M169" i="24" s="1"/>
  <c r="AM169" i="24" s="1"/>
  <c r="R150" i="24"/>
  <c r="AE86" i="24"/>
  <c r="AC86" i="24" s="1"/>
  <c r="O86" i="24"/>
  <c r="N341" i="16" s="1"/>
  <c r="AE78" i="24"/>
  <c r="AE12" i="25"/>
  <c r="U26" i="25"/>
  <c r="CD4" i="2" s="1"/>
  <c r="AM209" i="8"/>
  <c r="AE215" i="8"/>
  <c r="AC215" i="8" s="1"/>
  <c r="O209" i="8"/>
  <c r="A207" i="66" s="1"/>
  <c r="U127" i="27"/>
  <c r="DF4" i="2" s="1"/>
  <c r="O108" i="27"/>
  <c r="U47" i="27"/>
  <c r="CW4" i="2" s="1"/>
  <c r="U12" i="27"/>
  <c r="CV4" i="2"/>
  <c r="U12" i="25"/>
  <c r="CB4" i="2" s="1"/>
  <c r="AD470" i="24"/>
  <c r="AC470" i="24" s="1"/>
  <c r="AD469" i="24"/>
  <c r="AC469" i="24" s="1"/>
  <c r="AD468" i="24"/>
  <c r="AC468" i="24" s="1"/>
  <c r="AD467" i="24"/>
  <c r="AC467" i="24" s="1"/>
  <c r="AD466" i="24"/>
  <c r="AC466" i="24" s="1"/>
  <c r="AD465" i="24"/>
  <c r="AC465" i="24"/>
  <c r="AD464" i="24"/>
  <c r="AC464" i="24" s="1"/>
  <c r="O364" i="24"/>
  <c r="O363" i="24"/>
  <c r="I617" i="66" s="1"/>
  <c r="O361" i="24"/>
  <c r="I615" i="66" s="1"/>
  <c r="A613" i="66" s="1"/>
  <c r="AE326" i="24"/>
  <c r="AC326" i="24" s="1"/>
  <c r="O461" i="24"/>
  <c r="U326" i="24"/>
  <c r="BL4" i="2" s="1"/>
  <c r="U325" i="24"/>
  <c r="BK4" i="2" s="1"/>
  <c r="U324" i="24"/>
  <c r="BJ4" i="2" s="1"/>
  <c r="U323" i="24"/>
  <c r="BI4" i="2" s="1"/>
  <c r="U322" i="24"/>
  <c r="BH4" i="2" s="1"/>
  <c r="U321" i="24"/>
  <c r="BG4" i="2" s="1"/>
  <c r="U320" i="24"/>
  <c r="BF4" i="2"/>
  <c r="U319" i="24"/>
  <c r="BE4" i="2" s="1"/>
  <c r="O262" i="24"/>
  <c r="O245" i="24"/>
  <c r="I499" i="66" s="1"/>
  <c r="O243" i="24"/>
  <c r="O234" i="24"/>
  <c r="AO234" i="24" s="1"/>
  <c r="AE238" i="24"/>
  <c r="AC238" i="24" s="1"/>
  <c r="AD238" i="24"/>
  <c r="O224" i="24"/>
  <c r="U220" i="24"/>
  <c r="BD4" i="2" s="1"/>
  <c r="U209" i="24"/>
  <c r="BB4" i="2" s="1"/>
  <c r="AE169" i="24"/>
  <c r="AD169" i="24"/>
  <c r="O195" i="24"/>
  <c r="I449" i="66" s="1"/>
  <c r="O193" i="24"/>
  <c r="O183" i="24"/>
  <c r="AO183" i="24" s="1"/>
  <c r="O182" i="24"/>
  <c r="O179" i="24"/>
  <c r="I433" i="66" s="1"/>
  <c r="U187" i="24"/>
  <c r="AZ4" i="2" s="1"/>
  <c r="AD161" i="24"/>
  <c r="U161" i="24"/>
  <c r="AY4" i="2"/>
  <c r="U126" i="24"/>
  <c r="AW4" i="2" s="1"/>
  <c r="AD150" i="24"/>
  <c r="U150" i="24"/>
  <c r="AX4" i="2"/>
  <c r="U71" i="24"/>
  <c r="AS4" i="2" s="1"/>
  <c r="U69" i="24"/>
  <c r="AR4" i="2" s="1"/>
  <c r="U65" i="24"/>
  <c r="AQ4" i="2" s="1"/>
  <c r="U64" i="24"/>
  <c r="AP4" i="2" s="1"/>
  <c r="U63" i="24"/>
  <c r="AO4" i="2" s="1"/>
  <c r="U56" i="24"/>
  <c r="AN4" i="2" s="1"/>
  <c r="S54" i="24"/>
  <c r="T54" i="24" s="1"/>
  <c r="AD54" i="24" s="1"/>
  <c r="AC54" i="24" s="1"/>
  <c r="S53" i="24"/>
  <c r="S52" i="24"/>
  <c r="T52" i="24" s="1"/>
  <c r="AD52" i="24" s="1"/>
  <c r="AC52" i="24" s="1"/>
  <c r="S51" i="24"/>
  <c r="S50" i="24"/>
  <c r="O44" i="24"/>
  <c r="O43" i="24"/>
  <c r="O42" i="24"/>
  <c r="I296" i="66" s="1"/>
  <c r="O41" i="24"/>
  <c r="O40" i="24"/>
  <c r="I294" i="66" s="1"/>
  <c r="O39" i="24"/>
  <c r="I293" i="66" s="1"/>
  <c r="O35" i="24"/>
  <c r="O32" i="24"/>
  <c r="I286" i="66" s="1"/>
  <c r="O29" i="24"/>
  <c r="I283" i="66" s="1"/>
  <c r="AO164" i="8"/>
  <c r="AO162" i="8"/>
  <c r="AO161" i="8"/>
  <c r="AO160" i="8"/>
  <c r="AM259" i="8"/>
  <c r="AM257" i="8"/>
  <c r="AM256" i="8"/>
  <c r="AM255" i="8"/>
  <c r="AM254" i="8"/>
  <c r="AM253" i="8"/>
  <c r="AM252" i="8"/>
  <c r="AM251" i="8"/>
  <c r="AM247" i="8"/>
  <c r="AM237" i="8"/>
  <c r="AM235" i="8"/>
  <c r="AM234" i="8"/>
  <c r="AM233" i="8"/>
  <c r="AM230" i="8"/>
  <c r="AM229" i="8"/>
  <c r="AM228" i="8"/>
  <c r="AM226" i="8"/>
  <c r="AM224" i="8"/>
  <c r="AM217" i="8"/>
  <c r="AM208" i="8"/>
  <c r="AM205" i="8"/>
  <c r="AM201" i="8"/>
  <c r="AM199" i="8"/>
  <c r="AM197" i="8"/>
  <c r="AM196" i="8"/>
  <c r="AM194" i="8"/>
  <c r="AM189" i="8"/>
  <c r="AM187" i="8"/>
  <c r="AM186" i="8"/>
  <c r="AM179" i="8"/>
  <c r="AM171" i="8"/>
  <c r="AM169" i="8"/>
  <c r="AM167" i="8"/>
  <c r="AM164" i="8"/>
  <c r="AM162" i="8"/>
  <c r="AM161" i="8"/>
  <c r="AM160" i="8"/>
  <c r="AM156" i="8"/>
  <c r="AM154" i="8"/>
  <c r="AM152" i="8"/>
  <c r="AM149" i="8"/>
  <c r="AM119" i="8"/>
  <c r="AM118" i="8"/>
  <c r="AM117" i="8"/>
  <c r="AM114" i="8"/>
  <c r="AM113" i="8"/>
  <c r="AM112" i="8"/>
  <c r="AM104" i="8"/>
  <c r="AM101" i="8"/>
  <c r="O257" i="8"/>
  <c r="AO257" i="8" s="1"/>
  <c r="O224" i="8"/>
  <c r="AO224" i="8" s="1"/>
  <c r="AE209" i="8"/>
  <c r="S156" i="8"/>
  <c r="O156" i="8" s="1"/>
  <c r="I154" i="66" s="1"/>
  <c r="S154" i="8"/>
  <c r="T154" i="8" s="1"/>
  <c r="AD154" i="8" s="1"/>
  <c r="AC154" i="8" s="1"/>
  <c r="S152" i="8"/>
  <c r="T152" i="8" s="1"/>
  <c r="AD152" i="8" s="1"/>
  <c r="AC152" i="8" s="1"/>
  <c r="S149" i="8"/>
  <c r="O149" i="8" s="1"/>
  <c r="S147" i="8"/>
  <c r="T147" i="8" s="1"/>
  <c r="AD147" i="8" s="1"/>
  <c r="AC147" i="8" s="1"/>
  <c r="S142" i="8"/>
  <c r="T142" i="8" s="1"/>
  <c r="AD142" i="8" s="1"/>
  <c r="AC142" i="8" s="1"/>
  <c r="S141" i="8"/>
  <c r="T141" i="8" s="1"/>
  <c r="AD141" i="8" s="1"/>
  <c r="AC141" i="8" s="1"/>
  <c r="S136" i="8"/>
  <c r="T136" i="8" s="1"/>
  <c r="AD136" i="8" s="1"/>
  <c r="AC136" i="8" s="1"/>
  <c r="S134" i="8"/>
  <c r="T134" i="8" s="1"/>
  <c r="AD134" i="8" s="1"/>
  <c r="AC134" i="8" s="1"/>
  <c r="S132" i="8"/>
  <c r="T132" i="8" s="1"/>
  <c r="AD132" i="8" s="1"/>
  <c r="AC132" i="8"/>
  <c r="S130" i="8"/>
  <c r="T130" i="8" s="1"/>
  <c r="AD130" i="8" s="1"/>
  <c r="AC130" i="8" s="1"/>
  <c r="S124" i="8"/>
  <c r="T124" i="8" s="1"/>
  <c r="AD124" i="8" s="1"/>
  <c r="AC124" i="8" s="1"/>
  <c r="O189" i="8"/>
  <c r="I187" i="66" s="1"/>
  <c r="O187" i="8"/>
  <c r="I185" i="66" s="1"/>
  <c r="O186" i="8"/>
  <c r="I184" i="66" s="1"/>
  <c r="N186" i="16"/>
  <c r="O158" i="8"/>
  <c r="O104" i="8"/>
  <c r="O101" i="8"/>
  <c r="I99" i="66" s="1"/>
  <c r="O247" i="8"/>
  <c r="N246" i="16" s="1"/>
  <c r="O237" i="8"/>
  <c r="O196" i="8"/>
  <c r="O201" i="8"/>
  <c r="O205" i="8"/>
  <c r="O217" i="8"/>
  <c r="I215" i="66" s="1"/>
  <c r="O208" i="8"/>
  <c r="N207" i="16" s="1"/>
  <c r="G207" i="16" s="1"/>
  <c r="O199" i="8"/>
  <c r="O197" i="8"/>
  <c r="AO197" i="8" s="1"/>
  <c r="O194" i="8"/>
  <c r="I192" i="66" s="1"/>
  <c r="U172" i="8"/>
  <c r="U122" i="8"/>
  <c r="AF4" i="2" s="1"/>
  <c r="AY61" i="28"/>
  <c r="AX61" i="28"/>
  <c r="AY60" i="28"/>
  <c r="AX60" i="28"/>
  <c r="AY58" i="28"/>
  <c r="AX58" i="28"/>
  <c r="AY57" i="28"/>
  <c r="AX57" i="28"/>
  <c r="AY56" i="28"/>
  <c r="AX56" i="28"/>
  <c r="AY55" i="28"/>
  <c r="AX55" i="28"/>
  <c r="AY54" i="28"/>
  <c r="AX54" i="28"/>
  <c r="AY53" i="28"/>
  <c r="AX53" i="28"/>
  <c r="AY52" i="28"/>
  <c r="AX52" i="28"/>
  <c r="AY50" i="28"/>
  <c r="AX50" i="28"/>
  <c r="AY49" i="28"/>
  <c r="AX49" i="28"/>
  <c r="AY48" i="28"/>
  <c r="AX48" i="28"/>
  <c r="AY47" i="28"/>
  <c r="AX47" i="28"/>
  <c r="AY46" i="28"/>
  <c r="AX46" i="28"/>
  <c r="AY35" i="28"/>
  <c r="AX35" i="28"/>
  <c r="AY34" i="28"/>
  <c r="AX34" i="28"/>
  <c r="AY33" i="28"/>
  <c r="AX33" i="28"/>
  <c r="AY32" i="28"/>
  <c r="AX32" i="28"/>
  <c r="AY30" i="28"/>
  <c r="AX30" i="28"/>
  <c r="AY29" i="28"/>
  <c r="AX29" i="28"/>
  <c r="AY27" i="28"/>
  <c r="AX27" i="28"/>
  <c r="AY24" i="28"/>
  <c r="AX24" i="28"/>
  <c r="AY23" i="28"/>
  <c r="AX23" i="28"/>
  <c r="AY21" i="28"/>
  <c r="AX21" i="28"/>
  <c r="AY20" i="28"/>
  <c r="AX20" i="28"/>
  <c r="AY19" i="28"/>
  <c r="AX19" i="28"/>
  <c r="AY17" i="28"/>
  <c r="AX17" i="28"/>
  <c r="AY16" i="28"/>
  <c r="AX16" i="28"/>
  <c r="BD15" i="28"/>
  <c r="BC15" i="28"/>
  <c r="AY15" i="28"/>
  <c r="AX15" i="28"/>
  <c r="AY14" i="28"/>
  <c r="AX14" i="28"/>
  <c r="AY13" i="28"/>
  <c r="AX13" i="28"/>
  <c r="AY12" i="28"/>
  <c r="AX12" i="28"/>
  <c r="AY11" i="28"/>
  <c r="AX11" i="28"/>
  <c r="AY61" i="27"/>
  <c r="AX61" i="27"/>
  <c r="AY60" i="27"/>
  <c r="AX60" i="27"/>
  <c r="AY58" i="27"/>
  <c r="AX58" i="27"/>
  <c r="AY57" i="27"/>
  <c r="AX57" i="27"/>
  <c r="AY56" i="27"/>
  <c r="AX56" i="27"/>
  <c r="AY55" i="27"/>
  <c r="AX55" i="27"/>
  <c r="AY54" i="27"/>
  <c r="AX54" i="27"/>
  <c r="AY53" i="27"/>
  <c r="AX53" i="27"/>
  <c r="AY52" i="27"/>
  <c r="AX52" i="27"/>
  <c r="AY50" i="27"/>
  <c r="AX50" i="27"/>
  <c r="AY49" i="27"/>
  <c r="AX49" i="27"/>
  <c r="AY48" i="27"/>
  <c r="AX48" i="27"/>
  <c r="AY47" i="27"/>
  <c r="AX47" i="27"/>
  <c r="AY46" i="27"/>
  <c r="AX46" i="27"/>
  <c r="AY35" i="27"/>
  <c r="AX35" i="27"/>
  <c r="AY34" i="27"/>
  <c r="AX34" i="27"/>
  <c r="AY33" i="27"/>
  <c r="AX33" i="27"/>
  <c r="AY32" i="27"/>
  <c r="AX32" i="27"/>
  <c r="AY30" i="27"/>
  <c r="AX30" i="27"/>
  <c r="AY29" i="27"/>
  <c r="AX29" i="27"/>
  <c r="AY27" i="27"/>
  <c r="AX27" i="27"/>
  <c r="AY24" i="27"/>
  <c r="AX24" i="27"/>
  <c r="AY23" i="27"/>
  <c r="AX23" i="27"/>
  <c r="AY21" i="27"/>
  <c r="AX21" i="27"/>
  <c r="AY20" i="27"/>
  <c r="AX20" i="27"/>
  <c r="AY19" i="27"/>
  <c r="AX19" i="27"/>
  <c r="AY17" i="27"/>
  <c r="AX17" i="27"/>
  <c r="AY16" i="27"/>
  <c r="AX16" i="27"/>
  <c r="BD15" i="27"/>
  <c r="BC15" i="27"/>
  <c r="AY15" i="27"/>
  <c r="AX15" i="27"/>
  <c r="AY14" i="27"/>
  <c r="AX14" i="27"/>
  <c r="AY13" i="27"/>
  <c r="AX13" i="27"/>
  <c r="AY12" i="27"/>
  <c r="AX12" i="27"/>
  <c r="AY11" i="27"/>
  <c r="AX11" i="27"/>
  <c r="AY62" i="25"/>
  <c r="AX62" i="25"/>
  <c r="AY61" i="25"/>
  <c r="AX61" i="25"/>
  <c r="AY59" i="25"/>
  <c r="AX59" i="25"/>
  <c r="AY58" i="25"/>
  <c r="AX58" i="25"/>
  <c r="AY57" i="25"/>
  <c r="AX57" i="25"/>
  <c r="AY56" i="25"/>
  <c r="AX56" i="25"/>
  <c r="AY55" i="25"/>
  <c r="AX55" i="25"/>
  <c r="AY54" i="25"/>
  <c r="AX54" i="25"/>
  <c r="AY53" i="25"/>
  <c r="AX53" i="25"/>
  <c r="AY51" i="25"/>
  <c r="AX51" i="25"/>
  <c r="AY50" i="25"/>
  <c r="AX50" i="25"/>
  <c r="AY49" i="25"/>
  <c r="AX49" i="25"/>
  <c r="AY48" i="25"/>
  <c r="AX48" i="25"/>
  <c r="AY47" i="25"/>
  <c r="AX47" i="25"/>
  <c r="AY36" i="25"/>
  <c r="AX36" i="25"/>
  <c r="AY35" i="25"/>
  <c r="AX35" i="25"/>
  <c r="AY34" i="25"/>
  <c r="AX34" i="25"/>
  <c r="AY33" i="25"/>
  <c r="S497" i="25" s="1"/>
  <c r="T497" i="25" s="1"/>
  <c r="AD497" i="25" s="1"/>
  <c r="AC497" i="25" s="1"/>
  <c r="AX33" i="25"/>
  <c r="AY31" i="25"/>
  <c r="AX31" i="25"/>
  <c r="AY30" i="25"/>
  <c r="AX30" i="25"/>
  <c r="AY28" i="25"/>
  <c r="AX28" i="25"/>
  <c r="AX25" i="25"/>
  <c r="AY24" i="25"/>
  <c r="AX24" i="25"/>
  <c r="AY22" i="25"/>
  <c r="AX22" i="25"/>
  <c r="AY21" i="25"/>
  <c r="AX21" i="25"/>
  <c r="AY20" i="25"/>
  <c r="AX20" i="25"/>
  <c r="AY18" i="25"/>
  <c r="AX18" i="25"/>
  <c r="AY17" i="25"/>
  <c r="AX17" i="25"/>
  <c r="BD16" i="25"/>
  <c r="BC16" i="25"/>
  <c r="AY16" i="25"/>
  <c r="AX16" i="25"/>
  <c r="AY14" i="25"/>
  <c r="AX14" i="25"/>
  <c r="AY13" i="25"/>
  <c r="AX13" i="25"/>
  <c r="AY12" i="25"/>
  <c r="AX12" i="25"/>
  <c r="AY11" i="25"/>
  <c r="AX11" i="25"/>
  <c r="AC16" i="24"/>
  <c r="O46" i="8"/>
  <c r="I44" i="66" s="1"/>
  <c r="AM93" i="8"/>
  <c r="AM86" i="8"/>
  <c r="AM84" i="8"/>
  <c r="AM80" i="8"/>
  <c r="AM78" i="8"/>
  <c r="AM77" i="8"/>
  <c r="AM76" i="8"/>
  <c r="AM75" i="8"/>
  <c r="AM71" i="8"/>
  <c r="AM70" i="8"/>
  <c r="AM66" i="8"/>
  <c r="AM64" i="8"/>
  <c r="AM63" i="8"/>
  <c r="AM62" i="8"/>
  <c r="AM60" i="8"/>
  <c r="AM58" i="8"/>
  <c r="AM57" i="8"/>
  <c r="AM46" i="8"/>
  <c r="S60" i="8"/>
  <c r="O60" i="8" s="1"/>
  <c r="N59" i="16" s="1"/>
  <c r="S58" i="8"/>
  <c r="T58" i="8" s="1"/>
  <c r="AD58" i="8" s="1"/>
  <c r="AC58" i="8" s="1"/>
  <c r="O93" i="8"/>
  <c r="O86" i="8"/>
  <c r="O84" i="8"/>
  <c r="AO84" i="8" s="1"/>
  <c r="O66" i="8"/>
  <c r="O64" i="8"/>
  <c r="AO64" i="8" s="1"/>
  <c r="O63" i="8"/>
  <c r="I61" i="66" s="1"/>
  <c r="O62" i="8"/>
  <c r="AO62" i="8" s="1"/>
  <c r="O57" i="8"/>
  <c r="AO57" i="8" s="1"/>
  <c r="AY61" i="24"/>
  <c r="AX61" i="24"/>
  <c r="AY60" i="24"/>
  <c r="AX60" i="24"/>
  <c r="AY58" i="24"/>
  <c r="AX58" i="24"/>
  <c r="AY57" i="24"/>
  <c r="AX57" i="24"/>
  <c r="AY56" i="24"/>
  <c r="AX56" i="24"/>
  <c r="AY55" i="24"/>
  <c r="AX55" i="24"/>
  <c r="AY54" i="24"/>
  <c r="AX54" i="24"/>
  <c r="AY53" i="24"/>
  <c r="AX53" i="24"/>
  <c r="AY52" i="24"/>
  <c r="AX52" i="24"/>
  <c r="AY50" i="24"/>
  <c r="AX50" i="24"/>
  <c r="AY49" i="24"/>
  <c r="AX49" i="24"/>
  <c r="AY48" i="24"/>
  <c r="AX48" i="24"/>
  <c r="AY47" i="24"/>
  <c r="AX47" i="24"/>
  <c r="AY46" i="24"/>
  <c r="AX46" i="24"/>
  <c r="AY35" i="24"/>
  <c r="AX35" i="24"/>
  <c r="AY34" i="24"/>
  <c r="AX34" i="24"/>
  <c r="AY33" i="24"/>
  <c r="AX33" i="24"/>
  <c r="AY32" i="24"/>
  <c r="AX32" i="24"/>
  <c r="AX30" i="24"/>
  <c r="AY29" i="24"/>
  <c r="AX29" i="24"/>
  <c r="AY27" i="24"/>
  <c r="AX27" i="24"/>
  <c r="AY24" i="24"/>
  <c r="AX24" i="24"/>
  <c r="AX23" i="24"/>
  <c r="AY21" i="24"/>
  <c r="AX21" i="24"/>
  <c r="AY20" i="24"/>
  <c r="AX20" i="24"/>
  <c r="AY19" i="24"/>
  <c r="AX19" i="24"/>
  <c r="AY17" i="24"/>
  <c r="AX17" i="24"/>
  <c r="AY16" i="24"/>
  <c r="AX16" i="24"/>
  <c r="BD15" i="24"/>
  <c r="BC15" i="24"/>
  <c r="AY15" i="24"/>
  <c r="AX15" i="24"/>
  <c r="AY14" i="24"/>
  <c r="AX14" i="24"/>
  <c r="AY13" i="24"/>
  <c r="AX13" i="24"/>
  <c r="AY12" i="24"/>
  <c r="AX12" i="24"/>
  <c r="AY11" i="24"/>
  <c r="AX11" i="24"/>
  <c r="U250" i="8"/>
  <c r="AM4" i="2" s="1"/>
  <c r="U231" i="8"/>
  <c r="U227" i="8"/>
  <c r="AK4" i="2" s="1"/>
  <c r="U136" i="8"/>
  <c r="AH4" i="2" s="1"/>
  <c r="U124" i="8"/>
  <c r="AG4" i="2" s="1"/>
  <c r="U115" i="8"/>
  <c r="AE4" i="2" s="1"/>
  <c r="U108" i="8"/>
  <c r="AD4" i="2" s="1"/>
  <c r="U73" i="8"/>
  <c r="AC4" i="2" s="1"/>
  <c r="T10" i="3"/>
  <c r="E12" i="23"/>
  <c r="P12" i="23"/>
  <c r="Q58" i="23"/>
  <c r="Q57" i="23"/>
  <c r="Q45" i="23"/>
  <c r="R44" i="23"/>
  <c r="Q44" i="23"/>
  <c r="Q43" i="23"/>
  <c r="Q32" i="23"/>
  <c r="R31" i="23"/>
  <c r="Q31" i="23"/>
  <c r="R30" i="23"/>
  <c r="Q30" i="23"/>
  <c r="R29" i="23"/>
  <c r="Q29" i="23"/>
  <c r="S27" i="23"/>
  <c r="R27" i="23"/>
  <c r="Q27" i="23"/>
  <c r="S25" i="23"/>
  <c r="R25" i="23"/>
  <c r="Q25" i="23"/>
  <c r="P25" i="23"/>
  <c r="S24" i="23"/>
  <c r="R24" i="23"/>
  <c r="Q24" i="23"/>
  <c r="S18" i="23"/>
  <c r="R18" i="23"/>
  <c r="Q18" i="23"/>
  <c r="Q16" i="23"/>
  <c r="S13" i="23"/>
  <c r="R13" i="23"/>
  <c r="Q13" i="23"/>
  <c r="E13" i="23"/>
  <c r="P13" i="23"/>
  <c r="AY781" i="16" s="1"/>
  <c r="S12" i="23"/>
  <c r="R12" i="23"/>
  <c r="Q12" i="23"/>
  <c r="S11" i="23"/>
  <c r="R11" i="23"/>
  <c r="Q11" i="23"/>
  <c r="S10" i="23"/>
  <c r="R10" i="23"/>
  <c r="Q10" i="23"/>
  <c r="S9" i="23"/>
  <c r="R9" i="23"/>
  <c r="Q9" i="23"/>
  <c r="E58" i="23"/>
  <c r="P58" i="23"/>
  <c r="E57" i="23"/>
  <c r="P57" i="23"/>
  <c r="AY303" i="16" s="1"/>
  <c r="E55" i="23"/>
  <c r="P55" i="23"/>
  <c r="E54" i="23"/>
  <c r="P54" i="23"/>
  <c r="E53" i="23"/>
  <c r="P53" i="23"/>
  <c r="AY299" i="16" s="1"/>
  <c r="E52" i="23"/>
  <c r="P52" i="23"/>
  <c r="AY298" i="16" s="1"/>
  <c r="E51" i="23"/>
  <c r="P51" i="23"/>
  <c r="E50" i="23"/>
  <c r="P50" i="23"/>
  <c r="E47" i="23"/>
  <c r="P47" i="23"/>
  <c r="AY293" i="16" s="1"/>
  <c r="E46" i="23"/>
  <c r="P46" i="23"/>
  <c r="AY292" i="16" s="1"/>
  <c r="E45" i="23"/>
  <c r="E44" i="23"/>
  <c r="P44" i="23"/>
  <c r="E43" i="23"/>
  <c r="P43" i="23"/>
  <c r="AY45" i="16" s="1"/>
  <c r="E32" i="23"/>
  <c r="P32" i="23"/>
  <c r="AY288" i="16" s="1"/>
  <c r="E31" i="23"/>
  <c r="P31" i="23"/>
  <c r="E30" i="23"/>
  <c r="P30" i="23"/>
  <c r="E29" i="23"/>
  <c r="E27" i="23"/>
  <c r="E26" i="23"/>
  <c r="P26" i="23"/>
  <c r="E24" i="23"/>
  <c r="P24" i="23"/>
  <c r="E21" i="23"/>
  <c r="E20" i="23"/>
  <c r="AY22" i="16"/>
  <c r="E18" i="23"/>
  <c r="E17" i="23"/>
  <c r="E16" i="23"/>
  <c r="P16" i="23"/>
  <c r="AY1415" i="16" s="1"/>
  <c r="E14" i="23"/>
  <c r="E11" i="23"/>
  <c r="E10" i="23"/>
  <c r="P10" i="23"/>
  <c r="AY268" i="16" s="1"/>
  <c r="E9" i="23"/>
  <c r="AY267" i="16"/>
  <c r="E8" i="23"/>
  <c r="P8" i="23"/>
  <c r="C10" i="18" s="1"/>
  <c r="W16" i="3"/>
  <c r="W17" i="3"/>
  <c r="W18" i="3"/>
  <c r="W19" i="3"/>
  <c r="W20" i="3"/>
  <c r="W15" i="3"/>
  <c r="U15" i="3"/>
  <c r="Z16" i="3"/>
  <c r="Z17" i="3"/>
  <c r="Z18" i="3"/>
  <c r="Z19" i="3"/>
  <c r="Z20" i="3"/>
  <c r="Z15" i="3"/>
  <c r="BC14" i="16"/>
  <c r="BD14" i="16"/>
  <c r="AY16" i="8"/>
  <c r="BC15" i="8"/>
  <c r="BD15" i="8"/>
  <c r="AX14" i="16"/>
  <c r="AX15" i="16"/>
  <c r="AX16" i="16"/>
  <c r="AX18" i="16"/>
  <c r="AX19" i="16"/>
  <c r="AX20" i="16"/>
  <c r="AX22" i="16"/>
  <c r="AX23" i="16"/>
  <c r="AX26" i="16"/>
  <c r="AX28" i="16"/>
  <c r="AX29" i="16"/>
  <c r="AX11" i="16"/>
  <c r="AX12" i="16"/>
  <c r="AX13" i="16"/>
  <c r="AX12" i="8"/>
  <c r="AY12" i="8"/>
  <c r="AX13" i="8"/>
  <c r="AY13" i="8"/>
  <c r="AX14" i="8"/>
  <c r="AY14" i="8"/>
  <c r="AX15" i="8"/>
  <c r="AY15" i="8"/>
  <c r="AX16" i="8"/>
  <c r="AX17" i="8"/>
  <c r="AY17" i="8"/>
  <c r="AX19" i="8"/>
  <c r="AY19" i="8"/>
  <c r="AX20" i="8"/>
  <c r="AY20" i="8"/>
  <c r="AX21" i="8"/>
  <c r="AY21" i="8"/>
  <c r="AX23" i="8"/>
  <c r="AY23" i="8"/>
  <c r="AX24" i="8"/>
  <c r="AY24" i="8"/>
  <c r="AX27" i="8"/>
  <c r="AY27" i="8"/>
  <c r="AX29" i="8"/>
  <c r="AY29" i="8"/>
  <c r="AX30" i="8"/>
  <c r="AY30" i="8"/>
  <c r="AX32" i="8"/>
  <c r="AY32" i="8"/>
  <c r="AX33" i="8"/>
  <c r="AY33" i="8"/>
  <c r="AX34" i="8"/>
  <c r="AY34" i="8"/>
  <c r="AX35" i="8"/>
  <c r="AY35" i="8"/>
  <c r="AX46" i="8"/>
  <c r="AY46" i="8"/>
  <c r="AX47" i="8"/>
  <c r="AY47" i="8"/>
  <c r="AX48" i="8"/>
  <c r="AY48" i="8"/>
  <c r="AX49" i="8"/>
  <c r="AY49" i="8"/>
  <c r="AX50" i="8"/>
  <c r="AY50" i="8"/>
  <c r="AX52" i="8"/>
  <c r="AY52" i="8"/>
  <c r="AX53" i="8"/>
  <c r="AY53" i="8"/>
  <c r="AX54" i="8"/>
  <c r="AY54" i="8"/>
  <c r="AX55" i="8"/>
  <c r="AY55" i="8"/>
  <c r="AX56" i="8"/>
  <c r="AY56" i="8"/>
  <c r="AX57" i="8"/>
  <c r="AY57" i="8"/>
  <c r="AX58" i="8"/>
  <c r="AY58" i="8"/>
  <c r="AX60" i="8"/>
  <c r="AY60" i="8"/>
  <c r="AX61" i="8"/>
  <c r="AY61" i="8"/>
  <c r="AY11" i="8"/>
  <c r="AX11" i="8"/>
  <c r="Y12" i="23"/>
  <c r="X12" i="23"/>
  <c r="W12" i="23"/>
  <c r="BF780" i="16" s="1"/>
  <c r="V12" i="23"/>
  <c r="BE780" i="16" s="1"/>
  <c r="Y43" i="16"/>
  <c r="Y42" i="16"/>
  <c r="Y41" i="16"/>
  <c r="Y40" i="16"/>
  <c r="Y38" i="16"/>
  <c r="Y37" i="16"/>
  <c r="Y35" i="16"/>
  <c r="Y34" i="16"/>
  <c r="Y33" i="16"/>
  <c r="Y32" i="16"/>
  <c r="Y31" i="16"/>
  <c r="Y30" i="16"/>
  <c r="Y29" i="16"/>
  <c r="Y28" i="16"/>
  <c r="AB16" i="3"/>
  <c r="AB17" i="3"/>
  <c r="AB18" i="3"/>
  <c r="AB19" i="3"/>
  <c r="AB20" i="3"/>
  <c r="AB15" i="3"/>
  <c r="U16" i="3"/>
  <c r="U17" i="3"/>
  <c r="U18" i="3"/>
  <c r="U19" i="3"/>
  <c r="U20" i="3"/>
  <c r="S16" i="3"/>
  <c r="S17" i="3"/>
  <c r="S18" i="3"/>
  <c r="S19" i="3"/>
  <c r="S20" i="3"/>
  <c r="S15" i="3"/>
  <c r="AE28" i="8"/>
  <c r="AC28" i="8" s="1"/>
  <c r="Q17" i="3"/>
  <c r="Q18" i="3"/>
  <c r="Q19" i="3"/>
  <c r="Q20" i="3"/>
  <c r="Q15" i="3"/>
  <c r="Q16" i="3"/>
  <c r="O17" i="3"/>
  <c r="O18" i="3"/>
  <c r="O19" i="3"/>
  <c r="O20" i="3"/>
  <c r="O15" i="3"/>
  <c r="O16" i="3"/>
  <c r="I17" i="3"/>
  <c r="I18" i="3"/>
  <c r="I19" i="3"/>
  <c r="I20" i="3"/>
  <c r="I15" i="3"/>
  <c r="I16" i="3"/>
  <c r="G16" i="3"/>
  <c r="G17" i="3"/>
  <c r="G18" i="3"/>
  <c r="G19" i="3"/>
  <c r="G20" i="3"/>
  <c r="G15" i="3"/>
  <c r="O37" i="8"/>
  <c r="I35" i="66" s="1"/>
  <c r="O26" i="8"/>
  <c r="O24" i="8"/>
  <c r="O22" i="8"/>
  <c r="N21" i="16" s="1"/>
  <c r="AM42" i="8"/>
  <c r="AM43" i="8"/>
  <c r="AM44" i="8"/>
  <c r="AM37" i="8"/>
  <c r="AM28" i="8"/>
  <c r="AM26" i="8"/>
  <c r="AM24" i="8"/>
  <c r="AM22" i="8"/>
  <c r="AM19" i="8"/>
  <c r="AM18" i="8"/>
  <c r="AM17" i="8"/>
  <c r="N14" i="7"/>
  <c r="BF15" i="24" s="1"/>
  <c r="O14" i="7"/>
  <c r="BG16" i="25" s="1"/>
  <c r="P14" i="7"/>
  <c r="BH15" i="28" s="1"/>
  <c r="M14" i="7"/>
  <c r="BE16" i="25" s="1"/>
  <c r="W4" i="2"/>
  <c r="X4" i="2"/>
  <c r="Q4" i="2"/>
  <c r="E4" i="2"/>
  <c r="F4" i="2"/>
  <c r="G4" i="2"/>
  <c r="H4" i="2"/>
  <c r="I4" i="2"/>
  <c r="O4" i="2"/>
  <c r="P4" i="2"/>
  <c r="R4" i="2"/>
  <c r="S4" i="2"/>
  <c r="T4" i="2"/>
  <c r="U4" i="2"/>
  <c r="V4" i="2"/>
  <c r="Y4" i="2"/>
  <c r="Z4" i="2"/>
  <c r="AA4" i="2"/>
  <c r="D4" i="2"/>
  <c r="AO28" i="8"/>
  <c r="BH16" i="25"/>
  <c r="BH15" i="27"/>
  <c r="N45" i="16"/>
  <c r="I476" i="66"/>
  <c r="AC423" i="24"/>
  <c r="N1442" i="16"/>
  <c r="G1442" i="16" s="1"/>
  <c r="I1440" i="66"/>
  <c r="A1701" i="66"/>
  <c r="A1702" i="66" s="1"/>
  <c r="C1702" i="66" s="1"/>
  <c r="I1700" i="66"/>
  <c r="I22" i="66"/>
  <c r="AO194" i="8"/>
  <c r="N616" i="16"/>
  <c r="A1549" i="66"/>
  <c r="I1548" i="66"/>
  <c r="I60" i="66"/>
  <c r="I255" i="66"/>
  <c r="I516" i="66"/>
  <c r="AO266" i="24"/>
  <c r="A521" i="66"/>
  <c r="I520" i="66"/>
  <c r="N1553" i="16"/>
  <c r="A1552" i="66"/>
  <c r="I1551" i="66"/>
  <c r="N498" i="16"/>
  <c r="I497" i="66"/>
  <c r="N296" i="16"/>
  <c r="G296" i="16" s="1"/>
  <c r="I295" i="66"/>
  <c r="AO148" i="24"/>
  <c r="I402" i="66"/>
  <c r="AO249" i="24"/>
  <c r="I503" i="66"/>
  <c r="I532" i="66"/>
  <c r="N601" i="16"/>
  <c r="AO497" i="24"/>
  <c r="A752" i="66"/>
  <c r="I751" i="66"/>
  <c r="AC575" i="25"/>
  <c r="A1744" i="66"/>
  <c r="I1743" i="66"/>
  <c r="I206" i="66"/>
  <c r="AO104" i="8"/>
  <c r="I102" i="66"/>
  <c r="I437" i="66"/>
  <c r="N408" i="16"/>
  <c r="I407" i="66"/>
  <c r="AO43" i="24"/>
  <c r="I297" i="66"/>
  <c r="N410" i="16"/>
  <c r="I409" i="66"/>
  <c r="I1991" i="66"/>
  <c r="N27" i="16"/>
  <c r="AO195" i="24"/>
  <c r="N355" i="16"/>
  <c r="I354" i="66"/>
  <c r="A1757" i="66"/>
  <c r="C1757" i="66" s="1"/>
  <c r="I1756" i="66"/>
  <c r="I1790" i="66"/>
  <c r="R47" i="28"/>
  <c r="R42" i="28"/>
  <c r="M42" i="28" s="1"/>
  <c r="AY59" i="16"/>
  <c r="G14" i="18"/>
  <c r="G14" i="17"/>
  <c r="AC504" i="16"/>
  <c r="AC605" i="16"/>
  <c r="AC622" i="16"/>
  <c r="AC27" i="16"/>
  <c r="AC568" i="16"/>
  <c r="C14" i="17"/>
  <c r="C10" i="17"/>
  <c r="O408" i="24"/>
  <c r="AO408" i="24" s="1"/>
  <c r="N663" i="16"/>
  <c r="AO153" i="24"/>
  <c r="S264" i="28"/>
  <c r="T264" i="28" s="1"/>
  <c r="AD264" i="28" s="1"/>
  <c r="AC264" i="28" s="1"/>
  <c r="AC90" i="28"/>
  <c r="AC154" i="28"/>
  <c r="AC509" i="25"/>
  <c r="N504" i="16"/>
  <c r="AC441" i="24"/>
  <c r="AC248" i="28"/>
  <c r="AC191" i="28"/>
  <c r="AC77" i="28"/>
  <c r="AO41" i="24"/>
  <c r="S225" i="28"/>
  <c r="T225" i="28" s="1"/>
  <c r="AD225" i="28" s="1"/>
  <c r="AC225" i="28" s="1"/>
  <c r="S222" i="28"/>
  <c r="O222" i="28" s="1"/>
  <c r="T429" i="24"/>
  <c r="AD429" i="24" s="1"/>
  <c r="AC429" i="24" s="1"/>
  <c r="AC148" i="28"/>
  <c r="BF16" i="25"/>
  <c r="AC169" i="24"/>
  <c r="M57" i="28"/>
  <c r="N510" i="16"/>
  <c r="A22" i="3"/>
  <c r="F22" i="3" s="1"/>
  <c r="I32" i="18" s="1"/>
  <c r="AO157" i="27"/>
  <c r="AY16" i="16"/>
  <c r="BF15" i="29"/>
  <c r="AY48" i="16"/>
  <c r="AO162" i="27"/>
  <c r="N1558" i="16"/>
  <c r="AO500" i="25"/>
  <c r="AY24" i="16"/>
  <c r="AY11" i="16"/>
  <c r="AY279" i="16"/>
  <c r="AO165" i="27"/>
  <c r="N1561" i="16"/>
  <c r="N1376" i="16"/>
  <c r="AO504" i="25"/>
  <c r="AO97" i="28"/>
  <c r="N1758" i="16"/>
  <c r="AO201" i="28"/>
  <c r="N1792" i="16"/>
  <c r="AY39" i="16"/>
  <c r="BH15" i="24"/>
  <c r="AO222" i="24"/>
  <c r="N752" i="16"/>
  <c r="N2012" i="16"/>
  <c r="G2012" i="16" s="1"/>
  <c r="AO184" i="29"/>
  <c r="N1374" i="16"/>
  <c r="AO610" i="25"/>
  <c r="N1315" i="16"/>
  <c r="AO551" i="25"/>
  <c r="N1575" i="16"/>
  <c r="AO18" i="28"/>
  <c r="N1647" i="16"/>
  <c r="AM163" i="28"/>
  <c r="N1799" i="16"/>
  <c r="AO242" i="28"/>
  <c r="N1702" i="16"/>
  <c r="AO145" i="28"/>
  <c r="AY54" i="16"/>
  <c r="AY301" i="16"/>
  <c r="N2014" i="16"/>
  <c r="AO633" i="25"/>
  <c r="N1649" i="16"/>
  <c r="AO92" i="28"/>
  <c r="AY38" i="16"/>
  <c r="N1301" i="16"/>
  <c r="AO537" i="25"/>
  <c r="O57" i="28"/>
  <c r="N1255" i="16"/>
  <c r="N1611" i="16"/>
  <c r="G1611" i="16" s="1"/>
  <c r="AO54" i="28"/>
  <c r="N1742" i="16"/>
  <c r="AO185" i="28"/>
  <c r="AC205" i="28"/>
  <c r="N1258" i="16"/>
  <c r="AO494" i="25"/>
  <c r="N1745" i="16"/>
  <c r="AO188" i="28"/>
  <c r="AY10" i="16"/>
  <c r="AY278" i="16"/>
  <c r="M277" i="16" s="1"/>
  <c r="AO46" i="27"/>
  <c r="O167" i="27"/>
  <c r="AO167" i="27" s="1"/>
  <c r="I1561" i="66"/>
  <c r="AO192" i="28"/>
  <c r="AC207" i="28"/>
  <c r="AY41" i="16"/>
  <c r="AO154" i="27"/>
  <c r="N1550" i="16"/>
  <c r="O307" i="16"/>
  <c r="E307" i="76" s="1"/>
  <c r="AC424" i="16"/>
  <c r="AC702" i="16"/>
  <c r="AC499" i="25"/>
  <c r="S146" i="29"/>
  <c r="T146" i="29" s="1"/>
  <c r="AD146" i="29" s="1"/>
  <c r="AC146" i="29" s="1"/>
  <c r="S42" i="29"/>
  <c r="T42" i="29" s="1"/>
  <c r="AD42" i="29" s="1"/>
  <c r="AC42" i="29" s="1"/>
  <c r="S49" i="29"/>
  <c r="T49" i="29" s="1"/>
  <c r="AD49" i="29" s="1"/>
  <c r="AC49" i="29" s="1"/>
  <c r="S54" i="29"/>
  <c r="T54" i="29" s="1"/>
  <c r="AD54" i="29" s="1"/>
  <c r="AC54" i="29" s="1"/>
  <c r="AC416" i="24"/>
  <c r="AO346" i="24"/>
  <c r="N521" i="16"/>
  <c r="AO243" i="24"/>
  <c r="O54" i="24"/>
  <c r="N309" i="16" s="1"/>
  <c r="G309" i="16" s="1"/>
  <c r="S52" i="29"/>
  <c r="T52" i="29" s="1"/>
  <c r="AD52" i="29" s="1"/>
  <c r="AC52" i="29" s="1"/>
  <c r="S27" i="29"/>
  <c r="T27" i="29" s="1"/>
  <c r="AD27" i="29" s="1"/>
  <c r="AC27" i="29" s="1"/>
  <c r="S51" i="29"/>
  <c r="T51" i="29" s="1"/>
  <c r="AD51" i="29" s="1"/>
  <c r="AC51" i="29" s="1"/>
  <c r="S60" i="29"/>
  <c r="R60" i="29" s="1"/>
  <c r="S56" i="29"/>
  <c r="T56" i="29" s="1"/>
  <c r="AD56" i="29" s="1"/>
  <c r="AC56" i="29" s="1"/>
  <c r="S58" i="29"/>
  <c r="T58" i="29" s="1"/>
  <c r="AD58" i="29" s="1"/>
  <c r="AC58" i="29" s="1"/>
  <c r="S92" i="29"/>
  <c r="T92" i="29" s="1"/>
  <c r="AD92" i="29" s="1"/>
  <c r="AC92" i="29" s="1"/>
  <c r="S142" i="29"/>
  <c r="T142" i="29" s="1"/>
  <c r="AD142" i="29" s="1"/>
  <c r="AC142" i="29" s="1"/>
  <c r="BE15" i="29"/>
  <c r="BE15" i="27"/>
  <c r="AY283" i="16"/>
  <c r="AY28" i="16"/>
  <c r="N85" i="16"/>
  <c r="AO86" i="8"/>
  <c r="AE150" i="24"/>
  <c r="AC150" i="24"/>
  <c r="M150" i="24"/>
  <c r="AM150" i="24" s="1"/>
  <c r="AO179" i="24"/>
  <c r="N434" i="16"/>
  <c r="AO39" i="24"/>
  <c r="N103" i="16"/>
  <c r="AO224" i="24"/>
  <c r="N557" i="16"/>
  <c r="AO302" i="24"/>
  <c r="AE29" i="28"/>
  <c r="AC29" i="28" s="1"/>
  <c r="O52" i="28"/>
  <c r="N1609" i="16" s="1"/>
  <c r="R52" i="28"/>
  <c r="M52" i="28"/>
  <c r="T153" i="16"/>
  <c r="AD153" i="16" s="1"/>
  <c r="AC153" i="16" s="1"/>
  <c r="M95" i="28"/>
  <c r="AM95" i="28" s="1"/>
  <c r="N297" i="16"/>
  <c r="G297" i="16" s="1"/>
  <c r="AE220" i="24"/>
  <c r="M220" i="24"/>
  <c r="AM220" i="24"/>
  <c r="N185" i="16"/>
  <c r="G185" i="16" s="1"/>
  <c r="N298" i="16"/>
  <c r="G298" i="16" s="1"/>
  <c r="AO363" i="24"/>
  <c r="N618" i="16"/>
  <c r="G618" i="16" s="1"/>
  <c r="AC678" i="16"/>
  <c r="S71" i="8"/>
  <c r="O71" i="8" s="1"/>
  <c r="AC579" i="25"/>
  <c r="AE179" i="28"/>
  <c r="N403" i="16"/>
  <c r="AC78" i="27"/>
  <c r="AY287" i="16"/>
  <c r="BE270" i="16"/>
  <c r="BE14" i="16"/>
  <c r="AY272" i="16"/>
  <c r="AY23" i="16"/>
  <c r="AO237" i="8"/>
  <c r="N475" i="16"/>
  <c r="AO220" i="24"/>
  <c r="G167" i="16"/>
  <c r="G164" i="16" s="1"/>
  <c r="N287" i="16"/>
  <c r="AO32" i="24"/>
  <c r="O50" i="24"/>
  <c r="T50" i="24"/>
  <c r="AD50" i="24" s="1"/>
  <c r="AC50" i="24" s="1"/>
  <c r="O401" i="24"/>
  <c r="I655" i="66" s="1"/>
  <c r="AY57" i="16"/>
  <c r="AO278" i="24"/>
  <c r="AY266" i="16"/>
  <c r="AO13" i="24"/>
  <c r="N295" i="16"/>
  <c r="G295" i="16" s="1"/>
  <c r="AO40" i="24"/>
  <c r="T53" i="24"/>
  <c r="AD53" i="24" s="1"/>
  <c r="AC53" i="24" s="1"/>
  <c r="O53" i="24"/>
  <c r="I307" i="66" s="1"/>
  <c r="AE214" i="24"/>
  <c r="AC214" i="24"/>
  <c r="BE15" i="28"/>
  <c r="BE15" i="8"/>
  <c r="AO46" i="8"/>
  <c r="AO361" i="24"/>
  <c r="O472" i="24"/>
  <c r="T479" i="24"/>
  <c r="AD479" i="24" s="1"/>
  <c r="AC479" i="24" s="1"/>
  <c r="BE15" i="24"/>
  <c r="N500" i="16"/>
  <c r="G500" i="16" s="1"/>
  <c r="AO245" i="24"/>
  <c r="AC78" i="24"/>
  <c r="AO155" i="24"/>
  <c r="AO189" i="8"/>
  <c r="N188" i="16"/>
  <c r="AC435" i="24"/>
  <c r="N548" i="16"/>
  <c r="AO293" i="24"/>
  <c r="N478" i="16"/>
  <c r="G478" i="16" s="1"/>
  <c r="M71" i="28"/>
  <c r="AM71" i="28" s="1"/>
  <c r="AC71" i="28"/>
  <c r="T18" i="16"/>
  <c r="AD18" i="16" s="1"/>
  <c r="AC18" i="16" s="1"/>
  <c r="AC220" i="24"/>
  <c r="AC577" i="25"/>
  <c r="R50" i="28"/>
  <c r="O50" i="28"/>
  <c r="AD50" i="28"/>
  <c r="O77" i="27"/>
  <c r="AO77" i="27" s="1"/>
  <c r="T77" i="27"/>
  <c r="AD77" i="27" s="1"/>
  <c r="AC77" i="27" s="1"/>
  <c r="O127" i="28"/>
  <c r="T129" i="28"/>
  <c r="AD129" i="28" s="1"/>
  <c r="AC129" i="28" s="1"/>
  <c r="S98" i="27"/>
  <c r="T98" i="27" s="1"/>
  <c r="AD98" i="27" s="1"/>
  <c r="AC98" i="27" s="1"/>
  <c r="S100" i="27"/>
  <c r="AD42" i="28"/>
  <c r="O42" i="28"/>
  <c r="I1597" i="66" s="1"/>
  <c r="T54" i="28"/>
  <c r="AD54" i="28" s="1"/>
  <c r="AC54" i="28" s="1"/>
  <c r="O33" i="28"/>
  <c r="I1588" i="66" s="1"/>
  <c r="T134" i="28"/>
  <c r="AD134" i="28"/>
  <c r="O139" i="28"/>
  <c r="I1694" i="66" s="1"/>
  <c r="I726" i="66"/>
  <c r="AO54" i="24"/>
  <c r="I308" i="66"/>
  <c r="I662" i="66"/>
  <c r="AE42" i="28"/>
  <c r="T211" i="28"/>
  <c r="AD211" i="28"/>
  <c r="AE52" i="28"/>
  <c r="AC52" i="28" s="1"/>
  <c r="T80" i="8"/>
  <c r="AD80" i="8" s="1"/>
  <c r="AC80" i="8" s="1"/>
  <c r="O230" i="16"/>
  <c r="O470" i="25"/>
  <c r="O451" i="16"/>
  <c r="O1450" i="16"/>
  <c r="S135" i="24"/>
  <c r="O1464" i="16"/>
  <c r="S1100" i="16"/>
  <c r="M134" i="8"/>
  <c r="O631" i="16"/>
  <c r="O1349" i="16"/>
  <c r="S341" i="25"/>
  <c r="S565" i="25"/>
  <c r="O72" i="16"/>
  <c r="O315" i="16"/>
  <c r="O367" i="24"/>
  <c r="M125" i="16"/>
  <c r="O622" i="16"/>
  <c r="O252" i="28"/>
  <c r="O1474" i="16"/>
  <c r="O114" i="16"/>
  <c r="O226" i="16"/>
  <c r="O55" i="24"/>
  <c r="S167" i="28"/>
  <c r="M137" i="16"/>
  <c r="S1106" i="16"/>
  <c r="T1408" i="16"/>
  <c r="O352" i="24"/>
  <c r="S486" i="25"/>
  <c r="O127" i="27"/>
  <c r="S336" i="25"/>
  <c r="O1805" i="16"/>
  <c r="S683" i="16"/>
  <c r="S1098" i="16"/>
  <c r="M138" i="16"/>
  <c r="M147" i="8"/>
  <c r="S382" i="16"/>
  <c r="O108" i="8"/>
  <c r="M127" i="16"/>
  <c r="S618" i="25"/>
  <c r="M141" i="16"/>
  <c r="O63" i="27"/>
  <c r="M140" i="16"/>
  <c r="S344" i="25"/>
  <c r="O187" i="24"/>
  <c r="S171" i="28"/>
  <c r="S211" i="24"/>
  <c r="S61" i="28"/>
  <c r="O1768" i="16"/>
  <c r="O249" i="16"/>
  <c r="S1107" i="16"/>
  <c r="O442" i="16"/>
  <c r="S127" i="24"/>
  <c r="M126" i="16"/>
  <c r="O85" i="27"/>
  <c r="O138" i="27"/>
  <c r="O47" i="27"/>
  <c r="M131" i="16"/>
  <c r="M136" i="16"/>
  <c r="S481" i="25"/>
  <c r="S173" i="28"/>
  <c r="O708" i="16"/>
  <c r="S143" i="24"/>
  <c r="R329" i="24"/>
  <c r="AE231" i="25"/>
  <c r="S563" i="25"/>
  <c r="S40" i="8"/>
  <c r="O1809" i="16"/>
  <c r="R428" i="24"/>
  <c r="O1481" i="16"/>
  <c r="O107" i="16"/>
  <c r="S334" i="25"/>
  <c r="O376" i="24"/>
  <c r="O1543" i="16"/>
  <c r="R586" i="16"/>
  <c r="O68" i="28"/>
  <c r="AE237" i="25"/>
  <c r="S477" i="25"/>
  <c r="S777" i="16"/>
  <c r="AE995" i="16"/>
  <c r="S1105" i="16"/>
  <c r="S259" i="8"/>
  <c r="M129" i="16"/>
  <c r="S390" i="16"/>
  <c r="S394" i="16"/>
  <c r="O453" i="24"/>
  <c r="M133" i="16"/>
  <c r="S1108" i="16"/>
  <c r="R672" i="16"/>
  <c r="O1443" i="16"/>
  <c r="O123" i="16"/>
  <c r="O1534" i="16"/>
  <c r="O1625" i="16"/>
  <c r="S625" i="25"/>
  <c r="O115" i="8"/>
  <c r="O1459" i="16"/>
  <c r="O135" i="16"/>
  <c r="R584" i="16"/>
  <c r="R331" i="24"/>
  <c r="R683" i="16"/>
  <c r="O196" i="24"/>
  <c r="AE1001" i="16"/>
  <c r="S168" i="28"/>
  <c r="O607" i="16"/>
  <c r="M141" i="8"/>
  <c r="M146" i="16"/>
  <c r="O170" i="16"/>
  <c r="S384" i="16"/>
  <c r="O250" i="8"/>
  <c r="O227" i="8"/>
  <c r="S256" i="8"/>
  <c r="O136" i="8"/>
  <c r="R417" i="24"/>
  <c r="M128" i="16"/>
  <c r="S567" i="25"/>
  <c r="S398" i="16"/>
  <c r="O248" i="28"/>
  <c r="O1523" i="16"/>
  <c r="O585" i="25"/>
  <c r="W616" i="25"/>
  <c r="O1490" i="16"/>
  <c r="S343" i="25"/>
  <c r="S428" i="24"/>
  <c r="O1234" i="16"/>
  <c r="O1583" i="16"/>
  <c r="O310" i="16"/>
  <c r="S466" i="16"/>
  <c r="T12" i="27"/>
  <c r="O78" i="27"/>
  <c r="O54" i="27"/>
  <c r="R679" i="16"/>
  <c r="S139" i="24"/>
  <c r="S226" i="8"/>
  <c r="M139" i="16"/>
  <c r="O1469" i="16"/>
  <c r="S129" i="24"/>
  <c r="S342" i="25"/>
  <c r="O73" i="27"/>
  <c r="AC581" i="16" l="1"/>
  <c r="AC510" i="16"/>
  <c r="AY1411" i="16"/>
  <c r="F84" i="18"/>
  <c r="F84" i="17"/>
  <c r="G1799" i="16"/>
  <c r="G1800" i="16" s="1"/>
  <c r="G1792" i="16"/>
  <c r="G1793" i="16" s="1"/>
  <c r="G1794" i="16" s="1"/>
  <c r="G1795" i="16" s="1"/>
  <c r="G1796" i="16" s="1"/>
  <c r="G1797" i="16" s="1"/>
  <c r="G1798" i="16" s="1"/>
  <c r="AO235" i="28"/>
  <c r="A1790" i="66"/>
  <c r="A1791" i="66" s="1"/>
  <c r="G1758" i="16"/>
  <c r="G1759" i="16" s="1"/>
  <c r="G1760" i="16" s="1"/>
  <c r="G1761" i="16" s="1"/>
  <c r="G1762" i="16" s="1"/>
  <c r="G1763" i="16" s="1"/>
  <c r="G1764" i="16" s="1"/>
  <c r="G1765" i="16" s="1"/>
  <c r="G1766" i="16" s="1"/>
  <c r="G1742" i="16"/>
  <c r="G1743" i="16" s="1"/>
  <c r="G1744" i="16" s="1"/>
  <c r="G1745" i="16"/>
  <c r="G1746" i="16" s="1"/>
  <c r="G1747" i="16" s="1"/>
  <c r="G1748" i="16" s="1"/>
  <c r="N1684" i="16"/>
  <c r="A1682" i="66"/>
  <c r="G1675" i="16"/>
  <c r="G1676" i="16" s="1"/>
  <c r="G1677" i="16" s="1"/>
  <c r="G1678" i="16" s="1"/>
  <c r="G1679" i="16" s="1"/>
  <c r="G1680" i="16" s="1"/>
  <c r="G1649" i="16"/>
  <c r="G1650" i="16" s="1"/>
  <c r="G1651" i="16" s="1"/>
  <c r="G1647" i="16"/>
  <c r="G1648" i="16" s="1"/>
  <c r="G1644" i="16" s="1"/>
  <c r="G1702" i="16"/>
  <c r="G1703" i="16" s="1"/>
  <c r="G1704" i="16" s="1"/>
  <c r="G1705" i="16" s="1"/>
  <c r="G1706" i="16" s="1"/>
  <c r="G1707" i="16" s="1"/>
  <c r="G1708" i="16" s="1"/>
  <c r="G1709" i="16" s="1"/>
  <c r="G1710" i="16" s="1"/>
  <c r="G1711" i="16" s="1"/>
  <c r="G1712" i="16" s="1"/>
  <c r="G1713" i="16" s="1"/>
  <c r="G1714" i="16" s="1"/>
  <c r="G1575" i="16"/>
  <c r="G1576" i="16" s="1"/>
  <c r="G1577" i="16" s="1"/>
  <c r="G1561" i="16"/>
  <c r="G1562" i="16" s="1"/>
  <c r="G1558" i="16"/>
  <c r="G1559" i="16" s="1"/>
  <c r="G1560" i="16" s="1"/>
  <c r="G1553" i="16"/>
  <c r="G1554" i="16" s="1"/>
  <c r="G1555" i="16" s="1"/>
  <c r="G1556" i="16" s="1"/>
  <c r="G1557" i="16" s="1"/>
  <c r="G1550" i="16"/>
  <c r="G1551" i="16" s="1"/>
  <c r="G1552" i="16" s="1"/>
  <c r="G1376" i="16"/>
  <c r="G1377" i="16" s="1"/>
  <c r="A1371" i="66"/>
  <c r="A1370" i="66" s="1"/>
  <c r="G1374" i="16"/>
  <c r="G1375" i="16" s="1"/>
  <c r="G1346" i="16"/>
  <c r="G1347" i="16" s="1"/>
  <c r="G1315" i="16"/>
  <c r="G1316" i="16" s="1"/>
  <c r="G1317" i="16" s="1"/>
  <c r="G1318" i="16" s="1"/>
  <c r="G1319" i="16" s="1"/>
  <c r="G1320" i="16" s="1"/>
  <c r="G1321" i="16" s="1"/>
  <c r="G1322" i="16" s="1"/>
  <c r="G1323" i="16" s="1"/>
  <c r="G1324" i="16" s="1"/>
  <c r="G1325" i="16" s="1"/>
  <c r="G1301" i="16"/>
  <c r="G1302" i="16" s="1"/>
  <c r="G1303" i="16" s="1"/>
  <c r="G1304" i="16" s="1"/>
  <c r="G1305" i="16" s="1"/>
  <c r="G1306" i="16" s="1"/>
  <c r="G1307" i="16" s="1"/>
  <c r="G1308" i="16" s="1"/>
  <c r="G1295" i="16"/>
  <c r="G1296" i="16" s="1"/>
  <c r="G1268" i="16"/>
  <c r="G1269" i="16" s="1"/>
  <c r="A1258" i="66"/>
  <c r="A1259" i="66" s="1"/>
  <c r="A1260" i="66" s="1"/>
  <c r="G1258" i="16"/>
  <c r="G1259" i="16" s="1"/>
  <c r="G1255" i="16"/>
  <c r="G1256" i="16" s="1"/>
  <c r="G1257" i="16" s="1"/>
  <c r="G1238" i="16"/>
  <c r="G1239" i="16" s="1"/>
  <c r="A801" i="66"/>
  <c r="A788" i="66"/>
  <c r="A789" i="66" s="1"/>
  <c r="A785" i="66"/>
  <c r="A782" i="66"/>
  <c r="A780" i="66"/>
  <c r="G752" i="16"/>
  <c r="G753" i="16" s="1"/>
  <c r="G754" i="16" s="1"/>
  <c r="G755" i="16" s="1"/>
  <c r="G756" i="16" s="1"/>
  <c r="G757" i="16" s="1"/>
  <c r="G758" i="16" s="1"/>
  <c r="G759" i="16" s="1"/>
  <c r="G760" i="16" s="1"/>
  <c r="G761" i="16" s="1"/>
  <c r="G762" i="16" s="1"/>
  <c r="G763" i="16" s="1"/>
  <c r="G764" i="16" s="1"/>
  <c r="G765" i="16" s="1"/>
  <c r="G766" i="16" s="1"/>
  <c r="G767" i="16" s="1"/>
  <c r="G768" i="16" s="1"/>
  <c r="G769" i="16" s="1"/>
  <c r="G770" i="16" s="1"/>
  <c r="G771" i="16" s="1"/>
  <c r="G772" i="16" s="1"/>
  <c r="AO472" i="24"/>
  <c r="A726" i="66"/>
  <c r="A727" i="66" s="1"/>
  <c r="N716" i="16"/>
  <c r="A715" i="66"/>
  <c r="A682" i="66"/>
  <c r="AC447" i="24"/>
  <c r="G663" i="16"/>
  <c r="G664" i="16" s="1"/>
  <c r="G616" i="16"/>
  <c r="G617" i="16" s="1"/>
  <c r="G614" i="16" s="1"/>
  <c r="G601" i="16"/>
  <c r="G602" i="16" s="1"/>
  <c r="G557" i="16"/>
  <c r="G558" i="16" s="1"/>
  <c r="G559" i="16" s="1"/>
  <c r="G560" i="16" s="1"/>
  <c r="G561" i="16" s="1"/>
  <c r="G562" i="16" s="1"/>
  <c r="G563" i="16" s="1"/>
  <c r="G564" i="16" s="1"/>
  <c r="G565" i="16" s="1"/>
  <c r="G566" i="16" s="1"/>
  <c r="G567" i="16" s="1"/>
  <c r="G568" i="16" s="1"/>
  <c r="G569" i="16" s="1"/>
  <c r="G570" i="16" s="1"/>
  <c r="A556" i="66"/>
  <c r="A557" i="66" s="1"/>
  <c r="C557" i="66" s="1"/>
  <c r="G548" i="16"/>
  <c r="G549" i="16" s="1"/>
  <c r="G550" i="16" s="1"/>
  <c r="G551" i="16" s="1"/>
  <c r="G552" i="16" s="1"/>
  <c r="G553" i="16" s="1"/>
  <c r="G554" i="16" s="1"/>
  <c r="G555" i="16" s="1"/>
  <c r="G556" i="16" s="1"/>
  <c r="G533" i="16"/>
  <c r="G534" i="16" s="1"/>
  <c r="G535" i="16" s="1"/>
  <c r="G536" i="16" s="1"/>
  <c r="G537" i="16" s="1"/>
  <c r="G538" i="16" s="1"/>
  <c r="G539" i="16" s="1"/>
  <c r="G540" i="16" s="1"/>
  <c r="G541" i="16" s="1"/>
  <c r="G542" i="16" s="1"/>
  <c r="G543" i="16" s="1"/>
  <c r="G544" i="16" s="1"/>
  <c r="G545" i="16" s="1"/>
  <c r="G546" i="16" s="1"/>
  <c r="G547" i="16" s="1"/>
  <c r="G521" i="16"/>
  <c r="G522" i="16" s="1"/>
  <c r="G523" i="16" s="1"/>
  <c r="G524" i="16" s="1"/>
  <c r="G525" i="16" s="1"/>
  <c r="G526" i="16" s="1"/>
  <c r="G527" i="16" s="1"/>
  <c r="G528" i="16" s="1"/>
  <c r="G510" i="16"/>
  <c r="G511" i="16" s="1"/>
  <c r="G512" i="16" s="1"/>
  <c r="G513" i="16" s="1"/>
  <c r="G514" i="16" s="1"/>
  <c r="G515" i="16" s="1"/>
  <c r="G516" i="16" s="1"/>
  <c r="G504" i="16"/>
  <c r="G505" i="16" s="1"/>
  <c r="G506" i="16" s="1"/>
  <c r="G507" i="16" s="1"/>
  <c r="G508" i="16" s="1"/>
  <c r="G509" i="16" s="1"/>
  <c r="G498" i="16"/>
  <c r="G499" i="16" s="1"/>
  <c r="A478" i="66"/>
  <c r="A479" i="66" s="1"/>
  <c r="G434" i="16"/>
  <c r="G435" i="16" s="1"/>
  <c r="G436" i="16" s="1"/>
  <c r="G410" i="16"/>
  <c r="G411" i="16" s="1"/>
  <c r="G408" i="16"/>
  <c r="G409" i="16" s="1"/>
  <c r="G403" i="16"/>
  <c r="G404" i="16" s="1"/>
  <c r="G355" i="16"/>
  <c r="G356" i="16" s="1"/>
  <c r="G341" i="16"/>
  <c r="G342" i="16" s="1"/>
  <c r="G343" i="16" s="1"/>
  <c r="G344" i="16" s="1"/>
  <c r="G345" i="16" s="1"/>
  <c r="G346" i="16" s="1"/>
  <c r="A290" i="66"/>
  <c r="G287" i="16"/>
  <c r="G288" i="16" s="1"/>
  <c r="G289" i="16" s="1"/>
  <c r="G246" i="16"/>
  <c r="G247" i="16" s="1"/>
  <c r="G248" i="16" s="1"/>
  <c r="A235" i="66"/>
  <c r="A236" i="66" s="1"/>
  <c r="A234" i="66" s="1"/>
  <c r="G188" i="16"/>
  <c r="G189" i="16" s="1"/>
  <c r="G186" i="16"/>
  <c r="G187" i="16" s="1"/>
  <c r="G183" i="16"/>
  <c r="A156" i="66"/>
  <c r="A157" i="66" s="1"/>
  <c r="G103" i="16"/>
  <c r="G104" i="16" s="1"/>
  <c r="G105" i="16" s="1"/>
  <c r="G106" i="16" s="1"/>
  <c r="G85" i="16"/>
  <c r="G86" i="16" s="1"/>
  <c r="G87" i="16" s="1"/>
  <c r="G88" i="16" s="1"/>
  <c r="G89" i="16" s="1"/>
  <c r="G90" i="16" s="1"/>
  <c r="G91" i="16" s="1"/>
  <c r="I84" i="66"/>
  <c r="A84" i="66"/>
  <c r="A85" i="66" s="1"/>
  <c r="G59" i="16"/>
  <c r="G60" i="16" s="1"/>
  <c r="G45" i="16"/>
  <c r="G46" i="16" s="1"/>
  <c r="G47" i="16" s="1"/>
  <c r="G48" i="16" s="1"/>
  <c r="G27" i="16"/>
  <c r="G28" i="16" s="1"/>
  <c r="G29" i="16" s="1"/>
  <c r="G30" i="16" s="1"/>
  <c r="G31" i="16" s="1"/>
  <c r="G32" i="16" s="1"/>
  <c r="G33" i="16" s="1"/>
  <c r="G34" i="16" s="1"/>
  <c r="G35" i="16" s="1"/>
  <c r="G21" i="16"/>
  <c r="G22" i="16" s="1"/>
  <c r="G2014" i="16"/>
  <c r="G2015" i="16" s="1"/>
  <c r="G1373" i="16"/>
  <c r="G1297" i="16"/>
  <c r="G603" i="16"/>
  <c r="G1348" i="16"/>
  <c r="G1270" i="16"/>
  <c r="G1271" i="16" s="1"/>
  <c r="G1272" i="16" s="1"/>
  <c r="A450" i="66"/>
  <c r="A309" i="66"/>
  <c r="A1532" i="66"/>
  <c r="A1519" i="66" s="1"/>
  <c r="A1623" i="66"/>
  <c r="A630" i="66"/>
  <c r="A401" i="66"/>
  <c r="A400" i="66"/>
  <c r="C193" i="66"/>
  <c r="A1569" i="66"/>
  <c r="A285" i="66"/>
  <c r="C285" i="66" s="1"/>
  <c r="A281" i="66"/>
  <c r="A1787" i="66"/>
  <c r="A66" i="66"/>
  <c r="A1008" i="66"/>
  <c r="A1009" i="66" s="1"/>
  <c r="A1498" i="66"/>
  <c r="A79" i="66"/>
  <c r="A54" i="66"/>
  <c r="C1613" i="66"/>
  <c r="A1611" i="66"/>
  <c r="S937" i="16"/>
  <c r="S924" i="16"/>
  <c r="A941" i="66"/>
  <c r="C940" i="66"/>
  <c r="J18" i="17"/>
  <c r="C464" i="66"/>
  <c r="AC690" i="16"/>
  <c r="AC1397" i="16"/>
  <c r="T69" i="16"/>
  <c r="AD69" i="16" s="1"/>
  <c r="AC69" i="16" s="1"/>
  <c r="M469" i="16"/>
  <c r="AM469" i="16" s="1"/>
  <c r="T647" i="16"/>
  <c r="AD647" i="16" s="1"/>
  <c r="AC647" i="16" s="1"/>
  <c r="AC504" i="25"/>
  <c r="AO572" i="25"/>
  <c r="AC600" i="25"/>
  <c r="N1336" i="16"/>
  <c r="I1334" i="66"/>
  <c r="AC602" i="25"/>
  <c r="AC494" i="25"/>
  <c r="AC551" i="25"/>
  <c r="AC629" i="25"/>
  <c r="AC604" i="25"/>
  <c r="I1253" i="66"/>
  <c r="AC606" i="25"/>
  <c r="AC576" i="25"/>
  <c r="C1979" i="66"/>
  <c r="C1744" i="66"/>
  <c r="C1776" i="66"/>
  <c r="C1552" i="66"/>
  <c r="C1800" i="66"/>
  <c r="C752" i="66"/>
  <c r="C202" i="66"/>
  <c r="C1608" i="66"/>
  <c r="C1737" i="66"/>
  <c r="C1536" i="66"/>
  <c r="S778" i="16"/>
  <c r="R778" i="16" s="1"/>
  <c r="C835" i="66"/>
  <c r="AY1589" i="16"/>
  <c r="AY1860" i="16"/>
  <c r="AY285" i="16"/>
  <c r="S113" i="29"/>
  <c r="T113" i="29" s="1"/>
  <c r="AD113" i="29" s="1"/>
  <c r="AC113" i="29" s="1"/>
  <c r="S47" i="29"/>
  <c r="T47" i="29" s="1"/>
  <c r="AD47" i="29" s="1"/>
  <c r="AC47" i="29" s="1"/>
  <c r="S143" i="29"/>
  <c r="T143" i="29" s="1"/>
  <c r="AD143" i="29" s="1"/>
  <c r="AC143" i="29" s="1"/>
  <c r="S17" i="29"/>
  <c r="T17" i="29" s="1"/>
  <c r="AD17" i="29" s="1"/>
  <c r="S44" i="29"/>
  <c r="T44" i="29" s="1"/>
  <c r="AD44" i="29" s="1"/>
  <c r="AC44" i="29" s="1"/>
  <c r="S59" i="29"/>
  <c r="T59" i="29" s="1"/>
  <c r="AD59" i="29" s="1"/>
  <c r="AC59" i="29" s="1"/>
  <c r="BF15" i="27"/>
  <c r="E21" i="3"/>
  <c r="S22" i="29"/>
  <c r="T22" i="29" s="1"/>
  <c r="AD22" i="29" s="1"/>
  <c r="AC22" i="29" s="1"/>
  <c r="S84" i="29"/>
  <c r="R84" i="29" s="1"/>
  <c r="M84" i="29" s="1"/>
  <c r="AM84" i="29" s="1"/>
  <c r="S25" i="29"/>
  <c r="T25" i="29" s="1"/>
  <c r="AD25" i="29" s="1"/>
  <c r="AC25" i="29" s="1"/>
  <c r="S32" i="29"/>
  <c r="T32" i="29" s="1"/>
  <c r="AD32" i="29" s="1"/>
  <c r="AC32" i="29" s="1"/>
  <c r="S140" i="29"/>
  <c r="T140" i="29" s="1"/>
  <c r="AD140" i="29" s="1"/>
  <c r="AC140" i="29" s="1"/>
  <c r="S145" i="29"/>
  <c r="T145" i="29" s="1"/>
  <c r="AD145" i="29" s="1"/>
  <c r="AC145" i="29" s="1"/>
  <c r="AY35" i="16"/>
  <c r="F21" i="3"/>
  <c r="S112" i="29"/>
  <c r="T112" i="29" s="1"/>
  <c r="AD112" i="29" s="1"/>
  <c r="AC112" i="29" s="1"/>
  <c r="AY1438" i="16"/>
  <c r="AY20" i="16"/>
  <c r="S94" i="29"/>
  <c r="T94" i="29" s="1"/>
  <c r="AD94" i="29" s="1"/>
  <c r="AC94" i="29" s="1"/>
  <c r="AY289" i="16"/>
  <c r="AY34" i="16"/>
  <c r="M22" i="24"/>
  <c r="S90" i="29"/>
  <c r="T90" i="29" s="1"/>
  <c r="AD90" i="29" s="1"/>
  <c r="AC90" i="29" s="1"/>
  <c r="S21" i="29"/>
  <c r="T21" i="29" s="1"/>
  <c r="AD21" i="29" s="1"/>
  <c r="AC21" i="29" s="1"/>
  <c r="S28" i="29"/>
  <c r="T28" i="29" s="1"/>
  <c r="AD28" i="29" s="1"/>
  <c r="S87" i="29"/>
  <c r="R87" i="29" s="1"/>
  <c r="AE87" i="29" s="1"/>
  <c r="S129" i="29"/>
  <c r="T129" i="29" s="1"/>
  <c r="AD129" i="29" s="1"/>
  <c r="AC129" i="29" s="1"/>
  <c r="S147" i="29"/>
  <c r="T147" i="29" s="1"/>
  <c r="AD147" i="29" s="1"/>
  <c r="AC147" i="29" s="1"/>
  <c r="S93" i="29"/>
  <c r="T93" i="29" s="1"/>
  <c r="AD93" i="29" s="1"/>
  <c r="AC93" i="29" s="1"/>
  <c r="AY36" i="16"/>
  <c r="AO496" i="25"/>
  <c r="AY291" i="16"/>
  <c r="C14" i="18"/>
  <c r="I267" i="66"/>
  <c r="AY47" i="16"/>
  <c r="S105" i="29"/>
  <c r="T105" i="29" s="1"/>
  <c r="AD105" i="29" s="1"/>
  <c r="AC105" i="29" s="1"/>
  <c r="S89" i="29"/>
  <c r="T89" i="29" s="1"/>
  <c r="AD89" i="29" s="1"/>
  <c r="AC89" i="29" s="1"/>
  <c r="S149" i="29"/>
  <c r="R149" i="29" s="1"/>
  <c r="M149" i="29" s="1"/>
  <c r="AM149" i="29" s="1"/>
  <c r="S16" i="29"/>
  <c r="T16" i="29" s="1"/>
  <c r="AD16" i="29" s="1"/>
  <c r="M24" i="24"/>
  <c r="S38" i="29"/>
  <c r="T38" i="29" s="1"/>
  <c r="AD38" i="29" s="1"/>
  <c r="AC38" i="29" s="1"/>
  <c r="S102" i="29"/>
  <c r="T102" i="29" s="1"/>
  <c r="AD102" i="29" s="1"/>
  <c r="S46" i="29"/>
  <c r="T46" i="29" s="1"/>
  <c r="AD46" i="29" s="1"/>
  <c r="AC46" i="29" s="1"/>
  <c r="S31" i="29"/>
  <c r="T31" i="29" s="1"/>
  <c r="AD31" i="29" s="1"/>
  <c r="AC31" i="29" s="1"/>
  <c r="S107" i="29"/>
  <c r="T107" i="29" s="1"/>
  <c r="AD107" i="29" s="1"/>
  <c r="AC107" i="29" s="1"/>
  <c r="S118" i="29"/>
  <c r="T118" i="29" s="1"/>
  <c r="AD118" i="29" s="1"/>
  <c r="AC118" i="29" s="1"/>
  <c r="S23" i="29"/>
  <c r="T23" i="29" s="1"/>
  <c r="AD23" i="29" s="1"/>
  <c r="AC23" i="29" s="1"/>
  <c r="N1260" i="16"/>
  <c r="AY49" i="16"/>
  <c r="AY276" i="16"/>
  <c r="N268" i="16"/>
  <c r="AY12" i="16"/>
  <c r="S121" i="29"/>
  <c r="T121" i="29" s="1"/>
  <c r="AD121" i="29" s="1"/>
  <c r="S30" i="29"/>
  <c r="T30" i="29" s="1"/>
  <c r="AD30" i="29" s="1"/>
  <c r="AC30" i="29" s="1"/>
  <c r="S115" i="29"/>
  <c r="T115" i="29" s="1"/>
  <c r="AD115" i="29" s="1"/>
  <c r="AC115" i="29" s="1"/>
  <c r="S148" i="29"/>
  <c r="T148" i="29" s="1"/>
  <c r="AD148" i="29" s="1"/>
  <c r="AC148" i="29" s="1"/>
  <c r="S117" i="29"/>
  <c r="T117" i="29" s="1"/>
  <c r="AD117" i="29" s="1"/>
  <c r="AC117" i="29" s="1"/>
  <c r="S133" i="29"/>
  <c r="T133" i="29" s="1"/>
  <c r="AD133" i="29" s="1"/>
  <c r="AC133" i="29" s="1"/>
  <c r="I1258" i="66"/>
  <c r="O107" i="27"/>
  <c r="N1503" i="16" s="1"/>
  <c r="G1503" i="16" s="1"/>
  <c r="S1227" i="16"/>
  <c r="I147" i="66"/>
  <c r="N148" i="16"/>
  <c r="N61" i="16"/>
  <c r="G61" i="16" s="1"/>
  <c r="O58" i="8"/>
  <c r="N57" i="16" s="1"/>
  <c r="T149" i="8"/>
  <c r="AD149" i="8" s="1"/>
  <c r="AC149" i="8" s="1"/>
  <c r="O70" i="8"/>
  <c r="N216" i="16"/>
  <c r="G216" i="16" s="1"/>
  <c r="AO217" i="8"/>
  <c r="AC671" i="16"/>
  <c r="S1494" i="16"/>
  <c r="T1494" i="16" s="1"/>
  <c r="AD1494" i="16" s="1"/>
  <c r="AC1494" i="16" s="1"/>
  <c r="AC1742" i="16"/>
  <c r="AO1835" i="16"/>
  <c r="AC602" i="16"/>
  <c r="O656" i="16"/>
  <c r="E656" i="76" s="1"/>
  <c r="AO517" i="16"/>
  <c r="O1563" i="16"/>
  <c r="E1561" i="76" s="1"/>
  <c r="AC524" i="16"/>
  <c r="AC604" i="16"/>
  <c r="M1614" i="16"/>
  <c r="AC1258" i="16"/>
  <c r="AC1343" i="16"/>
  <c r="AC1634" i="16"/>
  <c r="AC1794" i="16"/>
  <c r="AC1339" i="16"/>
  <c r="R1607" i="16"/>
  <c r="M1616" i="16"/>
  <c r="AC1647" i="16"/>
  <c r="AC1799" i="16"/>
  <c r="T222" i="28"/>
  <c r="AD222" i="28" s="1"/>
  <c r="AC222" i="28" s="1"/>
  <c r="A669" i="66"/>
  <c r="C669" i="66" s="1"/>
  <c r="C1793" i="66"/>
  <c r="C1506" i="66"/>
  <c r="C1514" i="66"/>
  <c r="C1562" i="66"/>
  <c r="C521" i="66"/>
  <c r="C1995" i="66"/>
  <c r="C45" i="66"/>
  <c r="C141" i="66"/>
  <c r="O1400" i="16"/>
  <c r="E1398" i="76" s="1"/>
  <c r="AF475" i="16"/>
  <c r="AC475" i="16"/>
  <c r="T305" i="16"/>
  <c r="AD305" i="16" s="1"/>
  <c r="AC305" i="16" s="1"/>
  <c r="O1738" i="16"/>
  <c r="E1736" i="76" s="1"/>
  <c r="O1624" i="16"/>
  <c r="E1622" i="76" s="1"/>
  <c r="T1599" i="16"/>
  <c r="AD1599" i="16" s="1"/>
  <c r="AE416" i="16"/>
  <c r="AC416" i="16" s="1"/>
  <c r="S70" i="16"/>
  <c r="AC341" i="16"/>
  <c r="R1599" i="16"/>
  <c r="R1768" i="16"/>
  <c r="M1768" i="16" s="1"/>
  <c r="AM1768" i="16" s="1"/>
  <c r="S77" i="16"/>
  <c r="T77" i="16" s="1"/>
  <c r="AD77" i="16" s="1"/>
  <c r="AC77" i="16" s="1"/>
  <c r="AE1652" i="16"/>
  <c r="AF1652" i="16" s="1"/>
  <c r="M1720" i="16"/>
  <c r="AM1720" i="16" s="1"/>
  <c r="AC696" i="16"/>
  <c r="O306" i="16"/>
  <c r="E306" i="76" s="1"/>
  <c r="M475" i="16"/>
  <c r="AM475" i="16" s="1"/>
  <c r="O151" i="16"/>
  <c r="E151" i="76" s="1"/>
  <c r="O69" i="16"/>
  <c r="AC635" i="16"/>
  <c r="M464" i="16"/>
  <c r="AM464" i="16" s="1"/>
  <c r="S79" i="16"/>
  <c r="AO256" i="16"/>
  <c r="AC1459" i="16"/>
  <c r="AC1675" i="16"/>
  <c r="AC517" i="16"/>
  <c r="AC708" i="16"/>
  <c r="N256" i="16"/>
  <c r="AO149" i="8"/>
  <c r="N193" i="16"/>
  <c r="AO187" i="8"/>
  <c r="O152" i="8"/>
  <c r="AO247" i="8"/>
  <c r="O154" i="8"/>
  <c r="N236" i="16"/>
  <c r="I245" i="66"/>
  <c r="N157" i="16"/>
  <c r="I235" i="66"/>
  <c r="AO156" i="8"/>
  <c r="N196" i="16"/>
  <c r="AO186" i="8"/>
  <c r="I195" i="66"/>
  <c r="C196" i="66"/>
  <c r="C29" i="66"/>
  <c r="C157" i="66"/>
  <c r="C108" i="66"/>
  <c r="AY1428" i="16"/>
  <c r="AY31" i="16"/>
  <c r="AE110" i="27"/>
  <c r="AG3" i="27" s="1"/>
  <c r="K16" i="72" s="1"/>
  <c r="T123" i="27"/>
  <c r="AD123" i="27" s="1"/>
  <c r="AC123" i="27" s="1"/>
  <c r="O106" i="27"/>
  <c r="I1500" i="66" s="1"/>
  <c r="O116" i="27"/>
  <c r="N1512" i="16" s="1"/>
  <c r="I1517" i="66"/>
  <c r="N1519" i="16"/>
  <c r="AD110" i="27"/>
  <c r="AC110" i="27" s="1"/>
  <c r="O102" i="27"/>
  <c r="I1496" i="66" s="1"/>
  <c r="S107" i="24"/>
  <c r="R107" i="24" s="1"/>
  <c r="S78" i="24"/>
  <c r="T78" i="24" s="1"/>
  <c r="S115" i="24"/>
  <c r="T115" i="24" s="1"/>
  <c r="AD115" i="24" s="1"/>
  <c r="AC115" i="24" s="1"/>
  <c r="S97" i="24"/>
  <c r="S1014" i="16"/>
  <c r="O1013" i="16" s="1"/>
  <c r="S959" i="16"/>
  <c r="C1254" i="66"/>
  <c r="C883" i="66"/>
  <c r="C1280" i="66"/>
  <c r="C891" i="66"/>
  <c r="C151" i="66"/>
  <c r="C21" i="66"/>
  <c r="C133" i="66"/>
  <c r="C77" i="66"/>
  <c r="C490" i="66"/>
  <c r="A470" i="66"/>
  <c r="A471" i="66" s="1"/>
  <c r="C471" i="66" s="1"/>
  <c r="C70" i="66"/>
  <c r="C223" i="66"/>
  <c r="C1511" i="66"/>
  <c r="C1598" i="66"/>
  <c r="C1798" i="66"/>
  <c r="C403" i="66"/>
  <c r="C378" i="66"/>
  <c r="C466" i="66"/>
  <c r="C1822" i="66"/>
  <c r="C1719" i="66"/>
  <c r="C1237" i="66"/>
  <c r="C23" i="66"/>
  <c r="C230" i="66"/>
  <c r="C1518" i="66"/>
  <c r="C1735" i="66"/>
  <c r="C1615" i="66"/>
  <c r="C1646" i="66"/>
  <c r="C1574" i="66"/>
  <c r="C1791" i="66"/>
  <c r="C1606" i="66"/>
  <c r="C246" i="66"/>
  <c r="C63" i="66"/>
  <c r="C355" i="66"/>
  <c r="C410" i="66"/>
  <c r="C498" i="66"/>
  <c r="AY18" i="16"/>
  <c r="S1132" i="16" s="1"/>
  <c r="AO299" i="16"/>
  <c r="O38" i="10"/>
  <c r="T958" i="16" s="1"/>
  <c r="S839" i="16"/>
  <c r="S842" i="16"/>
  <c r="C1301" i="66"/>
  <c r="C1260" i="66"/>
  <c r="C1196" i="66"/>
  <c r="C937" i="66"/>
  <c r="C1334" i="66"/>
  <c r="C956" i="66"/>
  <c r="C817" i="66"/>
  <c r="G10" i="18"/>
  <c r="AY274" i="16"/>
  <c r="G10" i="17"/>
  <c r="AY1853" i="16"/>
  <c r="AY784" i="16"/>
  <c r="AY1847" i="16"/>
  <c r="AY1576" i="16"/>
  <c r="S855" i="16"/>
  <c r="S858" i="16"/>
  <c r="S1038" i="16"/>
  <c r="S1039" i="16"/>
  <c r="O1039" i="16" s="1"/>
  <c r="S1034" i="16"/>
  <c r="O1033" i="16" s="1"/>
  <c r="S1028" i="16"/>
  <c r="S1023" i="16"/>
  <c r="S1020" i="16"/>
  <c r="O1019" i="16" s="1"/>
  <c r="AY270" i="16"/>
  <c r="AY14" i="16"/>
  <c r="T13" i="23"/>
  <c r="BC271" i="16" s="1"/>
  <c r="U13" i="23"/>
  <c r="BD1573" i="16" s="1"/>
  <c r="AY15" i="16"/>
  <c r="AY271" i="16"/>
  <c r="AO294" i="16"/>
  <c r="G1645" i="16"/>
  <c r="G1646" i="16" s="1"/>
  <c r="C1244" i="66"/>
  <c r="A1245" i="66"/>
  <c r="C1245" i="66" s="1"/>
  <c r="C1139" i="66"/>
  <c r="C1067" i="66"/>
  <c r="C808" i="66"/>
  <c r="C955" i="66"/>
  <c r="O629" i="25"/>
  <c r="O636" i="25"/>
  <c r="N1400" i="16" s="1"/>
  <c r="C1059" i="66"/>
  <c r="C1349" i="66"/>
  <c r="C1549" i="66"/>
  <c r="A1550" i="66"/>
  <c r="C1550" i="66" s="1"/>
  <c r="I64" i="66"/>
  <c r="N65" i="16"/>
  <c r="AC601" i="16"/>
  <c r="D22" i="3"/>
  <c r="C22" i="3"/>
  <c r="F32" i="17" s="1"/>
  <c r="E22" i="3"/>
  <c r="H32" i="17" s="1"/>
  <c r="I203" i="66"/>
  <c r="N204" i="16"/>
  <c r="AO205" i="8"/>
  <c r="I2012" i="66"/>
  <c r="AO186" i="29"/>
  <c r="I1612" i="66"/>
  <c r="AO57" i="28"/>
  <c r="N1614" i="16"/>
  <c r="I447" i="66"/>
  <c r="AO193" i="24"/>
  <c r="N448" i="16"/>
  <c r="N364" i="16"/>
  <c r="I363" i="66"/>
  <c r="AO109" i="24"/>
  <c r="I1713" i="66"/>
  <c r="N1715" i="16"/>
  <c r="AO158" i="28"/>
  <c r="S534" i="25"/>
  <c r="AO531" i="25"/>
  <c r="O1494" i="16"/>
  <c r="E1492" i="76" s="1"/>
  <c r="AY1571" i="16"/>
  <c r="AY269" i="16"/>
  <c r="AY13" i="16"/>
  <c r="AY1410" i="16"/>
  <c r="X4" i="16"/>
  <c r="BG780" i="16"/>
  <c r="BG14" i="16"/>
  <c r="BG270" i="16"/>
  <c r="AY32" i="16"/>
  <c r="AY286" i="16"/>
  <c r="AY46" i="16"/>
  <c r="AY290" i="16"/>
  <c r="AO364" i="24"/>
  <c r="I618" i="66"/>
  <c r="N619" i="16"/>
  <c r="A208" i="66"/>
  <c r="C208" i="66" s="1"/>
  <c r="AO209" i="8"/>
  <c r="I207" i="66"/>
  <c r="N208" i="16"/>
  <c r="AC607" i="25"/>
  <c r="M244" i="28"/>
  <c r="AM244" i="28" s="1"/>
  <c r="AE244" i="28"/>
  <c r="AC244" i="28" s="1"/>
  <c r="AY1426" i="16"/>
  <c r="AY29" i="16"/>
  <c r="AZ29" i="16" s="1"/>
  <c r="B4" i="3"/>
  <c r="AY284" i="16"/>
  <c r="AZ284" i="16" s="1"/>
  <c r="S376" i="16" s="1"/>
  <c r="A1739" i="66"/>
  <c r="C1739" i="66" s="1"/>
  <c r="AY1601" i="16"/>
  <c r="AY1872" i="16"/>
  <c r="AY43" i="16"/>
  <c r="AY809" i="16"/>
  <c r="AF569" i="16"/>
  <c r="AC569" i="16"/>
  <c r="I289" i="66"/>
  <c r="N290" i="16"/>
  <c r="G290" i="16" s="1"/>
  <c r="AO35" i="24"/>
  <c r="T45" i="28"/>
  <c r="AD45" i="28" s="1"/>
  <c r="R45" i="28"/>
  <c r="O45" i="28"/>
  <c r="AF1749" i="16"/>
  <c r="AC1749" i="16"/>
  <c r="AO66" i="8"/>
  <c r="M47" i="28"/>
  <c r="AE47" i="28"/>
  <c r="AC209" i="8"/>
  <c r="AG3" i="8"/>
  <c r="K13" i="72" s="1"/>
  <c r="N604" i="16"/>
  <c r="I603" i="66"/>
  <c r="A589" i="66" s="1"/>
  <c r="AO349" i="24"/>
  <c r="DJ4" i="2"/>
  <c r="EA4" i="2"/>
  <c r="I1689" i="66"/>
  <c r="AO134" i="28"/>
  <c r="N1691" i="16"/>
  <c r="C1648" i="66"/>
  <c r="A1649" i="66"/>
  <c r="C1649" i="66" s="1"/>
  <c r="AL4" i="2"/>
  <c r="N1378" i="16"/>
  <c r="I1376" i="66"/>
  <c r="AO614" i="25"/>
  <c r="T155" i="16"/>
  <c r="AD155" i="16" s="1"/>
  <c r="AC155" i="16" s="1"/>
  <c r="O155" i="16"/>
  <c r="E155" i="76" s="1"/>
  <c r="N1273" i="16"/>
  <c r="AO509" i="25"/>
  <c r="I1271" i="66"/>
  <c r="N1830" i="16"/>
  <c r="AO273" i="28"/>
  <c r="I1828" i="66"/>
  <c r="T51" i="24"/>
  <c r="AD51" i="24" s="1"/>
  <c r="AC51" i="24" s="1"/>
  <c r="O51" i="24"/>
  <c r="AE1740" i="16"/>
  <c r="AF1740" i="16" s="1"/>
  <c r="M1740" i="16"/>
  <c r="AM1740" i="16" s="1"/>
  <c r="C479" i="66"/>
  <c r="O57" i="16"/>
  <c r="E57" i="76" s="1"/>
  <c r="T57" i="16"/>
  <c r="AD57" i="16" s="1"/>
  <c r="AC57" i="16" s="1"/>
  <c r="T1498" i="16"/>
  <c r="AD1498" i="16" s="1"/>
  <c r="AC1498" i="16" s="1"/>
  <c r="O1498" i="16"/>
  <c r="E1496" i="76" s="1"/>
  <c r="M1602" i="16"/>
  <c r="AE1602" i="16"/>
  <c r="AF1602" i="16" s="1"/>
  <c r="S73" i="8"/>
  <c r="AO612" i="25"/>
  <c r="N1221" i="16"/>
  <c r="T47" i="28"/>
  <c r="AD47" i="28" s="1"/>
  <c r="C21" i="3"/>
  <c r="AC95" i="28"/>
  <c r="AC185" i="28"/>
  <c r="AC273" i="28"/>
  <c r="AC491" i="25"/>
  <c r="AC1349" i="16"/>
  <c r="C1257" i="66"/>
  <c r="AY1865" i="16"/>
  <c r="AC522" i="16"/>
  <c r="C1233" i="66"/>
  <c r="AC192" i="28"/>
  <c r="C727" i="66"/>
  <c r="T70" i="8"/>
  <c r="AD70" i="8" s="1"/>
  <c r="AC70" i="8" s="1"/>
  <c r="N294" i="16"/>
  <c r="G294" i="16" s="1"/>
  <c r="G291" i="16" s="1"/>
  <c r="BF15" i="28"/>
  <c r="AO208" i="8"/>
  <c r="S23" i="28"/>
  <c r="T23" i="28" s="1"/>
  <c r="AO604" i="16"/>
  <c r="AC73" i="27"/>
  <c r="AC104" i="28"/>
  <c r="AC79" i="28"/>
  <c r="AC470" i="25"/>
  <c r="AC617" i="25"/>
  <c r="AO1264" i="16"/>
  <c r="AC1315" i="16"/>
  <c r="AC1340" i="16"/>
  <c r="AC1688" i="16"/>
  <c r="C1539" i="66"/>
  <c r="AY1852" i="16"/>
  <c r="AY789" i="16"/>
  <c r="W1262" i="16" s="1"/>
  <c r="O1260" i="16" s="1"/>
  <c r="S78" i="8"/>
  <c r="AO37" i="8"/>
  <c r="O52" i="24"/>
  <c r="AY55" i="16"/>
  <c r="I62" i="66"/>
  <c r="I477" i="66"/>
  <c r="A472" i="66" s="1"/>
  <c r="I488" i="66"/>
  <c r="AC1762" i="16"/>
  <c r="C1779" i="66"/>
  <c r="C1787" i="66"/>
  <c r="AC1301" i="16"/>
  <c r="C1113" i="66"/>
  <c r="AY1421" i="16"/>
  <c r="AC585" i="25"/>
  <c r="AO401" i="24"/>
  <c r="BF14" i="16"/>
  <c r="X5" i="16"/>
  <c r="N36" i="16"/>
  <c r="T59" i="16"/>
  <c r="AD59" i="16" s="1"/>
  <c r="AC59" i="16" s="1"/>
  <c r="AO278" i="28"/>
  <c r="I156" i="66"/>
  <c r="N63" i="16"/>
  <c r="N489" i="16"/>
  <c r="BH15" i="29"/>
  <c r="A291" i="66"/>
  <c r="A292" i="66" s="1"/>
  <c r="C292" i="66" s="1"/>
  <c r="T1602" i="16"/>
  <c r="AD1602" i="16" s="1"/>
  <c r="AO582" i="25"/>
  <c r="AY1420" i="16"/>
  <c r="N656" i="16"/>
  <c r="G169" i="16"/>
  <c r="BF270" i="16"/>
  <c r="AO60" i="8"/>
  <c r="N1835" i="16"/>
  <c r="N405" i="16"/>
  <c r="N83" i="16"/>
  <c r="I82" i="66"/>
  <c r="C613" i="66"/>
  <c r="S94" i="27"/>
  <c r="T94" i="27" s="1"/>
  <c r="AD94" i="27" s="1"/>
  <c r="AC94" i="27" s="1"/>
  <c r="AC582" i="25"/>
  <c r="AC114" i="28"/>
  <c r="AC18" i="28"/>
  <c r="AC92" i="28"/>
  <c r="AC158" i="28"/>
  <c r="AC474" i="25"/>
  <c r="AC1238" i="16"/>
  <c r="AC1255" i="16"/>
  <c r="AC1263" i="16"/>
  <c r="AC1575" i="16"/>
  <c r="AC1611" i="16"/>
  <c r="O1684" i="16"/>
  <c r="E1682" i="76" s="1"/>
  <c r="AC1805" i="16"/>
  <c r="I1344" i="66"/>
  <c r="C1249" i="66"/>
  <c r="C1603" i="66"/>
  <c r="C1627" i="66"/>
  <c r="N450" i="16"/>
  <c r="G450" i="16" s="1"/>
  <c r="AO457" i="25"/>
  <c r="T60" i="8"/>
  <c r="AD60" i="8" s="1"/>
  <c r="AC60" i="8" s="1"/>
  <c r="AO295" i="16"/>
  <c r="AC54" i="27"/>
  <c r="AC636" i="25"/>
  <c r="AC115" i="28"/>
  <c r="C1642" i="66"/>
  <c r="AY1844" i="16"/>
  <c r="BD16" i="8"/>
  <c r="BD16" i="28"/>
  <c r="BD16" i="24"/>
  <c r="BD16" i="27"/>
  <c r="BD16" i="29"/>
  <c r="AY1412" i="16"/>
  <c r="AY780" i="16"/>
  <c r="AY1572" i="16"/>
  <c r="A836" i="66"/>
  <c r="A837" i="66" s="1"/>
  <c r="C837" i="66" s="1"/>
  <c r="AO518" i="25"/>
  <c r="N1282" i="16"/>
  <c r="I1280" i="66"/>
  <c r="A1281" i="66"/>
  <c r="AY1573" i="16"/>
  <c r="AY1843" i="16"/>
  <c r="BC16" i="8"/>
  <c r="M15" i="7"/>
  <c r="BE16" i="29" s="1"/>
  <c r="BC16" i="29"/>
  <c r="Q15" i="7"/>
  <c r="BC16" i="24"/>
  <c r="P15" i="7"/>
  <c r="BH16" i="27" s="1"/>
  <c r="BC16" i="28"/>
  <c r="BC16" i="27"/>
  <c r="N15" i="7"/>
  <c r="BF16" i="27" s="1"/>
  <c r="C1825" i="66"/>
  <c r="A1826" i="66"/>
  <c r="C1826" i="66" s="1"/>
  <c r="A149" i="66"/>
  <c r="C149" i="66" s="1"/>
  <c r="C148" i="66"/>
  <c r="N69" i="16"/>
  <c r="G69" i="16" s="1"/>
  <c r="I68" i="66"/>
  <c r="AC68" i="27"/>
  <c r="C1751" i="66"/>
  <c r="N1753" i="16"/>
  <c r="T71" i="8"/>
  <c r="AD71" i="8" s="1"/>
  <c r="AC71" i="8" s="1"/>
  <c r="AO123" i="27"/>
  <c r="O14" i="8"/>
  <c r="N100" i="16"/>
  <c r="AO42" i="24"/>
  <c r="I340" i="66"/>
  <c r="E208" i="76"/>
  <c r="AO208" i="16"/>
  <c r="AF684" i="16"/>
  <c r="AC684" i="16"/>
  <c r="O630" i="25"/>
  <c r="I1392" i="66" s="1"/>
  <c r="T630" i="25"/>
  <c r="AD630" i="25" s="1"/>
  <c r="AC630" i="25" s="1"/>
  <c r="AE1628" i="16"/>
  <c r="AF1628" i="16" s="1"/>
  <c r="AO1702" i="16"/>
  <c r="C204" i="66"/>
  <c r="A205" i="66"/>
  <c r="C205" i="66" s="1"/>
  <c r="C969" i="66"/>
  <c r="A970" i="66"/>
  <c r="C970" i="66" s="1"/>
  <c r="N198" i="16"/>
  <c r="AO199" i="8"/>
  <c r="C1331" i="66"/>
  <c r="A1332" i="66"/>
  <c r="C1332" i="66" s="1"/>
  <c r="A1742" i="66"/>
  <c r="C1742" i="66" s="1"/>
  <c r="C1741" i="66"/>
  <c r="AO101" i="8"/>
  <c r="N305" i="16"/>
  <c r="G305" i="16" s="1"/>
  <c r="I304" i="66"/>
  <c r="A716" i="66"/>
  <c r="A717" i="66" s="1"/>
  <c r="C717" i="66" s="1"/>
  <c r="I1652" i="66"/>
  <c r="N1654" i="16"/>
  <c r="C1083" i="66"/>
  <c r="A1084" i="66"/>
  <c r="A1085" i="66" s="1"/>
  <c r="AO50" i="24"/>
  <c r="N155" i="16"/>
  <c r="A1653" i="66"/>
  <c r="A1654" i="66" s="1"/>
  <c r="A1655" i="66" s="1"/>
  <c r="C589" i="66"/>
  <c r="I197" i="66"/>
  <c r="AO262" i="24"/>
  <c r="N517" i="16"/>
  <c r="I1501" i="66"/>
  <c r="I1673" i="66"/>
  <c r="AO118" i="28"/>
  <c r="T1394" i="16"/>
  <c r="AD1394" i="16" s="1"/>
  <c r="AC1394" i="16" s="1"/>
  <c r="O1394" i="16"/>
  <c r="E1392" i="76" s="1"/>
  <c r="AO461" i="24"/>
  <c r="I715" i="66"/>
  <c r="AE209" i="24"/>
  <c r="M209" i="24"/>
  <c r="AM209" i="24" s="1"/>
  <c r="M405" i="16"/>
  <c r="AM405" i="16" s="1"/>
  <c r="AE405" i="16"/>
  <c r="A953" i="66"/>
  <c r="C953" i="66" s="1"/>
  <c r="AO189" i="25"/>
  <c r="O727" i="16"/>
  <c r="E727" i="76" s="1"/>
  <c r="C1259" i="66"/>
  <c r="S178" i="16"/>
  <c r="AO70" i="8"/>
  <c r="O308" i="16"/>
  <c r="E308" i="76" s="1"/>
  <c r="I1751" i="66"/>
  <c r="AO63" i="8"/>
  <c r="AY297" i="16"/>
  <c r="AY53" i="16"/>
  <c r="N223" i="16"/>
  <c r="I222" i="66"/>
  <c r="N438" i="16"/>
  <c r="I478" i="66"/>
  <c r="N479" i="16"/>
  <c r="N412" i="16"/>
  <c r="AO157" i="24"/>
  <c r="I411" i="66"/>
  <c r="O67" i="28"/>
  <c r="T67" i="28"/>
  <c r="AD67" i="28" s="1"/>
  <c r="AC67" i="28" s="1"/>
  <c r="AE183" i="28"/>
  <c r="AC183" i="28" s="1"/>
  <c r="M183" i="28"/>
  <c r="AM183" i="28" s="1"/>
  <c r="E1266" i="76"/>
  <c r="AO1268" i="16"/>
  <c r="A670" i="66"/>
  <c r="C670" i="66" s="1"/>
  <c r="I509" i="66"/>
  <c r="M161" i="24"/>
  <c r="AM161" i="24" s="1"/>
  <c r="AE161" i="24"/>
  <c r="AC161" i="24" s="1"/>
  <c r="N1993" i="16"/>
  <c r="AO165" i="29"/>
  <c r="C1991" i="66"/>
  <c r="E65" i="76"/>
  <c r="AO65" i="16"/>
  <c r="O148" i="16"/>
  <c r="E148" i="76" s="1"/>
  <c r="T148" i="16"/>
  <c r="AD148" i="16" s="1"/>
  <c r="AC148" i="16" s="1"/>
  <c r="M1607" i="16"/>
  <c r="AE1607" i="16"/>
  <c r="AF1607" i="16" s="1"/>
  <c r="C1821" i="66"/>
  <c r="AO53" i="24"/>
  <c r="N727" i="16"/>
  <c r="N1563" i="16"/>
  <c r="AO58" i="8"/>
  <c r="I646" i="66"/>
  <c r="AO29" i="24"/>
  <c r="E647" i="76"/>
  <c r="AO647" i="16"/>
  <c r="AF526" i="16"/>
  <c r="AC526" i="16"/>
  <c r="AF607" i="16"/>
  <c r="AC607" i="16"/>
  <c r="AF768" i="16"/>
  <c r="AC768" i="16"/>
  <c r="I1395" i="66"/>
  <c r="N1397" i="16"/>
  <c r="I1261" i="66"/>
  <c r="N1263" i="16"/>
  <c r="G1263" i="16" s="1"/>
  <c r="AC1835" i="16"/>
  <c r="S1826" i="16"/>
  <c r="S1821" i="16"/>
  <c r="O1821" i="16" s="1"/>
  <c r="E1819" i="76" s="1"/>
  <c r="C100" i="66"/>
  <c r="A101" i="66"/>
  <c r="C101" i="66" s="1"/>
  <c r="E1605" i="76"/>
  <c r="AO1607" i="16"/>
  <c r="AF1764" i="16"/>
  <c r="AC1764" i="16"/>
  <c r="N953" i="16"/>
  <c r="AO44" i="24"/>
  <c r="N299" i="16"/>
  <c r="I298" i="66"/>
  <c r="O98" i="27"/>
  <c r="AO52" i="28"/>
  <c r="I56" i="66"/>
  <c r="AC134" i="28"/>
  <c r="A480" i="66"/>
  <c r="C480" i="66" s="1"/>
  <c r="N308" i="16"/>
  <c r="G308" i="16" s="1"/>
  <c r="N647" i="16"/>
  <c r="N284" i="16"/>
  <c r="N62" i="16"/>
  <c r="G62" i="16" s="1"/>
  <c r="I1607" i="66"/>
  <c r="AO86" i="24"/>
  <c r="AO196" i="28"/>
  <c r="AO26" i="8"/>
  <c r="I24" i="66"/>
  <c r="N25" i="16"/>
  <c r="T392" i="24"/>
  <c r="AD392" i="24" s="1"/>
  <c r="AC392" i="24" s="1"/>
  <c r="T663" i="16"/>
  <c r="AD663" i="16" s="1"/>
  <c r="AC663" i="16" s="1"/>
  <c r="O663" i="16"/>
  <c r="I1262" i="66"/>
  <c r="N1264" i="16"/>
  <c r="I1747" i="66"/>
  <c r="N1749" i="16"/>
  <c r="AC179" i="28"/>
  <c r="AC252" i="28"/>
  <c r="C1781" i="66"/>
  <c r="A1782" i="66"/>
  <c r="C1782" i="66" s="1"/>
  <c r="AY1587" i="16"/>
  <c r="AY1440" i="16"/>
  <c r="AY801" i="16"/>
  <c r="S1084" i="16" s="1"/>
  <c r="C256" i="66"/>
  <c r="I1266" i="66"/>
  <c r="AC1264" i="16"/>
  <c r="O1503" i="16"/>
  <c r="E1501" i="76" s="1"/>
  <c r="AC1490" i="16"/>
  <c r="AO1742" i="16"/>
  <c r="C1976" i="66"/>
  <c r="AY1842" i="16"/>
  <c r="AY1870" i="16"/>
  <c r="AY1432" i="16"/>
  <c r="AY807" i="16"/>
  <c r="C1605" i="66"/>
  <c r="AE163" i="28"/>
  <c r="AC163" i="28" s="1"/>
  <c r="BH15" i="8"/>
  <c r="BF15" i="8"/>
  <c r="AC209" i="24"/>
  <c r="AC1506" i="16"/>
  <c r="AY1868" i="16"/>
  <c r="C408" i="66"/>
  <c r="C1300" i="66"/>
  <c r="C855" i="66"/>
  <c r="AO236" i="16"/>
  <c r="AO557" i="16"/>
  <c r="AC612" i="25"/>
  <c r="AC610" i="25"/>
  <c r="AO1519" i="16"/>
  <c r="AO1738" i="16"/>
  <c r="AC1469" i="16"/>
  <c r="AC1661" i="16"/>
  <c r="N1540" i="16"/>
  <c r="C123" i="66"/>
  <c r="AC1450" i="16"/>
  <c r="AY1593" i="16"/>
  <c r="AO90" i="28"/>
  <c r="AC12" i="28"/>
  <c r="AC203" i="28"/>
  <c r="AC776" i="16"/>
  <c r="AC1273" i="16"/>
  <c r="AC1338" i="16"/>
  <c r="AC1443" i="16"/>
  <c r="AC1464" i="16"/>
  <c r="AC1635" i="16"/>
  <c r="AC1760" i="16"/>
  <c r="C801" i="66"/>
  <c r="AC12" i="25"/>
  <c r="C1560" i="66"/>
  <c r="C72" i="66"/>
  <c r="C200" i="66"/>
  <c r="C88" i="66"/>
  <c r="C882" i="66"/>
  <c r="M279" i="16"/>
  <c r="G32" i="17"/>
  <c r="G32" i="18"/>
  <c r="F32" i="18"/>
  <c r="AY1580" i="16"/>
  <c r="I32" i="17"/>
  <c r="AY1605" i="16"/>
  <c r="AY813" i="16"/>
  <c r="AY1849" i="16"/>
  <c r="AY1417" i="16"/>
  <c r="AY1578" i="16"/>
  <c r="G12" i="17"/>
  <c r="AY275" i="16"/>
  <c r="AY19" i="16"/>
  <c r="G12" i="18"/>
  <c r="AY1413" i="16"/>
  <c r="AY1845" i="16"/>
  <c r="AY782" i="16"/>
  <c r="AY1569" i="16"/>
  <c r="AY1408" i="16"/>
  <c r="AY1840" i="16"/>
  <c r="N79" i="16"/>
  <c r="G79" i="16" s="1"/>
  <c r="T100" i="27"/>
  <c r="AD100" i="27" s="1"/>
  <c r="AC100" i="27" s="1"/>
  <c r="O100" i="27"/>
  <c r="AO139" i="28"/>
  <c r="N1696" i="16"/>
  <c r="AJ4" i="2"/>
  <c r="I194" i="66"/>
  <c r="AO196" i="8"/>
  <c r="N195" i="16"/>
  <c r="G195" i="16" s="1"/>
  <c r="I78" i="66"/>
  <c r="C234" i="66"/>
  <c r="C236" i="66"/>
  <c r="AO50" i="28"/>
  <c r="I1605" i="66"/>
  <c r="N1607" i="16"/>
  <c r="AE45" i="28"/>
  <c r="AC45" i="28" s="1"/>
  <c r="M45" i="28"/>
  <c r="N70" i="16"/>
  <c r="AO71" i="8"/>
  <c r="I69" i="66"/>
  <c r="I55" i="66"/>
  <c r="N56" i="16"/>
  <c r="G56" i="16" s="1"/>
  <c r="N92" i="16"/>
  <c r="G92" i="16" s="1"/>
  <c r="S179" i="8"/>
  <c r="I91" i="66"/>
  <c r="AO93" i="8"/>
  <c r="AE50" i="28"/>
  <c r="AC50" i="28" s="1"/>
  <c r="M50" i="28"/>
  <c r="C8" i="18"/>
  <c r="C8" i="17"/>
  <c r="A839" i="66"/>
  <c r="C838" i="66"/>
  <c r="A924" i="66"/>
  <c r="A1240" i="66"/>
  <c r="H32" i="18"/>
  <c r="I1602" i="66"/>
  <c r="AO47" i="28"/>
  <c r="I1682" i="66"/>
  <c r="AO127" i="28"/>
  <c r="A1683" i="66"/>
  <c r="C1683" i="66" s="1"/>
  <c r="N1494" i="16"/>
  <c r="AO98" i="27"/>
  <c r="I1492" i="66"/>
  <c r="N1599" i="16"/>
  <c r="AO42" i="28"/>
  <c r="E305" i="76"/>
  <c r="AO305" i="16"/>
  <c r="I404" i="66"/>
  <c r="BH1411" i="16"/>
  <c r="BH1843" i="16"/>
  <c r="BH1572" i="16"/>
  <c r="BH270" i="16"/>
  <c r="BH14" i="16"/>
  <c r="AY1453" i="16"/>
  <c r="AY822" i="16"/>
  <c r="AY1614" i="16"/>
  <c r="AY1885" i="16"/>
  <c r="AY300" i="16"/>
  <c r="AY56" i="16"/>
  <c r="AY1457" i="16"/>
  <c r="AY826" i="16"/>
  <c r="AY1618" i="16"/>
  <c r="AY1889" i="16"/>
  <c r="AY60" i="16"/>
  <c r="O309" i="16"/>
  <c r="E309" i="76" s="1"/>
  <c r="T309" i="16"/>
  <c r="AD309" i="16" s="1"/>
  <c r="AC309" i="16" s="1"/>
  <c r="O59" i="28"/>
  <c r="T59" i="28"/>
  <c r="AD59" i="28" s="1"/>
  <c r="AF469" i="16"/>
  <c r="AC469" i="16"/>
  <c r="I20" i="66"/>
  <c r="AO22" i="8"/>
  <c r="AY792" i="16"/>
  <c r="AY1584" i="16"/>
  <c r="AY1423" i="16"/>
  <c r="AY1855" i="16"/>
  <c r="AY281" i="16"/>
  <c r="G16" i="18"/>
  <c r="G16" i="17"/>
  <c r="AY26" i="16"/>
  <c r="AY799" i="16"/>
  <c r="AY1862" i="16"/>
  <c r="AY1430" i="16"/>
  <c r="AY1591" i="16"/>
  <c r="AY33" i="16"/>
  <c r="E298" i="76"/>
  <c r="AO298" i="16"/>
  <c r="C1617" i="66"/>
  <c r="A1618" i="66"/>
  <c r="C1618" i="66" s="1"/>
  <c r="C1767" i="66"/>
  <c r="A1768" i="66"/>
  <c r="C1768" i="66" s="1"/>
  <c r="AO24" i="8"/>
  <c r="N23" i="16"/>
  <c r="I1567" i="66"/>
  <c r="N1569" i="16"/>
  <c r="AO12" i="28"/>
  <c r="AO1558" i="16"/>
  <c r="AC1715" i="16"/>
  <c r="A259" i="66"/>
  <c r="A260" i="66" s="1"/>
  <c r="A261" i="66" s="1"/>
  <c r="BG15" i="27"/>
  <c r="BG15" i="29"/>
  <c r="N200" i="16"/>
  <c r="AO201" i="8"/>
  <c r="I199" i="66"/>
  <c r="I1502" i="66"/>
  <c r="AO108" i="27"/>
  <c r="I1236" i="66"/>
  <c r="AO474" i="25"/>
  <c r="AF1569" i="16"/>
  <c r="AC1569" i="16"/>
  <c r="AF1649" i="16"/>
  <c r="AC1649" i="16"/>
  <c r="T1696" i="16"/>
  <c r="AD1696" i="16" s="1"/>
  <c r="AC1696" i="16" s="1"/>
  <c r="O1696" i="16"/>
  <c r="E1694" i="76" s="1"/>
  <c r="AF1705" i="16"/>
  <c r="AC1705" i="16"/>
  <c r="C756" i="66"/>
  <c r="A758" i="66"/>
  <c r="A759" i="66" s="1"/>
  <c r="C907" i="66"/>
  <c r="A908" i="66"/>
  <c r="A909" i="66" s="1"/>
  <c r="C909" i="66" s="1"/>
  <c r="C985" i="66"/>
  <c r="A986" i="66"/>
  <c r="A987" i="66" s="1"/>
  <c r="A988" i="66" s="1"/>
  <c r="C1267" i="66"/>
  <c r="A1268" i="66"/>
  <c r="A1269" i="66" s="1"/>
  <c r="A1345" i="66"/>
  <c r="C1795" i="66"/>
  <c r="A1796" i="66"/>
  <c r="C1796" i="66" s="1"/>
  <c r="AO51" i="24"/>
  <c r="N1473" i="16"/>
  <c r="G1473" i="16" s="1"/>
  <c r="AC42" i="28"/>
  <c r="O15" i="7"/>
  <c r="N1504" i="16"/>
  <c r="I58" i="66"/>
  <c r="T156" i="8"/>
  <c r="AD156" i="8" s="1"/>
  <c r="AC156" i="8" s="1"/>
  <c r="AO182" i="24"/>
  <c r="N437" i="16"/>
  <c r="G437" i="16" s="1"/>
  <c r="I436" i="66"/>
  <c r="E1614" i="76"/>
  <c r="AO1616" i="16"/>
  <c r="AO45" i="28"/>
  <c r="BG15" i="24"/>
  <c r="BG15" i="28"/>
  <c r="BH780" i="16"/>
  <c r="I556" i="66"/>
  <c r="E405" i="76"/>
  <c r="AO405" i="16"/>
  <c r="AF464" i="16"/>
  <c r="AC464" i="16"/>
  <c r="E477" i="76"/>
  <c r="AO477" i="16"/>
  <c r="C1557" i="66"/>
  <c r="A1558" i="66"/>
  <c r="C1558" i="66" s="1"/>
  <c r="A1696" i="66"/>
  <c r="C1696" i="66" s="1"/>
  <c r="C1695" i="66"/>
  <c r="C79" i="66"/>
  <c r="I1471" i="66"/>
  <c r="AO656" i="16"/>
  <c r="BG15" i="8"/>
  <c r="AY1881" i="16"/>
  <c r="AY1449" i="16"/>
  <c r="AY818" i="16"/>
  <c r="AY1610" i="16"/>
  <c r="AY296" i="16"/>
  <c r="AY52" i="16"/>
  <c r="AY304" i="16"/>
  <c r="E341" i="76"/>
  <c r="AO341" i="16"/>
  <c r="AF758" i="16"/>
  <c r="AC758" i="16"/>
  <c r="R59" i="28"/>
  <c r="E1253" i="76"/>
  <c r="AO1255" i="16"/>
  <c r="E1261" i="76"/>
  <c r="AO1263" i="16"/>
  <c r="AF1268" i="16"/>
  <c r="AC1268" i="16"/>
  <c r="AY811" i="16"/>
  <c r="AY1603" i="16"/>
  <c r="AY1874" i="16"/>
  <c r="AY1442" i="16"/>
  <c r="AY1446" i="16"/>
  <c r="AY815" i="16"/>
  <c r="AY1607" i="16"/>
  <c r="AY1878" i="16"/>
  <c r="E61" i="76"/>
  <c r="AO61" i="16"/>
  <c r="E448" i="76"/>
  <c r="AO448" i="16"/>
  <c r="T309" i="25"/>
  <c r="E1600" i="76"/>
  <c r="AO1602" i="16"/>
  <c r="E1597" i="76"/>
  <c r="AO1599" i="16"/>
  <c r="BG1843" i="16"/>
  <c r="BG1572" i="16"/>
  <c r="BG1411" i="16"/>
  <c r="AY1570" i="16"/>
  <c r="AY777" i="16"/>
  <c r="AY1409" i="16"/>
  <c r="AY1841" i="16"/>
  <c r="AY1456" i="16"/>
  <c r="AY825" i="16"/>
  <c r="AY1617" i="16"/>
  <c r="AY1888" i="16"/>
  <c r="E500" i="76"/>
  <c r="AO500" i="16"/>
  <c r="E1256" i="76"/>
  <c r="AO1258" i="16"/>
  <c r="AE1801" i="16"/>
  <c r="M1801" i="16"/>
  <c r="AM1801" i="16" s="1"/>
  <c r="C1396" i="66"/>
  <c r="A1397" i="66"/>
  <c r="C1397" i="66" s="1"/>
  <c r="C1829" i="66"/>
  <c r="A1830" i="66"/>
  <c r="AY1429" i="16"/>
  <c r="AY1590" i="16"/>
  <c r="AY798" i="16"/>
  <c r="AY1861" i="16"/>
  <c r="AY1443" i="16"/>
  <c r="AY812" i="16"/>
  <c r="AY1604" i="16"/>
  <c r="AY1875" i="16"/>
  <c r="AY821" i="16"/>
  <c r="AY1613" i="16"/>
  <c r="AY1884" i="16"/>
  <c r="AY1452" i="16"/>
  <c r="E25" i="76"/>
  <c r="AO25" i="16"/>
  <c r="E63" i="76"/>
  <c r="AO63" i="16"/>
  <c r="AY1435" i="16"/>
  <c r="AY1596" i="16"/>
  <c r="AY1867" i="16"/>
  <c r="AY804" i="16"/>
  <c r="E1236" i="76"/>
  <c r="AO1238" i="16"/>
  <c r="AF1346" i="16"/>
  <c r="AC1346" i="16"/>
  <c r="AE1768" i="16"/>
  <c r="T1604" i="16"/>
  <c r="AD1604" i="16" s="1"/>
  <c r="O1604" i="16"/>
  <c r="R1604" i="16"/>
  <c r="AC1720" i="16"/>
  <c r="E1743" i="76"/>
  <c r="AO1745" i="16"/>
  <c r="AF1748" i="16"/>
  <c r="AC1748" i="16"/>
  <c r="C1348" i="66"/>
  <c r="C1266" i="66"/>
  <c r="BE1572" i="16"/>
  <c r="BE1411" i="16"/>
  <c r="BE1843" i="16"/>
  <c r="AY1839" i="16"/>
  <c r="AY1568" i="16"/>
  <c r="AY1407" i="16"/>
  <c r="AY775" i="16"/>
  <c r="AY1882" i="16"/>
  <c r="AY1450" i="16"/>
  <c r="AY819" i="16"/>
  <c r="AY1611" i="16"/>
  <c r="AC1481" i="16"/>
  <c r="O1502" i="16"/>
  <c r="T1502" i="16"/>
  <c r="AD1502" i="16" s="1"/>
  <c r="AC1502" i="16" s="1"/>
  <c r="AY1425" i="16"/>
  <c r="AY794" i="16"/>
  <c r="AY1586" i="16"/>
  <c r="AY1857" i="16"/>
  <c r="AY800" i="16"/>
  <c r="AY1863" i="16"/>
  <c r="AY1431" i="16"/>
  <c r="AY1592" i="16"/>
  <c r="AY1445" i="16"/>
  <c r="AY814" i="16"/>
  <c r="AY1606" i="16"/>
  <c r="AY1877" i="16"/>
  <c r="AY1454" i="16"/>
  <c r="AY823" i="16"/>
  <c r="AY1615" i="16"/>
  <c r="AY1886" i="16"/>
  <c r="E438" i="76"/>
  <c r="AO438" i="16"/>
  <c r="O181" i="28"/>
  <c r="T181" i="28"/>
  <c r="AD181" i="28" s="1"/>
  <c r="AC181" i="28" s="1"/>
  <c r="E1395" i="76"/>
  <c r="AO1397" i="16"/>
  <c r="O1512" i="16"/>
  <c r="T1512" i="16"/>
  <c r="AD1512" i="16" s="1"/>
  <c r="AC1512" i="16" s="1"/>
  <c r="A179" i="66"/>
  <c r="A180" i="66" s="1"/>
  <c r="C180" i="66" s="1"/>
  <c r="C178" i="66"/>
  <c r="C416" i="66"/>
  <c r="A1675" i="66"/>
  <c r="C1675" i="66" s="1"/>
  <c r="C1674" i="66"/>
  <c r="BF1843" i="16"/>
  <c r="BF1572" i="16"/>
  <c r="BF1411" i="16"/>
  <c r="AY820" i="16"/>
  <c r="AY1612" i="16"/>
  <c r="AY1883" i="16"/>
  <c r="AY1451" i="16"/>
  <c r="AC528" i="16"/>
  <c r="AF528" i="16"/>
  <c r="AY1871" i="16"/>
  <c r="AY808" i="16"/>
  <c r="AY1439" i="16"/>
  <c r="AY1600" i="16"/>
  <c r="E1271" i="76"/>
  <c r="AO1273" i="16"/>
  <c r="T1691" i="16"/>
  <c r="AD1691" i="16" s="1"/>
  <c r="AC1691" i="16" s="1"/>
  <c r="O1691" i="16"/>
  <c r="AC1755" i="16"/>
  <c r="AC1796" i="16"/>
  <c r="C186" i="66"/>
  <c r="BI15" i="28"/>
  <c r="BI15" i="27"/>
  <c r="BI15" i="8"/>
  <c r="E1296" i="76"/>
  <c r="AC1368" i="16"/>
  <c r="AC1370" i="16"/>
  <c r="AC1830" i="16"/>
  <c r="AC1624" i="16"/>
  <c r="I1293" i="66"/>
  <c r="AO1654" i="16"/>
  <c r="AC1671" i="16"/>
  <c r="AC1710" i="16"/>
  <c r="AO1830" i="16"/>
  <c r="C1611" i="66"/>
  <c r="BI15" i="24"/>
  <c r="AC214" i="16"/>
  <c r="AF214" i="16"/>
  <c r="AO284" i="16"/>
  <c r="AO437" i="16"/>
  <c r="AO498" i="16"/>
  <c r="M110" i="27"/>
  <c r="AC601" i="25"/>
  <c r="AC33" i="28"/>
  <c r="AY1434" i="16"/>
  <c r="AY1595" i="16"/>
  <c r="AY1866" i="16"/>
  <c r="AC1365" i="16"/>
  <c r="AC1746" i="16"/>
  <c r="C352" i="66"/>
  <c r="C493" i="66"/>
  <c r="A494" i="66"/>
  <c r="A495" i="66" s="1"/>
  <c r="C495" i="66" s="1"/>
  <c r="C1050" i="66"/>
  <c r="AY1441" i="16"/>
  <c r="BI15" i="29"/>
  <c r="AO198" i="16"/>
  <c r="AO410" i="16"/>
  <c r="AO716" i="16"/>
  <c r="AC1367" i="16"/>
  <c r="AC1369" i="16"/>
  <c r="AC1371" i="16"/>
  <c r="AC1400" i="16"/>
  <c r="M1586" i="16"/>
  <c r="AM1586" i="16" s="1"/>
  <c r="AO1561" i="16"/>
  <c r="C36" i="66"/>
  <c r="A37" i="66"/>
  <c r="C37" i="66" s="1"/>
  <c r="AY1602" i="16"/>
  <c r="AY1873" i="16"/>
  <c r="AY810" i="16"/>
  <c r="AC1689" i="16"/>
  <c r="G158" i="16"/>
  <c r="A2006" i="66"/>
  <c r="A2007" i="66" s="1"/>
  <c r="A2008" i="66" s="1"/>
  <c r="A2009" i="66" s="1"/>
  <c r="C2009" i="66" s="1"/>
  <c r="C2011" i="66"/>
  <c r="C301" i="66"/>
  <c r="C503" i="66"/>
  <c r="A504" i="66"/>
  <c r="C504" i="66" s="1"/>
  <c r="C977" i="66"/>
  <c r="A978" i="66"/>
  <c r="A1590" i="66"/>
  <c r="C1590" i="66" s="1"/>
  <c r="C1589" i="66"/>
  <c r="AC1261" i="16"/>
  <c r="S127" i="29"/>
  <c r="T127" i="29" s="1"/>
  <c r="AD127" i="29" s="1"/>
  <c r="S81" i="29"/>
  <c r="O78" i="29" s="1"/>
  <c r="S15" i="29"/>
  <c r="AY803" i="16"/>
  <c r="C44" i="66"/>
  <c r="C409" i="66"/>
  <c r="C1243" i="66"/>
  <c r="AY1876" i="16"/>
  <c r="AY1858" i="16"/>
  <c r="C82" i="66"/>
  <c r="C415" i="66"/>
  <c r="C407" i="66"/>
  <c r="C351" i="66"/>
  <c r="C1347" i="66"/>
  <c r="C1819" i="66"/>
  <c r="C12" i="17"/>
  <c r="C807" i="66"/>
  <c r="C1388" i="66"/>
  <c r="AY1851" i="16"/>
  <c r="AY1597" i="16"/>
  <c r="AY1577" i="16"/>
  <c r="AY1419" i="16"/>
  <c r="AY795" i="16"/>
  <c r="AY778" i="16"/>
  <c r="C257" i="66"/>
  <c r="C225" i="66"/>
  <c r="C201" i="66"/>
  <c r="C185" i="66"/>
  <c r="C177" i="66"/>
  <c r="C153" i="66"/>
  <c r="C145" i="66"/>
  <c r="C129" i="66"/>
  <c r="C113" i="66"/>
  <c r="C89" i="66"/>
  <c r="C65" i="66"/>
  <c r="C17" i="66"/>
  <c r="C286" i="66"/>
  <c r="C1272" i="66"/>
  <c r="C1232" i="66"/>
  <c r="C1112" i="66"/>
  <c r="C984" i="66"/>
  <c r="C976" i="66"/>
  <c r="C968" i="66"/>
  <c r="C901" i="66"/>
  <c r="C805" i="66"/>
  <c r="C1538" i="66"/>
  <c r="C1834" i="66"/>
  <c r="C1794" i="66"/>
  <c r="C1786" i="66"/>
  <c r="C1738" i="66"/>
  <c r="C1690" i="66"/>
  <c r="C1650" i="66"/>
  <c r="C2012" i="66"/>
  <c r="C12" i="18"/>
  <c r="C1250" i="66"/>
  <c r="C59" i="66"/>
  <c r="C288" i="66"/>
  <c r="C608" i="66"/>
  <c r="C152" i="66"/>
  <c r="C56" i="66"/>
  <c r="AC1614" i="16"/>
  <c r="C299" i="66"/>
  <c r="AY1848" i="16"/>
  <c r="AY1436" i="16"/>
  <c r="AY1416" i="16"/>
  <c r="C199" i="66"/>
  <c r="C1376" i="66"/>
  <c r="C803" i="66"/>
  <c r="C2010" i="66"/>
  <c r="C707" i="66"/>
  <c r="AY1582" i="16"/>
  <c r="C69" i="66"/>
  <c r="C1734" i="66"/>
  <c r="AF1001" i="16"/>
  <c r="AF995" i="16"/>
  <c r="O77" i="16"/>
  <c r="T269" i="28"/>
  <c r="AD269" i="28" s="1"/>
  <c r="AC269" i="28" s="1"/>
  <c r="O269" i="28"/>
  <c r="N1826" i="16" s="1"/>
  <c r="T246" i="25"/>
  <c r="C1371" i="66"/>
  <c r="A1823" i="66"/>
  <c r="C1823" i="66" s="1"/>
  <c r="C401" i="66"/>
  <c r="A1599" i="66"/>
  <c r="C1599" i="66" s="1"/>
  <c r="A334" i="66"/>
  <c r="A342" i="66"/>
  <c r="C342" i="66" s="1"/>
  <c r="A46" i="66"/>
  <c r="O592" i="25"/>
  <c r="S36" i="28"/>
  <c r="S545" i="25"/>
  <c r="A809" i="66"/>
  <c r="A1508" i="66"/>
  <c r="C1508" i="66" s="1"/>
  <c r="A1563" i="66"/>
  <c r="C1563" i="66" s="1"/>
  <c r="C1264" i="66"/>
  <c r="A892" i="66"/>
  <c r="A893" i="66" s="1"/>
  <c r="A1553" i="66"/>
  <c r="C1553" i="66" s="1"/>
  <c r="I952" i="66"/>
  <c r="A142" i="66"/>
  <c r="C287" i="66"/>
  <c r="C1992" i="66"/>
  <c r="A353" i="66"/>
  <c r="A350" i="66" s="1"/>
  <c r="A1604" i="66"/>
  <c r="C1604" i="66" s="1"/>
  <c r="C1498" i="66"/>
  <c r="C1008" i="66"/>
  <c r="C488" i="66"/>
  <c r="C1548" i="66"/>
  <c r="T84" i="29"/>
  <c r="AD84" i="29" s="1"/>
  <c r="C57" i="66"/>
  <c r="C1387" i="66"/>
  <c r="A709" i="66"/>
  <c r="C709" i="66" s="1"/>
  <c r="C708" i="66"/>
  <c r="C54" i="66"/>
  <c r="C66" i="66"/>
  <c r="C1248" i="66"/>
  <c r="C1778" i="66"/>
  <c r="C1682" i="66"/>
  <c r="C1626" i="66"/>
  <c r="C1602" i="66"/>
  <c r="C1224" i="66"/>
  <c r="C1314" i="66"/>
  <c r="C896" i="66"/>
  <c r="C194" i="66"/>
  <c r="C154" i="66"/>
  <c r="C130" i="66"/>
  <c r="C122" i="66"/>
  <c r="C106" i="66"/>
  <c r="C90" i="66"/>
  <c r="C58" i="66"/>
  <c r="C26" i="66"/>
  <c r="C1395" i="66"/>
  <c r="C1307" i="66"/>
  <c r="C1299" i="66"/>
  <c r="C1049" i="66"/>
  <c r="C854" i="66"/>
  <c r="C806" i="66"/>
  <c r="C1803" i="66"/>
  <c r="C1747" i="66"/>
  <c r="C1997" i="66"/>
  <c r="C1330" i="66"/>
  <c r="C606" i="66"/>
  <c r="C248" i="66"/>
  <c r="C224" i="66"/>
  <c r="C192" i="66"/>
  <c r="C184" i="66"/>
  <c r="C128" i="66"/>
  <c r="C64" i="66"/>
  <c r="C24" i="66"/>
  <c r="C16" i="66"/>
  <c r="C1377" i="66"/>
  <c r="C1329" i="66"/>
  <c r="C1271" i="66"/>
  <c r="C1263" i="66"/>
  <c r="C1239" i="66"/>
  <c r="C1223" i="66"/>
  <c r="C1167" i="66"/>
  <c r="C1111" i="66"/>
  <c r="C1007" i="66"/>
  <c r="C884" i="66"/>
  <c r="C820" i="66"/>
  <c r="C812" i="66"/>
  <c r="C804" i="66"/>
  <c r="C788" i="66"/>
  <c r="C1561" i="66"/>
  <c r="C1537" i="66"/>
  <c r="C1521" i="66"/>
  <c r="C1513" i="66"/>
  <c r="C1505" i="66"/>
  <c r="C1497" i="66"/>
  <c r="C1473" i="66"/>
  <c r="C1833" i="66"/>
  <c r="C1785" i="66"/>
  <c r="C1777" i="66"/>
  <c r="C1713" i="66"/>
  <c r="C1689" i="66"/>
  <c r="C1673" i="66"/>
  <c r="C1609" i="66"/>
  <c r="A683" i="66"/>
  <c r="A684" i="66" s="1"/>
  <c r="A685" i="66" s="1"/>
  <c r="C255" i="66"/>
  <c r="C215" i="66"/>
  <c r="C87" i="66"/>
  <c r="C71" i="66"/>
  <c r="C55" i="66"/>
  <c r="C15" i="66"/>
  <c r="C556" i="66"/>
  <c r="C532" i="66"/>
  <c r="C492" i="66"/>
  <c r="C468" i="66"/>
  <c r="C404" i="66"/>
  <c r="C364" i="66"/>
  <c r="C340" i="66"/>
  <c r="C332" i="66"/>
  <c r="C1344" i="66"/>
  <c r="C1262" i="66"/>
  <c r="C1166" i="66"/>
  <c r="C1110" i="66"/>
  <c r="C1006" i="66"/>
  <c r="C939" i="66"/>
  <c r="C923" i="66"/>
  <c r="C1512" i="66"/>
  <c r="C1504" i="66"/>
  <c r="C1496" i="66"/>
  <c r="C1472" i="66"/>
  <c r="C1824" i="66"/>
  <c r="C1792" i="66"/>
  <c r="C1736" i="66"/>
  <c r="C1616" i="66"/>
  <c r="C1600" i="66"/>
  <c r="C1994" i="66"/>
  <c r="C254" i="66"/>
  <c r="C222" i="66"/>
  <c r="C206" i="66"/>
  <c r="C150" i="66"/>
  <c r="C134" i="66"/>
  <c r="C102" i="66"/>
  <c r="C86" i="66"/>
  <c r="C78" i="66"/>
  <c r="C62" i="66"/>
  <c r="C38" i="66"/>
  <c r="C22" i="66"/>
  <c r="C547" i="66"/>
  <c r="C363" i="66"/>
  <c r="C1327" i="66"/>
  <c r="C1261" i="66"/>
  <c r="C1253" i="66"/>
  <c r="C906" i="66"/>
  <c r="C890" i="66"/>
  <c r="C818" i="66"/>
  <c r="C1559" i="66"/>
  <c r="C1551" i="66"/>
  <c r="C1535" i="66"/>
  <c r="C1807" i="66"/>
  <c r="C1799" i="66"/>
  <c r="C1775" i="66"/>
  <c r="C1743" i="66"/>
  <c r="C1647" i="66"/>
  <c r="C1607" i="66"/>
  <c r="C1591" i="66"/>
  <c r="C1567" i="66"/>
  <c r="C1977" i="66"/>
  <c r="C813" i="66"/>
  <c r="C245" i="66"/>
  <c r="C197" i="66"/>
  <c r="C61" i="66"/>
  <c r="C618" i="66"/>
  <c r="C402" i="66"/>
  <c r="C354" i="66"/>
  <c r="C306" i="66"/>
  <c r="C298" i="66"/>
  <c r="C1236" i="66"/>
  <c r="C881" i="66"/>
  <c r="C857" i="66"/>
  <c r="C1510" i="66"/>
  <c r="C1790" i="66"/>
  <c r="C1766" i="66"/>
  <c r="C1718" i="66"/>
  <c r="C1694" i="66"/>
  <c r="C1622" i="66"/>
  <c r="C1614" i="66"/>
  <c r="C156" i="66"/>
  <c r="C140" i="66"/>
  <c r="C132" i="66"/>
  <c r="C84" i="66"/>
  <c r="C76" i="66"/>
  <c r="C68" i="66"/>
  <c r="C60" i="66"/>
  <c r="C20" i="66"/>
  <c r="C497" i="66"/>
  <c r="C489" i="66"/>
  <c r="C289" i="66"/>
  <c r="C936" i="66"/>
  <c r="C816" i="66"/>
  <c r="C1517" i="66"/>
  <c r="C1797" i="66"/>
  <c r="C1789" i="66"/>
  <c r="C1645" i="66"/>
  <c r="C1597" i="66"/>
  <c r="C1573" i="66"/>
  <c r="C1975" i="66"/>
  <c r="C1887" i="66"/>
  <c r="C533" i="66"/>
  <c r="C235" i="66"/>
  <c r="C203" i="66"/>
  <c r="C195" i="66"/>
  <c r="C187" i="66"/>
  <c r="C155" i="66"/>
  <c r="C147" i="66"/>
  <c r="C139" i="66"/>
  <c r="C131" i="66"/>
  <c r="C107" i="66"/>
  <c r="C99" i="66"/>
  <c r="C91" i="66"/>
  <c r="C83" i="66"/>
  <c r="C35" i="66"/>
  <c r="C27" i="66"/>
  <c r="C520" i="66"/>
  <c r="C304" i="66"/>
  <c r="C1258" i="66"/>
  <c r="C1138" i="66"/>
  <c r="C1114" i="66"/>
  <c r="C1082" i="66"/>
  <c r="C1074" i="66"/>
  <c r="C1066" i="66"/>
  <c r="C954" i="66"/>
  <c r="C1556" i="66"/>
  <c r="C1828" i="66"/>
  <c r="C1820" i="66"/>
  <c r="C1780" i="66"/>
  <c r="C1756" i="66"/>
  <c r="C1748" i="66"/>
  <c r="C1740" i="66"/>
  <c r="C1700" i="66"/>
  <c r="C1628" i="66"/>
  <c r="C1612" i="66"/>
  <c r="C1588" i="66"/>
  <c r="C1886" i="66"/>
  <c r="AO155" i="16"/>
  <c r="AO151" i="16"/>
  <c r="AO308" i="16"/>
  <c r="E223" i="76"/>
  <c r="AO223" i="16"/>
  <c r="E618" i="76"/>
  <c r="AO618" i="16"/>
  <c r="AC1341" i="16"/>
  <c r="T1393" i="16"/>
  <c r="AD1393" i="16" s="1"/>
  <c r="AC1393" i="16" s="1"/>
  <c r="O1393" i="16"/>
  <c r="AO1393" i="16" s="1"/>
  <c r="E1471" i="76"/>
  <c r="AO1473" i="16"/>
  <c r="M1609" i="16"/>
  <c r="AE1609" i="16"/>
  <c r="AF1609" i="16" s="1"/>
  <c r="AO153" i="16"/>
  <c r="E56" i="76"/>
  <c r="AO56" i="16"/>
  <c r="E185" i="76"/>
  <c r="AO185" i="16"/>
  <c r="E1280" i="76"/>
  <c r="AO1282" i="16"/>
  <c r="O1496" i="16"/>
  <c r="T1496" i="16"/>
  <c r="AD1496" i="16" s="1"/>
  <c r="AC1496" i="16" s="1"/>
  <c r="E100" i="76"/>
  <c r="AO100" i="16"/>
  <c r="AC1381" i="16"/>
  <c r="AO57" i="16"/>
  <c r="E204" i="76"/>
  <c r="AO204" i="16"/>
  <c r="AC1378" i="16"/>
  <c r="E1500" i="76"/>
  <c r="AO1502" i="16"/>
  <c r="AC208" i="16"/>
  <c r="E21" i="76"/>
  <c r="AO21" i="16"/>
  <c r="E479" i="76"/>
  <c r="AO479" i="16"/>
  <c r="E1299" i="76"/>
  <c r="AO1301" i="16"/>
  <c r="E1502" i="76"/>
  <c r="AO1504" i="16"/>
  <c r="O268" i="16"/>
  <c r="E268" i="76" s="1"/>
  <c r="E69" i="76"/>
  <c r="AO69" i="16"/>
  <c r="AC493" i="16"/>
  <c r="AC632" i="16"/>
  <c r="AC1376" i="16"/>
  <c r="AC1736" i="16"/>
  <c r="AC1616" i="16"/>
  <c r="AC1374" i="16"/>
  <c r="AO307" i="16"/>
  <c r="E195" i="76"/>
  <c r="AO195" i="16"/>
  <c r="AO23" i="16"/>
  <c r="AO83" i="16"/>
  <c r="AO103" i="16"/>
  <c r="AO186" i="16"/>
  <c r="AO196" i="16"/>
  <c r="AO207" i="16"/>
  <c r="AO403" i="16"/>
  <c r="AO408" i="16"/>
  <c r="AO489" i="16"/>
  <c r="AO619" i="16"/>
  <c r="AO1336" i="16"/>
  <c r="AC1636" i="16"/>
  <c r="O1609" i="16"/>
  <c r="AO1675" i="16"/>
  <c r="AO1749" i="16"/>
  <c r="AO1753" i="16"/>
  <c r="AO62" i="16"/>
  <c r="AO287" i="16"/>
  <c r="AO296" i="16"/>
  <c r="AO355" i="16"/>
  <c r="AO504" i="16"/>
  <c r="AO533" i="16"/>
  <c r="AO752" i="16"/>
  <c r="E13" i="76"/>
  <c r="T1473" i="16"/>
  <c r="AD1473" i="16" s="1"/>
  <c r="AC1473" i="16" s="1"/>
  <c r="AO1821" i="16"/>
  <c r="AC1738" i="16"/>
  <c r="AO1442" i="16"/>
  <c r="T1504" i="16"/>
  <c r="AD1504" i="16" s="1"/>
  <c r="AC1504" i="16" s="1"/>
  <c r="AO1569" i="16"/>
  <c r="AO1575" i="16"/>
  <c r="AC1590" i="16"/>
  <c r="AO1792" i="16"/>
  <c r="AO1346" i="16"/>
  <c r="O1356" i="16"/>
  <c r="E1354" i="76" s="1"/>
  <c r="AO290" i="16"/>
  <c r="AO297" i="16"/>
  <c r="AO364" i="16"/>
  <c r="AO434" i="16"/>
  <c r="AO510" i="16"/>
  <c r="AO548" i="16"/>
  <c r="AO601" i="16"/>
  <c r="AO36" i="16"/>
  <c r="AO27" i="16"/>
  <c r="AO1221" i="16"/>
  <c r="AO1374" i="16"/>
  <c r="AO1376" i="16"/>
  <c r="AO1378" i="16"/>
  <c r="AC1711" i="16"/>
  <c r="AO1715" i="16"/>
  <c r="AO45" i="16"/>
  <c r="AO59" i="16"/>
  <c r="AO92" i="16"/>
  <c r="AO193" i="16"/>
  <c r="AO200" i="16"/>
  <c r="AO216" i="16"/>
  <c r="AO246" i="16"/>
  <c r="AO412" i="16"/>
  <c r="AO450" i="16"/>
  <c r="AO475" i="16"/>
  <c r="AO478" i="16"/>
  <c r="AO616" i="16"/>
  <c r="AC1366" i="16"/>
  <c r="AO1437" i="16"/>
  <c r="E1435" i="76"/>
  <c r="T1609" i="16"/>
  <c r="AD1609" i="16" s="1"/>
  <c r="AO1540" i="16"/>
  <c r="M1736" i="16"/>
  <c r="AO1614" i="16"/>
  <c r="AO1550" i="16"/>
  <c r="AO1553" i="16"/>
  <c r="AC1633" i="16"/>
  <c r="AO1647" i="16"/>
  <c r="AO1649" i="16"/>
  <c r="AO1758" i="16"/>
  <c r="AO1799" i="16"/>
  <c r="E1258" i="76"/>
  <c r="AO1260" i="16"/>
  <c r="T1010" i="16"/>
  <c r="G184" i="16"/>
  <c r="T1073" i="16"/>
  <c r="G615" i="16"/>
  <c r="AO953" i="16"/>
  <c r="E952" i="76"/>
  <c r="AO1400" i="16"/>
  <c r="T17" i="16"/>
  <c r="AD17" i="16" s="1"/>
  <c r="AC17" i="16" s="1"/>
  <c r="E1807" i="76"/>
  <c r="E1803" i="76"/>
  <c r="E1766" i="76"/>
  <c r="E1623" i="76"/>
  <c r="E1581" i="76"/>
  <c r="E1541" i="76"/>
  <c r="E1532" i="76"/>
  <c r="E1521" i="76"/>
  <c r="E1488" i="76"/>
  <c r="E1479" i="76"/>
  <c r="E1472" i="76"/>
  <c r="E1467" i="76"/>
  <c r="E1462" i="76"/>
  <c r="E1457" i="76"/>
  <c r="E1448" i="76"/>
  <c r="E1441" i="76"/>
  <c r="E1347" i="76"/>
  <c r="E1232" i="76"/>
  <c r="E708" i="76"/>
  <c r="E631" i="76"/>
  <c r="E622" i="76"/>
  <c r="E607" i="76"/>
  <c r="E451" i="76"/>
  <c r="E442" i="76"/>
  <c r="E315" i="76"/>
  <c r="E310" i="76"/>
  <c r="E249" i="76"/>
  <c r="E230" i="76"/>
  <c r="E226" i="76"/>
  <c r="E170" i="76"/>
  <c r="E135" i="76"/>
  <c r="E123" i="76"/>
  <c r="E114" i="76"/>
  <c r="E107" i="76"/>
  <c r="E72" i="76"/>
  <c r="C1999" i="66"/>
  <c r="AE84" i="29"/>
  <c r="M60" i="29"/>
  <c r="AM60" i="29" s="1"/>
  <c r="AE60" i="29"/>
  <c r="C2013" i="66"/>
  <c r="G2013" i="16"/>
  <c r="C1888" i="66"/>
  <c r="A1889" i="66"/>
  <c r="C1889" i="66" s="1"/>
  <c r="C1993" i="66"/>
  <c r="C1978" i="66"/>
  <c r="C1998" i="66"/>
  <c r="A1996" i="66"/>
  <c r="C1996" i="66" s="1"/>
  <c r="S100" i="29"/>
  <c r="T60" i="29"/>
  <c r="AD60" i="29" s="1"/>
  <c r="A1631" i="66"/>
  <c r="C1629" i="66"/>
  <c r="N1779" i="16"/>
  <c r="AO222" i="28"/>
  <c r="I1777" i="66"/>
  <c r="C1601" i="66"/>
  <c r="C1714" i="66"/>
  <c r="A1715" i="66"/>
  <c r="A1570" i="66"/>
  <c r="C1570" i="66" s="1"/>
  <c r="C1569" i="66"/>
  <c r="C1701" i="66"/>
  <c r="AE211" i="28"/>
  <c r="O264" i="28"/>
  <c r="C1568" i="66"/>
  <c r="O225" i="28"/>
  <c r="A1643" i="66"/>
  <c r="C1643" i="66" s="1"/>
  <c r="A962" i="66"/>
  <c r="C1009" i="66"/>
  <c r="A1010" i="66"/>
  <c r="C1010" i="66" s="1"/>
  <c r="A886" i="66"/>
  <c r="C885" i="66"/>
  <c r="C1398" i="66"/>
  <c r="A790" i="66"/>
  <c r="C789" i="66"/>
  <c r="A781" i="66"/>
  <c r="C781" i="66" s="1"/>
  <c r="C1325" i="66"/>
  <c r="C1195" i="66"/>
  <c r="A1326" i="66"/>
  <c r="C821" i="66"/>
  <c r="A822" i="66"/>
  <c r="C822" i="66" s="1"/>
  <c r="C815" i="66"/>
  <c r="C1256" i="66"/>
  <c r="O19" i="10"/>
  <c r="T194" i="25" s="1"/>
  <c r="A1335" i="66"/>
  <c r="C1335" i="66" s="1"/>
  <c r="C961" i="66"/>
  <c r="C1399" i="66"/>
  <c r="A1400" i="66"/>
  <c r="C1400" i="66" s="1"/>
  <c r="C1072" i="66"/>
  <c r="A814" i="66"/>
  <c r="A811" i="66" s="1"/>
  <c r="C819" i="66"/>
  <c r="C1313" i="66"/>
  <c r="A414" i="66"/>
  <c r="C414" i="66" s="1"/>
  <c r="C413" i="66"/>
  <c r="C534" i="66"/>
  <c r="A535" i="66"/>
  <c r="C768" i="66"/>
  <c r="A769" i="66"/>
  <c r="A770" i="66" s="1"/>
  <c r="C770" i="66" s="1"/>
  <c r="A753" i="66"/>
  <c r="A609" i="66"/>
  <c r="C609" i="66" s="1"/>
  <c r="C751" i="66"/>
  <c r="C463" i="66"/>
  <c r="A710" i="66"/>
  <c r="T121" i="24"/>
  <c r="AD121" i="24" s="1"/>
  <c r="AC121" i="24" s="1"/>
  <c r="O121" i="24"/>
  <c r="C726" i="66"/>
  <c r="C478" i="66"/>
  <c r="C757" i="66"/>
  <c r="C509" i="66"/>
  <c r="A362" i="66"/>
  <c r="A622" i="66"/>
  <c r="C621" i="66"/>
  <c r="C516" i="66"/>
  <c r="C412" i="66"/>
  <c r="C308" i="66"/>
  <c r="C300" i="66"/>
  <c r="C284" i="66"/>
  <c r="S104" i="24"/>
  <c r="S105" i="24"/>
  <c r="T105" i="24" s="1"/>
  <c r="AD105" i="24" s="1"/>
  <c r="AC105" i="24" s="1"/>
  <c r="S123" i="24"/>
  <c r="S117" i="24"/>
  <c r="A282" i="66"/>
  <c r="C282" i="66" s="1"/>
  <c r="C499" i="66"/>
  <c r="C411" i="66"/>
  <c r="C307" i="66"/>
  <c r="C283" i="66"/>
  <c r="A376" i="66"/>
  <c r="C510" i="66"/>
  <c r="A511" i="66"/>
  <c r="C511" i="66" s="1"/>
  <c r="C290" i="66"/>
  <c r="A268" i="66"/>
  <c r="C267" i="66"/>
  <c r="C400" i="66"/>
  <c r="C767" i="66"/>
  <c r="C465" i="66"/>
  <c r="C377" i="66"/>
  <c r="C361" i="66"/>
  <c r="C305" i="66"/>
  <c r="C375" i="66"/>
  <c r="C607" i="66"/>
  <c r="G292" i="16"/>
  <c r="G293" i="16" s="1"/>
  <c r="A104" i="66"/>
  <c r="C103" i="66"/>
  <c r="C198" i="66"/>
  <c r="C229" i="66"/>
  <c r="A109" i="66"/>
  <c r="C109" i="66" s="1"/>
  <c r="C28" i="66"/>
  <c r="C85" i="66"/>
  <c r="A247" i="66"/>
  <c r="C247" i="66" s="1"/>
  <c r="A164" i="66"/>
  <c r="T1364" i="16"/>
  <c r="AD1364" i="16" s="1"/>
  <c r="AC1364" i="16" s="1"/>
  <c r="O466" i="16"/>
  <c r="AC1586" i="16"/>
  <c r="O1590" i="16"/>
  <c r="AO33" i="28"/>
  <c r="N1590" i="16"/>
  <c r="I5" i="24"/>
  <c r="I5" i="28"/>
  <c r="I5" i="25"/>
  <c r="I5" i="8"/>
  <c r="I5" i="27"/>
  <c r="A1586" i="66"/>
  <c r="C1585" i="66"/>
  <c r="C1584" i="66"/>
  <c r="T41" i="27"/>
  <c r="AD41" i="27" s="1"/>
  <c r="AC41" i="27" s="1"/>
  <c r="O41" i="27"/>
  <c r="T477" i="25"/>
  <c r="AD477" i="25" s="1"/>
  <c r="AC477" i="25" s="1"/>
  <c r="T40" i="8"/>
  <c r="AD40" i="8" s="1"/>
  <c r="AO708" i="16"/>
  <c r="AM133" i="16"/>
  <c r="O133" i="16"/>
  <c r="O382" i="16"/>
  <c r="T382" i="16"/>
  <c r="AD382" i="16" s="1"/>
  <c r="AC382" i="16" s="1"/>
  <c r="O129" i="24"/>
  <c r="T129" i="24"/>
  <c r="AD129" i="24" s="1"/>
  <c r="AC129" i="24" s="1"/>
  <c r="AM136" i="16"/>
  <c r="AO63" i="27"/>
  <c r="I1457" i="66"/>
  <c r="N1459" i="16"/>
  <c r="T143" i="24"/>
  <c r="AD143" i="24" s="1"/>
  <c r="AC143" i="24" s="1"/>
  <c r="O143" i="24"/>
  <c r="I309" i="66"/>
  <c r="AO55" i="24"/>
  <c r="N310" i="16"/>
  <c r="AO187" i="24"/>
  <c r="N442" i="16"/>
  <c r="I441" i="66"/>
  <c r="O146" i="16"/>
  <c r="AM146" i="16"/>
  <c r="T625" i="25"/>
  <c r="AD625" i="25" s="1"/>
  <c r="AC625" i="25" s="1"/>
  <c r="O625" i="25"/>
  <c r="AM129" i="16"/>
  <c r="O129" i="16"/>
  <c r="S1118" i="16"/>
  <c r="S1095" i="16"/>
  <c r="R799" i="16"/>
  <c r="AE799" i="16" s="1"/>
  <c r="AF799" i="16" s="1"/>
  <c r="S1191" i="16"/>
  <c r="T1191" i="16" s="1"/>
  <c r="AD1191" i="16" s="1"/>
  <c r="AC1191" i="16" s="1"/>
  <c r="S1185" i="16"/>
  <c r="T1185" i="16" s="1"/>
  <c r="AD1185" i="16" s="1"/>
  <c r="AC1185" i="16" s="1"/>
  <c r="S1050" i="16"/>
  <c r="S1114" i="16"/>
  <c r="S1179" i="16"/>
  <c r="T1179" i="16" s="1"/>
  <c r="AD1179" i="16" s="1"/>
  <c r="AC1179" i="16" s="1"/>
  <c r="S885" i="16"/>
  <c r="S1112" i="16"/>
  <c r="S985" i="16"/>
  <c r="T985" i="16" s="1"/>
  <c r="AD985" i="16" s="1"/>
  <c r="AC985" i="16" s="1"/>
  <c r="S901" i="16"/>
  <c r="S1001" i="16"/>
  <c r="T1001" i="16" s="1"/>
  <c r="AD1001" i="16" s="1"/>
  <c r="AC1001" i="16" s="1"/>
  <c r="S1168" i="16"/>
  <c r="S1051" i="16"/>
  <c r="S995" i="16"/>
  <c r="T995" i="16" s="1"/>
  <c r="AD995" i="16" s="1"/>
  <c r="AC995" i="16" s="1"/>
  <c r="S1178" i="16"/>
  <c r="T1178" i="16" s="1"/>
  <c r="AD1178" i="16" s="1"/>
  <c r="AC1178" i="16" s="1"/>
  <c r="S913" i="16"/>
  <c r="S1176" i="16"/>
  <c r="T1176" i="16" s="1"/>
  <c r="AD1176" i="16" s="1"/>
  <c r="AC1176" i="16" s="1"/>
  <c r="S804" i="16"/>
  <c r="S1136" i="16"/>
  <c r="S899" i="16"/>
  <c r="S954" i="16"/>
  <c r="T954" i="16" s="1"/>
  <c r="AD954" i="16" s="1"/>
  <c r="AC954" i="16" s="1"/>
  <c r="S1135" i="16"/>
  <c r="S1182" i="16"/>
  <c r="S1128" i="16"/>
  <c r="S1225" i="16"/>
  <c r="S891" i="16"/>
  <c r="S1193" i="16"/>
  <c r="T1193" i="16" s="1"/>
  <c r="AD1193" i="16" s="1"/>
  <c r="AC1193" i="16" s="1"/>
  <c r="S1056" i="16"/>
  <c r="S807" i="16"/>
  <c r="S977" i="16"/>
  <c r="S1068" i="16"/>
  <c r="S1097" i="16"/>
  <c r="T1097" i="16" s="1"/>
  <c r="AD1097" i="16" s="1"/>
  <c r="AC1097" i="16" s="1"/>
  <c r="S1061" i="16"/>
  <c r="T1061" i="16" s="1"/>
  <c r="AD1061" i="16" s="1"/>
  <c r="AC1061" i="16" s="1"/>
  <c r="S1007" i="16"/>
  <c r="S799" i="16"/>
  <c r="T799" i="16" s="1"/>
  <c r="AD799" i="16" s="1"/>
  <c r="S948" i="16"/>
  <c r="T948" i="16" s="1"/>
  <c r="AD948" i="16" s="1"/>
  <c r="AC948" i="16" s="1"/>
  <c r="S1180" i="16"/>
  <c r="T1180" i="16" s="1"/>
  <c r="AD1180" i="16" s="1"/>
  <c r="AC1180" i="16" s="1"/>
  <c r="S1195" i="16"/>
  <c r="T1195" i="16" s="1"/>
  <c r="AD1195" i="16" s="1"/>
  <c r="AC1195" i="16" s="1"/>
  <c r="S1137" i="16"/>
  <c r="S790" i="16"/>
  <c r="S1140" i="16"/>
  <c r="S969" i="16"/>
  <c r="S962" i="16"/>
  <c r="T962" i="16" s="1"/>
  <c r="S907" i="16"/>
  <c r="S823" i="16"/>
  <c r="S946" i="16"/>
  <c r="T946" i="16" s="1"/>
  <c r="AD946" i="16" s="1"/>
  <c r="AC946" i="16" s="1"/>
  <c r="S1130" i="16"/>
  <c r="S1044" i="16"/>
  <c r="S955" i="16"/>
  <c r="O390" i="16"/>
  <c r="T390" i="16"/>
  <c r="AD390" i="16" s="1"/>
  <c r="AC390" i="16" s="1"/>
  <c r="O141" i="16"/>
  <c r="AM141" i="16"/>
  <c r="I450" i="66"/>
  <c r="N451" i="16"/>
  <c r="AO196" i="24"/>
  <c r="O384" i="16"/>
  <c r="T384" i="16"/>
  <c r="AD384" i="16" s="1"/>
  <c r="AC384" i="16" s="1"/>
  <c r="AO114" i="16"/>
  <c r="T466" i="16"/>
  <c r="AD466" i="16" s="1"/>
  <c r="AC466" i="16" s="1"/>
  <c r="AO1474" i="16"/>
  <c r="I225" i="66"/>
  <c r="N226" i="16"/>
  <c r="AO227" i="8"/>
  <c r="O565" i="25"/>
  <c r="T565" i="25"/>
  <c r="AD565" i="25" s="1"/>
  <c r="AC565" i="25" s="1"/>
  <c r="N607" i="16"/>
  <c r="I606" i="66"/>
  <c r="AO352" i="24"/>
  <c r="AD1408" i="16"/>
  <c r="AC1408" i="16" s="1"/>
  <c r="AM126" i="16"/>
  <c r="T481" i="25"/>
  <c r="AD481" i="25" s="1"/>
  <c r="AC481" i="25" s="1"/>
  <c r="AO226" i="16"/>
  <c r="AO1543" i="16"/>
  <c r="I134" i="66"/>
  <c r="AO136" i="8"/>
  <c r="N135" i="16"/>
  <c r="AO72" i="16"/>
  <c r="O259" i="8"/>
  <c r="T259" i="8"/>
  <c r="AD259" i="8" s="1"/>
  <c r="AC259" i="8" s="1"/>
  <c r="AM138" i="16"/>
  <c r="T135" i="24"/>
  <c r="AD135" i="24" s="1"/>
  <c r="AC135" i="24" s="1"/>
  <c r="O135" i="24"/>
  <c r="AM128" i="16"/>
  <c r="I1472" i="66"/>
  <c r="AO78" i="27"/>
  <c r="N1474" i="16"/>
  <c r="I1623" i="66"/>
  <c r="N1625" i="16"/>
  <c r="AO68" i="28"/>
  <c r="O563" i="25"/>
  <c r="T563" i="25"/>
  <c r="AD563" i="25" s="1"/>
  <c r="AC563" i="25" s="1"/>
  <c r="O211" i="24"/>
  <c r="T211" i="24"/>
  <c r="AD211" i="24" s="1"/>
  <c r="AC211" i="24" s="1"/>
  <c r="I1467" i="66"/>
  <c r="A1464" i="66" s="1"/>
  <c r="N1469" i="16"/>
  <c r="G1469" i="16" s="1"/>
  <c r="AO73" i="27"/>
  <c r="O567" i="25"/>
  <c r="T567" i="25"/>
  <c r="AD567" i="25" s="1"/>
  <c r="AC567" i="25" s="1"/>
  <c r="I707" i="66"/>
  <c r="N708" i="16"/>
  <c r="AO453" i="24"/>
  <c r="AM127" i="16"/>
  <c r="AM141" i="8"/>
  <c r="O141" i="8"/>
  <c r="T226" i="8"/>
  <c r="AD226" i="8" s="1"/>
  <c r="AC226" i="8" s="1"/>
  <c r="O226" i="8"/>
  <c r="N1234" i="16"/>
  <c r="G1234" i="16" s="1"/>
  <c r="I1232" i="66"/>
  <c r="AO470" i="25"/>
  <c r="O573" i="16"/>
  <c r="AO230" i="16"/>
  <c r="O616" i="25"/>
  <c r="A1378" i="66" s="1"/>
  <c r="AO315" i="16"/>
  <c r="AM125" i="16"/>
  <c r="O256" i="8"/>
  <c r="T256" i="8"/>
  <c r="AD256" i="8" s="1"/>
  <c r="AC256" i="8" s="1"/>
  <c r="AO1523" i="16"/>
  <c r="AO1625" i="16"/>
  <c r="AO622" i="16"/>
  <c r="AO442" i="16"/>
  <c r="N1523" i="16"/>
  <c r="G1523" i="16" s="1"/>
  <c r="I1521" i="66"/>
  <c r="AO127" i="27"/>
  <c r="O665" i="16"/>
  <c r="I621" i="66"/>
  <c r="AO367" i="24"/>
  <c r="N622" i="16"/>
  <c r="T167" i="28"/>
  <c r="AD167" i="28" s="1"/>
  <c r="AC167" i="28" s="1"/>
  <c r="O165" i="28"/>
  <c r="A1720" i="66" s="1"/>
  <c r="AO135" i="16"/>
  <c r="AO1490" i="16"/>
  <c r="AO1481" i="16"/>
  <c r="M1487" i="16"/>
  <c r="AO1464" i="16"/>
  <c r="I106" i="66"/>
  <c r="AO108" i="8"/>
  <c r="N107" i="16"/>
  <c r="G107" i="16" s="1"/>
  <c r="O394" i="16"/>
  <c r="T394" i="16"/>
  <c r="AD394" i="16" s="1"/>
  <c r="AC394" i="16" s="1"/>
  <c r="I113" i="66"/>
  <c r="N114" i="16"/>
  <c r="AO115" i="8"/>
  <c r="AM147" i="8"/>
  <c r="O147" i="8"/>
  <c r="I1347" i="66"/>
  <c r="AO585" i="25"/>
  <c r="N1349" i="16"/>
  <c r="G1349" i="16" s="1"/>
  <c r="G1344" i="16" s="1"/>
  <c r="AM137" i="16"/>
  <c r="T61" i="28"/>
  <c r="AD61" i="28" s="1"/>
  <c r="O61" i="28"/>
  <c r="AO1349" i="16"/>
  <c r="AO1809" i="16"/>
  <c r="AO1583" i="16"/>
  <c r="AD12" i="27"/>
  <c r="I248" i="66"/>
  <c r="N249" i="16"/>
  <c r="AO250" i="8"/>
  <c r="T486" i="25"/>
  <c r="AD486" i="25" s="1"/>
  <c r="AC486" i="25" s="1"/>
  <c r="I1441" i="66"/>
  <c r="A1438" i="66" s="1"/>
  <c r="N1443" i="16"/>
  <c r="G1443" i="16" s="1"/>
  <c r="G1440" i="16" s="1"/>
  <c r="AO47" i="27"/>
  <c r="O173" i="28"/>
  <c r="T173" i="28"/>
  <c r="AD173" i="28" s="1"/>
  <c r="AC173" i="28" s="1"/>
  <c r="AO607" i="16"/>
  <c r="I1448" i="66"/>
  <c r="N1450" i="16"/>
  <c r="G1450" i="16" s="1"/>
  <c r="AO54" i="27"/>
  <c r="AO249" i="16"/>
  <c r="AO1469" i="16"/>
  <c r="AO1534" i="16"/>
  <c r="AM139" i="16"/>
  <c r="T168" i="28"/>
  <c r="AD168" i="28" s="1"/>
  <c r="AC168" i="28" s="1"/>
  <c r="T171" i="28"/>
  <c r="AD171" i="28" s="1"/>
  <c r="AC171" i="28" s="1"/>
  <c r="O171" i="28"/>
  <c r="T127" i="24"/>
  <c r="AD127" i="24" s="1"/>
  <c r="O127" i="24"/>
  <c r="AO123" i="16"/>
  <c r="O139" i="24"/>
  <c r="T139" i="24"/>
  <c r="AD139" i="24" s="1"/>
  <c r="AC139" i="24" s="1"/>
  <c r="O134" i="8"/>
  <c r="AM134" i="8"/>
  <c r="I1807" i="66"/>
  <c r="N1809" i="16"/>
  <c r="AO252" i="28"/>
  <c r="N1481" i="16"/>
  <c r="I1479" i="66"/>
  <c r="AO85" i="27"/>
  <c r="M91" i="27"/>
  <c r="AO1443" i="16"/>
  <c r="I630" i="66"/>
  <c r="N631" i="16"/>
  <c r="AO376" i="24"/>
  <c r="AO451" i="16"/>
  <c r="AO170" i="16"/>
  <c r="N1534" i="16"/>
  <c r="I1532" i="66"/>
  <c r="AO138" i="27"/>
  <c r="AM140" i="16"/>
  <c r="O140" i="16"/>
  <c r="AM131" i="16"/>
  <c r="O131" i="16"/>
  <c r="AO631" i="16"/>
  <c r="S1777" i="16"/>
  <c r="AO1768" i="16"/>
  <c r="AO1450" i="16"/>
  <c r="AO310" i="16"/>
  <c r="O398" i="16"/>
  <c r="T398" i="16"/>
  <c r="AD398" i="16" s="1"/>
  <c r="AC398" i="16" s="1"/>
  <c r="I1803" i="66"/>
  <c r="N1805" i="16"/>
  <c r="AO248" i="28"/>
  <c r="O318" i="24"/>
  <c r="A572" i="66" s="1"/>
  <c r="AO107" i="16"/>
  <c r="AO1234" i="16"/>
  <c r="AO1459" i="16"/>
  <c r="AO1805" i="16"/>
  <c r="S39" i="16"/>
  <c r="O94" i="27"/>
  <c r="M126" i="8"/>
  <c r="S813" i="16"/>
  <c r="O231" i="8"/>
  <c r="M129" i="8"/>
  <c r="O26" i="28"/>
  <c r="S1245" i="16"/>
  <c r="O477" i="25"/>
  <c r="S821" i="16"/>
  <c r="M128" i="8"/>
  <c r="R424" i="24"/>
  <c r="O68" i="27"/>
  <c r="S258" i="16"/>
  <c r="M140" i="8"/>
  <c r="M137" i="8"/>
  <c r="O1407" i="16"/>
  <c r="M127" i="8"/>
  <c r="S13" i="25"/>
  <c r="O171" i="8"/>
  <c r="N10" i="3"/>
  <c r="O11" i="27"/>
  <c r="S1389" i="16"/>
  <c r="O36" i="28"/>
  <c r="O486" i="25"/>
  <c r="S817" i="16"/>
  <c r="M142" i="8"/>
  <c r="O124" i="8"/>
  <c r="S1618" i="16"/>
  <c r="O40" i="8"/>
  <c r="S225" i="16"/>
  <c r="O147" i="27"/>
  <c r="S1241" i="16"/>
  <c r="Y10" i="3"/>
  <c r="S1327" i="16"/>
  <c r="M139" i="8"/>
  <c r="S255" i="16"/>
  <c r="S1730" i="16"/>
  <c r="S1728" i="16"/>
  <c r="S1517" i="16"/>
  <c r="S940" i="16"/>
  <c r="S1250" i="16"/>
  <c r="O211" i="28"/>
  <c r="O23" i="28"/>
  <c r="S1329" i="16"/>
  <c r="O481" i="25"/>
  <c r="O60" i="24"/>
  <c r="W1380" i="16"/>
  <c r="S1331" i="16"/>
  <c r="S902" i="16"/>
  <c r="M132" i="8"/>
  <c r="M138" i="8"/>
  <c r="O545" i="25"/>
  <c r="S1724" i="16"/>
  <c r="M130" i="8"/>
  <c r="S1725" i="16"/>
  <c r="G268" i="16" l="1"/>
  <c r="G269" i="16" s="1"/>
  <c r="G270" i="16" s="1"/>
  <c r="G271" i="16" s="1"/>
  <c r="G272" i="16" s="1"/>
  <c r="G273" i="16" s="1"/>
  <c r="G274" i="16" s="1"/>
  <c r="G275" i="16" s="1"/>
  <c r="G276" i="16" s="1"/>
  <c r="G277" i="16" s="1"/>
  <c r="G278" i="16" s="1"/>
  <c r="G279" i="16" s="1"/>
  <c r="G1835" i="16"/>
  <c r="G1836" i="16" s="1"/>
  <c r="G1830" i="16"/>
  <c r="G1831" i="16" s="1"/>
  <c r="G1832" i="16" s="1"/>
  <c r="G1833" i="16" s="1"/>
  <c r="G1834" i="16" s="1"/>
  <c r="G1779" i="16"/>
  <c r="G1780" i="16" s="1"/>
  <c r="G1781" i="16" s="1"/>
  <c r="G1753" i="16"/>
  <c r="G1754" i="16" s="1"/>
  <c r="G1755" i="16" s="1"/>
  <c r="G1756" i="16" s="1"/>
  <c r="G1757" i="16" s="1"/>
  <c r="G1749" i="16"/>
  <c r="G1750" i="16" s="1"/>
  <c r="G1751" i="16" s="1"/>
  <c r="G1752" i="16" s="1"/>
  <c r="G1696" i="16"/>
  <c r="G1697" i="16" s="1"/>
  <c r="G1698" i="16" s="1"/>
  <c r="G1699" i="16" s="1"/>
  <c r="G1700" i="16" s="1"/>
  <c r="G1701" i="16" s="1"/>
  <c r="G1691" i="16"/>
  <c r="G1692" i="16" s="1"/>
  <c r="G1693" i="16" s="1"/>
  <c r="G1694" i="16" s="1"/>
  <c r="G1695" i="16" s="1"/>
  <c r="G1684" i="16"/>
  <c r="G1685" i="16" s="1"/>
  <c r="G1686" i="16" s="1"/>
  <c r="G1687" i="16" s="1"/>
  <c r="G1688" i="16" s="1"/>
  <c r="G1689" i="16" s="1"/>
  <c r="G1690" i="16" s="1"/>
  <c r="G1654" i="16"/>
  <c r="G1655" i="16" s="1"/>
  <c r="G1656" i="16" s="1"/>
  <c r="G1657" i="16" s="1"/>
  <c r="G1658" i="16" s="1"/>
  <c r="G1659" i="16" s="1"/>
  <c r="G1660" i="16" s="1"/>
  <c r="G1661" i="16" s="1"/>
  <c r="G1662" i="16" s="1"/>
  <c r="G1663" i="16" s="1"/>
  <c r="G1664" i="16" s="1"/>
  <c r="G1665" i="16" s="1"/>
  <c r="G1666" i="16" s="1"/>
  <c r="G1667" i="16" s="1"/>
  <c r="G1668" i="16" s="1"/>
  <c r="G1669" i="16" s="1"/>
  <c r="G1670" i="16" s="1"/>
  <c r="G1671" i="16" s="1"/>
  <c r="G1672" i="16" s="1"/>
  <c r="G1673" i="16" s="1"/>
  <c r="G1674" i="16" s="1"/>
  <c r="G1715" i="16"/>
  <c r="G1716" i="16" s="1"/>
  <c r="G1717" i="16" s="1"/>
  <c r="G1718" i="16" s="1"/>
  <c r="G1719" i="16" s="1"/>
  <c r="G1590" i="16"/>
  <c r="G1591" i="16" s="1"/>
  <c r="G1592" i="16" s="1"/>
  <c r="G1569" i="16"/>
  <c r="G1570" i="16" s="1"/>
  <c r="G1563" i="16"/>
  <c r="G1564" i="16" s="1"/>
  <c r="G1565" i="16" s="1"/>
  <c r="G1540" i="16"/>
  <c r="G1541" i="16" s="1"/>
  <c r="G1519" i="16"/>
  <c r="G1520" i="16" s="1"/>
  <c r="G1512" i="16"/>
  <c r="G1513" i="16" s="1"/>
  <c r="G1504" i="16"/>
  <c r="G1505" i="16" s="1"/>
  <c r="A1499" i="66"/>
  <c r="G1494" i="16"/>
  <c r="G1495" i="16" s="1"/>
  <c r="G1397" i="16"/>
  <c r="G1398" i="16" s="1"/>
  <c r="G1399" i="16" s="1"/>
  <c r="G1378" i="16"/>
  <c r="AO592" i="25"/>
  <c r="A1354" i="66"/>
  <c r="G1400" i="16"/>
  <c r="G1401" i="16" s="1"/>
  <c r="G1402" i="16" s="1"/>
  <c r="G1403" i="16" s="1"/>
  <c r="G1404" i="16" s="1"/>
  <c r="G1336" i="16"/>
  <c r="G1337" i="16" s="1"/>
  <c r="G1338" i="16" s="1"/>
  <c r="G1339" i="16" s="1"/>
  <c r="G1340" i="16" s="1"/>
  <c r="G1341" i="16" s="1"/>
  <c r="G1342" i="16" s="1"/>
  <c r="G1343" i="16" s="1"/>
  <c r="G1273" i="16"/>
  <c r="G1274" i="16" s="1"/>
  <c r="G1275" i="16" s="1"/>
  <c r="G1276" i="16" s="1"/>
  <c r="G1277" i="16" s="1"/>
  <c r="G1278" i="16" s="1"/>
  <c r="G1279" i="16" s="1"/>
  <c r="G1280" i="16" s="1"/>
  <c r="G1264" i="16"/>
  <c r="G1265" i="16" s="1"/>
  <c r="G1266" i="16" s="1"/>
  <c r="G1260" i="16"/>
  <c r="G1261" i="16" s="1"/>
  <c r="G1262" i="16" s="1"/>
  <c r="G1221" i="16"/>
  <c r="G1222" i="16" s="1"/>
  <c r="G1223" i="16" s="1"/>
  <c r="G1224" i="16" s="1"/>
  <c r="G1225" i="16" s="1"/>
  <c r="G1226" i="16" s="1"/>
  <c r="G1227" i="16" s="1"/>
  <c r="G1228" i="16" s="1"/>
  <c r="G953" i="16"/>
  <c r="G954" i="16" s="1"/>
  <c r="G1282" i="16"/>
  <c r="G1283" i="16" s="1"/>
  <c r="G727" i="16"/>
  <c r="G728" i="16" s="1"/>
  <c r="G729" i="16" s="1"/>
  <c r="G730" i="16" s="1"/>
  <c r="G731" i="16" s="1"/>
  <c r="G732" i="16" s="1"/>
  <c r="G733" i="16" s="1"/>
  <c r="G734" i="16" s="1"/>
  <c r="G735" i="16" s="1"/>
  <c r="G736" i="16" s="1"/>
  <c r="G737" i="16" s="1"/>
  <c r="G738" i="16" s="1"/>
  <c r="G739" i="16" s="1"/>
  <c r="G740" i="16" s="1"/>
  <c r="G741" i="16" s="1"/>
  <c r="G742" i="16" s="1"/>
  <c r="G743" i="16" s="1"/>
  <c r="G744" i="16" s="1"/>
  <c r="G745" i="16" s="1"/>
  <c r="G746" i="16" s="1"/>
  <c r="G747" i="16" s="1"/>
  <c r="G748" i="16" s="1"/>
  <c r="G749" i="16" s="1"/>
  <c r="G750" i="16" s="1"/>
  <c r="G751" i="16" s="1"/>
  <c r="G716" i="16"/>
  <c r="G717" i="16" s="1"/>
  <c r="G718" i="16" s="1"/>
  <c r="G719" i="16" s="1"/>
  <c r="G720" i="16" s="1"/>
  <c r="G721" i="16" s="1"/>
  <c r="G722" i="16" s="1"/>
  <c r="G723" i="16" s="1"/>
  <c r="G724" i="16" s="1"/>
  <c r="G725" i="16" s="1"/>
  <c r="G726" i="16" s="1"/>
  <c r="G656" i="16"/>
  <c r="G657" i="16" s="1"/>
  <c r="G658" i="16" s="1"/>
  <c r="G659" i="16" s="1"/>
  <c r="G660" i="16" s="1"/>
  <c r="G661" i="16" s="1"/>
  <c r="G662" i="16" s="1"/>
  <c r="G647" i="16"/>
  <c r="G648" i="16" s="1"/>
  <c r="A644" i="66"/>
  <c r="C644" i="66" s="1"/>
  <c r="G619" i="16"/>
  <c r="G620" i="16" s="1"/>
  <c r="G604" i="16"/>
  <c r="G605" i="16" s="1"/>
  <c r="G606" i="16" s="1"/>
  <c r="G590" i="16"/>
  <c r="G517" i="16"/>
  <c r="G518" i="16" s="1"/>
  <c r="G519" i="16" s="1"/>
  <c r="G489" i="16"/>
  <c r="G490" i="16" s="1"/>
  <c r="G491" i="16" s="1"/>
  <c r="G479" i="16"/>
  <c r="G480" i="16" s="1"/>
  <c r="G481" i="16" s="1"/>
  <c r="G482" i="16" s="1"/>
  <c r="G483" i="16" s="1"/>
  <c r="G484" i="16" s="1"/>
  <c r="G485" i="16" s="1"/>
  <c r="G486" i="16" s="1"/>
  <c r="G487" i="16" s="1"/>
  <c r="G488" i="16" s="1"/>
  <c r="G448" i="16"/>
  <c r="G449" i="16" s="1"/>
  <c r="G438" i="16"/>
  <c r="G439" i="16" s="1"/>
  <c r="G440" i="16" s="1"/>
  <c r="G441" i="16" s="1"/>
  <c r="G412" i="16"/>
  <c r="G413" i="16" s="1"/>
  <c r="G414" i="16" s="1"/>
  <c r="G415" i="16" s="1"/>
  <c r="G1826" i="16"/>
  <c r="G1827" i="16" s="1"/>
  <c r="G1828" i="16" s="1"/>
  <c r="G364" i="16"/>
  <c r="G365" i="16" s="1"/>
  <c r="G299" i="16"/>
  <c r="G300" i="16" s="1"/>
  <c r="G301" i="16" s="1"/>
  <c r="G284" i="16"/>
  <c r="G285" i="16" s="1"/>
  <c r="G256" i="16"/>
  <c r="G257" i="16" s="1"/>
  <c r="G236" i="16"/>
  <c r="G237" i="16" s="1"/>
  <c r="G223" i="16"/>
  <c r="G224" i="16" s="1"/>
  <c r="G208" i="16"/>
  <c r="G209" i="16" s="1"/>
  <c r="G210" i="16" s="1"/>
  <c r="G211" i="16" s="1"/>
  <c r="G212" i="16" s="1"/>
  <c r="G213" i="16" s="1"/>
  <c r="G214" i="16" s="1"/>
  <c r="G215" i="16" s="1"/>
  <c r="G204" i="16"/>
  <c r="G205" i="16" s="1"/>
  <c r="G206" i="16" s="1"/>
  <c r="G200" i="16"/>
  <c r="G201" i="16" s="1"/>
  <c r="G202" i="16" s="1"/>
  <c r="G203" i="16" s="1"/>
  <c r="G198" i="16"/>
  <c r="G199" i="16" s="1"/>
  <c r="G196" i="16"/>
  <c r="G197" i="16" s="1"/>
  <c r="G193" i="16"/>
  <c r="G194" i="16" s="1"/>
  <c r="G155" i="16"/>
  <c r="G156" i="16" s="1"/>
  <c r="G148" i="16"/>
  <c r="G149" i="16" s="1"/>
  <c r="G150" i="16" s="1"/>
  <c r="G100" i="16"/>
  <c r="G101" i="16" s="1"/>
  <c r="G83" i="16"/>
  <c r="G84" i="16" s="1"/>
  <c r="G80" i="16" s="1"/>
  <c r="G70" i="16"/>
  <c r="G71" i="16" s="1"/>
  <c r="G65" i="16"/>
  <c r="G66" i="16" s="1"/>
  <c r="G63" i="16"/>
  <c r="G64" i="16" s="1"/>
  <c r="G57" i="16"/>
  <c r="G58" i="16" s="1"/>
  <c r="G36" i="16"/>
  <c r="G37" i="16" s="1"/>
  <c r="G38" i="16" s="1"/>
  <c r="G25" i="16"/>
  <c r="G26" i="16" s="1"/>
  <c r="G23" i="16"/>
  <c r="G24" i="16" s="1"/>
  <c r="G1993" i="16"/>
  <c r="G1994" i="16" s="1"/>
  <c r="G1995" i="16" s="1"/>
  <c r="G1996" i="16" s="1"/>
  <c r="G1997" i="16" s="1"/>
  <c r="G1998" i="16" s="1"/>
  <c r="G1999" i="16" s="1"/>
  <c r="G2000" i="16" s="1"/>
  <c r="G2001" i="16" s="1"/>
  <c r="N1906" i="16"/>
  <c r="A1904" i="66"/>
  <c r="G631" i="16"/>
  <c r="G632" i="16" s="1"/>
  <c r="G633" i="16" s="1"/>
  <c r="G634" i="16" s="1"/>
  <c r="G635" i="16" s="1"/>
  <c r="G636" i="16" s="1"/>
  <c r="G637" i="16" s="1"/>
  <c r="G1474" i="16"/>
  <c r="G1475" i="16" s="1"/>
  <c r="G1476" i="16" s="1"/>
  <c r="G226" i="16"/>
  <c r="G227" i="16" s="1"/>
  <c r="G228" i="16" s="1"/>
  <c r="G229" i="16" s="1"/>
  <c r="G451" i="16"/>
  <c r="G452" i="16" s="1"/>
  <c r="G453" i="16" s="1"/>
  <c r="G454" i="16" s="1"/>
  <c r="G455" i="16" s="1"/>
  <c r="G456" i="16" s="1"/>
  <c r="G457" i="16" s="1"/>
  <c r="G458" i="16" s="1"/>
  <c r="G459" i="16" s="1"/>
  <c r="G460" i="16" s="1"/>
  <c r="G461" i="16" s="1"/>
  <c r="G462" i="16" s="1"/>
  <c r="G463" i="16" s="1"/>
  <c r="G442" i="16"/>
  <c r="G443" i="16" s="1"/>
  <c r="G444" i="16" s="1"/>
  <c r="G445" i="16" s="1"/>
  <c r="G446" i="16" s="1"/>
  <c r="G447" i="16" s="1"/>
  <c r="G114" i="16"/>
  <c r="G115" i="16" s="1"/>
  <c r="G116" i="16" s="1"/>
  <c r="G117" i="16" s="1"/>
  <c r="G118" i="16" s="1"/>
  <c r="G102" i="16"/>
  <c r="G1681" i="16"/>
  <c r="G249" i="16"/>
  <c r="G250" i="16" s="1"/>
  <c r="G251" i="16" s="1"/>
  <c r="G252" i="16" s="1"/>
  <c r="G253" i="16" s="1"/>
  <c r="G254" i="16" s="1"/>
  <c r="G708" i="16"/>
  <c r="G709" i="16" s="1"/>
  <c r="G710" i="16" s="1"/>
  <c r="G711" i="16" s="1"/>
  <c r="G712" i="16" s="1"/>
  <c r="G713" i="16" s="1"/>
  <c r="G714" i="16" s="1"/>
  <c r="G715" i="16" s="1"/>
  <c r="G135" i="16"/>
  <c r="G136" i="16" s="1"/>
  <c r="G137" i="16" s="1"/>
  <c r="G138" i="16" s="1"/>
  <c r="G139" i="16" s="1"/>
  <c r="G310" i="16"/>
  <c r="G311" i="16" s="1"/>
  <c r="G312" i="16" s="1"/>
  <c r="G313" i="16" s="1"/>
  <c r="G314" i="16" s="1"/>
  <c r="G1571" i="16"/>
  <c r="G1572" i="16" s="1"/>
  <c r="G1573" i="16" s="1"/>
  <c r="G1574" i="16" s="1"/>
  <c r="G1534" i="16"/>
  <c r="G1535" i="16" s="1"/>
  <c r="G1536" i="16" s="1"/>
  <c r="G1537" i="16" s="1"/>
  <c r="G1538" i="16" s="1"/>
  <c r="G1539" i="16" s="1"/>
  <c r="G1284" i="16"/>
  <c r="G1285" i="16" s="1"/>
  <c r="G1286" i="16" s="1"/>
  <c r="G1287" i="16" s="1"/>
  <c r="G1267" i="16"/>
  <c r="G1805" i="16"/>
  <c r="G1806" i="16" s="1"/>
  <c r="G1807" i="16" s="1"/>
  <c r="G1808" i="16" s="1"/>
  <c r="G607" i="16"/>
  <c r="G608" i="16" s="1"/>
  <c r="G609" i="16" s="1"/>
  <c r="G610" i="16" s="1"/>
  <c r="G611" i="16" s="1"/>
  <c r="G612" i="16" s="1"/>
  <c r="G190" i="16"/>
  <c r="G286" i="16"/>
  <c r="G282" i="16" s="1"/>
  <c r="G283" i="16" s="1"/>
  <c r="G55" i="16"/>
  <c r="G1481" i="16"/>
  <c r="G1482" i="16" s="1"/>
  <c r="G1483" i="16" s="1"/>
  <c r="G1484" i="16" s="1"/>
  <c r="G1485" i="16" s="1"/>
  <c r="G1486" i="16" s="1"/>
  <c r="G1633" i="16"/>
  <c r="G1634" i="16" s="1"/>
  <c r="G1635" i="16" s="1"/>
  <c r="G1636" i="16" s="1"/>
  <c r="G1637" i="16" s="1"/>
  <c r="G1638" i="16" s="1"/>
  <c r="G1639" i="16" s="1"/>
  <c r="G1640" i="16" s="1"/>
  <c r="G1641" i="16" s="1"/>
  <c r="G1642" i="16" s="1"/>
  <c r="G1643" i="16" s="1"/>
  <c r="G649" i="16"/>
  <c r="G650" i="16" s="1"/>
  <c r="G651" i="16" s="1"/>
  <c r="G652" i="16" s="1"/>
  <c r="G653" i="16" s="1"/>
  <c r="G654" i="16" s="1"/>
  <c r="G655" i="16" s="1"/>
  <c r="G645" i="16"/>
  <c r="G1514" i="16"/>
  <c r="G1809" i="16"/>
  <c r="G1810" i="16" s="1"/>
  <c r="G1811" i="16" s="1"/>
  <c r="G1812" i="16" s="1"/>
  <c r="G622" i="16"/>
  <c r="G623" i="16" s="1"/>
  <c r="G624" i="16" s="1"/>
  <c r="G625" i="16" s="1"/>
  <c r="G626" i="16" s="1"/>
  <c r="G627" i="16" s="1"/>
  <c r="G628" i="16" s="1"/>
  <c r="G629" i="16" s="1"/>
  <c r="G1459" i="16"/>
  <c r="G1460" i="16" s="1"/>
  <c r="G1461" i="16" s="1"/>
  <c r="G1462" i="16" s="1"/>
  <c r="G1463" i="16" s="1"/>
  <c r="G2007" i="16"/>
  <c r="G2008" i="16" s="1"/>
  <c r="G2009" i="16" s="1"/>
  <c r="G2010" i="16" s="1"/>
  <c r="G2011" i="16" s="1"/>
  <c r="G238" i="16"/>
  <c r="G239" i="16" s="1"/>
  <c r="G240" i="16" s="1"/>
  <c r="G241" i="16" s="1"/>
  <c r="G242" i="16" s="1"/>
  <c r="G243" i="16" s="1"/>
  <c r="G244" i="16" s="1"/>
  <c r="G245" i="16" s="1"/>
  <c r="G235" i="16"/>
  <c r="A169" i="66"/>
  <c r="A170" i="66" s="1"/>
  <c r="A1405" i="66"/>
  <c r="A1541" i="66"/>
  <c r="A1542" i="66" s="1"/>
  <c r="C1542" i="66" s="1"/>
  <c r="A314" i="66"/>
  <c r="A315" i="66" s="1"/>
  <c r="C315" i="66" s="1"/>
  <c r="A360" i="66"/>
  <c r="C360" i="66" s="1"/>
  <c r="A1346" i="66"/>
  <c r="C1346" i="66" s="1"/>
  <c r="A1342" i="66"/>
  <c r="A1595" i="66"/>
  <c r="A1495" i="66"/>
  <c r="C1240" i="66"/>
  <c r="A1238" i="66"/>
  <c r="A1229" i="66" s="1"/>
  <c r="A1228" i="66" s="1"/>
  <c r="A925" i="66"/>
  <c r="C925" i="66" s="1"/>
  <c r="A922" i="66"/>
  <c r="C350" i="66"/>
  <c r="C1281" i="66"/>
  <c r="C376" i="66"/>
  <c r="A372" i="66"/>
  <c r="C1326" i="66"/>
  <c r="A1324" i="66"/>
  <c r="A1765" i="66"/>
  <c r="A1733" i="66"/>
  <c r="S173" i="25"/>
  <c r="S944" i="16"/>
  <c r="T944" i="16" s="1"/>
  <c r="AD944" i="16" s="1"/>
  <c r="AC944" i="16" s="1"/>
  <c r="S942" i="16"/>
  <c r="T942" i="16" s="1"/>
  <c r="AD942" i="16" s="1"/>
  <c r="AC942" i="16" s="1"/>
  <c r="T940" i="16"/>
  <c r="AD940" i="16" s="1"/>
  <c r="O923" i="16"/>
  <c r="T924" i="16"/>
  <c r="AD924" i="16" s="1"/>
  <c r="R97" i="24"/>
  <c r="AE97" i="24" s="1"/>
  <c r="T97" i="24"/>
  <c r="AD97" i="24" s="1"/>
  <c r="A942" i="66"/>
  <c r="C941" i="66"/>
  <c r="C1464" i="66"/>
  <c r="AC1652" i="16"/>
  <c r="AO1624" i="16"/>
  <c r="AC1628" i="16"/>
  <c r="R17" i="29"/>
  <c r="AE17" i="29" s="1"/>
  <c r="AC17" i="29" s="1"/>
  <c r="M87" i="29"/>
  <c r="AM87" i="29" s="1"/>
  <c r="R102" i="29"/>
  <c r="M102" i="29" s="1"/>
  <c r="AM102" i="29" s="1"/>
  <c r="C668" i="66"/>
  <c r="A302" i="66"/>
  <c r="A80" i="66"/>
  <c r="C80" i="66" s="1"/>
  <c r="I1398" i="66"/>
  <c r="C1370" i="66"/>
  <c r="AO636" i="25"/>
  <c r="C1268" i="66"/>
  <c r="C353" i="66"/>
  <c r="C716" i="66"/>
  <c r="C470" i="66"/>
  <c r="C1654" i="66"/>
  <c r="C715" i="66"/>
  <c r="C2008" i="66"/>
  <c r="C2007" i="66"/>
  <c r="A590" i="66"/>
  <c r="C590" i="66" s="1"/>
  <c r="C164" i="66"/>
  <c r="A165" i="66"/>
  <c r="A1619" i="66"/>
  <c r="C291" i="66"/>
  <c r="T778" i="16"/>
  <c r="AD778" i="16" s="1"/>
  <c r="AE778" i="16"/>
  <c r="AF778" i="16" s="1"/>
  <c r="AO1394" i="16"/>
  <c r="G591" i="16"/>
  <c r="G592" i="16" s="1"/>
  <c r="G593" i="16" s="1"/>
  <c r="G594" i="16" s="1"/>
  <c r="G595" i="16" s="1"/>
  <c r="G596" i="16" s="1"/>
  <c r="G597" i="16" s="1"/>
  <c r="G598" i="16" s="1"/>
  <c r="G599" i="16" s="1"/>
  <c r="G600" i="16" s="1"/>
  <c r="S14" i="25"/>
  <c r="T87" i="29"/>
  <c r="AD87" i="29" s="1"/>
  <c r="AC87" i="29" s="1"/>
  <c r="T107" i="24"/>
  <c r="AD107" i="24" s="1"/>
  <c r="N1394" i="16"/>
  <c r="V13" i="23"/>
  <c r="BE1412" i="16" s="1"/>
  <c r="BC1844" i="16"/>
  <c r="BC781" i="16"/>
  <c r="BC15" i="16"/>
  <c r="AE149" i="29"/>
  <c r="O115" i="24"/>
  <c r="I369" i="66" s="1"/>
  <c r="A366" i="66" s="1"/>
  <c r="J18" i="18"/>
  <c r="R16" i="29"/>
  <c r="AE16" i="29" s="1"/>
  <c r="AC16" i="29" s="1"/>
  <c r="T149" i="29"/>
  <c r="AD149" i="29" s="1"/>
  <c r="O78" i="24"/>
  <c r="I332" i="66" s="1"/>
  <c r="AO107" i="27"/>
  <c r="T1227" i="16"/>
  <c r="AD1227" i="16" s="1"/>
  <c r="R1227" i="16"/>
  <c r="AE1227" i="16" s="1"/>
  <c r="AF1227" i="16" s="1"/>
  <c r="S463" i="25"/>
  <c r="AC1602" i="16"/>
  <c r="AO1503" i="16"/>
  <c r="AO1563" i="16"/>
  <c r="AO306" i="16"/>
  <c r="C986" i="66"/>
  <c r="C987" i="66"/>
  <c r="C1084" i="66"/>
  <c r="A209" i="66"/>
  <c r="A210" i="66" s="1"/>
  <c r="G81" i="16"/>
  <c r="G82" i="16" s="1"/>
  <c r="O79" i="16"/>
  <c r="T79" i="16"/>
  <c r="AD79" i="16" s="1"/>
  <c r="AC79" i="16" s="1"/>
  <c r="AO727" i="16"/>
  <c r="O70" i="16"/>
  <c r="T70" i="16"/>
  <c r="AD70" i="16" s="1"/>
  <c r="AC70" i="16" s="1"/>
  <c r="AO1696" i="16"/>
  <c r="AO1498" i="16"/>
  <c r="AO1494" i="16"/>
  <c r="AC1740" i="16"/>
  <c r="S1309" i="16"/>
  <c r="T1309" i="16" s="1"/>
  <c r="AD1309" i="16" s="1"/>
  <c r="AC1309" i="16" s="1"/>
  <c r="AO1684" i="16"/>
  <c r="AF416" i="16"/>
  <c r="AE1599" i="16"/>
  <c r="M1599" i="16"/>
  <c r="E1391" i="76"/>
  <c r="N151" i="16"/>
  <c r="AO152" i="8"/>
  <c r="I150" i="66"/>
  <c r="C207" i="66"/>
  <c r="AO154" i="8"/>
  <c r="I152" i="66"/>
  <c r="N153" i="16"/>
  <c r="C260" i="66"/>
  <c r="G165" i="16"/>
  <c r="C259" i="66"/>
  <c r="S1515" i="16"/>
  <c r="N1502" i="16"/>
  <c r="G1502" i="16" s="1"/>
  <c r="G1501" i="16" s="1"/>
  <c r="AO106" i="27"/>
  <c r="AO102" i="27"/>
  <c r="I1510" i="66"/>
  <c r="AO116" i="27"/>
  <c r="N1498" i="16"/>
  <c r="R127" i="29"/>
  <c r="M127" i="29" s="1"/>
  <c r="AM127" i="29" s="1"/>
  <c r="AO78" i="29"/>
  <c r="M97" i="24"/>
  <c r="AM97" i="24" s="1"/>
  <c r="S372" i="16"/>
  <c r="S362" i="16"/>
  <c r="T362" i="16" s="1"/>
  <c r="AD362" i="16" s="1"/>
  <c r="S370" i="16"/>
  <c r="T370" i="16" s="1"/>
  <c r="AD370" i="16" s="1"/>
  <c r="AC370" i="16" s="1"/>
  <c r="BC1412" i="16"/>
  <c r="BC1573" i="16"/>
  <c r="BD271" i="16"/>
  <c r="W13" i="23"/>
  <c r="BF781" i="16" s="1"/>
  <c r="BI17" i="25"/>
  <c r="S284" i="25" s="1"/>
  <c r="T284" i="25" s="1"/>
  <c r="AD284" i="25" s="1"/>
  <c r="AC284" i="25" s="1"/>
  <c r="C758" i="66"/>
  <c r="A496" i="66"/>
  <c r="A491" i="66" s="1"/>
  <c r="A971" i="66"/>
  <c r="C971" i="66" s="1"/>
  <c r="C281" i="66"/>
  <c r="C924" i="66"/>
  <c r="A614" i="66"/>
  <c r="C614" i="66" s="1"/>
  <c r="C494" i="66"/>
  <c r="T1389" i="16"/>
  <c r="AD1389" i="16" s="1"/>
  <c r="AC1389" i="16" s="1"/>
  <c r="O1389" i="16"/>
  <c r="E1387" i="76" s="1"/>
  <c r="T1245" i="16"/>
  <c r="AD1245" i="16" s="1"/>
  <c r="AC1245" i="16" s="1"/>
  <c r="T1241" i="16"/>
  <c r="AD1241" i="16" s="1"/>
  <c r="AC1241" i="16" s="1"/>
  <c r="T376" i="16"/>
  <c r="AD376" i="16" s="1"/>
  <c r="AC376" i="16" s="1"/>
  <c r="O376" i="16"/>
  <c r="AO376" i="16" s="1"/>
  <c r="S1779" i="16"/>
  <c r="O1779" i="16" s="1"/>
  <c r="AO1779" i="16" s="1"/>
  <c r="S352" i="16"/>
  <c r="T352" i="16" s="1"/>
  <c r="S1116" i="16"/>
  <c r="O1116" i="16" s="1"/>
  <c r="G646" i="16"/>
  <c r="T842" i="16"/>
  <c r="AD842" i="16" s="1"/>
  <c r="C1238" i="66"/>
  <c r="S78" i="25"/>
  <c r="S75" i="25"/>
  <c r="T75" i="25" s="1"/>
  <c r="AD75" i="25" s="1"/>
  <c r="O123" i="29"/>
  <c r="A1949" i="66" s="1"/>
  <c r="S1975" i="16"/>
  <c r="T1975" i="16" s="1"/>
  <c r="AD1975" i="16" s="1"/>
  <c r="AC1975" i="16" s="1"/>
  <c r="S1849" i="16"/>
  <c r="T1849" i="16" s="1"/>
  <c r="AD1849" i="16" s="1"/>
  <c r="AC1849" i="16" s="1"/>
  <c r="S1909" i="16"/>
  <c r="S1884" i="16"/>
  <c r="T1884" i="16" s="1"/>
  <c r="AD1884" i="16" s="1"/>
  <c r="AC1884" i="16" s="1"/>
  <c r="S1859" i="16"/>
  <c r="T1859" i="16" s="1"/>
  <c r="AD1859" i="16" s="1"/>
  <c r="AC1859" i="16" s="1"/>
  <c r="S1930" i="16"/>
  <c r="S1933" i="16"/>
  <c r="T1933" i="16" s="1"/>
  <c r="AD1933" i="16" s="1"/>
  <c r="AC1933" i="16" s="1"/>
  <c r="S1856" i="16"/>
  <c r="S1882" i="16"/>
  <c r="T1882" i="16" s="1"/>
  <c r="AD1882" i="16" s="1"/>
  <c r="AC1882" i="16" s="1"/>
  <c r="S1946" i="16"/>
  <c r="T1946" i="16" s="1"/>
  <c r="AD1946" i="16" s="1"/>
  <c r="AC1946" i="16" s="1"/>
  <c r="S1922" i="16"/>
  <c r="T1922" i="16" s="1"/>
  <c r="AD1922" i="16" s="1"/>
  <c r="AC1922" i="16" s="1"/>
  <c r="S1976" i="16"/>
  <c r="T1976" i="16" s="1"/>
  <c r="AD1976" i="16" s="1"/>
  <c r="AC1976" i="16" s="1"/>
  <c r="S1850" i="16"/>
  <c r="T1850" i="16" s="1"/>
  <c r="AD1850" i="16" s="1"/>
  <c r="AC1850" i="16" s="1"/>
  <c r="S1974" i="16"/>
  <c r="T1974" i="16" s="1"/>
  <c r="AD1974" i="16" s="1"/>
  <c r="AC1974" i="16" s="1"/>
  <c r="S1851" i="16"/>
  <c r="T1851" i="16" s="1"/>
  <c r="AD1851" i="16" s="1"/>
  <c r="AC1851" i="16" s="1"/>
  <c r="S1921" i="16"/>
  <c r="T1921" i="16" s="1"/>
  <c r="AD1921" i="16" s="1"/>
  <c r="AC1921" i="16" s="1"/>
  <c r="S1853" i="16"/>
  <c r="T1853" i="16" s="1"/>
  <c r="AD1853" i="16" s="1"/>
  <c r="AC1853" i="16" s="1"/>
  <c r="S1970" i="16"/>
  <c r="T1970" i="16" s="1"/>
  <c r="AD1970" i="16" s="1"/>
  <c r="AC1970" i="16" s="1"/>
  <c r="S1957" i="16"/>
  <c r="T1957" i="16" s="1"/>
  <c r="AD1957" i="16" s="1"/>
  <c r="AC1957" i="16" s="1"/>
  <c r="S1917" i="16"/>
  <c r="T1917" i="16" s="1"/>
  <c r="AD1917" i="16" s="1"/>
  <c r="AC1917" i="16" s="1"/>
  <c r="S1866" i="16"/>
  <c r="T1866" i="16" s="1"/>
  <c r="AD1866" i="16" s="1"/>
  <c r="AC1866" i="16" s="1"/>
  <c r="S1912" i="16"/>
  <c r="S1949" i="16"/>
  <c r="S1858" i="16"/>
  <c r="T1858" i="16" s="1"/>
  <c r="AD1858" i="16" s="1"/>
  <c r="AC1858" i="16" s="1"/>
  <c r="S1971" i="16"/>
  <c r="T1971" i="16" s="1"/>
  <c r="AD1971" i="16" s="1"/>
  <c r="AC1971" i="16" s="1"/>
  <c r="S1872" i="16"/>
  <c r="T1872" i="16" s="1"/>
  <c r="AD1872" i="16" s="1"/>
  <c r="AC1872" i="16" s="1"/>
  <c r="S1845" i="16"/>
  <c r="S1880" i="16"/>
  <c r="T1880" i="16" s="1"/>
  <c r="AD1880" i="16" s="1"/>
  <c r="AC1880" i="16" s="1"/>
  <c r="S1886" i="16"/>
  <c r="T1886" i="16" s="1"/>
  <c r="AD1886" i="16" s="1"/>
  <c r="AC1886" i="16" s="1"/>
  <c r="S1843" i="16"/>
  <c r="S1874" i="16"/>
  <c r="T1874" i="16" s="1"/>
  <c r="AD1874" i="16" s="1"/>
  <c r="AC1874" i="16" s="1"/>
  <c r="S1955" i="16"/>
  <c r="S1977" i="16"/>
  <c r="S1943" i="16"/>
  <c r="T1943" i="16" s="1"/>
  <c r="AD1943" i="16" s="1"/>
  <c r="AC1943" i="16" s="1"/>
  <c r="S1935" i="16"/>
  <c r="T1935" i="16" s="1"/>
  <c r="AD1935" i="16" s="1"/>
  <c r="AC1935" i="16" s="1"/>
  <c r="S1973" i="16"/>
  <c r="T1973" i="16" s="1"/>
  <c r="AD1973" i="16" s="1"/>
  <c r="AC1973" i="16" s="1"/>
  <c r="S1941" i="16"/>
  <c r="T1941" i="16" s="1"/>
  <c r="AD1941" i="16" s="1"/>
  <c r="AC1941" i="16" s="1"/>
  <c r="S1855" i="16"/>
  <c r="T1855" i="16" s="1"/>
  <c r="AD1855" i="16" s="1"/>
  <c r="AC1855" i="16" s="1"/>
  <c r="S1920" i="16"/>
  <c r="T1920" i="16" s="1"/>
  <c r="AD1920" i="16" s="1"/>
  <c r="AC1920" i="16" s="1"/>
  <c r="S1870" i="16"/>
  <c r="T1870" i="16" s="1"/>
  <c r="AD1870" i="16" s="1"/>
  <c r="AC1870" i="16" s="1"/>
  <c r="S1915" i="16"/>
  <c r="S1877" i="16"/>
  <c r="T1877" i="16" s="1"/>
  <c r="AD1877" i="16" s="1"/>
  <c r="AC1877" i="16" s="1"/>
  <c r="S1888" i="16"/>
  <c r="S1961" i="16"/>
  <c r="T1961" i="16" s="1"/>
  <c r="AD1961" i="16" s="1"/>
  <c r="AC1961" i="16" s="1"/>
  <c r="S1860" i="16"/>
  <c r="T1860" i="16" s="1"/>
  <c r="AD1860" i="16" s="1"/>
  <c r="AC1860" i="16" s="1"/>
  <c r="S1887" i="16"/>
  <c r="T1887" i="16" s="1"/>
  <c r="AD1887" i="16" s="1"/>
  <c r="AC1887" i="16" s="1"/>
  <c r="S1938" i="16"/>
  <c r="T1938" i="16" s="1"/>
  <c r="AD1938" i="16" s="1"/>
  <c r="AC1938" i="16" s="1"/>
  <c r="S1940" i="16"/>
  <c r="T1940" i="16" s="1"/>
  <c r="AD1940" i="16" s="1"/>
  <c r="AC1940" i="16" s="1"/>
  <c r="S1968" i="16"/>
  <c r="T1968" i="16" s="1"/>
  <c r="AD1968" i="16" s="1"/>
  <c r="AC1968" i="16" s="1"/>
  <c r="S1875" i="16"/>
  <c r="T1875" i="16" s="1"/>
  <c r="AD1875" i="16" s="1"/>
  <c r="AC1875" i="16" s="1"/>
  <c r="S1879" i="16"/>
  <c r="T1879" i="16" s="1"/>
  <c r="AD1879" i="16" s="1"/>
  <c r="AC1879" i="16" s="1"/>
  <c r="S1928" i="16"/>
  <c r="S1918" i="16"/>
  <c r="T1918" i="16" s="1"/>
  <c r="AD1918" i="16" s="1"/>
  <c r="AC1918" i="16" s="1"/>
  <c r="S1844" i="16"/>
  <c r="S1945" i="16"/>
  <c r="T1945" i="16" s="1"/>
  <c r="AD1945" i="16" s="1"/>
  <c r="AC1945" i="16" s="1"/>
  <c r="S91" i="25"/>
  <c r="T91" i="25" s="1"/>
  <c r="AD91" i="25" s="1"/>
  <c r="S94" i="25"/>
  <c r="R94" i="25" s="1"/>
  <c r="M94" i="25" s="1"/>
  <c r="O1038" i="16"/>
  <c r="AO1038" i="16" s="1"/>
  <c r="T1038" i="16"/>
  <c r="AD1038" i="16" s="1"/>
  <c r="AC1038" i="16" s="1"/>
  <c r="X13" i="23"/>
  <c r="BG271" i="16" s="1"/>
  <c r="BD1844" i="16"/>
  <c r="Y13" i="23"/>
  <c r="BH1573" i="16" s="1"/>
  <c r="BD15" i="16"/>
  <c r="Z13" i="23"/>
  <c r="C25" i="10" s="1"/>
  <c r="BD781" i="16"/>
  <c r="BD1412" i="16"/>
  <c r="G1682" i="16"/>
  <c r="G1683" i="16" s="1"/>
  <c r="S1782" i="16"/>
  <c r="O1782" i="16" s="1"/>
  <c r="S274" i="25"/>
  <c r="O274" i="25" s="1"/>
  <c r="S275" i="25"/>
  <c r="T275" i="25" s="1"/>
  <c r="AD275" i="25" s="1"/>
  <c r="AC275" i="25" s="1"/>
  <c r="S270" i="25"/>
  <c r="O269" i="25" s="1"/>
  <c r="S264" i="25"/>
  <c r="T264" i="25" s="1"/>
  <c r="AD264" i="25" s="1"/>
  <c r="AC264" i="25" s="1"/>
  <c r="S259" i="25"/>
  <c r="T259" i="25" s="1"/>
  <c r="AD259" i="25" s="1"/>
  <c r="AC259" i="25" s="1"/>
  <c r="S256" i="25"/>
  <c r="T256" i="25" s="1"/>
  <c r="AD256" i="25" s="1"/>
  <c r="AC256" i="25" s="1"/>
  <c r="I1391" i="66"/>
  <c r="A1389" i="66" s="1"/>
  <c r="N1393" i="16"/>
  <c r="G1393" i="16" s="1"/>
  <c r="AO629" i="25"/>
  <c r="C1345" i="66"/>
  <c r="AM126" i="8"/>
  <c r="I229" i="66"/>
  <c r="N230" i="16"/>
  <c r="AO231" i="8"/>
  <c r="AM138" i="8"/>
  <c r="AO26" i="28"/>
  <c r="I1581" i="66"/>
  <c r="N1583" i="16"/>
  <c r="O132" i="8"/>
  <c r="N131" i="16" s="1"/>
  <c r="AM132" i="8"/>
  <c r="S286" i="25"/>
  <c r="T286" i="25" s="1"/>
  <c r="AD286" i="25" s="1"/>
  <c r="AC286" i="25" s="1"/>
  <c r="S352" i="25"/>
  <c r="O352" i="25" s="1"/>
  <c r="S191" i="25"/>
  <c r="S366" i="25"/>
  <c r="O366" i="25" s="1"/>
  <c r="S198" i="25"/>
  <c r="S221" i="25"/>
  <c r="T221" i="25" s="1"/>
  <c r="AD221" i="25" s="1"/>
  <c r="AC221" i="25" s="1"/>
  <c r="S184" i="25"/>
  <c r="T184" i="25" s="1"/>
  <c r="AD184" i="25" s="1"/>
  <c r="AC184" i="25" s="1"/>
  <c r="R35" i="25"/>
  <c r="AE35" i="25" s="1"/>
  <c r="S250" i="25"/>
  <c r="T250" i="25" s="1"/>
  <c r="AD250" i="25" s="1"/>
  <c r="AC250" i="25" s="1"/>
  <c r="S371" i="25"/>
  <c r="T371" i="25" s="1"/>
  <c r="AD371" i="25" s="1"/>
  <c r="AC371" i="25" s="1"/>
  <c r="S418" i="25"/>
  <c r="T418" i="25" s="1"/>
  <c r="AD418" i="25" s="1"/>
  <c r="AC418" i="25" s="1"/>
  <c r="S26" i="25"/>
  <c r="T26" i="25" s="1"/>
  <c r="AD26" i="25" s="1"/>
  <c r="S431" i="25"/>
  <c r="T431" i="25" s="1"/>
  <c r="AD431" i="25" s="1"/>
  <c r="AC431" i="25" s="1"/>
  <c r="S35" i="25"/>
  <c r="T35" i="25" s="1"/>
  <c r="AD35" i="25" s="1"/>
  <c r="S143" i="25"/>
  <c r="T143" i="25" s="1"/>
  <c r="AD143" i="25" s="1"/>
  <c r="S43" i="25"/>
  <c r="R43" i="25" s="1"/>
  <c r="S364" i="25"/>
  <c r="T364" i="25" s="1"/>
  <c r="AD364" i="25" s="1"/>
  <c r="AC364" i="25" s="1"/>
  <c r="S160" i="25"/>
  <c r="O159" i="25" s="1"/>
  <c r="S231" i="25"/>
  <c r="T231" i="25" s="1"/>
  <c r="AD231" i="25" s="1"/>
  <c r="AC231" i="25" s="1"/>
  <c r="S149" i="25"/>
  <c r="R149" i="25" s="1"/>
  <c r="AE149" i="25" s="1"/>
  <c r="S243" i="25"/>
  <c r="O243" i="25" s="1"/>
  <c r="S237" i="25"/>
  <c r="T237" i="25" s="1"/>
  <c r="AD237" i="25" s="1"/>
  <c r="AC237" i="25" s="1"/>
  <c r="S354" i="25"/>
  <c r="O353" i="25" s="1"/>
  <c r="A1115" i="66" s="1"/>
  <c r="S416" i="25"/>
  <c r="T416" i="25" s="1"/>
  <c r="AD416" i="25" s="1"/>
  <c r="AC416" i="25" s="1"/>
  <c r="S331" i="25"/>
  <c r="O336" i="25" s="1"/>
  <c r="AO336" i="25" s="1"/>
  <c r="S421" i="25"/>
  <c r="T421" i="25" s="1"/>
  <c r="AD421" i="25" s="1"/>
  <c r="AC421" i="25" s="1"/>
  <c r="S40" i="25"/>
  <c r="R40" i="25" s="1"/>
  <c r="S376" i="25"/>
  <c r="O376" i="25" s="1"/>
  <c r="S350" i="25"/>
  <c r="O350" i="25" s="1"/>
  <c r="S320" i="25"/>
  <c r="T320" i="25" s="1"/>
  <c r="AD320" i="25" s="1"/>
  <c r="AC320" i="25" s="1"/>
  <c r="S412" i="25"/>
  <c r="T412" i="25" s="1"/>
  <c r="AD412" i="25" s="1"/>
  <c r="AC412" i="25" s="1"/>
  <c r="S348" i="25"/>
  <c r="S415" i="25"/>
  <c r="T415" i="25" s="1"/>
  <c r="AD415" i="25" s="1"/>
  <c r="AC415" i="25" s="1"/>
  <c r="S127" i="25"/>
  <c r="R127" i="25" s="1"/>
  <c r="S190" i="25"/>
  <c r="T190" i="25" s="1"/>
  <c r="AD190" i="25" s="1"/>
  <c r="AC190" i="25" s="1"/>
  <c r="S368" i="25"/>
  <c r="T368" i="25" s="1"/>
  <c r="AD368" i="25" s="1"/>
  <c r="AC368" i="25" s="1"/>
  <c r="S205" i="25"/>
  <c r="R205" i="25" s="1"/>
  <c r="AE205" i="25" s="1"/>
  <c r="S312" i="25"/>
  <c r="T312" i="25" s="1"/>
  <c r="AD312" i="25" s="1"/>
  <c r="AC312" i="25" s="1"/>
  <c r="S292" i="25"/>
  <c r="O291" i="25" s="1"/>
  <c r="A1053" i="66" s="1"/>
  <c r="S333" i="25"/>
  <c r="T333" i="25" s="1"/>
  <c r="AD333" i="25" s="1"/>
  <c r="AC333" i="25" s="1"/>
  <c r="S304" i="25"/>
  <c r="T304" i="25" s="1"/>
  <c r="AD304" i="25" s="1"/>
  <c r="AC304" i="25" s="1"/>
  <c r="S121" i="25"/>
  <c r="T121" i="25" s="1"/>
  <c r="AD121" i="25" s="1"/>
  <c r="S404" i="25"/>
  <c r="T404" i="25" s="1"/>
  <c r="AD404" i="25" s="1"/>
  <c r="AC404" i="25" s="1"/>
  <c r="S195" i="25"/>
  <c r="S429" i="25"/>
  <c r="T429" i="25" s="1"/>
  <c r="AD429" i="25" s="1"/>
  <c r="AC429" i="25" s="1"/>
  <c r="S59" i="25"/>
  <c r="T59" i="25" s="1"/>
  <c r="AD59" i="25" s="1"/>
  <c r="S373" i="25"/>
  <c r="T373" i="25" s="1"/>
  <c r="AD373" i="25" s="1"/>
  <c r="AC373" i="25" s="1"/>
  <c r="S137" i="25"/>
  <c r="T137" i="25" s="1"/>
  <c r="AD137" i="25" s="1"/>
  <c r="S135" i="25"/>
  <c r="R135" i="25" s="1"/>
  <c r="AE135" i="25" s="1"/>
  <c r="S287" i="25"/>
  <c r="T287" i="25" s="1"/>
  <c r="AD287" i="25" s="1"/>
  <c r="AC287" i="25" s="1"/>
  <c r="S297" i="25"/>
  <c r="T297" i="25" s="1"/>
  <c r="AD297" i="25" s="1"/>
  <c r="AC297" i="25" s="1"/>
  <c r="S372" i="25"/>
  <c r="O372" i="25" s="1"/>
  <c r="S182" i="25"/>
  <c r="T182" i="25" s="1"/>
  <c r="AD182" i="25" s="1"/>
  <c r="AC182" i="25" s="1"/>
  <c r="S427" i="25"/>
  <c r="T427" i="25" s="1"/>
  <c r="AD427" i="25" s="1"/>
  <c r="AC427" i="25" s="1"/>
  <c r="S414" i="25"/>
  <c r="T414" i="25" s="1"/>
  <c r="AD414" i="25" s="1"/>
  <c r="AC414" i="25" s="1"/>
  <c r="S461" i="25"/>
  <c r="R461" i="25" s="1"/>
  <c r="AE461" i="25" s="1"/>
  <c r="S213" i="25"/>
  <c r="T213" i="25" s="1"/>
  <c r="AD213" i="25" s="1"/>
  <c r="AC213" i="25" s="1"/>
  <c r="S280" i="25"/>
  <c r="T280" i="25" s="1"/>
  <c r="AD280" i="25" s="1"/>
  <c r="AC280" i="25" s="1"/>
  <c r="AM140" i="8"/>
  <c r="AM139" i="8"/>
  <c r="AM127" i="8"/>
  <c r="AM130" i="8"/>
  <c r="O130" i="8"/>
  <c r="N1464" i="16"/>
  <c r="I1462" i="66"/>
  <c r="A1447" i="66" s="1"/>
  <c r="AO68" i="27"/>
  <c r="AM128" i="8"/>
  <c r="I4" i="25"/>
  <c r="R121" i="29"/>
  <c r="AE121" i="29" s="1"/>
  <c r="AC121" i="29" s="1"/>
  <c r="S220" i="28"/>
  <c r="T220" i="28" s="1"/>
  <c r="AD220" i="28" s="1"/>
  <c r="AC220" i="28" s="1"/>
  <c r="N1768" i="16"/>
  <c r="I1766" i="66"/>
  <c r="AO211" i="28"/>
  <c r="R28" i="29"/>
  <c r="M28" i="29" s="1"/>
  <c r="AO630" i="25"/>
  <c r="AC47" i="28"/>
  <c r="A802" i="66"/>
  <c r="C802" i="66" s="1"/>
  <c r="C1507" i="66"/>
  <c r="C179" i="66"/>
  <c r="T1821" i="16"/>
  <c r="AD1821" i="16" s="1"/>
  <c r="AC1821" i="16" s="1"/>
  <c r="AO52" i="24"/>
  <c r="N307" i="16"/>
  <c r="G307" i="16" s="1"/>
  <c r="I306" i="66"/>
  <c r="T534" i="25"/>
  <c r="AD534" i="25" s="1"/>
  <c r="AC534" i="25" s="1"/>
  <c r="O534" i="25"/>
  <c r="N1298" i="16" s="1"/>
  <c r="G1298" i="16" s="1"/>
  <c r="G1289" i="16" s="1"/>
  <c r="C922" i="66"/>
  <c r="I305" i="66"/>
  <c r="N306" i="16"/>
  <c r="G306" i="16" s="1"/>
  <c r="G302" i="16" s="1"/>
  <c r="S378" i="16"/>
  <c r="S359" i="16"/>
  <c r="S333" i="16"/>
  <c r="S360" i="16"/>
  <c r="T360" i="16" s="1"/>
  <c r="AD360" i="16" s="1"/>
  <c r="AC360" i="16" s="1"/>
  <c r="T78" i="8"/>
  <c r="AD78" i="8" s="1"/>
  <c r="AC78" i="8" s="1"/>
  <c r="O78" i="8"/>
  <c r="T73" i="8"/>
  <c r="AD73" i="8" s="1"/>
  <c r="AC73" i="8" s="1"/>
  <c r="C1765" i="66"/>
  <c r="C1653" i="66"/>
  <c r="R81" i="29"/>
  <c r="M81" i="29" s="1"/>
  <c r="AM81" i="29" s="1"/>
  <c r="A1905" i="66"/>
  <c r="A1906" i="66" s="1"/>
  <c r="A1907" i="66" s="1"/>
  <c r="AO309" i="16"/>
  <c r="N1602" i="16"/>
  <c r="I1600" i="66"/>
  <c r="G191" i="16"/>
  <c r="G192" i="16" s="1"/>
  <c r="T81" i="29"/>
  <c r="AD81" i="29" s="1"/>
  <c r="I1904" i="66"/>
  <c r="C1652" i="66"/>
  <c r="A481" i="66"/>
  <c r="C481" i="66" s="1"/>
  <c r="S1082" i="16"/>
  <c r="T1082" i="16" s="1"/>
  <c r="AD1082" i="16" s="1"/>
  <c r="AC1082" i="16" s="1"/>
  <c r="AO148" i="16"/>
  <c r="AC1607" i="16"/>
  <c r="C952" i="66"/>
  <c r="C836" i="66"/>
  <c r="A1282" i="66"/>
  <c r="C1282" i="66" s="1"/>
  <c r="BI16" i="27"/>
  <c r="C6" i="10"/>
  <c r="BI16" i="28"/>
  <c r="BF17" i="25"/>
  <c r="BE16" i="24"/>
  <c r="BI16" i="24"/>
  <c r="BI16" i="29"/>
  <c r="BE16" i="8"/>
  <c r="BE16" i="28"/>
  <c r="S230" i="28" s="1"/>
  <c r="P11" i="7"/>
  <c r="BI16" i="8"/>
  <c r="BE17" i="25"/>
  <c r="BE16" i="27"/>
  <c r="BH16" i="28"/>
  <c r="L11" i="7"/>
  <c r="B3" i="3" s="1"/>
  <c r="B9" i="72" s="1"/>
  <c r="BF16" i="8"/>
  <c r="BF16" i="28"/>
  <c r="BF16" i="24"/>
  <c r="L202" i="24" s="1"/>
  <c r="BF16" i="29"/>
  <c r="N5" i="10"/>
  <c r="N19" i="10" s="1"/>
  <c r="S194" i="25" s="1"/>
  <c r="C5" i="10"/>
  <c r="BH16" i="8"/>
  <c r="N11" i="7"/>
  <c r="BH17" i="25"/>
  <c r="BH16" i="29"/>
  <c r="BH16" i="24"/>
  <c r="AC84" i="29"/>
  <c r="O255" i="16"/>
  <c r="E255" i="76" s="1"/>
  <c r="T255" i="16"/>
  <c r="AD255" i="16" s="1"/>
  <c r="AC255" i="16" s="1"/>
  <c r="T1724" i="16"/>
  <c r="AD1724" i="16" s="1"/>
  <c r="AC1724" i="16" s="1"/>
  <c r="O1722" i="16"/>
  <c r="E1720" i="76" s="1"/>
  <c r="T1728" i="16"/>
  <c r="AD1728" i="16" s="1"/>
  <c r="AC1728" i="16" s="1"/>
  <c r="O1728" i="16"/>
  <c r="E1726" i="76" s="1"/>
  <c r="AO147" i="27"/>
  <c r="N1543" i="16"/>
  <c r="I1541" i="66"/>
  <c r="T1327" i="16"/>
  <c r="AD1327" i="16" s="1"/>
  <c r="AC1327" i="16" s="1"/>
  <c r="O1327" i="16"/>
  <c r="AO1327" i="16" s="1"/>
  <c r="O225" i="16"/>
  <c r="AO225" i="16" s="1"/>
  <c r="T225" i="16"/>
  <c r="AD225" i="16" s="1"/>
  <c r="AC225" i="16" s="1"/>
  <c r="T39" i="16"/>
  <c r="AD39" i="16" s="1"/>
  <c r="AC39" i="16" s="1"/>
  <c r="T1725" i="16"/>
  <c r="AD1725" i="16" s="1"/>
  <c r="AC1725" i="16" s="1"/>
  <c r="O1618" i="16"/>
  <c r="AO1618" i="16" s="1"/>
  <c r="T1618" i="16"/>
  <c r="AD1618" i="16" s="1"/>
  <c r="AC1618" i="16" s="1"/>
  <c r="AO60" i="24"/>
  <c r="N315" i="16"/>
  <c r="I314" i="66"/>
  <c r="N123" i="16"/>
  <c r="I122" i="66"/>
  <c r="AO124" i="8"/>
  <c r="T1250" i="16"/>
  <c r="AD1250" i="16" s="1"/>
  <c r="AC1250" i="16" s="1"/>
  <c r="I1488" i="66"/>
  <c r="N1490" i="16"/>
  <c r="AO94" i="27"/>
  <c r="O258" i="16"/>
  <c r="AO258" i="16" s="1"/>
  <c r="T258" i="16"/>
  <c r="AD258" i="16" s="1"/>
  <c r="AC258" i="16" s="1"/>
  <c r="T1730" i="16"/>
  <c r="AD1730" i="16" s="1"/>
  <c r="AC1730" i="16" s="1"/>
  <c r="O1730" i="16"/>
  <c r="E1728" i="76" s="1"/>
  <c r="T1329" i="16"/>
  <c r="AD1329" i="16" s="1"/>
  <c r="AC1329" i="16" s="1"/>
  <c r="O1329" i="16"/>
  <c r="AO1329" i="16" s="1"/>
  <c r="T1331" i="16"/>
  <c r="AD1331" i="16" s="1"/>
  <c r="AC1331" i="16" s="1"/>
  <c r="O1331" i="16"/>
  <c r="AO1331" i="16" s="1"/>
  <c r="O410" i="24"/>
  <c r="N665" i="16" s="1"/>
  <c r="S1079" i="16"/>
  <c r="T1079" i="16" s="1"/>
  <c r="AD1079" i="16" s="1"/>
  <c r="AC1079" i="16" s="1"/>
  <c r="S310" i="25"/>
  <c r="T310" i="25" s="1"/>
  <c r="AD310" i="25" s="1"/>
  <c r="AC310" i="25" s="1"/>
  <c r="A645" i="66"/>
  <c r="C645" i="66" s="1"/>
  <c r="A897" i="66"/>
  <c r="C897" i="66" s="1"/>
  <c r="I1622" i="66"/>
  <c r="N1624" i="16"/>
  <c r="G1624" i="16" s="1"/>
  <c r="AO67" i="28"/>
  <c r="T178" i="16"/>
  <c r="AD178" i="16" s="1"/>
  <c r="AC178" i="16" s="1"/>
  <c r="O178" i="16"/>
  <c r="I1824" i="66"/>
  <c r="A1697" i="66"/>
  <c r="C1697" i="66" s="1"/>
  <c r="S318" i="25"/>
  <c r="T318" i="25" s="1"/>
  <c r="AD318" i="25" s="1"/>
  <c r="AC318" i="25" s="1"/>
  <c r="S315" i="25"/>
  <c r="C682" i="66"/>
  <c r="C1595" i="66"/>
  <c r="AC1609" i="16"/>
  <c r="N1356" i="16"/>
  <c r="C892" i="66"/>
  <c r="T1826" i="16"/>
  <c r="AD1826" i="16" s="1"/>
  <c r="AC1826" i="16" s="1"/>
  <c r="O1826" i="16"/>
  <c r="E663" i="76"/>
  <c r="AO663" i="16"/>
  <c r="AF405" i="16"/>
  <c r="AC405" i="16"/>
  <c r="AO14" i="8"/>
  <c r="N13" i="16"/>
  <c r="I12" i="66"/>
  <c r="A12" i="66" s="1"/>
  <c r="S1382" i="16"/>
  <c r="O1380" i="16" s="1"/>
  <c r="O142" i="8"/>
  <c r="N141" i="16" s="1"/>
  <c r="AM142" i="8"/>
  <c r="AM137" i="8"/>
  <c r="I169" i="66"/>
  <c r="N170" i="16"/>
  <c r="AO171" i="8"/>
  <c r="AM129" i="8"/>
  <c r="I1578" i="66"/>
  <c r="AO23" i="28"/>
  <c r="N1580" i="16"/>
  <c r="BG16" i="28"/>
  <c r="BG17" i="25"/>
  <c r="M11" i="7"/>
  <c r="BG16" i="8"/>
  <c r="BG16" i="24"/>
  <c r="BG16" i="27"/>
  <c r="BG16" i="29"/>
  <c r="I1614" i="66"/>
  <c r="N1616" i="16"/>
  <c r="AO59" i="28"/>
  <c r="AO13" i="16"/>
  <c r="A1676" i="66"/>
  <c r="A1677" i="66" s="1"/>
  <c r="C978" i="66"/>
  <c r="A979" i="66"/>
  <c r="I1736" i="66"/>
  <c r="N1738" i="16"/>
  <c r="AO181" i="28"/>
  <c r="AE1604" i="16"/>
  <c r="M1604" i="16"/>
  <c r="AF1801" i="16"/>
  <c r="AC1801" i="16"/>
  <c r="AO269" i="28"/>
  <c r="C1324" i="66"/>
  <c r="C2006" i="66"/>
  <c r="AO268" i="16"/>
  <c r="C908" i="66"/>
  <c r="C182" i="66"/>
  <c r="A183" i="66"/>
  <c r="C183" i="66" s="1"/>
  <c r="E1602" i="76"/>
  <c r="AO1604" i="16"/>
  <c r="M59" i="28"/>
  <c r="AE59" i="28"/>
  <c r="AO100" i="27"/>
  <c r="I1494" i="66"/>
  <c r="N1496" i="16"/>
  <c r="G1496" i="16" s="1"/>
  <c r="O12" i="29"/>
  <c r="A1838" i="66" s="1"/>
  <c r="R15" i="29"/>
  <c r="T15" i="29"/>
  <c r="AD15" i="29" s="1"/>
  <c r="C1830" i="66"/>
  <c r="A1831" i="66"/>
  <c r="C683" i="66"/>
  <c r="AO1298" i="16"/>
  <c r="AF1768" i="16"/>
  <c r="AC1768" i="16"/>
  <c r="S1074" i="16"/>
  <c r="T1074" i="16" s="1"/>
  <c r="AD1074" i="16" s="1"/>
  <c r="AC1074" i="16" s="1"/>
  <c r="C684" i="66"/>
  <c r="AD1298" i="16"/>
  <c r="AC1298" i="16" s="1"/>
  <c r="E1510" i="76"/>
  <c r="AO1512" i="16"/>
  <c r="S1580" i="16"/>
  <c r="S1593" i="16"/>
  <c r="T179" i="8"/>
  <c r="AD179" i="8" s="1"/>
  <c r="AC179" i="8" s="1"/>
  <c r="O179" i="8"/>
  <c r="C839" i="66"/>
  <c r="A840" i="66"/>
  <c r="E1689" i="76"/>
  <c r="AO1691" i="16"/>
  <c r="S1076" i="16"/>
  <c r="T1076" i="16" s="1"/>
  <c r="AD1076" i="16" s="1"/>
  <c r="AC1076" i="16" s="1"/>
  <c r="C2005" i="66"/>
  <c r="AC59" i="28"/>
  <c r="E77" i="76"/>
  <c r="AO77" i="16"/>
  <c r="I1307" i="66"/>
  <c r="AO545" i="25"/>
  <c r="N1309" i="16"/>
  <c r="I1591" i="66"/>
  <c r="N1593" i="16"/>
  <c r="AO36" i="28"/>
  <c r="C769" i="66"/>
  <c r="C372" i="66"/>
  <c r="T545" i="25"/>
  <c r="AD545" i="25" s="1"/>
  <c r="AC545" i="25" s="1"/>
  <c r="A47" i="66"/>
  <c r="C47" i="66" s="1"/>
  <c r="C46" i="66"/>
  <c r="C780" i="66"/>
  <c r="T36" i="28"/>
  <c r="AD36" i="28" s="1"/>
  <c r="AC36" i="28" s="1"/>
  <c r="C893" i="66"/>
  <c r="A894" i="66"/>
  <c r="A335" i="66"/>
  <c r="C334" i="66"/>
  <c r="C362" i="66"/>
  <c r="A686" i="66"/>
  <c r="C685" i="66"/>
  <c r="I1354" i="66"/>
  <c r="AC60" i="29"/>
  <c r="C142" i="66"/>
  <c r="A143" i="66"/>
  <c r="C261" i="66"/>
  <c r="A262" i="66"/>
  <c r="C262" i="66" s="1"/>
  <c r="A810" i="66"/>
  <c r="C810" i="66" s="1"/>
  <c r="C809" i="66"/>
  <c r="AO1356" i="16"/>
  <c r="AO1590" i="16"/>
  <c r="E1588" i="76"/>
  <c r="E1494" i="76"/>
  <c r="AO1496" i="16"/>
  <c r="E1607" i="76"/>
  <c r="AO1609" i="16"/>
  <c r="E466" i="76"/>
  <c r="E129" i="76"/>
  <c r="E1405" i="76"/>
  <c r="AO466" i="16"/>
  <c r="AO665" i="16"/>
  <c r="E665" i="76"/>
  <c r="AO573" i="16"/>
  <c r="E573" i="76"/>
  <c r="AO394" i="16"/>
  <c r="E394" i="76"/>
  <c r="AO398" i="16"/>
  <c r="E398" i="76"/>
  <c r="AO390" i="16"/>
  <c r="E390" i="76"/>
  <c r="AO382" i="16"/>
  <c r="E382" i="76"/>
  <c r="AO384" i="16"/>
  <c r="E384" i="76"/>
  <c r="AO146" i="16"/>
  <c r="E146" i="76"/>
  <c r="AO141" i="16"/>
  <c r="E141" i="76"/>
  <c r="AO140" i="16"/>
  <c r="E140" i="76"/>
  <c r="AO131" i="16"/>
  <c r="E131" i="76"/>
  <c r="AO133" i="16"/>
  <c r="E133" i="76"/>
  <c r="T100" i="29"/>
  <c r="AD100" i="29" s="1"/>
  <c r="O96" i="29"/>
  <c r="A1922" i="66" s="1"/>
  <c r="R100" i="29"/>
  <c r="I1819" i="66"/>
  <c r="AO264" i="28"/>
  <c r="AC211" i="28"/>
  <c r="N1782" i="16"/>
  <c r="AO225" i="28"/>
  <c r="I1780" i="66"/>
  <c r="C1619" i="66"/>
  <c r="A1620" i="66"/>
  <c r="N1821" i="16"/>
  <c r="A1698" i="66"/>
  <c r="A1656" i="66"/>
  <c r="C1655" i="66"/>
  <c r="A1716" i="66"/>
  <c r="C1715" i="66"/>
  <c r="C1631" i="66"/>
  <c r="A1632" i="66"/>
  <c r="A1086" i="66"/>
  <c r="C1086" i="66" s="1"/>
  <c r="C1085" i="66"/>
  <c r="C790" i="66"/>
  <c r="A791" i="66"/>
  <c r="C886" i="66"/>
  <c r="A887" i="66"/>
  <c r="A989" i="66"/>
  <c r="C988" i="66"/>
  <c r="A963" i="66"/>
  <c r="C962" i="66"/>
  <c r="C811" i="66"/>
  <c r="C814" i="66"/>
  <c r="A783" i="66"/>
  <c r="C782" i="66"/>
  <c r="C1269" i="66"/>
  <c r="A1270" i="66"/>
  <c r="A1265" i="66" s="1"/>
  <c r="A786" i="66"/>
  <c r="C785" i="66"/>
  <c r="T123" i="24"/>
  <c r="AD123" i="24" s="1"/>
  <c r="R123" i="24"/>
  <c r="A760" i="66"/>
  <c r="C759" i="66"/>
  <c r="C535" i="66"/>
  <c r="A536" i="66"/>
  <c r="T104" i="24"/>
  <c r="AD104" i="24" s="1"/>
  <c r="AC104" i="24" s="1"/>
  <c r="O102" i="24"/>
  <c r="A356" i="66" s="1"/>
  <c r="C622" i="66"/>
  <c r="A623" i="66"/>
  <c r="C623" i="66" s="1"/>
  <c r="A303" i="66"/>
  <c r="C303" i="66" s="1"/>
  <c r="C302" i="66"/>
  <c r="N376" i="16"/>
  <c r="I375" i="66"/>
  <c r="AO121" i="24"/>
  <c r="A754" i="66"/>
  <c r="C753" i="66"/>
  <c r="M107" i="24"/>
  <c r="AM107" i="24" s="1"/>
  <c r="AE107" i="24"/>
  <c r="C710" i="66"/>
  <c r="A711" i="66"/>
  <c r="C711" i="66" s="1"/>
  <c r="C765" i="66"/>
  <c r="A766" i="66"/>
  <c r="C766" i="66" s="1"/>
  <c r="C268" i="66"/>
  <c r="A269" i="66"/>
  <c r="A473" i="66"/>
  <c r="C473" i="66" s="1"/>
  <c r="C472" i="66"/>
  <c r="R117" i="24"/>
  <c r="T117" i="24"/>
  <c r="AD117" i="24" s="1"/>
  <c r="C18" i="66"/>
  <c r="A19" i="66"/>
  <c r="C19" i="66" s="1"/>
  <c r="A105" i="66"/>
  <c r="C105" i="66" s="1"/>
  <c r="C104" i="66"/>
  <c r="C220" i="66"/>
  <c r="A221" i="66"/>
  <c r="C221" i="66" s="1"/>
  <c r="C163" i="66"/>
  <c r="C1586" i="66"/>
  <c r="A1587" i="66"/>
  <c r="C1587" i="66" s="1"/>
  <c r="AC799" i="16"/>
  <c r="I1435" i="66"/>
  <c r="AO41" i="27"/>
  <c r="N1437" i="16"/>
  <c r="R902" i="16"/>
  <c r="M902" i="16" s="1"/>
  <c r="AM902" i="16" s="1"/>
  <c r="T902" i="16"/>
  <c r="I1248" i="66"/>
  <c r="N1250" i="16"/>
  <c r="AO486" i="25"/>
  <c r="I1405" i="66"/>
  <c r="AO11" i="27"/>
  <c r="N1407" i="16"/>
  <c r="AO1407" i="16"/>
  <c r="T813" i="16"/>
  <c r="AD813" i="16" s="1"/>
  <c r="R813" i="16"/>
  <c r="I1243" i="66"/>
  <c r="AO481" i="25"/>
  <c r="N1245" i="16"/>
  <c r="R817" i="16"/>
  <c r="T817" i="16"/>
  <c r="AD817" i="16" s="1"/>
  <c r="T821" i="16"/>
  <c r="AD821" i="16" s="1"/>
  <c r="AC821" i="16" s="1"/>
  <c r="I38" i="66"/>
  <c r="N39" i="16"/>
  <c r="G39" i="16" s="1"/>
  <c r="G19" i="16" s="1"/>
  <c r="AO40" i="8"/>
  <c r="AO477" i="25"/>
  <c r="I1239" i="66"/>
  <c r="N1241" i="16"/>
  <c r="G1241" i="16" s="1"/>
  <c r="S17" i="25"/>
  <c r="AE17" i="25" s="1"/>
  <c r="T1128" i="16"/>
  <c r="AD1128" i="16" s="1"/>
  <c r="AC1128" i="16" s="1"/>
  <c r="O1105" i="16"/>
  <c r="O1106" i="16"/>
  <c r="T1095" i="16"/>
  <c r="AD1095" i="16" s="1"/>
  <c r="AC1095" i="16" s="1"/>
  <c r="O1107" i="16"/>
  <c r="I397" i="66"/>
  <c r="N398" i="16"/>
  <c r="AO143" i="24"/>
  <c r="C1438" i="66"/>
  <c r="A1439" i="66"/>
  <c r="C1439" i="66" s="1"/>
  <c r="G1345" i="16"/>
  <c r="G1350" i="16"/>
  <c r="G1351" i="16" s="1"/>
  <c r="G1352" i="16" s="1"/>
  <c r="G1353" i="16" s="1"/>
  <c r="G1354" i="16" s="1"/>
  <c r="G1355" i="16" s="1"/>
  <c r="AO226" i="8"/>
  <c r="I224" i="66"/>
  <c r="N225" i="16"/>
  <c r="G225" i="16" s="1"/>
  <c r="G1470" i="16"/>
  <c r="G1471" i="16" s="1"/>
  <c r="G1472" i="16" s="1"/>
  <c r="R962" i="16"/>
  <c r="AE962" i="16" s="1"/>
  <c r="AD962" i="16"/>
  <c r="T839" i="16"/>
  <c r="AD839" i="16" s="1"/>
  <c r="T1068" i="16"/>
  <c r="AD1068" i="16" s="1"/>
  <c r="AC1068" i="16" s="1"/>
  <c r="T1182" i="16"/>
  <c r="AD1182" i="16" s="1"/>
  <c r="AC1182" i="16" s="1"/>
  <c r="R804" i="16"/>
  <c r="T804" i="16"/>
  <c r="AD804" i="16" s="1"/>
  <c r="T901" i="16"/>
  <c r="AD901" i="16" s="1"/>
  <c r="R901" i="16"/>
  <c r="AE901" i="16" s="1"/>
  <c r="AF901" i="16" s="1"/>
  <c r="T1050" i="16"/>
  <c r="AD1050" i="16" s="1"/>
  <c r="AC1050" i="16" s="1"/>
  <c r="O1050" i="16"/>
  <c r="T1118" i="16"/>
  <c r="AD1118" i="16" s="1"/>
  <c r="AC1118" i="16" s="1"/>
  <c r="O1117" i="16"/>
  <c r="O1108" i="16"/>
  <c r="G1441" i="16"/>
  <c r="G1444" i="16"/>
  <c r="G1445" i="16" s="1"/>
  <c r="G1446" i="16" s="1"/>
  <c r="G1447" i="16" s="1"/>
  <c r="G1448" i="16" s="1"/>
  <c r="O1132" i="16"/>
  <c r="T1132" i="16"/>
  <c r="AD1132" i="16" s="1"/>
  <c r="AC1132" i="16" s="1"/>
  <c r="I132" i="66"/>
  <c r="AO134" i="8"/>
  <c r="N133" i="16"/>
  <c r="G1451" i="16"/>
  <c r="G1452" i="16" s="1"/>
  <c r="G1453" i="16" s="1"/>
  <c r="G1454" i="16" s="1"/>
  <c r="G1455" i="16" s="1"/>
  <c r="G1456" i="16" s="1"/>
  <c r="G1457" i="16" s="1"/>
  <c r="G1458" i="16" s="1"/>
  <c r="I1378" i="66"/>
  <c r="AO616" i="25"/>
  <c r="N1380" i="16"/>
  <c r="I1327" i="66"/>
  <c r="AO565" i="25"/>
  <c r="N1329" i="16"/>
  <c r="T955" i="16"/>
  <c r="AD955" i="16" s="1"/>
  <c r="AC955" i="16" s="1"/>
  <c r="R969" i="16"/>
  <c r="AE969" i="16" s="1"/>
  <c r="AF969" i="16" s="1"/>
  <c r="T969" i="16"/>
  <c r="AD969" i="16" s="1"/>
  <c r="T977" i="16"/>
  <c r="AD977" i="16" s="1"/>
  <c r="AC977" i="16" s="1"/>
  <c r="O1135" i="16"/>
  <c r="T1135" i="16"/>
  <c r="AD1135" i="16" s="1"/>
  <c r="AC1135" i="16" s="1"/>
  <c r="AO129" i="16"/>
  <c r="O1100" i="16"/>
  <c r="AC12" i="27"/>
  <c r="AM1487" i="16"/>
  <c r="O1487" i="16"/>
  <c r="AO563" i="25"/>
  <c r="N1327" i="16"/>
  <c r="G1327" i="16" s="1"/>
  <c r="G1326" i="16" s="1"/>
  <c r="I1325" i="66"/>
  <c r="I257" i="66"/>
  <c r="N258" i="16"/>
  <c r="AO259" i="8"/>
  <c r="O1027" i="16"/>
  <c r="T1028" i="16"/>
  <c r="AD1028" i="16" s="1"/>
  <c r="AC1028" i="16" s="1"/>
  <c r="I1726" i="66"/>
  <c r="AO171" i="28"/>
  <c r="N1728" i="16"/>
  <c r="G1728" i="16" s="1"/>
  <c r="T1114" i="16"/>
  <c r="AD1114" i="16" s="1"/>
  <c r="AC1114" i="16" s="1"/>
  <c r="O1114" i="16"/>
  <c r="AM91" i="27"/>
  <c r="O91" i="27"/>
  <c r="G108" i="16"/>
  <c r="G109" i="16" s="1"/>
  <c r="G110" i="16" s="1"/>
  <c r="G111" i="16" s="1"/>
  <c r="G112" i="16" s="1"/>
  <c r="G113" i="16" s="1"/>
  <c r="AO165" i="28"/>
  <c r="I1720" i="66"/>
  <c r="N1722" i="16"/>
  <c r="C1623" i="66"/>
  <c r="A1624" i="66"/>
  <c r="T1044" i="16"/>
  <c r="AD1044" i="16" s="1"/>
  <c r="AC1044" i="16" s="1"/>
  <c r="O1043" i="16"/>
  <c r="O1140" i="16"/>
  <c r="T1140" i="16"/>
  <c r="AD1140" i="16" s="1"/>
  <c r="AC1140" i="16" s="1"/>
  <c r="R807" i="16"/>
  <c r="T807" i="16"/>
  <c r="AD807" i="16" s="1"/>
  <c r="R855" i="16"/>
  <c r="AE855" i="16" s="1"/>
  <c r="AF855" i="16" s="1"/>
  <c r="T855" i="16"/>
  <c r="AD855" i="16" s="1"/>
  <c r="R913" i="16"/>
  <c r="AE913" i="16" s="1"/>
  <c r="AF913" i="16" s="1"/>
  <c r="T913" i="16"/>
  <c r="AD913" i="16" s="1"/>
  <c r="O911" i="16"/>
  <c r="T1112" i="16"/>
  <c r="AD1112" i="16" s="1"/>
  <c r="AC1112" i="16" s="1"/>
  <c r="O1022" i="16"/>
  <c r="T1023" i="16"/>
  <c r="AD1023" i="16" s="1"/>
  <c r="AC1023" i="16" s="1"/>
  <c r="G1524" i="16"/>
  <c r="G1525" i="16" s="1"/>
  <c r="G1526" i="16" s="1"/>
  <c r="G1527" i="16" s="1"/>
  <c r="G1528" i="16" s="1"/>
  <c r="G1529" i="16" s="1"/>
  <c r="G1530" i="16" s="1"/>
  <c r="G1531" i="16" s="1"/>
  <c r="G1532" i="16" s="1"/>
  <c r="G1533" i="16" s="1"/>
  <c r="T823" i="16"/>
  <c r="AD823" i="16" s="1"/>
  <c r="R823" i="16"/>
  <c r="T1225" i="16"/>
  <c r="AD1225" i="16" s="1"/>
  <c r="R1225" i="16"/>
  <c r="AE1225" i="16" s="1"/>
  <c r="AF1225" i="16" s="1"/>
  <c r="T1136" i="16"/>
  <c r="AD1136" i="16" s="1"/>
  <c r="AC1136" i="16" s="1"/>
  <c r="O1136" i="16"/>
  <c r="I393" i="66"/>
  <c r="AO139" i="24"/>
  <c r="N394" i="16"/>
  <c r="I1616" i="66"/>
  <c r="N1618" i="16"/>
  <c r="AO61" i="28"/>
  <c r="I145" i="66"/>
  <c r="AO147" i="8"/>
  <c r="N146" i="16"/>
  <c r="C450" i="66"/>
  <c r="A451" i="66"/>
  <c r="O1130" i="16"/>
  <c r="T1130" i="16"/>
  <c r="AD1130" i="16" s="1"/>
  <c r="AC1130" i="16" s="1"/>
  <c r="R790" i="16"/>
  <c r="AE790" i="16" s="1"/>
  <c r="AF790" i="16" s="1"/>
  <c r="T790" i="16"/>
  <c r="AD790" i="16" s="1"/>
  <c r="T1039" i="16"/>
  <c r="AD1039" i="16" s="1"/>
  <c r="AC1039" i="16" s="1"/>
  <c r="T1056" i="16"/>
  <c r="AD1056" i="16" s="1"/>
  <c r="AC1056" i="16" s="1"/>
  <c r="O1055" i="16"/>
  <c r="T885" i="16"/>
  <c r="AD885" i="16" s="1"/>
  <c r="R885" i="16"/>
  <c r="C572" i="66"/>
  <c r="N573" i="16"/>
  <c r="I572" i="66"/>
  <c r="AO318" i="24"/>
  <c r="AC61" i="28"/>
  <c r="I465" i="66"/>
  <c r="N466" i="16"/>
  <c r="AO211" i="24"/>
  <c r="T1084" i="16"/>
  <c r="AD1084" i="16" s="1"/>
  <c r="AC1084" i="16" s="1"/>
  <c r="T1137" i="16"/>
  <c r="AD1137" i="16" s="1"/>
  <c r="AC1137" i="16" s="1"/>
  <c r="O1137" i="16"/>
  <c r="O1007" i="16"/>
  <c r="T1007" i="16"/>
  <c r="AD1007" i="16" s="1"/>
  <c r="AC1007" i="16" s="1"/>
  <c r="R899" i="16"/>
  <c r="AE899" i="16" s="1"/>
  <c r="AF899" i="16" s="1"/>
  <c r="M897" i="16"/>
  <c r="AM897" i="16" s="1"/>
  <c r="T899" i="16"/>
  <c r="AD899" i="16" s="1"/>
  <c r="T1020" i="16"/>
  <c r="AD1020" i="16" s="1"/>
  <c r="AC1020" i="16" s="1"/>
  <c r="AC40" i="8"/>
  <c r="AC127" i="24"/>
  <c r="N140" i="16"/>
  <c r="G140" i="16" s="1"/>
  <c r="I139" i="66"/>
  <c r="AO141" i="8"/>
  <c r="O1168" i="16"/>
  <c r="T1168" i="16"/>
  <c r="AD1168" i="16" s="1"/>
  <c r="AC1168" i="16" s="1"/>
  <c r="C1532" i="66"/>
  <c r="A1533" i="66"/>
  <c r="G1235" i="16"/>
  <c r="G1236" i="16" s="1"/>
  <c r="G1237" i="16" s="1"/>
  <c r="AO135" i="24"/>
  <c r="I389" i="66"/>
  <c r="N390" i="16"/>
  <c r="G390" i="16" s="1"/>
  <c r="R907" i="16"/>
  <c r="T907" i="16"/>
  <c r="AD907" i="16" s="1"/>
  <c r="O1777" i="16"/>
  <c r="T1777" i="16"/>
  <c r="AD1777" i="16" s="1"/>
  <c r="AC1777" i="16" s="1"/>
  <c r="C630" i="66"/>
  <c r="A631" i="66"/>
  <c r="C631" i="66" s="1"/>
  <c r="I381" i="66"/>
  <c r="AO127" i="24"/>
  <c r="N382" i="16"/>
  <c r="G382" i="16" s="1"/>
  <c r="O1097" i="16"/>
  <c r="I1728" i="66"/>
  <c r="N1730" i="16"/>
  <c r="AO173" i="28"/>
  <c r="I254" i="66"/>
  <c r="AO256" i="8"/>
  <c r="N255" i="16"/>
  <c r="G255" i="16" s="1"/>
  <c r="I1329" i="66"/>
  <c r="N1331" i="16"/>
  <c r="AO567" i="25"/>
  <c r="R858" i="16"/>
  <c r="T858" i="16"/>
  <c r="AD858" i="16" s="1"/>
  <c r="T891" i="16"/>
  <c r="AD891" i="16" s="1"/>
  <c r="R891" i="16"/>
  <c r="T1034" i="16"/>
  <c r="AD1034" i="16" s="1"/>
  <c r="AC1034" i="16" s="1"/>
  <c r="T1051" i="16"/>
  <c r="AD1051" i="16" s="1"/>
  <c r="AC1051" i="16" s="1"/>
  <c r="T1014" i="16"/>
  <c r="AD1014" i="16" s="1"/>
  <c r="AC1014" i="16" s="1"/>
  <c r="I1387" i="66"/>
  <c r="N1389" i="16"/>
  <c r="AO625" i="25"/>
  <c r="C309" i="66"/>
  <c r="A310" i="66"/>
  <c r="N384" i="16"/>
  <c r="AO129" i="24"/>
  <c r="I383" i="66"/>
  <c r="S52" i="25"/>
  <c r="O1245" i="16"/>
  <c r="O1309" i="16"/>
  <c r="O789" i="16"/>
  <c r="S49" i="25"/>
  <c r="O977" i="16"/>
  <c r="S316" i="25"/>
  <c r="S1080" i="16"/>
  <c r="O230" i="28"/>
  <c r="O1250" i="16"/>
  <c r="O39" i="16"/>
  <c r="S57" i="25"/>
  <c r="O73" i="8"/>
  <c r="S53" i="25"/>
  <c r="S121" i="27"/>
  <c r="S816" i="16"/>
  <c r="O1241" i="16"/>
  <c r="S138" i="25"/>
  <c r="O1084" i="16"/>
  <c r="S176" i="25"/>
  <c r="M348" i="25" l="1"/>
  <c r="AM348" i="25" s="1"/>
  <c r="T175" i="25"/>
  <c r="T174" i="25"/>
  <c r="T939" i="16"/>
  <c r="T938" i="16"/>
  <c r="T937" i="16" s="1"/>
  <c r="AD937" i="16" s="1"/>
  <c r="T173" i="25"/>
  <c r="AD173" i="25" s="1"/>
  <c r="G1782" i="16"/>
  <c r="G1783" i="16" s="1"/>
  <c r="G1784" i="16" s="1"/>
  <c r="G1738" i="16"/>
  <c r="G1739" i="16" s="1"/>
  <c r="G1498" i="16"/>
  <c r="G1499" i="16" s="1"/>
  <c r="G1372" i="16"/>
  <c r="G1379" i="16"/>
  <c r="G1356" i="16"/>
  <c r="G1357" i="16" s="1"/>
  <c r="G1358" i="16" s="1"/>
  <c r="G1359" i="16" s="1"/>
  <c r="G1360" i="16" s="1"/>
  <c r="G1361" i="16" s="1"/>
  <c r="G1362" i="16" s="1"/>
  <c r="G1363" i="16" s="1"/>
  <c r="G1364" i="16" s="1"/>
  <c r="G1365" i="16" s="1"/>
  <c r="G1366" i="16" s="1"/>
  <c r="G1367" i="16" s="1"/>
  <c r="G1368" i="16" s="1"/>
  <c r="G1369" i="16" s="1"/>
  <c r="G1370" i="16" s="1"/>
  <c r="G1371" i="16" s="1"/>
  <c r="G1394" i="16"/>
  <c r="G1437" i="16"/>
  <c r="G1438" i="16" s="1"/>
  <c r="G1439" i="16" s="1"/>
  <c r="G1821" i="16"/>
  <c r="G1822" i="16" s="1"/>
  <c r="G1823" i="16" s="1"/>
  <c r="G1824" i="16" s="1"/>
  <c r="G1825" i="16" s="1"/>
  <c r="G376" i="16"/>
  <c r="G377" i="16" s="1"/>
  <c r="G153" i="16"/>
  <c r="G154" i="16" s="1"/>
  <c r="G151" i="16"/>
  <c r="G152" i="16" s="1"/>
  <c r="G13" i="16"/>
  <c r="G14" i="16" s="1"/>
  <c r="G1906" i="16"/>
  <c r="G1907" i="16" s="1"/>
  <c r="G1908" i="16" s="1"/>
  <c r="G1909" i="16" s="1"/>
  <c r="G1910" i="16" s="1"/>
  <c r="G1911" i="16" s="1"/>
  <c r="G1912" i="16" s="1"/>
  <c r="G1913" i="16" s="1"/>
  <c r="G1914" i="16" s="1"/>
  <c r="G1915" i="16" s="1"/>
  <c r="G1916" i="16" s="1"/>
  <c r="G1917" i="16" s="1"/>
  <c r="G1918" i="16" s="1"/>
  <c r="G1919" i="16" s="1"/>
  <c r="G1920" i="16" s="1"/>
  <c r="G1921" i="16" s="1"/>
  <c r="G1922" i="16" s="1"/>
  <c r="G1923" i="16" s="1"/>
  <c r="G93" i="16"/>
  <c r="G384" i="16"/>
  <c r="G385" i="16" s="1"/>
  <c r="G386" i="16" s="1"/>
  <c r="G1389" i="16"/>
  <c r="G1390" i="16" s="1"/>
  <c r="G1618" i="16"/>
  <c r="G1619" i="16" s="1"/>
  <c r="G1620" i="16" s="1"/>
  <c r="G1621" i="16" s="1"/>
  <c r="G1622" i="16" s="1"/>
  <c r="G1623" i="16" s="1"/>
  <c r="G133" i="16"/>
  <c r="G134" i="16" s="1"/>
  <c r="G466" i="16"/>
  <c r="G467" i="16" s="1"/>
  <c r="G468" i="16" s="1"/>
  <c r="G394" i="16"/>
  <c r="G395" i="16" s="1"/>
  <c r="G396" i="16" s="1"/>
  <c r="G397" i="16" s="1"/>
  <c r="G258" i="16"/>
  <c r="G259" i="16" s="1"/>
  <c r="G260" i="16" s="1"/>
  <c r="G261" i="16" s="1"/>
  <c r="G262" i="16" s="1"/>
  <c r="G263" i="16" s="1"/>
  <c r="G1329" i="16"/>
  <c r="G1330" i="16" s="1"/>
  <c r="G1250" i="16"/>
  <c r="G1251" i="16" s="1"/>
  <c r="G1252" i="16" s="1"/>
  <c r="G1253" i="16" s="1"/>
  <c r="G1254" i="16" s="1"/>
  <c r="G1580" i="16"/>
  <c r="G1581" i="16" s="1"/>
  <c r="G1582" i="16" s="1"/>
  <c r="G1467" i="16"/>
  <c r="G1468" i="16" s="1"/>
  <c r="G1521" i="16"/>
  <c r="G1522" i="16" s="1"/>
  <c r="G1490" i="16"/>
  <c r="G315" i="16"/>
  <c r="G316" i="16" s="1"/>
  <c r="G317" i="16" s="1"/>
  <c r="G318" i="16" s="1"/>
  <c r="G319" i="16" s="1"/>
  <c r="G320" i="16" s="1"/>
  <c r="G321" i="16" s="1"/>
  <c r="G322" i="16" s="1"/>
  <c r="G323" i="16" s="1"/>
  <c r="G324" i="16" s="1"/>
  <c r="G325" i="16" s="1"/>
  <c r="G326" i="16" s="1"/>
  <c r="G327" i="16" s="1"/>
  <c r="G328" i="16" s="1"/>
  <c r="G329" i="16" s="1"/>
  <c r="G330" i="16" s="1"/>
  <c r="G331" i="16" s="1"/>
  <c r="G332" i="16" s="1"/>
  <c r="G230" i="16"/>
  <c r="G221" i="16" s="1"/>
  <c r="G222" i="16" s="1"/>
  <c r="A386" i="66"/>
  <c r="C386" i="66" s="1"/>
  <c r="G146" i="16"/>
  <c r="G147" i="16" s="1"/>
  <c r="G1722" i="16"/>
  <c r="G1723" i="16" s="1"/>
  <c r="G1724" i="16" s="1"/>
  <c r="G1725" i="16" s="1"/>
  <c r="A1576" i="66"/>
  <c r="A1577" i="66" s="1"/>
  <c r="C1577" i="66" s="1"/>
  <c r="G141" i="16"/>
  <c r="G142" i="16" s="1"/>
  <c r="G143" i="16" s="1"/>
  <c r="G144" i="16" s="1"/>
  <c r="G145" i="16" s="1"/>
  <c r="G1464" i="16"/>
  <c r="G1449" i="16" s="1"/>
  <c r="G1380" i="16"/>
  <c r="G1381" i="16" s="1"/>
  <c r="G1382" i="16" s="1"/>
  <c r="G1383" i="16" s="1"/>
  <c r="G1384" i="16" s="1"/>
  <c r="G1385" i="16" s="1"/>
  <c r="G1386" i="16" s="1"/>
  <c r="G1387" i="16" s="1"/>
  <c r="G1388" i="16" s="1"/>
  <c r="G131" i="16"/>
  <c r="G132" i="16" s="1"/>
  <c r="G1407" i="16"/>
  <c r="G1408" i="16" s="1"/>
  <c r="G1409" i="16" s="1"/>
  <c r="G1410" i="16" s="1"/>
  <c r="G1411" i="16" s="1"/>
  <c r="G1412" i="16" s="1"/>
  <c r="G1413" i="16" s="1"/>
  <c r="G1414" i="16" s="1"/>
  <c r="G1415" i="16" s="1"/>
  <c r="G1416" i="16" s="1"/>
  <c r="G1417" i="16" s="1"/>
  <c r="G1418" i="16" s="1"/>
  <c r="G1419" i="16" s="1"/>
  <c r="G1420" i="16" s="1"/>
  <c r="G1421" i="16" s="1"/>
  <c r="G1422" i="16" s="1"/>
  <c r="G1423" i="16" s="1"/>
  <c r="G1424" i="16" s="1"/>
  <c r="G1425" i="16" s="1"/>
  <c r="G1426" i="16" s="1"/>
  <c r="G1427" i="16" s="1"/>
  <c r="G1428" i="16" s="1"/>
  <c r="G1429" i="16" s="1"/>
  <c r="G1430" i="16" s="1"/>
  <c r="G1431" i="16" s="1"/>
  <c r="G1432" i="16" s="1"/>
  <c r="G1433" i="16" s="1"/>
  <c r="G1434" i="16" s="1"/>
  <c r="G1435" i="16" s="1"/>
  <c r="G1436" i="16" s="1"/>
  <c r="G1543" i="16"/>
  <c r="G1544" i="16" s="1"/>
  <c r="G1545" i="16" s="1"/>
  <c r="G1546" i="16" s="1"/>
  <c r="G1547" i="16" s="1"/>
  <c r="G1548" i="16" s="1"/>
  <c r="G1549" i="16" s="1"/>
  <c r="G1583" i="16"/>
  <c r="G1584" i="16" s="1"/>
  <c r="G1585" i="16" s="1"/>
  <c r="G1500" i="16"/>
  <c r="G573" i="16"/>
  <c r="G574" i="16" s="1"/>
  <c r="G575" i="16" s="1"/>
  <c r="G576" i="16" s="1"/>
  <c r="G577" i="16" s="1"/>
  <c r="G578" i="16" s="1"/>
  <c r="G579" i="16" s="1"/>
  <c r="G580" i="16" s="1"/>
  <c r="G581" i="16" s="1"/>
  <c r="G582" i="16" s="1"/>
  <c r="G583" i="16" s="1"/>
  <c r="G584" i="16" s="1"/>
  <c r="G585" i="16" s="1"/>
  <c r="G586" i="16" s="1"/>
  <c r="G587" i="16" s="1"/>
  <c r="G588" i="16" s="1"/>
  <c r="G589" i="16" s="1"/>
  <c r="G398" i="16"/>
  <c r="G399" i="16" s="1"/>
  <c r="G400" i="16" s="1"/>
  <c r="G1593" i="16"/>
  <c r="G1594" i="16" s="1"/>
  <c r="G1595" i="16" s="1"/>
  <c r="G1245" i="16"/>
  <c r="G1246" i="16" s="1"/>
  <c r="G1247" i="16" s="1"/>
  <c r="G1248" i="16" s="1"/>
  <c r="G1249" i="16" s="1"/>
  <c r="G170" i="16"/>
  <c r="G171" i="16" s="1"/>
  <c r="G172" i="16" s="1"/>
  <c r="G173" i="16" s="1"/>
  <c r="G174" i="16" s="1"/>
  <c r="G123" i="16"/>
  <c r="G124" i="16" s="1"/>
  <c r="G125" i="16" s="1"/>
  <c r="G126" i="16" s="1"/>
  <c r="G127" i="16" s="1"/>
  <c r="G128" i="16" s="1"/>
  <c r="G1730" i="16"/>
  <c r="G1731" i="16" s="1"/>
  <c r="G1331" i="16"/>
  <c r="G1332" i="16" s="1"/>
  <c r="G1333" i="16" s="1"/>
  <c r="G1334" i="16" s="1"/>
  <c r="G1309" i="16"/>
  <c r="G1310" i="16" s="1"/>
  <c r="G1311" i="16" s="1"/>
  <c r="G1312" i="16" s="1"/>
  <c r="G1313" i="16" s="1"/>
  <c r="G1314" i="16" s="1"/>
  <c r="G665" i="16"/>
  <c r="G666" i="16" s="1"/>
  <c r="G667" i="16" s="1"/>
  <c r="G668" i="16" s="1"/>
  <c r="G669" i="16" s="1"/>
  <c r="G670" i="16" s="1"/>
  <c r="G671" i="16" s="1"/>
  <c r="G672" i="16" s="1"/>
  <c r="G673" i="16" s="1"/>
  <c r="G674" i="16" s="1"/>
  <c r="G675" i="16" s="1"/>
  <c r="G676" i="16" s="1"/>
  <c r="G677" i="16" s="1"/>
  <c r="G678" i="16" s="1"/>
  <c r="G679" i="16" s="1"/>
  <c r="G680" i="16" s="1"/>
  <c r="G681" i="16" s="1"/>
  <c r="G682" i="16" s="1"/>
  <c r="G683" i="16" s="1"/>
  <c r="G684" i="16" s="1"/>
  <c r="G685" i="16" s="1"/>
  <c r="G686" i="16" s="1"/>
  <c r="G687" i="16" s="1"/>
  <c r="G688" i="16" s="1"/>
  <c r="G689" i="16" s="1"/>
  <c r="G690" i="16" s="1"/>
  <c r="G691" i="16" s="1"/>
  <c r="G692" i="16" s="1"/>
  <c r="G693" i="16" s="1"/>
  <c r="G694" i="16" s="1"/>
  <c r="G695" i="16" s="1"/>
  <c r="G696" i="16" s="1"/>
  <c r="G697" i="16" s="1"/>
  <c r="G698" i="16" s="1"/>
  <c r="G699" i="16" s="1"/>
  <c r="G700" i="16" s="1"/>
  <c r="G701" i="16" s="1"/>
  <c r="G702" i="16" s="1"/>
  <c r="G703" i="16" s="1"/>
  <c r="G704" i="16" s="1"/>
  <c r="G705" i="16" s="1"/>
  <c r="G706" i="16" s="1"/>
  <c r="G1466" i="16"/>
  <c r="A1724" i="66"/>
  <c r="C491" i="66"/>
  <c r="A1732" i="66"/>
  <c r="C1732" i="66" s="1"/>
  <c r="C1733" i="66"/>
  <c r="A92" i="66"/>
  <c r="A93" i="66" s="1"/>
  <c r="A379" i="66"/>
  <c r="C379" i="66" s="1"/>
  <c r="C1447" i="66"/>
  <c r="T176" i="25"/>
  <c r="AD176" i="25" s="1"/>
  <c r="T160" i="25"/>
  <c r="AD160" i="25" s="1"/>
  <c r="AE102" i="29"/>
  <c r="AC102" i="29" s="1"/>
  <c r="N370" i="16"/>
  <c r="AC97" i="24"/>
  <c r="A943" i="66"/>
  <c r="C943" i="66" s="1"/>
  <c r="C942" i="66"/>
  <c r="A1465" i="66"/>
  <c r="C1465" i="66" s="1"/>
  <c r="C209" i="66"/>
  <c r="S180" i="25"/>
  <c r="T180" i="25" s="1"/>
  <c r="AD180" i="25" s="1"/>
  <c r="AC180" i="25" s="1"/>
  <c r="S178" i="25"/>
  <c r="T178" i="25" s="1"/>
  <c r="AD178" i="25" s="1"/>
  <c r="AC178" i="25" s="1"/>
  <c r="R176" i="25"/>
  <c r="AE176" i="25" s="1"/>
  <c r="AC107" i="24"/>
  <c r="M17" i="29"/>
  <c r="AM17" i="29" s="1"/>
  <c r="A972" i="66"/>
  <c r="C972" i="66" s="1"/>
  <c r="AO115" i="24"/>
  <c r="C496" i="66"/>
  <c r="A166" i="66"/>
  <c r="C165" i="66"/>
  <c r="AC778" i="16"/>
  <c r="AC149" i="29"/>
  <c r="T14" i="25"/>
  <c r="AD14" i="25" s="1"/>
  <c r="R14" i="25"/>
  <c r="AE14" i="25" s="1"/>
  <c r="BE271" i="16"/>
  <c r="BE1844" i="16"/>
  <c r="BE781" i="16"/>
  <c r="BE15" i="16"/>
  <c r="BE1573" i="16"/>
  <c r="S1787" i="16" s="1"/>
  <c r="M16" i="29"/>
  <c r="AM16" i="29" s="1"/>
  <c r="T198" i="25"/>
  <c r="AD198" i="25" s="1"/>
  <c r="N333" i="16"/>
  <c r="AO78" i="24"/>
  <c r="S433" i="25"/>
  <c r="T433" i="25" s="1"/>
  <c r="AD433" i="25" s="1"/>
  <c r="AC433" i="25" s="1"/>
  <c r="AC1227" i="16"/>
  <c r="R463" i="25"/>
  <c r="AE463" i="25" s="1"/>
  <c r="T463" i="25"/>
  <c r="AD463" i="25" s="1"/>
  <c r="AI3" i="8"/>
  <c r="L13" i="72" s="1"/>
  <c r="C1229" i="66"/>
  <c r="A1596" i="66"/>
  <c r="C1596" i="66" s="1"/>
  <c r="G15" i="16"/>
  <c r="G16" i="16" s="1"/>
  <c r="G17" i="16" s="1"/>
  <c r="G18" i="16" s="1"/>
  <c r="AF1599" i="16"/>
  <c r="AC1599" i="16"/>
  <c r="E70" i="76"/>
  <c r="AO70" i="16"/>
  <c r="AO79" i="16"/>
  <c r="E79" i="76"/>
  <c r="AO130" i="8"/>
  <c r="S119" i="27"/>
  <c r="T119" i="27" s="1"/>
  <c r="AD119" i="27" s="1"/>
  <c r="N1951" i="16"/>
  <c r="AE127" i="29"/>
  <c r="AC127" i="29" s="1"/>
  <c r="I1949" i="66"/>
  <c r="AO123" i="29"/>
  <c r="R362" i="16"/>
  <c r="AE362" i="16" s="1"/>
  <c r="AE81" i="29"/>
  <c r="AC81" i="29" s="1"/>
  <c r="O370" i="16"/>
  <c r="AO370" i="16" s="1"/>
  <c r="T1779" i="16"/>
  <c r="AD1779" i="16" s="1"/>
  <c r="AC1779" i="16" s="1"/>
  <c r="T1782" i="16"/>
  <c r="AD1782" i="16" s="1"/>
  <c r="AC1782" i="16" s="1"/>
  <c r="E376" i="76"/>
  <c r="E1777" i="76"/>
  <c r="T372" i="16"/>
  <c r="AD372" i="16" s="1"/>
  <c r="R372" i="16"/>
  <c r="AO1389" i="16"/>
  <c r="BF271" i="16"/>
  <c r="L457" i="16" s="1"/>
  <c r="N24" i="10"/>
  <c r="N38" i="10" s="1"/>
  <c r="S958" i="16" s="1"/>
  <c r="O958" i="16" s="1"/>
  <c r="C24" i="10"/>
  <c r="C38" i="10" s="1"/>
  <c r="BF1412" i="16"/>
  <c r="BF1844" i="16"/>
  <c r="U9" i="23"/>
  <c r="BF1573" i="16"/>
  <c r="BF15" i="16"/>
  <c r="AO1241" i="16"/>
  <c r="E1239" i="76"/>
  <c r="E1243" i="76"/>
  <c r="AO1245" i="16"/>
  <c r="C1676" i="66"/>
  <c r="A373" i="66"/>
  <c r="A374" i="66" s="1"/>
  <c r="C374" i="66" s="1"/>
  <c r="T1116" i="16"/>
  <c r="AD1116" i="16" s="1"/>
  <c r="AC1116" i="16" s="1"/>
  <c r="R352" i="16"/>
  <c r="AE352" i="16" s="1"/>
  <c r="AD352" i="16"/>
  <c r="G303" i="16"/>
  <c r="G304" i="16" s="1"/>
  <c r="T78" i="25"/>
  <c r="AD78" i="25" s="1"/>
  <c r="R78" i="25"/>
  <c r="AE78" i="25" s="1"/>
  <c r="C1905" i="66"/>
  <c r="C1906" i="66"/>
  <c r="R1955" i="16"/>
  <c r="M1955" i="16" s="1"/>
  <c r="AM1955" i="16" s="1"/>
  <c r="T1955" i="16"/>
  <c r="AD1955" i="16" s="1"/>
  <c r="O1951" i="16"/>
  <c r="T1856" i="16"/>
  <c r="AD1856" i="16" s="1"/>
  <c r="R1856" i="16"/>
  <c r="T1949" i="16"/>
  <c r="AD1949" i="16" s="1"/>
  <c r="R1949" i="16"/>
  <c r="C1904" i="66"/>
  <c r="T1844" i="16"/>
  <c r="AD1844" i="16" s="1"/>
  <c r="R1844" i="16"/>
  <c r="O1840" i="16"/>
  <c r="T1843" i="16"/>
  <c r="AD1843" i="16" s="1"/>
  <c r="R1843" i="16"/>
  <c r="T1912" i="16"/>
  <c r="AD1912" i="16" s="1"/>
  <c r="R1912" i="16"/>
  <c r="T1930" i="16"/>
  <c r="AD1930" i="16" s="1"/>
  <c r="R1930" i="16"/>
  <c r="R1928" i="16"/>
  <c r="O1924" i="16"/>
  <c r="AO1924" i="16" s="1"/>
  <c r="T1928" i="16"/>
  <c r="AD1928" i="16" s="1"/>
  <c r="R1888" i="16"/>
  <c r="T1888" i="16"/>
  <c r="AD1888" i="16" s="1"/>
  <c r="T1845" i="16"/>
  <c r="AD1845" i="16" s="1"/>
  <c r="R1845" i="16"/>
  <c r="T1909" i="16"/>
  <c r="AD1909" i="16" s="1"/>
  <c r="O1906" i="16"/>
  <c r="R1909" i="16"/>
  <c r="M1909" i="16" s="1"/>
  <c r="AM1909" i="16" s="1"/>
  <c r="R1915" i="16"/>
  <c r="T1915" i="16"/>
  <c r="AD1915" i="16" s="1"/>
  <c r="R1977" i="16"/>
  <c r="T1977" i="16"/>
  <c r="AD1977" i="16" s="1"/>
  <c r="T274" i="25"/>
  <c r="AD274" i="25" s="1"/>
  <c r="AC274" i="25" s="1"/>
  <c r="M191" i="25"/>
  <c r="AM191" i="25" s="1"/>
  <c r="BG15" i="16"/>
  <c r="BG781" i="16"/>
  <c r="BG1573" i="16"/>
  <c r="V9" i="23"/>
  <c r="BG1412" i="16"/>
  <c r="BG1844" i="16"/>
  <c r="BH1844" i="16"/>
  <c r="BH271" i="16"/>
  <c r="W9" i="23"/>
  <c r="Y9" i="23"/>
  <c r="BH15" i="16"/>
  <c r="BI781" i="16"/>
  <c r="BH781" i="16"/>
  <c r="BH1412" i="16"/>
  <c r="A1390" i="66"/>
  <c r="C1390" i="66" s="1"/>
  <c r="C1389" i="66"/>
  <c r="O348" i="25"/>
  <c r="AO348" i="25" s="1"/>
  <c r="O368" i="25"/>
  <c r="AO368" i="25" s="1"/>
  <c r="AO132" i="8"/>
  <c r="I130" i="66"/>
  <c r="R143" i="25"/>
  <c r="M143" i="25" s="1"/>
  <c r="AM143" i="25" s="1"/>
  <c r="T243" i="25"/>
  <c r="AD243" i="25" s="1"/>
  <c r="AC243" i="25" s="1"/>
  <c r="I1098" i="66"/>
  <c r="O373" i="25"/>
  <c r="I1135" i="66" s="1"/>
  <c r="O255" i="25"/>
  <c r="AO255" i="25" s="1"/>
  <c r="T376" i="25"/>
  <c r="AD376" i="25" s="1"/>
  <c r="AC376" i="25" s="1"/>
  <c r="R173" i="25"/>
  <c r="AE173" i="25" s="1"/>
  <c r="R121" i="25"/>
  <c r="M121" i="25" s="1"/>
  <c r="AM121" i="25" s="1"/>
  <c r="M121" i="29"/>
  <c r="O147" i="25"/>
  <c r="T149" i="25"/>
  <c r="AD149" i="25" s="1"/>
  <c r="AC149" i="25" s="1"/>
  <c r="T40" i="25"/>
  <c r="AD40" i="25" s="1"/>
  <c r="O284" i="25"/>
  <c r="AO284" i="25" s="1"/>
  <c r="R137" i="25"/>
  <c r="AE137" i="25" s="1"/>
  <c r="AC137" i="25" s="1"/>
  <c r="R198" i="25"/>
  <c r="AE198" i="25" s="1"/>
  <c r="T43" i="25"/>
  <c r="AD43" i="25" s="1"/>
  <c r="N129" i="16"/>
  <c r="T205" i="25"/>
  <c r="AD205" i="25" s="1"/>
  <c r="AC205" i="25" s="1"/>
  <c r="O404" i="25"/>
  <c r="N1168" i="16" s="1"/>
  <c r="T350" i="25"/>
  <c r="AD350" i="25" s="1"/>
  <c r="AC350" i="25" s="1"/>
  <c r="I128" i="66"/>
  <c r="O220" i="28"/>
  <c r="I1775" i="66" s="1"/>
  <c r="T135" i="25"/>
  <c r="AD135" i="25" s="1"/>
  <c r="AC135" i="25" s="1"/>
  <c r="M133" i="25"/>
  <c r="AM133" i="25" s="1"/>
  <c r="T461" i="25"/>
  <c r="AD461" i="25" s="1"/>
  <c r="AC461" i="25" s="1"/>
  <c r="T292" i="25"/>
  <c r="AD292" i="25" s="1"/>
  <c r="AC292" i="25" s="1"/>
  <c r="O279" i="25"/>
  <c r="N1043" i="16" s="1"/>
  <c r="G1043" i="16" s="1"/>
  <c r="T354" i="25"/>
  <c r="AD354" i="25" s="1"/>
  <c r="AC354" i="25" s="1"/>
  <c r="O286" i="25"/>
  <c r="I1048" i="66" s="1"/>
  <c r="T348" i="25"/>
  <c r="AD348" i="25" s="1"/>
  <c r="AC348" i="25" s="1"/>
  <c r="O371" i="25"/>
  <c r="AO371" i="25" s="1"/>
  <c r="O343" i="25"/>
  <c r="N1107" i="16" s="1"/>
  <c r="G1107" i="16" s="1"/>
  <c r="O249" i="25"/>
  <c r="AO249" i="25" s="1"/>
  <c r="O258" i="25"/>
  <c r="N1022" i="16" s="1"/>
  <c r="AC35" i="25"/>
  <c r="O342" i="25"/>
  <c r="N1106" i="16" s="1"/>
  <c r="G1106" i="16" s="1"/>
  <c r="T270" i="25"/>
  <c r="AD270" i="25" s="1"/>
  <c r="AC270" i="25" s="1"/>
  <c r="O344" i="25"/>
  <c r="N1108" i="16" s="1"/>
  <c r="R91" i="25"/>
  <c r="AE91" i="25" s="1"/>
  <c r="AC91" i="25" s="1"/>
  <c r="R59" i="25"/>
  <c r="AE59" i="25" s="1"/>
  <c r="AC59" i="25" s="1"/>
  <c r="T331" i="25"/>
  <c r="AD331" i="25" s="1"/>
  <c r="AC331" i="25" s="1"/>
  <c r="R160" i="25"/>
  <c r="O333" i="25"/>
  <c r="AO333" i="25" s="1"/>
  <c r="O341" i="25"/>
  <c r="I1103" i="66" s="1"/>
  <c r="T352" i="25"/>
  <c r="AD352" i="25" s="1"/>
  <c r="AC352" i="25" s="1"/>
  <c r="N1100" i="16"/>
  <c r="R26" i="25"/>
  <c r="AE26" i="25" s="1"/>
  <c r="AC26" i="25" s="1"/>
  <c r="AE28" i="29"/>
  <c r="AC28" i="29" s="1"/>
  <c r="T94" i="25"/>
  <c r="AD94" i="25" s="1"/>
  <c r="O263" i="25"/>
  <c r="AO263" i="25" s="1"/>
  <c r="T191" i="25"/>
  <c r="AD191" i="25" s="1"/>
  <c r="AC191" i="25" s="1"/>
  <c r="O194" i="25"/>
  <c r="A957" i="66" s="1"/>
  <c r="T366" i="25"/>
  <c r="AD366" i="25" s="1"/>
  <c r="AC366" i="25" s="1"/>
  <c r="O275" i="25"/>
  <c r="N1039" i="16" s="1"/>
  <c r="G1039" i="16" s="1"/>
  <c r="T372" i="25"/>
  <c r="AD372" i="25" s="1"/>
  <c r="AC372" i="25" s="1"/>
  <c r="T127" i="25"/>
  <c r="AD127" i="25" s="1"/>
  <c r="T316" i="25"/>
  <c r="AD316" i="25" s="1"/>
  <c r="AC316" i="25" s="1"/>
  <c r="I71" i="66"/>
  <c r="AO73" i="8"/>
  <c r="N72" i="16"/>
  <c r="T49" i="25"/>
  <c r="AD49" i="25" s="1"/>
  <c r="R49" i="25"/>
  <c r="M49" i="25" s="1"/>
  <c r="AM49" i="25" s="1"/>
  <c r="T52" i="25"/>
  <c r="AD52" i="25" s="1"/>
  <c r="R52" i="25"/>
  <c r="AE52" i="25" s="1"/>
  <c r="T138" i="25"/>
  <c r="R138" i="25"/>
  <c r="M138" i="25" s="1"/>
  <c r="AM138" i="25" s="1"/>
  <c r="R816" i="16"/>
  <c r="AE816" i="16" s="1"/>
  <c r="AF816" i="16" s="1"/>
  <c r="T816" i="16"/>
  <c r="AD816" i="16" s="1"/>
  <c r="T57" i="25"/>
  <c r="AD57" i="25" s="1"/>
  <c r="AC57" i="25" s="1"/>
  <c r="R53" i="25"/>
  <c r="AE53" i="25" s="1"/>
  <c r="T53" i="25"/>
  <c r="AD53" i="25" s="1"/>
  <c r="T359" i="16"/>
  <c r="AD359" i="16" s="1"/>
  <c r="AC359" i="16" s="1"/>
  <c r="O357" i="16"/>
  <c r="R378" i="16"/>
  <c r="T378" i="16"/>
  <c r="AD378" i="16" s="1"/>
  <c r="N77" i="16"/>
  <c r="AO78" i="8"/>
  <c r="I76" i="66"/>
  <c r="I1296" i="66"/>
  <c r="A1287" i="66" s="1"/>
  <c r="AO534" i="25"/>
  <c r="T333" i="16"/>
  <c r="AD333" i="16" s="1"/>
  <c r="AC333" i="16" s="1"/>
  <c r="O333" i="16"/>
  <c r="C1541" i="66"/>
  <c r="A1283" i="66"/>
  <c r="A1284" i="66" s="1"/>
  <c r="H958" i="66"/>
  <c r="S299" i="25"/>
  <c r="O297" i="25" s="1"/>
  <c r="N1061" i="16" s="1"/>
  <c r="M358" i="25"/>
  <c r="AM358" i="25" s="1"/>
  <c r="S234" i="28"/>
  <c r="O234" i="28" s="1"/>
  <c r="N1791" i="16" s="1"/>
  <c r="G1791" i="16" s="1"/>
  <c r="G1790" i="16" s="1"/>
  <c r="M360" i="25"/>
  <c r="AM360" i="25" s="1"/>
  <c r="M310" i="25"/>
  <c r="AM310" i="25" s="1"/>
  <c r="C19" i="10"/>
  <c r="O946" i="16" s="1"/>
  <c r="M356" i="25"/>
  <c r="AM356" i="25" s="1"/>
  <c r="R75" i="25"/>
  <c r="M72" i="25" s="1"/>
  <c r="AM72" i="25" s="1"/>
  <c r="M364" i="25"/>
  <c r="AM364" i="25" s="1"/>
  <c r="N1787" i="16"/>
  <c r="AO230" i="28"/>
  <c r="I1785" i="66"/>
  <c r="M334" i="25"/>
  <c r="AM334" i="25" s="1"/>
  <c r="M328" i="25"/>
  <c r="AM328" i="25" s="1"/>
  <c r="M347" i="25"/>
  <c r="AM347" i="25" s="1"/>
  <c r="S422" i="25"/>
  <c r="M312" i="25"/>
  <c r="M314" i="25"/>
  <c r="AM314" i="25" s="1"/>
  <c r="R230" i="28"/>
  <c r="M230" i="28" s="1"/>
  <c r="T230" i="28"/>
  <c r="AD230" i="28" s="1"/>
  <c r="M327" i="25"/>
  <c r="AM327" i="25" s="1"/>
  <c r="M338" i="25"/>
  <c r="AM338" i="25" s="1"/>
  <c r="M359" i="25"/>
  <c r="AM359" i="25" s="1"/>
  <c r="M357" i="25"/>
  <c r="AM357" i="25" s="1"/>
  <c r="M326" i="25"/>
  <c r="AM326" i="25" s="1"/>
  <c r="M346" i="25"/>
  <c r="AM346" i="25" s="1"/>
  <c r="M335" i="25"/>
  <c r="AM335" i="25" s="1"/>
  <c r="T245" i="25"/>
  <c r="M345" i="25"/>
  <c r="AM345" i="25" s="1"/>
  <c r="M304" i="25"/>
  <c r="M339" i="25"/>
  <c r="AM339" i="25" s="1"/>
  <c r="C314" i="66"/>
  <c r="M1099" i="16"/>
  <c r="AM1099" i="16" s="1"/>
  <c r="AO410" i="24"/>
  <c r="I664" i="66"/>
  <c r="E258" i="76"/>
  <c r="E1325" i="76"/>
  <c r="AO1730" i="16"/>
  <c r="T315" i="25"/>
  <c r="AD315" i="25" s="1"/>
  <c r="AC315" i="25" s="1"/>
  <c r="AO255" i="16"/>
  <c r="AO1728" i="16"/>
  <c r="H16" i="3"/>
  <c r="L16" i="3" s="1"/>
  <c r="AO1722" i="16"/>
  <c r="E1329" i="76"/>
  <c r="E1327" i="76"/>
  <c r="E225" i="76"/>
  <c r="E1616" i="76"/>
  <c r="AO1250" i="16"/>
  <c r="E1248" i="76"/>
  <c r="AO39" i="16"/>
  <c r="T15" i="3"/>
  <c r="Y15" i="3" s="1"/>
  <c r="E39" i="76"/>
  <c r="AO1826" i="16"/>
  <c r="E1824" i="76"/>
  <c r="E178" i="76"/>
  <c r="AO178" i="16"/>
  <c r="C12" i="66"/>
  <c r="A1343" i="66"/>
  <c r="C1343" i="66" s="1"/>
  <c r="C1342" i="66"/>
  <c r="I140" i="66"/>
  <c r="H15" i="3"/>
  <c r="N15" i="3" s="1"/>
  <c r="AO142" i="8"/>
  <c r="C169" i="66"/>
  <c r="AO1380" i="16"/>
  <c r="E1378" i="76"/>
  <c r="T1080" i="16"/>
  <c r="AD1080" i="16" s="1"/>
  <c r="AC1080" i="16" s="1"/>
  <c r="E1307" i="76"/>
  <c r="AO1309" i="16"/>
  <c r="S781" i="16"/>
  <c r="AE781" i="16" s="1"/>
  <c r="AF781" i="16" s="1"/>
  <c r="T1593" i="16"/>
  <c r="AD1593" i="16" s="1"/>
  <c r="AC1593" i="16" s="1"/>
  <c r="T1580" i="16"/>
  <c r="M15" i="29"/>
  <c r="AM15" i="29" s="1"/>
  <c r="AE15" i="29"/>
  <c r="AC15" i="29" s="1"/>
  <c r="AC1604" i="16"/>
  <c r="AF1604" i="16"/>
  <c r="S259" i="28"/>
  <c r="T259" i="28" s="1"/>
  <c r="AD259" i="28" s="1"/>
  <c r="AC259" i="28" s="1"/>
  <c r="S258" i="28"/>
  <c r="M1090" i="16"/>
  <c r="AM1090" i="16" s="1"/>
  <c r="T1009" i="16"/>
  <c r="M1121" i="16"/>
  <c r="AM1121" i="16" s="1"/>
  <c r="M1076" i="16"/>
  <c r="M1110" i="16"/>
  <c r="AM1110" i="16" s="1"/>
  <c r="M1124" i="16"/>
  <c r="AM1124" i="16" s="1"/>
  <c r="M1112" i="16"/>
  <c r="M1103" i="16"/>
  <c r="AM1103" i="16" s="1"/>
  <c r="M1111" i="16"/>
  <c r="AM1111" i="16" s="1"/>
  <c r="M1091" i="16"/>
  <c r="AM1091" i="16" s="1"/>
  <c r="M1102" i="16"/>
  <c r="AM1102" i="16" s="1"/>
  <c r="M1068" i="16"/>
  <c r="S1186" i="16"/>
  <c r="M1128" i="16"/>
  <c r="M1123" i="16"/>
  <c r="AM1123" i="16" s="1"/>
  <c r="M1092" i="16"/>
  <c r="AM1092" i="16" s="1"/>
  <c r="M1078" i="16"/>
  <c r="M1120" i="16"/>
  <c r="AM1120" i="16" s="1"/>
  <c r="M1122" i="16"/>
  <c r="AM1122" i="16" s="1"/>
  <c r="M1109" i="16"/>
  <c r="AM1109" i="16" s="1"/>
  <c r="M1074" i="16"/>
  <c r="AO12" i="29"/>
  <c r="N1840" i="16"/>
  <c r="I1838" i="66"/>
  <c r="C840" i="66"/>
  <c r="A841" i="66"/>
  <c r="AI3" i="24"/>
  <c r="L14" i="72" s="1"/>
  <c r="M1098" i="16"/>
  <c r="AM1098" i="16" s="1"/>
  <c r="A980" i="66"/>
  <c r="C980" i="66" s="1"/>
  <c r="C979" i="66"/>
  <c r="AO179" i="8"/>
  <c r="I177" i="66"/>
  <c r="N178" i="16"/>
  <c r="A1832" i="66"/>
  <c r="C1832" i="66" s="1"/>
  <c r="C1831" i="66"/>
  <c r="C1499" i="66"/>
  <c r="C1495" i="66"/>
  <c r="C210" i="66"/>
  <c r="A211" i="66"/>
  <c r="C143" i="66"/>
  <c r="A144" i="66"/>
  <c r="C335" i="66"/>
  <c r="A336" i="66"/>
  <c r="C336" i="66" s="1"/>
  <c r="C894" i="66"/>
  <c r="A895" i="66"/>
  <c r="C895" i="66" s="1"/>
  <c r="A1355" i="66"/>
  <c r="C1355" i="66" s="1"/>
  <c r="C1354" i="66"/>
  <c r="C686" i="66"/>
  <c r="A687" i="66"/>
  <c r="AO1782" i="16"/>
  <c r="E1780" i="76"/>
  <c r="E1485" i="76"/>
  <c r="E1130" i="76"/>
  <c r="E1135" i="76"/>
  <c r="E1128" i="76"/>
  <c r="E1134" i="76"/>
  <c r="E1775" i="76"/>
  <c r="E1133" i="76"/>
  <c r="AO1168" i="16"/>
  <c r="E1166" i="76"/>
  <c r="AO1140" i="16"/>
  <c r="E1138" i="76"/>
  <c r="AO1137" i="16"/>
  <c r="AO1132" i="16"/>
  <c r="AO1130" i="16"/>
  <c r="AO1136" i="16"/>
  <c r="AO1135" i="16"/>
  <c r="AO1117" i="16"/>
  <c r="E1115" i="76"/>
  <c r="AO1116" i="16"/>
  <c r="E1114" i="76"/>
  <c r="AO1114" i="16"/>
  <c r="E1112" i="76"/>
  <c r="AO1108" i="16"/>
  <c r="E1106" i="76"/>
  <c r="AO1105" i="16"/>
  <c r="E1103" i="76"/>
  <c r="AO1107" i="16"/>
  <c r="E1105" i="76"/>
  <c r="AO1106" i="16"/>
  <c r="E1104" i="76"/>
  <c r="AO1100" i="16"/>
  <c r="E1098" i="76"/>
  <c r="AO1097" i="16"/>
  <c r="E1095" i="76"/>
  <c r="E1082" i="76"/>
  <c r="AO1055" i="16"/>
  <c r="E1053" i="76"/>
  <c r="AO1050" i="16"/>
  <c r="E1048" i="76"/>
  <c r="AO1043" i="16"/>
  <c r="E1041" i="76"/>
  <c r="AO1039" i="16"/>
  <c r="E1037" i="76"/>
  <c r="AO1033" i="16"/>
  <c r="E1032" i="76"/>
  <c r="AO1027" i="16"/>
  <c r="E1026" i="76"/>
  <c r="AO1022" i="16"/>
  <c r="E1021" i="76"/>
  <c r="AO1019" i="16"/>
  <c r="E1018" i="76"/>
  <c r="AO1013" i="16"/>
  <c r="E1012" i="76"/>
  <c r="AO1007" i="16"/>
  <c r="E1006" i="76"/>
  <c r="E976" i="76"/>
  <c r="AO911" i="16"/>
  <c r="E910" i="76"/>
  <c r="E788" i="76"/>
  <c r="AO96" i="29"/>
  <c r="N1924" i="16"/>
  <c r="I1922" i="66"/>
  <c r="H20" i="3"/>
  <c r="A1950" i="66"/>
  <c r="C1949" i="66"/>
  <c r="C1907" i="66"/>
  <c r="A1908" i="66"/>
  <c r="AI3" i="29"/>
  <c r="L18" i="72" s="1"/>
  <c r="M100" i="29"/>
  <c r="AM100" i="29" s="1"/>
  <c r="AE100" i="29"/>
  <c r="AC100" i="29" s="1"/>
  <c r="A1633" i="66"/>
  <c r="C1632" i="66"/>
  <c r="A1699" i="66"/>
  <c r="C1699" i="66" s="1"/>
  <c r="C1698" i="66"/>
  <c r="A1717" i="66"/>
  <c r="C1717" i="66" s="1"/>
  <c r="C1716" i="66"/>
  <c r="A1621" i="66"/>
  <c r="A1610" i="66" s="1"/>
  <c r="C1620" i="66"/>
  <c r="A1659" i="66"/>
  <c r="C1656" i="66"/>
  <c r="C1677" i="66"/>
  <c r="A1678" i="66"/>
  <c r="C1678" i="66" s="1"/>
  <c r="A787" i="66"/>
  <c r="C787" i="66" s="1"/>
  <c r="C786" i="66"/>
  <c r="C1270" i="66"/>
  <c r="C1265" i="66"/>
  <c r="C963" i="66"/>
  <c r="A964" i="66"/>
  <c r="A792" i="66"/>
  <c r="C791" i="66"/>
  <c r="A784" i="66"/>
  <c r="C784" i="66" s="1"/>
  <c r="C783" i="66"/>
  <c r="C989" i="66"/>
  <c r="A990" i="66"/>
  <c r="C887" i="66"/>
  <c r="A888" i="66"/>
  <c r="C366" i="66"/>
  <c r="A367" i="66"/>
  <c r="C536" i="66"/>
  <c r="A537" i="66"/>
  <c r="C537" i="66" s="1"/>
  <c r="AE117" i="24"/>
  <c r="AC117" i="24" s="1"/>
  <c r="M117" i="24"/>
  <c r="AM117" i="24" s="1"/>
  <c r="A761" i="66"/>
  <c r="C760" i="66"/>
  <c r="C269" i="66"/>
  <c r="A270" i="66"/>
  <c r="C270" i="66" s="1"/>
  <c r="AE123" i="24"/>
  <c r="M123" i="24"/>
  <c r="AM123" i="24" s="1"/>
  <c r="C754" i="66"/>
  <c r="A755" i="66"/>
  <c r="C755" i="66" s="1"/>
  <c r="N357" i="16"/>
  <c r="I356" i="66"/>
  <c r="AO102" i="24"/>
  <c r="AC913" i="16"/>
  <c r="AC899" i="16"/>
  <c r="AC855" i="16"/>
  <c r="AC1225" i="16"/>
  <c r="AC969" i="16"/>
  <c r="G94" i="16"/>
  <c r="G95" i="16" s="1"/>
  <c r="G96" i="16" s="1"/>
  <c r="AO789" i="16"/>
  <c r="AO977" i="16"/>
  <c r="AO1084" i="16"/>
  <c r="N1007" i="16"/>
  <c r="AO243" i="25"/>
  <c r="I1006" i="66"/>
  <c r="AO1487" i="16"/>
  <c r="M1479" i="16"/>
  <c r="Y11" i="3"/>
  <c r="I1032" i="66"/>
  <c r="AO269" i="25"/>
  <c r="N1033" i="16"/>
  <c r="G1033" i="16" s="1"/>
  <c r="AM94" i="25"/>
  <c r="AE94" i="25"/>
  <c r="AE858" i="16"/>
  <c r="AF858" i="16" s="1"/>
  <c r="M858" i="16"/>
  <c r="AM858" i="16" s="1"/>
  <c r="I1114" i="66"/>
  <c r="N1116" i="16"/>
  <c r="G1116" i="16" s="1"/>
  <c r="AO352" i="25"/>
  <c r="M820" i="16"/>
  <c r="AM820" i="16" s="1"/>
  <c r="AE823" i="16"/>
  <c r="AF823" i="16" s="1"/>
  <c r="G1729" i="16"/>
  <c r="I1112" i="66"/>
  <c r="AO350" i="25"/>
  <c r="N1114" i="16"/>
  <c r="G20" i="16"/>
  <c r="G40" i="16"/>
  <c r="G41" i="16" s="1"/>
  <c r="G42" i="16" s="1"/>
  <c r="G43" i="16" s="1"/>
  <c r="AE804" i="16"/>
  <c r="AF804" i="16" s="1"/>
  <c r="M804" i="16"/>
  <c r="AM804" i="16" s="1"/>
  <c r="AF962" i="16"/>
  <c r="M962" i="16"/>
  <c r="G962" i="16" s="1"/>
  <c r="M817" i="16"/>
  <c r="AM817" i="16" s="1"/>
  <c r="AE817" i="16"/>
  <c r="AF817" i="16" s="1"/>
  <c r="C310" i="66"/>
  <c r="A311" i="66"/>
  <c r="C311" i="66" s="1"/>
  <c r="N1140" i="16"/>
  <c r="G1140" i="16" s="1"/>
  <c r="AO376" i="25"/>
  <c r="I1138" i="66"/>
  <c r="M807" i="16"/>
  <c r="AM807" i="16" s="1"/>
  <c r="AE807" i="16"/>
  <c r="AF807" i="16" s="1"/>
  <c r="C1720" i="66"/>
  <c r="A1721" i="66"/>
  <c r="C1721" i="66" s="1"/>
  <c r="N1487" i="16"/>
  <c r="G1487" i="16" s="1"/>
  <c r="M83" i="27"/>
  <c r="I1485" i="66"/>
  <c r="A1475" i="66" s="1"/>
  <c r="N11" i="3"/>
  <c r="I4" i="27" s="1"/>
  <c r="AO91" i="27"/>
  <c r="I1134" i="66"/>
  <c r="N1136" i="16"/>
  <c r="G1136" i="16" s="1"/>
  <c r="AO372" i="25"/>
  <c r="AO1777" i="16"/>
  <c r="AE885" i="16"/>
  <c r="AF885" i="16" s="1"/>
  <c r="M885" i="16"/>
  <c r="AM885" i="16" s="1"/>
  <c r="M40" i="25"/>
  <c r="AM40" i="25" s="1"/>
  <c r="AE40" i="25"/>
  <c r="G1328" i="16"/>
  <c r="M127" i="25"/>
  <c r="AM127" i="25" s="1"/>
  <c r="AE127" i="25"/>
  <c r="AC17" i="25"/>
  <c r="AO291" i="25"/>
  <c r="I1053" i="66"/>
  <c r="N1055" i="16"/>
  <c r="G383" i="16"/>
  <c r="C1533" i="66"/>
  <c r="A1534" i="66"/>
  <c r="C1534" i="66" s="1"/>
  <c r="G1242" i="16"/>
  <c r="G1243" i="16" s="1"/>
  <c r="G1244" i="16" s="1"/>
  <c r="C1405" i="66"/>
  <c r="A1406" i="66"/>
  <c r="O1515" i="16"/>
  <c r="T1515" i="16"/>
  <c r="AD1515" i="16" s="1"/>
  <c r="AC1515" i="16" s="1"/>
  <c r="AE891" i="16"/>
  <c r="AF891" i="16" s="1"/>
  <c r="M891" i="16"/>
  <c r="AM891" i="16" s="1"/>
  <c r="M907" i="16"/>
  <c r="AM907" i="16" s="1"/>
  <c r="AE907" i="16"/>
  <c r="AF907" i="16" s="1"/>
  <c r="C1519" i="66"/>
  <c r="A1520" i="66"/>
  <c r="C1520" i="66" s="1"/>
  <c r="G391" i="16"/>
  <c r="G392" i="16" s="1"/>
  <c r="G393" i="16" s="1"/>
  <c r="M43" i="25"/>
  <c r="AM43" i="25" s="1"/>
  <c r="AE43" i="25"/>
  <c r="C451" i="66"/>
  <c r="A452" i="66"/>
  <c r="I1115" i="66"/>
  <c r="N1117" i="16"/>
  <c r="AO353" i="25"/>
  <c r="AC790" i="16"/>
  <c r="I1128" i="66"/>
  <c r="AO366" i="25"/>
  <c r="N1130" i="16"/>
  <c r="C1624" i="66"/>
  <c r="A1625" i="66"/>
  <c r="C1625" i="66" s="1"/>
  <c r="A1379" i="66"/>
  <c r="C1379" i="66" s="1"/>
  <c r="C1378" i="66"/>
  <c r="AC901" i="16"/>
  <c r="C170" i="66"/>
  <c r="A171" i="66"/>
  <c r="C171" i="66" s="1"/>
  <c r="AE813" i="16"/>
  <c r="AF813" i="16" s="1"/>
  <c r="M813" i="16"/>
  <c r="AM813" i="16" s="1"/>
  <c r="AG2" i="29"/>
  <c r="O320" i="25"/>
  <c r="O1593" i="16"/>
  <c r="O25" i="25"/>
  <c r="O1580" i="16"/>
  <c r="O213" i="25"/>
  <c r="G1726" i="16" l="1"/>
  <c r="G1727" i="16" s="1"/>
  <c r="E957" i="76"/>
  <c r="AO958" i="16"/>
  <c r="S1048" i="16"/>
  <c r="O1048" i="16" s="1"/>
  <c r="AO1048" i="16" s="1"/>
  <c r="R940" i="16"/>
  <c r="R924" i="16"/>
  <c r="M924" i="16" s="1"/>
  <c r="AM924" i="16" s="1"/>
  <c r="R937" i="16"/>
  <c r="AE937" i="16" s="1"/>
  <c r="AF937" i="16" s="1"/>
  <c r="G1391" i="16"/>
  <c r="G1392" i="16" s="1"/>
  <c r="G1395" i="16"/>
  <c r="G1396" i="16" s="1"/>
  <c r="G370" i="16"/>
  <c r="G371" i="16" s="1"/>
  <c r="G357" i="16"/>
  <c r="G358" i="16" s="1"/>
  <c r="G359" i="16" s="1"/>
  <c r="G360" i="16" s="1"/>
  <c r="G333" i="16"/>
  <c r="G334" i="16" s="1"/>
  <c r="G335" i="16" s="1"/>
  <c r="G336" i="16" s="1"/>
  <c r="G337" i="16" s="1"/>
  <c r="G338" i="16" s="1"/>
  <c r="G339" i="16" s="1"/>
  <c r="G340" i="16" s="1"/>
  <c r="G178" i="16"/>
  <c r="G179" i="16" s="1"/>
  <c r="G180" i="16" s="1"/>
  <c r="G181" i="16" s="1"/>
  <c r="G182" i="16" s="1"/>
  <c r="G77" i="16"/>
  <c r="G78" i="16" s="1"/>
  <c r="G1951" i="16"/>
  <c r="G1952" i="16" s="1"/>
  <c r="G1953" i="16" s="1"/>
  <c r="G1954" i="16" s="1"/>
  <c r="G1955" i="16" s="1"/>
  <c r="G1956" i="16" s="1"/>
  <c r="G1957" i="16" s="1"/>
  <c r="G1958" i="16" s="1"/>
  <c r="G1959" i="16" s="1"/>
  <c r="G1960" i="16" s="1"/>
  <c r="G1961" i="16" s="1"/>
  <c r="G1962" i="16" s="1"/>
  <c r="G1963" i="16" s="1"/>
  <c r="G1964" i="16" s="1"/>
  <c r="G1965" i="16" s="1"/>
  <c r="G1966" i="16" s="1"/>
  <c r="G1967" i="16" s="1"/>
  <c r="G1968" i="16" s="1"/>
  <c r="G1969" i="16" s="1"/>
  <c r="G1970" i="16" s="1"/>
  <c r="G1971" i="16" s="1"/>
  <c r="G1972" i="16" s="1"/>
  <c r="G1973" i="16" s="1"/>
  <c r="G1974" i="16" s="1"/>
  <c r="G1975" i="16" s="1"/>
  <c r="G1976" i="16" s="1"/>
  <c r="G1924" i="16"/>
  <c r="G1925" i="16" s="1"/>
  <c r="G1926" i="16" s="1"/>
  <c r="G1927" i="16" s="1"/>
  <c r="G1928" i="16" s="1"/>
  <c r="G1929" i="16" s="1"/>
  <c r="G1930" i="16" s="1"/>
  <c r="G1931" i="16" s="1"/>
  <c r="G1932" i="16" s="1"/>
  <c r="G1933" i="16" s="1"/>
  <c r="G1934" i="16" s="1"/>
  <c r="G1935" i="16" s="1"/>
  <c r="G1936" i="16" s="1"/>
  <c r="G1937" i="16" s="1"/>
  <c r="G1938" i="16" s="1"/>
  <c r="G1939" i="16" s="1"/>
  <c r="G1940" i="16" s="1"/>
  <c r="G1941" i="16" s="1"/>
  <c r="G1942" i="16" s="1"/>
  <c r="G1943" i="16" s="1"/>
  <c r="G1944" i="16" s="1"/>
  <c r="G1945" i="16" s="1"/>
  <c r="G1946" i="16" s="1"/>
  <c r="G1947" i="16" s="1"/>
  <c r="G1948" i="16" s="1"/>
  <c r="G1949" i="16" s="1"/>
  <c r="G1950" i="16" s="1"/>
  <c r="G1840" i="16"/>
  <c r="G1841" i="16" s="1"/>
  <c r="G1842" i="16" s="1"/>
  <c r="G1843" i="16" s="1"/>
  <c r="G1844" i="16" s="1"/>
  <c r="G1845" i="16" s="1"/>
  <c r="G1846" i="16" s="1"/>
  <c r="G1847" i="16" s="1"/>
  <c r="G1848" i="16" s="1"/>
  <c r="G1849" i="16" s="1"/>
  <c r="G1850" i="16" s="1"/>
  <c r="G1851" i="16" s="1"/>
  <c r="G1852" i="16" s="1"/>
  <c r="G1853" i="16" s="1"/>
  <c r="G1854" i="16" s="1"/>
  <c r="G1855" i="16" s="1"/>
  <c r="G1856" i="16" s="1"/>
  <c r="G1491" i="16"/>
  <c r="G1492" i="16" s="1"/>
  <c r="G1493" i="16" s="1"/>
  <c r="G1117" i="16"/>
  <c r="G1118" i="16" s="1"/>
  <c r="G1119" i="16" s="1"/>
  <c r="G1120" i="16" s="1"/>
  <c r="G1121" i="16" s="1"/>
  <c r="G1122" i="16" s="1"/>
  <c r="G1123" i="16" s="1"/>
  <c r="G1124" i="16" s="1"/>
  <c r="G1130" i="16"/>
  <c r="G1131" i="16" s="1"/>
  <c r="G1007" i="16"/>
  <c r="G1008" i="16" s="1"/>
  <c r="G1009" i="16" s="1"/>
  <c r="G1010" i="16" s="1"/>
  <c r="G1011" i="16" s="1"/>
  <c r="G1168" i="16"/>
  <c r="G1169" i="16" s="1"/>
  <c r="G1022" i="16"/>
  <c r="G1023" i="16" s="1"/>
  <c r="G1024" i="16" s="1"/>
  <c r="G1025" i="16" s="1"/>
  <c r="G1026" i="16" s="1"/>
  <c r="G1240" i="16"/>
  <c r="G231" i="16"/>
  <c r="G232" i="16" s="1"/>
  <c r="G233" i="16" s="1"/>
  <c r="G234" i="16" s="1"/>
  <c r="G1578" i="16"/>
  <c r="G1579" i="16" s="1"/>
  <c r="G129" i="16"/>
  <c r="G1055" i="16"/>
  <c r="G1056" i="16" s="1"/>
  <c r="G1057" i="16" s="1"/>
  <c r="G1058" i="16" s="1"/>
  <c r="G1059" i="16" s="1"/>
  <c r="G1060" i="16" s="1"/>
  <c r="G1114" i="16"/>
  <c r="G1115" i="16" s="1"/>
  <c r="G1061" i="16"/>
  <c r="G1062" i="16" s="1"/>
  <c r="G1063" i="16" s="1"/>
  <c r="G1064" i="16" s="1"/>
  <c r="G1065" i="16" s="1"/>
  <c r="G1066" i="16" s="1"/>
  <c r="G1100" i="16"/>
  <c r="G1101" i="16" s="1"/>
  <c r="G1102" i="16" s="1"/>
  <c r="G1103" i="16" s="1"/>
  <c r="G1108" i="16"/>
  <c r="G1109" i="16" s="1"/>
  <c r="G1110" i="16" s="1"/>
  <c r="G1111" i="16" s="1"/>
  <c r="G1465" i="16"/>
  <c r="G380" i="16"/>
  <c r="G381" i="16" s="1"/>
  <c r="G72" i="16"/>
  <c r="G73" i="16" s="1"/>
  <c r="G74" i="16" s="1"/>
  <c r="G75" i="16" s="1"/>
  <c r="G76" i="16" s="1"/>
  <c r="G387" i="16"/>
  <c r="G388" i="16" s="1"/>
  <c r="G389" i="16" s="1"/>
  <c r="C144" i="66"/>
  <c r="A118" i="66"/>
  <c r="N911" i="16"/>
  <c r="A910" i="66"/>
  <c r="A905" i="66" s="1"/>
  <c r="A1594" i="66"/>
  <c r="A1566" i="66"/>
  <c r="C1566" i="66" s="1"/>
  <c r="AE160" i="25"/>
  <c r="AC160" i="25" s="1"/>
  <c r="A1466" i="66"/>
  <c r="C1466" i="66" s="1"/>
  <c r="A973" i="66"/>
  <c r="A974" i="66" s="1"/>
  <c r="C373" i="66"/>
  <c r="C1594" i="66"/>
  <c r="A167" i="66"/>
  <c r="C166" i="66"/>
  <c r="AC14" i="25"/>
  <c r="C1228" i="66"/>
  <c r="C973" i="66"/>
  <c r="S1791" i="16"/>
  <c r="AC198" i="25"/>
  <c r="AG3" i="24"/>
  <c r="K14" i="72" s="1"/>
  <c r="O433" i="25"/>
  <c r="AO433" i="25" s="1"/>
  <c r="AC463" i="25"/>
  <c r="C13" i="66"/>
  <c r="C92" i="66"/>
  <c r="AC123" i="24"/>
  <c r="E370" i="76"/>
  <c r="M362" i="16"/>
  <c r="AM362" i="16" s="1"/>
  <c r="M372" i="16"/>
  <c r="AM372" i="16" s="1"/>
  <c r="AE372" i="16"/>
  <c r="S1815" i="16"/>
  <c r="O1813" i="16" s="1"/>
  <c r="E1811" i="76" s="1"/>
  <c r="C16" i="17"/>
  <c r="S1297" i="16"/>
  <c r="T1297" i="16" s="1"/>
  <c r="AD1297" i="16" s="1"/>
  <c r="AC1297" i="16" s="1"/>
  <c r="C16" i="18"/>
  <c r="S1295" i="16"/>
  <c r="T1295" i="16" s="1"/>
  <c r="AD1295" i="16" s="1"/>
  <c r="AC1295" i="16" s="1"/>
  <c r="T234" i="28"/>
  <c r="AD234" i="28" s="1"/>
  <c r="AC234" i="28" s="1"/>
  <c r="S1816" i="16"/>
  <c r="T1816" i="16" s="1"/>
  <c r="AD1816" i="16" s="1"/>
  <c r="AC1816" i="16" s="1"/>
  <c r="AO320" i="25"/>
  <c r="N1084" i="16"/>
  <c r="I1082" i="66"/>
  <c r="AC173" i="25"/>
  <c r="R842" i="16"/>
  <c r="AE842" i="16" s="1"/>
  <c r="AF842" i="16" s="1"/>
  <c r="M352" i="16"/>
  <c r="AM352" i="16" s="1"/>
  <c r="AF352" i="16"/>
  <c r="M955" i="16"/>
  <c r="O955" i="16" s="1"/>
  <c r="S1197" i="16"/>
  <c r="O1197" i="16" s="1"/>
  <c r="AO1197" i="16" s="1"/>
  <c r="M1038" i="16"/>
  <c r="AM1038" i="16" s="1"/>
  <c r="R839" i="16"/>
  <c r="AE839" i="16" s="1"/>
  <c r="AF839" i="16" s="1"/>
  <c r="S1063" i="16"/>
  <c r="O1061" i="16" s="1"/>
  <c r="S533" i="25"/>
  <c r="T533" i="25" s="1"/>
  <c r="AD533" i="25" s="1"/>
  <c r="AC533" i="25" s="1"/>
  <c r="S531" i="25"/>
  <c r="T531" i="25" s="1"/>
  <c r="AD531" i="25" s="1"/>
  <c r="AC531" i="25" s="1"/>
  <c r="C957" i="66"/>
  <c r="AC78" i="25"/>
  <c r="AE1845" i="16"/>
  <c r="AF1845" i="16" s="1"/>
  <c r="M1845" i="16"/>
  <c r="AM1845" i="16" s="1"/>
  <c r="AE1912" i="16"/>
  <c r="AF1912" i="16" s="1"/>
  <c r="M1912" i="16"/>
  <c r="AM1912" i="16" s="1"/>
  <c r="AE1949" i="16"/>
  <c r="M1949" i="16"/>
  <c r="M1977" i="16"/>
  <c r="G1977" i="16" s="1"/>
  <c r="AE1977" i="16"/>
  <c r="AF1977" i="16" s="1"/>
  <c r="M1888" i="16"/>
  <c r="G1888" i="16" s="1"/>
  <c r="AE1888" i="16"/>
  <c r="AF1888" i="16" s="1"/>
  <c r="M1843" i="16"/>
  <c r="AM1843" i="16" s="1"/>
  <c r="AE1843" i="16"/>
  <c r="M1856" i="16"/>
  <c r="AE1856" i="16"/>
  <c r="AF1856" i="16" s="1"/>
  <c r="M1915" i="16"/>
  <c r="AM1915" i="16" s="1"/>
  <c r="AE1915" i="16"/>
  <c r="AF1915" i="16" s="1"/>
  <c r="AO1840" i="16"/>
  <c r="T20" i="3"/>
  <c r="AE1955" i="16"/>
  <c r="AO1951" i="16"/>
  <c r="AO1906" i="16"/>
  <c r="AE1909" i="16"/>
  <c r="AF1909" i="16" s="1"/>
  <c r="M1928" i="16"/>
  <c r="AM1928" i="16" s="1"/>
  <c r="AE1928" i="16"/>
  <c r="AF1928" i="16" s="1"/>
  <c r="AE1844" i="16"/>
  <c r="AF1844" i="16" s="1"/>
  <c r="M1844" i="16"/>
  <c r="AM1844" i="16" s="1"/>
  <c r="AE1930" i="16"/>
  <c r="M1930" i="16"/>
  <c r="AM1930" i="16" s="1"/>
  <c r="N977" i="16"/>
  <c r="I976" i="66"/>
  <c r="AO213" i="25"/>
  <c r="N789" i="16"/>
  <c r="AO25" i="25"/>
  <c r="I788" i="66"/>
  <c r="N1038" i="16"/>
  <c r="G1038" i="16" s="1"/>
  <c r="AO274" i="25"/>
  <c r="O191" i="25"/>
  <c r="N955" i="16" s="1"/>
  <c r="I1110" i="66"/>
  <c r="I1130" i="66"/>
  <c r="M253" i="25"/>
  <c r="AM253" i="25" s="1"/>
  <c r="M274" i="25"/>
  <c r="AM274" i="25" s="1"/>
  <c r="AE143" i="25"/>
  <c r="AC143" i="25" s="1"/>
  <c r="N1112" i="16"/>
  <c r="N1132" i="16"/>
  <c r="I1018" i="66"/>
  <c r="AO373" i="25"/>
  <c r="M173" i="25"/>
  <c r="AM173" i="25" s="1"/>
  <c r="N1137" i="16"/>
  <c r="N1048" i="16"/>
  <c r="AE121" i="25"/>
  <c r="AC121" i="25" s="1"/>
  <c r="N1019" i="16"/>
  <c r="I910" i="66"/>
  <c r="I1046" i="66"/>
  <c r="I1095" i="66"/>
  <c r="M198" i="25"/>
  <c r="AM198" i="25" s="1"/>
  <c r="AC40" i="25"/>
  <c r="I1166" i="66"/>
  <c r="AO147" i="25"/>
  <c r="I1041" i="66"/>
  <c r="AO404" i="25"/>
  <c r="AC43" i="25"/>
  <c r="I1133" i="66"/>
  <c r="N1777" i="16"/>
  <c r="AO220" i="28"/>
  <c r="AO286" i="25"/>
  <c r="AO279" i="25"/>
  <c r="I1021" i="66"/>
  <c r="N1050" i="16"/>
  <c r="G1050" i="16" s="1"/>
  <c r="AO258" i="25"/>
  <c r="N1013" i="16"/>
  <c r="I1105" i="66"/>
  <c r="AC94" i="25"/>
  <c r="I1012" i="66"/>
  <c r="M160" i="25"/>
  <c r="AM160" i="25" s="1"/>
  <c r="N1097" i="16"/>
  <c r="AO343" i="25"/>
  <c r="M176" i="25"/>
  <c r="AM176" i="25" s="1"/>
  <c r="N1135" i="16"/>
  <c r="G1135" i="16" s="1"/>
  <c r="AC53" i="25"/>
  <c r="C1576" i="66"/>
  <c r="M816" i="16"/>
  <c r="AM816" i="16" s="1"/>
  <c r="AO342" i="25"/>
  <c r="AO341" i="25"/>
  <c r="I1104" i="66"/>
  <c r="N1105" i="16"/>
  <c r="G1105" i="16" s="1"/>
  <c r="G1104" i="16" s="1"/>
  <c r="I1037" i="66"/>
  <c r="AO275" i="25"/>
  <c r="M56" i="25"/>
  <c r="AM56" i="25" s="1"/>
  <c r="AC52" i="25"/>
  <c r="AC176" i="25"/>
  <c r="AE49" i="25"/>
  <c r="AC49" i="25" s="1"/>
  <c r="I957" i="66"/>
  <c r="AC127" i="25"/>
  <c r="I922" i="66"/>
  <c r="M52" i="25"/>
  <c r="AM52" i="25" s="1"/>
  <c r="M53" i="25"/>
  <c r="AM53" i="25" s="1"/>
  <c r="I1026" i="66"/>
  <c r="I1106" i="66"/>
  <c r="AO344" i="25"/>
  <c r="N1027" i="16"/>
  <c r="AO194" i="25"/>
  <c r="N958" i="16"/>
  <c r="AG3" i="29"/>
  <c r="K18" i="72" s="1"/>
  <c r="E333" i="76"/>
  <c r="AO333" i="16"/>
  <c r="T16" i="3"/>
  <c r="AE378" i="16"/>
  <c r="AF378" i="16" s="1"/>
  <c r="M378" i="16"/>
  <c r="AM378" i="16" s="1"/>
  <c r="G1299" i="16"/>
  <c r="E357" i="76"/>
  <c r="AO357" i="16"/>
  <c r="A1288" i="66"/>
  <c r="C1287" i="66"/>
  <c r="O119" i="27"/>
  <c r="H18" i="3" s="1"/>
  <c r="M18" i="3" s="1"/>
  <c r="T1815" i="16"/>
  <c r="AD1815" i="16" s="1"/>
  <c r="AC1815" i="16" s="1"/>
  <c r="C1283" i="66"/>
  <c r="AE75" i="25"/>
  <c r="AC75" i="25" s="1"/>
  <c r="AO297" i="25"/>
  <c r="I1059" i="66"/>
  <c r="O314" i="25"/>
  <c r="T299" i="25"/>
  <c r="AD299" i="25" s="1"/>
  <c r="AC299" i="25" s="1"/>
  <c r="AO234" i="28"/>
  <c r="I1789" i="66"/>
  <c r="A1788" i="66" s="1"/>
  <c r="A1783" i="66" s="1"/>
  <c r="E945" i="76"/>
  <c r="AO946" i="16"/>
  <c r="O310" i="25"/>
  <c r="O182" i="25"/>
  <c r="A945" i="66" s="1"/>
  <c r="I14" i="72"/>
  <c r="D25" i="17" s="1"/>
  <c r="O364" i="25"/>
  <c r="T422" i="25"/>
  <c r="AD422" i="25" s="1"/>
  <c r="AC422" i="25" s="1"/>
  <c r="S408" i="25"/>
  <c r="O406" i="25" s="1"/>
  <c r="A1168" i="66" s="1"/>
  <c r="AM304" i="25"/>
  <c r="O304" i="25"/>
  <c r="M283" i="25"/>
  <c r="AM283" i="25" s="1"/>
  <c r="M257" i="25"/>
  <c r="AM257" i="25" s="1"/>
  <c r="M264" i="25"/>
  <c r="AM264" i="25" s="1"/>
  <c r="M251" i="25"/>
  <c r="AM251" i="25" s="1"/>
  <c r="M271" i="25"/>
  <c r="AM271" i="25" s="1"/>
  <c r="M252" i="25"/>
  <c r="AM252" i="25" s="1"/>
  <c r="M275" i="25"/>
  <c r="AM275" i="25" s="1"/>
  <c r="M259" i="25"/>
  <c r="AM259" i="25" s="1"/>
  <c r="M296" i="25"/>
  <c r="AM296" i="25" s="1"/>
  <c r="M272" i="25"/>
  <c r="AM272" i="25" s="1"/>
  <c r="M273" i="25"/>
  <c r="AM273" i="25" s="1"/>
  <c r="M261" i="25"/>
  <c r="AM261" i="25" s="1"/>
  <c r="M295" i="25"/>
  <c r="AM295" i="25" s="1"/>
  <c r="M281" i="25"/>
  <c r="AM281" i="25" s="1"/>
  <c r="M294" i="25"/>
  <c r="AM294" i="25" s="1"/>
  <c r="M270" i="25"/>
  <c r="AM270" i="25" s="1"/>
  <c r="M220" i="25"/>
  <c r="AM220" i="25" s="1"/>
  <c r="M287" i="25"/>
  <c r="M282" i="25"/>
  <c r="AM282" i="25" s="1"/>
  <c r="M262" i="25"/>
  <c r="AM262" i="25" s="1"/>
  <c r="M256" i="25"/>
  <c r="AM256" i="25" s="1"/>
  <c r="M280" i="25"/>
  <c r="AM280" i="25" s="1"/>
  <c r="M286" i="25"/>
  <c r="AM286" i="25" s="1"/>
  <c r="M250" i="25"/>
  <c r="AM250" i="25" s="1"/>
  <c r="M219" i="25"/>
  <c r="AM219" i="25" s="1"/>
  <c r="M260" i="25"/>
  <c r="AM260" i="25" s="1"/>
  <c r="M218" i="25"/>
  <c r="AM218" i="25" s="1"/>
  <c r="M265" i="25"/>
  <c r="AM265" i="25" s="1"/>
  <c r="M254" i="25"/>
  <c r="AM254" i="25" s="1"/>
  <c r="AE230" i="28"/>
  <c r="AM230" i="28"/>
  <c r="AM312" i="25"/>
  <c r="O312" i="25"/>
  <c r="I3" i="24"/>
  <c r="N16" i="3"/>
  <c r="P16" i="3" s="1"/>
  <c r="AI2" i="24" s="1"/>
  <c r="I2" i="24"/>
  <c r="AG2" i="24"/>
  <c r="K16" i="3"/>
  <c r="J16" i="3"/>
  <c r="M16" i="3"/>
  <c r="E24" i="18"/>
  <c r="AA15" i="3"/>
  <c r="AG1" i="16" s="1"/>
  <c r="E24" i="17"/>
  <c r="X15" i="3"/>
  <c r="AG2" i="16" s="1"/>
  <c r="A1285" i="66"/>
  <c r="C1284" i="66"/>
  <c r="I13" i="72"/>
  <c r="D24" i="17" s="1"/>
  <c r="J15" i="3"/>
  <c r="I3" i="8"/>
  <c r="L15" i="3"/>
  <c r="M15" i="3"/>
  <c r="K15" i="3"/>
  <c r="I2" i="8"/>
  <c r="AG2" i="8"/>
  <c r="AC781" i="16"/>
  <c r="AO1593" i="16"/>
  <c r="E1591" i="76"/>
  <c r="AO1580" i="16"/>
  <c r="E1578" i="76"/>
  <c r="O256" i="28"/>
  <c r="A1811" i="66" s="1"/>
  <c r="T258" i="28"/>
  <c r="AD258" i="28" s="1"/>
  <c r="A1839" i="66"/>
  <c r="C1838" i="66"/>
  <c r="AM1074" i="16"/>
  <c r="O1074" i="16"/>
  <c r="AM1128" i="16"/>
  <c r="O1128" i="16"/>
  <c r="AM1112" i="16"/>
  <c r="O1112" i="16"/>
  <c r="T1186" i="16"/>
  <c r="AD1186" i="16" s="1"/>
  <c r="AC1186" i="16" s="1"/>
  <c r="S1172" i="16"/>
  <c r="O1170" i="16" s="1"/>
  <c r="G1857" i="16"/>
  <c r="G1858" i="16"/>
  <c r="G1859" i="16" s="1"/>
  <c r="G1860" i="16" s="1"/>
  <c r="G1861" i="16" s="1"/>
  <c r="G1862" i="16" s="1"/>
  <c r="G1863" i="16" s="1"/>
  <c r="G1864" i="16" s="1"/>
  <c r="G1865" i="16" s="1"/>
  <c r="G1866" i="16" s="1"/>
  <c r="G1867" i="16" s="1"/>
  <c r="G1868" i="16" s="1"/>
  <c r="G1869" i="16" s="1"/>
  <c r="G1870" i="16" s="1"/>
  <c r="G1871" i="16" s="1"/>
  <c r="G1872" i="16" s="1"/>
  <c r="G1873" i="16" s="1"/>
  <c r="G1874" i="16" s="1"/>
  <c r="G1875" i="16" s="1"/>
  <c r="G1876" i="16" s="1"/>
  <c r="G1877" i="16" s="1"/>
  <c r="G1878" i="16" s="1"/>
  <c r="G1879" i="16" s="1"/>
  <c r="G1880" i="16" s="1"/>
  <c r="G1881" i="16" s="1"/>
  <c r="G1882" i="16" s="1"/>
  <c r="G1883" i="16" s="1"/>
  <c r="G1884" i="16" s="1"/>
  <c r="G1885" i="16" s="1"/>
  <c r="G1886" i="16" s="1"/>
  <c r="G1887" i="16" s="1"/>
  <c r="AM1068" i="16"/>
  <c r="O1068" i="16"/>
  <c r="AM1076" i="16"/>
  <c r="O1076" i="16"/>
  <c r="C841" i="66"/>
  <c r="A842" i="66"/>
  <c r="C842" i="66" s="1"/>
  <c r="T1791" i="16"/>
  <c r="AD1791" i="16" s="1"/>
  <c r="AC1791" i="16" s="1"/>
  <c r="O1791" i="16"/>
  <c r="AM1078" i="16"/>
  <c r="O1078" i="16"/>
  <c r="M1036" i="16"/>
  <c r="AM1036" i="16" s="1"/>
  <c r="M1034" i="16"/>
  <c r="AM1034" i="16" s="1"/>
  <c r="M1046" i="16"/>
  <c r="AM1046" i="16" s="1"/>
  <c r="M1015" i="16"/>
  <c r="AM1015" i="16" s="1"/>
  <c r="M1016" i="16"/>
  <c r="AM1016" i="16" s="1"/>
  <c r="M1026" i="16"/>
  <c r="AM1026" i="16" s="1"/>
  <c r="M1035" i="16"/>
  <c r="AM1035" i="16" s="1"/>
  <c r="M1037" i="16"/>
  <c r="AM1037" i="16" s="1"/>
  <c r="M1025" i="16"/>
  <c r="AM1025" i="16" s="1"/>
  <c r="M1039" i="16"/>
  <c r="AM1039" i="16" s="1"/>
  <c r="M1014" i="16"/>
  <c r="AM1014" i="16" s="1"/>
  <c r="M1021" i="16"/>
  <c r="AM1021" i="16" s="1"/>
  <c r="M1045" i="16"/>
  <c r="AM1045" i="16" s="1"/>
  <c r="M1017" i="16"/>
  <c r="AM1017" i="16" s="1"/>
  <c r="M1051" i="16"/>
  <c r="M1028" i="16"/>
  <c r="AM1028" i="16" s="1"/>
  <c r="M1023" i="16"/>
  <c r="AM1023" i="16" s="1"/>
  <c r="M1029" i="16"/>
  <c r="AM1029" i="16" s="1"/>
  <c r="M1047" i="16"/>
  <c r="AM1047" i="16" s="1"/>
  <c r="M982" i="16"/>
  <c r="AM982" i="16" s="1"/>
  <c r="M983" i="16"/>
  <c r="AM983" i="16" s="1"/>
  <c r="M1058" i="16"/>
  <c r="AM1058" i="16" s="1"/>
  <c r="M1050" i="16"/>
  <c r="AM1050" i="16" s="1"/>
  <c r="M1044" i="16"/>
  <c r="AM1044" i="16" s="1"/>
  <c r="M1060" i="16"/>
  <c r="AM1060" i="16" s="1"/>
  <c r="M1018" i="16"/>
  <c r="AM1018" i="16" s="1"/>
  <c r="M1024" i="16"/>
  <c r="AM1024" i="16" s="1"/>
  <c r="M984" i="16"/>
  <c r="AM984" i="16" s="1"/>
  <c r="M1059" i="16"/>
  <c r="AM1059" i="16" s="1"/>
  <c r="M1020" i="16"/>
  <c r="AM1020" i="16" s="1"/>
  <c r="R1787" i="16"/>
  <c r="M1787" i="16" s="1"/>
  <c r="T1787" i="16"/>
  <c r="AD1787" i="16" s="1"/>
  <c r="AF362" i="16"/>
  <c r="AC362" i="16"/>
  <c r="C687" i="66"/>
  <c r="A688" i="66"/>
  <c r="A212" i="66"/>
  <c r="C211" i="66"/>
  <c r="E1513" i="76"/>
  <c r="C1950" i="66"/>
  <c r="A1951" i="66"/>
  <c r="J20" i="3"/>
  <c r="M20" i="3"/>
  <c r="I18" i="72"/>
  <c r="K20" i="3"/>
  <c r="I3" i="29"/>
  <c r="L20" i="3"/>
  <c r="I2" i="29"/>
  <c r="N20" i="3"/>
  <c r="C1908" i="66"/>
  <c r="A1909" i="66"/>
  <c r="A1923" i="66"/>
  <c r="C1922" i="66"/>
  <c r="A1660" i="66"/>
  <c r="C1659" i="66"/>
  <c r="C1621" i="66"/>
  <c r="C1610" i="66"/>
  <c r="C1633" i="66"/>
  <c r="A1634" i="66"/>
  <c r="C792" i="66"/>
  <c r="A793" i="66"/>
  <c r="A975" i="66"/>
  <c r="C975" i="66" s="1"/>
  <c r="C974" i="66"/>
  <c r="C888" i="66"/>
  <c r="A889" i="66"/>
  <c r="C889" i="66" s="1"/>
  <c r="A965" i="66"/>
  <c r="C964" i="66"/>
  <c r="A991" i="66"/>
  <c r="C991" i="66" s="1"/>
  <c r="C990" i="66"/>
  <c r="A357" i="66"/>
  <c r="C356" i="66"/>
  <c r="A762" i="66"/>
  <c r="C761" i="66"/>
  <c r="C367" i="66"/>
  <c r="A368" i="66"/>
  <c r="C368" i="66" s="1"/>
  <c r="A94" i="66"/>
  <c r="C93" i="66"/>
  <c r="A387" i="66"/>
  <c r="C387" i="66" s="1"/>
  <c r="AC891" i="16"/>
  <c r="AC816" i="16"/>
  <c r="AC823" i="16"/>
  <c r="AC804" i="16"/>
  <c r="AC807" i="16"/>
  <c r="C1475" i="66"/>
  <c r="A1476" i="66"/>
  <c r="C1476" i="66" s="1"/>
  <c r="C1053" i="66"/>
  <c r="A1054" i="66"/>
  <c r="AC813" i="16"/>
  <c r="C452" i="66"/>
  <c r="A453" i="66"/>
  <c r="AO1515" i="16"/>
  <c r="T18" i="3"/>
  <c r="C1406" i="66"/>
  <c r="A1407" i="66"/>
  <c r="G1141" i="16"/>
  <c r="G1142" i="16" s="1"/>
  <c r="G1143" i="16" s="1"/>
  <c r="G1144" i="16" s="1"/>
  <c r="G1145" i="16" s="1"/>
  <c r="G1146" i="16" s="1"/>
  <c r="G1147" i="16" s="1"/>
  <c r="G1148" i="16" s="1"/>
  <c r="G1149" i="16" s="1"/>
  <c r="G1150" i="16" s="1"/>
  <c r="G1151" i="16" s="1"/>
  <c r="G1152" i="16" s="1"/>
  <c r="G1153" i="16" s="1"/>
  <c r="G1154" i="16" s="1"/>
  <c r="G1155" i="16" s="1"/>
  <c r="G1156" i="16" s="1"/>
  <c r="G1157" i="16" s="1"/>
  <c r="G1158" i="16" s="1"/>
  <c r="G1159" i="16" s="1"/>
  <c r="G1160" i="16" s="1"/>
  <c r="G1161" i="16" s="1"/>
  <c r="G1162" i="16" s="1"/>
  <c r="G1163" i="16" s="1"/>
  <c r="G1164" i="16" s="1"/>
  <c r="G1165" i="16" s="1"/>
  <c r="G1166" i="16" s="1"/>
  <c r="G1167" i="16" s="1"/>
  <c r="R15" i="3"/>
  <c r="AG1" i="8" s="1"/>
  <c r="P15" i="3"/>
  <c r="AI2" i="8" s="1"/>
  <c r="AC817" i="16"/>
  <c r="AC858" i="16"/>
  <c r="AC885" i="16"/>
  <c r="C1115" i="66"/>
  <c r="A1116" i="66"/>
  <c r="AC119" i="27"/>
  <c r="AI3" i="27"/>
  <c r="AC15" i="3"/>
  <c r="AC907" i="16"/>
  <c r="C1724" i="66"/>
  <c r="A1725" i="66"/>
  <c r="C1725" i="66" s="1"/>
  <c r="AC962" i="16"/>
  <c r="AM962" i="16"/>
  <c r="G1034" i="16"/>
  <c r="G1035" i="16" s="1"/>
  <c r="G1036" i="16" s="1"/>
  <c r="G1037" i="16" s="1"/>
  <c r="G1044" i="16"/>
  <c r="G1045" i="16" s="1"/>
  <c r="G1046" i="16" s="1"/>
  <c r="G1047" i="16" s="1"/>
  <c r="AG2" i="27"/>
  <c r="O1787" i="16"/>
  <c r="E1046" i="76" l="1"/>
  <c r="T1048" i="16"/>
  <c r="AD1048" i="16" s="1"/>
  <c r="AC1048" i="16" s="1"/>
  <c r="AE940" i="16"/>
  <c r="M940" i="16"/>
  <c r="AM940" i="16" s="1"/>
  <c r="G67" i="16"/>
  <c r="G68" i="16" s="1"/>
  <c r="G130" i="16"/>
  <c r="G119" i="16" s="1"/>
  <c r="G120" i="16" s="1"/>
  <c r="G1488" i="16"/>
  <c r="G1489" i="16" s="1"/>
  <c r="G1019" i="16"/>
  <c r="G1020" i="16" s="1"/>
  <c r="G1021" i="16" s="1"/>
  <c r="G1112" i="16"/>
  <c r="G1113" i="16" s="1"/>
  <c r="G977" i="16"/>
  <c r="G978" i="16" s="1"/>
  <c r="G979" i="16" s="1"/>
  <c r="G980" i="16" s="1"/>
  <c r="G981" i="16" s="1"/>
  <c r="G982" i="16" s="1"/>
  <c r="G983" i="16" s="1"/>
  <c r="G984" i="16" s="1"/>
  <c r="G985" i="16" s="1"/>
  <c r="G986" i="16" s="1"/>
  <c r="G987" i="16" s="1"/>
  <c r="G988" i="16" s="1"/>
  <c r="G989" i="16" s="1"/>
  <c r="G990" i="16" s="1"/>
  <c r="G991" i="16" s="1"/>
  <c r="G992" i="16" s="1"/>
  <c r="G1048" i="16"/>
  <c r="G1049" i="16" s="1"/>
  <c r="G1030" i="16"/>
  <c r="G1031" i="16" s="1"/>
  <c r="G1032" i="16" s="1"/>
  <c r="G958" i="16"/>
  <c r="G959" i="16" s="1"/>
  <c r="G960" i="16" s="1"/>
  <c r="G1777" i="16"/>
  <c r="G1778" i="16" s="1"/>
  <c r="G1137" i="16"/>
  <c r="G1138" i="16" s="1"/>
  <c r="G1013" i="16"/>
  <c r="G1027" i="16"/>
  <c r="G1028" i="16" s="1"/>
  <c r="G1029" i="16" s="1"/>
  <c r="G1084" i="16"/>
  <c r="G1085" i="16" s="1"/>
  <c r="G1086" i="16" s="1"/>
  <c r="G1087" i="16" s="1"/>
  <c r="G1088" i="16" s="1"/>
  <c r="G1089" i="16" s="1"/>
  <c r="G1090" i="16" s="1"/>
  <c r="G1091" i="16" s="1"/>
  <c r="G1092" i="16" s="1"/>
  <c r="G1568" i="16"/>
  <c r="G1098" i="16"/>
  <c r="G1099" i="16" s="1"/>
  <c r="G1097" i="16"/>
  <c r="G1132" i="16"/>
  <c r="G1133" i="16" s="1"/>
  <c r="G955" i="16"/>
  <c r="G956" i="16" s="1"/>
  <c r="G957" i="16" s="1"/>
  <c r="G911" i="16"/>
  <c r="G912" i="16" s="1"/>
  <c r="G913" i="16" s="1"/>
  <c r="G914" i="16" s="1"/>
  <c r="G915" i="16" s="1"/>
  <c r="G916" i="16" s="1"/>
  <c r="G917" i="16" s="1"/>
  <c r="G918" i="16" s="1"/>
  <c r="G919" i="16" s="1"/>
  <c r="G920" i="16" s="1"/>
  <c r="G921" i="16" s="1"/>
  <c r="G1231" i="16"/>
  <c r="G1232" i="16" s="1"/>
  <c r="G1233" i="16" s="1"/>
  <c r="G1230" i="16"/>
  <c r="A1038" i="66"/>
  <c r="A1039" i="66" s="1"/>
  <c r="A1040" i="66" s="1"/>
  <c r="C1040" i="66" s="1"/>
  <c r="A911" i="66"/>
  <c r="A912" i="66" s="1"/>
  <c r="I1076" i="66"/>
  <c r="A1076" i="66"/>
  <c r="A1071" i="66" s="1"/>
  <c r="A1011" i="66"/>
  <c r="C1011" i="66" s="1"/>
  <c r="A365" i="66"/>
  <c r="C357" i="66"/>
  <c r="A1132" i="66"/>
  <c r="C1132" i="66" s="1"/>
  <c r="A1029" i="66"/>
  <c r="C1029" i="66" s="1"/>
  <c r="A1092" i="66"/>
  <c r="A1091" i="66" s="1"/>
  <c r="C1091" i="66" s="1"/>
  <c r="A168" i="66"/>
  <c r="C168" i="66" s="1"/>
  <c r="C167" i="66"/>
  <c r="AO1813" i="16"/>
  <c r="AM955" i="16"/>
  <c r="N1197" i="16"/>
  <c r="I1195" i="66"/>
  <c r="AC352" i="16"/>
  <c r="AF372" i="16"/>
  <c r="AC372" i="16"/>
  <c r="T1063" i="16"/>
  <c r="AD1063" i="16" s="1"/>
  <c r="AC1063" i="16" s="1"/>
  <c r="M836" i="16"/>
  <c r="AM836" i="16" s="1"/>
  <c r="AC839" i="16"/>
  <c r="M937" i="16"/>
  <c r="AM937" i="16" s="1"/>
  <c r="AC937" i="16"/>
  <c r="T1197" i="16"/>
  <c r="AD1197" i="16" s="1"/>
  <c r="AC1197" i="16" s="1"/>
  <c r="E1195" i="76"/>
  <c r="AC842" i="16"/>
  <c r="AC1912" i="16"/>
  <c r="E922" i="76"/>
  <c r="AE924" i="16"/>
  <c r="AF924" i="16" s="1"/>
  <c r="A958" i="66"/>
  <c r="A959" i="66" s="1"/>
  <c r="C959" i="66" s="1"/>
  <c r="AC1844" i="16"/>
  <c r="AC1909" i="16"/>
  <c r="AC1888" i="16"/>
  <c r="AF1949" i="16"/>
  <c r="AC1949" i="16"/>
  <c r="AC1928" i="16"/>
  <c r="AM1888" i="16"/>
  <c r="G1889" i="16"/>
  <c r="G1890" i="16" s="1"/>
  <c r="G1891" i="16" s="1"/>
  <c r="G1892" i="16" s="1"/>
  <c r="G1893" i="16" s="1"/>
  <c r="G1894" i="16" s="1"/>
  <c r="G1895" i="16" s="1"/>
  <c r="G1896" i="16" s="1"/>
  <c r="G1897" i="16" s="1"/>
  <c r="G1898" i="16" s="1"/>
  <c r="AC1915" i="16"/>
  <c r="AC1845" i="16"/>
  <c r="AC1977" i="16"/>
  <c r="AF1930" i="16"/>
  <c r="AC1930" i="16"/>
  <c r="AF1955" i="16"/>
  <c r="AC1955" i="16"/>
  <c r="AF1843" i="16"/>
  <c r="AC1843" i="16"/>
  <c r="G1978" i="16"/>
  <c r="G1979" i="16" s="1"/>
  <c r="G1980" i="16" s="1"/>
  <c r="G1981" i="16" s="1"/>
  <c r="G1982" i="16" s="1"/>
  <c r="G1983" i="16" s="1"/>
  <c r="G1984" i="16" s="1"/>
  <c r="G1985" i="16" s="1"/>
  <c r="G1986" i="16" s="1"/>
  <c r="G1987" i="16" s="1"/>
  <c r="G1988" i="16" s="1"/>
  <c r="AM1977" i="16"/>
  <c r="E29" i="18"/>
  <c r="Y20" i="3"/>
  <c r="AC20" i="3" s="1"/>
  <c r="E29" i="17"/>
  <c r="X20" i="3"/>
  <c r="AL2" i="16" s="1"/>
  <c r="AA20" i="3"/>
  <c r="AL1" i="16" s="1"/>
  <c r="AC1856" i="16"/>
  <c r="I954" i="66"/>
  <c r="AO191" i="25"/>
  <c r="C905" i="66"/>
  <c r="C910" i="66"/>
  <c r="AO159" i="25"/>
  <c r="N923" i="16"/>
  <c r="G1300" i="16"/>
  <c r="G1288" i="16" s="1"/>
  <c r="AC378" i="16"/>
  <c r="AA16" i="3"/>
  <c r="AH1" i="16" s="1"/>
  <c r="E25" i="17"/>
  <c r="E25" i="18"/>
  <c r="X16" i="3"/>
  <c r="AH2" i="16" s="1"/>
  <c r="Y16" i="3"/>
  <c r="AC16" i="3" s="1"/>
  <c r="A1289" i="66"/>
  <c r="C1289" i="66" s="1"/>
  <c r="C1288" i="66"/>
  <c r="AO119" i="27"/>
  <c r="I16" i="72"/>
  <c r="D27" i="17" s="1"/>
  <c r="J18" i="3"/>
  <c r="I1513" i="66"/>
  <c r="K18" i="3"/>
  <c r="N18" i="3"/>
  <c r="P18" i="3" s="1"/>
  <c r="I3" i="27"/>
  <c r="N1515" i="16"/>
  <c r="L18" i="3"/>
  <c r="I2" i="27"/>
  <c r="AG3" i="25"/>
  <c r="K15" i="72" s="1"/>
  <c r="C1788" i="66"/>
  <c r="N1078" i="16"/>
  <c r="AO314" i="25"/>
  <c r="AI3" i="25"/>
  <c r="L15" i="72" s="1"/>
  <c r="D25" i="18"/>
  <c r="I945" i="66"/>
  <c r="AO182" i="25"/>
  <c r="N946" i="16"/>
  <c r="AO310" i="25"/>
  <c r="I1072" i="66"/>
  <c r="N1074" i="16"/>
  <c r="G1074" i="16" s="1"/>
  <c r="N1128" i="16"/>
  <c r="I1126" i="66"/>
  <c r="AO364" i="25"/>
  <c r="I1074" i="66"/>
  <c r="AO312" i="25"/>
  <c r="N1076" i="16"/>
  <c r="G1076" i="16" s="1"/>
  <c r="AM287" i="25"/>
  <c r="O287" i="25"/>
  <c r="I1066" i="66"/>
  <c r="AO304" i="25"/>
  <c r="N1068" i="16"/>
  <c r="AC230" i="28"/>
  <c r="AG3" i="28"/>
  <c r="K17" i="72" s="1"/>
  <c r="I1168" i="66"/>
  <c r="AO406" i="25"/>
  <c r="N1170" i="16"/>
  <c r="C1783" i="66"/>
  <c r="A1784" i="66"/>
  <c r="C1784" i="66" s="1"/>
  <c r="R16" i="3"/>
  <c r="AG1" i="24" s="1"/>
  <c r="I1" i="24" s="1"/>
  <c r="C1285" i="66"/>
  <c r="D24" i="18"/>
  <c r="I1" i="8"/>
  <c r="E1785" i="76"/>
  <c r="AO1787" i="16"/>
  <c r="T19" i="3"/>
  <c r="N1813" i="16"/>
  <c r="H19" i="3"/>
  <c r="AO256" i="28"/>
  <c r="I1811" i="66"/>
  <c r="AO1074" i="16"/>
  <c r="E1072" i="76"/>
  <c r="AO1068" i="16"/>
  <c r="E1066" i="76"/>
  <c r="AO1128" i="16"/>
  <c r="E1126" i="76"/>
  <c r="AE1787" i="16"/>
  <c r="AM1787" i="16"/>
  <c r="AM1051" i="16"/>
  <c r="O1051" i="16"/>
  <c r="E1789" i="76"/>
  <c r="AO1791" i="16"/>
  <c r="AO1061" i="16"/>
  <c r="E1059" i="76"/>
  <c r="AO1170" i="16"/>
  <c r="E1168" i="76"/>
  <c r="AO1078" i="16"/>
  <c r="E1076" i="76"/>
  <c r="AO1076" i="16"/>
  <c r="E1074" i="76"/>
  <c r="C1839" i="66"/>
  <c r="A1840" i="66"/>
  <c r="E954" i="76"/>
  <c r="AO955" i="16"/>
  <c r="AO1112" i="16"/>
  <c r="E1110" i="76"/>
  <c r="AC258" i="28"/>
  <c r="AI3" i="28"/>
  <c r="A213" i="66"/>
  <c r="C212" i="66"/>
  <c r="C118" i="66"/>
  <c r="A119" i="66"/>
  <c r="C119" i="66" s="1"/>
  <c r="A689" i="66"/>
  <c r="C689" i="66" s="1"/>
  <c r="C688" i="66"/>
  <c r="C1923" i="66"/>
  <c r="A1924" i="66"/>
  <c r="D29" i="18"/>
  <c r="D29" i="17"/>
  <c r="A1910" i="66"/>
  <c r="C1909" i="66"/>
  <c r="R20" i="3"/>
  <c r="AG1" i="29" s="1"/>
  <c r="I1" i="29" s="1"/>
  <c r="P20" i="3"/>
  <c r="A1953" i="66"/>
  <c r="C1951" i="66"/>
  <c r="A1661" i="66"/>
  <c r="C1660" i="66"/>
  <c r="A1635" i="66"/>
  <c r="C1634" i="66"/>
  <c r="A794" i="66"/>
  <c r="C793" i="66"/>
  <c r="A966" i="66"/>
  <c r="A960" i="66" s="1"/>
  <c r="C965" i="66"/>
  <c r="A763" i="66"/>
  <c r="C763" i="66" s="1"/>
  <c r="C762" i="66"/>
  <c r="C365" i="66"/>
  <c r="C94" i="66"/>
  <c r="A95" i="66"/>
  <c r="C95" i="66" s="1"/>
  <c r="C453" i="66"/>
  <c r="A454" i="66"/>
  <c r="C1407" i="66"/>
  <c r="A1408" i="66"/>
  <c r="A1055" i="66"/>
  <c r="C1055" i="66" s="1"/>
  <c r="C1054" i="66"/>
  <c r="C911" i="66"/>
  <c r="Y18" i="3"/>
  <c r="AC18" i="3" s="1"/>
  <c r="E27" i="17"/>
  <c r="E27" i="18"/>
  <c r="AA18" i="3"/>
  <c r="AJ1" i="16" s="1"/>
  <c r="X18" i="3"/>
  <c r="AJ2" i="16" s="1"/>
  <c r="L16" i="72"/>
  <c r="C1116" i="66"/>
  <c r="A1117" i="66"/>
  <c r="C1117" i="66" s="1"/>
  <c r="G963" i="16"/>
  <c r="AI2" i="27"/>
  <c r="AG2" i="28"/>
  <c r="AI2" i="29"/>
  <c r="G1134" i="16" l="1"/>
  <c r="AF940" i="16"/>
  <c r="AC940" i="16"/>
  <c r="G1813" i="16"/>
  <c r="G1814" i="16" s="1"/>
  <c r="G1815" i="16" s="1"/>
  <c r="G1816" i="16" s="1"/>
  <c r="G1817" i="16" s="1"/>
  <c r="G946" i="16"/>
  <c r="G947" i="16" s="1"/>
  <c r="C1076" i="66"/>
  <c r="G1040" i="16"/>
  <c r="G1041" i="16" s="1"/>
  <c r="G1042" i="16" s="1"/>
  <c r="G1128" i="16"/>
  <c r="G1515" i="16"/>
  <c r="G1509" i="16" s="1"/>
  <c r="G1510" i="16" s="1"/>
  <c r="G1511" i="16" s="1"/>
  <c r="G1068" i="16"/>
  <c r="G1069" i="16" s="1"/>
  <c r="G1070" i="16" s="1"/>
  <c r="G964" i="16"/>
  <c r="G965" i="16" s="1"/>
  <c r="G966" i="16" s="1"/>
  <c r="G967" i="16" s="1"/>
  <c r="G968" i="16" s="1"/>
  <c r="G969" i="16" s="1"/>
  <c r="G970" i="16" s="1"/>
  <c r="G971" i="16" s="1"/>
  <c r="G972" i="16" s="1"/>
  <c r="G973" i="16" s="1"/>
  <c r="G974" i="16" s="1"/>
  <c r="G975" i="16" s="1"/>
  <c r="G976" i="16" s="1"/>
  <c r="G1170" i="16"/>
  <c r="A1030" i="66"/>
  <c r="A1031" i="66" s="1"/>
  <c r="C1031" i="66" s="1"/>
  <c r="G1078" i="16"/>
  <c r="G1079" i="16" s="1"/>
  <c r="G1197" i="16"/>
  <c r="G1198" i="16" s="1"/>
  <c r="G1199" i="16" s="1"/>
  <c r="G1200" i="16" s="1"/>
  <c r="G1201" i="16" s="1"/>
  <c r="G1202" i="16" s="1"/>
  <c r="G1203" i="16" s="1"/>
  <c r="G1204" i="16" s="1"/>
  <c r="G1205" i="16" s="1"/>
  <c r="G1206" i="16" s="1"/>
  <c r="G1207" i="16" s="1"/>
  <c r="G1208" i="16" s="1"/>
  <c r="G1209" i="16" s="1"/>
  <c r="G1210" i="16" s="1"/>
  <c r="G1211" i="16" s="1"/>
  <c r="G1212" i="16" s="1"/>
  <c r="G1213" i="16" s="1"/>
  <c r="G1214" i="16" s="1"/>
  <c r="G1215" i="16" s="1"/>
  <c r="G1216" i="16" s="1"/>
  <c r="G1217" i="16" s="1"/>
  <c r="G1218" i="16" s="1"/>
  <c r="G1219" i="16" s="1"/>
  <c r="G948" i="16"/>
  <c r="G949" i="16" s="1"/>
  <c r="G950" i="16" s="1"/>
  <c r="G951" i="16" s="1"/>
  <c r="G952" i="16" s="1"/>
  <c r="G1096" i="16"/>
  <c r="G1094" i="16"/>
  <c r="G1095" i="16" s="1"/>
  <c r="G1093" i="16"/>
  <c r="G1014" i="16"/>
  <c r="A1286" i="66"/>
  <c r="A1279" i="66" s="1"/>
  <c r="C213" i="66"/>
  <c r="A189" i="66"/>
  <c r="A1124" i="66"/>
  <c r="A1125" i="66" s="1"/>
  <c r="C1125" i="66" s="1"/>
  <c r="AI3" i="16"/>
  <c r="A190" i="66"/>
  <c r="AC924" i="16"/>
  <c r="AO923" i="16"/>
  <c r="C958" i="66"/>
  <c r="C1092" i="66"/>
  <c r="C1038" i="66"/>
  <c r="C1039" i="66"/>
  <c r="R18" i="3"/>
  <c r="AG1" i="27" s="1"/>
  <c r="I1" i="27" s="1"/>
  <c r="D27" i="18"/>
  <c r="C1071" i="66"/>
  <c r="C945" i="66"/>
  <c r="A946" i="66"/>
  <c r="N1051" i="16"/>
  <c r="I1049" i="66"/>
  <c r="AO287" i="25"/>
  <c r="H17" i="3"/>
  <c r="C1168" i="66"/>
  <c r="A1169" i="66"/>
  <c r="A1137" i="66" s="1"/>
  <c r="L17" i="72"/>
  <c r="N19" i="3"/>
  <c r="I2" i="28"/>
  <c r="K19" i="3"/>
  <c r="L19" i="3"/>
  <c r="J19" i="3"/>
  <c r="I3" i="28"/>
  <c r="M19" i="3"/>
  <c r="I17" i="72"/>
  <c r="AO1051" i="16"/>
  <c r="E1049" i="76"/>
  <c r="T17" i="3"/>
  <c r="A1812" i="66"/>
  <c r="C1812" i="66" s="1"/>
  <c r="C1811" i="66"/>
  <c r="AA19" i="3"/>
  <c r="AK1" i="16" s="1"/>
  <c r="E28" i="17"/>
  <c r="X19" i="3"/>
  <c r="AK2" i="16" s="1"/>
  <c r="Y19" i="3"/>
  <c r="AC19" i="3" s="1"/>
  <c r="E28" i="18"/>
  <c r="AF1787" i="16"/>
  <c r="AG3" i="16"/>
  <c r="C1840" i="66"/>
  <c r="A1841" i="66"/>
  <c r="AC1787" i="16"/>
  <c r="C189" i="66"/>
  <c r="A1911" i="66"/>
  <c r="C1910" i="66"/>
  <c r="A1926" i="66"/>
  <c r="C1924" i="66"/>
  <c r="A1954" i="66"/>
  <c r="C1954" i="66" s="1"/>
  <c r="C1953" i="66"/>
  <c r="C1635" i="66"/>
  <c r="A1636" i="66"/>
  <c r="A1662" i="66"/>
  <c r="C1661" i="66"/>
  <c r="C966" i="66"/>
  <c r="A795" i="66"/>
  <c r="C795" i="66" s="1"/>
  <c r="C794" i="66"/>
  <c r="C912" i="66"/>
  <c r="A913" i="66"/>
  <c r="C1408" i="66"/>
  <c r="A1409" i="66"/>
  <c r="C1409" i="66" s="1"/>
  <c r="C454" i="66"/>
  <c r="A455" i="66"/>
  <c r="A349" i="66" s="1"/>
  <c r="AG2" i="25"/>
  <c r="G961" i="16" l="1"/>
  <c r="G945" i="16" s="1"/>
  <c r="G1015" i="16"/>
  <c r="G1016" i="16" s="1"/>
  <c r="G1017" i="16" s="1"/>
  <c r="G1018" i="16" s="1"/>
  <c r="C1030" i="66"/>
  <c r="C1124" i="66"/>
  <c r="G1516" i="16"/>
  <c r="G1517" i="16" s="1"/>
  <c r="G1518" i="16" s="1"/>
  <c r="G1080" i="16"/>
  <c r="G1081" i="16" s="1"/>
  <c r="G1082" i="16" s="1"/>
  <c r="A992" i="66"/>
  <c r="C992" i="66" s="1"/>
  <c r="G1051" i="16"/>
  <c r="G1052" i="16" s="1"/>
  <c r="G1053" i="16" s="1"/>
  <c r="G1054" i="16" s="1"/>
  <c r="G1171" i="16"/>
  <c r="G1172" i="16" s="1"/>
  <c r="G1173" i="16" s="1"/>
  <c r="G1174" i="16" s="1"/>
  <c r="G1175" i="16" s="1"/>
  <c r="G1176" i="16" s="1"/>
  <c r="G1177" i="16" s="1"/>
  <c r="G1178" i="16" s="1"/>
  <c r="G1179" i="16" s="1"/>
  <c r="G1180" i="16" s="1"/>
  <c r="G1181" i="16" s="1"/>
  <c r="G1182" i="16" s="1"/>
  <c r="G1183" i="16" s="1"/>
  <c r="G1184" i="16" s="1"/>
  <c r="G1185" i="16" s="1"/>
  <c r="G1186" i="16" s="1"/>
  <c r="G1187" i="16" s="1"/>
  <c r="G1188" i="16" s="1"/>
  <c r="G1189" i="16" s="1"/>
  <c r="G1190" i="16" s="1"/>
  <c r="G1191" i="16" s="1"/>
  <c r="G1192" i="16" s="1"/>
  <c r="G1193" i="16" s="1"/>
  <c r="G1194" i="16" s="1"/>
  <c r="G1195" i="16" s="1"/>
  <c r="G1196" i="16" s="1"/>
  <c r="G1139" i="16" s="1"/>
  <c r="G1129" i="16"/>
  <c r="G1125" i="16" s="1"/>
  <c r="A1123" i="66"/>
  <c r="C1123" i="66" s="1"/>
  <c r="C1286" i="66"/>
  <c r="C1279" i="66"/>
  <c r="A947" i="66"/>
  <c r="C946" i="66"/>
  <c r="I3" i="25"/>
  <c r="J17" i="3"/>
  <c r="J21" i="3" s="1"/>
  <c r="D23" i="72" s="1"/>
  <c r="I2" i="25"/>
  <c r="L17" i="3"/>
  <c r="L21" i="3" s="1"/>
  <c r="K17" i="3"/>
  <c r="K21" i="3" s="1"/>
  <c r="E23" i="72" s="1"/>
  <c r="N17" i="3"/>
  <c r="I15" i="72"/>
  <c r="I21" i="72" s="1"/>
  <c r="D32" i="17" s="1"/>
  <c r="M17" i="3"/>
  <c r="M21" i="3" s="1"/>
  <c r="G23" i="72" s="1"/>
  <c r="C1169" i="66"/>
  <c r="C1137" i="66"/>
  <c r="A1842" i="66"/>
  <c r="C1841" i="66"/>
  <c r="D28" i="17"/>
  <c r="D28" i="18"/>
  <c r="E26" i="18"/>
  <c r="E32" i="18" s="1"/>
  <c r="X17" i="3"/>
  <c r="AI2" i="16" s="1"/>
  <c r="I4" i="16" s="1"/>
  <c r="E26" i="17"/>
  <c r="E32" i="17" s="1"/>
  <c r="Y17" i="3"/>
  <c r="V17" i="3" s="1"/>
  <c r="AA17" i="3"/>
  <c r="AI1" i="16" s="1"/>
  <c r="I3" i="16" s="1"/>
  <c r="P19" i="3"/>
  <c r="R19" i="3"/>
  <c r="AG1" i="28" s="1"/>
  <c r="I1" i="28" s="1"/>
  <c r="A191" i="66"/>
  <c r="C191" i="66" s="1"/>
  <c r="C190" i="66"/>
  <c r="A1927" i="66"/>
  <c r="C1926" i="66"/>
  <c r="A1912" i="66"/>
  <c r="C1911" i="66"/>
  <c r="C1662" i="66"/>
  <c r="A1663" i="66"/>
  <c r="A1637" i="66"/>
  <c r="C1636" i="66"/>
  <c r="C960" i="66"/>
  <c r="C913" i="66"/>
  <c r="A914" i="66"/>
  <c r="C455" i="66"/>
  <c r="C349" i="66"/>
  <c r="AI2" i="28"/>
  <c r="G1012" i="16" l="1"/>
  <c r="G1497" i="16"/>
  <c r="G1073" i="16"/>
  <c r="G1126" i="16"/>
  <c r="G1127" i="16" s="1"/>
  <c r="A948" i="66"/>
  <c r="C947" i="66"/>
  <c r="F23" i="72"/>
  <c r="N21" i="3"/>
  <c r="R21" i="3" s="1"/>
  <c r="R17" i="3"/>
  <c r="AG1" i="25" s="1"/>
  <c r="I1" i="25" s="1"/>
  <c r="P17" i="3"/>
  <c r="D26" i="17"/>
  <c r="D26" i="18"/>
  <c r="D32" i="18"/>
  <c r="A1843" i="66"/>
  <c r="C1842" i="66"/>
  <c r="AC17" i="3"/>
  <c r="V15" i="3"/>
  <c r="V16" i="3"/>
  <c r="V19" i="3"/>
  <c r="V20" i="3"/>
  <c r="V18" i="3"/>
  <c r="C1912" i="66"/>
  <c r="A1913" i="66"/>
  <c r="A1928" i="66"/>
  <c r="C1927" i="66"/>
  <c r="C1637" i="66"/>
  <c r="A1638" i="66"/>
  <c r="C1663" i="66"/>
  <c r="A1664" i="66"/>
  <c r="C914" i="66"/>
  <c r="A915" i="66"/>
  <c r="AI2" i="25"/>
  <c r="A949" i="66" l="1"/>
  <c r="C948" i="66"/>
  <c r="N22" i="3"/>
  <c r="R22" i="3" s="1"/>
  <c r="D25" i="72" s="1"/>
  <c r="V21" i="3"/>
  <c r="Y21" i="3" s="1"/>
  <c r="C1843" i="66"/>
  <c r="A1844" i="66"/>
  <c r="A1929" i="66"/>
  <c r="C1928" i="66"/>
  <c r="A1914" i="66"/>
  <c r="C1914" i="66" s="1"/>
  <c r="C1913" i="66"/>
  <c r="A1639" i="66"/>
  <c r="C1638" i="66"/>
  <c r="C1664" i="66"/>
  <c r="A1665" i="66"/>
  <c r="A919" i="66"/>
  <c r="C915" i="66"/>
  <c r="A950" i="66" l="1"/>
  <c r="A944" i="66" s="1"/>
  <c r="C949" i="66"/>
  <c r="G8" i="17"/>
  <c r="C1844" i="66"/>
  <c r="A1845" i="66"/>
  <c r="AC21" i="3"/>
  <c r="Y22" i="3"/>
  <c r="AC22" i="3" s="1"/>
  <c r="A1930" i="66"/>
  <c r="C1930" i="66" s="1"/>
  <c r="C1929" i="66"/>
  <c r="C1665" i="66"/>
  <c r="A1666" i="66"/>
  <c r="A1640" i="66"/>
  <c r="C1639" i="66"/>
  <c r="C919" i="66"/>
  <c r="A920" i="66"/>
  <c r="C920" i="66" s="1"/>
  <c r="C950" i="66" l="1"/>
  <c r="C944" i="66"/>
  <c r="C1845" i="66"/>
  <c r="A1846" i="66"/>
  <c r="C1846" i="66" s="1"/>
  <c r="AM2" i="16"/>
  <c r="I2" i="16" s="1"/>
  <c r="G8" i="18"/>
  <c r="C1640" i="66"/>
  <c r="A1641" i="66"/>
  <c r="C1641" i="66" s="1"/>
  <c r="C1666" i="66"/>
  <c r="A1667" i="66"/>
  <c r="C1667" i="66" l="1"/>
  <c r="A1668" i="66"/>
  <c r="C1668" i="66" s="1"/>
  <c r="G1290" i="16"/>
  <c r="G1291" i="16" s="1"/>
  <c r="G1292" i="16" s="1"/>
  <c r="G1293" i="16" s="1"/>
  <c r="G1294" i="16" s="1"/>
  <c r="G1281" i="16" s="1"/>
</calcChain>
</file>

<file path=xl/sharedStrings.xml><?xml version="1.0" encoding="utf-8"?>
<sst xmlns="http://schemas.openxmlformats.org/spreadsheetml/2006/main" count="39044" uniqueCount="4855">
  <si>
    <t>error</t>
  </si>
  <si>
    <t>Notes</t>
  </si>
  <si>
    <t>State</t>
  </si>
  <si>
    <t>StateA</t>
  </si>
  <si>
    <t>County</t>
  </si>
  <si>
    <t>Radon</t>
  </si>
  <si>
    <t>Climate</t>
  </si>
  <si>
    <t>Moist</t>
  </si>
  <si>
    <t>WarmHumid</t>
  </si>
  <si>
    <t>Alaska</t>
  </si>
  <si>
    <t>AK</t>
  </si>
  <si>
    <t xml:space="preserve"> </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</si>
  <si>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</si>
  <si>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</si>
  <si>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</si>
  <si>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</si>
  <si>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</si>
  <si>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</si>
  <si>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</si>
  <si>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</si>
  <si>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</si>
  <si>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</si>
  <si>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</si>
  <si>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</si>
  <si>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</si>
  <si>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</si>
  <si>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</si>
  <si>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</si>
  <si>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</si>
  <si>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</si>
  <si>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</si>
  <si>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</si>
  <si>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</si>
  <si>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</si>
  <si>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</si>
  <si>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</si>
  <si>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</si>
  <si>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</si>
  <si>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</si>
  <si>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</si>
  <si>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CO</t>
  </si>
  <si>
    <t>Nebraska</t>
  </si>
  <si>
    <t>New Hampshire</t>
  </si>
  <si>
    <t>New Jersey</t>
  </si>
  <si>
    <t>New Mexico</t>
  </si>
  <si>
    <t>Nevada</t>
  </si>
  <si>
    <t>New York</t>
  </si>
  <si>
    <t>Ohio</t>
  </si>
  <si>
    <t>Oklahoma</t>
  </si>
  <si>
    <t>Oregon</t>
  </si>
  <si>
    <t>Pennsylvania</t>
  </si>
  <si>
    <t>Rhode Island</t>
  </si>
  <si>
    <t>South Carolina</t>
  </si>
  <si>
    <t>South Dakota</t>
  </si>
  <si>
    <t>ME</t>
  </si>
  <si>
    <t>Tennessee</t>
  </si>
  <si>
    <t>MI</t>
  </si>
  <si>
    <t>Texas</t>
  </si>
  <si>
    <t>Utah</t>
  </si>
  <si>
    <t>Virginia</t>
  </si>
  <si>
    <t>Vermont</t>
  </si>
  <si>
    <t>Washington</t>
  </si>
  <si>
    <t>Wisconsin</t>
  </si>
  <si>
    <t>West Virginia</t>
  </si>
  <si>
    <t>Wyoming</t>
  </si>
  <si>
    <t>American Samoa</t>
  </si>
  <si>
    <t>Guam</t>
  </si>
  <si>
    <t>MN</t>
  </si>
  <si>
    <t>Northern Mariana Islands</t>
  </si>
  <si>
    <t>Puerto Rico</t>
  </si>
  <si>
    <t>Virgin Islands</t>
  </si>
  <si>
    <t>ND</t>
  </si>
  <si>
    <t>WI</t>
  </si>
  <si>
    <t>WY</t>
  </si>
  <si>
    <t>CA</t>
  </si>
  <si>
    <t>Dry</t>
  </si>
  <si>
    <t>ID</t>
  </si>
  <si>
    <t>IA</t>
  </si>
  <si>
    <t>MT</t>
  </si>
  <si>
    <t>NH</t>
  </si>
  <si>
    <t>NY</t>
  </si>
  <si>
    <t>PA</t>
  </si>
  <si>
    <t>SD</t>
  </si>
  <si>
    <t>UT</t>
  </si>
  <si>
    <t>VT</t>
  </si>
  <si>
    <t>WA</t>
  </si>
  <si>
    <t>AZ</t>
  </si>
  <si>
    <t>CT</t>
  </si>
  <si>
    <t>IL</t>
  </si>
  <si>
    <t>IN</t>
  </si>
  <si>
    <t>Page</t>
  </si>
  <si>
    <t>KS</t>
  </si>
  <si>
    <t>MD</t>
  </si>
  <si>
    <t>MA</t>
  </si>
  <si>
    <t>MO</t>
  </si>
  <si>
    <t>NE</t>
  </si>
  <si>
    <t>NV</t>
  </si>
  <si>
    <t>NJ</t>
  </si>
  <si>
    <t>NM</t>
  </si>
  <si>
    <t>NC</t>
  </si>
  <si>
    <t>OH</t>
  </si>
  <si>
    <t>OR</t>
  </si>
  <si>
    <t>RI</t>
  </si>
  <si>
    <t>WV</t>
  </si>
  <si>
    <t>AR</t>
  </si>
  <si>
    <t>Marine</t>
  </si>
  <si>
    <t>DE</t>
  </si>
  <si>
    <t>DC</t>
  </si>
  <si>
    <t>GA</t>
  </si>
  <si>
    <t>KY</t>
  </si>
  <si>
    <t>OK</t>
  </si>
  <si>
    <t>TN</t>
  </si>
  <si>
    <t>TX</t>
  </si>
  <si>
    <t>VA</t>
  </si>
  <si>
    <t>AL</t>
  </si>
  <si>
    <t>Warm-Humid</t>
  </si>
  <si>
    <t>LA</t>
  </si>
  <si>
    <t>MS</t>
  </si>
  <si>
    <t>SC</t>
  </si>
  <si>
    <t>FL</t>
  </si>
  <si>
    <t>HI</t>
  </si>
  <si>
    <t>(a)</t>
  </si>
  <si>
    <t>(b)</t>
  </si>
  <si>
    <t>(c)</t>
  </si>
  <si>
    <t>Builder Name:</t>
  </si>
  <si>
    <t>Physical Address of Home:</t>
  </si>
  <si>
    <t>City:</t>
  </si>
  <si>
    <t>County:</t>
  </si>
  <si>
    <t>State:</t>
  </si>
  <si>
    <t>Zip:</t>
  </si>
  <si>
    <t>Community/Lot #:</t>
  </si>
  <si>
    <t>Above grade plane finished floor area:</t>
  </si>
  <si>
    <t>Total conditioned floor area:</t>
  </si>
  <si>
    <t xml:space="preserve">Project Description (optional): </t>
  </si>
  <si>
    <t>HERS Index (if available):</t>
  </si>
  <si>
    <t>Foundation Type:</t>
  </si>
  <si>
    <t>Heating Fuel:</t>
  </si>
  <si>
    <t>Renewable Energy:</t>
  </si>
  <si>
    <t>Thermal Envelope Insulation:</t>
  </si>
  <si>
    <t>Attic Type:</t>
  </si>
  <si>
    <t>Attached Garage:</t>
  </si>
  <si>
    <t>Recessed Lighting:</t>
  </si>
  <si>
    <t>Special Design Features:</t>
  </si>
  <si>
    <t>Passive Solar:</t>
  </si>
  <si>
    <t>Mass Walls:</t>
  </si>
  <si>
    <t>Ductless:</t>
  </si>
  <si>
    <t>Radiant/Hydronic:</t>
  </si>
  <si>
    <t>Local Energy Code:</t>
  </si>
  <si>
    <t>Local Building Code:</t>
  </si>
  <si>
    <t>s.f./unit</t>
  </si>
  <si>
    <t>s.f.</t>
  </si>
  <si>
    <t>dstBuilderName</t>
  </si>
  <si>
    <t>dstHomeAddress</t>
  </si>
  <si>
    <t>dstLot</t>
  </si>
  <si>
    <t>dstCity</t>
  </si>
  <si>
    <t>dstState</t>
  </si>
  <si>
    <t>dstCounty</t>
  </si>
  <si>
    <t>dstZIP</t>
  </si>
  <si>
    <t>dstSingleOrMulti</t>
  </si>
  <si>
    <t>Number of Units:</t>
  </si>
  <si>
    <t>Project Name:</t>
  </si>
  <si>
    <t>dstUnits</t>
  </si>
  <si>
    <t>dstProjectName</t>
  </si>
  <si>
    <t>dstAGFloorArea</t>
  </si>
  <si>
    <t>dstTCFloorArea</t>
  </si>
  <si>
    <t>dstProjectDesc</t>
  </si>
  <si>
    <t>dstHERS</t>
  </si>
  <si>
    <t>dstFoundation</t>
  </si>
  <si>
    <t>dstFuel</t>
  </si>
  <si>
    <t>dstRenewable</t>
  </si>
  <si>
    <t>dstTEInsulation</t>
  </si>
  <si>
    <t>dstAttic</t>
  </si>
  <si>
    <t>dstAttachedGarage</t>
  </si>
  <si>
    <t>dstRecessedLighting</t>
  </si>
  <si>
    <t>dstPassiveSolar</t>
  </si>
  <si>
    <t>dstMassWalls</t>
  </si>
  <si>
    <t>dstRadiantHydronic</t>
  </si>
  <si>
    <t>dstDuctless</t>
  </si>
  <si>
    <t>dstEnergyCode</t>
  </si>
  <si>
    <t>dstBuildingCode</t>
  </si>
  <si>
    <t>ddState</t>
  </si>
  <si>
    <t>ddCounty</t>
  </si>
  <si>
    <t>ddSingleOrMulti</t>
  </si>
  <si>
    <t>ddFoundation</t>
  </si>
  <si>
    <t>ddFuel</t>
  </si>
  <si>
    <t>ddRenewable</t>
  </si>
  <si>
    <t>ddTEInsulation</t>
  </si>
  <si>
    <t>ddAttic</t>
  </si>
  <si>
    <t>ddAttachedGarage</t>
  </si>
  <si>
    <t>ddRecessedLighting</t>
  </si>
  <si>
    <t>ddPassiveSolar</t>
  </si>
  <si>
    <t>ddMassWalls</t>
  </si>
  <si>
    <t>ddDuctless</t>
  </si>
  <si>
    <t>ddRadiantHydronic</t>
  </si>
  <si>
    <t>ddEnergyCode</t>
  </si>
  <si>
    <t>ddBuildingCode</t>
  </si>
  <si>
    <t>Start Here!</t>
  </si>
  <si>
    <t>Single-Family</t>
  </si>
  <si>
    <t>Basement</t>
  </si>
  <si>
    <t>Vented crawlspace</t>
  </si>
  <si>
    <t>Conditioned crawlspace</t>
  </si>
  <si>
    <t>Slab on grade</t>
  </si>
  <si>
    <t>Basement &amp; vented crawlspace</t>
  </si>
  <si>
    <t>Basement &amp; slab on grade</t>
  </si>
  <si>
    <t>Slab + crawlspace</t>
  </si>
  <si>
    <t>Other</t>
  </si>
  <si>
    <t>Furnace</t>
  </si>
  <si>
    <t>Boiler</t>
  </si>
  <si>
    <t>Heat Pump</t>
  </si>
  <si>
    <t>Electric Resistance</t>
  </si>
  <si>
    <t>Ground Source Heat Pump</t>
  </si>
  <si>
    <t>Gas</t>
  </si>
  <si>
    <t>Propane</t>
  </si>
  <si>
    <t>Oil</t>
  </si>
  <si>
    <t>Electricity</t>
  </si>
  <si>
    <t>Wood/Biomass</t>
  </si>
  <si>
    <t>None</t>
  </si>
  <si>
    <t>Photovoltaic</t>
  </si>
  <si>
    <t>Solar Hot Water</t>
  </si>
  <si>
    <t>Solar Heating</t>
  </si>
  <si>
    <t>Wind</t>
  </si>
  <si>
    <t>Fiberglass</t>
  </si>
  <si>
    <t>Cellulose</t>
  </si>
  <si>
    <t>Rigid Foam</t>
  </si>
  <si>
    <t>Spray Foam</t>
  </si>
  <si>
    <t>Fiberglass &amp; Rigid Foam</t>
  </si>
  <si>
    <t>Cellulose &amp; Rigid Foam</t>
  </si>
  <si>
    <t>SIP</t>
  </si>
  <si>
    <t>Spray &amp; Rigid Foam</t>
  </si>
  <si>
    <t>Vented</t>
  </si>
  <si>
    <t>Sealed</t>
  </si>
  <si>
    <t>Yes</t>
  </si>
  <si>
    <t>No</t>
  </si>
  <si>
    <t>2003 IECC</t>
  </si>
  <si>
    <t>2006 IECC</t>
  </si>
  <si>
    <t>2009 IECC</t>
  </si>
  <si>
    <t>2012 IECC</t>
  </si>
  <si>
    <t>2003 IRC</t>
  </si>
  <si>
    <t>2006 IRC</t>
  </si>
  <si>
    <t>2009 IRC</t>
  </si>
  <si>
    <t>2012 IRC</t>
  </si>
  <si>
    <t>2003 IBC</t>
  </si>
  <si>
    <t>2006 IBC</t>
  </si>
  <si>
    <t>2009 IBC</t>
  </si>
  <si>
    <t>2012 IBC</t>
  </si>
  <si>
    <t>Name</t>
  </si>
  <si>
    <t>dropdown names</t>
  </si>
  <si>
    <t>range names</t>
  </si>
  <si>
    <t>Tankless Water Heater:</t>
  </si>
  <si>
    <t>Composting Toilet:</t>
  </si>
  <si>
    <t>dstTLWH</t>
  </si>
  <si>
    <t>dstCToilet</t>
  </si>
  <si>
    <t>ddTLWH</t>
  </si>
  <si>
    <t>ddCToilet</t>
  </si>
  <si>
    <t>Version</t>
  </si>
  <si>
    <t>Instructions</t>
  </si>
  <si>
    <t>Key</t>
  </si>
  <si>
    <t>Introduction</t>
  </si>
  <si>
    <t>Go to http://www.homeinnovation.com/greenscoring to download the latest version of the NGBS Scoring for New Construction spreadsheet.</t>
  </si>
  <si>
    <t>Revision Date:</t>
  </si>
  <si>
    <t>X</t>
  </si>
  <si>
    <t>Practice #</t>
  </si>
  <si>
    <t>Points Available</t>
  </si>
  <si>
    <t>mand</t>
  </si>
  <si>
    <t>avail</t>
  </si>
  <si>
    <t>Status</t>
  </si>
  <si>
    <t>Points Claimed</t>
  </si>
  <si>
    <t>500.0</t>
  </si>
  <si>
    <r>
      <t>500.0 Intent</t>
    </r>
    <r>
      <rPr>
        <sz val="10"/>
        <color theme="1"/>
        <rFont val="Calibri"/>
        <family val="2"/>
        <scheme val="minor"/>
      </rPr>
      <t xml:space="preserve">. This section applies to lot development for the eventual construction of residential buildings, multifamily buildings, or additions thereto that contain dwelling units. </t>
    </r>
  </si>
  <si>
    <t>501.1</t>
  </si>
  <si>
    <t>(1)</t>
  </si>
  <si>
    <t>An infill lot is selected.</t>
  </si>
  <si>
    <t>(2)</t>
  </si>
  <si>
    <t>A lot is selected that is a greyfield.</t>
  </si>
  <si>
    <t>(3)</t>
  </si>
  <si>
    <t>An EPA-recognized brownfield lot is selected.</t>
  </si>
  <si>
    <t>TorF</t>
  </si>
  <si>
    <t>Certified Site:</t>
  </si>
  <si>
    <t>501.2</t>
  </si>
  <si>
    <r>
      <t>501.2 Multi-modal transportation.</t>
    </r>
    <r>
      <rPr>
        <sz val="10"/>
        <color theme="1"/>
        <rFont val="Calibri"/>
        <family val="2"/>
        <scheme val="minor"/>
      </rPr>
      <t xml:space="preserve"> A range of multi-modal transportation choices are promoted by one or more of the following:</t>
    </r>
  </si>
  <si>
    <t>A lot is selected within one-half mile (805 m) of pedestrian access to a mass transit system</t>
  </si>
  <si>
    <t>A lot is selected within five miles (8,046 m) of a mass transit station with provisions for parking.</t>
  </si>
  <si>
    <t>Walkways, street crossings, and entrances designed to promote pedestrian activity are provided. New buildings are connected to existing sidewalks and areas of development.</t>
  </si>
  <si>
    <t>(4)</t>
  </si>
  <si>
    <t>A lot is selected within one-half mile (805 m) of six or more community resources  No more than two each of the following use category can be counted toward the total: Recreation, Retail, Civic, and Services. Examples of resources in each category include, but are not limited to the following:</t>
  </si>
  <si>
    <t>Recreation: recreational facilities (such as pools, tennis courts, basketball courts), parks.</t>
  </si>
  <si>
    <t>Retail: grocery store, restaurant, retail store.</t>
  </si>
  <si>
    <t>Civic:  post office, place of worship, community center.</t>
  </si>
  <si>
    <t>Services: bank, daycare center, school, medical/dental office, laundromat/dry cleaners.</t>
  </si>
  <si>
    <t>(5)</t>
  </si>
  <si>
    <t>Bicycle use is promoted by building on a lot located within a community that has rights-of-way specifically dedicated to bicycle use in the form of paved paths or bicycle lanes, or on an infill lot located within 1/2 mile of a bicycle lane designated by the jurisdiction.</t>
  </si>
  <si>
    <t>(6)</t>
  </si>
  <si>
    <t>Dedicated bicycle parking and racks are indicated on the site plan and constructed for mixed-use and multifamily buildings:</t>
  </si>
  <si>
    <t>Minimum of 1 bicycle parking space per 3 residential units</t>
  </si>
  <si>
    <t>Minimum of 1 bicycle parking space per 2 residential units</t>
  </si>
  <si>
    <t>Minimum of 1 bicycle parking space per 1 residential unit.</t>
  </si>
  <si>
    <t>6</t>
  </si>
  <si>
    <t>3</t>
  </si>
  <si>
    <t>5</t>
  </si>
  <si>
    <t>4</t>
  </si>
  <si>
    <t>2</t>
  </si>
  <si>
    <t>Ch.5</t>
  </si>
  <si>
    <t>NOTE: List the 6 community resources in the Notes field.</t>
  </si>
  <si>
    <t>startError</t>
  </si>
  <si>
    <t>Ch5MandError</t>
  </si>
  <si>
    <t>Ch5Error</t>
  </si>
  <si>
    <t>Ch5Points</t>
  </si>
  <si>
    <t>Ch5Level</t>
  </si>
  <si>
    <t>Emerald</t>
  </si>
  <si>
    <t>Ch5NLev</t>
  </si>
  <si>
    <t>Bronze</t>
  </si>
  <si>
    <t>Silver</t>
  </si>
  <si>
    <t>Gold</t>
  </si>
  <si>
    <t>threshholds</t>
  </si>
  <si>
    <t>earned</t>
  </si>
  <si>
    <t>extra</t>
  </si>
  <si>
    <t>level</t>
  </si>
  <si>
    <t>ptstonext</t>
  </si>
  <si>
    <t>Ch 5</t>
  </si>
  <si>
    <t>Ch 6</t>
  </si>
  <si>
    <t>Ch 7</t>
  </si>
  <si>
    <t>Ch 8</t>
  </si>
  <si>
    <t>Ch 9</t>
  </si>
  <si>
    <t>Ch 10</t>
  </si>
  <si>
    <t>manderror</t>
  </si>
  <si>
    <t>anyerror</t>
  </si>
  <si>
    <t>design</t>
  </si>
  <si>
    <t>final</t>
  </si>
  <si>
    <t>Practice</t>
  </si>
  <si>
    <t>verStartError</t>
  </si>
  <si>
    <t>verMandError</t>
  </si>
  <si>
    <t>verError</t>
  </si>
  <si>
    <t>Rough</t>
  </si>
  <si>
    <t>Final</t>
  </si>
  <si>
    <t>additional text</t>
  </si>
  <si>
    <t>final level</t>
  </si>
  <si>
    <t>Points</t>
  </si>
  <si>
    <t>Claimed</t>
  </si>
  <si>
    <t>Points Awarded</t>
  </si>
  <si>
    <t>verGoalLevel</t>
  </si>
  <si>
    <t>desGoalLevel</t>
  </si>
  <si>
    <t>ptstogoal</t>
  </si>
  <si>
    <t>points to goal</t>
  </si>
  <si>
    <t>verBuilderName</t>
  </si>
  <si>
    <t>verHomeAddress</t>
  </si>
  <si>
    <t>verLot</t>
  </si>
  <si>
    <t>verCity</t>
  </si>
  <si>
    <t>verState</t>
  </si>
  <si>
    <t>verCounty</t>
  </si>
  <si>
    <t>verZIP</t>
  </si>
  <si>
    <t>verSingleOrMulti</t>
  </si>
  <si>
    <t>verUnits</t>
  </si>
  <si>
    <t>verProjectName</t>
  </si>
  <si>
    <t>verAGFloorArea</t>
  </si>
  <si>
    <t>verTCFloorArea</t>
  </si>
  <si>
    <t>verProjectDesc</t>
  </si>
  <si>
    <t>verHERS</t>
  </si>
  <si>
    <t>verFoundation</t>
  </si>
  <si>
    <t>verHVAC1</t>
  </si>
  <si>
    <t>verHVAC2</t>
  </si>
  <si>
    <t>verHVAC3</t>
  </si>
  <si>
    <t>verFuel</t>
  </si>
  <si>
    <t>verRenewable</t>
  </si>
  <si>
    <t>verTEInsulation</t>
  </si>
  <si>
    <t>verAttic</t>
  </si>
  <si>
    <t>verAttachedGarage</t>
  </si>
  <si>
    <t>verRecessedLighting</t>
  </si>
  <si>
    <t>verPassiveSolar</t>
  </si>
  <si>
    <t>verMassWalls</t>
  </si>
  <si>
    <t>verDuctless</t>
  </si>
  <si>
    <t>verRadiantHydronic</t>
  </si>
  <si>
    <t>verTLWH</t>
  </si>
  <si>
    <t>verCToilet</t>
  </si>
  <si>
    <t>verEnergyCode</t>
  </si>
  <si>
    <t>verBuildingCode</t>
  </si>
  <si>
    <t>Designer</t>
  </si>
  <si>
    <t>Correction</t>
  </si>
  <si>
    <t>Correct?</t>
  </si>
  <si>
    <t>Instructions: Verify all Designer inputs are correct using checkboxes. If incorrect, provide correct information.</t>
  </si>
  <si>
    <t>Goal Level:</t>
  </si>
  <si>
    <t>Single-Family or Multifamily:</t>
  </si>
  <si>
    <t>Calculate per ANSI Z765.  For a multifamily building, use a weighted average of the individual unit sizes.</t>
  </si>
  <si>
    <t>Multifamily</t>
  </si>
  <si>
    <t>dd</t>
  </si>
  <si>
    <t>des  add</t>
  </si>
  <si>
    <t>ver add</t>
  </si>
  <si>
    <t>If "Other", please explain:</t>
  </si>
  <si>
    <t>502 PROJECT TEAM, MISSION STATEMENT, AND GOALS</t>
  </si>
  <si>
    <t>502.1</t>
  </si>
  <si>
    <r>
      <t>502.1</t>
    </r>
    <r>
      <rPr>
        <sz val="10"/>
        <color theme="1"/>
        <rFont val="Calibri"/>
        <family val="2"/>
        <scheme val="minor"/>
      </rPr>
      <t xml:space="preserve"> </t>
    </r>
    <r>
      <rPr>
        <b/>
        <sz val="10"/>
        <color theme="1"/>
        <rFont val="Calibri"/>
        <family val="2"/>
        <scheme val="minor"/>
      </rPr>
      <t xml:space="preserve">Project team, mission statement, and goals. </t>
    </r>
    <r>
      <rPr>
        <sz val="10"/>
        <color theme="1"/>
        <rFont val="Calibri"/>
        <family val="2"/>
        <scheme val="minor"/>
      </rPr>
      <t xml:space="preserve">A knowledgeable team is established and team member roles are identified with respect to green lot design, preparation, and development. The project’s green goals and objectives are written into a mission statement. </t>
    </r>
  </si>
  <si>
    <t>503</t>
  </si>
  <si>
    <t>503 LOT DESIGN</t>
  </si>
  <si>
    <t>503.0</t>
  </si>
  <si>
    <r>
      <t>503.0 Intent.</t>
    </r>
    <r>
      <rPr>
        <sz val="10"/>
        <color theme="1"/>
        <rFont val="Calibri"/>
        <family val="2"/>
        <scheme val="minor"/>
      </rPr>
      <t xml:space="preserve"> The lot is designed to avoid detrimental environmental impacts first, to minimize any unavoidable impacts, and to mitigate for those impacts that do occur. The project is designed to minimize environmental impacts and to protect, restore, and enhance the natural features and environmental quality of the lot. </t>
    </r>
  </si>
  <si>
    <t>(Points awarded only if  the intent of the design is implemented.)</t>
  </si>
  <si>
    <t>503.1</t>
  </si>
  <si>
    <r>
      <t>503.1 Natural resources.</t>
    </r>
    <r>
      <rPr>
        <sz val="10"/>
        <color theme="1"/>
        <rFont val="Calibri"/>
        <family val="2"/>
      </rPr>
      <t xml:space="preserve"> Natural resources are conserved by one or more of the following:</t>
    </r>
  </si>
  <si>
    <t>A natural resources inventory is completed under the direction of a qualified professional.</t>
  </si>
  <si>
    <t>A plan is implemented to conserve the elements identified by the natural resource inventory as high-priority resources.</t>
  </si>
  <si>
    <t>Items listed for protection in the natural resource inventory plan are protected under the direction of a qualified professional.</t>
  </si>
  <si>
    <t>Basic training in tree or other natural resource protection is provided for the on-site supervisor.</t>
  </si>
  <si>
    <t>All tree pruning on-site is conducted by a certified arborist or other qualified professional.</t>
  </si>
  <si>
    <t>Ongoing maintenance of vegetation on the lot during construction is in accordance with TCIA A300 or locally accepted best practices.</t>
  </si>
  <si>
    <t>(7)</t>
  </si>
  <si>
    <t>Where a lot adjoins a landscaped common area, a protection plan from construction activities next to the common area is implemented.</t>
  </si>
  <si>
    <t>503.2</t>
  </si>
  <si>
    <r>
      <t>503.2 Slope disturbance.</t>
    </r>
    <r>
      <rPr>
        <sz val="10"/>
        <color theme="1"/>
        <rFont val="Calibri"/>
        <family val="2"/>
        <scheme val="minor"/>
      </rPr>
      <t xml:space="preserve"> Slope disturbance is minimized by one or more of the following: </t>
    </r>
  </si>
  <si>
    <t xml:space="preserve">The use of terrain adaptive architecture. </t>
  </si>
  <si>
    <t>Hydrological/soil stability study is completed and used to guide the design of all buildings on the lot.</t>
  </si>
  <si>
    <r>
      <t>All or a percentage of</t>
    </r>
    <r>
      <rPr>
        <b/>
        <sz val="10"/>
        <color theme="1"/>
        <rFont val="Calibri"/>
        <family val="2"/>
        <scheme val="minor"/>
      </rPr>
      <t xml:space="preserve"> </t>
    </r>
    <r>
      <rPr>
        <sz val="10"/>
        <color theme="1"/>
        <rFont val="Calibri"/>
        <family val="2"/>
        <scheme val="minor"/>
      </rPr>
      <t>driveways and parking are aligned with natural topography to reduce cut and fill.</t>
    </r>
  </si>
  <si>
    <t>25 percent to 75 percent</t>
  </si>
  <si>
    <t>greater than 75 percent</t>
  </si>
  <si>
    <t>Long-term erosion effects are reduced through the design and implementation of clustering, terracing, retaining walls, landscaping, or restabilization techniques.</t>
  </si>
  <si>
    <t>Underground parking uses the natural slope for parking entrances.</t>
  </si>
  <si>
    <t>503.3</t>
  </si>
  <si>
    <r>
      <t>503.3</t>
    </r>
    <r>
      <rPr>
        <sz val="10"/>
        <color theme="1"/>
        <rFont val="Calibri"/>
        <family val="2"/>
        <scheme val="minor"/>
      </rPr>
      <t xml:space="preserve"> </t>
    </r>
    <r>
      <rPr>
        <b/>
        <sz val="10"/>
        <color theme="1"/>
        <rFont val="Calibri"/>
        <family val="2"/>
        <scheme val="minor"/>
      </rPr>
      <t>Soil disturbance and erosion.</t>
    </r>
    <r>
      <rPr>
        <sz val="10"/>
        <color theme="1"/>
        <rFont val="Calibri"/>
        <family val="2"/>
        <scheme val="minor"/>
      </rPr>
      <t xml:space="preserve"> Soil disturbance and erosion are minimized by one or more of the following: (also see Section 504.3)</t>
    </r>
  </si>
  <si>
    <t>At least 75% of total length of the utilities on the lot are designed to use one or more alternative means:</t>
  </si>
  <si>
    <t>tunneling instead of trenching</t>
  </si>
  <si>
    <t>use of smaller (low ground pressure) equipment or geomats to spread the weight of construction equipment</t>
  </si>
  <si>
    <t>shared utility trenches or easements</t>
  </si>
  <si>
    <t>(d)</t>
  </si>
  <si>
    <t>placement of utilities under paved surfaces instead of yards</t>
  </si>
  <si>
    <t>Limits of clearing and grading are demarcated on the lot plan.</t>
  </si>
  <si>
    <t>503.4</t>
  </si>
  <si>
    <r>
      <t xml:space="preserve">503.4 Stormwater Management.  </t>
    </r>
    <r>
      <rPr>
        <sz val="10"/>
        <color theme="1"/>
        <rFont val="Calibri"/>
        <family val="2"/>
        <scheme val="minor"/>
      </rPr>
      <t>The stormwater management system is designed to use low impact development/green infrastructure practices to preserve, restore or mitigate changes in site hydrology due to land disturbance and the construction of impermeable surfaces through the use of one or more of the following techniques:</t>
    </r>
  </si>
  <si>
    <t xml:space="preserve">A site assessment is conducted and a plan prepared and implemented that identifies important existing permeable soils, natural drainage ways and other water features, e.g., depressional storage,  onsite to be preserved in order to maintain site hydrology.                                  </t>
  </si>
  <si>
    <t xml:space="preserve">A hydrologic analysis is conducted that results in the design of a stormwater management system that maintains the pre-development (stable, natural) runoff hydrology of the site through the development or redevelopment process. Ensure that post construction runoff rate, volume and duration do not exceed predevelopment rates, volume and duration.     </t>
  </si>
  <si>
    <t>Low Impact Development/Green infrastructure stormwater management practices to promote infiltration and evapotranspiration are used to manage rainfall on the lot and prevent the off-lot discharge of runoff from all storms up to and including the volume of following storm events:</t>
  </si>
  <si>
    <t>80th percentile storm event</t>
  </si>
  <si>
    <t>90th percentile storm event</t>
  </si>
  <si>
    <t>95th percentile storm event</t>
  </si>
  <si>
    <t>Permeable materials are used for driveways, parking areas, walkways, patios, and recreational surfaces and the like according to the following percentages:</t>
  </si>
  <si>
    <t>less than 25 percent</t>
  </si>
  <si>
    <t xml:space="preserve">25-50 percent                               </t>
  </si>
  <si>
    <t>Greater than 50 percent</t>
  </si>
  <si>
    <t>503.5</t>
  </si>
  <si>
    <r>
      <t>503.5 Landscape plan.</t>
    </r>
    <r>
      <rPr>
        <sz val="10"/>
        <color theme="1"/>
        <rFont val="Calibri"/>
        <family val="2"/>
        <scheme val="minor"/>
      </rPr>
      <t xml:space="preserve"> A plan for the lot is developed to limit water and energy use while preserving or enhancing the natural environment. </t>
    </r>
  </si>
  <si>
    <t>(Where "front" only or "rear" only plan is implemented, only half of the points (rounding down to a whole number) are awarded for Items (1)-(8)</t>
  </si>
  <si>
    <t xml:space="preserve">A plan is formulated and implemented that protects, restores, or enhances natural vegetation on the lot.  </t>
  </si>
  <si>
    <t>100 percent of the natural area</t>
  </si>
  <si>
    <t>50 percent of the natural area</t>
  </si>
  <si>
    <t>25 percent of the natural area</t>
  </si>
  <si>
    <t>12 percent of the natural area</t>
  </si>
  <si>
    <t>Non-invasive vegetation that is native or regionally appropriate for local growing conditions is selected to promote biodiversity.</t>
  </si>
  <si>
    <t xml:space="preserve">To improve pollinator habitat, at least 10 percent of planted areas are composed of flowering and nectar producing plant species. Invasive plant species shall not be utilized. </t>
  </si>
  <si>
    <t>EPA WaterSense Water Budget Tool or equivalent is used when implementing the maximum percentage of turf areas.</t>
  </si>
  <si>
    <t>For landscaped vegetated areas, the maximum percentage of turf area is:</t>
  </si>
  <si>
    <t>0 percent</t>
  </si>
  <si>
    <t>Greater than 0 percent to less than 20 percent</t>
  </si>
  <si>
    <t>20 percent to less than 40 percent</t>
  </si>
  <si>
    <t>40 percent to 60 percent</t>
  </si>
  <si>
    <t>Plants with similar watering needs are grouped (hydrozoning) and shown on the lot plan.</t>
  </si>
  <si>
    <t>Summer shading by planting installed to shade a minimum of 30 percent of building walls. To conform to summer shading, the effective shade coverage (five years after planting) is the arithmetic mean of the shade coverage calculated at 10 am for eastward facing walls, noon for southward facing walls, and 3 pm for westward facing walls on the summer solstice.</t>
  </si>
  <si>
    <t>(8)</t>
  </si>
  <si>
    <t>Vegetative wind breaks or channels are designed to protect the lot and immediate surrounding lots as appropriate for local conditions.</t>
  </si>
  <si>
    <t>(9)</t>
  </si>
  <si>
    <t>Site or community generated tree trimmings or stump grinding of regionally appropriate trees are used on the lot to provide protective mulch during construction or for landscaping.</t>
  </si>
  <si>
    <t>(10)</t>
  </si>
  <si>
    <t>An integrated pest management plan is developed to minimize chemical use in pesticides and fertilizers.</t>
  </si>
  <si>
    <t>(11)</t>
  </si>
  <si>
    <t xml:space="preserve">Developer has a plan for removal or containment of invasive plants from the disturbed areas of the site.  </t>
  </si>
  <si>
    <t>(12)</t>
  </si>
  <si>
    <t xml:space="preserve">Developer implements a plan for removal or containment of invasive plants on the undisturbed areas of the site.  </t>
  </si>
  <si>
    <t>503.6</t>
  </si>
  <si>
    <r>
      <t xml:space="preserve">503.6 Wildlife habitat. </t>
    </r>
    <r>
      <rPr>
        <sz val="10"/>
        <color theme="1"/>
        <rFont val="Calibri"/>
        <family val="2"/>
        <scheme val="minor"/>
      </rPr>
      <t>Measures are planned to support wildlife habitat and include at least two of the following:</t>
    </r>
  </si>
  <si>
    <t>Plants and gardens that encourage wildlife, such as bird and butterfly gardens.</t>
  </si>
  <si>
    <t>Inclusion of a certified “backyard wildlife” program.</t>
  </si>
  <si>
    <t>The lot is adjacent to a wildlife corridor, fish and game park, or preserved areas and is designed with regard for this relationship.</t>
  </si>
  <si>
    <t>Outdoor lighting techniques are utilized with regard for wildlife.</t>
  </si>
  <si>
    <t>503.7</t>
  </si>
  <si>
    <r>
      <t xml:space="preserve">503.7 Environmentally sensitive areas. </t>
    </r>
    <r>
      <rPr>
        <sz val="10"/>
        <color theme="1"/>
        <rFont val="Calibri"/>
        <family val="2"/>
        <scheme val="minor"/>
      </rPr>
      <t>The lot is in accordance with one or both of the following:</t>
    </r>
  </si>
  <si>
    <t>The lot does not contain any environmentally sensitive areas that are disturbed by the construction.</t>
  </si>
  <si>
    <t>On lots with environmentally sensitive areas, mitigation and/or restoration is conducted to preserve ecosystem functions lost through development and construction activities.</t>
  </si>
  <si>
    <t>503.8</t>
  </si>
  <si>
    <r>
      <t xml:space="preserve">503.8 Demolition of existing building. </t>
    </r>
    <r>
      <rPr>
        <sz val="10"/>
        <color theme="1"/>
        <rFont val="Calibri"/>
        <family val="2"/>
        <scheme val="minor"/>
      </rPr>
      <t>A demolition waste management plan is developed, posted at the jobsite, and implemented to recycle and/or salvage with a goal of recycling or salvaging a minimum of 50 percent of the nonhazardous demolition waste.</t>
    </r>
  </si>
  <si>
    <t>(One additional point awarded for every 10 percent of nonhazardous demolition waste recycled and/or salvaged beyond 50 percent).</t>
  </si>
  <si>
    <t>504.0</t>
  </si>
  <si>
    <t>504 LOT CONSTRUCTION</t>
  </si>
  <si>
    <r>
      <t>504.0 Intent.</t>
    </r>
    <r>
      <rPr>
        <sz val="10"/>
        <color theme="1"/>
        <rFont val="Calibri"/>
        <family val="2"/>
        <scheme val="minor"/>
      </rPr>
      <t xml:space="preserve"> Environmental impact during construction is avoided to the extent possible; impacts that do occur are minimized and any significant impacts are mitigated.</t>
    </r>
  </si>
  <si>
    <t>504.1</t>
  </si>
  <si>
    <r>
      <t>504.1 On-site supervision and coordination.</t>
    </r>
    <r>
      <rPr>
        <sz val="10"/>
        <color theme="1"/>
        <rFont val="Calibri"/>
        <family val="2"/>
        <scheme val="minor"/>
      </rPr>
      <t xml:space="preserve"> On-site supervision and coordination is provided during on-the-lot clearing, grading, trenching, paving, and installation of utilities to ensure that specified green development practices are implemented. (also see Section 503.3)</t>
    </r>
  </si>
  <si>
    <t>504.2</t>
  </si>
  <si>
    <r>
      <t>504.2 Trees and vegetation.</t>
    </r>
    <r>
      <rPr>
        <sz val="10"/>
        <color theme="1"/>
        <rFont val="Calibri"/>
        <family val="2"/>
        <scheme val="minor"/>
      </rPr>
      <t xml:space="preserve"> Designated trees and vegetation are preserved by one or more of the following:</t>
    </r>
  </si>
  <si>
    <t>Fencing or equivalent is installed to protect trees and other vegetation.</t>
  </si>
  <si>
    <t>Trenching, significant changes in grade, and compaction of soil and critical root zones in all “tree save” areas as shown on the lot plan are avoided.</t>
  </si>
  <si>
    <t>Damage to designated existing trees and vegetation is mitigated during construction through pruning, root pruning, fertilizing, and watering.</t>
  </si>
  <si>
    <t>504.3</t>
  </si>
  <si>
    <r>
      <t>504.3 Soil disturbance and erosion implementation.</t>
    </r>
    <r>
      <rPr>
        <sz val="10"/>
        <color theme="1"/>
        <rFont val="Calibri"/>
        <family val="2"/>
        <scheme val="minor"/>
      </rPr>
      <t xml:space="preserve"> On-site soil disturbance and erosion are minimized by one or more of the following in accordance with the SWPPP or applicable plan: (also see Section 503.3)</t>
    </r>
  </si>
  <si>
    <t>Sediment and erosion controls are installed on the lot and maintained in accordance with the stormwater pollution prevention plan, where required.</t>
  </si>
  <si>
    <t>Limits of clearing and grading are staked out on the lot.</t>
  </si>
  <si>
    <t>“No disturbance” zones are created using fencing or flagging to protect vegetation and sensitive areas on the lot from construction activity.</t>
  </si>
  <si>
    <t>Topsoil from either the lot or the site development is stockpiled and stabilized for later use and used to establish landscape plantings on the lot.</t>
  </si>
  <si>
    <t>Soil compaction from construction equipment is reduced by distributing the weight of the equipment over a larger area (laying lightweight geogrids, mulch, chipped wood, plywood, OSB, metal plates, or other materials capable of weight distribution in the pathway of the equipment).</t>
  </si>
  <si>
    <t>Disturbed areas on the lot that are complete or to be left unworked for 21 days or more are stabilized within 14 days using methods as recommended by the EPA or in the approved SWPPP, where required.</t>
  </si>
  <si>
    <t>Soil is improved with organic amendments or mulch.</t>
  </si>
  <si>
    <t>Inspection reports of stormwater best management practices are available.</t>
  </si>
  <si>
    <t>505</t>
  </si>
  <si>
    <t>505 INNOVATIVE PRACTICES</t>
  </si>
  <si>
    <r>
      <t xml:space="preserve">505.0 Intent. </t>
    </r>
    <r>
      <rPr>
        <sz val="10"/>
        <color theme="1"/>
        <rFont val="Calibri"/>
        <family val="2"/>
        <scheme val="minor"/>
      </rPr>
      <t>Innovative lot design, preparation, and development practices are used to enhance environmental performance. Waivers or variances from local development regulations are obtained and innovative zoning is used to implement such practices.</t>
    </r>
  </si>
  <si>
    <t>505.1</t>
  </si>
  <si>
    <r>
      <t>505.1 Driveways and parking areas.</t>
    </r>
    <r>
      <rPr>
        <sz val="10"/>
        <color theme="1"/>
        <rFont val="Calibri"/>
        <family val="2"/>
        <scheme val="minor"/>
      </rPr>
      <t xml:space="preserve"> Driveways and parking areas are minimized or mitigated by one or more of the following:</t>
    </r>
  </si>
  <si>
    <t>Off-street parking areas are shared or driveways are shared. Waivers or variances from local development regulations are obtained to implement such practices, if required.</t>
  </si>
  <si>
    <t>In a multifamily project, parking capacity does not exceed the local minimum requirements.</t>
  </si>
  <si>
    <t>Structured parking is utilized to reduce the footprint of surface parking areas.</t>
  </si>
  <si>
    <t>25 percent to less than 50 percent</t>
  </si>
  <si>
    <t>50 percent to 75 percent</t>
  </si>
  <si>
    <t>Water permeable surfaces, including vegetative paving systems, are utilized to reduce the footprint of impervious surface driveways, fire lanes, streets or parking areas.</t>
  </si>
  <si>
    <t>10 percent to less than 25 percent</t>
  </si>
  <si>
    <t>505.2</t>
  </si>
  <si>
    <t xml:space="preserve">505.2 </t>
  </si>
  <si>
    <r>
      <t>505.2 Heat island mitigation.</t>
    </r>
    <r>
      <rPr>
        <sz val="10"/>
        <color theme="1"/>
        <rFont val="Calibri"/>
        <family val="2"/>
        <scheme val="minor"/>
      </rPr>
      <t xml:space="preserve"> Heat island effect is mitigated by the following.</t>
    </r>
  </si>
  <si>
    <t>Hardscape: Not less than 50 percent of the surface area of the hardscape on the lot meets one or a combination of the following methods.</t>
  </si>
  <si>
    <t>Shading of hardscaping: Shade is provided from existing or new vegetation (within five years) or from trellises. Shade of hardscaping is to be measured on the summer solstice at noon.</t>
  </si>
  <si>
    <t>Light-colored hardscaping: Horizontal hardscaping materials are installed with a solar reflectance index (SRI) of 29 or greater. The SRI is calculated in accordance with ASTM E1980. A default SRI value of 35 for new concrete without added color pigment is permitted to be used instead of measurements.</t>
  </si>
  <si>
    <t>Permeable hardscaping: Permeable hardscaping materials are installed.</t>
  </si>
  <si>
    <t>Roofs: Not less than 75 percent of the exposed surface of the roof is vegetated using technology capable of withstanding the climate conditions of the jurisdiction and the microclimate conditions of the building lot. Invasive plant species are not permitted.</t>
  </si>
  <si>
    <t>505.3</t>
  </si>
  <si>
    <r>
      <t>505.3 Density.</t>
    </r>
    <r>
      <rPr>
        <sz val="10"/>
        <color theme="1"/>
        <rFont val="Calibri"/>
        <family val="2"/>
        <scheme val="minor"/>
      </rPr>
      <t xml:space="preserve"> The average density on the lot on a net developable area basis is: </t>
    </r>
  </si>
  <si>
    <r>
      <t>7 to less than 14 dwelling units per acre (per 4,047 m</t>
    </r>
    <r>
      <rPr>
        <vertAlign val="superscript"/>
        <sz val="10"/>
        <color theme="1"/>
        <rFont val="Calibri"/>
        <family val="2"/>
        <scheme val="minor"/>
      </rPr>
      <t>2</t>
    </r>
    <r>
      <rPr>
        <sz val="10"/>
        <color theme="1"/>
        <rFont val="Calibri"/>
        <family val="2"/>
        <scheme val="minor"/>
      </rPr>
      <t>)</t>
    </r>
  </si>
  <si>
    <r>
      <t>14 to less than 21 dwelling units per acre (per 4,047 m</t>
    </r>
    <r>
      <rPr>
        <vertAlign val="superscript"/>
        <sz val="10"/>
        <color theme="1"/>
        <rFont val="Calibri"/>
        <family val="2"/>
        <scheme val="minor"/>
      </rPr>
      <t>2</t>
    </r>
    <r>
      <rPr>
        <sz val="10"/>
        <color theme="1"/>
        <rFont val="Calibri"/>
        <family val="2"/>
        <scheme val="minor"/>
      </rPr>
      <t>)</t>
    </r>
  </si>
  <si>
    <r>
      <t>21 to less than 35 dwelling units per acre (per 4,047 m</t>
    </r>
    <r>
      <rPr>
        <vertAlign val="superscript"/>
        <sz val="10"/>
        <color theme="1"/>
        <rFont val="Calibri"/>
        <family val="2"/>
        <scheme val="minor"/>
      </rPr>
      <t>2</t>
    </r>
    <r>
      <rPr>
        <sz val="10"/>
        <color theme="1"/>
        <rFont val="Calibri"/>
        <family val="2"/>
        <scheme val="minor"/>
      </rPr>
      <t>)</t>
    </r>
  </si>
  <si>
    <r>
      <t>35 to less than 70 dwelling units per acre (per 4,047 m</t>
    </r>
    <r>
      <rPr>
        <vertAlign val="superscript"/>
        <sz val="10"/>
        <color theme="1"/>
        <rFont val="Calibri"/>
        <family val="2"/>
        <scheme val="minor"/>
      </rPr>
      <t>2</t>
    </r>
    <r>
      <rPr>
        <sz val="10"/>
        <color theme="1"/>
        <rFont val="Calibri"/>
        <family val="2"/>
        <scheme val="minor"/>
      </rPr>
      <t>)</t>
    </r>
  </si>
  <si>
    <r>
      <t>70 or greater dwelling units per acre (per 4,047 m</t>
    </r>
    <r>
      <rPr>
        <vertAlign val="superscript"/>
        <sz val="10"/>
        <color theme="1"/>
        <rFont val="Calibri"/>
        <family val="2"/>
        <scheme val="minor"/>
      </rPr>
      <t>2</t>
    </r>
    <r>
      <rPr>
        <sz val="10"/>
        <color theme="1"/>
        <rFont val="Calibri"/>
        <family val="2"/>
        <scheme val="minor"/>
      </rPr>
      <t>)</t>
    </r>
  </si>
  <si>
    <t>505.4</t>
  </si>
  <si>
    <r>
      <t xml:space="preserve">505.4 Mixed-use development. </t>
    </r>
    <r>
      <rPr>
        <sz val="10"/>
        <color theme="1"/>
        <rFont val="Calibri"/>
        <family val="2"/>
        <scheme val="minor"/>
      </rPr>
      <t>The lot contains a mixed-use building.</t>
    </r>
  </si>
  <si>
    <t>505.5</t>
  </si>
  <si>
    <r>
      <t xml:space="preserve">505.5 Community garden(s). </t>
    </r>
    <r>
      <rPr>
        <sz val="10"/>
        <color theme="1"/>
        <rFont val="Calibri"/>
        <family val="2"/>
        <scheme val="minor"/>
      </rPr>
      <t>A portion of the lot is established as a community garden(s), available to residents of the lot, to provide for local food production to residents or area consumers.</t>
    </r>
  </si>
  <si>
    <t>505.6</t>
  </si>
  <si>
    <r>
      <t xml:space="preserve">505.6 Multi-Unit Plug-In Electric Vehicle Charging.  </t>
    </r>
    <r>
      <rPr>
        <sz val="10"/>
        <color theme="1"/>
        <rFont val="Calibri"/>
        <family val="2"/>
        <scheme val="minor"/>
      </rPr>
      <t>Plug-in electric vehicle charging capability is provided for at least 1 percent of parking stalls.  Electrical capacity in main electric panels supports Level 2 charging (208/240V-40 amp).  Each stall is provided with conduit and wiring infrastructure from the electric panel to support Level 2 charging (208/240V-40 amp) service to the designated stalls, and stalls are equipped with either Level 2 charging AC grounded outlets (208/240V-40 amp) or Level 2 charging stations (240V/40A) by a third party charging station.</t>
    </r>
  </si>
  <si>
    <t>Ch6Level</t>
  </si>
  <si>
    <t>Ch6Points</t>
  </si>
  <si>
    <t>Ch6MandError</t>
  </si>
  <si>
    <t>502</t>
  </si>
  <si>
    <t>601 QUALITY OF CONSTRUCTION MATERIALS AND WASTE</t>
  </si>
  <si>
    <t>601.0</t>
  </si>
  <si>
    <r>
      <t>601.0 Intent.</t>
    </r>
    <r>
      <rPr>
        <sz val="10"/>
        <color theme="1"/>
        <rFont val="Calibri"/>
        <family val="2"/>
        <scheme val="minor"/>
      </rPr>
      <t xml:space="preserve"> Design and construction practices that minimize the environmental impact of the building materials are incorporated, environmentally efficient building systems and materials are incorporated, and waste generated during construction is reduced. </t>
    </r>
  </si>
  <si>
    <r>
      <t>601.1 Conditioned floor area.</t>
    </r>
    <r>
      <rPr>
        <sz val="10"/>
        <color theme="1"/>
        <rFont val="Calibri"/>
        <family val="2"/>
        <scheme val="minor"/>
      </rPr>
      <t xml:space="preserve"> Finished floor area of a dwelling unit is limited. Finished floor area is calculated in accordance with ANSI Z765 for single family and ANSI/BOMA Z65.4 for multifamily buildings. Only the finished floor area for stories above grade plane is included in the calculation. </t>
    </r>
  </si>
  <si>
    <r>
      <t>less than or equal to 700 square feet (65 m</t>
    </r>
    <r>
      <rPr>
        <vertAlign val="superscript"/>
        <sz val="10"/>
        <color theme="1"/>
        <rFont val="Calibri"/>
        <family val="2"/>
        <scheme val="minor"/>
      </rPr>
      <t>2</t>
    </r>
    <r>
      <rPr>
        <sz val="10"/>
        <color theme="1"/>
        <rFont val="Calibri"/>
        <family val="2"/>
        <scheme val="minor"/>
      </rPr>
      <t>)</t>
    </r>
  </si>
  <si>
    <r>
      <t>less than or equal to 1,000 square feet (93 m</t>
    </r>
    <r>
      <rPr>
        <vertAlign val="superscript"/>
        <sz val="10"/>
        <color theme="1"/>
        <rFont val="Calibri"/>
        <family val="2"/>
        <scheme val="minor"/>
      </rPr>
      <t>2</t>
    </r>
    <r>
      <rPr>
        <sz val="10"/>
        <color theme="1"/>
        <rFont val="Calibri"/>
        <family val="2"/>
        <scheme val="minor"/>
      </rPr>
      <t>)</t>
    </r>
  </si>
  <si>
    <r>
      <t>less than or equal to 1,500 square feet (139 m</t>
    </r>
    <r>
      <rPr>
        <vertAlign val="superscript"/>
        <sz val="10"/>
        <color theme="1"/>
        <rFont val="Calibri"/>
        <family val="2"/>
        <scheme val="minor"/>
      </rPr>
      <t>2</t>
    </r>
    <r>
      <rPr>
        <sz val="10"/>
        <color theme="1"/>
        <rFont val="Calibri"/>
        <family val="2"/>
        <scheme val="minor"/>
      </rPr>
      <t>)</t>
    </r>
  </si>
  <si>
    <r>
      <t>less than or equal to 2,000 square feet (186 m</t>
    </r>
    <r>
      <rPr>
        <vertAlign val="superscript"/>
        <sz val="10"/>
        <color theme="1"/>
        <rFont val="Calibri"/>
        <family val="2"/>
        <scheme val="minor"/>
      </rPr>
      <t>2</t>
    </r>
    <r>
      <rPr>
        <sz val="10"/>
        <color theme="1"/>
        <rFont val="Calibri"/>
        <family val="2"/>
        <scheme val="minor"/>
      </rPr>
      <t>)</t>
    </r>
  </si>
  <si>
    <r>
      <t>less than or equal to 2,500 square feet (232 m</t>
    </r>
    <r>
      <rPr>
        <vertAlign val="superscript"/>
        <sz val="10"/>
        <color theme="1"/>
        <rFont val="Calibri"/>
        <family val="2"/>
        <scheme val="minor"/>
      </rPr>
      <t>2</t>
    </r>
    <r>
      <rPr>
        <sz val="10"/>
        <color theme="1"/>
        <rFont val="Calibri"/>
        <family val="2"/>
        <scheme val="minor"/>
      </rPr>
      <t>)</t>
    </r>
  </si>
  <si>
    <r>
      <t>greater than 4,000 square feet (372 m</t>
    </r>
    <r>
      <rPr>
        <vertAlign val="superscript"/>
        <sz val="10"/>
        <color theme="1"/>
        <rFont val="Calibri"/>
        <family val="2"/>
        <scheme val="minor"/>
      </rPr>
      <t>2</t>
    </r>
    <r>
      <rPr>
        <sz val="10"/>
        <color theme="1"/>
        <rFont val="Calibri"/>
        <family val="2"/>
        <scheme val="minor"/>
      </rPr>
      <t>)</t>
    </r>
  </si>
  <si>
    <r>
      <t>(For every 100 square feet (9.29 m</t>
    </r>
    <r>
      <rPr>
        <b/>
        <vertAlign val="superscript"/>
        <sz val="10"/>
        <color theme="1"/>
        <rFont val="Calibri"/>
        <family val="2"/>
        <scheme val="minor"/>
      </rPr>
      <t>2</t>
    </r>
    <r>
      <rPr>
        <b/>
        <sz val="10"/>
        <color theme="1"/>
        <rFont val="Calibri"/>
        <family val="2"/>
        <scheme val="minor"/>
      </rPr>
      <t>) over 4,000 square feet (372 m</t>
    </r>
    <r>
      <rPr>
        <b/>
        <vertAlign val="superscript"/>
        <sz val="10"/>
        <color theme="1"/>
        <rFont val="Calibri"/>
        <family val="2"/>
        <scheme val="minor"/>
      </rPr>
      <t>2</t>
    </r>
    <r>
      <rPr>
        <b/>
        <sz val="10"/>
        <color theme="1"/>
        <rFont val="Calibri"/>
        <family val="2"/>
        <scheme val="minor"/>
      </rPr>
      <t>), one point is to be added to rating level points shown in Table 303, Category 7 for each rating level.)</t>
    </r>
  </si>
  <si>
    <r>
      <t>601.2 Material usage.</t>
    </r>
    <r>
      <rPr>
        <sz val="10"/>
        <color theme="1"/>
        <rFont val="Calibri"/>
        <family val="2"/>
        <scheme val="minor"/>
      </rPr>
      <t xml:space="preserve"> Structural systems are designed or construction techniques are implemented that reduce and optimize material usage. </t>
    </r>
  </si>
  <si>
    <t>9 Max</t>
  </si>
  <si>
    <t>Minimum structural member or element sizes necessary for strength and stiffness in accordance with advanced framing techniques or structural design standards are selected.</t>
  </si>
  <si>
    <t>Higher-grade or higher-strength of the same materials than commonly specified for structural elements and components in the building are used and element or component sizes are reduced accordingly.</t>
  </si>
  <si>
    <t>Performance-based structural design is used to optimize lateral force-resisting systems.</t>
  </si>
  <si>
    <r>
      <t>601.3 Building dimensions and layouts.</t>
    </r>
    <r>
      <rPr>
        <sz val="10"/>
        <color theme="1"/>
        <rFont val="Calibri"/>
        <family val="2"/>
        <scheme val="minor"/>
      </rPr>
      <t xml:space="preserve"> Building dimensions and layouts are designed to reduce material cuts and waste. This practice is used for a minimum of 80 percent of the following areas:</t>
    </r>
  </si>
  <si>
    <t>floor area</t>
  </si>
  <si>
    <t>wall area</t>
  </si>
  <si>
    <t>roof area</t>
  </si>
  <si>
    <t>cladding or siding area</t>
  </si>
  <si>
    <t>penetrations or trim area</t>
  </si>
  <si>
    <r>
      <t>601.4 Framing and structural plans.</t>
    </r>
    <r>
      <rPr>
        <sz val="10"/>
        <color theme="1"/>
        <rFont val="Calibri"/>
        <family val="2"/>
        <scheme val="minor"/>
      </rPr>
      <t xml:space="preserve"> Detailed framing or structural plans, material quantity lists and on-site cut lists for framing, structural materials, and sheathing materials are provided.</t>
    </r>
  </si>
  <si>
    <r>
      <t xml:space="preserve">601.5 Prefabricated components. </t>
    </r>
    <r>
      <rPr>
        <sz val="10"/>
        <color theme="1"/>
        <rFont val="Calibri"/>
        <family val="2"/>
        <scheme val="minor"/>
      </rPr>
      <t>Precut or preassembled components, or panelized or precast assemblies are utilized for a minimum of 90 percent for the following system or building:</t>
    </r>
  </si>
  <si>
    <t>13 Max</t>
  </si>
  <si>
    <t>floor system</t>
  </si>
  <si>
    <t>wall system</t>
  </si>
  <si>
    <t>roof system</t>
  </si>
  <si>
    <t>modular construction for the entire building located above grade</t>
  </si>
  <si>
    <t>manufactured home construction for the entire building located above grade</t>
  </si>
  <si>
    <r>
      <t>601.6 Stacked stories.</t>
    </r>
    <r>
      <rPr>
        <sz val="10"/>
        <color theme="1"/>
        <rFont val="Calibri"/>
        <family val="2"/>
        <scheme val="minor"/>
      </rPr>
      <t xml:space="preserve"> Stories above grade are stacked, such as in 1½-story, 2-story, or greater structures. The area of the upper story is a minimum of 50 percent of the area of the story below based on areas with a minimum ceiling height of 7 feet (2,134 mm). </t>
    </r>
  </si>
  <si>
    <t>8 Max</t>
  </si>
  <si>
    <t>first stacked story</t>
  </si>
  <si>
    <t>for each additional stacked story</t>
  </si>
  <si>
    <r>
      <t>601.7 Prefinished materials. Prefinished building</t>
    </r>
    <r>
      <rPr>
        <sz val="10"/>
        <color theme="1"/>
        <rFont val="Calibri"/>
        <family val="2"/>
        <scheme val="minor"/>
      </rPr>
      <t xml:space="preserve"> materials or assemblies listed below have no additional site-applied finishing material are installed. </t>
    </r>
  </si>
  <si>
    <t>12 Max</t>
  </si>
  <si>
    <t>interior trim not requiring paint or stain</t>
  </si>
  <si>
    <t>exterior trim not requiring paint or stain</t>
  </si>
  <si>
    <t>window, skylight, and door assemblies not requiring paint or stain on one of the following surfaces:</t>
  </si>
  <si>
    <r>
      <t> </t>
    </r>
    <r>
      <rPr>
        <sz val="10"/>
        <color theme="1"/>
        <rFont val="Calibri"/>
        <family val="2"/>
      </rPr>
      <t>i.</t>
    </r>
    <r>
      <rPr>
        <sz val="7"/>
        <color theme="1"/>
        <rFont val="Times New Roman"/>
        <family val="1"/>
      </rPr>
      <t xml:space="preserve">  </t>
    </r>
    <r>
      <rPr>
        <sz val="10"/>
        <color theme="1"/>
        <rFont val="Calibri"/>
        <family val="2"/>
      </rPr>
      <t xml:space="preserve">exterior surfaces </t>
    </r>
  </si>
  <si>
    <t>ii. interior surfaces</t>
  </si>
  <si>
    <t>interior wall coverings or systems, floor systems, and/or ceiling systems not requiring paint or stain or other type of finishing application</t>
  </si>
  <si>
    <t>(e)</t>
  </si>
  <si>
    <t>exterior wall coverings or systems, floor system, and/or ceiling systems not requiring paint or stain or other type of finishing application</t>
  </si>
  <si>
    <t xml:space="preserve">90 percent or more of the installed building materials or assemblies listed above: </t>
  </si>
  <si>
    <t>(Points awarded for each type of material or assembly.)</t>
  </si>
  <si>
    <t>50 percent to less than 90 percent of the installed building material or assembly listed above:</t>
  </si>
  <si>
    <t>35 percent to less than 50 percent of the installed building material or assembly listed above:</t>
  </si>
  <si>
    <r>
      <t>601.8 Foundations.</t>
    </r>
    <r>
      <rPr>
        <sz val="10"/>
        <color theme="1"/>
        <rFont val="Calibri"/>
        <family val="2"/>
        <scheme val="minor"/>
      </rPr>
      <t xml:space="preserve"> A foundation system that minimizes soil disturbance, excavation quantities, and material usage, such as frost-protected shallow foundations, isolated pier and pad foundations, deep foundations, post foundations, or helical piles is selected, designed, and constructed. The foundation is used on 50 percent or more of the building footprint. </t>
    </r>
  </si>
  <si>
    <r>
      <t xml:space="preserve">601.9 Above-grade wall systems. </t>
    </r>
    <r>
      <rPr>
        <sz val="10"/>
        <color theme="1"/>
        <rFont val="Calibri"/>
        <family val="2"/>
        <scheme val="minor"/>
      </rPr>
      <t>Above-grade wall systems that, at a minimum, provide</t>
    </r>
    <r>
      <rPr>
        <b/>
        <sz val="10"/>
        <color theme="1"/>
        <rFont val="Calibri"/>
        <family val="2"/>
        <scheme val="minor"/>
      </rPr>
      <t xml:space="preserve"> </t>
    </r>
    <r>
      <rPr>
        <sz val="10"/>
        <color theme="1"/>
        <rFont val="Calibri"/>
        <family val="2"/>
        <scheme val="minor"/>
      </rPr>
      <t xml:space="preserve">the structural and thermal characteristics of </t>
    </r>
    <r>
      <rPr>
        <i/>
        <sz val="10"/>
        <color theme="1"/>
        <rFont val="Calibri"/>
        <family val="2"/>
        <scheme val="minor"/>
      </rPr>
      <t xml:space="preserve">mass walls </t>
    </r>
    <r>
      <rPr>
        <sz val="10"/>
        <color theme="1"/>
        <rFont val="Calibri"/>
        <family val="2"/>
        <scheme val="minor"/>
      </rPr>
      <t xml:space="preserve">and are used for a minimum of 75 percent of the gross exterior wall area of the building. </t>
    </r>
  </si>
  <si>
    <t>602 ENHANCED DURABILITY AND REDUCED MAINTENANCE</t>
  </si>
  <si>
    <r>
      <t>602.0 Intent.</t>
    </r>
    <r>
      <rPr>
        <sz val="10"/>
        <color theme="1"/>
        <rFont val="Calibri"/>
        <family val="2"/>
        <scheme val="minor"/>
      </rPr>
      <t xml:space="preserve"> Design and construction practices are implemented that enhance the durability of materials and reduce in-service maintenance.</t>
    </r>
  </si>
  <si>
    <t>602.1 Moisture Management – Building Envelope</t>
  </si>
  <si>
    <t>602.1.1</t>
  </si>
  <si>
    <t>602.1.1 Capillary breaks</t>
  </si>
  <si>
    <t>602.1.1.1</t>
  </si>
  <si>
    <r>
      <t xml:space="preserve">602.1.1.1 </t>
    </r>
    <r>
      <rPr>
        <sz val="10"/>
        <color theme="1"/>
        <rFont val="Calibri"/>
        <family val="2"/>
        <scheme val="minor"/>
      </rPr>
      <t>Capillary breaks A capillary break and vapor retarder are installed at concrete slabs in accordance with ICC IRC Sections R506.2.2 and R506.2.3 or ICC IBC Sections 1907 and 1805.4.1.</t>
    </r>
  </si>
  <si>
    <t xml:space="preserve">602.1.1.2 </t>
  </si>
  <si>
    <r>
      <t>602.1.1.2</t>
    </r>
    <r>
      <rPr>
        <sz val="10"/>
        <color theme="1"/>
        <rFont val="Calibri"/>
        <family val="2"/>
        <scheme val="minor"/>
      </rPr>
      <t xml:space="preserve"> A capillary break between the footing and the foundation wall is provided to prevent moisture migration into foundation wall.</t>
    </r>
  </si>
  <si>
    <t xml:space="preserve">602.1.2 </t>
  </si>
  <si>
    <r>
      <t>602.1.2 Foundation waterproofing.</t>
    </r>
    <r>
      <rPr>
        <sz val="10"/>
        <color theme="1"/>
        <rFont val="Calibri"/>
        <family val="2"/>
        <scheme val="minor"/>
      </rPr>
      <t xml:space="preserve"> Enhanced foundation waterproofing is installed using one or both of the following:</t>
    </r>
  </si>
  <si>
    <t>rubberized coating, or</t>
  </si>
  <si>
    <t>drainage mat</t>
  </si>
  <si>
    <t>602.1.3</t>
  </si>
  <si>
    <t>602.1.3 Foundation drainage</t>
  </si>
  <si>
    <t>602.1.3.1</t>
  </si>
  <si>
    <r>
      <t>602.1.3.1</t>
    </r>
    <r>
      <rPr>
        <sz val="10"/>
        <color theme="1"/>
        <rFont val="Calibri"/>
        <family val="2"/>
        <scheme val="minor"/>
      </rPr>
      <t xml:space="preserve"> Where required by the ICC IRC or IBC for habitable and usable spaces below grade, exterior drain tile is installed.</t>
    </r>
  </si>
  <si>
    <t>602.1.3.2</t>
  </si>
  <si>
    <r>
      <t>602.1.3.2</t>
    </r>
    <r>
      <rPr>
        <sz val="10"/>
        <color theme="1"/>
        <rFont val="Calibri"/>
        <family val="2"/>
        <scheme val="minor"/>
      </rPr>
      <t xml:space="preserve"> Interior and exterior foundation perimeter drains are installed and sloped to discharge to daylight, dry well, or sump pit.</t>
    </r>
  </si>
  <si>
    <t>602.1.4</t>
  </si>
  <si>
    <r>
      <t>602.1.4</t>
    </r>
    <r>
      <rPr>
        <sz val="10"/>
        <color theme="1"/>
        <rFont val="Calibri"/>
        <family val="2"/>
        <scheme val="minor"/>
      </rPr>
      <t xml:space="preserve"> </t>
    </r>
    <r>
      <rPr>
        <b/>
        <sz val="10"/>
        <color theme="1"/>
        <rFont val="Calibri"/>
        <family val="2"/>
        <scheme val="minor"/>
      </rPr>
      <t>Crawlspaces</t>
    </r>
  </si>
  <si>
    <t>602.1.4.1</t>
  </si>
  <si>
    <r>
      <t>602.1.4.1</t>
    </r>
    <r>
      <rPr>
        <sz val="10"/>
        <color theme="1"/>
        <rFont val="Calibri"/>
        <family val="2"/>
        <scheme val="minor"/>
      </rPr>
      <t xml:space="preserve"> Vapor retarder in unconditioned vented crawlspace is in accordance with the following, as applicable. Joints of vapor retarder overlap a minimum of 6 inches (152 mm) and are taped.</t>
    </r>
  </si>
  <si>
    <t>Floors. Minimum 6 mil vapor retarder installed on the crawlspace floor and extended at least 6 inches up the wall and is attached and sealed to the wall.</t>
  </si>
  <si>
    <t>Walls. Dampproof walls are provided below finished grade.</t>
  </si>
  <si>
    <t>602.1.4.2</t>
  </si>
  <si>
    <r>
      <t>602.1.4.2</t>
    </r>
    <r>
      <rPr>
        <sz val="10"/>
        <color theme="1"/>
        <rFont val="Calibri"/>
        <family val="2"/>
        <scheme val="minor"/>
      </rPr>
      <t xml:space="preserve"> Crawlspace that is built as a conditioned area is sealed to prevent outside air infiltration and provided with conditioned air at a rate not less than 0.02 cfm (.009 L/s) per square foot of horizontal area and one of the following is implemented:</t>
    </r>
  </si>
  <si>
    <t>602.1.5</t>
  </si>
  <si>
    <r>
      <t>602.1.5 Termite barrier.</t>
    </r>
    <r>
      <rPr>
        <sz val="10"/>
        <color theme="1"/>
        <rFont val="Calibri"/>
        <family val="2"/>
        <scheme val="minor"/>
      </rPr>
      <t xml:space="preserve"> Continuous physical foundation termite barrier provided:</t>
    </r>
  </si>
  <si>
    <t>In geographic areas that have moderate to heavy infestation potential in accordance with figure 6(3), a no or low toxicity treatment is also installed.</t>
  </si>
  <si>
    <t>In geographic areas that have a very heavy infestation potential in accordance with figure 6(3), in addition a low toxicity bait and kill termite treatment plan is selected and implemented.</t>
  </si>
  <si>
    <t>602.1.6</t>
  </si>
  <si>
    <r>
      <t>602.1.6 Termite-resistant materials.</t>
    </r>
    <r>
      <rPr>
        <sz val="10"/>
        <color theme="1"/>
        <rFont val="Calibri"/>
        <family val="2"/>
        <scheme val="minor"/>
      </rPr>
      <t xml:space="preserve"> In areas of termite infestation probability as defined by Figure 6(3), termite-resistant materials are used as follows: </t>
    </r>
  </si>
  <si>
    <t>In areas of slight to moderate termite infestation probability: for the foundation, all structural walls, floors, concealed roof spaces not accessible for inspection, exterior decks, and exterior claddings within the first 2 feet (610 mm) above the top of the foundation.</t>
  </si>
  <si>
    <t>In areas of moderate to heavy termite infestation probability: for the foundation, all structural walls, floors, concealed roof spaces not accessible for inspection, exterior decks, and exterior claddings within the first 3 feet (914 mm) above the top of the foundation.</t>
  </si>
  <si>
    <t>In areas of very heavy termite infestation probability: for the foundation, all structural walls, floors, concealed roof spaces not accessible for inspection, exterior decks, and exterior claddings.</t>
  </si>
  <si>
    <t>602.1.7</t>
  </si>
  <si>
    <t>602.1.7 Moisture control measures</t>
  </si>
  <si>
    <t>602.1.7.1</t>
  </si>
  <si>
    <r>
      <t xml:space="preserve">602.1.7.1 </t>
    </r>
    <r>
      <rPr>
        <sz val="10"/>
        <color theme="1"/>
        <rFont val="Calibri"/>
        <family val="2"/>
        <scheme val="minor"/>
      </rPr>
      <t>Moisture control measures are in accordance with the following:</t>
    </r>
  </si>
  <si>
    <t>Building materials with visible mold are not installed or are cleaned or encapsulated prior to concealment and closing.</t>
  </si>
  <si>
    <t>Insulation in cavities is dry in accordance with manufacturer’s instructions when enclosed (e.g., with drywall).</t>
  </si>
  <si>
    <t xml:space="preserve">The moisture content of lumber is sampled to ensure it does not exceed 19 percent prior to the surface and/or cavity enclosure. </t>
  </si>
  <si>
    <t>602.1.7.2</t>
  </si>
  <si>
    <t xml:space="preserve">602.1.7.2 </t>
  </si>
  <si>
    <r>
      <t xml:space="preserve">602.1.7.2 </t>
    </r>
    <r>
      <rPr>
        <sz val="10"/>
        <color theme="1"/>
        <rFont val="Calibri"/>
        <family val="2"/>
        <scheme val="minor"/>
      </rPr>
      <t xml:space="preserve">Moisture content of subfloor, substrate, or concrete slabs is in accordance with the appropriate industry standard for the finish flooring to be applied. </t>
    </r>
  </si>
  <si>
    <t>602.1.7.3</t>
  </si>
  <si>
    <t xml:space="preserve">602.1.7.3 </t>
  </si>
  <si>
    <r>
      <t xml:space="preserve">602.1.7.3 </t>
    </r>
    <r>
      <rPr>
        <sz val="10"/>
        <color theme="1"/>
        <rFont val="Calibri"/>
        <family val="2"/>
        <scheme val="minor"/>
      </rPr>
      <t>Building envelope assemblies are designed for moisture control based on documented hygrothermal simulation or field study analysis. Hygrothermal analysis is required to incorporate representative climatic conditions, interior conditions and include heating and cooling seasonal variation.</t>
    </r>
  </si>
  <si>
    <t>602.1.8</t>
  </si>
  <si>
    <r>
      <t>602.1.8 Water-resistive barrier.</t>
    </r>
    <r>
      <rPr>
        <sz val="10"/>
        <color theme="1"/>
        <rFont val="Calibri"/>
        <family val="2"/>
        <scheme val="minor"/>
      </rPr>
      <t xml:space="preserve"> Where required by the ICC, IRC, or IBC, a water-resistive barrier and/or drainage plane system is installed behind exterior veneer and/or siding. </t>
    </r>
  </si>
  <si>
    <t>602.1.9</t>
  </si>
  <si>
    <r>
      <t>602.1.9 Flashing.</t>
    </r>
    <r>
      <rPr>
        <sz val="10"/>
        <color theme="1"/>
        <rFont val="Calibri"/>
        <family val="2"/>
        <scheme val="minor"/>
      </rPr>
      <t xml:space="preserve"> Flashing is provided as follows to minimize water entry into wall and roof assemblies and to direct water to exterior surfaces or exterior water-resistive barriers for drainage. Flashing details are provided in the construction documents and are in accordance with the fenestration manufacturer’s instructions, the flashing manufacturer’s instructions, or as detailed by a registered design professional. </t>
    </r>
  </si>
  <si>
    <t>Flashing is installed at all of the following locations, as applicable:</t>
  </si>
  <si>
    <t>around exterior fenestrations, skylights, and doors</t>
  </si>
  <si>
    <t>at roof valleys</t>
  </si>
  <si>
    <t xml:space="preserve">at all building-to-deck, -balcony, -porch, and -stair intersections </t>
  </si>
  <si>
    <t>at roof-to-wall intersections, at roof-to-chimney intersections, at wall-to-chimney intersections, and at parapets</t>
  </si>
  <si>
    <t>at ends of and under masonry, wood, or metal copings and sills</t>
  </si>
  <si>
    <t>(f)</t>
  </si>
  <si>
    <t>above projecting wood trim</t>
  </si>
  <si>
    <t>(g)</t>
  </si>
  <si>
    <t>at built-in roof gutters, and</t>
  </si>
  <si>
    <t>(h)</t>
  </si>
  <si>
    <t>drip edge is installed at eave and rake edges.</t>
  </si>
  <si>
    <t>All window and door head and jamb flashing is either self-adhered flashing complying with AAMA 711-13 or liquid applied flashing complying with AAMA 714-15 and installed in accordance with fenestration or flashing manufacturer’s installation instructions.</t>
  </si>
  <si>
    <t>Pan flashing is installed at sills of all exterior windows and doors.</t>
  </si>
  <si>
    <r>
      <t xml:space="preserve">Seamless, preformed kickout flashing, or prefabricated metal with soldered seams is provided at all roof-to-wall intersections. </t>
    </r>
    <r>
      <rPr>
        <sz val="10"/>
        <color rgb="FF000000"/>
        <rFont val="Calibri"/>
        <family val="2"/>
        <scheme val="minor"/>
      </rPr>
      <t>The type and thickness of the material used for roof flashing including but not limited kickout and step flashing is commensurate with the anticipated service life of the roofing material.</t>
    </r>
  </si>
  <si>
    <t>A rainscreen wall design as follows is used for exterior wall assemblies</t>
  </si>
  <si>
    <t>a system designed with minimum 1/4-inch air space exterior to the water-resistive barrier, vented to the exterior at top and bottom of the wall, and integrated with flashing details. OR</t>
  </si>
  <si>
    <t>a cladding material or a water-resistive barrier with enhanced drainage, meeting 75 percent drainage efficiency determined in accordance with ASTM E2273.</t>
  </si>
  <si>
    <t>Through-wall flashing is installed at transitions between wall cladding materials or wall construction types.</t>
  </si>
  <si>
    <t>Flashing is installed at expansion joints in stucco walls.</t>
  </si>
  <si>
    <t>602.1.10</t>
  </si>
  <si>
    <t xml:space="preserve">602.1.10 </t>
  </si>
  <si>
    <r>
      <t xml:space="preserve">602.1.10 Exterior doors. </t>
    </r>
    <r>
      <rPr>
        <sz val="10"/>
        <color theme="1"/>
        <rFont val="Calibri"/>
        <family val="2"/>
        <scheme val="minor"/>
      </rPr>
      <t>Entries at exterior door assemblies, inclusive of side lights (if any), are covered by one of the following methods to protect the building from the effects of precipitation and solar radiation. Either a storm door or a projection factor of 0.375 minimum is provided. Eastern- and western-facing entries in Climate Zones 1, 2, and 3, as determined in accordance with Figure 6(1) or Appendix C, have either a storm door or a projection factor of 1.0 minimum, unless protected from direct solar radiation by other means (e.g., screen wall, vegetation).</t>
    </r>
  </si>
  <si>
    <t>installing a porch roof or awning</t>
  </si>
  <si>
    <t>extending the roof overhang</t>
  </si>
  <si>
    <t>recessing the exterior door</t>
  </si>
  <si>
    <t>Installing a storm door</t>
  </si>
  <si>
    <t>602.1.11</t>
  </si>
  <si>
    <t xml:space="preserve">602.1.11 </t>
  </si>
  <si>
    <r>
      <t>602.1.11 Tile backing materials.</t>
    </r>
    <r>
      <rPr>
        <sz val="10"/>
        <color theme="1"/>
        <rFont val="Calibri"/>
        <family val="2"/>
        <scheme val="minor"/>
      </rPr>
      <t xml:space="preserve"> Tile backing materials installed under tiled surfaces in wet areas are in accordance with ASTM C1178, C1278, C1288, or C1325.</t>
    </r>
  </si>
  <si>
    <t>602.1.12</t>
  </si>
  <si>
    <r>
      <t xml:space="preserve">602.1.12 Roof overhangs. </t>
    </r>
    <r>
      <rPr>
        <sz val="10"/>
        <color theme="1"/>
        <rFont val="Calibri"/>
        <family val="2"/>
        <scheme val="minor"/>
      </rPr>
      <t>Roof overhangs, in accordance with Table 602.1.12, are provided over a minimum of 90 percent of exterior walls to protect the building envelope.</t>
    </r>
  </si>
  <si>
    <t>602.1.13</t>
  </si>
  <si>
    <t xml:space="preserve">602.1.13 </t>
  </si>
  <si>
    <r>
      <t xml:space="preserve">602.1.13 Ice barrier. </t>
    </r>
    <r>
      <rPr>
        <sz val="10"/>
        <color theme="1"/>
        <rFont val="Calibri"/>
        <family val="2"/>
        <scheme val="minor"/>
      </rPr>
      <t>In areas where there has been a history of ice forming along the eaves causing a backup of water, an ice barrier is installed in accordance with the ICC IRC or IBC at roof eaves of pitched roofs and extends a minimum of 24 inches (610 mm) inside the exterior wall line of the building.</t>
    </r>
  </si>
  <si>
    <t>602.1.14</t>
  </si>
  <si>
    <r>
      <t>602.1.14 Architectural features</t>
    </r>
    <r>
      <rPr>
        <sz val="10"/>
        <color theme="1"/>
        <rFont val="Calibri"/>
        <family val="2"/>
        <scheme val="minor"/>
      </rPr>
      <t>. Architectural features that increase the potential for water intrusion are avoided:</t>
    </r>
  </si>
  <si>
    <t>All horizontal ledgers are sloped away to provide gravity drainage as appropriate for the application.</t>
  </si>
  <si>
    <t>No roof configurations that create horizontal valleys in roof design.</t>
  </si>
  <si>
    <t>No recessed windows and architectural features that trap water on horizontal surfaces.</t>
  </si>
  <si>
    <r>
      <t>602.2 Roof surfaces.</t>
    </r>
    <r>
      <rPr>
        <sz val="10"/>
        <color theme="1"/>
        <rFont val="Calibri"/>
        <family val="2"/>
        <scheme val="minor"/>
      </rPr>
      <t xml:space="preserve"> A minimum of 90 percent of roof surfaces, not used for roof penetrations and associated equipment, on-site renewable energy systems such as photovoltaics or solar thermal energy collectors, or rooftop decks, amenities and walkways, are constructed of one or more of the following:</t>
    </r>
  </si>
  <si>
    <r>
      <t>products that are in accordance with the ENERGY STAR</t>
    </r>
    <r>
      <rPr>
        <b/>
        <sz val="10"/>
        <color theme="1"/>
        <rFont val="Calibri"/>
        <family val="2"/>
        <scheme val="minor"/>
      </rPr>
      <t>®</t>
    </r>
    <r>
      <rPr>
        <sz val="10"/>
        <color theme="1"/>
        <rFont val="Calibri"/>
        <family val="2"/>
        <scheme val="minor"/>
      </rPr>
      <t xml:space="preserve"> cool roof certification or equivalent</t>
    </r>
  </si>
  <si>
    <t>a vegetated roof system</t>
  </si>
  <si>
    <t>Minimum initial SRI of 78 for low-sloped roof (a slope less than 2:12) and a minimum initial SRI of 29 for a steep-sloped roof (a slope equal to or greater than 2:12).  The SRI is calculated in accordance with ASTM E1980.  Roof products are certified and labeled.</t>
  </si>
  <si>
    <r>
      <t>602.3 Roof water discharge.</t>
    </r>
    <r>
      <rPr>
        <sz val="10"/>
        <color theme="1"/>
        <rFont val="Calibri"/>
        <family val="2"/>
        <scheme val="minor"/>
      </rPr>
      <t xml:space="preserve"> A gutter and downspout system or splash blocks and effective grading are provided to carry water a minimum of 5 feet (1524 mm) away from perimeter foundation walls. </t>
    </r>
  </si>
  <si>
    <r>
      <t>602.4 Finished grade.</t>
    </r>
    <r>
      <rPr>
        <sz val="10"/>
        <color theme="1"/>
        <rFont val="Calibri"/>
        <family val="2"/>
        <scheme val="minor"/>
      </rPr>
      <t xml:space="preserve"> </t>
    </r>
  </si>
  <si>
    <t>602.4.1</t>
  </si>
  <si>
    <r>
      <t>602.4.1</t>
    </r>
    <r>
      <rPr>
        <sz val="10"/>
        <color theme="1"/>
        <rFont val="Calibri"/>
        <family val="2"/>
        <scheme val="minor"/>
      </rPr>
      <t xml:space="preserve"> Finished grade at all sides of a building is sloped to provide a minimum of 6 inches (150 mm) of fall within 10 feet (3048 mm) of the edge of the building. Where lot lines, walls, slopes, or other physical barriers prohibit 6 inches (152 mm) of fall within 10 feet (3048 mm), the final grade is sloped away from the edge of the building at a minimum slope of 2 percent.</t>
    </r>
  </si>
  <si>
    <t>602.4.2</t>
  </si>
  <si>
    <r>
      <t>602.4.2</t>
    </r>
    <r>
      <rPr>
        <sz val="10"/>
        <color theme="1"/>
        <rFont val="Calibri"/>
        <family val="2"/>
        <scheme val="minor"/>
      </rPr>
      <t xml:space="preserve"> The final grade is sloped away from the edge of the building at a minimum slope of 5 percent.</t>
    </r>
  </si>
  <si>
    <t>602.4.3</t>
  </si>
  <si>
    <r>
      <t>602.4.3</t>
    </r>
    <r>
      <rPr>
        <sz val="10"/>
        <color theme="1"/>
        <rFont val="Calibri"/>
        <family val="2"/>
        <scheme val="minor"/>
      </rPr>
      <t xml:space="preserve"> Water is directed to drains or swales to ensure drainage away from the structure.</t>
    </r>
  </si>
  <si>
    <t xml:space="preserve">603 REUSED OR SALVAGED MATERIALS </t>
  </si>
  <si>
    <r>
      <t>603.0 Intent.</t>
    </r>
    <r>
      <rPr>
        <sz val="10"/>
        <color theme="1"/>
        <rFont val="Calibri"/>
        <family val="2"/>
        <scheme val="minor"/>
      </rPr>
      <t xml:space="preserve"> Practices that reuse or modify existing structures, salvage materials for other uses, or use salvaged materials in the building’s construction are implemented.</t>
    </r>
    <r>
      <rPr>
        <b/>
        <sz val="10"/>
        <color theme="1"/>
        <rFont val="Calibri"/>
        <family val="2"/>
        <scheme val="minor"/>
      </rPr>
      <t xml:space="preserve"> </t>
    </r>
  </si>
  <si>
    <r>
      <t xml:space="preserve">603.1 Reuse of existing building. </t>
    </r>
    <r>
      <rPr>
        <sz val="10"/>
        <color theme="1"/>
        <rFont val="Calibri"/>
        <family val="2"/>
        <scheme val="minor"/>
      </rPr>
      <t>Major elements or components of existing buildings and structures are reused, modified, or deconstructed for later use.</t>
    </r>
  </si>
  <si>
    <r>
      <t>(Points awarded for every 200 square feet (18.5 m</t>
    </r>
    <r>
      <rPr>
        <b/>
        <vertAlign val="superscript"/>
        <sz val="10"/>
        <color theme="1"/>
        <rFont val="Calibri"/>
        <family val="2"/>
        <scheme val="minor"/>
      </rPr>
      <t>2</t>
    </r>
    <r>
      <rPr>
        <b/>
        <sz val="10"/>
        <color theme="1"/>
        <rFont val="Calibri"/>
        <family val="2"/>
        <scheme val="minor"/>
      </rPr>
      <t>) of floor area.)</t>
    </r>
  </si>
  <si>
    <r>
      <t>603.2 Salvaged materials.</t>
    </r>
    <r>
      <rPr>
        <sz val="10"/>
        <color theme="1"/>
        <rFont val="Calibri"/>
        <family val="2"/>
        <scheme val="minor"/>
      </rPr>
      <t xml:space="preserve"> Reclaimed and/or salvaged materials and components are used. The total material value and labor cost of salvaged materials is equal to or exceeds 1 percent of the total construction cost. </t>
    </r>
  </si>
  <si>
    <r>
      <t>603.3 Scrap materials.</t>
    </r>
    <r>
      <rPr>
        <sz val="10"/>
        <color theme="1"/>
        <rFont val="Calibri"/>
        <family val="2"/>
        <scheme val="minor"/>
      </rPr>
      <t xml:space="preserve"> Sorting and reuse of scrap building material is facilitated (e.g., a central storage area or dedicated bins are provided). </t>
    </r>
  </si>
  <si>
    <t>604 RECYCLED-CONTENT BUILDING MATERIALS</t>
  </si>
  <si>
    <r>
      <t>604.1 Recycled content.</t>
    </r>
    <r>
      <rPr>
        <sz val="10"/>
        <color theme="1"/>
        <rFont val="Calibri"/>
        <family val="2"/>
        <scheme val="minor"/>
      </rPr>
      <t xml:space="preserve"> Building materials with recycled content are used for two minor and/or two major components of the building.</t>
    </r>
  </si>
  <si>
    <t xml:space="preserve">605 RECYCLED CONSTRUCTION WASTE </t>
  </si>
  <si>
    <r>
      <t>605.0 Intent.</t>
    </r>
    <r>
      <rPr>
        <sz val="10"/>
        <color theme="1"/>
        <rFont val="Calibri"/>
        <family val="2"/>
        <scheme val="minor"/>
      </rPr>
      <t xml:space="preserve"> Waste generated during construction is recycled. All waste classified as hazardous is properly handled and disposed of. </t>
    </r>
  </si>
  <si>
    <t>(Points not awarded for hazardous waste removal.)</t>
  </si>
  <si>
    <r>
      <t>605.1 Construction waste management plan.</t>
    </r>
    <r>
      <rPr>
        <sz val="10"/>
        <color theme="1"/>
        <rFont val="Calibri"/>
        <family val="2"/>
        <scheme val="minor"/>
      </rPr>
      <t xml:space="preserve"> A construction waste management plan is developed, posted at the jobsite, and implemented diverting, through reuse, salvage, recycling, or manufacturer reclamation, a minimum of 50 percent (by weight) of nonhazardous construction and demolition waste from disposal. For this practice, land clearing debris is not considered construction waste. Materials used as alternative daily cover are considered construction waste and do not count toward recycling or salvaging.</t>
    </r>
  </si>
  <si>
    <t>For remodeling projects or demolition of an existing facility, the waste management plan includes the recycling of 95 percent of electronic waste components (such as printed circuit boards from computers, building automation systems, HVAC, fire and security control boards) by an EPA certified E-Waste recycling facility.</t>
  </si>
  <si>
    <t>Exceptions:</t>
  </si>
  <si>
    <t>Waste materials generated from land clearing, soil and sub-grade excavation and all manner of vegetative debris shall not be in the calculations.</t>
  </si>
  <si>
    <t xml:space="preserve">A recycling facility (traditional or E-Waste) offering material receipt documentation is not available within 50 miles of the jobsite.   </t>
  </si>
  <si>
    <r>
      <t>605.2 On-site recycling.</t>
    </r>
    <r>
      <rPr>
        <sz val="10"/>
        <color theme="1"/>
        <rFont val="Calibri"/>
        <family val="2"/>
        <scheme val="minor"/>
      </rPr>
      <t xml:space="preserve"> On-site recycling measures following applicable regulations and codes are implemented, such as the following:</t>
    </r>
  </si>
  <si>
    <t>Materials are ground or otherwise safely applied on-site as soil amendment or fill. A minimum of 50 percent (by weight) of construction and land-clearing waste is diverted from landfill.</t>
  </si>
  <si>
    <t>Alternative compliance methods approved by the Adopting Entity.</t>
  </si>
  <si>
    <t>Compatible untreated biomass material (lumber, posts, beams, etc.) are set aside for combustion if a solid fuel-burning appliance per Section 901.2.1(2) will be available for on-site renewable energy.</t>
  </si>
  <si>
    <r>
      <t>605.3 Recycled construction materials.</t>
    </r>
    <r>
      <rPr>
        <sz val="10"/>
        <color theme="1"/>
        <rFont val="Calibri"/>
        <family val="2"/>
        <scheme val="minor"/>
      </rPr>
      <t xml:space="preserve"> Construction materials (e.g., wood, cardboard, metals, drywall, plastic, asphalt roofing shingles, or concrete) are recycled offsite.</t>
    </r>
  </si>
  <si>
    <t>6 Max</t>
  </si>
  <si>
    <t>a minimum of two types of materials are recycled</t>
  </si>
  <si>
    <t>for each additional recycled material type</t>
  </si>
  <si>
    <t>606 RENEWABLE MATERIALS</t>
  </si>
  <si>
    <r>
      <t>606.0 Intent.</t>
    </r>
    <r>
      <rPr>
        <sz val="10"/>
        <color theme="1"/>
        <rFont val="Calibri"/>
        <family val="2"/>
        <scheme val="minor"/>
      </rPr>
      <t xml:space="preserve"> Building materials derived from renewable resources are used.</t>
    </r>
  </si>
  <si>
    <r>
      <t>606.1 Biobased products.</t>
    </r>
    <r>
      <rPr>
        <sz val="10"/>
        <color theme="1"/>
        <rFont val="Calibri"/>
        <family val="2"/>
        <scheme val="minor"/>
      </rPr>
      <t xml:space="preserve"> The following biobased products are used:</t>
    </r>
  </si>
  <si>
    <t>certified solid wood in accordance with Section 606.2</t>
  </si>
  <si>
    <t>engineered wood</t>
  </si>
  <si>
    <t>bamboo</t>
  </si>
  <si>
    <t>cotton</t>
  </si>
  <si>
    <t>cork</t>
  </si>
  <si>
    <t>straw</t>
  </si>
  <si>
    <t>natural fiber products made from crops (soy-based, corn-based)</t>
  </si>
  <si>
    <t>other biobased materials with a minimum of 50 percent biobased content (by weight or volume)</t>
  </si>
  <si>
    <t xml:space="preserve">Two types of biobased materials are used, each for more than 0.5 percent of the project’s projected building material cost. </t>
  </si>
  <si>
    <t xml:space="preserve">Two types of biobased materials are used, each for more than 1 percent of the project’s projected building material cost. </t>
  </si>
  <si>
    <t>For each additional biobased material used for more than 0.5 percent of the project’s projected building material cost.</t>
  </si>
  <si>
    <r>
      <t>606.2 Wood-based products.</t>
    </r>
    <r>
      <rPr>
        <sz val="10"/>
        <color theme="1"/>
        <rFont val="Calibri"/>
        <family val="2"/>
        <scheme val="minor"/>
      </rPr>
      <t xml:space="preserve"> Wood or wood-based products are certified to the requirements of one of the following recognized product programs:</t>
    </r>
    <r>
      <rPr>
        <u/>
        <sz val="10"/>
        <color theme="1"/>
        <rFont val="Calibri"/>
        <family val="2"/>
        <scheme val="minor"/>
      </rPr>
      <t xml:space="preserve"> </t>
    </r>
  </si>
  <si>
    <r>
      <t>American Forest Foundation’s</t>
    </r>
    <r>
      <rPr>
        <i/>
        <sz val="10"/>
        <color theme="1"/>
        <rFont val="Calibri"/>
        <family val="2"/>
        <scheme val="minor"/>
      </rPr>
      <t xml:space="preserve"> American Tree Farm System® </t>
    </r>
    <r>
      <rPr>
        <sz val="10"/>
        <color theme="1"/>
        <rFont val="Calibri"/>
        <family val="2"/>
        <scheme val="minor"/>
      </rPr>
      <t>(ATFS)</t>
    </r>
  </si>
  <si>
    <r>
      <t xml:space="preserve">Canadian Standards Association’s </t>
    </r>
    <r>
      <rPr>
        <i/>
        <sz val="10"/>
        <color theme="1"/>
        <rFont val="Calibri"/>
        <family val="2"/>
        <scheme val="minor"/>
      </rPr>
      <t>Sustainable Forest Management System Standards</t>
    </r>
    <r>
      <rPr>
        <sz val="10"/>
        <color theme="1"/>
        <rFont val="Calibri"/>
        <family val="2"/>
        <scheme val="minor"/>
      </rPr>
      <t xml:space="preserve"> (CSA Z809)</t>
    </r>
  </si>
  <si>
    <r>
      <t>Forest Stewardship Council</t>
    </r>
    <r>
      <rPr>
        <sz val="10"/>
        <color theme="1"/>
        <rFont val="Calibri"/>
        <family val="2"/>
        <scheme val="minor"/>
      </rPr>
      <t xml:space="preserve"> (FSC)</t>
    </r>
  </si>
  <si>
    <r>
      <t>Program for Endorsement of Forest Certification Systems</t>
    </r>
    <r>
      <rPr>
        <sz val="10"/>
        <color theme="1"/>
        <rFont val="Calibri"/>
        <family val="2"/>
        <scheme val="minor"/>
      </rPr>
      <t xml:space="preserve"> (PEFC)</t>
    </r>
  </si>
  <si>
    <r>
      <t>Sustainable Forestry Initiative</t>
    </r>
    <r>
      <rPr>
        <i/>
        <sz val="10"/>
        <color theme="1"/>
        <rFont val="Symbol"/>
        <family val="1"/>
        <charset val="2"/>
      </rPr>
      <t>â</t>
    </r>
    <r>
      <rPr>
        <i/>
        <sz val="10"/>
        <color theme="1"/>
        <rFont val="Calibri"/>
        <family val="2"/>
        <scheme val="minor"/>
      </rPr>
      <t xml:space="preserve"> Program (SFI)</t>
    </r>
  </si>
  <si>
    <t>National Wood Flooring Association’s Responsible Procurement Program (RPP)</t>
  </si>
  <si>
    <t>other product programs mutually recognized by PEFC</t>
  </si>
  <si>
    <t>A minimum of two certified wood-based products are used for minor components of the building.</t>
  </si>
  <si>
    <t>A minimum of two certified wood-based products are used in major components of the building.</t>
  </si>
  <si>
    <r>
      <t>606.3 Manufacturing energy.</t>
    </r>
    <r>
      <rPr>
        <sz val="10"/>
        <color theme="1"/>
        <rFont val="Calibri"/>
        <family val="2"/>
        <scheme val="minor"/>
      </rPr>
      <t xml:space="preserve"> Materials manufactured using a minimum of 33 percent of the primary manufacturing process energy derived from (1) renewable sources, (2) combustible waste sources, or (3) renewable energy credits (RECs) are used for major components of the building.</t>
    </r>
  </si>
  <si>
    <t>(2 points awarded per material.)</t>
  </si>
  <si>
    <t>607 RECYCLING AND WASTE REDUCTION</t>
  </si>
  <si>
    <r>
      <t xml:space="preserve">607.1 Recycling and composting. </t>
    </r>
    <r>
      <rPr>
        <sz val="10"/>
        <color theme="1"/>
        <rFont val="Calibri"/>
        <family val="2"/>
        <scheme val="minor"/>
      </rPr>
      <t>Recycling and composting by the occupant are facilitated by one or more of the following methods:</t>
    </r>
  </si>
  <si>
    <t>A built-in collection space in each kitchen and an aggregation/pick-up space in a garage, covered outdoor space, or other area for recycling containers is provided.</t>
  </si>
  <si>
    <t>Compost facility is provided on the site.</t>
  </si>
  <si>
    <r>
      <t>607.2</t>
    </r>
    <r>
      <rPr>
        <sz val="10"/>
        <color theme="1"/>
        <rFont val="Calibri"/>
        <family val="2"/>
        <scheme val="minor"/>
      </rPr>
      <t xml:space="preserve"> </t>
    </r>
    <r>
      <rPr>
        <b/>
        <sz val="10"/>
        <color theme="1"/>
        <rFont val="Calibri"/>
        <family val="2"/>
        <scheme val="minor"/>
      </rPr>
      <t>Food waste disposers.</t>
    </r>
    <r>
      <rPr>
        <sz val="10"/>
        <color theme="1"/>
        <rFont val="Calibri"/>
        <family val="2"/>
        <scheme val="minor"/>
      </rPr>
      <t xml:space="preserve"> A minimum of one food waste disposer is installed at the primary kitchen sink. </t>
    </r>
  </si>
  <si>
    <t>608 RESOURCE-EFFICIENT MATERIALS</t>
  </si>
  <si>
    <r>
      <t>608.1</t>
    </r>
    <r>
      <rPr>
        <sz val="10"/>
        <color theme="1"/>
        <rFont val="Calibri"/>
        <family val="2"/>
        <scheme val="minor"/>
      </rPr>
      <t xml:space="preserve"> </t>
    </r>
    <r>
      <rPr>
        <b/>
        <sz val="10"/>
        <color theme="1"/>
        <rFont val="Calibri"/>
        <family val="2"/>
        <scheme val="minor"/>
      </rPr>
      <t xml:space="preserve">Resource-efficient materials. </t>
    </r>
    <r>
      <rPr>
        <sz val="10"/>
        <color theme="1"/>
        <rFont val="Calibri"/>
        <family val="2"/>
        <scheme val="minor"/>
      </rPr>
      <t>Products containing fewer materials are used to achieve the same end-use requirements as conventional products, including but not limited to:</t>
    </r>
  </si>
  <si>
    <t>lighter, thinner brick with bed depth less than 3 inches and/or brick with coring of more that 25 percent</t>
  </si>
  <si>
    <t>engineered wood or engineered steel products</t>
  </si>
  <si>
    <t>roof or floor trusses</t>
  </si>
  <si>
    <t>609 REGIONAL MATERIALS</t>
  </si>
  <si>
    <r>
      <t>609.1</t>
    </r>
    <r>
      <rPr>
        <sz val="10"/>
        <color theme="1"/>
        <rFont val="Calibri"/>
        <family val="2"/>
        <scheme val="minor"/>
      </rPr>
      <t xml:space="preserve"> </t>
    </r>
    <r>
      <rPr>
        <b/>
        <sz val="10"/>
        <color theme="1"/>
        <rFont val="Calibri"/>
        <family val="2"/>
        <scheme val="minor"/>
      </rPr>
      <t xml:space="preserve">Regional materials. </t>
    </r>
    <r>
      <rPr>
        <sz val="10"/>
        <color theme="1"/>
        <rFont val="Calibri"/>
        <family val="2"/>
        <scheme val="minor"/>
      </rPr>
      <t>Regional materials are used for major and/or minor components of the building.</t>
    </r>
  </si>
  <si>
    <t>10 Max</t>
  </si>
  <si>
    <t>610 LIFE CYCLE ASSESSMENT</t>
  </si>
  <si>
    <r>
      <t xml:space="preserve">610.1 Life cycle assessment. </t>
    </r>
    <r>
      <rPr>
        <sz val="10"/>
        <color theme="1"/>
        <rFont val="Calibri"/>
        <family val="2"/>
        <scheme val="minor"/>
      </rPr>
      <t>A life cycle assessment (LCA) tool is used to select environmentally preferable products, assemblies, or, entire building designs. Points are awarded in accordance with Section 610.1.1 or 610.1.2. Only one method of analysis or tool may be utilized. The reference service life for the building is 60 years for any life cycle analysis tool. Results of the LCA are reported in the manual required in Section 1001.1 or 1002.1(1) of this Standard in terms of the environmental impacts listed in this practice and it is stated if operating energy was included in the LCA.</t>
    </r>
  </si>
  <si>
    <t>610.1.1</t>
  </si>
  <si>
    <r>
      <t xml:space="preserve">610.1.1 Whole-building life cycle assessment. </t>
    </r>
    <r>
      <rPr>
        <sz val="10"/>
        <color theme="1"/>
        <rFont val="Calibri"/>
        <family val="2"/>
        <scheme val="minor"/>
      </rPr>
      <t>A whole-building LCA is performed in conformance with ASTM E2921 using ISO14044 compliant life cycle assessment.</t>
    </r>
  </si>
  <si>
    <t xml:space="preserve">Execute LCA at the whole building level through a comparative analysis between the final and reference building designs as set forth under Standard Practice, ASTM E2921.  The assessment criteria includes the following environmental impact categories:                                                      </t>
  </si>
  <si>
    <t>Primary energy use</t>
  </si>
  <si>
    <t>Global warming potential</t>
  </si>
  <si>
    <t>Acidification potential</t>
  </si>
  <si>
    <t>Eutrophication potential</t>
  </si>
  <si>
    <t>Ozone depletion potential</t>
  </si>
  <si>
    <t>Smog potential</t>
  </si>
  <si>
    <t>Execute LCA on regulated loads throughout the building operations life cycle stage.  Conduct simulated energy performance analyses in accordance with Section 702.2.1 ICC IECC analysis (IECC Section 405) in establishing the comparative performance of final versus reference building designs.  Primary energy use savings and global warming potential avoidance from simulation analyses results are determined using energy supplier, utility, or EPA electricity generation and other fuels energy conversion factors and electricity generation and other fuels emission rates for the locality or Sub-Region in which the building is located</t>
  </si>
  <si>
    <t>Execute full LCA, including use-phase, through calculation of operating energy impacts (c) – (f) using local or regional emissions factors from energy supplier, utility, or EPA.</t>
  </si>
  <si>
    <t>610.1.2</t>
  </si>
  <si>
    <r>
      <t xml:space="preserve">610.1.2 Life cycle assessment for a product or assembly. </t>
    </r>
    <r>
      <rPr>
        <sz val="10"/>
        <color theme="1"/>
        <rFont val="Calibri"/>
        <family val="2"/>
        <scheme val="minor"/>
      </rPr>
      <t>An environmentally preferable product or assembly is selected for an application based upon the use of an LCA tool that incorporates data methods compliant with ISO 14044 or other recognized standards that compare the environmental impact of products or assemblies.</t>
    </r>
  </si>
  <si>
    <t xml:space="preserve">10 Max </t>
  </si>
  <si>
    <t>610.1.2.1</t>
  </si>
  <si>
    <r>
      <t xml:space="preserve">610.1.2.1 Product LCA. </t>
    </r>
    <r>
      <rPr>
        <sz val="10"/>
        <color theme="1"/>
        <rFont val="Calibri"/>
        <family val="2"/>
        <scheme val="minor"/>
      </rPr>
      <t>A product with improved environmental impact measures compared to another product(s) intended for the same use is selected. The environmental impact measures used in the assessment are selected from the following:</t>
    </r>
  </si>
  <si>
    <t>(Points are awarded for each product/system comparison where the selected product/system improved upon the environmental impact measures by an average of 15 percent.)</t>
  </si>
  <si>
    <t>610.1.2.2</t>
  </si>
  <si>
    <r>
      <t xml:space="preserve">610.1.2.2 Building assembly LCA. </t>
    </r>
    <r>
      <rPr>
        <sz val="10"/>
        <color theme="1"/>
        <rFont val="Calibri"/>
        <family val="2"/>
        <scheme val="minor"/>
      </rPr>
      <t>A building assembly with improved environmental impact measures compared to an alternative assembly of the same function is selected. The full life cycle, from resource extraction to demolition and disposal (including but not limited to on-site construction, maintenance and replacement, material and product embodied acquisition, and process and transportation energy), is assessed. The assessment includes all structural elements, insulation, and wall coverings of the assembly. The assessment does not include electrical and mechanical equipment and controls, plumbing products, fire detection and alarm systems, elevators, and conveying systems. The following types of building assemblies are eligible for points under this practice:</t>
    </r>
  </si>
  <si>
    <t>exterior walls</t>
  </si>
  <si>
    <t>roof/ceiling</t>
  </si>
  <si>
    <t>interior walls or ceilings</t>
  </si>
  <si>
    <t>intermediate floors</t>
  </si>
  <si>
    <t>The environmental impact measures used in the assessment are selected from the following:</t>
  </si>
  <si>
    <t>(Points are awarded based on the number of types of building assemblies that improve upon environmental impact measures by an average of 15 percent.)</t>
  </si>
  <si>
    <t>611 INNOVATIVE PRACTICES</t>
  </si>
  <si>
    <r>
      <t>611.1 Manufacturer’s environmental management system concepts.</t>
    </r>
    <r>
      <rPr>
        <sz val="10"/>
        <color theme="1"/>
        <rFont val="Calibri"/>
        <family val="2"/>
        <scheme val="minor"/>
      </rPr>
      <t xml:space="preserve"> Product manufacturer’s operations and business practices include environmental management system concepts, and the production facility is registered to ISO 14001 or equivalent. The aggregate value of building products from registered ISO 14001 or equivalent production facilities is 1 percent or more of the estimated total building materials cost. </t>
    </r>
  </si>
  <si>
    <r>
      <t xml:space="preserve"> </t>
    </r>
    <r>
      <rPr>
        <b/>
        <sz val="10"/>
        <color theme="1"/>
        <rFont val="Calibri"/>
        <family val="2"/>
        <scheme val="minor"/>
      </rPr>
      <t>(1 point awarded per percent.)</t>
    </r>
  </si>
  <si>
    <r>
      <t xml:space="preserve">611.2 Sustainable products. </t>
    </r>
    <r>
      <rPr>
        <sz val="10"/>
        <color theme="1"/>
        <rFont val="Calibri"/>
        <family val="2"/>
        <scheme val="minor"/>
      </rPr>
      <t>One or more of the following products are used for at least 30% of the floor or wall area of the entire dwelling unit, as applicable. Products are certified by a third-party agency accredited to ISO 17065.</t>
    </r>
  </si>
  <si>
    <t>50% or more of carpet installed (by square feet) is certified to NSF 140.</t>
  </si>
  <si>
    <t>50% or more of resilient flooring installed (by square feet) is certified to NSF 332.</t>
  </si>
  <si>
    <t>50% or more of the insulation installed (by square feet) is certified to EcoLogo CCD-016.</t>
  </si>
  <si>
    <t>50% or more of interior wall coverings installed (by square feet) is certified to NSF 342.</t>
  </si>
  <si>
    <t>50% or more of the gypsum board installed (by square feet) is certified to UL 100.</t>
  </si>
  <si>
    <t>50% or more of the door leafs installed (by number of door leafs) is certified to UL 102.</t>
  </si>
  <si>
    <t>50% or more of the tile installed (by square feet) is certified to TCNA A138.1 Specifications for Sustainable Ceramic Tiles, Glass Tiles and Tile Installation Materials.</t>
  </si>
  <si>
    <r>
      <t xml:space="preserve">611.3 Universal design elements. </t>
    </r>
    <r>
      <rPr>
        <sz val="10"/>
        <color theme="1"/>
        <rFont val="Calibri"/>
        <family val="2"/>
        <scheme val="minor"/>
      </rPr>
      <t>Dwelling incorporates one or more of the following universal design elements. Conventional industry construction tolerances are permitted.</t>
    </r>
  </si>
  <si>
    <t>Any no-step entrance into the dwelling which (1) is accessible from a substantially level parking or drop-off area (no more than 2%) via an accessible path which has no individual change in elevation or other obstruction of more than 1-1/2 inches in height with the pitch not exceeding 1 in 12 and (2) provides a minimum 32-inch wide clearance into the dwelling.</t>
  </si>
  <si>
    <t xml:space="preserve">Minimum 36-inch wide accessible route from the no-step entrance into at least one visiting room in the dwelling and into at least one full or half bathroom which has a minimum 32-inch clear door width and a 30-inch by 48-inch clear area inside the bathroom outside the door swing. </t>
  </si>
  <si>
    <t xml:space="preserve">Minimum 36-inch wide accessible route from the no-step entrance into at least one bedroom which has a minimum 32-inch clear door width. </t>
  </si>
  <si>
    <t>Blocking or equivalent installed in the accessible bathroom walls for future installation of grab bars at water closet and bathing fixture, if applicable.</t>
  </si>
  <si>
    <t>All interior and exterior door handles are levers rather than knobs.</t>
  </si>
  <si>
    <t xml:space="preserve">All sink faucet controls are single-handle controls of both volume and temperature. </t>
  </si>
  <si>
    <t>Interior convenience Power receptacles, communication connections (for cable, phone, Ethernet, etc.) and switches are placed between 15” and 48” above the finished floor. Additional switches to control devices and systems (such as alarms, home theaters and other equipment) not required by the local building code may be installed as desired.</t>
  </si>
  <si>
    <t>All light switches are rocker-type switches or other similar switches that can be operated by pressing them (with assistive devices). Toggle-type switches may not be used.</t>
  </si>
  <si>
    <t>Any of the following can be controlled with a (wireless) mobile device such as a smartphone, tablet or laptop computer: HVAC, lighting, alarm system or door locks</t>
  </si>
  <si>
    <r>
      <t>611.4</t>
    </r>
    <r>
      <rPr>
        <sz val="10"/>
        <color theme="1"/>
        <rFont val="Calibri"/>
        <family val="2"/>
        <scheme val="minor"/>
      </rPr>
      <t xml:space="preserve"> </t>
    </r>
    <r>
      <rPr>
        <b/>
        <sz val="10"/>
        <color theme="1"/>
        <rFont val="Calibri"/>
        <family val="2"/>
        <scheme val="minor"/>
      </rPr>
      <t xml:space="preserve">Product declarations. </t>
    </r>
    <r>
      <rPr>
        <sz val="10"/>
        <color theme="1"/>
        <rFont val="Calibri"/>
        <family val="2"/>
        <scheme val="minor"/>
      </rPr>
      <t>A minimum of 10 different products installed in the building project, at the time of certificate of occupancy, comply with one of the following sub-sections.  Declarations, reports, and assessments are submitted to the Adopting Entity and contain documentation of the critical peer review by an independent third party, results from the review, the reviewer’s name, company name, contact information, and date of the review.</t>
    </r>
    <r>
      <rPr>
        <b/>
        <sz val="10"/>
        <color theme="1"/>
        <rFont val="Calibri"/>
        <family val="2"/>
        <scheme val="minor"/>
      </rPr>
      <t xml:space="preserve">  </t>
    </r>
  </si>
  <si>
    <t>611.4.1</t>
  </si>
  <si>
    <r>
      <t xml:space="preserve">611.4.1 Industry-wide declaration. </t>
    </r>
    <r>
      <rPr>
        <sz val="10"/>
        <color theme="1"/>
        <rFont val="Calibri"/>
        <family val="2"/>
      </rPr>
      <t xml:space="preserve">A Type III industry-wide environmental product declaration (EPD) is submitted for each product. Where the program operator explicitly recognizes the EPD as representative of the product group on a National level, it is considered industry-wide. In the case where an industry-wide EPD represents only a subset of an industry group, as opposed to being industry-wide, the manufacturer is required be explicitly recognized as a participant by the EPD program operator. All EPDs are required to be consistent with ISO Standards 14025 and 21930 with at least a cradle-to-gate scope. </t>
    </r>
    <r>
      <rPr>
        <b/>
        <sz val="10"/>
        <color theme="1"/>
        <rFont val="Calibri"/>
        <family val="2"/>
      </rPr>
      <t>(Each product complying with Section 611.4.1 shall be counted as one product for compliance with Section 611.4.)</t>
    </r>
  </si>
  <si>
    <t>611.4.2</t>
  </si>
  <si>
    <r>
      <t xml:space="preserve">611.4.2 Product Specific Declaration. </t>
    </r>
    <r>
      <rPr>
        <sz val="10"/>
        <color theme="1"/>
        <rFont val="Calibri"/>
        <family val="2"/>
      </rPr>
      <t xml:space="preserve">A product specific Type III EPD are submitted for each product. The product specific declaration shall be manufacturer specific for an individual product or product family. All Type III EPDs are required to be certified as complying, at a minimum, with the goal and scope for the cradle-to-gate requirements in accordance with ISO Standards 14025 and 21930.  </t>
    </r>
    <r>
      <rPr>
        <b/>
        <sz val="10"/>
        <color theme="1"/>
        <rFont val="Calibri"/>
        <family val="2"/>
      </rPr>
      <t>(Each product complying with Section 611.4.2 shall be counted as two products for compliance with Section 611.4.)</t>
    </r>
  </si>
  <si>
    <t>501 LOT SELECTION</t>
  </si>
  <si>
    <t>500 LOT DESIGN, PREPERATION AND DEVELOPMENT</t>
  </si>
  <si>
    <t>2 per exterior door
6 Max</t>
  </si>
  <si>
    <t>Max Slope in Const. Zn:</t>
  </si>
  <si>
    <t>501</t>
  </si>
  <si>
    <t>Ch6NLev</t>
  </si>
  <si>
    <t>Ch6Error</t>
  </si>
  <si>
    <t>Ch7Level</t>
  </si>
  <si>
    <t>Ch7Points</t>
  </si>
  <si>
    <t>Ch7MandError</t>
  </si>
  <si>
    <t>Ch7NLev</t>
  </si>
  <si>
    <t>Ch8Level</t>
  </si>
  <si>
    <t>Ch8Points</t>
  </si>
  <si>
    <t>Ch8MandError</t>
  </si>
  <si>
    <t>Ch8Error</t>
  </si>
  <si>
    <t>Ch8NLev</t>
  </si>
  <si>
    <t>Ch7Error</t>
  </si>
  <si>
    <t>Ch9Level</t>
  </si>
  <si>
    <t>Ch9Points</t>
  </si>
  <si>
    <t>Ch9MandError</t>
  </si>
  <si>
    <t>Ch9NLev</t>
  </si>
  <si>
    <t>Ch9Error</t>
  </si>
  <si>
    <t>Ch10Level</t>
  </si>
  <si>
    <t>Ch10Points</t>
  </si>
  <si>
    <t>Ch10MandError</t>
  </si>
  <si>
    <t>Ch10NLev</t>
  </si>
  <si>
    <t>Ch10Error</t>
  </si>
  <si>
    <t>1 additional</t>
  </si>
  <si>
    <t>front only</t>
  </si>
  <si>
    <t>rear only</t>
  </si>
  <si>
    <t>full</t>
  </si>
  <si>
    <t>100%</t>
  </si>
  <si>
    <t>10 percent to &lt; 25 percent</t>
  </si>
  <si>
    <t>Note: Points must be earned in 503.3 in order for points in 504.1 to be available</t>
  </si>
  <si>
    <t>NOTE: Points must be taken in 503.3 to claim points in 504.1.</t>
  </si>
  <si>
    <t>CLICK TO PROCEED TO CHAPTER 6 &gt;&gt;</t>
  </si>
  <si>
    <t>END OF CHAPTER 5</t>
  </si>
  <si>
    <t>801 INDOOR AND OUTDOOR WATER USE</t>
  </si>
  <si>
    <t>801.0</t>
  </si>
  <si>
    <r>
      <t>801.0 Intent.</t>
    </r>
    <r>
      <rPr>
        <sz val="10"/>
        <color theme="1"/>
        <rFont val="Calibri"/>
        <family val="2"/>
        <scheme val="minor"/>
      </rPr>
      <t xml:space="preserve"> Measures that reduce indoor and outdoor water usage are implemented.</t>
    </r>
  </si>
  <si>
    <r>
      <t>801.1 Indoor hot water usage.</t>
    </r>
    <r>
      <rPr>
        <sz val="10"/>
        <color theme="1"/>
        <rFont val="Calibri"/>
        <family val="2"/>
        <scheme val="minor"/>
      </rPr>
      <t xml:space="preserve"> Indoor hot water supply system is in accordance with one of the practices listed in items (1) through (5). The maximum water volume from the source of hot water to the termination of the fixture supply is determined in accordance with Tables 801.1(1) or 801.1(2). The maximum pipe length from the source of hot water to the termination of the fixture supply is 50 feet.</t>
    </r>
  </si>
  <si>
    <t>(Where more than one water heater is used or where more than one type of hot water supply system, including multiple circulation loops, is used, points are awarded only for the system that qualifies for the minimum number of points.)</t>
  </si>
  <si>
    <t>(Systems with circulation loops are eligible for points only if pumps are demand controlled. Circulation systems with timers or aquastats and constant-on circulation systems are not eligible to receive points.)</t>
  </si>
  <si>
    <t>(Points awarded only if the pipes are insulated in accordance with Section 705.6.3.)</t>
  </si>
  <si>
    <t>The maximum volume from the water heater to the termination of the fixture supply at furthest fixture is 128 ounces (1 gallon or 3.78 liters).</t>
  </si>
  <si>
    <t>The maximum volume from the water heater to the termination of the fixture supply at furthest fixture is 64 ounces (0.5 gallon or 1.89 liters).</t>
  </si>
  <si>
    <t>The maximum volume from the water heater to the termination of the fixture supply at furthest fixture is 32 ounces (0.25 gallon or 0.945 liters).</t>
  </si>
  <si>
    <t>A demand controlled hot water priming pump is installed on the main supply pipe of the circulation loop and the maximum volume from this supply pipe to the furthest fixture is 24 ounces (0.19 gallons or 0.71 liters).</t>
  </si>
  <si>
    <t>The volume in the circulation loop (supply) from the water heater or boiler to the branch for the furthest fixture is no more than 128 ounces (1 gallon or 3.78 liters).</t>
  </si>
  <si>
    <t>4 Additional</t>
  </si>
  <si>
    <t>A central hot water recirculation system is implemented in multifamily buildings in which the hot water line distance from the recirculating loop to the engineered parallel piping system (i.e., manifold system) is less than 30 feet (9,144 mm) and the parallel piping to the fixture fittings contains a maximum of 64 ounces (1.89 liters) (115.50 cubic inches) (0.50 gallons).</t>
  </si>
  <si>
    <t>Tankless water heater(s) with at least 0.5 gallon (1.89 liters) of storage are installed, or a tankless water heater that ramps up to at least 110F within 5 seconds is installed. The storage may be internal or external to the tankless water heater.</t>
  </si>
  <si>
    <r>
      <t>801.2 Water-conserving appliances.</t>
    </r>
    <r>
      <rPr>
        <sz val="10"/>
        <color theme="1"/>
        <rFont val="Calibri"/>
        <family val="2"/>
        <scheme val="minor"/>
      </rPr>
      <t xml:space="preserve"> Energy Star or equivalent water-conserving appliances are installed. </t>
    </r>
  </si>
  <si>
    <t>dishwasher</t>
  </si>
  <si>
    <t>washing machine, or</t>
  </si>
  <si>
    <t>washing machine with a water factor of 4.0 or less</t>
  </si>
  <si>
    <r>
      <t>801.3 Showerheads.</t>
    </r>
    <r>
      <rPr>
        <sz val="10"/>
        <color theme="1"/>
        <rFont val="Calibri"/>
        <family val="2"/>
        <scheme val="minor"/>
      </rPr>
      <t xml:space="preserve"> Showerheads are in accordance with the following:</t>
    </r>
  </si>
  <si>
    <t xml:space="preserve">4 for first compartment </t>
  </si>
  <si>
    <t>The total maximum combined flow rate of all showerheads controlled by a single valve at any point in time in a shower compartment is 1.6 to less than 2.5 gpm. Maximum of two valves are installed per shower compartment. The flow rate is tested at 80 psi (552 kPa) in accordance with ASME A112.18.1. Showerheads are served by an automatic compensating valve that complies with ASSE 1016 or ASME A112.18.1 and specifically designed to provide thermal shock and scald protection at the flow rate of the showerhead.</t>
  </si>
  <si>
    <t>1 for each additional compartment in dwelling</t>
  </si>
  <si>
    <t>(Points awarded per shower compartment. In multifamily buildings, the average of the points assigned to individual dwelling units may be used as the number of points awarded for this practice, rounded to the nearest whole number.)</t>
  </si>
  <si>
    <t>7 Max</t>
  </si>
  <si>
    <t>All shower compartments in the dwelling unit(s) and common areas meet the requirements of 801.3(1) and all showerheads are in accordance with one of the following:</t>
  </si>
  <si>
    <t>2.0 to less than 2.5 gpm</t>
  </si>
  <si>
    <t xml:space="preserve">6 Additional </t>
  </si>
  <si>
    <t>1.6 to less than 2.0 gpm</t>
  </si>
  <si>
    <t xml:space="preserve">10 Additional </t>
  </si>
  <si>
    <t>Less than 1.6 gpm</t>
  </si>
  <si>
    <t>14 Additional</t>
  </si>
  <si>
    <t>Any shower control that can shut off water flow without affecting temperature is installed.</t>
  </si>
  <si>
    <t>(Points awarded per shower control.)</t>
  </si>
  <si>
    <t>3 Max</t>
  </si>
  <si>
    <t>801.4 Lavatory faucets</t>
  </si>
  <si>
    <t>801.4.1</t>
  </si>
  <si>
    <r>
      <t>801.4.1</t>
    </r>
    <r>
      <rPr>
        <sz val="10"/>
        <color theme="1"/>
        <rFont val="Calibri"/>
        <family val="2"/>
        <scheme val="minor"/>
      </rPr>
      <t xml:space="preserve"> Water-efficient lavatory faucets with a maximum flow rate of 1.5 gpm (5.68 L/m), tested at 60 psi (414 kPa) in accordance with ASME A112.18.1, are installed:</t>
    </r>
  </si>
  <si>
    <t>a bathroom (all faucets in a bathroom are in compliance)</t>
  </si>
  <si>
    <t>(Points awarded for each bathroom. In multifamily buildings, the average of the points assigned to individual dwelling units may be used as the number of points awarded for this practice, rounded to the nearest whole number.)</t>
  </si>
  <si>
    <t xml:space="preserve">all lavatory faucets in the dwelling unit(s) </t>
  </si>
  <si>
    <t>801.4.2</t>
  </si>
  <si>
    <r>
      <t xml:space="preserve">801.4.2 </t>
    </r>
    <r>
      <rPr>
        <sz val="10"/>
        <color theme="1"/>
        <rFont val="Calibri"/>
        <family val="2"/>
        <scheme val="minor"/>
      </rPr>
      <t>Self-closing valve, motion sensor, metering, or pedal-activated faucet is installed to enable intermittent on/off operation.</t>
    </r>
  </si>
  <si>
    <t>(Points awarded per fixture.)</t>
  </si>
  <si>
    <r>
      <t>801.5 Water closets and urinals.</t>
    </r>
    <r>
      <rPr>
        <sz val="10"/>
        <color theme="1"/>
        <rFont val="Calibri"/>
        <family val="2"/>
        <scheme val="minor"/>
      </rPr>
      <t xml:space="preserve"> Water closets and urinals are in accordance with the following:</t>
    </r>
  </si>
  <si>
    <t>Gold and emerald levels: All water closets and urinals are in accordance with Section 801.5.</t>
  </si>
  <si>
    <t>A water closet is installed with an effective flush volume of 1.28 gallons (4.85 L) or less and meets the flush performance criteria when tested in accordance with ASME A112.19.2/CSA B45.1 or ASME A112.19.14 as applicable.</t>
  </si>
  <si>
    <t>(Points awarded per fixture. In multifamily buildings, the average of the points assigned to individual dwelling units may be used as the number of points awarded for this practice, rounded to the nearest whole number.)</t>
  </si>
  <si>
    <t xml:space="preserve">All water closets are in accordance with Section 801.5(2). </t>
  </si>
  <si>
    <t xml:space="preserve">All water closets are in accordance with Section 801.5(2) and one or more of the following are installed: </t>
  </si>
  <si>
    <t>Water closets that have a flush volume of 1.2 gallons or less.</t>
  </si>
  <si>
    <t>1 Additional</t>
  </si>
  <si>
    <t>(Points awarded per toilet. In multifamily buildings, the average of the points assigned to individual dwelling units may be used as the number of points awarded for this practice, rounded to the nearest whole number.)</t>
  </si>
  <si>
    <t>One or more urinals with a flush volume of 0.5 gallons (1.9L) or less when tested in accordance with ASME A112.19.2.</t>
  </si>
  <si>
    <t>One or more composting or waterless toilets and/or urinals.</t>
  </si>
  <si>
    <t>6 Additional</t>
  </si>
  <si>
    <r>
      <t>801.6</t>
    </r>
    <r>
      <rPr>
        <sz val="10"/>
        <color theme="1"/>
        <rFont val="Calibri"/>
        <family val="2"/>
        <scheme val="minor"/>
      </rPr>
      <t xml:space="preserve"> </t>
    </r>
    <r>
      <rPr>
        <b/>
        <sz val="10"/>
        <color theme="1"/>
        <rFont val="Calibri"/>
        <family val="2"/>
        <scheme val="minor"/>
      </rPr>
      <t>Irrigation systems</t>
    </r>
  </si>
  <si>
    <t>801.6.1</t>
  </si>
  <si>
    <r>
      <t xml:space="preserve">801.6.1 </t>
    </r>
    <r>
      <rPr>
        <sz val="10"/>
        <color theme="1"/>
        <rFont val="Calibri"/>
        <family val="2"/>
        <scheme val="minor"/>
      </rPr>
      <t>Sprinkler nozzles have a maximum precipitation rate of 1.20 inches per hour for turf or landscaping. Nozzle performance is tested by an accredited third party laboratory and results are posted on Smart Water Application Technologies website or similar.</t>
    </r>
  </si>
  <si>
    <t>801.6.2</t>
  </si>
  <si>
    <r>
      <t xml:space="preserve">801.6.2 </t>
    </r>
    <r>
      <rPr>
        <sz val="10"/>
        <color theme="1"/>
        <rFont val="Calibri"/>
        <family val="2"/>
        <scheme val="minor"/>
      </rPr>
      <t>Drip irrigation is installed.</t>
    </r>
  </si>
  <si>
    <t>Drip irrigation is installed for all landscape beds.</t>
  </si>
  <si>
    <t>Subsurface drip is installed for all turf grass areas.</t>
  </si>
  <si>
    <t>Drip irrigation zones specifications show plant type by name and water use/need for each emitter (Points awarded only if specifications are implemented.)</t>
  </si>
  <si>
    <t>801.6.3</t>
  </si>
  <si>
    <r>
      <t xml:space="preserve">801.6.3 </t>
    </r>
    <r>
      <rPr>
        <sz val="10"/>
        <color theme="1"/>
        <rFont val="Calibri"/>
        <family val="2"/>
        <scheme val="minor"/>
      </rPr>
      <t>Where an irrigation system is installed, an</t>
    </r>
    <r>
      <rPr>
        <b/>
        <sz val="10"/>
        <color theme="1"/>
        <rFont val="Calibri"/>
        <family val="2"/>
        <scheme val="minor"/>
      </rPr>
      <t xml:space="preserve"> </t>
    </r>
    <r>
      <rPr>
        <sz val="10"/>
        <color theme="1"/>
        <rFont val="Calibri"/>
        <family val="2"/>
        <scheme val="minor"/>
      </rPr>
      <t>irrigation plan and implementation are executed by a qualified professional certified by a WaterSense labeled program or equivalent program as approved by Adopting Entity.</t>
    </r>
  </si>
  <si>
    <t>801.6.4</t>
  </si>
  <si>
    <r>
      <t>801.6.4</t>
    </r>
    <r>
      <rPr>
        <sz val="10"/>
        <color theme="1"/>
        <rFont val="Calibri"/>
        <family val="2"/>
        <scheme val="minor"/>
      </rPr>
      <t xml:space="preserve"> The irrigation system(s) is controlled by a smart controller or no irrigation is installed.</t>
    </r>
  </si>
  <si>
    <t xml:space="preserve">(Points are not additive.) </t>
  </si>
  <si>
    <t>Evapotranspiration (ET) based irrigation controller with a rain sensor or soil moisture sensor based irrigation controller.</t>
  </si>
  <si>
    <t xml:space="preserve">Irrigation controllers are labeled by EPA WaterSense program </t>
  </si>
  <si>
    <t>No irrigation is installed and a landscape plan is developed in accordance with Section 503.5, as applicable.</t>
  </si>
  <si>
    <t>801.6.5</t>
  </si>
  <si>
    <r>
      <t xml:space="preserve">801.6.5 </t>
    </r>
    <r>
      <rPr>
        <sz val="10"/>
        <color theme="1"/>
        <rFont val="Calibri"/>
        <family val="2"/>
        <scheme val="minor"/>
      </rPr>
      <t>All irrigation zones utilize pressure regulation so emission devices (sprinklers and drip emitters) operate at manufacturer’s recommended operating pressure.</t>
    </r>
  </si>
  <si>
    <r>
      <t>801.7 Rainwater collection and distribution.</t>
    </r>
    <r>
      <rPr>
        <sz val="10"/>
        <color theme="1"/>
        <rFont val="Calibri"/>
        <family val="2"/>
      </rPr>
      <t xml:space="preserve"> Rainwater collection and distribution is provided. </t>
    </r>
  </si>
  <si>
    <t>Rainwater is diverted for landscape irrigation without impermeable water storage</t>
  </si>
  <si>
    <t>Rainwater is diverted for landscape irrigation with impermeable water storage in accordance with one of the following:</t>
  </si>
  <si>
    <t>50 – 499 gallon storage capacity</t>
  </si>
  <si>
    <t>500 – 2499 gallon storage capacity</t>
  </si>
  <si>
    <t>2500 gallon or larger storage capacity (system is designed by a professional certified by The American Rainwater Catchment Systems Association or equivalent)</t>
  </si>
  <si>
    <t>All irrigation demands are met by rainwater capture (documentation demonstrating the water needs of the landscape is provided and the system is designed by a professional certified by The American Rainwater Catchment Systems Association or equivalent).</t>
  </si>
  <si>
    <t>801.7.2</t>
  </si>
  <si>
    <r>
      <t>801.7.2</t>
    </r>
    <r>
      <rPr>
        <sz val="10"/>
        <color theme="1"/>
        <rFont val="Calibri"/>
        <family val="2"/>
        <scheme val="minor"/>
      </rPr>
      <t xml:space="preserve"> Rainwater is used for indoor domestic demand as follows. The system is designed by a professional certified by The American Rainwater Catchment Systems Association or equivalent.</t>
    </r>
  </si>
  <si>
    <t>Rainwater is used to supply an indoor appliance or fixture for any locally approved use.</t>
  </si>
  <si>
    <t>(Points awarded per appliance or fixture.)</t>
  </si>
  <si>
    <t>Rainwater provides for total domestic demand.</t>
  </si>
  <si>
    <r>
      <t>801.8 Sediment filters.</t>
    </r>
    <r>
      <rPr>
        <sz val="10"/>
        <color theme="1"/>
        <rFont val="Calibri"/>
        <family val="2"/>
        <scheme val="minor"/>
      </rPr>
      <t xml:space="preserve"> Water filter is installed to reduce sediment and protect plumbing fixtures for the whole building or the entire dwelling unit. </t>
    </r>
  </si>
  <si>
    <t>802 INNOVATIVE PRACTICES</t>
  </si>
  <si>
    <r>
      <t>802.1 Reclaimed, gray, or recycled water</t>
    </r>
    <r>
      <rPr>
        <sz val="10"/>
        <color theme="1"/>
        <rFont val="Calibri"/>
        <family val="2"/>
        <scheme val="minor"/>
      </rPr>
      <t>. Reclaimed, gray, or recycled water is used as permitted by applicable code.</t>
    </r>
  </si>
  <si>
    <t>(Points awarded for either Section 802.1(1) or 802.1(2), not both.)</t>
  </si>
  <si>
    <t>(Points awarded for either Section 802.6 or 802.1, not both.)</t>
  </si>
  <si>
    <t>each water closet flushed by reclaimed, gray, or recycled water</t>
  </si>
  <si>
    <t>(Points awarded per fixture or appliance.)</t>
  </si>
  <si>
    <t>irrigation from reclaimed, gray, or recycled water on-site</t>
  </si>
  <si>
    <r>
      <t xml:space="preserve">802.2 Reclaimed water, graywater, or rainwater pre-piping. </t>
    </r>
    <r>
      <rPr>
        <sz val="10"/>
        <color theme="1"/>
        <rFont val="Calibri"/>
        <family val="2"/>
        <scheme val="minor"/>
      </rPr>
      <t>Reclaimed, graywater, or rainwater systems are rough plumbed (and permanently marked, tagged or labeled) into buildings for future use.</t>
    </r>
  </si>
  <si>
    <t>3 per roughed in system</t>
  </si>
  <si>
    <r>
      <t xml:space="preserve">802.3 Automatic shutoff water devices. </t>
    </r>
    <r>
      <rPr>
        <sz val="10"/>
        <color theme="1"/>
        <rFont val="Calibri"/>
        <family val="2"/>
        <scheme val="minor"/>
      </rPr>
      <t xml:space="preserve">One of the following automatic shutoff water supply devices is installed. Where a fire sprinkler system is present, installer is to ensure the device will not interfere with the operation of the fire sprinkler system. </t>
    </r>
  </si>
  <si>
    <t>excess water flow automatic shutoff</t>
  </si>
  <si>
    <t>leak detection system with automatic shutoff</t>
  </si>
  <si>
    <r>
      <t>802.4 Engineered biological system or intensive bioremediation system.</t>
    </r>
    <r>
      <rPr>
        <sz val="10"/>
        <color theme="1"/>
        <rFont val="Calibri"/>
        <family val="2"/>
        <scheme val="minor"/>
      </rPr>
      <t xml:space="preserve"> An engineered biological system or intensive bioremediation system is installed and the treated water is used on site. Design and implementation are approved by appropriate regional authority.</t>
    </r>
  </si>
  <si>
    <r>
      <t xml:space="preserve">802.5 Recirculating humidifier. </t>
    </r>
    <r>
      <rPr>
        <sz val="10"/>
        <color theme="1"/>
        <rFont val="Calibri"/>
        <family val="2"/>
        <scheme val="minor"/>
      </rPr>
      <t>Where a humidifier is required, a recirculating humidifier is used in lieu of a traditional “flow through” type.</t>
    </r>
  </si>
  <si>
    <r>
      <t xml:space="preserve">802.6 Advanced wastewater treatment system. </t>
    </r>
    <r>
      <rPr>
        <sz val="10"/>
        <color theme="1"/>
        <rFont val="Calibri"/>
        <family val="2"/>
        <scheme val="minor"/>
      </rPr>
      <t>Advanced wastewater (aerobic) treatment system is installed and treated water is used on site.</t>
    </r>
  </si>
  <si>
    <t>701</t>
  </si>
  <si>
    <t>701 MINIMUM ENERGY EFFICIENCY REQUIREMENTS</t>
  </si>
  <si>
    <r>
      <t>701.1 Mandatory requirements.</t>
    </r>
    <r>
      <rPr>
        <sz val="10"/>
        <color theme="1"/>
        <rFont val="Calibri"/>
        <family val="2"/>
        <scheme val="minor"/>
      </rPr>
      <t xml:space="preserve"> The building shall comply with Section 702 (Performance Path), Section 703 (Prescriptive Path), or Section 704 (HERS Index Target Path). Items listed as “mandatory” in Section 701.4 apply to all Paths. Unless otherwise noted, buildings in the Tropical Climate Zone shall comply with Climate Zone 1 requirements.</t>
    </r>
  </si>
  <si>
    <t>701.1.1</t>
  </si>
  <si>
    <r>
      <t>701.1.1 Minimum Performance Path requirements.</t>
    </r>
    <r>
      <rPr>
        <sz val="10"/>
        <color theme="1"/>
        <rFont val="Calibri"/>
        <family val="2"/>
        <scheme val="minor"/>
      </rPr>
      <t xml:space="preserve"> A building complying with Section 702 shall include a minimum of two practices from Section 705.</t>
    </r>
  </si>
  <si>
    <t>701.1.2</t>
  </si>
  <si>
    <r>
      <t>701.1.2 Minimum Prescriptive Path requirements.</t>
    </r>
    <r>
      <rPr>
        <sz val="10"/>
        <color theme="1"/>
        <rFont val="Calibri"/>
        <family val="2"/>
        <scheme val="minor"/>
      </rPr>
      <t xml:space="preserve"> A building complying with Section 703 shall obtain a minimum of 30 points from Section 703 and shall include a minimum of two practices from Section 705.</t>
    </r>
  </si>
  <si>
    <t>701.1.3</t>
  </si>
  <si>
    <r>
      <t xml:space="preserve">701.1.3 HERS Index Target Path requirements.  </t>
    </r>
    <r>
      <rPr>
        <sz val="10"/>
        <color theme="1"/>
        <rFont val="Calibri"/>
        <family val="2"/>
        <scheme val="minor"/>
      </rPr>
      <t>A building complying with Section 704 shall obtain a minimum of 30 points from Section 704 and shall include a minimum of two practices from Section 705.</t>
    </r>
    <r>
      <rPr>
        <b/>
        <sz val="10"/>
        <color theme="1"/>
        <rFont val="Calibri"/>
        <family val="2"/>
        <scheme val="minor"/>
      </rPr>
      <t xml:space="preserve">  </t>
    </r>
  </si>
  <si>
    <t>701.1.4</t>
  </si>
  <si>
    <r>
      <t>701.1.4 Alternative bronze and silver level compliance</t>
    </r>
    <r>
      <rPr>
        <sz val="10"/>
        <color theme="1"/>
        <rFont val="Calibri"/>
        <family val="2"/>
        <scheme val="minor"/>
      </rPr>
      <t>. As an alternative, any building that qualifies as an ENERGY STAR Version 3.0 Certified Home or ENERGY STAR Multifamily High Rise Version 1.0 Rev. 03 building achieves the bronze level for Chapter 7. As an alternative, any building that qualifies as an ENERGY STAR Version 3.1 Certified Home or ENERGY STAR Multifamily High Rise Version 1.0 Rev. 03 (with the baseline at ASHRAE 90.1-2010) building achieves the silver level for Chapter 7. As an alternative in the Tropical Climate Zone, any building that meets all of the requirements in IECC Section R401.2.1 (Tropical Zone) achieves the silver level for Chapter 7.The buildings achieving compliance under Section 701.1.4 are not eligible for achieving a rating level above silver.</t>
    </r>
  </si>
  <si>
    <r>
      <t xml:space="preserve">701.2 Emerald level points. </t>
    </r>
    <r>
      <rPr>
        <sz val="10"/>
        <color theme="1"/>
        <rFont val="Calibri"/>
        <family val="2"/>
        <scheme val="minor"/>
      </rPr>
      <t>The Performance Path shall be used to achieve the emerald level.</t>
    </r>
  </si>
  <si>
    <r>
      <t>701.3</t>
    </r>
    <r>
      <rPr>
        <sz val="10"/>
        <color theme="1"/>
        <rFont val="Calibri"/>
        <family val="2"/>
        <scheme val="minor"/>
      </rPr>
      <t xml:space="preserve"> </t>
    </r>
    <r>
      <rPr>
        <b/>
        <sz val="10"/>
        <color theme="1"/>
        <rFont val="Calibri"/>
        <family val="2"/>
        <scheme val="minor"/>
      </rPr>
      <t xml:space="preserve">Adopting Entity review. </t>
    </r>
    <r>
      <rPr>
        <sz val="10"/>
        <color theme="1"/>
        <rFont val="Calibri"/>
        <family val="2"/>
        <scheme val="minor"/>
      </rPr>
      <t xml:space="preserve">A review by the Adopting Entity or designated third party shall be conducted to verify design and compliance with Chapter 7. </t>
    </r>
  </si>
  <si>
    <t>701.4 Mandatory practices.</t>
  </si>
  <si>
    <t>701.4.1</t>
  </si>
  <si>
    <t>701.4.1 HVAC systems.</t>
  </si>
  <si>
    <t>701.4.1.1</t>
  </si>
  <si>
    <r>
      <t>701.4.1.1</t>
    </r>
    <r>
      <rPr>
        <sz val="10"/>
        <color theme="1"/>
        <rFont val="Calibri"/>
        <family val="2"/>
        <scheme val="minor"/>
      </rPr>
      <t xml:space="preserve"> </t>
    </r>
    <r>
      <rPr>
        <b/>
        <sz val="10"/>
        <color theme="1"/>
        <rFont val="Calibri"/>
        <family val="2"/>
        <scheme val="minor"/>
      </rPr>
      <t>HVAC system sizing.</t>
    </r>
    <r>
      <rPr>
        <sz val="10"/>
        <color theme="1"/>
        <rFont val="Calibri"/>
        <family val="2"/>
        <scheme val="minor"/>
      </rPr>
      <t xml:space="preserve"> Space heating and cooling system is sized according to heating and cooling loads calculated using ACCA Manual J, or equivalent. Equipment is selected using ACCA Manual S or equivalent.</t>
    </r>
  </si>
  <si>
    <t>701.4.1.2</t>
  </si>
  <si>
    <r>
      <t>701.4.1.2 Radiant and hydronic space heating.</t>
    </r>
    <r>
      <rPr>
        <sz val="10"/>
        <color theme="1"/>
        <rFont val="Calibri"/>
        <family val="2"/>
        <scheme val="minor"/>
      </rPr>
      <t xml:space="preserve"> Where installed as a primary heat source in the building, radiant or hydronic space heating system is designed, installed, and documented, using industry-approved guidelines and standards (e.g., ACCA Manual J, AHRI I=B=R, ACCA 5 QI-2010, or an accredited design professional’s and manufacturer’s recommendations). </t>
    </r>
  </si>
  <si>
    <t>701.4.2</t>
  </si>
  <si>
    <t>701.4.2 Duct systems.</t>
  </si>
  <si>
    <r>
      <t>701.4.2.1</t>
    </r>
    <r>
      <rPr>
        <sz val="10"/>
        <color theme="1"/>
        <rFont val="Calibri"/>
        <family val="2"/>
        <scheme val="minor"/>
      </rPr>
      <t xml:space="preserve"> </t>
    </r>
    <r>
      <rPr>
        <b/>
        <sz val="10"/>
        <color theme="1"/>
        <rFont val="Calibri"/>
        <family val="2"/>
        <scheme val="minor"/>
      </rPr>
      <t>Duct air sealing.</t>
    </r>
    <r>
      <rPr>
        <sz val="10"/>
        <color theme="1"/>
        <rFont val="Calibri"/>
        <family val="2"/>
        <scheme val="minor"/>
      </rPr>
      <t xml:space="preserve"> Ducts are air sealed. All duct sealing materials are in conformance with UL 181A or UL 181B specifications and are installed in accordance with manufacturer’s instructions.</t>
    </r>
  </si>
  <si>
    <t>701.4.2.2</t>
  </si>
  <si>
    <r>
      <t xml:space="preserve">701.4.2.2 Ducts and Plenums.  </t>
    </r>
    <r>
      <rPr>
        <sz val="10"/>
        <color theme="1"/>
        <rFont val="Calibri"/>
        <family val="2"/>
        <scheme val="minor"/>
      </rPr>
      <t>Building framing cavities are not used as ducts or plenums.</t>
    </r>
  </si>
  <si>
    <t>701.4.2.3</t>
  </si>
  <si>
    <r>
      <t>701.4.2.3</t>
    </r>
    <r>
      <rPr>
        <sz val="10"/>
        <color theme="1"/>
        <rFont val="Calibri"/>
        <family val="2"/>
        <scheme val="minor"/>
      </rPr>
      <t xml:space="preserve"> </t>
    </r>
    <r>
      <rPr>
        <b/>
        <sz val="10"/>
        <color theme="1"/>
        <rFont val="Calibri"/>
        <family val="2"/>
        <scheme val="minor"/>
      </rPr>
      <t>Duct system sizing.</t>
    </r>
    <r>
      <rPr>
        <sz val="10"/>
        <color theme="1"/>
        <rFont val="Calibri"/>
        <family val="2"/>
        <scheme val="minor"/>
      </rPr>
      <t xml:space="preserve"> Duct system is sized and designed in accordance with ACCA Manual D or equivalent.</t>
    </r>
  </si>
  <si>
    <t>701.4.3</t>
  </si>
  <si>
    <t>701.4.3 Insulation and air sealing.</t>
  </si>
  <si>
    <t>701.4.3.1</t>
  </si>
  <si>
    <r>
      <t>701.4.3.1 Building Thermal Envelope Air Sealing.</t>
    </r>
    <r>
      <rPr>
        <sz val="10"/>
        <color theme="1"/>
        <rFont val="Calibri"/>
        <family val="2"/>
        <scheme val="minor"/>
      </rPr>
      <t xml:space="preserve"> The building thermal envelope is durably sealed to limit infiltration. The sealing methods between dissimilar materials allow for differential expansion and contraction. The following are caulked, gasketed, weather-stripped or otherwise sealed with an air barrier material, suitable film, or solid material:</t>
    </r>
  </si>
  <si>
    <t>All joints, seams and penetrations.</t>
  </si>
  <si>
    <t>Site-built windows, doors, and skylights.</t>
  </si>
  <si>
    <t>Openings between window and door assemblies and their respective jambs and framing.</t>
  </si>
  <si>
    <t>Utility penetrations.</t>
  </si>
  <si>
    <t>Dropped ceilings or chases adjacent to the thermal envelope.</t>
  </si>
  <si>
    <t>Knee walls.</t>
  </si>
  <si>
    <t>Walls and ceilings separating a garage from conditioned spaces.</t>
  </si>
  <si>
    <t>Behind tubs and showers on exterior walls.</t>
  </si>
  <si>
    <t>(i)</t>
  </si>
  <si>
    <t>Common walls between dwelling units.</t>
  </si>
  <si>
    <t>(j)</t>
  </si>
  <si>
    <t>Attic access openings.</t>
  </si>
  <si>
    <t>(k)</t>
  </si>
  <si>
    <t>Rim joist junction.</t>
  </si>
  <si>
    <t>(l)</t>
  </si>
  <si>
    <t>Other sources of infiltration.</t>
  </si>
  <si>
    <t>701.4.3.2</t>
  </si>
  <si>
    <r>
      <t>701.4.3.2 Air sealing and insulation.</t>
    </r>
    <r>
      <rPr>
        <sz val="10"/>
        <color theme="1"/>
        <rFont val="Calibri"/>
        <family val="2"/>
        <scheme val="minor"/>
      </rPr>
      <t xml:space="preserve"> Grade II and III insulation installation is not permitted. Building envelope air tightness and insulation installation is verified to be in accordance with Section 701.4.3.2(1) and 701.4.3.2(2).</t>
    </r>
  </si>
  <si>
    <r>
      <t>Testing.</t>
    </r>
    <r>
      <rPr>
        <sz val="10"/>
        <color theme="1"/>
        <rFont val="Calibri"/>
        <family val="2"/>
        <scheme val="minor"/>
      </rPr>
      <t xml:space="preserve"> Building envelope tightness is tested. Testing is conducted in accordance with ASTM E-779 using a blower door at a test pressure of 1.04 psf (50 Pa). Testing is conducted after rough-in and after installation of penetrations of the building envelope, including penetrations for utilities, plumbing, electrical, ventilation, and combustion appliances. Testing is conducted under the following conditions:</t>
    </r>
  </si>
  <si>
    <t xml:space="preserve">Exterior windows and doors, fireplace and stove doors are closed, but not sealed; </t>
  </si>
  <si>
    <t>Dampers are closed, but not sealed, including exhaust, intake, makeup air, backdraft and flue dampers;</t>
  </si>
  <si>
    <t>Interior doors are open;</t>
  </si>
  <si>
    <t>Exterior openings for continuous ventilation systems and heat recovery ventilators are closed and sealed;</t>
  </si>
  <si>
    <t xml:space="preserve">Heating and cooling systems are turned off; </t>
  </si>
  <si>
    <t>HVAC duct terminations are not sealed; and</t>
  </si>
  <si>
    <t>Supply and return registers are not sealed.</t>
  </si>
  <si>
    <r>
      <t>Visual inspection.</t>
    </r>
    <r>
      <rPr>
        <sz val="10"/>
        <color theme="1"/>
        <rFont val="Calibri"/>
        <family val="2"/>
        <scheme val="minor"/>
      </rPr>
      <t xml:space="preserve"> The air barrier and insulation items listed in Table 701.4.3.2(2) are field verified by visual inspection.</t>
    </r>
  </si>
  <si>
    <t>701.4.3.2.1</t>
  </si>
  <si>
    <r>
      <t xml:space="preserve">701.4.3.2.1 </t>
    </r>
    <r>
      <rPr>
        <sz val="10"/>
        <color theme="1"/>
        <rFont val="Calibri"/>
        <family val="2"/>
        <scheme val="minor"/>
      </rPr>
      <t>Grade I insulation installations are in accordance with the following:</t>
    </r>
  </si>
  <si>
    <t xml:space="preserve">Grading applies to field-installed insulation products. </t>
  </si>
  <si>
    <t>Grading applies to ceilings, walls, floors, band joists, rim joists, conditioned attics basements and crawlspaces, except as specifically noted.</t>
  </si>
  <si>
    <t>Inspection is conducted before insulation is covered.</t>
  </si>
  <si>
    <t>Air-permeable insulation is enclosed on all six sides and is in substantial contact with the sheathing material on one or more sides (interior or exterior) of the cavity. Air permeable insulation in ceilings is not required to be enclosed when the insulation is installed in substantial contact with the surfaces it is intended to insulate.</t>
  </si>
  <si>
    <t>Cavity insulation uniformly fills each cavity side-to-side and top-to-bottom, without substantial gaps or voids around obstructions (such as blocking or bridging).</t>
  </si>
  <si>
    <t>Cavity insulation compression or incomplete fill amounts to 2 percent or less, presuming the compressed or incomplete areas are a minimum of 70 percent of the intended fill thickness; occasional small gaps are acceptable.</t>
  </si>
  <si>
    <t>Exterior rigid insulation has substantial contact with the structural framing members or sheathing materials and is tightly fitted at joints.</t>
  </si>
  <si>
    <t>Cavity insulation is split, installed, and/or fitted tightly around wiring and other services.</t>
  </si>
  <si>
    <t>Exterior sheathing is not visible from the interior through gaps in the cavity insulation.</t>
  </si>
  <si>
    <t>Faced batt insulation is permitted to have side-stapled tabs, provided the tabs are stapled neatly with no buckling, and provided the batt is compressed only at the edges of each cavity, to the depth of the tab itself.</t>
  </si>
  <si>
    <t>Where properly installed, ICFs, SIPs, and other wall systems that provide integral insulation are deemed in compliance with the Grade 1 insulation installation requirements.</t>
  </si>
  <si>
    <t>701.4.3.3.3</t>
  </si>
  <si>
    <t>701.4.3.3</t>
  </si>
  <si>
    <r>
      <t>701.4.3.3 Multifamily air leakage alternative. Multifamily</t>
    </r>
    <r>
      <rPr>
        <sz val="10"/>
        <color theme="1"/>
        <rFont val="Calibri"/>
        <family val="2"/>
        <scheme val="minor"/>
      </rPr>
      <t xml:space="preserve"> buildings four or more stories in height and in compliance with IECC section C402.5 (Air leakage-thermal envelope) are deemed to comply with Sections 701.4.3.1 and 701.4.3.2.</t>
    </r>
  </si>
  <si>
    <t>701.4.3.3.4</t>
  </si>
  <si>
    <t>701.4.3.4</t>
  </si>
  <si>
    <r>
      <t>701.4.3.4 Fenestration air leakage.</t>
    </r>
    <r>
      <rPr>
        <sz val="10"/>
        <color theme="1"/>
        <rFont val="Calibri"/>
        <family val="2"/>
        <scheme val="minor"/>
      </rPr>
      <t xml:space="preserve"> Windows, skylights and sliding glass doors have an air infiltration rate of no more than 0.3 cfm per square foot (1.5 L/s/m</t>
    </r>
    <r>
      <rPr>
        <vertAlign val="superscript"/>
        <sz val="10"/>
        <color theme="1"/>
        <rFont val="Calibri"/>
        <family val="2"/>
        <scheme val="minor"/>
      </rPr>
      <t>2</t>
    </r>
    <r>
      <rPr>
        <sz val="10"/>
        <color theme="1"/>
        <rFont val="Calibri"/>
        <family val="2"/>
        <scheme val="minor"/>
      </rPr>
      <t>), and swinging doors no more than 0.5 cfm per square foot (2.6 L/s/m</t>
    </r>
    <r>
      <rPr>
        <vertAlign val="superscript"/>
        <sz val="10"/>
        <color theme="1"/>
        <rFont val="Calibri"/>
        <family val="2"/>
        <scheme val="minor"/>
      </rPr>
      <t>2</t>
    </r>
    <r>
      <rPr>
        <sz val="10"/>
        <color theme="1"/>
        <rFont val="Calibri"/>
        <family val="2"/>
        <scheme val="minor"/>
      </rPr>
      <t>), when tested in accordance with NFRC 400 or AAMA/WDMA/CSA 101/I.S.2/A440 by an accredited, independent laboratory and listed and labeled. This practice does not apply to site-built windows, skylights, and doors.</t>
    </r>
  </si>
  <si>
    <t>701.4.3.3.5</t>
  </si>
  <si>
    <t>701.4.3.5</t>
  </si>
  <si>
    <r>
      <t>701.4.3.5 Recessed lighting.</t>
    </r>
    <r>
      <rPr>
        <sz val="10"/>
        <color theme="1"/>
        <rFont val="Calibri"/>
        <family val="2"/>
        <scheme val="minor"/>
      </rPr>
      <t xml:space="preserve"> Recessed luminaires installed in the building thermal envelope are sealed to limit air leakage between conditioned and unconditioned spaces. All recessed luminaires are IC-rated and labeled as meeting ASTM E283 when tested at 1.57 psf (75 Pa) pressure differential with no more than 2.0 cfm (0.944 L/s) of air movement from the conditioned space to the ceiling cavity. All recessed luminaires are sealed with a gasket or caulk between the housing and the interior of the wall or ceiling covering. </t>
    </r>
  </si>
  <si>
    <t>701.4.4</t>
  </si>
  <si>
    <r>
      <t xml:space="preserve">701.4.4 High-efficacy lighting. </t>
    </r>
    <r>
      <rPr>
        <sz val="10"/>
        <color theme="1"/>
        <rFont val="Calibri"/>
        <family val="2"/>
        <scheme val="minor"/>
      </rPr>
      <t>Lighting efficacy in dwelling units is in accordance with one of the following:</t>
    </r>
  </si>
  <si>
    <t>A minimum of 75 percent of the total hard-wired lighting fixtures or the bulbs in those fixtures qualify as high efficacy or equivalent</t>
  </si>
  <si>
    <t>Lighting power density, measured in watts/square foot, is 1.1 or less.</t>
  </si>
  <si>
    <t>701.4.5</t>
  </si>
  <si>
    <r>
      <t>701.4.5 Boiler supply piping.</t>
    </r>
    <r>
      <rPr>
        <sz val="10"/>
        <color theme="1"/>
        <rFont val="Calibri"/>
        <family val="2"/>
        <scheme val="minor"/>
      </rPr>
      <t xml:space="preserve"> Boiler supply piping in unconditioned space is insulated.</t>
    </r>
  </si>
  <si>
    <t>702 PERFORMANCE PATH</t>
  </si>
  <si>
    <r>
      <t>702.1</t>
    </r>
    <r>
      <rPr>
        <sz val="10"/>
        <color theme="1"/>
        <rFont val="Calibri"/>
        <family val="2"/>
        <scheme val="minor"/>
      </rPr>
      <t xml:space="preserve"> </t>
    </r>
    <r>
      <rPr>
        <b/>
        <sz val="10"/>
        <color theme="1"/>
        <rFont val="Calibri"/>
        <family val="2"/>
        <scheme val="minor"/>
      </rPr>
      <t xml:space="preserve">Point allocation. </t>
    </r>
    <r>
      <rPr>
        <sz val="10"/>
        <color theme="1"/>
        <rFont val="Calibri"/>
        <family val="2"/>
        <scheme val="minor"/>
      </rPr>
      <t>Points from Section 702 (Performance Path) shall not be combined with points from Section 703 (Prescriptive Path) or Section 704 (HERS Index Target Path).</t>
    </r>
  </si>
  <si>
    <r>
      <t>702.2</t>
    </r>
    <r>
      <rPr>
        <sz val="10"/>
        <color theme="1"/>
        <rFont val="Calibri"/>
        <family val="2"/>
        <scheme val="minor"/>
      </rPr>
      <t xml:space="preserve"> </t>
    </r>
    <r>
      <rPr>
        <b/>
        <sz val="10"/>
        <color theme="1"/>
        <rFont val="Calibri"/>
        <family val="2"/>
        <scheme val="minor"/>
      </rPr>
      <t xml:space="preserve">Energy performance levels. </t>
    </r>
  </si>
  <si>
    <t>702.2.1</t>
  </si>
  <si>
    <r>
      <t>702.2.1 ICC IECC analysis.</t>
    </r>
    <r>
      <rPr>
        <sz val="10"/>
        <color theme="1"/>
        <rFont val="Calibri"/>
        <family val="2"/>
        <scheme val="minor"/>
      </rPr>
      <t xml:space="preserve"> Energy efficiency features are implemented to achieve energy cost or source energy performance that meets the ICC IECC. A documented analysis using software in accordance with ICC IECC, Section R405, or ICC IECC Section C407.2 through C407.5, applied as defined in the ICC IECC, is required. </t>
    </r>
  </si>
  <si>
    <t>702.2.2</t>
  </si>
  <si>
    <r>
      <t>702.2.2 Energy performance analysis.</t>
    </r>
    <r>
      <rPr>
        <sz val="10"/>
        <color theme="1"/>
        <rFont val="Calibri"/>
        <family val="2"/>
        <scheme val="minor"/>
      </rPr>
      <t xml:space="preserve"> Energy savings levels above the ICC IECC are determined through an analysis that includes improvements in building envelope, air infiltration, heating system efficiencies, cooling system efficiencies, duct sealing, water heating system efficiencies, lighting, and appliances. Points are assigned using the following formula:</t>
    </r>
  </si>
  <si>
    <t>Points = 30 + (percent above ICC IECC 2015) * 2</t>
  </si>
  <si>
    <t>702.2.3</t>
  </si>
  <si>
    <r>
      <t>702.2.3 Tropical standard reference design.</t>
    </r>
    <r>
      <rPr>
        <sz val="10"/>
        <color theme="1"/>
        <rFont val="Calibri"/>
        <family val="2"/>
        <scheme val="minor"/>
      </rPr>
      <t xml:space="preserve"> For the Tropical Climate Zone, the standard reference design shall use the specifications in IECC Section R401.2.1 (Tropical Zone).</t>
    </r>
  </si>
  <si>
    <t>703 PRESCRIPTIVE PATH</t>
  </si>
  <si>
    <t>703.1 Mandatory practices.</t>
  </si>
  <si>
    <t>703.1.1</t>
  </si>
  <si>
    <r>
      <t xml:space="preserve">703.1.1 UA Compliance. </t>
    </r>
    <r>
      <rPr>
        <sz val="10"/>
        <color theme="1"/>
        <rFont val="Calibri"/>
        <family val="2"/>
        <scheme val="minor"/>
      </rPr>
      <t>The building thermal envelope is in compliance with Section 703.1.1.1 or 703.1.1.2.</t>
    </r>
  </si>
  <si>
    <t>701.1.1.1</t>
  </si>
  <si>
    <t>703.1.1.1</t>
  </si>
  <si>
    <r>
      <t xml:space="preserve">703.1.1.1 Maximum UA.  </t>
    </r>
    <r>
      <rPr>
        <sz val="10"/>
        <color theme="1"/>
        <rFont val="Calibri"/>
        <family val="2"/>
        <scheme val="minor"/>
      </rPr>
      <t>For IECC residential, the total building UA is less than or equal to the total maximum UA as computed by 2015 IECC Section R402.1.5.  For IECC commercial, the total UA is less than or equal to the sum of the UA for 2015 IECC Tables C402.1.4 and C402.4, including the U-factor times the area and C-factor or F-factor times the perimeter. The total UA proposed and baseline calculations are documented. REScheck or COMcheck is deemed to provide UA calculation documentation.</t>
    </r>
  </si>
  <si>
    <t>701.1.1.2</t>
  </si>
  <si>
    <t>703.1.1.2</t>
  </si>
  <si>
    <r>
      <t xml:space="preserve">703.1.1.2 Prescriptive R-values and Fenestration Requirements. </t>
    </r>
    <r>
      <rPr>
        <sz val="10"/>
        <color theme="1"/>
        <rFont val="Calibri"/>
        <family val="2"/>
        <scheme val="minor"/>
      </rPr>
      <t>The building thermal envelope is in accordance with the insulation and fenestration requirements of 2015 IECC Table R402.1.1 or Tables C402.1.3 and C402.4. The SHGC is in accordance with the 2015 IECC requirements.</t>
    </r>
  </si>
  <si>
    <t>703.1.2</t>
  </si>
  <si>
    <r>
      <t xml:space="preserve">703.1.2 Building Envelope Leakage. </t>
    </r>
    <r>
      <rPr>
        <sz val="10"/>
        <color theme="1"/>
        <rFont val="Calibri"/>
        <family val="2"/>
        <scheme val="minor"/>
      </rPr>
      <t>The building thermal envelope is in accordance with 2015 IECC R402.4.1.2 or C402.5 as applicable.</t>
    </r>
  </si>
  <si>
    <t>703.1.3</t>
  </si>
  <si>
    <r>
      <t>703.1.3 Duct Testing.</t>
    </r>
    <r>
      <rPr>
        <sz val="10"/>
        <color theme="1"/>
        <rFont val="Calibri"/>
        <family val="2"/>
        <scheme val="minor"/>
      </rPr>
      <t xml:space="preserve">  The duct system is in accordance with 2015 IECC R403.3.2 through R403.3.5 as applicable.</t>
    </r>
  </si>
  <si>
    <t>703.2 Building envelope</t>
  </si>
  <si>
    <t>703.2.1</t>
  </si>
  <si>
    <r>
      <t>703.2.1 UA improvement.</t>
    </r>
    <r>
      <rPr>
        <sz val="10"/>
        <color theme="1"/>
        <rFont val="Calibri"/>
        <family val="2"/>
        <scheme val="minor"/>
      </rPr>
      <t xml:space="preserve"> The total building thermal envelope UA is less than or equal to the total UA resulting from the U-factors provided in Table 703.2.1(a) or IECC Tables C402.1.4 and C402.4, as applicable. Where insulation is used to achieve the UA improvement, the insulation installation is in accordance with Grade 1 requirements as graded by a third-party. Total UA is documented using a RESCheck, COMCheck, or equivalent report to verify the baseline and the UA improvement.</t>
    </r>
  </si>
  <si>
    <t>Per Table 703.2.1(b)</t>
  </si>
  <si>
    <t>703.2.2</t>
  </si>
  <si>
    <r>
      <t xml:space="preserve">703.2.2 Mass walls. </t>
    </r>
    <r>
      <rPr>
        <sz val="10"/>
        <color theme="1"/>
        <rFont val="Calibri"/>
        <family val="2"/>
        <scheme val="minor"/>
      </rPr>
      <t xml:space="preserve">More than 75 percent of the above-grade exterior opaque wall area of the building is mass walls. </t>
    </r>
  </si>
  <si>
    <t>Per Table 703.2.2</t>
  </si>
  <si>
    <t>703.2.3</t>
  </si>
  <si>
    <r>
      <t xml:space="preserve">703.2.3 </t>
    </r>
    <r>
      <rPr>
        <sz val="10"/>
        <color theme="1"/>
        <rFont val="Calibri"/>
        <family val="2"/>
        <scheme val="minor"/>
      </rPr>
      <t>A radiant barrier with an emittance of 0.05 or less is used in the attic. The product is tested in accordance with ASTM C1371 and installed in accordance with the manufacturer's instructions.</t>
    </r>
  </si>
  <si>
    <t>703.2.4</t>
  </si>
  <si>
    <r>
      <t>703.2.4 Building envelope leakage</t>
    </r>
    <r>
      <rPr>
        <sz val="10"/>
        <color theme="1"/>
        <rFont val="Calibri"/>
        <family val="2"/>
        <scheme val="minor"/>
      </rPr>
      <t>. The maximum building envelope leakage rate is in accordance with Table 703.2.4 and whole building ventilation is provided in accordance with Section 902.2.1.</t>
    </r>
  </si>
  <si>
    <t>Per Table 703.2.4</t>
  </si>
  <si>
    <t>703.2.5</t>
  </si>
  <si>
    <t>703.2.5 Fenestration</t>
  </si>
  <si>
    <t>703.2.5.1</t>
  </si>
  <si>
    <r>
      <rPr>
        <b/>
        <sz val="10"/>
        <color theme="1"/>
        <rFont val="Calibri"/>
        <family val="2"/>
        <scheme val="minor"/>
      </rPr>
      <t>703.2.5.1</t>
    </r>
    <r>
      <rPr>
        <sz val="10"/>
        <color theme="1"/>
        <rFont val="Calibri"/>
        <family val="2"/>
        <scheme val="minor"/>
      </rPr>
      <t xml:space="preserve"> NFRC-certified (or equivalent) U-factor and SHGC of windows, exterior doors, skylights, and tubular daylighting devices (TDDs) on an area-weighted average basis do not exceed the values in Table 703.2.5.1. Area weighted averages are calculated separately for the categories of 1) windows and exterior doors and 2) skylights and tubular daylighting devices (TDDs). Decorative fenestration elements with a combined total maximum area of 15 square feet (1.39 m2) or 10 percent of the total glazing area, whichever is less, are not required to comply with this practice.</t>
    </r>
  </si>
  <si>
    <t>703.2.5.1.1</t>
  </si>
  <si>
    <r>
      <t>703.2.5.1.1 Dynamic glazing.</t>
    </r>
    <r>
      <rPr>
        <sz val="10"/>
        <color theme="1"/>
        <rFont val="Calibri"/>
        <family val="2"/>
        <scheme val="minor"/>
      </rPr>
      <t xml:space="preserve"> Dynamic glazing is permitted to satisfy the SHGC requirements of Table 703.2.5.1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 703.2.5.1.</t>
    </r>
  </si>
  <si>
    <t>703.2.5.2</t>
  </si>
  <si>
    <r>
      <t xml:space="preserve">703.2.5.2 </t>
    </r>
    <r>
      <rPr>
        <sz val="10"/>
        <color theme="1"/>
        <rFont val="Calibri"/>
        <family val="2"/>
        <scheme val="minor"/>
      </rPr>
      <t>The NFRC-certified (or equivalent) U-factor and SHGC of windows, exterior doors, skylights, and tubular daylighting devices (TDDs) are in accordance with Table 703.2.5.2(a), (b), or (c). Decorative fenestration elements with a combined total maximum area of 15 square feet (1.39 m</t>
    </r>
    <r>
      <rPr>
        <vertAlign val="superscript"/>
        <sz val="10"/>
        <color theme="1"/>
        <rFont val="Calibri"/>
        <family val="2"/>
        <scheme val="minor"/>
      </rPr>
      <t>2</t>
    </r>
    <r>
      <rPr>
        <sz val="10"/>
        <color theme="1"/>
        <rFont val="Calibri"/>
        <family val="2"/>
        <scheme val="minor"/>
      </rPr>
      <t xml:space="preserve">) or 10 percent of the total glazing area, whichever is less, are not required to comply with this practice. </t>
    </r>
  </si>
  <si>
    <t>703.2.5.2.1</t>
  </si>
  <si>
    <r>
      <t xml:space="preserve">703.2.5.2.1 Dynamic glazing. </t>
    </r>
    <r>
      <rPr>
        <sz val="10"/>
        <color theme="1"/>
        <rFont val="Calibri"/>
        <family val="2"/>
        <scheme val="minor"/>
      </rPr>
      <t>Dynamic glazing is permitted to satisfy the SHGC requirements of Tables 703.2.5.2(a), 703.2.5.2(b), and 703.2.5.2(c)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Tables 703.2.5.2(a), 703.2.5.2(b), and 703.2.5.2(c).</t>
    </r>
  </si>
  <si>
    <t>703.3.0</t>
  </si>
  <si>
    <t>HVAC equipment efficiency</t>
  </si>
  <si>
    <r>
      <t xml:space="preserve">703.3.0 Multiple heating and cooling systems. </t>
    </r>
    <r>
      <rPr>
        <sz val="10"/>
        <color theme="1"/>
        <rFont val="Calibri"/>
        <family val="2"/>
        <scheme val="minor"/>
      </rPr>
      <t>For multiple heating or cooling systems in one home, practices 703.3.1 through 703.3.6 apply to the system that supplies 80% or more of the total installed heating or cooling capacity. Where multiple systems each serve less than 80% of the total installed heating or cooling capacity, points under Sections 703.3.1 through 703.3.6 are awarded either for the system eligible for the fewest points or the weighted average of the systems. The weighted average shall be calculated in accordance with the following equation and be based upon the efficiency and capacity of the equipment as selected in accordance with ACCA Manual S with it loads calculated in accordance with ACCA Manual J.</t>
    </r>
  </si>
  <si>
    <t>E = Rated AHRI efficiency for unit</t>
  </si>
  <si>
    <t>C = Rated heating or cooling capacity for unit</t>
  </si>
  <si>
    <r>
      <t xml:space="preserve">n </t>
    </r>
    <r>
      <rPr>
        <sz val="10"/>
        <color theme="1"/>
        <rFont val="Calibri"/>
        <family val="2"/>
        <scheme val="minor"/>
      </rPr>
      <t>= Unit count</t>
    </r>
    <r>
      <rPr>
        <i/>
        <sz val="10"/>
        <color theme="1"/>
        <rFont val="Calibri"/>
        <family val="2"/>
        <scheme val="minor"/>
      </rPr>
      <t xml:space="preserve"> </t>
    </r>
  </si>
  <si>
    <t>703.3.1</t>
  </si>
  <si>
    <r>
      <t xml:space="preserve">703.3.1 </t>
    </r>
    <r>
      <rPr>
        <sz val="10"/>
        <color theme="1"/>
        <rFont val="Calibri"/>
        <family val="2"/>
        <scheme val="minor"/>
      </rPr>
      <t xml:space="preserve">Combination space heating and water heating system (combo system) is installed using either a coil from the water heater connected to an air handler to provide heat for the building or dwelling unit, or a space heating boiler using an indirect-fired water heater. Devices have a minimum combined annual efficiency of 0.80 and a minimum water heating recovery efficiency of 0.87. </t>
    </r>
  </si>
  <si>
    <t xml:space="preserve">703.3.2 </t>
  </si>
  <si>
    <r>
      <t xml:space="preserve">703.3.2 </t>
    </r>
    <r>
      <rPr>
        <sz val="10"/>
        <color theme="1"/>
        <rFont val="Calibri"/>
        <family val="2"/>
        <scheme val="minor"/>
      </rPr>
      <t xml:space="preserve">Furnace and/or boiler efficiency is in accordance with one of the following: </t>
    </r>
  </si>
  <si>
    <t>Gas and propane heaters:</t>
  </si>
  <si>
    <t>Oil furnace:</t>
  </si>
  <si>
    <t>Gas boiler:</t>
  </si>
  <si>
    <t>Oil boiler:</t>
  </si>
  <si>
    <t xml:space="preserve">703.3.3 </t>
  </si>
  <si>
    <r>
      <t xml:space="preserve">703.3.3 </t>
    </r>
    <r>
      <rPr>
        <sz val="10"/>
        <color theme="1"/>
        <rFont val="Calibri"/>
        <family val="2"/>
        <scheme val="minor"/>
      </rPr>
      <t>Heat pump heating efficiency is in accordance with Table 703.3.3(1) or Table 703.3.3(2) or Table 703.3.3(3). Refrigerant charge is verified for compliance with manufacturer’s instructions utilizing a method in Section 4.3 of ACCA 5 QI-2010.</t>
    </r>
  </si>
  <si>
    <t>703.3.4</t>
  </si>
  <si>
    <r>
      <t xml:space="preserve">703.3.4 </t>
    </r>
    <r>
      <rPr>
        <sz val="10"/>
        <color theme="1"/>
        <rFont val="Calibri"/>
        <family val="2"/>
        <scheme val="minor"/>
      </rPr>
      <t>Cooling efficiency is in accordance with Table 703.3.4(1) or Table 703.3.4(2). Refrigerant charge is verified for compliance with manufacturer’s instructions utilizing a method in Section 4.3 of ACCA 5 QI-2010.</t>
    </r>
  </si>
  <si>
    <t>703.3.5</t>
  </si>
  <si>
    <r>
      <t>703.3.5</t>
    </r>
    <r>
      <rPr>
        <sz val="10"/>
        <color theme="1"/>
        <rFont val="Calibri"/>
        <family val="2"/>
        <scheme val="minor"/>
      </rPr>
      <t xml:space="preserve"> Water source cooling and heating efficiency is in accordance with Table 703.3.5. Refrigerant charge is verified for compliance with manufacturer’s instructions utilizing a method in Section 4.3 of ACCA 5 QI-2010.</t>
    </r>
  </si>
  <si>
    <t>703.3.6</t>
  </si>
  <si>
    <t>703.3.7</t>
  </si>
  <si>
    <r>
      <t xml:space="preserve">703.3.7 </t>
    </r>
    <r>
      <rPr>
        <sz val="10"/>
        <color theme="1"/>
        <rFont val="Calibri"/>
        <family val="2"/>
        <scheme val="minor"/>
      </rPr>
      <t>ENERGY STAR, or equivalent, ceiling fans are installed.</t>
    </r>
  </si>
  <si>
    <t>(Points awarded per building.)</t>
  </si>
  <si>
    <t xml:space="preserve">Note for Tropical Climate Zone and Climate Zones 2B, 3B, and 4B: points awarded per fan where AC is not installed in the dwelling unit (Max 8 points), and where points awarded in Section 703.3.8 for these specific climate zones, points shall not be awarded in Section 703.3.7 </t>
  </si>
  <si>
    <t>703.3.8</t>
  </si>
  <si>
    <r>
      <t xml:space="preserve">703.3.8 </t>
    </r>
    <r>
      <rPr>
        <sz val="10"/>
        <color theme="1"/>
        <rFont val="Calibri"/>
        <family val="2"/>
        <scheme val="minor"/>
      </rPr>
      <t>Whole-building or whole-dwelling unit fan(s) with insulated louvers and a sealed enclosure is installed.</t>
    </r>
  </si>
  <si>
    <t>703.4 Duct Systems</t>
  </si>
  <si>
    <t>703.4.1</t>
  </si>
  <si>
    <r>
      <t>703.4.1</t>
    </r>
    <r>
      <rPr>
        <sz val="10"/>
        <color theme="1"/>
        <rFont val="Calibri"/>
        <family val="2"/>
        <scheme val="minor"/>
      </rPr>
      <t xml:space="preserve"> All space heating is provided by a system(s) that does not include air ducts.</t>
    </r>
  </si>
  <si>
    <t>(No points awarded for multifamily buildings four or more stories in height.)</t>
  </si>
  <si>
    <t>703.4.2</t>
  </si>
  <si>
    <r>
      <t>703.4.2</t>
    </r>
    <r>
      <rPr>
        <sz val="10"/>
        <color theme="1"/>
        <rFont val="Calibri"/>
        <family val="2"/>
        <scheme val="minor"/>
      </rPr>
      <t xml:space="preserve"> All space cooling is provided by a system(s) that does not include air ducts.</t>
    </r>
  </si>
  <si>
    <t>703.4.3</t>
  </si>
  <si>
    <r>
      <t>703.4.3</t>
    </r>
    <r>
      <rPr>
        <sz val="10"/>
        <color theme="1"/>
        <rFont val="Calibri"/>
        <family val="2"/>
        <scheme val="minor"/>
      </rPr>
      <t xml:space="preserve"> Ductwork is in accordance with all of the following: </t>
    </r>
  </si>
  <si>
    <t>Building cavities are not used as return ductwork.</t>
  </si>
  <si>
    <t>Heating and cooling ducts and mechanical equipment are installed within the conditioned building space.</t>
  </si>
  <si>
    <t>Ductwork is not installed in exterior walls.</t>
  </si>
  <si>
    <t>703.4.4</t>
  </si>
  <si>
    <r>
      <t xml:space="preserve">703.4.4 Duct Leakage. </t>
    </r>
    <r>
      <rPr>
        <sz val="10"/>
        <color theme="1"/>
        <rFont val="Calibri"/>
        <family val="2"/>
        <scheme val="minor"/>
      </rPr>
      <t xml:space="preserve">The entire central HVAC duct system, including air handlers and register boots, is tested by a third party for total leakage at a pressure differential of 0.1 inches w.g. (25 Pa) and maximum air leakage is equal to or less than 6 percent of the system design flow rate or 4 cubic feet per minute per 100 square feet of conditioned floor area. </t>
    </r>
  </si>
  <si>
    <t>(Points not awarded if points are taken under Section 705.6.2.3)</t>
  </si>
  <si>
    <t>703.5 Water heating system</t>
  </si>
  <si>
    <t>703.5.1</t>
  </si>
  <si>
    <r>
      <t>703.5.1</t>
    </r>
    <r>
      <rPr>
        <sz val="10"/>
        <color theme="1"/>
        <rFont val="Calibri"/>
        <family val="2"/>
        <scheme val="minor"/>
      </rPr>
      <t xml:space="preserve"> Water heater Energy Factor (EF) is in accordance with the following:</t>
    </r>
  </si>
  <si>
    <t>Gas water heating</t>
  </si>
  <si>
    <t>Electric water heating</t>
  </si>
  <si>
    <t>Heat pump water heating</t>
  </si>
  <si>
    <t>703.5.2</t>
  </si>
  <si>
    <r>
      <t>703.5.2</t>
    </r>
    <r>
      <rPr>
        <sz val="10"/>
        <color theme="1"/>
        <rFont val="Calibri"/>
        <family val="2"/>
        <scheme val="minor"/>
      </rPr>
      <t xml:space="preserve"> Desuperheater is installed by a qualified installer or is pre-installed in the factory.</t>
    </r>
  </si>
  <si>
    <t>703.5.3</t>
  </si>
  <si>
    <r>
      <t>703.5.3</t>
    </r>
    <r>
      <rPr>
        <sz val="10"/>
        <color theme="1"/>
        <rFont val="Calibri"/>
        <family val="2"/>
        <scheme val="minor"/>
      </rPr>
      <t xml:space="preserve"> Drain-water heat recovery system is installed. </t>
    </r>
  </si>
  <si>
    <r>
      <t xml:space="preserve">703.5.4 </t>
    </r>
    <r>
      <rPr>
        <sz val="10"/>
        <color theme="1"/>
        <rFont val="Calibri"/>
        <family val="2"/>
        <scheme val="minor"/>
      </rPr>
      <t>Indirect-fired water heater storage tanks heated from boiler systems are installed.</t>
    </r>
  </si>
  <si>
    <t>703.5.5</t>
  </si>
  <si>
    <t>703.6 Lighting and appliances</t>
  </si>
  <si>
    <t>703.6.1</t>
  </si>
  <si>
    <r>
      <t>703.6.1 Hard-wired lighting.</t>
    </r>
    <r>
      <rPr>
        <sz val="10"/>
        <color theme="1"/>
        <rFont val="Calibri"/>
        <family val="2"/>
        <scheme val="minor"/>
      </rPr>
      <t xml:space="preserve"> Hard-wired lighting is in accordance with one of the following: </t>
    </r>
  </si>
  <si>
    <r>
      <t>A minimum of</t>
    </r>
    <r>
      <rPr>
        <b/>
        <sz val="10"/>
        <color theme="1"/>
        <rFont val="Calibri"/>
        <family val="2"/>
        <scheme val="minor"/>
      </rPr>
      <t xml:space="preserve"> </t>
    </r>
    <r>
      <rPr>
        <sz val="10"/>
        <color theme="1"/>
        <rFont val="Calibri"/>
        <family val="2"/>
        <scheme val="minor"/>
      </rPr>
      <t>80 percent of the exterior lighting wattage has a minimum efficacy of 40 lumens per watt or is solar-powered.</t>
    </r>
    <r>
      <rPr>
        <b/>
        <sz val="10"/>
        <color theme="1"/>
        <rFont val="Calibri"/>
        <family val="2"/>
        <scheme val="minor"/>
      </rPr>
      <t xml:space="preserve"> </t>
    </r>
  </si>
  <si>
    <t>In multifamily buildings, common area lighting power density (LPD) is less than 0.51 Watts per square foot.</t>
  </si>
  <si>
    <t xml:space="preserve">703.6.2 </t>
  </si>
  <si>
    <r>
      <t>703.6.2 Appliances.</t>
    </r>
    <r>
      <rPr>
        <sz val="10"/>
        <color theme="1"/>
        <rFont val="Calibri"/>
        <family val="2"/>
        <scheme val="minor"/>
      </rPr>
      <t xml:space="preserve"> ENERGY STAR or equivalent appliance(s) are installed:</t>
    </r>
  </si>
  <si>
    <t>Refrigerator</t>
  </si>
  <si>
    <t>Dishwasher</t>
  </si>
  <si>
    <t>Washing machine</t>
  </si>
  <si>
    <t>703.7 Passive solar design</t>
  </si>
  <si>
    <t>703.7.1</t>
  </si>
  <si>
    <r>
      <t>703.7.1</t>
    </r>
    <r>
      <rPr>
        <sz val="10"/>
        <color theme="1"/>
        <rFont val="Calibri"/>
        <family val="2"/>
        <scheme val="minor"/>
      </rPr>
      <t xml:space="preserve"> </t>
    </r>
    <r>
      <rPr>
        <b/>
        <sz val="10"/>
        <color theme="1"/>
        <rFont val="Calibri"/>
        <family val="2"/>
        <scheme val="minor"/>
      </rPr>
      <t xml:space="preserve">Sun-tempered design. </t>
    </r>
    <r>
      <rPr>
        <sz val="10"/>
        <color theme="1"/>
        <rFont val="Calibri"/>
        <family val="2"/>
        <scheme val="minor"/>
      </rPr>
      <t>Building orientation, sizing of glazing, and design of overhangs are in accordance with all of the following:</t>
    </r>
  </si>
  <si>
    <t>The long side (or one side if of equal length) of the building faces within 20 degrees of true south.</t>
  </si>
  <si>
    <t>Vertical glazing area is between 5 and 7 percent of the gross conditioned floor area on the south face [also see Section 703.7.1(8)].</t>
  </si>
  <si>
    <t>Vertical glazing area is less than 2 percent of the gross conditioned floor area on the west face, and glazing is ENERGY STAR compliant or equivalent.</t>
  </si>
  <si>
    <t>Vertical glazing area is less than 4 percent of the gross conditioned floor area on the east face, and glazing is ENERGY STAR compliant or equivalent.</t>
  </si>
  <si>
    <t>Vertical glazing area is less than 8 percent of the gross conditioned floor area on the north face, and glazing is ENERGY STAR compliant or equivalent.</t>
  </si>
  <si>
    <t>Skylights, where installed, are in accordance with the following:</t>
  </si>
  <si>
    <t>shades and insulated wells are used, and all glazing is ENERGY STAR compliant or equivalent</t>
  </si>
  <si>
    <t>horizontal skylights are less than 0.5 percent of finished ceiling area</t>
  </si>
  <si>
    <t>sloped skylights on slopes facing within 45 degrees of true south, east, or west are less than 1.5 percent of the finished ceiling area</t>
  </si>
  <si>
    <t>The south face windows have a SHGC of 0.40 or higher.</t>
  </si>
  <si>
    <t>Return air or transfer grilles/ducts are in accordance with Section 705.4.</t>
  </si>
  <si>
    <t xml:space="preserve">703.7.2 </t>
  </si>
  <si>
    <r>
      <t>703.7.2 Window shading.</t>
    </r>
    <r>
      <rPr>
        <sz val="10"/>
        <color theme="1"/>
        <rFont val="Calibri"/>
        <family val="2"/>
        <scheme val="minor"/>
      </rPr>
      <t xml:space="preserve"> Automated solar protection or dynamic glazing is installed to provide shading for windows.</t>
    </r>
  </si>
  <si>
    <t>703.7.3</t>
  </si>
  <si>
    <r>
      <t>703.7.3 Passive cooling design.</t>
    </r>
    <r>
      <rPr>
        <sz val="10"/>
        <color theme="1"/>
        <rFont val="Calibri"/>
        <family val="2"/>
        <scheme val="minor"/>
      </rPr>
      <t xml:space="preserve"> Passive cooling design features are in accordance with three or more of the following:</t>
    </r>
  </si>
  <si>
    <t>Points for three items:</t>
  </si>
  <si>
    <t>Points for one additional item:</t>
  </si>
  <si>
    <t>Exterior shading is provided on east and west windows using one or a combination of the following:</t>
  </si>
  <si>
    <t>vine-covered trellises with the vegetation separated a minimum of 1 foot (305 mm) from face of building</t>
  </si>
  <si>
    <t>moveable awnings or louvers</t>
  </si>
  <si>
    <t>covered porches</t>
  </si>
  <si>
    <t>attached or detached conditioned/unconditioned enclosed space that provides full shade of east and west windows (e.g., detached garage, shed, or building)</t>
  </si>
  <si>
    <t xml:space="preserve">Overhangs are installed to provide shading on south-facing glazing in accordance with Section 703.7.1(7). </t>
  </si>
  <si>
    <t>(Points not awarded if points are taken under Section 703.7.1.)</t>
  </si>
  <si>
    <t>Windows and/or venting skylights are located to facilitate cross ventilation.</t>
  </si>
  <si>
    <t>Solar reflective roof or radiant barrier is installed in climate zones 1, 2, or 3 and roof material achieves a 3-year aged criteria of 0.50.</t>
  </si>
  <si>
    <t>Internal exposed thermal mass is a minimum of three inches (76 mm) in thickness. Thermal mass consists of concrete, brick, and/or tile fully adhered to a masonry base or other masonry material in accordance with one or a combination of the following:</t>
  </si>
  <si>
    <r>
      <t>A minimum of 1 square foot (0.09 m</t>
    </r>
    <r>
      <rPr>
        <vertAlign val="superscript"/>
        <sz val="10"/>
        <color theme="1"/>
        <rFont val="Calibri"/>
        <family val="2"/>
        <scheme val="minor"/>
      </rPr>
      <t>2</t>
    </r>
    <r>
      <rPr>
        <sz val="10"/>
        <color theme="1"/>
        <rFont val="Calibri"/>
        <family val="2"/>
        <scheme val="minor"/>
      </rPr>
      <t>) of exposed thermal mass of floor per 3 square feet (2.8 m</t>
    </r>
    <r>
      <rPr>
        <vertAlign val="superscript"/>
        <sz val="10"/>
        <color theme="1"/>
        <rFont val="Calibri"/>
        <family val="2"/>
        <scheme val="minor"/>
      </rPr>
      <t>2</t>
    </r>
    <r>
      <rPr>
        <sz val="10"/>
        <color theme="1"/>
        <rFont val="Calibri"/>
        <family val="2"/>
        <scheme val="minor"/>
      </rPr>
      <t>) of gross finished floor area.</t>
    </r>
  </si>
  <si>
    <r>
      <t>A minimum of 3 square feet (2.8 m</t>
    </r>
    <r>
      <rPr>
        <vertAlign val="superscript"/>
        <sz val="10"/>
        <color theme="1"/>
        <rFont val="Calibri"/>
        <family val="2"/>
        <scheme val="minor"/>
      </rPr>
      <t>2</t>
    </r>
    <r>
      <rPr>
        <sz val="10"/>
        <color theme="1"/>
        <rFont val="Calibri"/>
        <family val="2"/>
        <scheme val="minor"/>
      </rPr>
      <t>) of exposed thermal mass in interior walls or elements per square foot (0.09 m</t>
    </r>
    <r>
      <rPr>
        <vertAlign val="superscript"/>
        <sz val="10"/>
        <color theme="1"/>
        <rFont val="Calibri"/>
        <family val="2"/>
        <scheme val="minor"/>
      </rPr>
      <t>2</t>
    </r>
    <r>
      <rPr>
        <sz val="10"/>
        <color theme="1"/>
        <rFont val="Calibri"/>
        <family val="2"/>
        <scheme val="minor"/>
      </rPr>
      <t>) of gross finished floor area.</t>
    </r>
  </si>
  <si>
    <t>Roofing material is installed with a minimum 0.75 inch (19 mm) continuous air space offset from the roof deck from eave to ridge.</t>
  </si>
  <si>
    <t>703.7.4</t>
  </si>
  <si>
    <r>
      <t>703.7.4</t>
    </r>
    <r>
      <rPr>
        <sz val="10"/>
        <color theme="1"/>
        <rFont val="Calibri"/>
        <family val="2"/>
      </rPr>
      <t xml:space="preserve"> </t>
    </r>
    <r>
      <rPr>
        <b/>
        <sz val="10"/>
        <color theme="1"/>
        <rFont val="Calibri"/>
        <family val="2"/>
      </rPr>
      <t>Passive solar heating design</t>
    </r>
    <r>
      <rPr>
        <sz val="10"/>
        <color theme="1"/>
        <rFont val="Calibri"/>
        <family val="2"/>
      </rPr>
      <t xml:space="preserve">. In addition to the sun-tempered design features in Section 703.7.1, all of the following are implemented: </t>
    </r>
  </si>
  <si>
    <t xml:space="preserve">Note: Points shall not be awarded in the Tropical Climate Zone. </t>
  </si>
  <si>
    <t>Additional glazing, no greater than 12 percent, is permitted on the south wall. This additional glazing is in accordance with the requirements of Section 703.7.1.</t>
  </si>
  <si>
    <t>Additional thermal mass for any room with south-facing glazing of more than 7 percent of the finished floor area is provided in accordance with the following:</t>
  </si>
  <si>
    <t>Thermal mass is solid and a minimum of 3 inches (76 mm) in thickness. Where two thermal mass materials are layered together (e.g., ceramic tile on concrete base) to achieve the appropriate thickness, they are fully adhered to (touching) each other.</t>
  </si>
  <si>
    <t>Thermal mass directly exposed to sunlight is provided in accordance with the following minimum ratios:</t>
  </si>
  <si>
    <r>
      <t>Above latitude 35 degrees: 5 square feet (0.465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</si>
  <si>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t>
  </si>
  <si>
    <r>
      <t>Latitude 30 degrees to 35 degrees: 5.5 square feet (0.51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</si>
  <si>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(iii)</t>
  </si>
  <si>
    <r>
      <t>Latitude 25 degrees to 30 degrees: 6 square feet (0.557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</si>
  <si>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r>
      <t>Thermal mass not directly exposed to sunlight is permitted to be used to achieve thermal mass requirements of Section 703.7.4 (2) based on a ratio of 40 square feet (3.72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</si>
  <si>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 xml:space="preserve">In addition to return air or transfer grilles/ducts required by Section 703.7.1(9), provisions for forced airflow to adjoining areas are implemented as needed. </t>
  </si>
  <si>
    <t>704 HERS INDEX TARGET PATH</t>
  </si>
  <si>
    <r>
      <t>704.1 HERS index Target Compliance.</t>
    </r>
    <r>
      <rPr>
        <sz val="10"/>
        <color theme="1"/>
        <rFont val="Calibri"/>
        <family val="2"/>
        <scheme val="minor"/>
      </rPr>
      <t xml:space="preserve">  Compliance with the energy chapter shall be permitted to be based on the EPA HERS Index Target Procedure for Energy Star Qualified Homes.  Points from Section 704 (HERS Index Target) shall not be combined with points from Section 702 (Performance Path) or Section 703 (Prescriptive Path).</t>
    </r>
  </si>
  <si>
    <r>
      <t>704.2 Point calculation.</t>
    </r>
    <r>
      <rPr>
        <sz val="10"/>
        <color theme="1"/>
        <rFont val="Calibri"/>
        <family val="2"/>
        <scheme val="minor"/>
      </rPr>
      <t xml:space="preserve">  Points for Section 704 shall be computed based on Steps “1a” through “1d” of the EPA HERS Index Target Procedure.  Points shall be computed individually for each building as follows:</t>
    </r>
  </si>
  <si>
    <t>705 ADDITIONAL PRACTICES</t>
  </si>
  <si>
    <t>705.2 Lighting</t>
  </si>
  <si>
    <t>705.2.1</t>
  </si>
  <si>
    <t>705.2.1 Lighting controls</t>
  </si>
  <si>
    <r>
      <t xml:space="preserve"> </t>
    </r>
    <r>
      <rPr>
        <b/>
        <sz val="10"/>
        <color theme="1"/>
        <rFont val="Calibri"/>
        <family val="2"/>
        <scheme val="minor"/>
      </rPr>
      <t xml:space="preserve">(Percentages for point thresholds are based on lighting not required for means of egress or security lighting as defined by local building codes.) </t>
    </r>
  </si>
  <si>
    <t>705.2.1.1</t>
  </si>
  <si>
    <r>
      <t xml:space="preserve">705.2.1.1 Interior lighting.  </t>
    </r>
    <r>
      <rPr>
        <sz val="10"/>
        <color theme="1"/>
        <rFont val="Calibri"/>
        <family val="2"/>
        <scheme val="minor"/>
      </rPr>
      <t>In dwelling units, permanently installed interior lighting fixtures are controlled with an occupancy sensor, or dimmer:</t>
    </r>
  </si>
  <si>
    <t>50 percent to less than 75 percent of lighting fixtures.</t>
  </si>
  <si>
    <t>A minimum of 75 percent of lighting fixtures.</t>
  </si>
  <si>
    <t>705.2.1.2</t>
  </si>
  <si>
    <r>
      <t xml:space="preserve">705.2.1.2 Exterior lighting. </t>
    </r>
    <r>
      <rPr>
        <sz val="10"/>
        <color theme="1"/>
        <rFont val="Calibri"/>
        <family val="2"/>
        <scheme val="minor"/>
      </rPr>
      <t>Photo or motion sensors are installed on 75 percent of outdoor lighting fixtures to control lighting.</t>
    </r>
  </si>
  <si>
    <t>705.2.1.3</t>
  </si>
  <si>
    <t xml:space="preserve">705.2.1.3 Multifamily common areas.  </t>
  </si>
  <si>
    <t xml:space="preserve">In a multifamily building, occupancy sensors, or dimmers are installed in common areas (except corridors and stairwells).   </t>
  </si>
  <si>
    <t>In a multifamily building, occupancy controls are installed to automatically reduce light levels in interior corridors and exit stairwells when the space is unoccupied. Light levels are reduced by:</t>
  </si>
  <si>
    <t>50 percent to less than 75 percent or to local minimum requirements</t>
  </si>
  <si>
    <t xml:space="preserve">A minimum of 75 percent </t>
  </si>
  <si>
    <t>705.2.1.4</t>
  </si>
  <si>
    <r>
      <t xml:space="preserve">705.2.1.4 </t>
    </r>
    <r>
      <rPr>
        <sz val="10"/>
        <color theme="1"/>
        <rFont val="Calibri"/>
        <family val="2"/>
        <scheme val="minor"/>
      </rPr>
      <t>In a multifamily building, occupancy controls are installed to automatically reduce light levels in garages and parking structures when the space is unoccupied.  Light levels are reduced by:</t>
    </r>
  </si>
  <si>
    <t>A minimum of 75 percent</t>
  </si>
  <si>
    <t>705.2.2</t>
  </si>
  <si>
    <r>
      <t>705.2.2 TDDs and skylights.</t>
    </r>
    <r>
      <rPr>
        <sz val="10"/>
        <color theme="1"/>
        <rFont val="Calibri"/>
        <family val="2"/>
        <scheme val="minor"/>
      </rPr>
      <t xml:space="preserve"> A tubular daylighting device (TDD) or a skylight that meets the requirements of Table 703.2.5.2(a) is installed in rooms without windows. </t>
    </r>
  </si>
  <si>
    <t>705.2.3</t>
  </si>
  <si>
    <r>
      <t>705.2.3 Lighting outlets.</t>
    </r>
    <r>
      <rPr>
        <sz val="10"/>
        <color theme="1"/>
        <rFont val="Calibri"/>
        <family val="2"/>
        <scheme val="minor"/>
      </rPr>
      <t xml:space="preserve"> Occupancy sensors are installed for a minimum of 80 percent of hard-wired lighting outlets in the interior living space.</t>
    </r>
  </si>
  <si>
    <t>705.2.4</t>
  </si>
  <si>
    <r>
      <t xml:space="preserve">705.2.4 Recessed luminaires. </t>
    </r>
    <r>
      <rPr>
        <sz val="10"/>
        <color theme="1"/>
        <rFont val="Calibri"/>
        <family val="2"/>
        <scheme val="minor"/>
      </rPr>
      <t>The number of recessed luminaires that penetrates the thermal envelope is less than 1 per 400 square feet (37.16 m</t>
    </r>
    <r>
      <rPr>
        <vertAlign val="superscript"/>
        <sz val="10"/>
        <color theme="1"/>
        <rFont val="Calibri"/>
        <family val="2"/>
        <scheme val="minor"/>
      </rPr>
      <t>2</t>
    </r>
    <r>
      <rPr>
        <sz val="10"/>
        <color theme="1"/>
        <rFont val="Calibri"/>
        <family val="2"/>
        <scheme val="minor"/>
      </rPr>
      <t xml:space="preserve">) of total conditioned floor area and they are in accordance with Section </t>
    </r>
    <r>
      <rPr>
        <b/>
        <sz val="10"/>
        <color theme="1"/>
        <rFont val="Calibri"/>
        <family val="2"/>
        <scheme val="minor"/>
      </rPr>
      <t>701.4.3.5</t>
    </r>
    <r>
      <rPr>
        <sz val="10"/>
        <color theme="1"/>
        <rFont val="Calibri"/>
        <family val="2"/>
        <scheme val="minor"/>
      </rPr>
      <t>.</t>
    </r>
  </si>
  <si>
    <r>
      <t xml:space="preserve">705.3 Induction cooktop. </t>
    </r>
    <r>
      <rPr>
        <sz val="10"/>
        <color theme="1"/>
        <rFont val="Calibri"/>
        <family val="2"/>
        <scheme val="minor"/>
      </rPr>
      <t>Induction cooktop is installed.</t>
    </r>
  </si>
  <si>
    <r>
      <t xml:space="preserve">705.4 Return ducts and transfer grilles. </t>
    </r>
    <r>
      <rPr>
        <sz val="10"/>
        <color theme="1"/>
        <rFont val="Calibri"/>
        <family val="2"/>
        <scheme val="minor"/>
      </rPr>
      <t xml:space="preserve">Return ducts or transfer grilles are installed in every room with a door. Return ducts or transfer grilles are not required for bathrooms, kitchens, closets, pantries, and laundry rooms. </t>
    </r>
  </si>
  <si>
    <t>705.5 HVAC design and installation</t>
  </si>
  <si>
    <t>705.5.1</t>
  </si>
  <si>
    <r>
      <t>705.5.1</t>
    </r>
    <r>
      <rPr>
        <sz val="10"/>
        <color theme="1"/>
        <rFont val="Calibri"/>
        <family val="2"/>
        <scheme val="minor"/>
      </rPr>
      <t xml:space="preserve"> HVAC contractor and service technician are certified by a nationally or regionally recognized program (e.g., North American Technician Excellence, Inc. (NATE), Air Conditioning Contractors of Americas Quality Assured Program (ACCA/QA), Building Performance Institute (BPI), Radiant Panel Association, or a manufacturer’s training program).</t>
    </r>
  </si>
  <si>
    <t>705.5.2</t>
  </si>
  <si>
    <r>
      <t>705.5.2</t>
    </r>
    <r>
      <rPr>
        <sz val="10"/>
        <color theme="1"/>
        <rFont val="Calibri"/>
        <family val="2"/>
        <scheme val="minor"/>
      </rPr>
      <t xml:space="preserve"> Performance of the heating and/or cooling system is verified by the HVAC contractor in accordance with all of the following: </t>
    </r>
  </si>
  <si>
    <t>Start-up procedure is performed in accordance with the manufacturer’s instructions.</t>
  </si>
  <si>
    <t>Refrigerant charge is verified by super-heat and/or sub-cooling method.</t>
  </si>
  <si>
    <t xml:space="preserve">Burner is set to fire at input level listed on nameplate. </t>
  </si>
  <si>
    <t>Air handler setting/fan speed is set in accordance with manufacturer’s instructions.</t>
  </si>
  <si>
    <t>Total airflow is within 10 percent of design flow.</t>
  </si>
  <si>
    <t xml:space="preserve">Total external system static does not exceed equipment capability at rated airflow. </t>
  </si>
  <si>
    <t>705.6 Installation and performance verification.</t>
  </si>
  <si>
    <t>705.6.1</t>
  </si>
  <si>
    <r>
      <t>705.6.1</t>
    </r>
    <r>
      <rPr>
        <sz val="10"/>
        <color theme="1"/>
        <rFont val="Calibri"/>
        <family val="2"/>
        <scheme val="minor"/>
      </rPr>
      <t xml:space="preserve"> Third-party on-site inspection is conducted to verify compliance with all of the following, as applicable. Minimum of two inspections are performed: one inspection after insulation is installed and prior to covering, and another inspection upon completion of the building. Where multiple buildings or dwelling units of the same model are built by the same builder, a representative sample inspection of a minimum of 15 percent of the buildings or dwelling units is permitted. </t>
    </r>
  </si>
  <si>
    <t>(Points awarded only for buildings where building envelope leakage testing is not required by 2015 IECC.)</t>
  </si>
  <si>
    <t>705.6.2.1</t>
  </si>
  <si>
    <r>
      <t>705.6.2.1 Air leakage validation of building or dwelling units.</t>
    </r>
    <r>
      <rPr>
        <sz val="10"/>
        <color theme="1"/>
        <rFont val="Calibri"/>
        <family val="2"/>
        <scheme val="minor"/>
      </rPr>
      <t xml:space="preserve"> A visual inspection is performed as described in 701.4.3.2(2) and air leakage testing is performed in accordance with ASTM E779 or ASTM E1827.</t>
    </r>
  </si>
  <si>
    <t>A blower door test.</t>
  </si>
  <si>
    <t>Third-party verification is completed.</t>
  </si>
  <si>
    <t>705.6.2.2</t>
  </si>
  <si>
    <r>
      <t xml:space="preserve">705.6.2.2 HVAC airflow testing. </t>
    </r>
    <r>
      <rPr>
        <sz val="10"/>
        <color theme="1"/>
        <rFont val="Calibri"/>
        <family val="2"/>
        <scheme val="minor"/>
      </rPr>
      <t>Balanced HVAC airflows are demonstrated by flow hood or other acceptable flow measurement tool by a third party. Test results are in accordance with both of the following:</t>
    </r>
  </si>
  <si>
    <t>Measured flow at each supply and return register meets or exceeds the requirements in ACCA 5 QI-2010, Section 5.2.</t>
  </si>
  <si>
    <t>Total airflow meets or exceeds the requirements in ACCA 5 QI-2010, Section 5.2.</t>
  </si>
  <si>
    <t>705.6.2.3</t>
  </si>
  <si>
    <r>
      <t xml:space="preserve">705.6.2.3 HVAC duct leakage testing. </t>
    </r>
    <r>
      <rPr>
        <sz val="10"/>
        <color theme="1"/>
        <rFont val="Calibri"/>
        <family val="2"/>
        <scheme val="minor"/>
      </rPr>
      <t>One of the following is achieved:</t>
    </r>
  </si>
  <si>
    <t>(Points awarded only where these practices are not required by IECC.)</t>
  </si>
  <si>
    <t xml:space="preserve">piping 3/4-inch and larger in outside diameter </t>
  </si>
  <si>
    <t xml:space="preserve">piping serving more than one dwelling unit </t>
  </si>
  <si>
    <t xml:space="preserve">piping located outside the conditioned space </t>
  </si>
  <si>
    <t xml:space="preserve">piping from the water heater to a distribution manifold </t>
  </si>
  <si>
    <t xml:space="preserve">piping located under a floor slab </t>
  </si>
  <si>
    <t xml:space="preserve">buried piping </t>
  </si>
  <si>
    <t>supply and return piping in recirculation systems other than demand recirculation systems</t>
  </si>
  <si>
    <t>705.6.4</t>
  </si>
  <si>
    <t xml:space="preserve">705.6.4 Potable hot water demand re-circulation system. </t>
  </si>
  <si>
    <t>705.6.4.1</t>
  </si>
  <si>
    <r>
      <t>705.6.4.1</t>
    </r>
    <r>
      <rPr>
        <sz val="10"/>
        <color rgb="FF000000"/>
        <rFont val="Calibri"/>
        <family val="2"/>
        <scheme val="minor"/>
      </rPr>
      <t xml:space="preserve"> Potable hot water demand re-circulation system is installed in a single-family unit.</t>
    </r>
  </si>
  <si>
    <t>705.6.4.2</t>
  </si>
  <si>
    <r>
      <t>705.6.4.2</t>
    </r>
    <r>
      <rPr>
        <sz val="10"/>
        <color rgb="FF000000"/>
        <rFont val="Calibri"/>
        <family val="2"/>
        <scheme val="minor"/>
      </rPr>
      <t xml:space="preserve"> Potable hot water demand re-circulation system is installed in a multifamily unit in place of a standard circulation pump and control.</t>
    </r>
  </si>
  <si>
    <r>
      <t xml:space="preserve">705.7 </t>
    </r>
    <r>
      <rPr>
        <sz val="10"/>
        <color rgb="FF000000"/>
        <rFont val="Calibri"/>
        <family val="2"/>
        <scheme val="minor"/>
      </rPr>
      <t>In multi-unit buildings, an advanced electric and fossil fuel submetering system is installed to monitor electricity and fossil fuel consumption for each unit. The device provides consumption information on a monthly or near real-time basis. The information is available to the occupants at a minimum on a monthly basis.</t>
    </r>
  </si>
  <si>
    <t>706 INNOVATIVE PRACTICES</t>
  </si>
  <si>
    <r>
      <t>706.1 Energy consumption control.</t>
    </r>
    <r>
      <rPr>
        <sz val="10"/>
        <color theme="1"/>
        <rFont val="Calibri"/>
        <family val="2"/>
        <scheme val="minor"/>
      </rPr>
      <t xml:space="preserve"> A whole-building or whole-dwelling unit device or system is installed that controls or monitors energy consumption. </t>
    </r>
  </si>
  <si>
    <t>programmable communicating thermostat with the capability to be controlled remotely</t>
  </si>
  <si>
    <t>energy-monitoring device or system</t>
  </si>
  <si>
    <t>energy management control system</t>
  </si>
  <si>
    <t>programmable thermostat with control capability based on occupant presence or usage pattern</t>
  </si>
  <si>
    <t>lighting control system</t>
  </si>
  <si>
    <r>
      <t>706.2 Renewable energy service plan.</t>
    </r>
    <r>
      <rPr>
        <sz val="10"/>
        <color theme="1"/>
        <rFont val="Calibri"/>
        <family val="2"/>
        <scheme val="minor"/>
      </rPr>
      <t xml:space="preserve"> Renewable energy service plan is provided as follows:</t>
    </r>
  </si>
  <si>
    <t>Builder selects a renewable energy service plan provided by the local electrical utility for interim (temporary) electric service. The builder’s local administrative office has renewable energy service.</t>
  </si>
  <si>
    <t>The buyer of the building selects one of the following renewable energy service plans provided by the utility prior to occupancy of the building with a minimum two-year commitment.</t>
  </si>
  <si>
    <t>less than half of the dwelling’s projected electricity and gas use is provided by renewable energy</t>
  </si>
  <si>
    <t>half or more of the of the dwelling’s projected electricity and gas use is provided by renewable energy</t>
  </si>
  <si>
    <r>
      <t>706.3 Smart Appliances and Systems.</t>
    </r>
    <r>
      <rPr>
        <sz val="10"/>
        <color theme="1"/>
        <rFont val="Calibri"/>
        <family val="2"/>
        <scheme val="minor"/>
      </rPr>
      <t xml:space="preserve"> Smart appliances and systems are installed as follows:</t>
    </r>
  </si>
  <si>
    <t>Three to five smart appliances installed</t>
  </si>
  <si>
    <t>Six or more smart appliances installed</t>
  </si>
  <si>
    <t>(Items (7) and (8) are permitted to count as two appliances each for the purpose of awarding points.)</t>
  </si>
  <si>
    <t>(where points awarded in Section 706.3, points shall not be awarded in Section 706.7 and 706.9)</t>
  </si>
  <si>
    <t>Freezer</t>
  </si>
  <si>
    <t>Clothes Dryer</t>
  </si>
  <si>
    <t>Clothes Washer</t>
  </si>
  <si>
    <t>Room Air Conditioner</t>
  </si>
  <si>
    <t>HVAC Systems</t>
  </si>
  <si>
    <t>Service Hot Water Heating Systems</t>
  </si>
  <si>
    <t>706.4 Pumps.</t>
  </si>
  <si>
    <t>706.4.1</t>
  </si>
  <si>
    <r>
      <t xml:space="preserve">706.4.1 </t>
    </r>
    <r>
      <rPr>
        <sz val="10"/>
        <color theme="1"/>
        <rFont val="Calibri"/>
        <family val="2"/>
        <scheme val="minor"/>
      </rPr>
      <t>Pool, spa, and water features equipped with filtration pumps as follows:</t>
    </r>
  </si>
  <si>
    <t>Electronically controlled variable-speed pump(s) is installed (full load efficiency of 90 percent or greater).</t>
  </si>
  <si>
    <t>Electronically controlled variable-speed pump(s) is installed (full load efficiency of 90 percent or greater) in a pool</t>
  </si>
  <si>
    <t>706.4.2</t>
  </si>
  <si>
    <r>
      <t>706.4.2</t>
    </r>
    <r>
      <rPr>
        <sz val="10"/>
        <color theme="1"/>
        <rFont val="Calibri"/>
        <family val="2"/>
        <scheme val="minor"/>
      </rPr>
      <t xml:space="preserve"> Sump pump(s) with electrically commutated motors (ECMs) or permanent split capacitor (PSC) motors is installed (full load efficiency of 90 percent or greater).</t>
    </r>
  </si>
  <si>
    <r>
      <t>706.5</t>
    </r>
    <r>
      <rPr>
        <sz val="10"/>
        <color theme="1"/>
        <rFont val="Calibri"/>
        <family val="2"/>
        <scheme val="minor"/>
      </rPr>
      <t xml:space="preserve"> </t>
    </r>
    <r>
      <rPr>
        <b/>
        <sz val="10"/>
        <color theme="1"/>
        <rFont val="Calibri"/>
        <family val="2"/>
      </rPr>
      <t xml:space="preserve">On-site renewable energy system. An on-site </t>
    </r>
    <r>
      <rPr>
        <sz val="10"/>
        <color theme="1"/>
        <rFont val="Calibri"/>
        <family val="2"/>
        <scheme val="minor"/>
      </rPr>
      <t xml:space="preserve">renewable energy system(s) is installed on the property. </t>
    </r>
  </si>
  <si>
    <t>(Points shall not be awarded in this section for solar thermal or geothermal systems that provide space heating, space cooling, or water heating,   Points for these systems are awarded in Section 703.)</t>
  </si>
  <si>
    <t>(Where onsite renewable energy is included in Section 702 Performance Path or 704 HERS Index Target Path, Section 706.5 shall not be awarded.)</t>
  </si>
  <si>
    <r>
      <t xml:space="preserve">706.6 Parking garage efficiency. </t>
    </r>
    <r>
      <rPr>
        <sz val="10"/>
        <color theme="1"/>
        <rFont val="Calibri"/>
        <family val="2"/>
        <scheme val="minor"/>
      </rPr>
      <t>Structured parking garages are designed to require no mechanical ventilation for fresh air requirements.</t>
    </r>
  </si>
  <si>
    <r>
      <t xml:space="preserve">706.7 Grid-interactive electric thermal storage system. </t>
    </r>
    <r>
      <rPr>
        <sz val="10"/>
        <color theme="1"/>
        <rFont val="Calibri"/>
        <family val="2"/>
        <scheme val="minor"/>
      </rPr>
      <t>A grid-interactive electric thermal storage system is installed.</t>
    </r>
  </si>
  <si>
    <t xml:space="preserve">Grid-Interactive Water Heating System     </t>
  </si>
  <si>
    <t xml:space="preserve">Grid-Interactive Space Heating and cooling System     </t>
  </si>
  <si>
    <t>(where points awarded in Section 706.7, points shall not be awarded in Section 706.3 and 706.9)</t>
  </si>
  <si>
    <r>
      <t xml:space="preserve">706.8 Electrical Vehicle Charging Station. </t>
    </r>
    <r>
      <rPr>
        <sz val="10"/>
        <color theme="1"/>
        <rFont val="Calibri"/>
        <family val="2"/>
        <scheme val="minor"/>
      </rPr>
      <t>A Level 2 or Level 3 electric vehicle charging station is installed on the building site. (Note: Charging station shall not be included in the building energy consumption.)</t>
    </r>
  </si>
  <si>
    <r>
      <t xml:space="preserve">706.9 Automatic demand response.  </t>
    </r>
    <r>
      <rPr>
        <sz val="10"/>
        <color theme="1"/>
        <rFont val="Calibri"/>
        <family val="2"/>
        <scheme val="minor"/>
      </rPr>
      <t>Automatic demand response system is installed that curtails energy usage upon a signal from the utility or an energy service provider is installed.</t>
    </r>
  </si>
  <si>
    <t>(where points awarded in Section 706.9, points shall not be awarded in Section 706.3 and 706.7)</t>
  </si>
  <si>
    <r>
      <t>Weighted Average = [(E</t>
    </r>
    <r>
      <rPr>
        <vertAlign val="subscript"/>
        <sz val="10"/>
        <color theme="1"/>
        <rFont val="Calibri"/>
        <family val="2"/>
      </rPr>
      <t>unit 1</t>
    </r>
    <r>
      <rPr>
        <sz val="10"/>
        <color theme="1"/>
        <rFont val="Calibri"/>
        <family val="2"/>
      </rPr>
      <t>*C</t>
    </r>
    <r>
      <rPr>
        <vertAlign val="subscript"/>
        <sz val="10"/>
        <color theme="1"/>
        <rFont val="Calibri"/>
        <family val="2"/>
      </rPr>
      <t>unit 1</t>
    </r>
    <r>
      <rPr>
        <sz val="10"/>
        <color theme="1"/>
        <rFont val="Calibri"/>
        <family val="2"/>
      </rPr>
      <t>)+(E</t>
    </r>
    <r>
      <rPr>
        <vertAlign val="subscript"/>
        <sz val="10"/>
        <color theme="1"/>
        <rFont val="Calibri"/>
        <family val="2"/>
      </rPr>
      <t>unit 2</t>
    </r>
    <r>
      <rPr>
        <sz val="10"/>
        <color theme="1"/>
        <rFont val="Calibri"/>
        <family val="2"/>
      </rPr>
      <t>*C</t>
    </r>
    <r>
      <rPr>
        <vertAlign val="subscript"/>
        <sz val="10"/>
        <color theme="1"/>
        <rFont val="Calibri"/>
        <family val="2"/>
      </rPr>
      <t>unit 2</t>
    </r>
    <r>
      <rPr>
        <sz val="10"/>
        <color theme="1"/>
        <rFont val="Calibri"/>
        <family val="2"/>
      </rPr>
      <t>)+…+(E</t>
    </r>
    <r>
      <rPr>
        <vertAlign val="subscript"/>
        <sz val="10"/>
        <color theme="1"/>
        <rFont val="Calibri"/>
        <family val="2"/>
      </rPr>
      <t xml:space="preserve">unit </t>
    </r>
    <r>
      <rPr>
        <i/>
        <vertAlign val="subscript"/>
        <sz val="10"/>
        <color theme="1"/>
        <rFont val="Calibri"/>
        <family val="2"/>
      </rPr>
      <t>n</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 (C</t>
    </r>
    <r>
      <rPr>
        <vertAlign val="subscript"/>
        <sz val="10"/>
        <color theme="1"/>
        <rFont val="Calibri"/>
        <family val="2"/>
      </rPr>
      <t>unit 1</t>
    </r>
    <r>
      <rPr>
        <sz val="10"/>
        <color theme="1"/>
        <rFont val="Calibri"/>
        <family val="2"/>
      </rPr>
      <t>+C</t>
    </r>
    <r>
      <rPr>
        <vertAlign val="subscript"/>
        <sz val="10"/>
        <color theme="1"/>
        <rFont val="Calibri"/>
        <family val="2"/>
      </rPr>
      <t>unit 2</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where:</t>
    </r>
  </si>
  <si>
    <t>add. pts. needed</t>
  </si>
  <si>
    <t>NOTE: Indicate in the assigned Notes area the type designed and constructed: frost-protected shallow foundations, pier and pad foundations, post foundations, or other similar foundation type.</t>
  </si>
  <si>
    <t>termite infest. prob.:</t>
  </si>
  <si>
    <t>NOTE: If "N/A" is selected, explain why in the assigned Notes area.</t>
  </si>
  <si>
    <t>Note: Please list "other biobased materials" used in the Notes field</t>
  </si>
  <si>
    <t>Select Path:</t>
  </si>
  <si>
    <t>801.7.1</t>
  </si>
  <si>
    <r>
      <t xml:space="preserve">801.7.1 </t>
    </r>
    <r>
      <rPr>
        <sz val="10"/>
        <color theme="1"/>
        <rFont val="Calibri"/>
        <family val="2"/>
      </rPr>
      <t>Rainwater is used for irrigation in accordance with one of the following:</t>
    </r>
  </si>
  <si>
    <t>Chapter 5: Lot Design, Preparation, and Development</t>
  </si>
  <si>
    <t>Chapter 6: Resource Efficiency</t>
  </si>
  <si>
    <t>Chapter 7: Energy Efficiency</t>
  </si>
  <si>
    <t>Chapter 8: Water Efficiency</t>
  </si>
  <si>
    <t>Chapter 9: Indoor Environmental Quality</t>
  </si>
  <si>
    <t>Chapter 10: Operation, Maintenance, and Building Owner Education</t>
  </si>
  <si>
    <t xml:space="preserve">Autauga  </t>
  </si>
  <si>
    <t xml:space="preserve">Baldwin  </t>
  </si>
  <si>
    <t xml:space="preserve">Barbour  </t>
  </si>
  <si>
    <t xml:space="preserve">Bibb  </t>
  </si>
  <si>
    <t xml:space="preserve">Blount  </t>
  </si>
  <si>
    <t xml:space="preserve">Bullock  </t>
  </si>
  <si>
    <t xml:space="preserve">Butler  </t>
  </si>
  <si>
    <t xml:space="preserve">Calhoun  </t>
  </si>
  <si>
    <t xml:space="preserve">Chambers  </t>
  </si>
  <si>
    <t xml:space="preserve">Cherokee  </t>
  </si>
  <si>
    <t xml:space="preserve">Chilton  </t>
  </si>
  <si>
    <t xml:space="preserve">Choctaw  </t>
  </si>
  <si>
    <t xml:space="preserve">Clarke  </t>
  </si>
  <si>
    <t xml:space="preserve">Clay  </t>
  </si>
  <si>
    <t xml:space="preserve">Cleburne  </t>
  </si>
  <si>
    <t xml:space="preserve">Coffee  </t>
  </si>
  <si>
    <t xml:space="preserve">Colbert  </t>
  </si>
  <si>
    <t xml:space="preserve">Conecuh  </t>
  </si>
  <si>
    <t xml:space="preserve">Coosa  </t>
  </si>
  <si>
    <t xml:space="preserve">Covington  </t>
  </si>
  <si>
    <t xml:space="preserve">Crenshaw  </t>
  </si>
  <si>
    <t xml:space="preserve">Cullman  </t>
  </si>
  <si>
    <t xml:space="preserve">Dale  </t>
  </si>
  <si>
    <t xml:space="preserve">Dallas  </t>
  </si>
  <si>
    <t xml:space="preserve">De Kalb  </t>
  </si>
  <si>
    <t xml:space="preserve">Elmore  </t>
  </si>
  <si>
    <t xml:space="preserve">Escambia  </t>
  </si>
  <si>
    <t xml:space="preserve">Etowah  </t>
  </si>
  <si>
    <t xml:space="preserve">Fayette  </t>
  </si>
  <si>
    <t xml:space="preserve">Franklin  </t>
  </si>
  <si>
    <t xml:space="preserve">Geneva  </t>
  </si>
  <si>
    <t xml:space="preserve">Greene  </t>
  </si>
  <si>
    <t xml:space="preserve">Hale  </t>
  </si>
  <si>
    <t xml:space="preserve">Henry  </t>
  </si>
  <si>
    <t xml:space="preserve">Houston  </t>
  </si>
  <si>
    <t xml:space="preserve">Jackson  </t>
  </si>
  <si>
    <t xml:space="preserve">Jefferson  </t>
  </si>
  <si>
    <t xml:space="preserve">Lamar  </t>
  </si>
  <si>
    <t xml:space="preserve">Lauderdale  </t>
  </si>
  <si>
    <t xml:space="preserve">Lawrence  </t>
  </si>
  <si>
    <t xml:space="preserve">Lee  </t>
  </si>
  <si>
    <t xml:space="preserve">Limestone  </t>
  </si>
  <si>
    <t xml:space="preserve">Lowndes  </t>
  </si>
  <si>
    <t xml:space="preserve">Macon  </t>
  </si>
  <si>
    <t xml:space="preserve">Madison  </t>
  </si>
  <si>
    <t xml:space="preserve">Marengo  </t>
  </si>
  <si>
    <t xml:space="preserve">Marion  </t>
  </si>
  <si>
    <t xml:space="preserve">Marshall  </t>
  </si>
  <si>
    <t xml:space="preserve">Mobile  </t>
  </si>
  <si>
    <t xml:space="preserve">Monroe  </t>
  </si>
  <si>
    <t xml:space="preserve">Montgomery  </t>
  </si>
  <si>
    <t xml:space="preserve">Morgan  </t>
  </si>
  <si>
    <t xml:space="preserve">Perry  </t>
  </si>
  <si>
    <t xml:space="preserve">Pickens  </t>
  </si>
  <si>
    <t xml:space="preserve">Pike  </t>
  </si>
  <si>
    <t xml:space="preserve">Randolph  </t>
  </si>
  <si>
    <t xml:space="preserve">Russell  </t>
  </si>
  <si>
    <t xml:space="preserve">Saint Clair  </t>
  </si>
  <si>
    <t xml:space="preserve">Shelby  </t>
  </si>
  <si>
    <t xml:space="preserve">Sumter  </t>
  </si>
  <si>
    <t xml:space="preserve">Talladega  </t>
  </si>
  <si>
    <t xml:space="preserve">Tallapoosa  </t>
  </si>
  <si>
    <t xml:space="preserve">Tuscaloosa  </t>
  </si>
  <si>
    <t xml:space="preserve">Walker  </t>
  </si>
  <si>
    <t xml:space="preserve">Washington  </t>
  </si>
  <si>
    <t xml:space="preserve">Wilcox  </t>
  </si>
  <si>
    <t xml:space="preserve">Winston  </t>
  </si>
  <si>
    <t xml:space="preserve">Aleutians East  </t>
  </si>
  <si>
    <t xml:space="preserve">Aleutians West  </t>
  </si>
  <si>
    <t xml:space="preserve">Anchorage  </t>
  </si>
  <si>
    <t xml:space="preserve">Bethel  </t>
  </si>
  <si>
    <t xml:space="preserve">Bristol Bay  </t>
  </si>
  <si>
    <t xml:space="preserve">Denali  </t>
  </si>
  <si>
    <t xml:space="preserve">Dillingham  </t>
  </si>
  <si>
    <t xml:space="preserve">Fairbanks North Star  </t>
  </si>
  <si>
    <t xml:space="preserve">Haines  </t>
  </si>
  <si>
    <t xml:space="preserve">Hoonah Angoon  </t>
  </si>
  <si>
    <t xml:space="preserve">Juneau  </t>
  </si>
  <si>
    <t xml:space="preserve">Kenai Peninsula  </t>
  </si>
  <si>
    <t xml:space="preserve">Ketchikan Gateway  </t>
  </si>
  <si>
    <t xml:space="preserve">Kodiak Island  </t>
  </si>
  <si>
    <t xml:space="preserve">Lake And Peninsula  </t>
  </si>
  <si>
    <t xml:space="preserve">Matanuska Susitna  </t>
  </si>
  <si>
    <t xml:space="preserve">Nome  </t>
  </si>
  <si>
    <t xml:space="preserve">North Slope  </t>
  </si>
  <si>
    <t xml:space="preserve">Northwest Arctic  </t>
  </si>
  <si>
    <t xml:space="preserve">Petersburg  </t>
  </si>
  <si>
    <t xml:space="preserve">Prince Of Wales Hyder  </t>
  </si>
  <si>
    <t xml:space="preserve">Sitka  </t>
  </si>
  <si>
    <t xml:space="preserve">Skagway  </t>
  </si>
  <si>
    <t xml:space="preserve">Southeast Fairbanks  </t>
  </si>
  <si>
    <t xml:space="preserve">Valdez Cordova  </t>
  </si>
  <si>
    <t xml:space="preserve">Wade Hampton  </t>
  </si>
  <si>
    <t xml:space="preserve">Wrangell  </t>
  </si>
  <si>
    <t xml:space="preserve">Yakutat  </t>
  </si>
  <si>
    <t xml:space="preserve">Yukon Koyukuk  </t>
  </si>
  <si>
    <t xml:space="preserve">American Samoa  </t>
  </si>
  <si>
    <t xml:space="preserve">Apache  </t>
  </si>
  <si>
    <t xml:space="preserve">Cochise  </t>
  </si>
  <si>
    <t xml:space="preserve">Coconino  </t>
  </si>
  <si>
    <t xml:space="preserve">Gila  </t>
  </si>
  <si>
    <t xml:space="preserve">Graham  </t>
  </si>
  <si>
    <t xml:space="preserve">Greenlee  </t>
  </si>
  <si>
    <t xml:space="preserve">La Paz  </t>
  </si>
  <si>
    <t xml:space="preserve">Maricopa  </t>
  </si>
  <si>
    <t xml:space="preserve">Mohave  </t>
  </si>
  <si>
    <t xml:space="preserve">Navajo  </t>
  </si>
  <si>
    <t xml:space="preserve">Pima  </t>
  </si>
  <si>
    <t xml:space="preserve">Pinal  </t>
  </si>
  <si>
    <t xml:space="preserve">Santa Cruz  </t>
  </si>
  <si>
    <t xml:space="preserve">Yavapai  </t>
  </si>
  <si>
    <t xml:space="preserve">Yuma  </t>
  </si>
  <si>
    <t xml:space="preserve">Arkansas  </t>
  </si>
  <si>
    <t xml:space="preserve">Ashley  </t>
  </si>
  <si>
    <t xml:space="preserve">Baxter  </t>
  </si>
  <si>
    <t xml:space="preserve">Benton  </t>
  </si>
  <si>
    <t xml:space="preserve">Boone  </t>
  </si>
  <si>
    <t xml:space="preserve">Bradley  </t>
  </si>
  <si>
    <t xml:space="preserve">Carroll  </t>
  </si>
  <si>
    <t xml:space="preserve">Chicot  </t>
  </si>
  <si>
    <t xml:space="preserve">Clark  </t>
  </si>
  <si>
    <t xml:space="preserve">Cleveland  </t>
  </si>
  <si>
    <t xml:space="preserve">Columbia  </t>
  </si>
  <si>
    <t xml:space="preserve">Conway  </t>
  </si>
  <si>
    <t xml:space="preserve">Craighead  </t>
  </si>
  <si>
    <t xml:space="preserve">Crawford  </t>
  </si>
  <si>
    <t xml:space="preserve">Crittenden  </t>
  </si>
  <si>
    <t xml:space="preserve">Cross  </t>
  </si>
  <si>
    <t xml:space="preserve">Desha  </t>
  </si>
  <si>
    <t xml:space="preserve">Drew  </t>
  </si>
  <si>
    <t xml:space="preserve">Faulkner  </t>
  </si>
  <si>
    <t xml:space="preserve">Fulton  </t>
  </si>
  <si>
    <t xml:space="preserve">Garland  </t>
  </si>
  <si>
    <t xml:space="preserve">Grant  </t>
  </si>
  <si>
    <t xml:space="preserve">Hempstead  </t>
  </si>
  <si>
    <t xml:space="preserve">Hot Spring  </t>
  </si>
  <si>
    <t xml:space="preserve">Howard  </t>
  </si>
  <si>
    <t xml:space="preserve">Independence  </t>
  </si>
  <si>
    <t xml:space="preserve">Izard  </t>
  </si>
  <si>
    <t xml:space="preserve">Johnson  </t>
  </si>
  <si>
    <t xml:space="preserve">Lafayette  </t>
  </si>
  <si>
    <t xml:space="preserve">Lincoln  </t>
  </si>
  <si>
    <t xml:space="preserve">Little River  </t>
  </si>
  <si>
    <t xml:space="preserve">Logan  </t>
  </si>
  <si>
    <t xml:space="preserve">Lonoke  </t>
  </si>
  <si>
    <t xml:space="preserve">Miller  </t>
  </si>
  <si>
    <t xml:space="preserve">Mississippi  </t>
  </si>
  <si>
    <t xml:space="preserve">Nevada  </t>
  </si>
  <si>
    <t xml:space="preserve">Newton  </t>
  </si>
  <si>
    <t xml:space="preserve">Ouachita  </t>
  </si>
  <si>
    <t xml:space="preserve">Phillips  </t>
  </si>
  <si>
    <t xml:space="preserve">Poinsett  </t>
  </si>
  <si>
    <t xml:space="preserve">Polk  </t>
  </si>
  <si>
    <t xml:space="preserve">Pope  </t>
  </si>
  <si>
    <t xml:space="preserve">Prairie  </t>
  </si>
  <si>
    <t xml:space="preserve">Pulaski  </t>
  </si>
  <si>
    <t xml:space="preserve">Saint Francis  </t>
  </si>
  <si>
    <t xml:space="preserve">Saline  </t>
  </si>
  <si>
    <t xml:space="preserve">Scott  </t>
  </si>
  <si>
    <t xml:space="preserve">Searcy  </t>
  </si>
  <si>
    <t xml:space="preserve">Sebastian  </t>
  </si>
  <si>
    <t xml:space="preserve">Sevier  </t>
  </si>
  <si>
    <t xml:space="preserve">Sharp  </t>
  </si>
  <si>
    <t xml:space="preserve">Stone  </t>
  </si>
  <si>
    <t xml:space="preserve">Union  </t>
  </si>
  <si>
    <t xml:space="preserve">Van Buren  </t>
  </si>
  <si>
    <t xml:space="preserve">White  </t>
  </si>
  <si>
    <t xml:space="preserve">Woodruff  </t>
  </si>
  <si>
    <t xml:space="preserve">Yell  </t>
  </si>
  <si>
    <t xml:space="preserve">Alameda  </t>
  </si>
  <si>
    <t xml:space="preserve">Alpine  </t>
  </si>
  <si>
    <t xml:space="preserve">Amador  </t>
  </si>
  <si>
    <t xml:space="preserve">Butte  </t>
  </si>
  <si>
    <t xml:space="preserve">Calaveras  </t>
  </si>
  <si>
    <t xml:space="preserve">Colusa  </t>
  </si>
  <si>
    <t xml:space="preserve">Contra Costa  </t>
  </si>
  <si>
    <t xml:space="preserve">Del Norte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</si>
  <si>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</si>
  <si>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</si>
  <si>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</si>
  <si>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</si>
  <si>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</si>
  <si>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</si>
  <si>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</si>
  <si>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</si>
  <si>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</si>
  <si>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</si>
  <si>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</si>
  <si>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</si>
  <si>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</si>
  <si>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</si>
  <si>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</si>
  <si>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</si>
  <si>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</si>
  <si>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</si>
  <si>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</si>
  <si>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</si>
  <si>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Orange  </t>
  </si>
  <si>
    <t xml:space="preserve">Placer  </t>
  </si>
  <si>
    <t xml:space="preserve">Plumas  </t>
  </si>
  <si>
    <t xml:space="preserve">Riverside  </t>
  </si>
  <si>
    <t xml:space="preserve">Sacramento  </t>
  </si>
  <si>
    <t xml:space="preserve">San Benito  </t>
  </si>
  <si>
    <t xml:space="preserve">San Bernardino  </t>
  </si>
  <si>
    <t xml:space="preserve">San Diego  </t>
  </si>
  <si>
    <t xml:space="preserve">San Francisco  </t>
  </si>
  <si>
    <t xml:space="preserve">San Joaquin  </t>
  </si>
  <si>
    <t xml:space="preserve">San Luis Obispo  </t>
  </si>
  <si>
    <t xml:space="preserve">San Mateo  </t>
  </si>
  <si>
    <t xml:space="preserve">Santa Barbara  </t>
  </si>
  <si>
    <t xml:space="preserve">Santa Clara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</si>
  <si>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</si>
  <si>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</si>
  <si>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</si>
  <si>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</si>
  <si>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</si>
  <si>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</si>
  <si>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</si>
  <si>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</si>
  <si>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</si>
  <si>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</si>
  <si>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</si>
  <si>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</si>
  <si>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</si>
  <si>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</si>
  <si>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 xml:space="preserve">Adams  </t>
  </si>
  <si>
    <t xml:space="preserve">Alamosa  </t>
  </si>
  <si>
    <t xml:space="preserve">Arapahoe  </t>
  </si>
  <si>
    <t xml:space="preserve">Archuleta  </t>
  </si>
  <si>
    <t xml:space="preserve">Baca  </t>
  </si>
  <si>
    <t xml:space="preserve">Bent  </t>
  </si>
  <si>
    <t xml:space="preserve">Boulder  </t>
  </si>
  <si>
    <t xml:space="preserve">Broomfield  </t>
  </si>
  <si>
    <t xml:space="preserve">Chaffee  </t>
  </si>
  <si>
    <t xml:space="preserve">Cheyenne  </t>
  </si>
  <si>
    <t xml:space="preserve">Clear Creek  </t>
  </si>
  <si>
    <t xml:space="preserve">Conejos  </t>
  </si>
  <si>
    <t xml:space="preserve">Costilla  </t>
  </si>
  <si>
    <t xml:space="preserve">Crowley  </t>
  </si>
  <si>
    <t xml:space="preserve">Custer  </t>
  </si>
  <si>
    <t xml:space="preserve">Delta  </t>
  </si>
  <si>
    <t xml:space="preserve">Denver  </t>
  </si>
  <si>
    <t xml:space="preserve">Dolores  </t>
  </si>
  <si>
    <t xml:space="preserve">Douglas  </t>
  </si>
  <si>
    <t xml:space="preserve">Eagle  </t>
  </si>
  <si>
    <t xml:space="preserve">El Paso  </t>
  </si>
  <si>
    <t xml:space="preserve">Elbert  </t>
  </si>
  <si>
    <t xml:space="preserve">Fremont  </t>
  </si>
  <si>
    <t xml:space="preserve">Garfield  </t>
  </si>
  <si>
    <t xml:space="preserve">Gilpin  </t>
  </si>
  <si>
    <t xml:space="preserve">Grand  </t>
  </si>
  <si>
    <t xml:space="preserve">Gunnison  </t>
  </si>
  <si>
    <t xml:space="preserve">Hinsdale  </t>
  </si>
  <si>
    <t xml:space="preserve">Huerfano  </t>
  </si>
  <si>
    <t xml:space="preserve">Kiowa  </t>
  </si>
  <si>
    <t xml:space="preserve">Kit Carson  </t>
  </si>
  <si>
    <t xml:space="preserve">La Plata  </t>
  </si>
  <si>
    <t xml:space="preserve">Larimer  </t>
  </si>
  <si>
    <t xml:space="preserve">Las Animas  </t>
  </si>
  <si>
    <t xml:space="preserve">Mesa  </t>
  </si>
  <si>
    <t xml:space="preserve">Mineral  </t>
  </si>
  <si>
    <t xml:space="preserve">Moffat  </t>
  </si>
  <si>
    <t xml:space="preserve">Montezuma  </t>
  </si>
  <si>
    <t xml:space="preserve">Montrose  </t>
  </si>
  <si>
    <t xml:space="preserve">Otero  </t>
  </si>
  <si>
    <t xml:space="preserve">Ouray  </t>
  </si>
  <si>
    <t xml:space="preserve">Park  </t>
  </si>
  <si>
    <t xml:space="preserve">Pitkin  </t>
  </si>
  <si>
    <t xml:space="preserve">Prowers  </t>
  </si>
  <si>
    <t xml:space="preserve">Pueblo  </t>
  </si>
  <si>
    <t xml:space="preserve">Rio Blanco  </t>
  </si>
  <si>
    <t xml:space="preserve">Rio Grande  </t>
  </si>
  <si>
    <t xml:space="preserve">Routt  </t>
  </si>
  <si>
    <t xml:space="preserve">Saguache  </t>
  </si>
  <si>
    <t xml:space="preserve">San Juan  </t>
  </si>
  <si>
    <t xml:space="preserve">San Miguel  </t>
  </si>
  <si>
    <t xml:space="preserve">Sedgwick  </t>
  </si>
  <si>
    <t xml:space="preserve">Summit  </t>
  </si>
  <si>
    <t xml:space="preserve">Teller  </t>
  </si>
  <si>
    <t xml:space="preserve">Weld  </t>
  </si>
  <si>
    <t xml:space="preserve">Fairfield  </t>
  </si>
  <si>
    <t xml:space="preserve">Hartford  </t>
  </si>
  <si>
    <t xml:space="preserve">Litchfield  </t>
  </si>
  <si>
    <t xml:space="preserve">Middlesex  </t>
  </si>
  <si>
    <t xml:space="preserve">New Haven  </t>
  </si>
  <si>
    <t xml:space="preserve">New London  </t>
  </si>
  <si>
    <t xml:space="preserve">Tolland  </t>
  </si>
  <si>
    <t xml:space="preserve">Windham  </t>
  </si>
  <si>
    <t xml:space="preserve">Kent  </t>
  </si>
  <si>
    <t xml:space="preserve">New Castle  </t>
  </si>
  <si>
    <t xml:space="preserve">Sussex  </t>
  </si>
  <si>
    <t xml:space="preserve">District Of Columbia  </t>
  </si>
  <si>
    <t xml:space="preserve">Alachua  </t>
  </si>
  <si>
    <t xml:space="preserve">Baker  </t>
  </si>
  <si>
    <t xml:space="preserve">Bay  </t>
  </si>
  <si>
    <t xml:space="preserve">Bradford  </t>
  </si>
  <si>
    <t xml:space="preserve">Brevard  </t>
  </si>
  <si>
    <t xml:space="preserve">Broward  </t>
  </si>
  <si>
    <t xml:space="preserve">Charlotte  </t>
  </si>
  <si>
    <t xml:space="preserve">Citrus  </t>
  </si>
  <si>
    <t xml:space="preserve">Collier  </t>
  </si>
  <si>
    <t xml:space="preserve">De Soto  </t>
  </si>
  <si>
    <t xml:space="preserve">Dixie  </t>
  </si>
  <si>
    <t xml:space="preserve">Duval  </t>
  </si>
  <si>
    <t xml:space="preserve">Flagler  </t>
  </si>
  <si>
    <t xml:space="preserve">Gadsden  </t>
  </si>
  <si>
    <t xml:space="preserve">Gilchrist  </t>
  </si>
  <si>
    <t xml:space="preserve">Glades  </t>
  </si>
  <si>
    <t xml:space="preserve">Gulf  </t>
  </si>
  <si>
    <t xml:space="preserve">Hamilton  </t>
  </si>
  <si>
    <t xml:space="preserve">Hardee  </t>
  </si>
  <si>
    <t xml:space="preserve">Hendry  </t>
  </si>
  <si>
    <t xml:space="preserve">Hernando  </t>
  </si>
  <si>
    <t xml:space="preserve">Highlands  </t>
  </si>
  <si>
    <t xml:space="preserve">Hillsborough  </t>
  </si>
  <si>
    <t xml:space="preserve">Holmes  </t>
  </si>
  <si>
    <t xml:space="preserve">Indian River  </t>
  </si>
  <si>
    <t xml:space="preserve">Leon  </t>
  </si>
  <si>
    <t xml:space="preserve">Levy  </t>
  </si>
  <si>
    <t xml:space="preserve">Liberty  </t>
  </si>
  <si>
    <t xml:space="preserve">Manatee  </t>
  </si>
  <si>
    <t xml:space="preserve">Martin  </t>
  </si>
  <si>
    <t xml:space="preserve">Miami-Dade  </t>
  </si>
  <si>
    <t xml:space="preserve">Nassau  </t>
  </si>
  <si>
    <t xml:space="preserve">Okaloosa  </t>
  </si>
  <si>
    <t xml:space="preserve">Okeechobee  </t>
  </si>
  <si>
    <t xml:space="preserve">Osceola  </t>
  </si>
  <si>
    <t xml:space="preserve">Palm Beach  </t>
  </si>
  <si>
    <t xml:space="preserve">Pasco  </t>
  </si>
  <si>
    <t xml:space="preserve">Pinellas  </t>
  </si>
  <si>
    <t xml:space="preserve">Putnam  </t>
  </si>
  <si>
    <t xml:space="preserve">Saint Johns  </t>
  </si>
  <si>
    <t xml:space="preserve">Saint Lucie  </t>
  </si>
  <si>
    <t xml:space="preserve">Santa Rosa  </t>
  </si>
  <si>
    <t xml:space="preserve">Sarasota  </t>
  </si>
  <si>
    <t xml:space="preserve">Seminole  </t>
  </si>
  <si>
    <t xml:space="preserve">Suwannee  </t>
  </si>
  <si>
    <t xml:space="preserve">Taylor  </t>
  </si>
  <si>
    <t xml:space="preserve">Volusia  </t>
  </si>
  <si>
    <t xml:space="preserve">Wakulla  </t>
  </si>
  <si>
    <t xml:space="preserve">Walton  </t>
  </si>
  <si>
    <t xml:space="preserve">Appling  </t>
  </si>
  <si>
    <t xml:space="preserve">Atkinson  </t>
  </si>
  <si>
    <t xml:space="preserve">Bacon  </t>
  </si>
  <si>
    <t xml:space="preserve">Banks  </t>
  </si>
  <si>
    <t xml:space="preserve">Barrow  </t>
  </si>
  <si>
    <t xml:space="preserve">Bartow  </t>
  </si>
  <si>
    <t xml:space="preserve">Ben Hill  </t>
  </si>
  <si>
    <t xml:space="preserve">Berrien  </t>
  </si>
  <si>
    <t xml:space="preserve">Bleckley  </t>
  </si>
  <si>
    <t xml:space="preserve">Brantley  </t>
  </si>
  <si>
    <t xml:space="preserve">Brooks  </t>
  </si>
  <si>
    <t xml:space="preserve">Bryan  </t>
  </si>
  <si>
    <t xml:space="preserve">Bulloch  </t>
  </si>
  <si>
    <t xml:space="preserve">Burke  </t>
  </si>
  <si>
    <t xml:space="preserve">Butts  </t>
  </si>
  <si>
    <t xml:space="preserve">Camden  </t>
  </si>
  <si>
    <t xml:space="preserve">Candler  </t>
  </si>
  <si>
    <t xml:space="preserve">Catoosa  </t>
  </si>
  <si>
    <t xml:space="preserve">Charlton  </t>
  </si>
  <si>
    <t xml:space="preserve">Chatham  </t>
  </si>
  <si>
    <t xml:space="preserve">Chattahoochee  </t>
  </si>
  <si>
    <t xml:space="preserve">Chattooga  </t>
  </si>
  <si>
    <t xml:space="preserve">Clayton  </t>
  </si>
  <si>
    <t xml:space="preserve">Clinch  </t>
  </si>
  <si>
    <t xml:space="preserve">Cobb  </t>
  </si>
  <si>
    <t xml:space="preserve">Colquitt  </t>
  </si>
  <si>
    <t xml:space="preserve">Cook  </t>
  </si>
  <si>
    <t xml:space="preserve">Coweta  </t>
  </si>
  <si>
    <t xml:space="preserve">Crisp  </t>
  </si>
  <si>
    <t xml:space="preserve">Dade  </t>
  </si>
  <si>
    <t xml:space="preserve">Dawson  </t>
  </si>
  <si>
    <t xml:space="preserve">Decatur  </t>
  </si>
  <si>
    <t xml:space="preserve">Dekalb  </t>
  </si>
  <si>
    <t xml:space="preserve">Dodge  </t>
  </si>
  <si>
    <t xml:space="preserve">Dooly  </t>
  </si>
  <si>
    <t xml:space="preserve">Dougherty  </t>
  </si>
  <si>
    <t xml:space="preserve">Early  </t>
  </si>
  <si>
    <t xml:space="preserve">Echols  </t>
  </si>
  <si>
    <t xml:space="preserve">Effingham  </t>
  </si>
  <si>
    <t xml:space="preserve">Emanuel  </t>
  </si>
  <si>
    <t xml:space="preserve">Evans  </t>
  </si>
  <si>
    <t xml:space="preserve">Fannin  </t>
  </si>
  <si>
    <t xml:space="preserve">Floyd  </t>
  </si>
  <si>
    <t xml:space="preserve">Forsyth  </t>
  </si>
  <si>
    <t xml:space="preserve">Gilmer  </t>
  </si>
  <si>
    <t xml:space="preserve">Glascock  </t>
  </si>
  <si>
    <t xml:space="preserve">Glynn  </t>
  </si>
  <si>
    <t xml:space="preserve">Gordon  </t>
  </si>
  <si>
    <t xml:space="preserve">Grady  </t>
  </si>
  <si>
    <t xml:space="preserve">Gwinnett  </t>
  </si>
  <si>
    <t xml:space="preserve">Habersham  </t>
  </si>
  <si>
    <t xml:space="preserve">Hall  </t>
  </si>
  <si>
    <t xml:space="preserve">Hancock  </t>
  </si>
  <si>
    <t xml:space="preserve">Haralson  </t>
  </si>
  <si>
    <t xml:space="preserve">Harris  </t>
  </si>
  <si>
    <t xml:space="preserve">Hart  </t>
  </si>
  <si>
    <t xml:space="preserve">Heard  </t>
  </si>
  <si>
    <t xml:space="preserve">Irwin  </t>
  </si>
  <si>
    <t xml:space="preserve">Jasper  </t>
  </si>
  <si>
    <t xml:space="preserve">Jeff Davis  </t>
  </si>
  <si>
    <t xml:space="preserve">Jenkins  </t>
  </si>
  <si>
    <t xml:space="preserve">Jones  </t>
  </si>
  <si>
    <t xml:space="preserve">Lanier  </t>
  </si>
  <si>
    <t xml:space="preserve">Laurens  </t>
  </si>
  <si>
    <t xml:space="preserve">Long  </t>
  </si>
  <si>
    <t xml:space="preserve">Lumpkin  </t>
  </si>
  <si>
    <t xml:space="preserve">Mcduffie  </t>
  </si>
  <si>
    <t xml:space="preserve">Mcintosh  </t>
  </si>
  <si>
    <t xml:space="preserve">Meriwether  </t>
  </si>
  <si>
    <t xml:space="preserve">Mitchell  </t>
  </si>
  <si>
    <t xml:space="preserve">Murray  </t>
  </si>
  <si>
    <t xml:space="preserve">Muscogee  </t>
  </si>
  <si>
    <t xml:space="preserve">Oconee  </t>
  </si>
  <si>
    <t xml:space="preserve">Oglethorpe  </t>
  </si>
  <si>
    <t xml:space="preserve">Paulding  </t>
  </si>
  <si>
    <t xml:space="preserve">Peach  </t>
  </si>
  <si>
    <t xml:space="preserve">Pierce  </t>
  </si>
  <si>
    <t xml:space="preserve">Quitman  </t>
  </si>
  <si>
    <t xml:space="preserve">Rabun  </t>
  </si>
  <si>
    <t xml:space="preserve">Richmond  </t>
  </si>
  <si>
    <t xml:space="preserve">Rockdale  </t>
  </si>
  <si>
    <t xml:space="preserve">Schley  </t>
  </si>
  <si>
    <t xml:space="preserve">Screven  </t>
  </si>
  <si>
    <t xml:space="preserve">Spalding  </t>
  </si>
  <si>
    <t xml:space="preserve">Stephens  </t>
  </si>
  <si>
    <t xml:space="preserve">Stewart  </t>
  </si>
  <si>
    <t xml:space="preserve">Talbot  </t>
  </si>
  <si>
    <t xml:space="preserve">Taliaferro  </t>
  </si>
  <si>
    <t xml:space="preserve">Tattnall  </t>
  </si>
  <si>
    <t xml:space="preserve">Telfair  </t>
  </si>
  <si>
    <t xml:space="preserve">Terrell  </t>
  </si>
  <si>
    <t xml:space="preserve">Thomas  </t>
  </si>
  <si>
    <t xml:space="preserve">Tift  </t>
  </si>
  <si>
    <t xml:space="preserve">Toombs  </t>
  </si>
  <si>
    <t xml:space="preserve">Towns  </t>
  </si>
  <si>
    <t xml:space="preserve">Treutlen  </t>
  </si>
  <si>
    <t xml:space="preserve">Troup  </t>
  </si>
  <si>
    <t xml:space="preserve">Turner  </t>
  </si>
  <si>
    <t xml:space="preserve">Twiggs  </t>
  </si>
  <si>
    <t xml:space="preserve">Upson  </t>
  </si>
  <si>
    <t xml:space="preserve">Ware  </t>
  </si>
  <si>
    <t xml:space="preserve">Warren  </t>
  </si>
  <si>
    <t xml:space="preserve">Wayne  </t>
  </si>
  <si>
    <t xml:space="preserve">Webster  </t>
  </si>
  <si>
    <t xml:space="preserve">Wheeler  </t>
  </si>
  <si>
    <t xml:space="preserve">Whitfield  </t>
  </si>
  <si>
    <t xml:space="preserve">Wilkes  </t>
  </si>
  <si>
    <t xml:space="preserve">Wilkinson  </t>
  </si>
  <si>
    <t xml:space="preserve">Worth  </t>
  </si>
  <si>
    <t xml:space="preserve">Guam  </t>
  </si>
  <si>
    <t xml:space="preserve">Hawaii  </t>
  </si>
  <si>
    <t xml:space="preserve">Honolulu  </t>
  </si>
  <si>
    <t xml:space="preserve">Kauai  </t>
  </si>
  <si>
    <t xml:space="preserve">Maui  </t>
  </si>
  <si>
    <t xml:space="preserve">Ada  </t>
  </si>
  <si>
    <t xml:space="preserve">Bannock  </t>
  </si>
  <si>
    <t xml:space="preserve">Bear Lake  </t>
  </si>
  <si>
    <t xml:space="preserve">Benewah  </t>
  </si>
  <si>
    <t xml:space="preserve">Bingham  </t>
  </si>
  <si>
    <t xml:space="preserve">Blaine  </t>
  </si>
  <si>
    <t xml:space="preserve">Boise  </t>
  </si>
  <si>
    <t xml:space="preserve">Bonner  </t>
  </si>
  <si>
    <t xml:space="preserve">Bonneville  </t>
  </si>
  <si>
    <t xml:space="preserve">Boundary  </t>
  </si>
  <si>
    <t xml:space="preserve">Camas  </t>
  </si>
  <si>
    <t xml:space="preserve">Canyon  </t>
  </si>
  <si>
    <t xml:space="preserve">Caribou  </t>
  </si>
  <si>
    <t xml:space="preserve">Cassia  </t>
  </si>
  <si>
    <t xml:space="preserve">Clearwater  </t>
  </si>
  <si>
    <t xml:space="preserve">Gem  </t>
  </si>
  <si>
    <t xml:space="preserve">Gooding  </t>
  </si>
  <si>
    <t xml:space="preserve">Idaho  </t>
  </si>
  <si>
    <t xml:space="preserve">Jerome  </t>
  </si>
  <si>
    <t xml:space="preserve">Kootenai  </t>
  </si>
  <si>
    <t xml:space="preserve">Latah  </t>
  </si>
  <si>
    <t xml:space="preserve">Lemhi  </t>
  </si>
  <si>
    <t xml:space="preserve">Lewis  </t>
  </si>
  <si>
    <t xml:space="preserve">Minidoka  </t>
  </si>
  <si>
    <t xml:space="preserve">Nez Perce  </t>
  </si>
  <si>
    <t xml:space="preserve">Oneida  </t>
  </si>
  <si>
    <t xml:space="preserve">Owyhee  </t>
  </si>
  <si>
    <t xml:space="preserve">Payette  </t>
  </si>
  <si>
    <t xml:space="preserve">Power  </t>
  </si>
  <si>
    <t xml:space="preserve">Shoshone  </t>
  </si>
  <si>
    <t xml:space="preserve">Teton  </t>
  </si>
  <si>
    <t xml:space="preserve">Twin Falls  </t>
  </si>
  <si>
    <t xml:space="preserve">Valley  </t>
  </si>
  <si>
    <t xml:space="preserve">Alexander  </t>
  </si>
  <si>
    <t xml:space="preserve">Bond  </t>
  </si>
  <si>
    <t xml:space="preserve">Brown  </t>
  </si>
  <si>
    <t xml:space="preserve">Bureau  </t>
  </si>
  <si>
    <t xml:space="preserve">Cass  </t>
  </si>
  <si>
    <t xml:space="preserve">Champaign  </t>
  </si>
  <si>
    <t xml:space="preserve">Christian  </t>
  </si>
  <si>
    <t xml:space="preserve">Clinton  </t>
  </si>
  <si>
    <t xml:space="preserve">Coles  </t>
  </si>
  <si>
    <t xml:space="preserve">Cumberland  </t>
  </si>
  <si>
    <t xml:space="preserve">Dewitt  </t>
  </si>
  <si>
    <t xml:space="preserve">Dupage  </t>
  </si>
  <si>
    <t xml:space="preserve">Edgar  </t>
  </si>
  <si>
    <t xml:space="preserve">Edwards  </t>
  </si>
  <si>
    <t xml:space="preserve">Ford  </t>
  </si>
  <si>
    <t xml:space="preserve">Gallatin  </t>
  </si>
  <si>
    <t xml:space="preserve">Grundy  </t>
  </si>
  <si>
    <t xml:space="preserve">Hardin  </t>
  </si>
  <si>
    <t xml:space="preserve">Henderson  </t>
  </si>
  <si>
    <t xml:space="preserve">Iroquois  </t>
  </si>
  <si>
    <t xml:space="preserve">Jersey  </t>
  </si>
  <si>
    <t xml:space="preserve">Jo Daviess  </t>
  </si>
  <si>
    <t xml:space="preserve">Kane  </t>
  </si>
  <si>
    <t xml:space="preserve">Kankakee  </t>
  </si>
  <si>
    <t xml:space="preserve">Kendall  </t>
  </si>
  <si>
    <t xml:space="preserve">Knox  </t>
  </si>
  <si>
    <t xml:space="preserve">La Salle  </t>
  </si>
  <si>
    <t xml:space="preserve">Livingston  </t>
  </si>
  <si>
    <t xml:space="preserve">Macoupin  </t>
  </si>
  <si>
    <t xml:space="preserve">Mason  </t>
  </si>
  <si>
    <t xml:space="preserve">Massac  </t>
  </si>
  <si>
    <t xml:space="preserve">Mcdonough  </t>
  </si>
  <si>
    <t xml:space="preserve">Mchenry  </t>
  </si>
  <si>
    <t xml:space="preserve">Mclean  </t>
  </si>
  <si>
    <t xml:space="preserve">Menard  </t>
  </si>
  <si>
    <t xml:space="preserve">Mercer  </t>
  </si>
  <si>
    <t xml:space="preserve">Moultrie  </t>
  </si>
  <si>
    <t xml:space="preserve">Ogle  </t>
  </si>
  <si>
    <t xml:space="preserve">Peoria  </t>
  </si>
  <si>
    <t xml:space="preserve">Piatt  </t>
  </si>
  <si>
    <t xml:space="preserve">Richland  </t>
  </si>
  <si>
    <t xml:space="preserve">Rock Island  </t>
  </si>
  <si>
    <t xml:space="preserve">Sangamon  </t>
  </si>
  <si>
    <t xml:space="preserve">Schuyler  </t>
  </si>
  <si>
    <t xml:space="preserve">Stark  </t>
  </si>
  <si>
    <t xml:space="preserve">Stephenson  </t>
  </si>
  <si>
    <t xml:space="preserve">Tazewell  </t>
  </si>
  <si>
    <t xml:space="preserve">Vermilion  </t>
  </si>
  <si>
    <t xml:space="preserve">Wabash  </t>
  </si>
  <si>
    <t xml:space="preserve">Whiteside  </t>
  </si>
  <si>
    <t xml:space="preserve">Will  </t>
  </si>
  <si>
    <t xml:space="preserve">Williamson  </t>
  </si>
  <si>
    <t xml:space="preserve">Winnebago  </t>
  </si>
  <si>
    <t xml:space="preserve">Woodford  </t>
  </si>
  <si>
    <t xml:space="preserve">Allen  </t>
  </si>
  <si>
    <t xml:space="preserve">Bartholomew  </t>
  </si>
  <si>
    <t xml:space="preserve">Blackford  </t>
  </si>
  <si>
    <t xml:space="preserve">Daviess  </t>
  </si>
  <si>
    <t xml:space="preserve">Dearborn  </t>
  </si>
  <si>
    <t xml:space="preserve">Delaware  </t>
  </si>
  <si>
    <t xml:space="preserve">Dubois  </t>
  </si>
  <si>
    <t xml:space="preserve">Elkhart  </t>
  </si>
  <si>
    <t xml:space="preserve">Fountain  </t>
  </si>
  <si>
    <t xml:space="preserve">Gibson  </t>
  </si>
  <si>
    <t xml:space="preserve">Harrison  </t>
  </si>
  <si>
    <t xml:space="preserve">Hendricks  </t>
  </si>
  <si>
    <t xml:space="preserve">Huntington  </t>
  </si>
  <si>
    <t xml:space="preserve">Jay  </t>
  </si>
  <si>
    <t xml:space="preserve">Jennings  </t>
  </si>
  <si>
    <t xml:space="preserve">Kosciusko  </t>
  </si>
  <si>
    <t xml:space="preserve">La Porte  </t>
  </si>
  <si>
    <t xml:space="preserve">Lagrange  </t>
  </si>
  <si>
    <t xml:space="preserve">Miami  </t>
  </si>
  <si>
    <t xml:space="preserve">Noble  </t>
  </si>
  <si>
    <t xml:space="preserve">Ohio  </t>
  </si>
  <si>
    <t xml:space="preserve">Owen  </t>
  </si>
  <si>
    <t xml:space="preserve">Parke  </t>
  </si>
  <si>
    <t xml:space="preserve">Porter  </t>
  </si>
  <si>
    <t xml:space="preserve">Posey  </t>
  </si>
  <si>
    <t xml:space="preserve">Ripley  </t>
  </si>
  <si>
    <t xml:space="preserve">Rush  </t>
  </si>
  <si>
    <t xml:space="preserve">Spencer  </t>
  </si>
  <si>
    <t xml:space="preserve">St Joseph  </t>
  </si>
  <si>
    <t xml:space="preserve">Starke  </t>
  </si>
  <si>
    <t xml:space="preserve">Steuben  </t>
  </si>
  <si>
    <t xml:space="preserve">Sullivan  </t>
  </si>
  <si>
    <t xml:space="preserve">Switzerland  </t>
  </si>
  <si>
    <t xml:space="preserve">Tippecanoe  </t>
  </si>
  <si>
    <t xml:space="preserve">Tipton  </t>
  </si>
  <si>
    <t xml:space="preserve">Vanderburgh  </t>
  </si>
  <si>
    <t xml:space="preserve">Vermillion  </t>
  </si>
  <si>
    <t xml:space="preserve">Vigo  </t>
  </si>
  <si>
    <t xml:space="preserve">Warrick  </t>
  </si>
  <si>
    <t xml:space="preserve">Wells  </t>
  </si>
  <si>
    <t xml:space="preserve">Whitley  </t>
  </si>
  <si>
    <t xml:space="preserve">Adair  </t>
  </si>
  <si>
    <t xml:space="preserve">Allamakee  </t>
  </si>
  <si>
    <t xml:space="preserve">Appanoose  </t>
  </si>
  <si>
    <t xml:space="preserve">Audubon  </t>
  </si>
  <si>
    <t xml:space="preserve">Black Hawk  </t>
  </si>
  <si>
    <t xml:space="preserve">Bremer  </t>
  </si>
  <si>
    <t xml:space="preserve">Buchanan  </t>
  </si>
  <si>
    <t xml:space="preserve">Buena Vista  </t>
  </si>
  <si>
    <t xml:space="preserve">Cedar  </t>
  </si>
  <si>
    <t xml:space="preserve">Cerro Gordo  </t>
  </si>
  <si>
    <t xml:space="preserve">Chickasaw  </t>
  </si>
  <si>
    <t xml:space="preserve">Davis  </t>
  </si>
  <si>
    <t xml:space="preserve">Des Moines  </t>
  </si>
  <si>
    <t xml:space="preserve">Dickinson  </t>
  </si>
  <si>
    <t xml:space="preserve">Dubuque  </t>
  </si>
  <si>
    <t xml:space="preserve">Emmet  </t>
  </si>
  <si>
    <t xml:space="preserve">Guthrie  </t>
  </si>
  <si>
    <t xml:space="preserve">Ida  </t>
  </si>
  <si>
    <t xml:space="preserve">Iowa  </t>
  </si>
  <si>
    <t xml:space="preserve">Keokuk  </t>
  </si>
  <si>
    <t xml:space="preserve">Kossuth  </t>
  </si>
  <si>
    <t xml:space="preserve">Linn  </t>
  </si>
  <si>
    <t xml:space="preserve">Louisa  </t>
  </si>
  <si>
    <t xml:space="preserve">Lucas  </t>
  </si>
  <si>
    <t xml:space="preserve">Lyon  </t>
  </si>
  <si>
    <t xml:space="preserve">Mahaska  </t>
  </si>
  <si>
    <t xml:space="preserve">Mills  </t>
  </si>
  <si>
    <t xml:space="preserve">Monona  </t>
  </si>
  <si>
    <t xml:space="preserve">Muscatine  </t>
  </si>
  <si>
    <t xml:space="preserve">Obrien  </t>
  </si>
  <si>
    <t xml:space="preserve">Page  </t>
  </si>
  <si>
    <t xml:space="preserve">Palo Alto  </t>
  </si>
  <si>
    <t xml:space="preserve">Plymouth  </t>
  </si>
  <si>
    <t xml:space="preserve">Pocahontas  </t>
  </si>
  <si>
    <t xml:space="preserve">Pottawattamie  </t>
  </si>
  <si>
    <t xml:space="preserve">Poweshiek  </t>
  </si>
  <si>
    <t xml:space="preserve">Ringgold  </t>
  </si>
  <si>
    <t xml:space="preserve">Sac  </t>
  </si>
  <si>
    <t xml:space="preserve">Sioux  </t>
  </si>
  <si>
    <t xml:space="preserve">Story  </t>
  </si>
  <si>
    <t xml:space="preserve">Tama  </t>
  </si>
  <si>
    <t xml:space="preserve">Wapello  </t>
  </si>
  <si>
    <t xml:space="preserve">Winneshiek  </t>
  </si>
  <si>
    <t xml:space="preserve">Woodbury  </t>
  </si>
  <si>
    <t xml:space="preserve">Wright  </t>
  </si>
  <si>
    <t xml:space="preserve">Anderson  </t>
  </si>
  <si>
    <t xml:space="preserve">Atchison  </t>
  </si>
  <si>
    <t xml:space="preserve">Barber  </t>
  </si>
  <si>
    <t xml:space="preserve">Barton  </t>
  </si>
  <si>
    <t xml:space="preserve">Bourbon  </t>
  </si>
  <si>
    <t xml:space="preserve">Chase  </t>
  </si>
  <si>
    <t xml:space="preserve">Chautauqua  </t>
  </si>
  <si>
    <t xml:space="preserve">Cloud  </t>
  </si>
  <si>
    <t xml:space="preserve">Coffey  </t>
  </si>
  <si>
    <t xml:space="preserve">Comanche  </t>
  </si>
  <si>
    <t xml:space="preserve">Cowley  </t>
  </si>
  <si>
    <t xml:space="preserve">Doniphan  </t>
  </si>
  <si>
    <t xml:space="preserve">Elk  </t>
  </si>
  <si>
    <t xml:space="preserve">Ellis  </t>
  </si>
  <si>
    <t xml:space="preserve">Ellsworth  </t>
  </si>
  <si>
    <t xml:space="preserve">Finney  </t>
  </si>
  <si>
    <t xml:space="preserve">Geary  </t>
  </si>
  <si>
    <t xml:space="preserve">Gove  </t>
  </si>
  <si>
    <t xml:space="preserve">Gray  </t>
  </si>
  <si>
    <t xml:space="preserve">Greeley  </t>
  </si>
  <si>
    <t xml:space="preserve">Greenwood  </t>
  </si>
  <si>
    <t xml:space="preserve">Harper  </t>
  </si>
  <si>
    <t xml:space="preserve">Harvey  </t>
  </si>
  <si>
    <t xml:space="preserve">Haskell  </t>
  </si>
  <si>
    <t xml:space="preserve">Hodgeman  </t>
  </si>
  <si>
    <t xml:space="preserve">Jewell  </t>
  </si>
  <si>
    <t xml:space="preserve">Kearny  </t>
  </si>
  <si>
    <t xml:space="preserve">Kingman  </t>
  </si>
  <si>
    <t xml:space="preserve">Labette  </t>
  </si>
  <si>
    <t xml:space="preserve">Lane  </t>
  </si>
  <si>
    <t xml:space="preserve">Leavenworth  </t>
  </si>
  <si>
    <t xml:space="preserve">Mcpherson  </t>
  </si>
  <si>
    <t xml:space="preserve">Meade  </t>
  </si>
  <si>
    <t xml:space="preserve">Morris  </t>
  </si>
  <si>
    <t xml:space="preserve">Morton  </t>
  </si>
  <si>
    <t xml:space="preserve">Nemaha  </t>
  </si>
  <si>
    <t xml:space="preserve">Neosho  </t>
  </si>
  <si>
    <t xml:space="preserve">Ness  </t>
  </si>
  <si>
    <t xml:space="preserve">Norton  </t>
  </si>
  <si>
    <t xml:space="preserve">Osage  </t>
  </si>
  <si>
    <t xml:space="preserve">Osborne  </t>
  </si>
  <si>
    <t xml:space="preserve">Ottawa  </t>
  </si>
  <si>
    <t xml:space="preserve">Pawnee  </t>
  </si>
  <si>
    <t xml:space="preserve">Pottawatomie  </t>
  </si>
  <si>
    <t xml:space="preserve">Pratt  </t>
  </si>
  <si>
    <t xml:space="preserve">Rawlins  </t>
  </si>
  <si>
    <t xml:space="preserve">Reno  </t>
  </si>
  <si>
    <t xml:space="preserve">Republic  </t>
  </si>
  <si>
    <t xml:space="preserve">Rice  </t>
  </si>
  <si>
    <t xml:space="preserve">Riley  </t>
  </si>
  <si>
    <t xml:space="preserve">Rooks  </t>
  </si>
  <si>
    <t xml:space="preserve">Seward  </t>
  </si>
  <si>
    <t xml:space="preserve">Shawnee  </t>
  </si>
  <si>
    <t xml:space="preserve">Sheridan  </t>
  </si>
  <si>
    <t xml:space="preserve">Sherman  </t>
  </si>
  <si>
    <t xml:space="preserve">Smith  </t>
  </si>
  <si>
    <t xml:space="preserve">Stafford  </t>
  </si>
  <si>
    <t xml:space="preserve">Stanton  </t>
  </si>
  <si>
    <t xml:space="preserve">Stevens  </t>
  </si>
  <si>
    <t xml:space="preserve">Sumner  </t>
  </si>
  <si>
    <t xml:space="preserve">Trego  </t>
  </si>
  <si>
    <t xml:space="preserve">Wabaunsee  </t>
  </si>
  <si>
    <t xml:space="preserve">Wallace  </t>
  </si>
  <si>
    <t xml:space="preserve">Wichita  </t>
  </si>
  <si>
    <t xml:space="preserve">Wilson  </t>
  </si>
  <si>
    <t xml:space="preserve">Woodson  </t>
  </si>
  <si>
    <t xml:space="preserve">Wyandotte  </t>
  </si>
  <si>
    <t xml:space="preserve">Ballard  </t>
  </si>
  <si>
    <t xml:space="preserve">Barren  </t>
  </si>
  <si>
    <t xml:space="preserve">Bath  </t>
  </si>
  <si>
    <t xml:space="preserve">Bell  </t>
  </si>
  <si>
    <t xml:space="preserve">Boyd  </t>
  </si>
  <si>
    <t xml:space="preserve">Boyle  </t>
  </si>
  <si>
    <t xml:space="preserve">Bracken  </t>
  </si>
  <si>
    <t xml:space="preserve">Breathitt  </t>
  </si>
  <si>
    <t xml:space="preserve">Breckinridge  </t>
  </si>
  <si>
    <t xml:space="preserve">Bullitt  </t>
  </si>
  <si>
    <t xml:space="preserve">Caldwell  </t>
  </si>
  <si>
    <t xml:space="preserve">Calloway  </t>
  </si>
  <si>
    <t xml:space="preserve">Campbell  </t>
  </si>
  <si>
    <t xml:space="preserve">Carlisle  </t>
  </si>
  <si>
    <t xml:space="preserve">Carter  </t>
  </si>
  <si>
    <t xml:space="preserve">Casey  </t>
  </si>
  <si>
    <t xml:space="preserve">Edmonson  </t>
  </si>
  <si>
    <t xml:space="preserve">Elliott  </t>
  </si>
  <si>
    <t xml:space="preserve">Estill  </t>
  </si>
  <si>
    <t xml:space="preserve">Fleming  </t>
  </si>
  <si>
    <t xml:space="preserve">Garrard  </t>
  </si>
  <si>
    <t xml:space="preserve">Graves  </t>
  </si>
  <si>
    <t xml:space="preserve">Grayson  </t>
  </si>
  <si>
    <t xml:space="preserve">Green  </t>
  </si>
  <si>
    <t xml:space="preserve">Greenup  </t>
  </si>
  <si>
    <t xml:space="preserve">Harlan  </t>
  </si>
  <si>
    <t xml:space="preserve">Hickman  </t>
  </si>
  <si>
    <t xml:space="preserve">Hopkins  </t>
  </si>
  <si>
    <t xml:space="preserve">Jessamine  </t>
  </si>
  <si>
    <t xml:space="preserve">Kenton  </t>
  </si>
  <si>
    <t xml:space="preserve">Knott  </t>
  </si>
  <si>
    <t xml:space="preserve">Larue  </t>
  </si>
  <si>
    <t xml:space="preserve">Laurel  </t>
  </si>
  <si>
    <t xml:space="preserve">Leslie  </t>
  </si>
  <si>
    <t xml:space="preserve">Letcher  </t>
  </si>
  <si>
    <t xml:space="preserve">Magoffin  </t>
  </si>
  <si>
    <t xml:space="preserve">Mccracken  </t>
  </si>
  <si>
    <t xml:space="preserve">Mccreary  </t>
  </si>
  <si>
    <t xml:space="preserve">Menifee  </t>
  </si>
  <si>
    <t xml:space="preserve">Metcalfe  </t>
  </si>
  <si>
    <t xml:space="preserve">Muhlenberg  </t>
  </si>
  <si>
    <t xml:space="preserve">Nelson  </t>
  </si>
  <si>
    <t xml:space="preserve">Nicholas  </t>
  </si>
  <si>
    <t xml:space="preserve">Oldham  </t>
  </si>
  <si>
    <t xml:space="preserve">Owsley  </t>
  </si>
  <si>
    <t xml:space="preserve">Pendleton  </t>
  </si>
  <si>
    <t xml:space="preserve">Powell  </t>
  </si>
  <si>
    <t xml:space="preserve">Robertson  </t>
  </si>
  <si>
    <t xml:space="preserve">Rockcastle  </t>
  </si>
  <si>
    <t xml:space="preserve">Rowan  </t>
  </si>
  <si>
    <t xml:space="preserve">Simpson  </t>
  </si>
  <si>
    <t xml:space="preserve">Todd  </t>
  </si>
  <si>
    <t xml:space="preserve">Trigg  </t>
  </si>
  <si>
    <t xml:space="preserve">Trimble  </t>
  </si>
  <si>
    <t xml:space="preserve">Wolfe  </t>
  </si>
  <si>
    <t xml:space="preserve">Acadia  </t>
  </si>
  <si>
    <t xml:space="preserve">Ascension  </t>
  </si>
  <si>
    <t xml:space="preserve">Assumption  </t>
  </si>
  <si>
    <t xml:space="preserve">Avoyelles  </t>
  </si>
  <si>
    <t xml:space="preserve">Beauregard  </t>
  </si>
  <si>
    <t xml:space="preserve">Bienville  </t>
  </si>
  <si>
    <t xml:space="preserve">Bossier  </t>
  </si>
  <si>
    <t xml:space="preserve">Caddo  </t>
  </si>
  <si>
    <t xml:space="preserve">Calcasieu  </t>
  </si>
  <si>
    <t xml:space="preserve">Cameron  </t>
  </si>
  <si>
    <t xml:space="preserve">Catahoula  </t>
  </si>
  <si>
    <t xml:space="preserve">Claiborne  </t>
  </si>
  <si>
    <t xml:space="preserve">Concordia  </t>
  </si>
  <si>
    <t xml:space="preserve">East Baton Rouge  </t>
  </si>
  <si>
    <t xml:space="preserve">East Carroll  </t>
  </si>
  <si>
    <t xml:space="preserve">East Feliciana  </t>
  </si>
  <si>
    <t xml:space="preserve">Evangeline  </t>
  </si>
  <si>
    <t xml:space="preserve">Iberia  </t>
  </si>
  <si>
    <t xml:space="preserve">Iberville  </t>
  </si>
  <si>
    <t xml:space="preserve">Jefferson Davis  </t>
  </si>
  <si>
    <t xml:space="preserve">Lafourche  </t>
  </si>
  <si>
    <t xml:space="preserve">Morehouse  </t>
  </si>
  <si>
    <t xml:space="preserve">Natchitoches  </t>
  </si>
  <si>
    <t xml:space="preserve">Orleans  </t>
  </si>
  <si>
    <t xml:space="preserve">Plaquemines  </t>
  </si>
  <si>
    <t xml:space="preserve">Pointe Coupee  </t>
  </si>
  <si>
    <t xml:space="preserve">Rapides  </t>
  </si>
  <si>
    <t xml:space="preserve">Red River  </t>
  </si>
  <si>
    <t xml:space="preserve">Sabine  </t>
  </si>
  <si>
    <t xml:space="preserve">Saint Bernard  </t>
  </si>
  <si>
    <t xml:space="preserve">Saint Charles  </t>
  </si>
  <si>
    <t xml:space="preserve">Saint Helena  </t>
  </si>
  <si>
    <t xml:space="preserve">Saint James  </t>
  </si>
  <si>
    <t xml:space="preserve">Saint Landry  </t>
  </si>
  <si>
    <t xml:space="preserve">Saint Martin  </t>
  </si>
  <si>
    <t xml:space="preserve">Saint Mary  </t>
  </si>
  <si>
    <t xml:space="preserve">Saint Tammany  </t>
  </si>
  <si>
    <t xml:space="preserve">St John The Baptist  </t>
  </si>
  <si>
    <t xml:space="preserve">Tangipahoa  </t>
  </si>
  <si>
    <t xml:space="preserve">Tensas  </t>
  </si>
  <si>
    <t xml:space="preserve">Terrebonne  </t>
  </si>
  <si>
    <t xml:space="preserve">Vernon  </t>
  </si>
  <si>
    <t xml:space="preserve">West Baton Rouge  </t>
  </si>
  <si>
    <t xml:space="preserve">West Carroll  </t>
  </si>
  <si>
    <t xml:space="preserve">West Feliciana  </t>
  </si>
  <si>
    <t xml:space="preserve">Winn  </t>
  </si>
  <si>
    <t xml:space="preserve">Androscoggin  </t>
  </si>
  <si>
    <t xml:space="preserve">Aroostook  </t>
  </si>
  <si>
    <t xml:space="preserve">Kennebec  </t>
  </si>
  <si>
    <t xml:space="preserve">Oxford  </t>
  </si>
  <si>
    <t xml:space="preserve">Penobscot  </t>
  </si>
  <si>
    <t xml:space="preserve">Piscataquis  </t>
  </si>
  <si>
    <t xml:space="preserve">Sagadahoc  </t>
  </si>
  <si>
    <t xml:space="preserve">Somerset  </t>
  </si>
  <si>
    <t xml:space="preserve">Waldo  </t>
  </si>
  <si>
    <t xml:space="preserve">York  </t>
  </si>
  <si>
    <t xml:space="preserve">Allegany  </t>
  </si>
  <si>
    <t xml:space="preserve">Anne Arundel  </t>
  </si>
  <si>
    <t xml:space="preserve">Baltimore  </t>
  </si>
  <si>
    <t xml:space="preserve">Baltimore City  </t>
  </si>
  <si>
    <t xml:space="preserve">Calvert  </t>
  </si>
  <si>
    <t xml:space="preserve">Caroline  </t>
  </si>
  <si>
    <t xml:space="preserve">Cecil  </t>
  </si>
  <si>
    <t xml:space="preserve">Charles  </t>
  </si>
  <si>
    <t xml:space="preserve">Dorchester  </t>
  </si>
  <si>
    <t xml:space="preserve">Frederick  </t>
  </si>
  <si>
    <t xml:space="preserve">Garrett  </t>
  </si>
  <si>
    <t xml:space="preserve">Harford  </t>
  </si>
  <si>
    <t xml:space="preserve">Prince Georges  </t>
  </si>
  <si>
    <t xml:space="preserve">Queen Annes  </t>
  </si>
  <si>
    <t xml:space="preserve">Saint Marys  </t>
  </si>
  <si>
    <t xml:space="preserve">Wicomico  </t>
  </si>
  <si>
    <t xml:space="preserve">Worcester  </t>
  </si>
  <si>
    <t xml:space="preserve">Barnstable  </t>
  </si>
  <si>
    <t xml:space="preserve">Berkshire  </t>
  </si>
  <si>
    <t xml:space="preserve">Bristol  </t>
  </si>
  <si>
    <t xml:space="preserve">Dukes  </t>
  </si>
  <si>
    <t xml:space="preserve">Essex  </t>
  </si>
  <si>
    <t xml:space="preserve">Hampden  </t>
  </si>
  <si>
    <t xml:space="preserve">Hampshire  </t>
  </si>
  <si>
    <t xml:space="preserve">Nantucket  </t>
  </si>
  <si>
    <t xml:space="preserve">Norfolk  </t>
  </si>
  <si>
    <t xml:space="preserve">Suffolk  </t>
  </si>
  <si>
    <t xml:space="preserve">Alcona  </t>
  </si>
  <si>
    <t xml:space="preserve">Alger  </t>
  </si>
  <si>
    <t xml:space="preserve">Allegan  </t>
  </si>
  <si>
    <t xml:space="preserve">Alpena  </t>
  </si>
  <si>
    <t xml:space="preserve">Antrim  </t>
  </si>
  <si>
    <t xml:space="preserve">Arenac  </t>
  </si>
  <si>
    <t xml:space="preserve">Baraga  </t>
  </si>
  <si>
    <t xml:space="preserve">Barry  </t>
  </si>
  <si>
    <t xml:space="preserve">Benzie  </t>
  </si>
  <si>
    <t xml:space="preserve">Branch  </t>
  </si>
  <si>
    <t xml:space="preserve">Charlevoix  </t>
  </si>
  <si>
    <t xml:space="preserve">Cheboygan  </t>
  </si>
  <si>
    <t xml:space="preserve">Chippewa  </t>
  </si>
  <si>
    <t xml:space="preserve">Clare  </t>
  </si>
  <si>
    <t xml:space="preserve">Eaton  </t>
  </si>
  <si>
    <t xml:space="preserve">Genesee  </t>
  </si>
  <si>
    <t xml:space="preserve">Gladwin  </t>
  </si>
  <si>
    <t xml:space="preserve">Gogebic  </t>
  </si>
  <si>
    <t xml:space="preserve">Grand Traverse  </t>
  </si>
  <si>
    <t xml:space="preserve">Gratiot  </t>
  </si>
  <si>
    <t xml:space="preserve">Hillsdale  </t>
  </si>
  <si>
    <t xml:space="preserve">Houghton  </t>
  </si>
  <si>
    <t xml:space="preserve">Huron  </t>
  </si>
  <si>
    <t xml:space="preserve">Ingham  </t>
  </si>
  <si>
    <t xml:space="preserve">Ionia  </t>
  </si>
  <si>
    <t xml:space="preserve">Iosco  </t>
  </si>
  <si>
    <t xml:space="preserve">Iron  </t>
  </si>
  <si>
    <t xml:space="preserve">Isabella  </t>
  </si>
  <si>
    <t xml:space="preserve">Kalamazoo  </t>
  </si>
  <si>
    <t xml:space="preserve">Kalkaska  </t>
  </si>
  <si>
    <t xml:space="preserve">Keweenaw  </t>
  </si>
  <si>
    <t xml:space="preserve">Lapeer  </t>
  </si>
  <si>
    <t xml:space="preserve">Leelanau  </t>
  </si>
  <si>
    <t xml:space="preserve">Lenawee  </t>
  </si>
  <si>
    <t xml:space="preserve">Luce  </t>
  </si>
  <si>
    <t xml:space="preserve">Mackinac  </t>
  </si>
  <si>
    <t xml:space="preserve">Macomb  </t>
  </si>
  <si>
    <t xml:space="preserve">Manistee  </t>
  </si>
  <si>
    <t xml:space="preserve">Marquette  </t>
  </si>
  <si>
    <t xml:space="preserve">Mecosta  </t>
  </si>
  <si>
    <t xml:space="preserve">Menominee  </t>
  </si>
  <si>
    <t xml:space="preserve">Midland  </t>
  </si>
  <si>
    <t xml:space="preserve">Missaukee  </t>
  </si>
  <si>
    <t xml:space="preserve">Montcalm  </t>
  </si>
  <si>
    <t xml:space="preserve">Montmorency  </t>
  </si>
  <si>
    <t xml:space="preserve">Muskegon  </t>
  </si>
  <si>
    <t xml:space="preserve">Newaygo  </t>
  </si>
  <si>
    <t xml:space="preserve">Oakland  </t>
  </si>
  <si>
    <t xml:space="preserve">Oceana  </t>
  </si>
  <si>
    <t xml:space="preserve">Ogemaw  </t>
  </si>
  <si>
    <t xml:space="preserve">Ontonagon  </t>
  </si>
  <si>
    <t xml:space="preserve">Oscoda  </t>
  </si>
  <si>
    <t xml:space="preserve">Otsego  </t>
  </si>
  <si>
    <t xml:space="preserve">Presque Isle  </t>
  </si>
  <si>
    <t xml:space="preserve">Roscommon  </t>
  </si>
  <si>
    <t xml:space="preserve">Saginaw  </t>
  </si>
  <si>
    <t xml:space="preserve">Saint Joseph  </t>
  </si>
  <si>
    <t xml:space="preserve">Sanilac  </t>
  </si>
  <si>
    <t xml:space="preserve">Schoolcraft  </t>
  </si>
  <si>
    <t xml:space="preserve">Shiawassee  </t>
  </si>
  <si>
    <t xml:space="preserve">Tuscola  </t>
  </si>
  <si>
    <t xml:space="preserve">Washtenaw  </t>
  </si>
  <si>
    <t xml:space="preserve">Wexford  </t>
  </si>
  <si>
    <t xml:space="preserve">Aitkin  </t>
  </si>
  <si>
    <t xml:space="preserve">Anoka  </t>
  </si>
  <si>
    <t xml:space="preserve">Becker  </t>
  </si>
  <si>
    <t xml:space="preserve">Beltrami  </t>
  </si>
  <si>
    <t xml:space="preserve">Big Stone  </t>
  </si>
  <si>
    <t xml:space="preserve">Blue Earth  </t>
  </si>
  <si>
    <t xml:space="preserve">Carlton  </t>
  </si>
  <si>
    <t xml:space="preserve">Carver  </t>
  </si>
  <si>
    <t xml:space="preserve">Chisago  </t>
  </si>
  <si>
    <t xml:space="preserve">Cottonwood  </t>
  </si>
  <si>
    <t xml:space="preserve">Crow Wing  </t>
  </si>
  <si>
    <t xml:space="preserve">Dakota  </t>
  </si>
  <si>
    <t xml:space="preserve">Faribault  </t>
  </si>
  <si>
    <t xml:space="preserve">Fillmore  </t>
  </si>
  <si>
    <t xml:space="preserve">Freeborn  </t>
  </si>
  <si>
    <t xml:space="preserve">Goodhue  </t>
  </si>
  <si>
    <t xml:space="preserve">Hennepin  </t>
  </si>
  <si>
    <t xml:space="preserve">Hubbard  </t>
  </si>
  <si>
    <t xml:space="preserve">Isanti  </t>
  </si>
  <si>
    <t xml:space="preserve">Itasca  </t>
  </si>
  <si>
    <t xml:space="preserve">Kanabec  </t>
  </si>
  <si>
    <t xml:space="preserve">Kandiyohi  </t>
  </si>
  <si>
    <t xml:space="preserve">Kittson  </t>
  </si>
  <si>
    <t xml:space="preserve">Koochiching  </t>
  </si>
  <si>
    <t xml:space="preserve">Lac Qui Parle  </t>
  </si>
  <si>
    <t xml:space="preserve">Lake Of The Woods  </t>
  </si>
  <si>
    <t xml:space="preserve">Le Sueur  </t>
  </si>
  <si>
    <t xml:space="preserve">Mahnomen  </t>
  </si>
  <si>
    <t xml:space="preserve">Mcleod  </t>
  </si>
  <si>
    <t xml:space="preserve">Meeker  </t>
  </si>
  <si>
    <t xml:space="preserve">Mille Lacs  </t>
  </si>
  <si>
    <t xml:space="preserve">Morrison  </t>
  </si>
  <si>
    <t xml:space="preserve">Mower  </t>
  </si>
  <si>
    <t xml:space="preserve">Nicollet  </t>
  </si>
  <si>
    <t xml:space="preserve">Nobles  </t>
  </si>
  <si>
    <t xml:space="preserve">Norman  </t>
  </si>
  <si>
    <t xml:space="preserve">Olmsted  </t>
  </si>
  <si>
    <t xml:space="preserve">Otter Tail  </t>
  </si>
  <si>
    <t xml:space="preserve">Pennington  </t>
  </si>
  <si>
    <t xml:space="preserve">Pine  </t>
  </si>
  <si>
    <t xml:space="preserve">Pipestone  </t>
  </si>
  <si>
    <t xml:space="preserve">Ramsey  </t>
  </si>
  <si>
    <t xml:space="preserve">Red Lake  </t>
  </si>
  <si>
    <t xml:space="preserve">Redwood  </t>
  </si>
  <si>
    <t xml:space="preserve">Renville  </t>
  </si>
  <si>
    <t xml:space="preserve">Rock  </t>
  </si>
  <si>
    <t xml:space="preserve">Roseau  </t>
  </si>
  <si>
    <t xml:space="preserve">Saint Louis  </t>
  </si>
  <si>
    <t xml:space="preserve">Sherburne  </t>
  </si>
  <si>
    <t xml:space="preserve">Sibley  </t>
  </si>
  <si>
    <t xml:space="preserve">Stearns  </t>
  </si>
  <si>
    <t xml:space="preserve">Steele  </t>
  </si>
  <si>
    <t xml:space="preserve">Swift  </t>
  </si>
  <si>
    <t xml:space="preserve">Traverse  </t>
  </si>
  <si>
    <t xml:space="preserve">Wabasha  </t>
  </si>
  <si>
    <t xml:space="preserve">Wadena  </t>
  </si>
  <si>
    <t xml:space="preserve">Waseca  </t>
  </si>
  <si>
    <t xml:space="preserve">Watonwan  </t>
  </si>
  <si>
    <t xml:space="preserve">Wilkin  </t>
  </si>
  <si>
    <t xml:space="preserve">Winona  </t>
  </si>
  <si>
    <t xml:space="preserve">Yellow Medicine  </t>
  </si>
  <si>
    <t xml:space="preserve">Alcorn  </t>
  </si>
  <si>
    <t xml:space="preserve">Amite  </t>
  </si>
  <si>
    <t xml:space="preserve">Attala  </t>
  </si>
  <si>
    <t xml:space="preserve">Bolivar  </t>
  </si>
  <si>
    <t xml:space="preserve">Coahoma  </t>
  </si>
  <si>
    <t xml:space="preserve">Copiah  </t>
  </si>
  <si>
    <t xml:space="preserve">Desoto  </t>
  </si>
  <si>
    <t xml:space="preserve">Forrest  </t>
  </si>
  <si>
    <t xml:space="preserve">George  </t>
  </si>
  <si>
    <t xml:space="preserve">Grenada  </t>
  </si>
  <si>
    <t xml:space="preserve">Hinds  </t>
  </si>
  <si>
    <t xml:space="preserve">Humphreys  </t>
  </si>
  <si>
    <t xml:space="preserve">Issaquena  </t>
  </si>
  <si>
    <t xml:space="preserve">Itawamba  </t>
  </si>
  <si>
    <t xml:space="preserve">Kemper  </t>
  </si>
  <si>
    <t xml:space="preserve">Leake  </t>
  </si>
  <si>
    <t xml:space="preserve">Leflore  </t>
  </si>
  <si>
    <t xml:space="preserve">Neshoba  </t>
  </si>
  <si>
    <t xml:space="preserve">Noxubee  </t>
  </si>
  <si>
    <t xml:space="preserve">Oktibbeha  </t>
  </si>
  <si>
    <t xml:space="preserve">Panola  </t>
  </si>
  <si>
    <t xml:space="preserve">Pearl River  </t>
  </si>
  <si>
    <t xml:space="preserve">Pontotoc  </t>
  </si>
  <si>
    <t xml:space="preserve">Prentiss  </t>
  </si>
  <si>
    <t xml:space="preserve">Rankin  </t>
  </si>
  <si>
    <t xml:space="preserve">Sharkey  </t>
  </si>
  <si>
    <t xml:space="preserve">Sunflower  </t>
  </si>
  <si>
    <t xml:space="preserve">Tallahatchie  </t>
  </si>
  <si>
    <t xml:space="preserve">Tate  </t>
  </si>
  <si>
    <t xml:space="preserve">Tippah  </t>
  </si>
  <si>
    <t xml:space="preserve">Tishomingo  </t>
  </si>
  <si>
    <t xml:space="preserve">Tunica  </t>
  </si>
  <si>
    <t xml:space="preserve">Walthall  </t>
  </si>
  <si>
    <t xml:space="preserve">Yalobusha  </t>
  </si>
  <si>
    <t xml:space="preserve">Yazoo  </t>
  </si>
  <si>
    <t xml:space="preserve">Andrew  </t>
  </si>
  <si>
    <t xml:space="preserve">Audrain  </t>
  </si>
  <si>
    <t xml:space="preserve">Bates  </t>
  </si>
  <si>
    <t xml:space="preserve">Bollinger  </t>
  </si>
  <si>
    <t xml:space="preserve">Callaway  </t>
  </si>
  <si>
    <t xml:space="preserve">Cape Girardeau  </t>
  </si>
  <si>
    <t xml:space="preserve">Chariton  </t>
  </si>
  <si>
    <t xml:space="preserve">Cole  </t>
  </si>
  <si>
    <t xml:space="preserve">Cooper  </t>
  </si>
  <si>
    <t xml:space="preserve">Dent  </t>
  </si>
  <si>
    <t xml:space="preserve">Dunklin  </t>
  </si>
  <si>
    <t xml:space="preserve">Gasconade  </t>
  </si>
  <si>
    <t xml:space="preserve">Gentry  </t>
  </si>
  <si>
    <t xml:space="preserve">Hickory  </t>
  </si>
  <si>
    <t xml:space="preserve">Holt  </t>
  </si>
  <si>
    <t xml:space="preserve">Howell  </t>
  </si>
  <si>
    <t xml:space="preserve">Laclede  </t>
  </si>
  <si>
    <t xml:space="preserve">Maries  </t>
  </si>
  <si>
    <t xml:space="preserve">Mcdonald  </t>
  </si>
  <si>
    <t xml:space="preserve">Moniteau  </t>
  </si>
  <si>
    <t xml:space="preserve">New Madrid  </t>
  </si>
  <si>
    <t xml:space="preserve">Nodaway  </t>
  </si>
  <si>
    <t xml:space="preserve">Oregon  </t>
  </si>
  <si>
    <t xml:space="preserve">Ozark  </t>
  </si>
  <si>
    <t xml:space="preserve">Pemiscot  </t>
  </si>
  <si>
    <t xml:space="preserve">Pettis  </t>
  </si>
  <si>
    <t xml:space="preserve">Phelps  </t>
  </si>
  <si>
    <t xml:space="preserve">Platte  </t>
  </si>
  <si>
    <t xml:space="preserve">Ralls  </t>
  </si>
  <si>
    <t xml:space="preserve">Ray  </t>
  </si>
  <si>
    <t xml:space="preserve">Reynolds  </t>
  </si>
  <si>
    <t xml:space="preserve">Saint Francois  </t>
  </si>
  <si>
    <t xml:space="preserve">Saint Louis City  </t>
  </si>
  <si>
    <t xml:space="preserve">Sainte Genevieve  </t>
  </si>
  <si>
    <t xml:space="preserve">Scotland  </t>
  </si>
  <si>
    <t xml:space="preserve">Shannon  </t>
  </si>
  <si>
    <t xml:space="preserve">Stoddard  </t>
  </si>
  <si>
    <t xml:space="preserve">Taney  </t>
  </si>
  <si>
    <t xml:space="preserve">Texas  </t>
  </si>
  <si>
    <t xml:space="preserve">Beaverhead  </t>
  </si>
  <si>
    <t xml:space="preserve">Big Horn  </t>
  </si>
  <si>
    <t xml:space="preserve">Broadwater  </t>
  </si>
  <si>
    <t xml:space="preserve">Carbon  </t>
  </si>
  <si>
    <t xml:space="preserve">Cascade  </t>
  </si>
  <si>
    <t xml:space="preserve">Chouteau  </t>
  </si>
  <si>
    <t xml:space="preserve">Daniels  </t>
  </si>
  <si>
    <t xml:space="preserve">Deer Lodge  </t>
  </si>
  <si>
    <t xml:space="preserve">Fallon  </t>
  </si>
  <si>
    <t xml:space="preserve">Fergus  </t>
  </si>
  <si>
    <t xml:space="preserve">Flathead  </t>
  </si>
  <si>
    <t xml:space="preserve">Glacier  </t>
  </si>
  <si>
    <t xml:space="preserve">Golden Valley  </t>
  </si>
  <si>
    <t xml:space="preserve">Granite  </t>
  </si>
  <si>
    <t xml:space="preserve">Hill  </t>
  </si>
  <si>
    <t xml:space="preserve">Judith Basin  </t>
  </si>
  <si>
    <t xml:space="preserve">Lewis And Clark  </t>
  </si>
  <si>
    <t xml:space="preserve">Mccone  </t>
  </si>
  <si>
    <t xml:space="preserve">Meagher  </t>
  </si>
  <si>
    <t xml:space="preserve">Missoula  </t>
  </si>
  <si>
    <t xml:space="preserve">Musselshell  </t>
  </si>
  <si>
    <t xml:space="preserve">Petroleum  </t>
  </si>
  <si>
    <t xml:space="preserve">Pondera  </t>
  </si>
  <si>
    <t xml:space="preserve">Powder River  </t>
  </si>
  <si>
    <t xml:space="preserve">Ravalli  </t>
  </si>
  <si>
    <t xml:space="preserve">Roosevelt  </t>
  </si>
  <si>
    <t xml:space="preserve">Rosebud  </t>
  </si>
  <si>
    <t xml:space="preserve">Sanders  </t>
  </si>
  <si>
    <t xml:space="preserve">Silver Bow  </t>
  </si>
  <si>
    <t xml:space="preserve">Stillwater  </t>
  </si>
  <si>
    <t xml:space="preserve">Sweet Grass  </t>
  </si>
  <si>
    <t xml:space="preserve">Toole  </t>
  </si>
  <si>
    <t xml:space="preserve">Treasure  </t>
  </si>
  <si>
    <t xml:space="preserve">Wheatland  </t>
  </si>
  <si>
    <t xml:space="preserve">Wibaux  </t>
  </si>
  <si>
    <t xml:space="preserve">Yellowstone  </t>
  </si>
  <si>
    <t xml:space="preserve">Antelope  </t>
  </si>
  <si>
    <t xml:space="preserve">Arthur  </t>
  </si>
  <si>
    <t xml:space="preserve">Banner  </t>
  </si>
  <si>
    <t xml:space="preserve">Box Butte  </t>
  </si>
  <si>
    <t xml:space="preserve">Buffalo  </t>
  </si>
  <si>
    <t xml:space="preserve">Burt  </t>
  </si>
  <si>
    <t xml:space="preserve">Cherry  </t>
  </si>
  <si>
    <t xml:space="preserve">Colfax  </t>
  </si>
  <si>
    <t xml:space="preserve">Cuming  </t>
  </si>
  <si>
    <t xml:space="preserve">Dawes  </t>
  </si>
  <si>
    <t xml:space="preserve">Deuel  </t>
  </si>
  <si>
    <t xml:space="preserve">Dixon  </t>
  </si>
  <si>
    <t xml:space="preserve">Dundy  </t>
  </si>
  <si>
    <t xml:space="preserve">Frontier  </t>
  </si>
  <si>
    <t xml:space="preserve">Furnas  </t>
  </si>
  <si>
    <t xml:space="preserve">Gage  </t>
  </si>
  <si>
    <t xml:space="preserve">Garden  </t>
  </si>
  <si>
    <t xml:space="preserve">Gosper  </t>
  </si>
  <si>
    <t xml:space="preserve">Hayes  </t>
  </si>
  <si>
    <t xml:space="preserve">Hitchcock  </t>
  </si>
  <si>
    <t xml:space="preserve">Hooker  </t>
  </si>
  <si>
    <t xml:space="preserve">Kearney  </t>
  </si>
  <si>
    <t xml:space="preserve">Keith  </t>
  </si>
  <si>
    <t xml:space="preserve">Keya Paha  </t>
  </si>
  <si>
    <t xml:space="preserve">Kimball  </t>
  </si>
  <si>
    <t xml:space="preserve">Lancaster  </t>
  </si>
  <si>
    <t xml:space="preserve">Loup  </t>
  </si>
  <si>
    <t xml:space="preserve">Merrick  </t>
  </si>
  <si>
    <t xml:space="preserve">Morrill  </t>
  </si>
  <si>
    <t xml:space="preserve">Nance  </t>
  </si>
  <si>
    <t xml:space="preserve">Nuckolls  </t>
  </si>
  <si>
    <t xml:space="preserve">Otoe  </t>
  </si>
  <si>
    <t xml:space="preserve">Perkins  </t>
  </si>
  <si>
    <t xml:space="preserve">Red Willow  </t>
  </si>
  <si>
    <t xml:space="preserve">Richardson  </t>
  </si>
  <si>
    <t xml:space="preserve">Sarpy  </t>
  </si>
  <si>
    <t xml:space="preserve">Saunders  </t>
  </si>
  <si>
    <t xml:space="preserve">Scotts Bluff  </t>
  </si>
  <si>
    <t xml:space="preserve">Thayer  </t>
  </si>
  <si>
    <t xml:space="preserve">Thurston  </t>
  </si>
  <si>
    <t xml:space="preserve">Carson City  </t>
  </si>
  <si>
    <t xml:space="preserve">Churchill  </t>
  </si>
  <si>
    <t xml:space="preserve">Elko  </t>
  </si>
  <si>
    <t xml:space="preserve">Esmeralda  </t>
  </si>
  <si>
    <t xml:space="preserve">Eureka  </t>
  </si>
  <si>
    <t xml:space="preserve">Lander  </t>
  </si>
  <si>
    <t xml:space="preserve">Nye  </t>
  </si>
  <si>
    <t xml:space="preserve">Pershing  </t>
  </si>
  <si>
    <t xml:space="preserve">Storey  </t>
  </si>
  <si>
    <t xml:space="preserve">Washoe  </t>
  </si>
  <si>
    <t xml:space="preserve">White Pine  </t>
  </si>
  <si>
    <t xml:space="preserve">Belknap  </t>
  </si>
  <si>
    <t xml:space="preserve">Cheshire  </t>
  </si>
  <si>
    <t xml:space="preserve">Coos  </t>
  </si>
  <si>
    <t xml:space="preserve">Grafton  </t>
  </si>
  <si>
    <t xml:space="preserve">Merrimack  </t>
  </si>
  <si>
    <t xml:space="preserve">Rockingham  </t>
  </si>
  <si>
    <t xml:space="preserve">Strafford  </t>
  </si>
  <si>
    <t xml:space="preserve">Atlantic  </t>
  </si>
  <si>
    <t xml:space="preserve">Bergen  </t>
  </si>
  <si>
    <t xml:space="preserve">Burlington  </t>
  </si>
  <si>
    <t xml:space="preserve">Cape May  </t>
  </si>
  <si>
    <t xml:space="preserve">Gloucester  </t>
  </si>
  <si>
    <t xml:space="preserve">Hudson  </t>
  </si>
  <si>
    <t xml:space="preserve">Hunterdon  </t>
  </si>
  <si>
    <t xml:space="preserve">Monmouth  </t>
  </si>
  <si>
    <t xml:space="preserve">Ocean  </t>
  </si>
  <si>
    <t xml:space="preserve">Passaic  </t>
  </si>
  <si>
    <t xml:space="preserve">Salem  </t>
  </si>
  <si>
    <t xml:space="preserve">Bernalillo  </t>
  </si>
  <si>
    <t xml:space="preserve">Catron  </t>
  </si>
  <si>
    <t xml:space="preserve">Chaves  </t>
  </si>
  <si>
    <t xml:space="preserve">Cibola  </t>
  </si>
  <si>
    <t xml:space="preserve">Curry  </t>
  </si>
  <si>
    <t xml:space="preserve">De Baca  </t>
  </si>
  <si>
    <t xml:space="preserve">Dona Ana  </t>
  </si>
  <si>
    <t xml:space="preserve">Eddy  </t>
  </si>
  <si>
    <t xml:space="preserve">Guadalupe  </t>
  </si>
  <si>
    <t xml:space="preserve">Harding  </t>
  </si>
  <si>
    <t xml:space="preserve">Hidalgo  </t>
  </si>
  <si>
    <t xml:space="preserve">Lea  </t>
  </si>
  <si>
    <t xml:space="preserve">Los Alamos  </t>
  </si>
  <si>
    <t xml:space="preserve">Luna  </t>
  </si>
  <si>
    <t xml:space="preserve">Mckinley  </t>
  </si>
  <si>
    <t xml:space="preserve">Mora  </t>
  </si>
  <si>
    <t xml:space="preserve">Quay  </t>
  </si>
  <si>
    <t xml:space="preserve">Rio Arriba  </t>
  </si>
  <si>
    <t xml:space="preserve">Sandoval  </t>
  </si>
  <si>
    <t xml:space="preserve">Santa Fe  </t>
  </si>
  <si>
    <t xml:space="preserve">Socorro  </t>
  </si>
  <si>
    <t xml:space="preserve">Taos  </t>
  </si>
  <si>
    <t xml:space="preserve">Torrance  </t>
  </si>
  <si>
    <t xml:space="preserve">Valencia  </t>
  </si>
  <si>
    <t xml:space="preserve">Albany  </t>
  </si>
  <si>
    <t xml:space="preserve">Bronx  </t>
  </si>
  <si>
    <t xml:space="preserve">Broome  </t>
  </si>
  <si>
    <t xml:space="preserve">Cattaraugus  </t>
  </si>
  <si>
    <t xml:space="preserve">Cayuga  </t>
  </si>
  <si>
    <t xml:space="preserve">Chemung  </t>
  </si>
  <si>
    <t xml:space="preserve">Chenango  </t>
  </si>
  <si>
    <t xml:space="preserve">Cortland  </t>
  </si>
  <si>
    <t xml:space="preserve">Dutchess  </t>
  </si>
  <si>
    <t xml:space="preserve">Erie  </t>
  </si>
  <si>
    <t xml:space="preserve">Herkimer  </t>
  </si>
  <si>
    <t xml:space="preserve">New York  </t>
  </si>
  <si>
    <t xml:space="preserve">Niagara  </t>
  </si>
  <si>
    <t xml:space="preserve">Onondaga  </t>
  </si>
  <si>
    <t xml:space="preserve">Ontario  </t>
  </si>
  <si>
    <t xml:space="preserve">Oswego  </t>
  </si>
  <si>
    <t xml:space="preserve">Queens  </t>
  </si>
  <si>
    <t xml:space="preserve">Rensselaer  </t>
  </si>
  <si>
    <t xml:space="preserve">Rockland  </t>
  </si>
  <si>
    <t xml:space="preserve">Saint Lawrence  </t>
  </si>
  <si>
    <t xml:space="preserve">Saratoga  </t>
  </si>
  <si>
    <t xml:space="preserve">Schenectady  </t>
  </si>
  <si>
    <t xml:space="preserve">Schoharie  </t>
  </si>
  <si>
    <t xml:space="preserve">Seneca  </t>
  </si>
  <si>
    <t xml:space="preserve">Tioga  </t>
  </si>
  <si>
    <t xml:space="preserve">Tompkins  </t>
  </si>
  <si>
    <t xml:space="preserve">Ulster  </t>
  </si>
  <si>
    <t xml:space="preserve">Westchester  </t>
  </si>
  <si>
    <t xml:space="preserve">Wyoming  </t>
  </si>
  <si>
    <t xml:space="preserve">Yates  </t>
  </si>
  <si>
    <t xml:space="preserve">Alamance  </t>
  </si>
  <si>
    <t xml:space="preserve">Alleghany  </t>
  </si>
  <si>
    <t xml:space="preserve">Anson  </t>
  </si>
  <si>
    <t xml:space="preserve">Ashe  </t>
  </si>
  <si>
    <t xml:space="preserve">Avery  </t>
  </si>
  <si>
    <t xml:space="preserve">Beaufort  </t>
  </si>
  <si>
    <t xml:space="preserve">Bertie  </t>
  </si>
  <si>
    <t xml:space="preserve">Bladen  </t>
  </si>
  <si>
    <t xml:space="preserve">Brunswick  </t>
  </si>
  <si>
    <t xml:space="preserve">Buncombe  </t>
  </si>
  <si>
    <t xml:space="preserve">Cabarrus  </t>
  </si>
  <si>
    <t xml:space="preserve">Carteret  </t>
  </si>
  <si>
    <t xml:space="preserve">Caswell  </t>
  </si>
  <si>
    <t xml:space="preserve">Catawba  </t>
  </si>
  <si>
    <t xml:space="preserve">Chowan  </t>
  </si>
  <si>
    <t xml:space="preserve">Columbus  </t>
  </si>
  <si>
    <t xml:space="preserve">Craven  </t>
  </si>
  <si>
    <t xml:space="preserve">Currituck  </t>
  </si>
  <si>
    <t xml:space="preserve">Dare  </t>
  </si>
  <si>
    <t xml:space="preserve">Davidson  </t>
  </si>
  <si>
    <t xml:space="preserve">Davie  </t>
  </si>
  <si>
    <t xml:space="preserve">Duplin  </t>
  </si>
  <si>
    <t xml:space="preserve">Durham  </t>
  </si>
  <si>
    <t xml:space="preserve">Edgecombe  </t>
  </si>
  <si>
    <t xml:space="preserve">Gaston  </t>
  </si>
  <si>
    <t xml:space="preserve">Gates  </t>
  </si>
  <si>
    <t xml:space="preserve">Granville  </t>
  </si>
  <si>
    <t xml:space="preserve">Guilford  </t>
  </si>
  <si>
    <t xml:space="preserve">Halifax  </t>
  </si>
  <si>
    <t xml:space="preserve">Harnett  </t>
  </si>
  <si>
    <t xml:space="preserve">Haywood  </t>
  </si>
  <si>
    <t xml:space="preserve">Hertford  </t>
  </si>
  <si>
    <t xml:space="preserve">Hoke  </t>
  </si>
  <si>
    <t xml:space="preserve">Hyde  </t>
  </si>
  <si>
    <t xml:space="preserve">Iredell  </t>
  </si>
  <si>
    <t xml:space="preserve">Johnston  </t>
  </si>
  <si>
    <t xml:space="preserve">Lenoir  </t>
  </si>
  <si>
    <t xml:space="preserve">Mcdowell  </t>
  </si>
  <si>
    <t xml:space="preserve">Mecklenburg  </t>
  </si>
  <si>
    <t xml:space="preserve">Moore  </t>
  </si>
  <si>
    <t xml:space="preserve">Nash  </t>
  </si>
  <si>
    <t xml:space="preserve">New Hanover  </t>
  </si>
  <si>
    <t xml:space="preserve">Northampton  </t>
  </si>
  <si>
    <t xml:space="preserve">Onslow  </t>
  </si>
  <si>
    <t xml:space="preserve">Pamlico  </t>
  </si>
  <si>
    <t xml:space="preserve">Pasquotank  </t>
  </si>
  <si>
    <t xml:space="preserve">Pender  </t>
  </si>
  <si>
    <t xml:space="preserve">Perquimans  </t>
  </si>
  <si>
    <t xml:space="preserve">Person  </t>
  </si>
  <si>
    <t xml:space="preserve">Pitt  </t>
  </si>
  <si>
    <t xml:space="preserve">Robeson  </t>
  </si>
  <si>
    <t xml:space="preserve">Rutherford  </t>
  </si>
  <si>
    <t xml:space="preserve">Sampson  </t>
  </si>
  <si>
    <t xml:space="preserve">Stanly  </t>
  </si>
  <si>
    <t xml:space="preserve">Stokes  </t>
  </si>
  <si>
    <t xml:space="preserve">Surry  </t>
  </si>
  <si>
    <t xml:space="preserve">Swain  </t>
  </si>
  <si>
    <t xml:space="preserve">Transylvania  </t>
  </si>
  <si>
    <t xml:space="preserve">Tyrrell  </t>
  </si>
  <si>
    <t xml:space="preserve">Vance  </t>
  </si>
  <si>
    <t xml:space="preserve">Wake  </t>
  </si>
  <si>
    <t xml:space="preserve">Watauga  </t>
  </si>
  <si>
    <t xml:space="preserve">Yadkin  </t>
  </si>
  <si>
    <t xml:space="preserve">Yancey  </t>
  </si>
  <si>
    <t xml:space="preserve">Barnes  </t>
  </si>
  <si>
    <t xml:space="preserve">Benson  </t>
  </si>
  <si>
    <t xml:space="preserve">Billings  </t>
  </si>
  <si>
    <t xml:space="preserve">Bottineau  </t>
  </si>
  <si>
    <t xml:space="preserve">Bowman  </t>
  </si>
  <si>
    <t xml:space="preserve">Burleigh  </t>
  </si>
  <si>
    <t xml:space="preserve">Cavalier  </t>
  </si>
  <si>
    <t xml:space="preserve">Dickey  </t>
  </si>
  <si>
    <t xml:space="preserve">Divide  </t>
  </si>
  <si>
    <t xml:space="preserve">Dunn  </t>
  </si>
  <si>
    <t xml:space="preserve">Emmons  </t>
  </si>
  <si>
    <t xml:space="preserve">Foster  </t>
  </si>
  <si>
    <t xml:space="preserve">Grand Forks  </t>
  </si>
  <si>
    <t xml:space="preserve">Griggs  </t>
  </si>
  <si>
    <t xml:space="preserve">Hettinger  </t>
  </si>
  <si>
    <t xml:space="preserve">Kidder  </t>
  </si>
  <si>
    <t xml:space="preserve">Lamoure  </t>
  </si>
  <si>
    <t xml:space="preserve">Mckenzie  </t>
  </si>
  <si>
    <t xml:space="preserve">Mountrail  </t>
  </si>
  <si>
    <t xml:space="preserve">Oliver  </t>
  </si>
  <si>
    <t xml:space="preserve">Pembina  </t>
  </si>
  <si>
    <t xml:space="preserve">Ransom  </t>
  </si>
  <si>
    <t xml:space="preserve">Rolette  </t>
  </si>
  <si>
    <t xml:space="preserve">Sargent  </t>
  </si>
  <si>
    <t xml:space="preserve">Slope  </t>
  </si>
  <si>
    <t xml:space="preserve">Stutsman  </t>
  </si>
  <si>
    <t xml:space="preserve">Towner  </t>
  </si>
  <si>
    <t xml:space="preserve">Traill  </t>
  </si>
  <si>
    <t xml:space="preserve">Walsh  </t>
  </si>
  <si>
    <t xml:space="preserve">Ward  </t>
  </si>
  <si>
    <t xml:space="preserve">Williams  </t>
  </si>
  <si>
    <t xml:space="preserve">Northern Mariana Islands  </t>
  </si>
  <si>
    <t xml:space="preserve">Ashland  </t>
  </si>
  <si>
    <t xml:space="preserve">Ashtabula  </t>
  </si>
  <si>
    <t xml:space="preserve">Athens  </t>
  </si>
  <si>
    <t xml:space="preserve">Auglaize  </t>
  </si>
  <si>
    <t xml:space="preserve">Belmont  </t>
  </si>
  <si>
    <t xml:space="preserve">Clermont  </t>
  </si>
  <si>
    <t xml:space="preserve">Columbiana  </t>
  </si>
  <si>
    <t xml:space="preserve">Coshocton  </t>
  </si>
  <si>
    <t xml:space="preserve">Cuyahoga  </t>
  </si>
  <si>
    <t xml:space="preserve">Darke  </t>
  </si>
  <si>
    <t xml:space="preserve">Defiance  </t>
  </si>
  <si>
    <t xml:space="preserve">Gallia  </t>
  </si>
  <si>
    <t xml:space="preserve">Geauga  </t>
  </si>
  <si>
    <t xml:space="preserve">Guernsey  </t>
  </si>
  <si>
    <t xml:space="preserve">Highland  </t>
  </si>
  <si>
    <t xml:space="preserve">Hocking  </t>
  </si>
  <si>
    <t xml:space="preserve">Licking  </t>
  </si>
  <si>
    <t xml:space="preserve">Lorain  </t>
  </si>
  <si>
    <t xml:space="preserve">Mahoning  </t>
  </si>
  <si>
    <t xml:space="preserve">Medina  </t>
  </si>
  <si>
    <t xml:space="preserve">Meigs  </t>
  </si>
  <si>
    <t xml:space="preserve">Morrow  </t>
  </si>
  <si>
    <t xml:space="preserve">Muskingum  </t>
  </si>
  <si>
    <t xml:space="preserve">Pickaway  </t>
  </si>
  <si>
    <t xml:space="preserve">Portage  </t>
  </si>
  <si>
    <t xml:space="preserve">Preble  </t>
  </si>
  <si>
    <t xml:space="preserve">Ross  </t>
  </si>
  <si>
    <t xml:space="preserve">Sandusky  </t>
  </si>
  <si>
    <t xml:space="preserve">Scioto  </t>
  </si>
  <si>
    <t xml:space="preserve">Trumbull  </t>
  </si>
  <si>
    <t xml:space="preserve">Tuscarawas  </t>
  </si>
  <si>
    <t xml:space="preserve">Van Wert  </t>
  </si>
  <si>
    <t xml:space="preserve">Vinton  </t>
  </si>
  <si>
    <t xml:space="preserve">Wood  </t>
  </si>
  <si>
    <t xml:space="preserve">Wyandot  </t>
  </si>
  <si>
    <t xml:space="preserve">Alfalfa  </t>
  </si>
  <si>
    <t xml:space="preserve">Atoka  </t>
  </si>
  <si>
    <t xml:space="preserve">Beaver  </t>
  </si>
  <si>
    <t xml:space="preserve">Beckham  </t>
  </si>
  <si>
    <t xml:space="preserve">Canadian  </t>
  </si>
  <si>
    <t xml:space="preserve">Cimarron  </t>
  </si>
  <si>
    <t xml:space="preserve">Coal  </t>
  </si>
  <si>
    <t xml:space="preserve">Cotton  </t>
  </si>
  <si>
    <t xml:space="preserve">Craig  </t>
  </si>
  <si>
    <t xml:space="preserve">Creek  </t>
  </si>
  <si>
    <t xml:space="preserve">Dewey  </t>
  </si>
  <si>
    <t xml:space="preserve">Garvin  </t>
  </si>
  <si>
    <t xml:space="preserve">Greer  </t>
  </si>
  <si>
    <t xml:space="preserve">Harmon  </t>
  </si>
  <si>
    <t xml:space="preserve">Hughes  </t>
  </si>
  <si>
    <t xml:space="preserve">Kay  </t>
  </si>
  <si>
    <t xml:space="preserve">Kingfisher  </t>
  </si>
  <si>
    <t xml:space="preserve">Latimer  </t>
  </si>
  <si>
    <t xml:space="preserve">Le Flore  </t>
  </si>
  <si>
    <t xml:space="preserve">Love  </t>
  </si>
  <si>
    <t xml:space="preserve">Major  </t>
  </si>
  <si>
    <t xml:space="preserve">Mayes  </t>
  </si>
  <si>
    <t xml:space="preserve">Mcclain  </t>
  </si>
  <si>
    <t xml:space="preserve">Mccurtain  </t>
  </si>
  <si>
    <t xml:space="preserve">Muskogee  </t>
  </si>
  <si>
    <t xml:space="preserve">Nowata  </t>
  </si>
  <si>
    <t xml:space="preserve">Okfuskee  </t>
  </si>
  <si>
    <t xml:space="preserve">Oklahoma  </t>
  </si>
  <si>
    <t xml:space="preserve">Okmulgee  </t>
  </si>
  <si>
    <t xml:space="preserve">Payne  </t>
  </si>
  <si>
    <t xml:space="preserve">Pittsburg  </t>
  </si>
  <si>
    <t xml:space="preserve">Pushmataha  </t>
  </si>
  <si>
    <t xml:space="preserve">Roger Mills  </t>
  </si>
  <si>
    <t xml:space="preserve">Rogers  </t>
  </si>
  <si>
    <t xml:space="preserve">Sequoyah  </t>
  </si>
  <si>
    <t xml:space="preserve">Tillman  </t>
  </si>
  <si>
    <t xml:space="preserve">Tulsa  </t>
  </si>
  <si>
    <t xml:space="preserve">Wagoner  </t>
  </si>
  <si>
    <t xml:space="preserve">Washita  </t>
  </si>
  <si>
    <t xml:space="preserve">Woods  </t>
  </si>
  <si>
    <t xml:space="preserve">Woodward  </t>
  </si>
  <si>
    <t xml:space="preserve">Clackamas  </t>
  </si>
  <si>
    <t xml:space="preserve">Clatsop  </t>
  </si>
  <si>
    <t xml:space="preserve">Crook  </t>
  </si>
  <si>
    <t xml:space="preserve">Deschutes  </t>
  </si>
  <si>
    <t xml:space="preserve">Gilliam  </t>
  </si>
  <si>
    <t xml:space="preserve">Harney  </t>
  </si>
  <si>
    <t xml:space="preserve">Hood River  </t>
  </si>
  <si>
    <t xml:space="preserve">Josephine  </t>
  </si>
  <si>
    <t xml:space="preserve">Klamath  </t>
  </si>
  <si>
    <t xml:space="preserve">Malheur  </t>
  </si>
  <si>
    <t xml:space="preserve">Multnomah  </t>
  </si>
  <si>
    <t xml:space="preserve">Tillamook  </t>
  </si>
  <si>
    <t xml:space="preserve">Umatilla  </t>
  </si>
  <si>
    <t xml:space="preserve">Wallowa  </t>
  </si>
  <si>
    <t xml:space="preserve">Wasco  </t>
  </si>
  <si>
    <t xml:space="preserve">Yamhill  </t>
  </si>
  <si>
    <t xml:space="preserve">Allegheny  </t>
  </si>
  <si>
    <t xml:space="preserve">Armstrong  </t>
  </si>
  <si>
    <t xml:space="preserve">Bedford  </t>
  </si>
  <si>
    <t xml:space="preserve">Berks  </t>
  </si>
  <si>
    <t xml:space="preserve">Blair  </t>
  </si>
  <si>
    <t xml:space="preserve">Bucks  </t>
  </si>
  <si>
    <t xml:space="preserve">Cambria  </t>
  </si>
  <si>
    <t xml:space="preserve">Centre  </t>
  </si>
  <si>
    <t xml:space="preserve">Chester  </t>
  </si>
  <si>
    <t xml:space="preserve">Clarion  </t>
  </si>
  <si>
    <t xml:space="preserve">Clearfield  </t>
  </si>
  <si>
    <t xml:space="preserve">Dauphin  </t>
  </si>
  <si>
    <t xml:space="preserve">Forest  </t>
  </si>
  <si>
    <t xml:space="preserve">Huntingdon  </t>
  </si>
  <si>
    <t xml:space="preserve">Indiana  </t>
  </si>
  <si>
    <t xml:space="preserve">Juniata  </t>
  </si>
  <si>
    <t xml:space="preserve">Lackawanna  </t>
  </si>
  <si>
    <t xml:space="preserve">Lebanon  </t>
  </si>
  <si>
    <t xml:space="preserve">Lehigh  </t>
  </si>
  <si>
    <t xml:space="preserve">Luzerne  </t>
  </si>
  <si>
    <t xml:space="preserve">Lycoming  </t>
  </si>
  <si>
    <t xml:space="preserve">Mckean  </t>
  </si>
  <si>
    <t xml:space="preserve">Mifflin  </t>
  </si>
  <si>
    <t xml:space="preserve">Montour  </t>
  </si>
  <si>
    <t xml:space="preserve">Northumberland  </t>
  </si>
  <si>
    <t xml:space="preserve">Philadelphia  </t>
  </si>
  <si>
    <t xml:space="preserve">Potter  </t>
  </si>
  <si>
    <t xml:space="preserve">Schuylkill  </t>
  </si>
  <si>
    <t xml:space="preserve">Snyder  </t>
  </si>
  <si>
    <t xml:space="preserve">Susquehanna  </t>
  </si>
  <si>
    <t xml:space="preserve">Venango  </t>
  </si>
  <si>
    <t xml:space="preserve">Westmoreland  </t>
  </si>
  <si>
    <t xml:space="preserve">Puerto Rico  </t>
  </si>
  <si>
    <t xml:space="preserve">Newport  </t>
  </si>
  <si>
    <t xml:space="preserve">Providence  </t>
  </si>
  <si>
    <t xml:space="preserve">Abbeville  </t>
  </si>
  <si>
    <t xml:space="preserve">Aiken  </t>
  </si>
  <si>
    <t xml:space="preserve">Allendale  </t>
  </si>
  <si>
    <t xml:space="preserve">Bamberg  </t>
  </si>
  <si>
    <t xml:space="preserve">Barnwell  </t>
  </si>
  <si>
    <t xml:space="preserve">Berkeley  </t>
  </si>
  <si>
    <t xml:space="preserve">Charleston  </t>
  </si>
  <si>
    <t xml:space="preserve">Chesterfield  </t>
  </si>
  <si>
    <t xml:space="preserve">Clarendon  </t>
  </si>
  <si>
    <t xml:space="preserve">Colleton  </t>
  </si>
  <si>
    <t xml:space="preserve">Darlington  </t>
  </si>
  <si>
    <t xml:space="preserve">Dillon  </t>
  </si>
  <si>
    <t xml:space="preserve">Edgefield  </t>
  </si>
  <si>
    <t xml:space="preserve">Florence  </t>
  </si>
  <si>
    <t xml:space="preserve">Georgetown  </t>
  </si>
  <si>
    <t xml:space="preserve">Greenville  </t>
  </si>
  <si>
    <t xml:space="preserve">Hampton  </t>
  </si>
  <si>
    <t xml:space="preserve">Horry  </t>
  </si>
  <si>
    <t xml:space="preserve">Kershaw  </t>
  </si>
  <si>
    <t xml:space="preserve">Lexington  </t>
  </si>
  <si>
    <t xml:space="preserve">Marlboro  </t>
  </si>
  <si>
    <t xml:space="preserve">Mccormick  </t>
  </si>
  <si>
    <t xml:space="preserve">Newberry  </t>
  </si>
  <si>
    <t xml:space="preserve">Orangeburg  </t>
  </si>
  <si>
    <t xml:space="preserve">Saluda  </t>
  </si>
  <si>
    <t xml:space="preserve">Spartanburg  </t>
  </si>
  <si>
    <t xml:space="preserve">Williamsburg  </t>
  </si>
  <si>
    <t xml:space="preserve">Aurora  </t>
  </si>
  <si>
    <t xml:space="preserve">Beadle  </t>
  </si>
  <si>
    <t xml:space="preserve">Bennett  </t>
  </si>
  <si>
    <t xml:space="preserve">Bon Homme  </t>
  </si>
  <si>
    <t xml:space="preserve">Brookings  </t>
  </si>
  <si>
    <t xml:space="preserve">Brule  </t>
  </si>
  <si>
    <t xml:space="preserve">Charles Mix  </t>
  </si>
  <si>
    <t xml:space="preserve">Codington  </t>
  </si>
  <si>
    <t xml:space="preserve">Corson  </t>
  </si>
  <si>
    <t xml:space="preserve">Davison  </t>
  </si>
  <si>
    <t xml:space="preserve">Day  </t>
  </si>
  <si>
    <t xml:space="preserve">Edmunds  </t>
  </si>
  <si>
    <t xml:space="preserve">Fall River  </t>
  </si>
  <si>
    <t xml:space="preserve">Faulk  </t>
  </si>
  <si>
    <t xml:space="preserve">Gregory  </t>
  </si>
  <si>
    <t xml:space="preserve">Haakon  </t>
  </si>
  <si>
    <t xml:space="preserve">Hamlin  </t>
  </si>
  <si>
    <t xml:space="preserve">Hand  </t>
  </si>
  <si>
    <t xml:space="preserve">Hanson  </t>
  </si>
  <si>
    <t xml:space="preserve">Hutchinson  </t>
  </si>
  <si>
    <t xml:space="preserve">Jerauld  </t>
  </si>
  <si>
    <t xml:space="preserve">Kingsbury  </t>
  </si>
  <si>
    <t xml:space="preserve">Lyman  </t>
  </si>
  <si>
    <t xml:space="preserve">Mccook  </t>
  </si>
  <si>
    <t xml:space="preserve">Mellette  </t>
  </si>
  <si>
    <t xml:space="preserve">Miner  </t>
  </si>
  <si>
    <t xml:space="preserve">Minnehaha  </t>
  </si>
  <si>
    <t xml:space="preserve">Moody  </t>
  </si>
  <si>
    <t xml:space="preserve">Roberts  </t>
  </si>
  <si>
    <t xml:space="preserve">Sanborn  </t>
  </si>
  <si>
    <t xml:space="preserve">Spink  </t>
  </si>
  <si>
    <t xml:space="preserve">Stanley  </t>
  </si>
  <si>
    <t xml:space="preserve">Sully  </t>
  </si>
  <si>
    <t xml:space="preserve">Tripp  </t>
  </si>
  <si>
    <t xml:space="preserve">Walworth  </t>
  </si>
  <si>
    <t xml:space="preserve">Yankton  </t>
  </si>
  <si>
    <t xml:space="preserve">Ziebach  </t>
  </si>
  <si>
    <t xml:space="preserve">Bledsoe  </t>
  </si>
  <si>
    <t xml:space="preserve">Cannon  </t>
  </si>
  <si>
    <t xml:space="preserve">Cheatham  </t>
  </si>
  <si>
    <t xml:space="preserve">Cocke  </t>
  </si>
  <si>
    <t xml:space="preserve">Crockett  </t>
  </si>
  <si>
    <t xml:space="preserve">Dickson  </t>
  </si>
  <si>
    <t xml:space="preserve">Dyer  </t>
  </si>
  <si>
    <t xml:space="preserve">Fentress  </t>
  </si>
  <si>
    <t xml:space="preserve">Giles  </t>
  </si>
  <si>
    <t xml:space="preserve">Grainger  </t>
  </si>
  <si>
    <t xml:space="preserve">Hamblen  </t>
  </si>
  <si>
    <t xml:space="preserve">Hardeman  </t>
  </si>
  <si>
    <t xml:space="preserve">Hawkins  </t>
  </si>
  <si>
    <t xml:space="preserve">Loudon  </t>
  </si>
  <si>
    <t xml:space="preserve">Maury  </t>
  </si>
  <si>
    <t xml:space="preserve">Mcminn  </t>
  </si>
  <si>
    <t xml:space="preserve">Mcnairy  </t>
  </si>
  <si>
    <t xml:space="preserve">Obion  </t>
  </si>
  <si>
    <t xml:space="preserve">Overton  </t>
  </si>
  <si>
    <t xml:space="preserve">Pickett  </t>
  </si>
  <si>
    <t xml:space="preserve">Rhea  </t>
  </si>
  <si>
    <t xml:space="preserve">Roane  </t>
  </si>
  <si>
    <t xml:space="preserve">Sequatchie  </t>
  </si>
  <si>
    <t xml:space="preserve">Trousdale  </t>
  </si>
  <si>
    <t xml:space="preserve">Unicoi  </t>
  </si>
  <si>
    <t xml:space="preserve">Weakley  </t>
  </si>
  <si>
    <t xml:space="preserve">Andrews  </t>
  </si>
  <si>
    <t xml:space="preserve">Angelina  </t>
  </si>
  <si>
    <t xml:space="preserve">Aransas  </t>
  </si>
  <si>
    <t xml:space="preserve">Archer  </t>
  </si>
  <si>
    <t xml:space="preserve">Atascosa  </t>
  </si>
  <si>
    <t xml:space="preserve">Austin  </t>
  </si>
  <si>
    <t xml:space="preserve">Bailey  </t>
  </si>
  <si>
    <t xml:space="preserve">Bandera  </t>
  </si>
  <si>
    <t xml:space="preserve">Bastrop  </t>
  </si>
  <si>
    <t xml:space="preserve">Baylor  </t>
  </si>
  <si>
    <t xml:space="preserve">Bee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</si>
  <si>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</si>
  <si>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</si>
  <si>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</si>
  <si>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</si>
  <si>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</si>
  <si>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</si>
  <si>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</si>
  <si>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</si>
  <si>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</si>
  <si>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Burleson  </t>
  </si>
  <si>
    <t xml:space="preserve">Burnet  </t>
  </si>
  <si>
    <t xml:space="preserve">Callahan  </t>
  </si>
  <si>
    <t xml:space="preserve">Camp  </t>
  </si>
  <si>
    <t xml:space="preserve">Carson  </t>
  </si>
  <si>
    <t xml:space="preserve">Castro  </t>
  </si>
  <si>
    <t xml:space="preserve">Childress  </t>
  </si>
  <si>
    <t xml:space="preserve">Cochran  </t>
  </si>
  <si>
    <t xml:space="preserve">Coke  </t>
  </si>
  <si>
    <t xml:space="preserve">Coleman  </t>
  </si>
  <si>
    <t xml:space="preserve">Collin  </t>
  </si>
  <si>
    <t xml:space="preserve">Collingsworth  </t>
  </si>
  <si>
    <t xml:space="preserve">Colorado  </t>
  </si>
  <si>
    <t xml:space="preserve">Comal  </t>
  </si>
  <si>
    <t xml:space="preserve">Concho  </t>
  </si>
  <si>
    <t xml:space="preserve">Cooke  </t>
  </si>
  <si>
    <t xml:space="preserve">Coryell  </t>
  </si>
  <si>
    <t xml:space="preserve">Cottle  </t>
  </si>
  <si>
    <t xml:space="preserve">Crane  </t>
  </si>
  <si>
    <t xml:space="preserve">Crosby  </t>
  </si>
  <si>
    <t xml:space="preserve">Culberson  </t>
  </si>
  <si>
    <t xml:space="preserve">Dallam  </t>
  </si>
  <si>
    <t xml:space="preserve">De Witt  </t>
  </si>
  <si>
    <t xml:space="preserve">Deaf Smith  </t>
  </si>
  <si>
    <t xml:space="preserve">Denton  </t>
  </si>
  <si>
    <t xml:space="preserve">Dickens  </t>
  </si>
  <si>
    <t xml:space="preserve">Dimmit  </t>
  </si>
  <si>
    <t xml:space="preserve">Donley  </t>
  </si>
  <si>
    <t xml:space="preserve">Eastland  </t>
  </si>
  <si>
    <t xml:space="preserve">Ector  </t>
  </si>
  <si>
    <t xml:space="preserve">Erath  </t>
  </si>
  <si>
    <t xml:space="preserve">Falls  </t>
  </si>
  <si>
    <t xml:space="preserve">Fisher  </t>
  </si>
  <si>
    <t xml:space="preserve">Foard  </t>
  </si>
  <si>
    <t xml:space="preserve">Fort Bend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</si>
  <si>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</si>
  <si>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</si>
  <si>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</si>
  <si>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</si>
  <si>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</si>
  <si>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</si>
  <si>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</si>
  <si>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</si>
  <si>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</si>
  <si>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Gregg  </t>
  </si>
  <si>
    <t xml:space="preserve">Grimes  </t>
  </si>
  <si>
    <t xml:space="preserve">Hansford  </t>
  </si>
  <si>
    <t xml:space="preserve">Hartley  </t>
  </si>
  <si>
    <t xml:space="preserve">Hays  </t>
  </si>
  <si>
    <t xml:space="preserve">Hemphill  </t>
  </si>
  <si>
    <t xml:space="preserve">Hockley  </t>
  </si>
  <si>
    <t xml:space="preserve">Hood  </t>
  </si>
  <si>
    <t xml:space="preserve">Hudspeth  </t>
  </si>
  <si>
    <t xml:space="preserve">Hunt  </t>
  </si>
  <si>
    <t xml:space="preserve">Irion  </t>
  </si>
  <si>
    <t xml:space="preserve">Jack  </t>
  </si>
  <si>
    <t xml:space="preserve">Jim Hogg  </t>
  </si>
  <si>
    <t xml:space="preserve">Jim Wells  </t>
  </si>
  <si>
    <t xml:space="preserve">Karnes  </t>
  </si>
  <si>
    <t xml:space="preserve">Kaufman  </t>
  </si>
  <si>
    <t xml:space="preserve">Kenedy  </t>
  </si>
  <si>
    <t xml:space="preserve">Kerr  </t>
  </si>
  <si>
    <t xml:space="preserve">Kimble  </t>
  </si>
  <si>
    <t xml:space="preserve">King  </t>
  </si>
  <si>
    <t xml:space="preserve">Kinney  </t>
  </si>
  <si>
    <t xml:space="preserve">Kleberg  </t>
  </si>
  <si>
    <t xml:space="preserve">Lamb  </t>
  </si>
  <si>
    <t xml:space="preserve">Lampasas  </t>
  </si>
  <si>
    <t xml:space="preserve">Lavaca  </t>
  </si>
  <si>
    <t xml:space="preserve">Lipscomb  </t>
  </si>
  <si>
    <t xml:space="preserve">Live Oak  </t>
  </si>
  <si>
    <t xml:space="preserve">Llano  </t>
  </si>
  <si>
    <t xml:space="preserve">Loving  </t>
  </si>
  <si>
    <t xml:space="preserve">Lubbock  </t>
  </si>
  <si>
    <t xml:space="preserve">Lynn  </t>
  </si>
  <si>
    <t xml:space="preserve">Matagorda  </t>
  </si>
  <si>
    <t xml:space="preserve">Maverick  </t>
  </si>
  <si>
    <t xml:space="preserve">Mcculloch  </t>
  </si>
  <si>
    <t xml:space="preserve">Mclennan  </t>
  </si>
  <si>
    <t xml:space="preserve">Mcmullen  </t>
  </si>
  <si>
    <t xml:space="preserve">Milam  </t>
  </si>
  <si>
    <t xml:space="preserve">Montague  </t>
  </si>
  <si>
    <t xml:space="preserve">Motley  </t>
  </si>
  <si>
    <t xml:space="preserve">Nacogdoches  </t>
  </si>
  <si>
    <t xml:space="preserve">Navarro  </t>
  </si>
  <si>
    <t xml:space="preserve">Nolan  </t>
  </si>
  <si>
    <t xml:space="preserve">Nueces  </t>
  </si>
  <si>
    <t xml:space="preserve">Ochiltree  </t>
  </si>
  <si>
    <t xml:space="preserve">Palo Pinto  </t>
  </si>
  <si>
    <t xml:space="preserve">Parker  </t>
  </si>
  <si>
    <t xml:space="preserve">Parmer  </t>
  </si>
  <si>
    <t xml:space="preserve">Pecos  </t>
  </si>
  <si>
    <t xml:space="preserve">Presidio  </t>
  </si>
  <si>
    <t xml:space="preserve">Rains  </t>
  </si>
  <si>
    <t xml:space="preserve">Randall  </t>
  </si>
  <si>
    <t xml:space="preserve">Reagan  </t>
  </si>
  <si>
    <t xml:space="preserve">Real  </t>
  </si>
  <si>
    <t xml:space="preserve">Reeves  </t>
  </si>
  <si>
    <t xml:space="preserve">Refugio  </t>
  </si>
  <si>
    <t xml:space="preserve">Rockwall  </t>
  </si>
  <si>
    <t xml:space="preserve">Runnels  </t>
  </si>
  <si>
    <t xml:space="preserve">Rusk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</si>
  <si>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</si>
  <si>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</si>
  <si>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</si>
  <si>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</si>
  <si>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</si>
  <si>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</si>
  <si>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</si>
  <si>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Somervell  </t>
  </si>
  <si>
    <t xml:space="preserve">Starr  </t>
  </si>
  <si>
    <t xml:space="preserve">Sterling  </t>
  </si>
  <si>
    <t xml:space="preserve">Stonewall  </t>
  </si>
  <si>
    <t xml:space="preserve">Sutton  </t>
  </si>
  <si>
    <t xml:space="preserve">Swisher  </t>
  </si>
  <si>
    <t xml:space="preserve">Tarrant  </t>
  </si>
  <si>
    <t xml:space="preserve">Terry  </t>
  </si>
  <si>
    <t xml:space="preserve">Throckmorton  </t>
  </si>
  <si>
    <t xml:space="preserve">Titus  </t>
  </si>
  <si>
    <t xml:space="preserve">Tom Green  </t>
  </si>
  <si>
    <t xml:space="preserve">Travis  </t>
  </si>
  <si>
    <t xml:space="preserve">Tyler  </t>
  </si>
  <si>
    <t xml:space="preserve">Upshur  </t>
  </si>
  <si>
    <t xml:space="preserve">Upton  </t>
  </si>
  <si>
    <t xml:space="preserve">Uvalde  </t>
  </si>
  <si>
    <t xml:space="preserve">Val Verde  </t>
  </si>
  <si>
    <t xml:space="preserve">Van Zandt  </t>
  </si>
  <si>
    <t xml:space="preserve">Victoria  </t>
  </si>
  <si>
    <t xml:space="preserve">Waller  </t>
  </si>
  <si>
    <t xml:space="preserve">Webb  </t>
  </si>
  <si>
    <t xml:space="preserve">Wharton  </t>
  </si>
  <si>
    <t xml:space="preserve">Wilbarger  </t>
  </si>
  <si>
    <t xml:space="preserve">Willacy  </t>
  </si>
  <si>
    <t xml:space="preserve">Winkler  </t>
  </si>
  <si>
    <t xml:space="preserve">Wise  </t>
  </si>
  <si>
    <t xml:space="preserve">Yoakum  </t>
  </si>
  <si>
    <t xml:space="preserve">Young  </t>
  </si>
  <si>
    <t xml:space="preserve">Zapata  </t>
  </si>
  <si>
    <t xml:space="preserve">Zavala  </t>
  </si>
  <si>
    <t xml:space="preserve">Box Elder  </t>
  </si>
  <si>
    <t xml:space="preserve">Cache  </t>
  </si>
  <si>
    <t xml:space="preserve">Daggett  </t>
  </si>
  <si>
    <t xml:space="preserve">Duchesne  </t>
  </si>
  <si>
    <t xml:space="preserve">Emery  </t>
  </si>
  <si>
    <t xml:space="preserve">Juab  </t>
  </si>
  <si>
    <t xml:space="preserve">Millard  </t>
  </si>
  <si>
    <t xml:space="preserve">Piute  </t>
  </si>
  <si>
    <t xml:space="preserve">Rich  </t>
  </si>
  <si>
    <t xml:space="preserve">Salt Lake  </t>
  </si>
  <si>
    <t xml:space="preserve">Sanpete  </t>
  </si>
  <si>
    <t xml:space="preserve">Tooele  </t>
  </si>
  <si>
    <t xml:space="preserve">Uintah  </t>
  </si>
  <si>
    <t xml:space="preserve">Utah  </t>
  </si>
  <si>
    <t xml:space="preserve">Wasatch  </t>
  </si>
  <si>
    <t xml:space="preserve">Weber  </t>
  </si>
  <si>
    <t xml:space="preserve">Addison  </t>
  </si>
  <si>
    <t xml:space="preserve">Bennington  </t>
  </si>
  <si>
    <t xml:space="preserve">Caledonia  </t>
  </si>
  <si>
    <t xml:space="preserve">Chittenden  </t>
  </si>
  <si>
    <t xml:space="preserve">Grand Isle  </t>
  </si>
  <si>
    <t xml:space="preserve">Lamoille  </t>
  </si>
  <si>
    <t xml:space="preserve">Rutland  </t>
  </si>
  <si>
    <t xml:space="preserve">Windsor  </t>
  </si>
  <si>
    <t xml:space="preserve">Virgin Islands  </t>
  </si>
  <si>
    <t xml:space="preserve">Accomack  </t>
  </si>
  <si>
    <t xml:space="preserve">Albemarle  </t>
  </si>
  <si>
    <t xml:space="preserve">Alexandria City  </t>
  </si>
  <si>
    <t xml:space="preserve">Amelia  </t>
  </si>
  <si>
    <t xml:space="preserve">Amherst  </t>
  </si>
  <si>
    <t xml:space="preserve">Appomattox  </t>
  </si>
  <si>
    <t xml:space="preserve">Arlington  </t>
  </si>
  <si>
    <t xml:space="preserve">Augusta  </t>
  </si>
  <si>
    <t xml:space="preserve">Bland  </t>
  </si>
  <si>
    <t xml:space="preserve">Botetourt  </t>
  </si>
  <si>
    <t xml:space="preserve">Bristol City  </t>
  </si>
  <si>
    <t xml:space="preserve">Buckingham  </t>
  </si>
  <si>
    <t xml:space="preserve">Buena Vista City  </t>
  </si>
  <si>
    <t xml:space="preserve">Charles City  </t>
  </si>
  <si>
    <t xml:space="preserve">Charlottesville City  </t>
  </si>
  <si>
    <t xml:space="preserve">Chesapeake City  </t>
  </si>
  <si>
    <t xml:space="preserve">Colonial Heights City  </t>
  </si>
  <si>
    <t xml:space="preserve">Covington City  </t>
  </si>
  <si>
    <t xml:space="preserve">Culpeper  </t>
  </si>
  <si>
    <t xml:space="preserve">Danville City  </t>
  </si>
  <si>
    <t xml:space="preserve">Dickenson  </t>
  </si>
  <si>
    <t xml:space="preserve">Dinwiddie  </t>
  </si>
  <si>
    <t xml:space="preserve">Fairfax  </t>
  </si>
  <si>
    <t xml:space="preserve">Fairfax City  </t>
  </si>
  <si>
    <t xml:space="preserve">Falls Church City  </t>
  </si>
  <si>
    <t xml:space="preserve">Fauquier  </t>
  </si>
  <si>
    <t xml:space="preserve">Fluvanna  </t>
  </si>
  <si>
    <t xml:space="preserve">Franklin City  </t>
  </si>
  <si>
    <t xml:space="preserve">Fredericksburg City  </t>
  </si>
  <si>
    <t xml:space="preserve">Galax City  </t>
  </si>
  <si>
    <t xml:space="preserve">Goochland  </t>
  </si>
  <si>
    <t xml:space="preserve">Greensville  </t>
  </si>
  <si>
    <t xml:space="preserve">Hampton City  </t>
  </si>
  <si>
    <t xml:space="preserve">Hanover  </t>
  </si>
  <si>
    <t xml:space="preserve">Harrisonburg City  </t>
  </si>
  <si>
    <t xml:space="preserve">Henrico  </t>
  </si>
  <si>
    <t xml:space="preserve">Hopewell City  </t>
  </si>
  <si>
    <t xml:space="preserve">Isle Of Wight  </t>
  </si>
  <si>
    <t xml:space="preserve">James City  </t>
  </si>
  <si>
    <t xml:space="preserve">King And Queen  </t>
  </si>
  <si>
    <t xml:space="preserve">King George  </t>
  </si>
  <si>
    <t xml:space="preserve">King William  </t>
  </si>
  <si>
    <t xml:space="preserve">Lexington City  </t>
  </si>
  <si>
    <t xml:space="preserve">Loudoun  </t>
  </si>
  <si>
    <t xml:space="preserve">Lunenburg  </t>
  </si>
  <si>
    <t xml:space="preserve">Lynchburg City  </t>
  </si>
  <si>
    <t xml:space="preserve">Manassas City  </t>
  </si>
  <si>
    <t xml:space="preserve">Manassas Park City  </t>
  </si>
  <si>
    <t xml:space="preserve">Martinsville City  </t>
  </si>
  <si>
    <t xml:space="preserve">Mathews  </t>
  </si>
  <si>
    <t xml:space="preserve">New Kent  </t>
  </si>
  <si>
    <t xml:space="preserve">Newport News City  </t>
  </si>
  <si>
    <t xml:space="preserve">Norfolk City  </t>
  </si>
  <si>
    <t xml:space="preserve">Norton City  </t>
  </si>
  <si>
    <t xml:space="preserve">Nottoway  </t>
  </si>
  <si>
    <t xml:space="preserve">Patrick  </t>
  </si>
  <si>
    <t xml:space="preserve">Petersburg City  </t>
  </si>
  <si>
    <t xml:space="preserve">Pittsylvania  </t>
  </si>
  <si>
    <t xml:space="preserve">Poquoson City  </t>
  </si>
  <si>
    <t xml:space="preserve">Portsmouth City  </t>
  </si>
  <si>
    <t xml:space="preserve">Powhatan  </t>
  </si>
  <si>
    <t xml:space="preserve">Prince Edward  </t>
  </si>
  <si>
    <t xml:space="preserve">Prince George  </t>
  </si>
  <si>
    <t xml:space="preserve">Prince William  </t>
  </si>
  <si>
    <t xml:space="preserve">Radford  </t>
  </si>
  <si>
    <t xml:space="preserve">Rappahannock  </t>
  </si>
  <si>
    <t xml:space="preserve">Richmond City  </t>
  </si>
  <si>
    <t xml:space="preserve">Roanoke  </t>
  </si>
  <si>
    <t xml:space="preserve">Roanoke City  </t>
  </si>
  <si>
    <t xml:space="preserve">Rockbridge  </t>
  </si>
  <si>
    <t xml:space="preserve">Shenandoah  </t>
  </si>
  <si>
    <t xml:space="preserve">Smyth  </t>
  </si>
  <si>
    <t xml:space="preserve">Southampton  </t>
  </si>
  <si>
    <t xml:space="preserve">Spotsylvania  </t>
  </si>
  <si>
    <t xml:space="preserve">Staunton City  </t>
  </si>
  <si>
    <t xml:space="preserve">Suffolk City  </t>
  </si>
  <si>
    <t xml:space="preserve">Virginia Beach City  </t>
  </si>
  <si>
    <t xml:space="preserve">Waynesboro City  </t>
  </si>
  <si>
    <t xml:space="preserve">Williamsburg City  </t>
  </si>
  <si>
    <t xml:space="preserve">Winchester City  </t>
  </si>
  <si>
    <t xml:space="preserve">Wythe  </t>
  </si>
  <si>
    <t xml:space="preserve">Asotin  </t>
  </si>
  <si>
    <t xml:space="preserve">Chelan  </t>
  </si>
  <si>
    <t xml:space="preserve">Clallam  </t>
  </si>
  <si>
    <t xml:space="preserve">Cowlitz  </t>
  </si>
  <si>
    <t xml:space="preserve">Ferry  </t>
  </si>
  <si>
    <t xml:space="preserve">Grays Harbor  </t>
  </si>
  <si>
    <t xml:space="preserve">Island  </t>
  </si>
  <si>
    <t xml:space="preserve">Kitsap  </t>
  </si>
  <si>
    <t xml:space="preserve">Kittitas  </t>
  </si>
  <si>
    <t xml:space="preserve">Klickitat  </t>
  </si>
  <si>
    <t xml:space="preserve">Okanogan  </t>
  </si>
  <si>
    <t xml:space="preserve">Pacific  </t>
  </si>
  <si>
    <t xml:space="preserve">Pend Oreille  </t>
  </si>
  <si>
    <t xml:space="preserve">Skagit  </t>
  </si>
  <si>
    <t xml:space="preserve">Skamania  </t>
  </si>
  <si>
    <t xml:space="preserve">Snohomish  </t>
  </si>
  <si>
    <t xml:space="preserve">Spokane  </t>
  </si>
  <si>
    <t xml:space="preserve">Wahkiakum  </t>
  </si>
  <si>
    <t xml:space="preserve">Walla Walla  </t>
  </si>
  <si>
    <t xml:space="preserve">Whatcom  </t>
  </si>
  <si>
    <t xml:space="preserve">Whitman  </t>
  </si>
  <si>
    <t xml:space="preserve">Yakima  </t>
  </si>
  <si>
    <t xml:space="preserve">Braxton  </t>
  </si>
  <si>
    <t xml:space="preserve">Brooke  </t>
  </si>
  <si>
    <t xml:space="preserve">Cabell  </t>
  </si>
  <si>
    <t xml:space="preserve">Doddridge  </t>
  </si>
  <si>
    <t xml:space="preserve">Greenbrier  </t>
  </si>
  <si>
    <t xml:space="preserve">Hardy  </t>
  </si>
  <si>
    <t xml:space="preserve">Kanawha  </t>
  </si>
  <si>
    <t xml:space="preserve">Mingo  </t>
  </si>
  <si>
    <t xml:space="preserve">Monongalia  </t>
  </si>
  <si>
    <t xml:space="preserve">Pleasants  </t>
  </si>
  <si>
    <t xml:space="preserve">Preston  </t>
  </si>
  <si>
    <t xml:space="preserve">Raleigh  </t>
  </si>
  <si>
    <t xml:space="preserve">Ritchie  </t>
  </si>
  <si>
    <t xml:space="preserve">Summers  </t>
  </si>
  <si>
    <t xml:space="preserve">Tucker  </t>
  </si>
  <si>
    <t xml:space="preserve">Wetzel  </t>
  </si>
  <si>
    <t xml:space="preserve">Wirt  </t>
  </si>
  <si>
    <t xml:space="preserve">Barron  </t>
  </si>
  <si>
    <t xml:space="preserve">Bayfield  </t>
  </si>
  <si>
    <t xml:space="preserve">Burnett  </t>
  </si>
  <si>
    <t xml:space="preserve">Calumet  </t>
  </si>
  <si>
    <t xml:space="preserve">Dane  </t>
  </si>
  <si>
    <t xml:space="preserve">Door  </t>
  </si>
  <si>
    <t xml:space="preserve">Eau Claire  </t>
  </si>
  <si>
    <t xml:space="preserve">Fond Du Lac  </t>
  </si>
  <si>
    <t xml:space="preserve">Green Lake  </t>
  </si>
  <si>
    <t xml:space="preserve">Kenosha  </t>
  </si>
  <si>
    <t xml:space="preserve">Kewaunee  </t>
  </si>
  <si>
    <t xml:space="preserve">La Crosse  </t>
  </si>
  <si>
    <t xml:space="preserve">Langlade  </t>
  </si>
  <si>
    <t xml:space="preserve">Manitowoc  </t>
  </si>
  <si>
    <t xml:space="preserve">Marathon  </t>
  </si>
  <si>
    <t xml:space="preserve">Marinette  </t>
  </si>
  <si>
    <t xml:space="preserve">Milwaukee  </t>
  </si>
  <si>
    <t xml:space="preserve">Oconto  </t>
  </si>
  <si>
    <t xml:space="preserve">Outagamie  </t>
  </si>
  <si>
    <t xml:space="preserve">Ozaukee  </t>
  </si>
  <si>
    <t xml:space="preserve">Pepin  </t>
  </si>
  <si>
    <t xml:space="preserve">Price  </t>
  </si>
  <si>
    <t xml:space="preserve">Racine  </t>
  </si>
  <si>
    <t xml:space="preserve">Saint Croix  </t>
  </si>
  <si>
    <t xml:space="preserve">Sauk  </t>
  </si>
  <si>
    <t xml:space="preserve">Sawyer  </t>
  </si>
  <si>
    <t xml:space="preserve">Shawano  </t>
  </si>
  <si>
    <t xml:space="preserve">Sheboygan  </t>
  </si>
  <si>
    <t xml:space="preserve">Trempealeau  </t>
  </si>
  <si>
    <t xml:space="preserve">Vilas  </t>
  </si>
  <si>
    <t xml:space="preserve">Washburn  </t>
  </si>
  <si>
    <t xml:space="preserve">Waukesha  </t>
  </si>
  <si>
    <t xml:space="preserve">Waupaca  </t>
  </si>
  <si>
    <t xml:space="preserve">Waushara  </t>
  </si>
  <si>
    <t xml:space="preserve">Converse  </t>
  </si>
  <si>
    <t xml:space="preserve">Goshen  </t>
  </si>
  <si>
    <t xml:space="preserve">Hot Springs  </t>
  </si>
  <si>
    <t xml:space="preserve">Laramie  </t>
  </si>
  <si>
    <t xml:space="preserve">Natrona  </t>
  </si>
  <si>
    <t xml:space="preserve">Niobrara  </t>
  </si>
  <si>
    <t xml:space="preserve">Sublette  </t>
  </si>
  <si>
    <t xml:space="preserve">Sweetwater  </t>
  </si>
  <si>
    <t xml:space="preserve">Uinta  </t>
  </si>
  <si>
    <t xml:space="preserve">Washakie  </t>
  </si>
  <si>
    <t xml:space="preserve">Weston  </t>
  </si>
  <si>
    <t xml:space="preserve">NOTE: For lots in a development, the points for 503.4 may be awarded for the lot when there is a community storm water management plan implemented and the builder does not violate that plan with respect to water leaving the lot. </t>
  </si>
  <si>
    <t>50 to 59%</t>
  </si>
  <si>
    <t>60 to 69%</t>
  </si>
  <si>
    <t>70 to 79%</t>
  </si>
  <si>
    <t>80 to 89%</t>
  </si>
  <si>
    <t>90 to 99%</t>
  </si>
  <si>
    <t>a</t>
  </si>
  <si>
    <t>b</t>
  </si>
  <si>
    <t>c</t>
  </si>
  <si>
    <t>d</t>
  </si>
  <si>
    <t>e</t>
  </si>
  <si>
    <t>f</t>
  </si>
  <si>
    <t>NOTE: List "other" means of installing utilities in the assigned Notes area.</t>
  </si>
  <si>
    <t>Utilities on the lot are installed using one or more alternative means:</t>
  </si>
  <si>
    <t>other.</t>
  </si>
  <si>
    <t>shared utility trenches or easements,</t>
  </si>
  <si>
    <t>use of geomats,</t>
  </si>
  <si>
    <t>use of low ground pressure equipment,</t>
  </si>
  <si>
    <t>use of smaller equipment,</t>
  </si>
  <si>
    <t>tunneling instead of trenching,</t>
  </si>
  <si>
    <t>Ch.6</t>
  </si>
  <si>
    <t>2 story bldg.</t>
  </si>
  <si>
    <t>3 story bldg.</t>
  </si>
  <si>
    <t>4+ story bldg.</t>
  </si>
  <si>
    <t>Ch.7</t>
  </si>
  <si>
    <t>Performance Path</t>
  </si>
  <si>
    <t>Prescriptive Path</t>
  </si>
  <si>
    <t>HERS Index Target</t>
  </si>
  <si>
    <t>Alt. Bronze or Silver</t>
  </si>
  <si>
    <t>Emerald 
Not Available</t>
  </si>
  <si>
    <t>Alt. Bronze</t>
  </si>
  <si>
    <t>Alt. Silver</t>
  </si>
  <si>
    <t>Alternative:</t>
  </si>
  <si>
    <t>Ch. 7 Max</t>
  </si>
  <si>
    <t xml:space="preserve">Multifamily Building Note: Modeling is completed building-wide using one of the following methods: whole building energy modeling, a unit-by-unit approach, or a building average of a unit-by-unit approach.  </t>
  </si>
  <si>
    <t>Exception: Section 703.1.1 is not required for Tropical Climate Zone.</t>
  </si>
  <si>
    <t>For SI: 12 inches = 304.8 mm</t>
  </si>
  <si>
    <t>&gt;70</t>
  </si>
  <si>
    <t>&gt;41 and ≤70</t>
  </si>
  <si>
    <t>≤40</t>
  </si>
  <si>
    <t>Rake Overhang (Inches)</t>
  </si>
  <si>
    <t>Eave Overhang (Inches)</t>
  </si>
  <si>
    <t>Inches of Rainfall (1)</t>
  </si>
  <si>
    <t>Minimum Roof Overhang for One- &amp; Two-Story Buildings</t>
  </si>
  <si>
    <t>Table 602.1.12</t>
  </si>
  <si>
    <t>more than 75%</t>
  </si>
  <si>
    <t>50% to less than 75%</t>
  </si>
  <si>
    <t>25% to less than 50%</t>
  </si>
  <si>
    <t>Points For 2 Major</t>
  </si>
  <si>
    <t>Points For 2 Minor</t>
  </si>
  <si>
    <t>Recycled Content</t>
  </si>
  <si>
    <t>Table 604.1</t>
  </si>
  <si>
    <t>POINTS</t>
  </si>
  <si>
    <t>5 Impact Measures</t>
  </si>
  <si>
    <t>4 Impact Measures</t>
  </si>
  <si>
    <t>Product LCA</t>
  </si>
  <si>
    <t>Table 610.1.2.1</t>
  </si>
  <si>
    <t>4 types</t>
  </si>
  <si>
    <t>3 types</t>
  </si>
  <si>
    <t>2 types</t>
  </si>
  <si>
    <t>Building Assembly LCA</t>
  </si>
  <si>
    <t>Table 610.1.2.2</t>
  </si>
  <si>
    <t>Figure 6(2): Average Annual Precipitation</t>
  </si>
  <si>
    <t>Source:</t>
  </si>
  <si>
    <t>www.nationalatlas.gov</t>
  </si>
  <si>
    <t>Source: 2006 International Residential Code. International Code Council, Inc., Country Club Hill, Illinois. Reproduced with permission. All rights reserved.</t>
  </si>
  <si>
    <t>www.iccsafe.org</t>
  </si>
  <si>
    <t>Figure 6(3): Termite Infestation Probability Map</t>
  </si>
  <si>
    <t>back to 602.1.5</t>
  </si>
  <si>
    <t>back to 602.1.6</t>
  </si>
  <si>
    <t>See Figure 6(3)</t>
  </si>
  <si>
    <t>back to 602.1.12</t>
  </si>
  <si>
    <t>See Table 602.1.12</t>
  </si>
  <si>
    <t>Figure 6(2)</t>
  </si>
  <si>
    <t>(1) Annual mean total rainfall in inches is in accordance with:</t>
  </si>
  <si>
    <t>Met</t>
  </si>
  <si>
    <t>Not Met</t>
  </si>
  <si>
    <t>N/A</t>
  </si>
  <si>
    <t>a concrete slab over 6 mil polyethylene sheeting. Or other Class I vapor retarder installed in accordance with Section 408.3 or Section 506 of the International Residential Code</t>
  </si>
  <si>
    <t>6 mil polyethylene sheeting, or other Class I vapor retarder installed in accordance with Section 408.3 or Section 506 of the International Residential Code</t>
  </si>
  <si>
    <t>None to slight</t>
  </si>
  <si>
    <t>Slight to Moderate</t>
  </si>
  <si>
    <t>Moderate to heavy</t>
  </si>
  <si>
    <t>Very heavy</t>
  </si>
  <si>
    <t>1 exterior door</t>
  </si>
  <si>
    <t>2 exterior door</t>
  </si>
  <si>
    <t>3+ exterior door</t>
  </si>
  <si>
    <t>Note: The pedestrian door protected in a garage leading to living space does not qualify for points.</t>
  </si>
  <si>
    <t>back to Table 602.1.12</t>
  </si>
  <si>
    <t>NOTE: Indicate in the assigned Notes area what salvage materials were sorted for reuse.</t>
  </si>
  <si>
    <t>1
12 Max</t>
  </si>
  <si>
    <t>NOTE: Describe materials used in the assigned Notes area. Materials, elements, or components awarded points under Section 603.1 shall not be awarded points under Section 603.2.</t>
  </si>
  <si>
    <t>1
9 Max</t>
  </si>
  <si>
    <t>(Points awarded per 1% of salvaged materials used based on the total construction cost.)</t>
  </si>
  <si>
    <t>Material Percentage
Recycled Content</t>
  </si>
  <si>
    <t>per Table
604.1</t>
  </si>
  <si>
    <t>First Minor Comp.:</t>
  </si>
  <si>
    <t>Second Minor Comp.:</t>
  </si>
  <si>
    <t>Second Major Comp.:</t>
  </si>
  <si>
    <t>First Major Comp.:</t>
  </si>
  <si>
    <t>See Table 604.1</t>
  </si>
  <si>
    <t>back to 604.1</t>
  </si>
  <si>
    <t>NOTE: In the assigned Notes area, list materials used for minor and/or major building components.</t>
  </si>
  <si>
    <t>Enter material percent recycled content.</t>
  </si>
  <si>
    <t>wood</t>
  </si>
  <si>
    <t>cardboard</t>
  </si>
  <si>
    <t>metals</t>
  </si>
  <si>
    <t>drywall</t>
  </si>
  <si>
    <t>plastic</t>
  </si>
  <si>
    <t>asphalt roofing shingles</t>
  </si>
  <si>
    <t>concrete</t>
  </si>
  <si>
    <t>other</t>
  </si>
  <si>
    <t>NOTE: List "other" types of materials recycled in the assigned Notes area.</t>
  </si>
  <si>
    <t>more than .5%</t>
  </si>
  <si>
    <t>more than 1%</t>
  </si>
  <si>
    <t>1
2 Max</t>
  </si>
  <si>
    <t>NGBS Green Certified Product (GCP)</t>
  </si>
  <si>
    <t>Program(s):</t>
  </si>
  <si>
    <t>Note: Please list products and components in the Notes fields</t>
  </si>
  <si>
    <t>1 material</t>
  </si>
  <si>
    <t>2 materials</t>
  </si>
  <si>
    <t>3+ materials</t>
  </si>
  <si>
    <t>Note: Please list materials in the Notes field</t>
  </si>
  <si>
    <t>9 Max
3 per material</t>
  </si>
  <si>
    <t>1 product</t>
  </si>
  <si>
    <t>2 products</t>
  </si>
  <si>
    <t>3+ products</t>
  </si>
  <si>
    <t>NOTE: In the assigned Notes area, describe the types of products that comply with 608.1.</t>
  </si>
  <si>
    <t>10 Max
2 per each major comp. 
and 
1 per each minor comp.</t>
  </si>
  <si>
    <t># of major components:</t>
  </si>
  <si>
    <t># of minor components:</t>
  </si>
  <si>
    <t>1 component</t>
  </si>
  <si>
    <t>2 components</t>
  </si>
  <si>
    <t>3 components</t>
  </si>
  <si>
    <t>4 components</t>
  </si>
  <si>
    <t>5 components</t>
  </si>
  <si>
    <t>6 components</t>
  </si>
  <si>
    <t>7 components</t>
  </si>
  <si>
    <t>8 components</t>
  </si>
  <si>
    <t>9 components</t>
  </si>
  <si>
    <t>10+ components</t>
  </si>
  <si>
    <t>5+ components</t>
  </si>
  <si>
    <t>NOTE: In the assigned Notes areas, list major and minor materials used that comply with 609.1.</t>
  </si>
  <si>
    <t>For a component to comply with this practice, a minimum of 75% of all products in that component category must be sourced regionally, e.g., stone veneer category – 75 percent or more of the stone veneer on a project must be sourced regionally.</t>
  </si>
  <si>
    <t>NOTE: List products/systems compared &amp; impact measures considered in the assigned Notes area.</t>
  </si>
  <si>
    <t># of comparisons with 
5 measures:</t>
  </si>
  <si>
    <t># of comparisons with 
4 measures:</t>
  </si>
  <si>
    <t>1 comparison</t>
  </si>
  <si>
    <t>2 comparisons</t>
  </si>
  <si>
    <t>3 comparisons</t>
  </si>
  <si>
    <t>4 comparisons</t>
  </si>
  <si>
    <t>5+ comparisons</t>
  </si>
  <si>
    <t>NOTE: List assemblies compared &amp; impact measures considered in the assigned Notes area.</t>
  </si>
  <si>
    <t>4 impact measures</t>
  </si>
  <si>
    <t>5+ impact measures</t>
  </si>
  <si>
    <t>exterior walls:</t>
  </si>
  <si>
    <t>roof/ceiling:</t>
  </si>
  <si>
    <t>int. walls or ceilings:</t>
  </si>
  <si>
    <t>intermediate floors:</t>
  </si>
  <si>
    <t>per Table 610.1.2.1
10 Max</t>
  </si>
  <si>
    <t>per Table 610.1.2.2
10 Max</t>
  </si>
  <si>
    <t>back to 610.1.2.1</t>
  </si>
  <si>
    <t>back to 610.1.2.2</t>
  </si>
  <si>
    <t>1%+</t>
  </si>
  <si>
    <t>2%+</t>
  </si>
  <si>
    <t>3%+</t>
  </si>
  <si>
    <t>4%+</t>
  </si>
  <si>
    <t>5%+</t>
  </si>
  <si>
    <t>6%+</t>
  </si>
  <si>
    <t>7%+</t>
  </si>
  <si>
    <t>8%+</t>
  </si>
  <si>
    <t>9%+</t>
  </si>
  <si>
    <t>10%+</t>
  </si>
  <si>
    <t xml:space="preserve">NOTE: In the assigned Notes area, list products that comply with 610.1, manufacturers, and ISO registrars. </t>
  </si>
  <si>
    <t># of products:</t>
  </si>
  <si>
    <t># of products (not effective number):</t>
  </si>
  <si>
    <t>NOTE: List products in the assigned Notes area.</t>
  </si>
  <si>
    <t>END OF CHAPTER 6</t>
  </si>
  <si>
    <t>CLICK TO PROCEED TO CHAPTER 7 &gt;&gt;</t>
  </si>
  <si>
    <t>602.0</t>
  </si>
  <si>
    <t>602.1.2</t>
  </si>
  <si>
    <t>901 POLLUTANT SORCE CONTROL</t>
  </si>
  <si>
    <r>
      <t>901.0 Intent.</t>
    </r>
    <r>
      <rPr>
        <sz val="10"/>
        <color theme="1"/>
        <rFont val="Calibri"/>
        <family val="2"/>
        <scheme val="minor"/>
      </rPr>
      <t xml:space="preserve"> Pollutant sources are controlled.</t>
    </r>
  </si>
  <si>
    <t>901.1 Space and water heating options</t>
  </si>
  <si>
    <t>901.1.1</t>
  </si>
  <si>
    <r>
      <t>901.1.1</t>
    </r>
    <r>
      <rPr>
        <sz val="10"/>
        <color theme="1"/>
        <rFont val="Calibri"/>
        <family val="2"/>
        <scheme val="minor"/>
      </rPr>
      <t xml:space="preserve"> Natural draft furnaces, boilers, or water heaters are not located in conditioned spaces, including conditioned crawlspaces, unless located in a mechanical room that has an outdoor air source and is sealed and insulated to separate it from the conditioned space(s). </t>
    </r>
  </si>
  <si>
    <t>901.1.2</t>
  </si>
  <si>
    <r>
      <t xml:space="preserve">901.1.2 </t>
    </r>
    <r>
      <rPr>
        <sz val="10"/>
        <color theme="1"/>
        <rFont val="Calibri"/>
        <family val="2"/>
        <scheme val="minor"/>
      </rPr>
      <t xml:space="preserve">Air handling equipment or return ducts are not located in the garage, unless placed in isolated, air-sealed mechanical rooms with an outside air source. </t>
    </r>
  </si>
  <si>
    <t>901.1.3</t>
  </si>
  <si>
    <r>
      <t>901.1.3</t>
    </r>
    <r>
      <rPr>
        <sz val="10"/>
        <color theme="1"/>
        <rFont val="Calibri"/>
        <family val="2"/>
        <scheme val="minor"/>
      </rPr>
      <t xml:space="preserve"> The following combustion space heating or water heating equipment is installed within conditioned space:</t>
    </r>
  </si>
  <si>
    <t>all furnaces or all boilers</t>
  </si>
  <si>
    <t>power vent furnace(s) or boiler(s)</t>
  </si>
  <si>
    <t>direct vent furnace(s) or boiler(s)</t>
  </si>
  <si>
    <t>all water heaters</t>
  </si>
  <si>
    <t>power vent water heater(s)</t>
  </si>
  <si>
    <t>direct vent water heater(s)</t>
  </si>
  <si>
    <t>901.1.4</t>
  </si>
  <si>
    <r>
      <t xml:space="preserve">901.1.4 </t>
    </r>
    <r>
      <rPr>
        <sz val="10"/>
        <color theme="1"/>
        <rFont val="Calibri"/>
        <family val="2"/>
        <scheme val="minor"/>
      </rPr>
      <t>Gas-fired fireplaces and direct heating equipment is listed and is installed in accordance with the NFPA 54, ICC IFGC, or the applicable local gas appliance installation code. Gas-fired fireplaces within dwelling units and direct heating equipment are vented to the outdoors.</t>
    </r>
  </si>
  <si>
    <t>901.1.5</t>
  </si>
  <si>
    <r>
      <t xml:space="preserve">901.1.5 </t>
    </r>
    <r>
      <rPr>
        <sz val="10"/>
        <color theme="1"/>
        <rFont val="Calibri"/>
        <family val="2"/>
        <scheme val="minor"/>
      </rPr>
      <t>Natural gas and propane fireplaces are direct vented, have permanently fixed glass fronts or gasketed doors, and comply with CSA Z21.88/CSA 2.33 or CSA Z21.50b/CSA 2.22b.</t>
    </r>
  </si>
  <si>
    <t>901.1.6</t>
  </si>
  <si>
    <r>
      <t xml:space="preserve">901.1.6 </t>
    </r>
    <r>
      <rPr>
        <sz val="10"/>
        <color theme="1"/>
        <rFont val="Calibri"/>
        <family val="2"/>
        <scheme val="minor"/>
      </rPr>
      <t>The following electric equipment is installed:</t>
    </r>
  </si>
  <si>
    <t>heat pump air handler in unconditioned space</t>
  </si>
  <si>
    <t>heat pump air handler in conditioned space</t>
  </si>
  <si>
    <t>901.2 Solid fuel-burning appliances</t>
  </si>
  <si>
    <t>901.2.1</t>
  </si>
  <si>
    <r>
      <t>901.2.1</t>
    </r>
    <r>
      <rPr>
        <sz val="10"/>
        <color theme="1"/>
        <rFont val="Calibri"/>
        <family val="2"/>
        <scheme val="minor"/>
      </rPr>
      <t xml:space="preserve"> Solid fuel-burning fireplaces, inserts, stoves and heaters are code compliant and are in accordance with the following requirements: </t>
    </r>
  </si>
  <si>
    <t>Site-built masonry wood-burning fireplaces use outside combustion air and include a means of sealing the flue and the combustion air outlets to minimize interior air (heat) loss when not in operation.</t>
  </si>
  <si>
    <t xml:space="preserve">Factory-built, wood-burning fireplaces are in accordance with the certification requirements of UL 127 and are EPA certified or Phase 2 Qualified. </t>
  </si>
  <si>
    <t xml:space="preserve">Wood stove and fireplace inserts, as defined in UL 1482 Section 3.8, are in accordance with the certification requirements of UL 1482 and are in accordance with the emission requirements of the EPA Certification and the State of Washington WAC 173-433-100(3). </t>
  </si>
  <si>
    <t>Pellet (biomass) stoves and furnaces are in accordance with ASTM E1509 or are EPA certified.</t>
  </si>
  <si>
    <t xml:space="preserve">Masonry heaters are in accordance with the definitions in ASTM E1602 and ICC IBC Section 2112.1. </t>
  </si>
  <si>
    <t>901.2.2</t>
  </si>
  <si>
    <r>
      <t>901.2.2</t>
    </r>
    <r>
      <rPr>
        <sz val="10"/>
        <color theme="1"/>
        <rFont val="Calibri"/>
        <family val="2"/>
      </rPr>
      <t xml:space="preserve"> Fireplaces, woodstoves, pellet stoves, or masonry heaters are not installed. </t>
    </r>
  </si>
  <si>
    <r>
      <t>901.3 Garages.</t>
    </r>
    <r>
      <rPr>
        <sz val="10"/>
        <color theme="1"/>
        <rFont val="Calibri"/>
        <family val="2"/>
        <scheme val="minor"/>
      </rPr>
      <t xml:space="preserve"> Garages are in accordance with the following:</t>
    </r>
  </si>
  <si>
    <t>Attached garage</t>
  </si>
  <si>
    <t>Doors installed in the common wall between the attached garage and conditioned space are tightly sealed and gasketed.</t>
  </si>
  <si>
    <t xml:space="preserve">A continuous air barrier is provided separating the garage space from the conditioned living spaces. </t>
  </si>
  <si>
    <t>For one- and two-family dwelling units, a 100 cfm (47 L/s) or greater ducted or 70 cfm (33 L/s) cfm or greater unducted wall exhaust fan is installed and vented to the outdoors and is designed and installed for continuous operation or has controls (e.g., motion detectors, pressure switches) that activate operation for a minimum of 1 hour when either human passage door or roll-up automatic doors are operated. For ducted exhaust fans, the fan airflow rating and duct sizing are in accordance with Appendix A.</t>
  </si>
  <si>
    <t>A carport is installed, the garage is detached from the building, or no garage is installed.</t>
  </si>
  <si>
    <r>
      <rPr>
        <b/>
        <sz val="10"/>
        <color theme="1"/>
        <rFont val="Calibri"/>
        <family val="2"/>
        <scheme val="minor"/>
      </rPr>
      <t>901.4</t>
    </r>
    <r>
      <rPr>
        <sz val="10"/>
        <color theme="1"/>
        <rFont val="Calibri"/>
        <family val="2"/>
        <scheme val="minor"/>
      </rPr>
      <t xml:space="preserve"> Wood materials. A minimum of 85 percent of material within a product group (i.e., wood structural panels, countertops, composite trim/doors, custom woodwork, and/or component closet shelving) is manufactured in accordance with the following:</t>
    </r>
  </si>
  <si>
    <t>Structural plywood used for floor, wall, and/or roof sheathing is compliant with DOC PS 1 and/or DOC PS 2. OSB used for floor, wall, and/or roof sheathing is compliant with DOC PS 2. The panels are made with moisture-resistant adhesives. The trademark indicates these adhesives as follows: Exposure 1 or Exterior for plywood, and Exposure 1 for OSB.</t>
  </si>
  <si>
    <t>Particleboard and MDF (medium density fiberboard) is manufactured and labeled in accordance with CPA A208.1 and CPA A208.2, respectively.</t>
  </si>
  <si>
    <t>Hardwood plywood in accordance with HPVA HP-1.</t>
  </si>
  <si>
    <t>Particleboard, MDF, or hardwood plywood is in accordance with CPA 4.</t>
  </si>
  <si>
    <r>
      <t xml:space="preserve">Composite wood or agrifiber panel products contain no added urea-formaldehyde or are in accordance with the CARB </t>
    </r>
    <r>
      <rPr>
        <i/>
        <sz val="10"/>
        <color theme="1"/>
        <rFont val="Calibri"/>
        <family val="2"/>
        <scheme val="minor"/>
      </rPr>
      <t>Composite Wood Air Toxic Contaminant Measure Standard</t>
    </r>
    <r>
      <rPr>
        <sz val="10"/>
        <color theme="1"/>
        <rFont val="Calibri"/>
        <family val="2"/>
        <scheme val="minor"/>
      </rPr>
      <t>.</t>
    </r>
  </si>
  <si>
    <t>Non-emitting products.</t>
  </si>
  <si>
    <r>
      <t>901.5</t>
    </r>
    <r>
      <rPr>
        <sz val="10"/>
        <color theme="1"/>
        <rFont val="Calibri"/>
        <family val="2"/>
        <scheme val="minor"/>
      </rPr>
      <t xml:space="preserve"> </t>
    </r>
    <r>
      <rPr>
        <b/>
        <sz val="10"/>
        <color theme="1"/>
        <rFont val="Calibri"/>
        <family val="2"/>
        <scheme val="minor"/>
      </rPr>
      <t>Cabinets.</t>
    </r>
    <r>
      <rPr>
        <sz val="10"/>
        <color theme="1"/>
        <rFont val="Calibri"/>
        <family val="2"/>
        <scheme val="minor"/>
      </rPr>
      <t xml:space="preserve"> A minimum of 85 percent of installed cabinets are in accordance with one or both of the following: </t>
    </r>
  </si>
  <si>
    <t>(Where both of the following practices are used, only 3 points are awarded.)</t>
  </si>
  <si>
    <t>All parts of the cabinet are made of solid wood or non-formaldehyde emitting materials such as metal or glass.</t>
  </si>
  <si>
    <r>
      <t xml:space="preserve">The composite wood used in wood cabinets is in accordance with CARB </t>
    </r>
    <r>
      <rPr>
        <i/>
        <sz val="10"/>
        <color theme="1"/>
        <rFont val="Calibri"/>
        <family val="2"/>
        <scheme val="minor"/>
      </rPr>
      <t>Composite Wood Air Toxic Contaminant Measure Standard</t>
    </r>
    <r>
      <rPr>
        <sz val="10"/>
        <color theme="1"/>
        <rFont val="Calibri"/>
        <family val="2"/>
        <scheme val="minor"/>
      </rPr>
      <t xml:space="preserve"> or equivalent as certified by a third-party program such as, but not limited to, those in Appendix D.</t>
    </r>
  </si>
  <si>
    <r>
      <t>901.6 Carpets.</t>
    </r>
    <r>
      <rPr>
        <sz val="10"/>
        <color theme="1"/>
        <rFont val="Calibri"/>
        <family val="2"/>
        <scheme val="minor"/>
      </rPr>
      <t xml:space="preserve"> Wall-to-wall carpeting is not installed adjacent to water closets and bathing fixtures.</t>
    </r>
  </si>
  <si>
    <r>
      <t>901.7</t>
    </r>
    <r>
      <rPr>
        <sz val="10"/>
        <color theme="1"/>
        <rFont val="Calibri"/>
        <family val="2"/>
        <scheme val="minor"/>
      </rPr>
      <t xml:space="preserve"> </t>
    </r>
    <r>
      <rPr>
        <b/>
        <sz val="10"/>
        <color theme="1"/>
        <rFont val="Calibri"/>
        <family val="2"/>
        <scheme val="minor"/>
      </rPr>
      <t>Floor materials.</t>
    </r>
    <r>
      <rPr>
        <sz val="10"/>
        <color theme="1"/>
        <rFont val="Calibri"/>
        <family val="2"/>
        <scheme val="minor"/>
      </rPr>
      <t xml:space="preserve"> The following types of finished flooring materials are used.  The materials have emission levels in accordance with CDPH/EHLB Standard Method v1.1. Product is tested by a laboratory with the CDPH/EHLB Standard Method v1.1 within the laboratory scope of accreditation to ISO/IEC 17025 and certified by a third-party program accredited to ISO 17065, such as, but not limited to, those in Appendix D. </t>
    </r>
  </si>
  <si>
    <t>(Points are awarded for every 10% of conditioned floor space using one of the below materials.)</t>
  </si>
  <si>
    <t>Hard surface flooring: Prefinished installed hard-surface flooring is installed. Where post-manufacture coatings or surface applications have not been applied, the following hard surface flooring types are deemed to comply with the emission requirements of this practice:</t>
  </si>
  <si>
    <t>Ceramic tile flooring</t>
  </si>
  <si>
    <t>Organic-free, mineral-based flooring</t>
  </si>
  <si>
    <t>Clay masonry flooring</t>
  </si>
  <si>
    <t>Concrete masonry flooring</t>
  </si>
  <si>
    <t>Concrete flooring</t>
  </si>
  <si>
    <t>Metal flooring</t>
  </si>
  <si>
    <t>(When carpet cushion meeting the emission limits of the practice is also installed, the percentage of compliant carpet area is calculated at 1.33 times the actual installed area.)</t>
  </si>
  <si>
    <r>
      <t>901.8</t>
    </r>
    <r>
      <rPr>
        <sz val="10"/>
        <color theme="1"/>
        <rFont val="Calibri"/>
        <family val="2"/>
        <scheme val="minor"/>
      </rPr>
      <t xml:space="preserve"> </t>
    </r>
    <r>
      <rPr>
        <b/>
        <sz val="10"/>
        <color theme="1"/>
        <rFont val="Calibri"/>
        <family val="2"/>
        <scheme val="minor"/>
      </rPr>
      <t>Wall coverings.</t>
    </r>
    <r>
      <rPr>
        <sz val="10"/>
        <color theme="1"/>
        <rFont val="Calibri"/>
        <family val="2"/>
        <scheme val="minor"/>
      </rPr>
      <t xml:space="preserve"> A minimum of 10 percent of the interior wall surfaces are covered and a minimum of 85 percent of wall coverings are in accordance with the emission concentration limits of CDPH/EHLB Standard Method v1.1. Emission levels are determined by a laboratory accredited to ISO/IEC 17025 and the CDPH/EHLB Standard Method v1.1 is in its scope. The product is certified by a third-party program accredited to ISO 17065, such as, but not limited to, those in Appendix D.</t>
    </r>
  </si>
  <si>
    <r>
      <t>901.9 Interior architectural coatings.</t>
    </r>
    <r>
      <rPr>
        <sz val="10"/>
        <color theme="1"/>
        <rFont val="Calibri"/>
        <family val="2"/>
        <scheme val="minor"/>
      </rPr>
      <t xml:space="preserve"> A minimum of 85 percent of the interior architectural coatings are in accordance with either Section 901.9.1 or Section 901.9.3, not both. A minimum of 85 percent of architectural colorants are in accordance with Section 901.9.2.</t>
    </r>
  </si>
  <si>
    <t>901.9.1</t>
  </si>
  <si>
    <r>
      <t>901.9.1</t>
    </r>
    <r>
      <rPr>
        <sz val="10"/>
        <color theme="1"/>
        <rFont val="Calibri"/>
        <family val="2"/>
        <scheme val="minor"/>
      </rPr>
      <t xml:space="preserve"> Site-applied interior architectural coatings, which are inside the water proofing envelope, are in accordance with one or more of the following:</t>
    </r>
  </si>
  <si>
    <t>Zero VOC as determined by EPA Method 24 (VOC content is below the detection limit for the method)</t>
  </si>
  <si>
    <t>GreenSeal GS-11</t>
  </si>
  <si>
    <r>
      <t xml:space="preserve">CARB </t>
    </r>
    <r>
      <rPr>
        <i/>
        <sz val="10"/>
        <color theme="1"/>
        <rFont val="Calibri"/>
        <family val="2"/>
        <scheme val="minor"/>
      </rPr>
      <t>Suggested Control Measure for Architectural Coatings</t>
    </r>
    <r>
      <rPr>
        <sz val="10"/>
        <color theme="1"/>
        <rFont val="Calibri"/>
        <family val="2"/>
        <scheme val="minor"/>
      </rPr>
      <t xml:space="preserve"> (see Table 901.9.1).</t>
    </r>
  </si>
  <si>
    <t>901.9.2</t>
  </si>
  <si>
    <r>
      <t>901.9.2</t>
    </r>
    <r>
      <rPr>
        <sz val="10"/>
        <color theme="1"/>
        <rFont val="Calibri"/>
        <family val="2"/>
        <scheme val="minor"/>
      </rPr>
      <t xml:space="preserve"> Architectural coating colorant additive VOC content is in accordance with Table 901.9.2.</t>
    </r>
  </si>
  <si>
    <t>(Points for 901.9.2 are awarded only if base architectural coating is in accordance with 901.9.1.)</t>
  </si>
  <si>
    <t>901.9.3</t>
  </si>
  <si>
    <r>
      <t>901.9.3</t>
    </r>
    <r>
      <rPr>
        <sz val="10"/>
        <color theme="1"/>
        <rFont val="Calibri"/>
        <family val="2"/>
        <scheme val="minor"/>
      </rPr>
      <t xml:space="preserve"> Site-applied interior architectural coatings, which are inside the waterproofing envelope, are in accordance with the emission levels of CDPH/EHLB Standard Method v1.1. Emission levels are determined by a laboratory accredited to ISO/IEC 17025 and the CDPH/EHLB Standard Method v1.1 in its scope of accreditation. The product is certified by a third-party program accredited to ISO 17065, such as, but not limited to, those found in Appendix D. </t>
    </r>
  </si>
  <si>
    <r>
      <t>901.10 Interior adhesives and sealants.</t>
    </r>
    <r>
      <rPr>
        <sz val="10"/>
        <color theme="1"/>
        <rFont val="Calibri"/>
        <family val="2"/>
        <scheme val="minor"/>
      </rPr>
      <t xml:space="preserve"> A minimum of 85 percent of site-applied adhesives and sealants located inside the waterproofing envelope are in accordance with one of the following, as applicable.</t>
    </r>
  </si>
  <si>
    <t xml:space="preserve">The emission levels are in accordance with CDPH/EHLB Standard Method v1.1. Emission levels are determined by a laboratory accredited to ISO/IEC 17025 and the CDPH/EHLB Standard Method v1.1 is in its scope of accreditation. The product is certified by a third-party program accredited to ISO 17065, such as, but not limited to, those found in Appendix D. </t>
  </si>
  <si>
    <t>GreenSeal GS-36.</t>
  </si>
  <si>
    <t>SCAQMD Rule 1168 in accordance with Table 901.10(3), excluding products that are sold in 16 ounce containers or less and are regulated by the California Air Resources Board (CARB) Consumer Products Regulations.</t>
  </si>
  <si>
    <r>
      <t>901.11</t>
    </r>
    <r>
      <rPr>
        <sz val="10"/>
        <color theme="1"/>
        <rFont val="Calibri"/>
        <family val="2"/>
        <scheme val="minor"/>
      </rPr>
      <t xml:space="preserve"> </t>
    </r>
    <r>
      <rPr>
        <b/>
        <sz val="10"/>
        <color theme="1"/>
        <rFont val="Calibri"/>
        <family val="2"/>
        <scheme val="minor"/>
      </rPr>
      <t>Insulation.</t>
    </r>
    <r>
      <rPr>
        <sz val="10"/>
        <color theme="1"/>
        <rFont val="Calibri"/>
        <family val="2"/>
        <scheme val="minor"/>
      </rPr>
      <t xml:space="preserve"> Emissions of 85 percent of wall, ceiling, and floor insulation materials are in accordance with the emission levels of CDPH/EHLB Standard Method v1.1. Emission levels are determined by a laboratory accredited to ISO/IEC 17025 and the CDPH/EHLB Standard Method v1.1 is in its scope of accreditation. Insulation is certified by a third-party program accredited to ISO 17065, such as, but not limited to, those in Appendix D. </t>
    </r>
  </si>
  <si>
    <r>
      <t>901.12 Carbon monoxide (CO) alarms.</t>
    </r>
    <r>
      <rPr>
        <sz val="10"/>
        <color theme="1"/>
        <rFont val="Calibri"/>
        <family val="2"/>
        <scheme val="minor"/>
      </rPr>
      <t xml:space="preserve"> A carbon monoxide (CO) alarm is provided in accordance with the IRC Section R315.</t>
    </r>
  </si>
  <si>
    <r>
      <t>901.13 Building entrance pollutants control.</t>
    </r>
    <r>
      <rPr>
        <sz val="10"/>
        <color theme="1"/>
        <rFont val="Calibri"/>
        <family val="2"/>
        <scheme val="minor"/>
      </rPr>
      <t xml:space="preserve"> Pollutants are controlled at all main building entrances by one of the following methods: </t>
    </r>
  </si>
  <si>
    <t>Exterior grilles or mats are installed in a fixed manner and may be removable for cleaning.</t>
  </si>
  <si>
    <t>Interior grilles or mats are installed in a fixed manner and may be removable for cleaning.</t>
  </si>
  <si>
    <r>
      <t>901.14 Non-smoking areas.</t>
    </r>
    <r>
      <rPr>
        <sz val="10"/>
        <color theme="1"/>
        <rFont val="Calibri"/>
        <family val="2"/>
        <scheme val="minor"/>
      </rPr>
      <t xml:space="preserve"> Environmental tobacco smoke is minimized by one or more of the following:</t>
    </r>
  </si>
  <si>
    <t>All interior common areas of a multifamily building are designated as non-smoking areas with posted signage.</t>
  </si>
  <si>
    <t>Exterior smoking areas of a multifamily building are designated with posted signage and located a minimum of 25 feet from entries, outdoor air intakes, and operable windows.</t>
  </si>
  <si>
    <t>902 POLLUTANT CONTROL</t>
  </si>
  <si>
    <r>
      <t>902.0 Intent.</t>
    </r>
    <r>
      <rPr>
        <sz val="10"/>
        <color theme="1"/>
        <rFont val="Calibri"/>
        <family val="2"/>
        <scheme val="minor"/>
      </rPr>
      <t xml:space="preserve"> Pollutants generated in the building are controlled.</t>
    </r>
  </si>
  <si>
    <t>902.1 Spot ventilation.</t>
  </si>
  <si>
    <t xml:space="preserve">Bathrooms are vented to the outdoors. The minimum ventilation rate is 50 cfm (23.6 L/s) for intermittent operation or 20 cfm (9.4 L/s) for continuous operation in bathrooms. </t>
  </si>
  <si>
    <t xml:space="preserve">Clothes dryers (except listed and labeled condensing ductless dryers) are vented to the outdoors. </t>
  </si>
  <si>
    <t xml:space="preserve">Kitchen exhaust units and/or range hoods are ducted to the outdoors and have a minimum ventilation rate of 100 cfm (47.2 L/s) for intermittent operation or 25 cfm (11.8 L/s) for continuous operation. </t>
  </si>
  <si>
    <t>902.1.2</t>
  </si>
  <si>
    <r>
      <t>902.1.2</t>
    </r>
    <r>
      <rPr>
        <sz val="10"/>
        <color theme="1"/>
        <rFont val="Calibri"/>
        <family val="2"/>
        <scheme val="minor"/>
      </rPr>
      <t xml:space="preserve"> Bathroom and/or laundry exhaust fan is provided with an automatic timer and/or humidistat:</t>
    </r>
  </si>
  <si>
    <t>11 Max</t>
  </si>
  <si>
    <t>for first device</t>
  </si>
  <si>
    <t>for each additional device</t>
  </si>
  <si>
    <t>902.1.3</t>
  </si>
  <si>
    <r>
      <t>902.1.3</t>
    </r>
    <r>
      <rPr>
        <sz val="10"/>
        <color theme="1"/>
        <rFont val="Calibri"/>
        <family val="2"/>
        <scheme val="minor"/>
      </rPr>
      <t xml:space="preserve"> Kitchen range, bathroom, and laundry exhaust are verified to air flow specification. Ventilation airflow at the point of exhaust is tested to a minimum of:</t>
    </r>
  </si>
  <si>
    <t>100 cfm (47.2 L/s) intermittent or 25 cfm (11.8 L/s) continuous for kitchens, and</t>
  </si>
  <si>
    <t>50 cfm (23.6 L/s) intermittent or 20 cfm (9.4 L/s) continuous for bathrooms and/or laundry</t>
  </si>
  <si>
    <t>902.1.4</t>
  </si>
  <si>
    <r>
      <t xml:space="preserve">902.1.4 </t>
    </r>
    <r>
      <rPr>
        <sz val="10"/>
        <color theme="1"/>
        <rFont val="Calibri"/>
        <family val="2"/>
        <scheme val="minor"/>
      </rPr>
      <t xml:space="preserve">Exhaust fans are ENERGY STAR, as applicable. </t>
    </r>
  </si>
  <si>
    <t>(Points awarded per fan.)</t>
  </si>
  <si>
    <t>ENERGY STAR, or equivalent, fans operating at or below 1 sone</t>
  </si>
  <si>
    <t>902.1.5</t>
  </si>
  <si>
    <r>
      <t xml:space="preserve">902.1.5 </t>
    </r>
    <r>
      <rPr>
        <sz val="10"/>
        <color theme="1"/>
        <rFont val="Calibri"/>
        <family val="2"/>
        <scheme val="minor"/>
      </rPr>
      <t>Fenestration in spaces other than those identified in 902.1.1 through 902.1.4 are  designed for stack effect or cross-ventilation in accordance with all of the following:</t>
    </r>
  </si>
  <si>
    <t>Operable windows, operable skylights, or sliding glass doors with a total area of at least 15 percent of the conditioned floor area are provided.</t>
  </si>
  <si>
    <t>Insect screens are provided for all operable windows, operable skylights, and sliding glass doors.</t>
  </si>
  <si>
    <t xml:space="preserve">A minimum of two operable windows or sliding glass doors are placed in adjacent or opposite walls. If there is only one wall surface in that space exposed to the exterior, the minimum windows or sliding glass doors may be on the same wall.  </t>
  </si>
  <si>
    <t>902.2 Building ventilation systems.</t>
  </si>
  <si>
    <t>exhaust or supply fan(s) ready for continuous operation and with appropriately labeled controls</t>
  </si>
  <si>
    <t>balanced exhaust and supply fans with supply intakes located in accordance with the manufacturer’s guidelines so as to not introduce polluted air back into the building</t>
  </si>
  <si>
    <t>heat-recovery ventilator</t>
  </si>
  <si>
    <t>energy-recovery ventilator</t>
  </si>
  <si>
    <t>902.2.2</t>
  </si>
  <si>
    <r>
      <t>902.2.2</t>
    </r>
    <r>
      <rPr>
        <sz val="10"/>
        <color theme="1"/>
        <rFont val="Calibri"/>
        <family val="2"/>
        <scheme val="minor"/>
      </rPr>
      <t xml:space="preserve"> Ventilation airflow is tested to achieve the design fan airflow at point of exhaust in accordance with Section 902.2.1</t>
    </r>
  </si>
  <si>
    <t>902.2.3</t>
  </si>
  <si>
    <r>
      <t>902.2.3</t>
    </r>
    <r>
      <rPr>
        <sz val="10"/>
        <color theme="1"/>
        <rFont val="Calibri"/>
        <family val="2"/>
        <scheme val="minor"/>
      </rPr>
      <t xml:space="preserve"> MERV filters 8 to 13 are installed on central forced air systems and are accessible. Designer or installer is to verify that the HVAC equipment is able to accommodate the greater pressure drop of MERV 8 to 13 filters.</t>
    </r>
  </si>
  <si>
    <t>902.2.4</t>
  </si>
  <si>
    <r>
      <t xml:space="preserve">902.2.4 </t>
    </r>
    <r>
      <rPr>
        <sz val="10"/>
        <color theme="1"/>
        <rFont val="Calibri"/>
        <family val="2"/>
        <scheme val="minor"/>
      </rPr>
      <t>MERV filters 14 or greater are installed on central forced air systems and are accessible. Designer or installer is to verify that the HVAC equipment is able to accommodate the greater pressure drop of the filter used.</t>
    </r>
  </si>
  <si>
    <r>
      <t>902.3 Radon control.</t>
    </r>
    <r>
      <rPr>
        <sz val="10"/>
        <color theme="1"/>
        <rFont val="Calibri"/>
        <family val="2"/>
        <scheme val="minor"/>
      </rPr>
      <t xml:space="preserve"> Radon control measures are in accordance with ICC IRC Appendix F. Zones as defined in Figure 9(1). </t>
    </r>
  </si>
  <si>
    <t>Buildings located in Zone 1</t>
  </si>
  <si>
    <t>a passive radon system is installed</t>
  </si>
  <si>
    <r>
      <t>an active radon system</t>
    </r>
    <r>
      <rPr>
        <b/>
        <sz val="10"/>
        <color theme="1"/>
        <rFont val="Calibri"/>
        <family val="2"/>
        <scheme val="minor"/>
      </rPr>
      <t xml:space="preserve"> </t>
    </r>
    <r>
      <rPr>
        <sz val="10"/>
        <color theme="1"/>
        <rFont val="Calibri"/>
        <family val="2"/>
        <scheme val="minor"/>
      </rPr>
      <t>is installed</t>
    </r>
  </si>
  <si>
    <t>Buildings located in Zone 2 or Zone 3</t>
  </si>
  <si>
    <t>a passive or active radon system is installed</t>
  </si>
  <si>
    <r>
      <t>902.4 HVAC system protection.</t>
    </r>
    <r>
      <rPr>
        <sz val="10"/>
        <color theme="1"/>
        <rFont val="Calibri"/>
        <family val="2"/>
        <scheme val="minor"/>
      </rPr>
      <t xml:space="preserve"> One of the following HVAC system protection measures is performed. </t>
    </r>
  </si>
  <si>
    <t>HVAC supply registers (boots), return grilles, and rough-ins are covered during construction activities to prevent dust and other pollutants from entering the system.</t>
  </si>
  <si>
    <t>Prior to owner occupancy, HVAC supply registers (boots), return grilles, and duct terminations are inspected and vacuumed. In addition, the coils are inspected and cleaned and the filter is replaced if necessary.</t>
  </si>
  <si>
    <r>
      <t>902.5 Central vacuum systems.</t>
    </r>
    <r>
      <rPr>
        <sz val="10"/>
        <color theme="1"/>
        <rFont val="Calibri"/>
        <family val="2"/>
        <scheme val="minor"/>
      </rPr>
      <t xml:space="preserve"> Central vacuum system is installed and vented to the outside.</t>
    </r>
  </si>
  <si>
    <r>
      <t>902.6 Living space contaminants.</t>
    </r>
    <r>
      <rPr>
        <sz val="10"/>
        <color theme="1"/>
        <rFont val="Calibri"/>
        <family val="2"/>
        <scheme val="minor"/>
      </rPr>
      <t xml:space="preserve"> The living space is sealed in accordance with Section 701.4.3.1 to prevent unwanted contaminants.</t>
    </r>
  </si>
  <si>
    <t>903 MOISTURE MANAGEMENT: VAPOR, RAINWATER, PLUMBING, HVAC</t>
  </si>
  <si>
    <r>
      <t>903.0 Intent.</t>
    </r>
    <r>
      <rPr>
        <sz val="10"/>
        <color theme="1"/>
        <rFont val="Calibri"/>
        <family val="2"/>
        <scheme val="minor"/>
      </rPr>
      <t xml:space="preserve"> Moisture and moisture effects are controlled.</t>
    </r>
  </si>
  <si>
    <t>903.1.1</t>
  </si>
  <si>
    <t>903.1.2</t>
  </si>
  <si>
    <r>
      <t>903.2 Duct insulation.</t>
    </r>
    <r>
      <rPr>
        <sz val="10"/>
        <color theme="1"/>
        <rFont val="Calibri"/>
        <family val="2"/>
        <scheme val="minor"/>
      </rPr>
      <t xml:space="preserve"> Ducts are in accordance with one of the following.</t>
    </r>
  </si>
  <si>
    <t>All HVAC ducts, plenums, and trunks are located in conditioned space.</t>
  </si>
  <si>
    <t>All HVAC ducts, plenums, and trunks are in conditioned space. All HVAC ducts are insulated to a minimum of R4.</t>
  </si>
  <si>
    <t>additional dehumidification system(s)</t>
  </si>
  <si>
    <t>central HVAC system equipped with additional controls to operate in dehumidification mode</t>
  </si>
  <si>
    <t xml:space="preserve">904 INDOOR AIR QUALITY </t>
  </si>
  <si>
    <r>
      <t xml:space="preserve">904.0 Intent. </t>
    </r>
    <r>
      <rPr>
        <sz val="10"/>
        <color theme="1"/>
        <rFont val="Calibri"/>
        <family val="2"/>
        <scheme val="minor"/>
      </rPr>
      <t>IAQ is protected by best practices to control ventilation, moisture, pollutant sources and sanitation.</t>
    </r>
  </si>
  <si>
    <r>
      <t>904.1</t>
    </r>
    <r>
      <rPr>
        <sz val="10"/>
        <color theme="1"/>
        <rFont val="Calibri"/>
        <family val="2"/>
        <scheme val="minor"/>
      </rPr>
      <t xml:space="preserve"> </t>
    </r>
    <r>
      <rPr>
        <b/>
        <sz val="10"/>
        <color theme="1"/>
        <rFont val="Calibri"/>
        <family val="2"/>
        <scheme val="minor"/>
      </rPr>
      <t>Indoor Air Quality (IAQ) During Construction.</t>
    </r>
    <r>
      <rPr>
        <sz val="10"/>
        <color theme="1"/>
        <rFont val="Calibri"/>
        <family val="2"/>
        <scheme val="minor"/>
      </rPr>
      <t xml:space="preserve"> Wood is dry before close-in (602.1.7.1(3)), materials comply with emission criteria (901.4- 901.11), sources of water infiltration or condensation observed during construction have been eliminated, accessible interior surfaces are dry and free of visible suspect growth (per ASTM D7338-10 section 6.3), and water damage (per ASTM D7338-10 section 7.4.3).</t>
    </r>
  </si>
  <si>
    <r>
      <t>904.2</t>
    </r>
    <r>
      <rPr>
        <sz val="10"/>
        <color theme="1"/>
        <rFont val="Calibri"/>
        <family val="2"/>
        <scheme val="minor"/>
      </rPr>
      <t xml:space="preserve"> </t>
    </r>
    <r>
      <rPr>
        <b/>
        <sz val="10"/>
        <color theme="1"/>
        <rFont val="Calibri"/>
        <family val="2"/>
        <scheme val="minor"/>
      </rPr>
      <t xml:space="preserve">Indoor Air Quality (IAQ) Post Completion. </t>
    </r>
    <r>
      <rPr>
        <sz val="10"/>
        <color theme="1"/>
        <rFont val="Calibri"/>
        <family val="2"/>
        <scheme val="minor"/>
      </rPr>
      <t>Verify there are no moisture, mold, and dust issues per 602.1.7.1(3), 901.4-901.11, ASTM D7338 Section 6.3, and ASTM D7338 Section 7.4.3.</t>
    </r>
  </si>
  <si>
    <t>905 INNOVATIVE PRACTICES</t>
  </si>
  <si>
    <r>
      <t>905.1 Humidity monitoring system.</t>
    </r>
    <r>
      <rPr>
        <sz val="10"/>
        <color theme="1"/>
        <rFont val="Calibri"/>
        <family val="2"/>
        <scheme val="minor"/>
      </rPr>
      <t xml:space="preserve"> A humidity monitoring system is installed with a mobile base unit that displays readings of temperature and relative humidity. The system has a minimum of two remote sensor units. One remote sensor unit is placed permanently inside the conditioned space in a central location, excluding attachment to exterior walls, and another remote sensor unit is placed permanently outside of the conditioned space.</t>
    </r>
  </si>
  <si>
    <r>
      <t>905.2 Kitchen exhaust.</t>
    </r>
    <r>
      <rPr>
        <sz val="10"/>
        <color theme="1"/>
        <rFont val="Calibri"/>
        <family val="2"/>
        <scheme val="minor"/>
      </rPr>
      <t xml:space="preserve"> A kitchen exhaust unit(s) that equals or exceeds 400 cfm (189 L/s) is installed, and makeup air is provided.</t>
    </r>
  </si>
  <si>
    <r>
      <t>1001.0 Intent.</t>
    </r>
    <r>
      <rPr>
        <sz val="10"/>
        <color theme="1"/>
        <rFont val="Calibri"/>
        <family val="2"/>
        <scheme val="minor"/>
      </rPr>
      <t xml:space="preserve"> Information on the building’s use, maintenance, and green components is provided. </t>
    </r>
  </si>
  <si>
    <r>
      <t>1001.1</t>
    </r>
    <r>
      <rPr>
        <sz val="10"/>
        <color theme="1"/>
        <rFont val="Calibri"/>
        <family val="2"/>
        <scheme val="minor"/>
      </rPr>
      <t xml:space="preserve"> A homeowner’s manual is provided and stored in a permanent location in the dwelling that includes the following, as available and applicable.</t>
    </r>
  </si>
  <si>
    <t>A National Green Building Standard certificate with weblink and  completion document.</t>
  </si>
  <si>
    <t>List of green building features (can include the national green building checklist).</t>
  </si>
  <si>
    <t>Product manufacturer’s manuals or product data sheet for installed major equipment, fixtures, and appliances. If product data sheet is in the building owners’ manual, manufacturer’s manual may be attached to the appliance in lieu of inclusion in the building owners’ manual.</t>
  </si>
  <si>
    <t>Maintenance checklist.</t>
  </si>
  <si>
    <t>Information on local recycling and composting programs.</t>
  </si>
  <si>
    <t>Information on available local utility programs that purchase a portion of energy from renewable energy providers.</t>
  </si>
  <si>
    <t>Explanation of the benefits of using energy-efficient lighting systems [e.g., compact fluorescent light bulbs, light emitting diode (LED)] in high-usage areas.</t>
  </si>
  <si>
    <t>A list of practices to conserve water and energy.</t>
  </si>
  <si>
    <t>Information on the importance and operation of the home's fresh air ventilation system.</t>
  </si>
  <si>
    <t>Local public transportation options.</t>
  </si>
  <si>
    <t>A diagram showing the location of safety valves and controls for major building systems.</t>
  </si>
  <si>
    <t>Where frost-protected shallow foundations are used, owner is informed of precautions including:</t>
  </si>
  <si>
    <t>instructions to not remove or damage insulation when modifying landscaping.</t>
  </si>
  <si>
    <t>providing heat to the building as required by the ICC IRC or IBC.</t>
  </si>
  <si>
    <t>keeping base materials beneath and around the building free from moisture caused by broken water pipes or other water sources.</t>
  </si>
  <si>
    <t>(13)</t>
  </si>
  <si>
    <t>A list of local service providers that offer regularly scheduled service and maintenance contracts to ensure proper performance of equipment and the structure (e.g., HVAC, water-heating equipment, sealants, caulks, gutter and downspout system, shower and/or tub surrounds, irrigation system).</t>
  </si>
  <si>
    <t>(14)</t>
  </si>
  <si>
    <t>A photo record of framing with utilities installed. Photos are taken prior to installing insulation, clearly labeled, and included as part of the building owners’ manual.</t>
  </si>
  <si>
    <t>(15)</t>
  </si>
  <si>
    <t>List of common hazardous materials often used around the building and instructions for proper handling and disposal of these materials.</t>
  </si>
  <si>
    <t>(16)</t>
  </si>
  <si>
    <t>Information on organic pest control, fertilizers, deicers, and cleaning products.</t>
  </si>
  <si>
    <t>(17)</t>
  </si>
  <si>
    <t>Information on native landscape materials and/or those that have low water requirements.</t>
  </si>
  <si>
    <t>(18)</t>
  </si>
  <si>
    <t>Information on methods of maintaining the building’s relative humidity in the range of 30 percent to 60 percent.</t>
  </si>
  <si>
    <t>(19)</t>
  </si>
  <si>
    <t>Instructions for inspecting the building for termite infestation.</t>
  </si>
  <si>
    <t>(20)</t>
  </si>
  <si>
    <t>Instructions for maintaining gutters and downspouts and importance of diverting water a minimum of 5 feet away from foundation.</t>
  </si>
  <si>
    <t>(21)</t>
  </si>
  <si>
    <t>A narrative detailing the importance of maintenance and operation in retaining the attributes of a green-built building.</t>
  </si>
  <si>
    <t>(22)</t>
  </si>
  <si>
    <t>Where stormwater management measures are installed on the lot, information on the location, purpose, and upkeep of these measures.</t>
  </si>
  <si>
    <t>(23)</t>
  </si>
  <si>
    <t>Explanation of and benefits from green cleaning in the home.</t>
  </si>
  <si>
    <t>(24)</t>
  </si>
  <si>
    <t>Retrofit energy calculator that provides baseline for future energy retrofits.</t>
  </si>
  <si>
    <r>
      <t>1001. 2</t>
    </r>
    <r>
      <rPr>
        <sz val="10"/>
        <color theme="1"/>
        <rFont val="Calibri"/>
        <family val="2"/>
        <scheme val="minor"/>
      </rPr>
      <t xml:space="preserve"> </t>
    </r>
    <r>
      <rPr>
        <b/>
        <sz val="10"/>
        <color theme="1"/>
        <rFont val="Calibri"/>
        <family val="2"/>
        <scheme val="minor"/>
      </rPr>
      <t>Training of initial homeowners.</t>
    </r>
    <r>
      <rPr>
        <sz val="10"/>
        <color theme="1"/>
        <rFont val="Calibri"/>
        <family val="2"/>
        <scheme val="minor"/>
      </rPr>
      <t xml:space="preserve"> Initial homeowners are familiarized with the role of occupants in achieving green goals. Training is provided to the responsible party(ies) regarding equipment operation and maintenance, control systems, and occupant actions that will improve the environmental performance of the building. These include:</t>
    </r>
  </si>
  <si>
    <t>HVAC filters.</t>
  </si>
  <si>
    <t>Thermostat operation and programming.</t>
  </si>
  <si>
    <t>Lighting controls.</t>
  </si>
  <si>
    <t>Appliances operation.</t>
  </si>
  <si>
    <t>Water heater settings and hot water use.</t>
  </si>
  <si>
    <t>Fan controls.</t>
  </si>
  <si>
    <t>Recycling and composting practices.</t>
  </si>
  <si>
    <t>1002 CONSTRUCTION, OPERATION, AND MAINTENANCE MANUALS AND TRAINING FOR MULTI-UNIT BUILDINGS</t>
  </si>
  <si>
    <r>
      <t>1002.0 Intent.</t>
    </r>
    <r>
      <rPr>
        <sz val="10"/>
        <color theme="1"/>
        <rFont val="Calibri"/>
        <family val="2"/>
        <scheme val="minor"/>
      </rPr>
      <t xml:space="preserve"> Manuals are provided to the responsible parties (owner, management, tenant, and/or maintenance team) regarding the construction, operation, and maintenance of the building. Paper or digital format manuals are to include information regarding those aspects of the building’s construction, maintenance, and operation that are within the area of responsibilities of the respective recipient. One or more responsible parties are to receive a copy of all documentation for archival purposes.</t>
    </r>
  </si>
  <si>
    <t>A narrative detailing the importance of constructing a green building, including a list of green building attributes included in the building. This narrative is included in all responsible parties’ manuals.</t>
  </si>
  <si>
    <r>
      <t xml:space="preserve">A local green building program certificate as well as a copy of the </t>
    </r>
    <r>
      <rPr>
        <i/>
        <sz val="10"/>
        <color theme="1"/>
        <rFont val="Calibri"/>
        <family val="2"/>
        <scheme val="minor"/>
      </rPr>
      <t>National Green Building Standard</t>
    </r>
    <r>
      <rPr>
        <i/>
        <vertAlign val="superscript"/>
        <sz val="10"/>
        <color theme="1"/>
        <rFont val="Calibri"/>
        <family val="2"/>
        <scheme val="minor"/>
      </rPr>
      <t>TM</t>
    </r>
    <r>
      <rPr>
        <sz val="10"/>
        <color theme="1"/>
        <rFont val="Calibri"/>
        <family val="2"/>
        <scheme val="minor"/>
      </rPr>
      <t>, as adopted by the Adopting Entity, and the individual measures achieved by the building.</t>
    </r>
  </si>
  <si>
    <t>Warranty, operation, and maintenance instructions for all equipment, fixtures, appliances, and finishes.</t>
  </si>
  <si>
    <t>Record drawings of the building.</t>
  </si>
  <si>
    <t>A record drawing of the site including stormwater management plans, utility lines, landscaping with common name and genus/species of plantings.</t>
  </si>
  <si>
    <t>A list of the type and wattage of light bulbs installed in light fixtures.</t>
  </si>
  <si>
    <t>A photo record of framing with utilities installed. Photos are taken prior to installing insulation and clearly labeled.</t>
  </si>
  <si>
    <t>A narrative detailing the importance of operating and living in a green building. This narrative is included in all responsible parties’ manuals.</t>
  </si>
  <si>
    <t>A list of practices to conserve water and energy (e.g., turning off lights when not in use, switching the rotation of ceiling fans in changing seasons, purchasing ENERGY STAR appliances and electronics).</t>
  </si>
  <si>
    <t>Information on opportunities to purchase renewable energy from local utilities or national green power providers and information on utility and tax incentives for the installation of on-site renewable energy systems.</t>
  </si>
  <si>
    <t>Information on local and on-site recycling and hazardous waste disposal programs and, if applicable, building recycling and hazardous waste handling and disposal procedures.</t>
  </si>
  <si>
    <t>Explanation of the benefits of using compact fluorescent light bulbs, LEDs, or other high-efficiency lighting.</t>
  </si>
  <si>
    <t>Information on the radon mitigation system, where applicable.</t>
  </si>
  <si>
    <t>A procedure for educating tenants in rental properties on the proper use, benefits, and maintenance of green building systems including a maintenance staff notification process for improperly functioning equipment.</t>
  </si>
  <si>
    <t>Information on the importance and operation of the building’s fresh air ventilation system.</t>
  </si>
  <si>
    <t>A narrative detailing the importance of maintaining a green building. This narrative is included in all responsible parties’ manuals.</t>
  </si>
  <si>
    <t>User-friendly maintenance checklist that includes:</t>
  </si>
  <si>
    <t>HVAC filters</t>
  </si>
  <si>
    <t>thermostat operation and programming</t>
  </si>
  <si>
    <t>lighting controls</t>
  </si>
  <si>
    <t>appliances and settings</t>
  </si>
  <si>
    <t>water heater settings</t>
  </si>
  <si>
    <t>fan controls</t>
  </si>
  <si>
    <t>Instructions for maintaining gutters and downspouts and the importance of diverting water a minimum of 5 feet away from foundation.</t>
  </si>
  <si>
    <t>A procedure for rental tenant occupancy turnover that preserves the green features.</t>
  </si>
  <si>
    <t>An outline of a formal green building training program for maintenance staff.</t>
  </si>
  <si>
    <t>A green cleaning plan which includes guidance on sustainable cleaning products.</t>
  </si>
  <si>
    <r>
      <t>1002.4 Training of building owners.</t>
    </r>
    <r>
      <rPr>
        <sz val="10"/>
        <color theme="1"/>
        <rFont val="Calibri"/>
        <family val="2"/>
        <scheme val="minor"/>
      </rPr>
      <t xml:space="preserve"> Building owners are familiarized with the role of occupants in achieving green goals. On-site training is provided to the responsible party(ies) regarding equipment operation and maintenance, control systems, and occupant actions that will improve the environmental performance of the building. These include:</t>
    </r>
  </si>
  <si>
    <t>appliances operation</t>
  </si>
  <si>
    <t>water heater settings and hot water use</t>
  </si>
  <si>
    <t>recycling and composting practices</t>
  </si>
  <si>
    <t xml:space="preserve">1003 PUBLIC EDUCATION </t>
  </si>
  <si>
    <r>
      <t xml:space="preserve">1003.0 </t>
    </r>
    <r>
      <rPr>
        <sz val="10"/>
        <color theme="1"/>
        <rFont val="Calibri"/>
        <family val="2"/>
        <scheme val="minor"/>
      </rPr>
      <t xml:space="preserve"> </t>
    </r>
    <r>
      <rPr>
        <b/>
        <sz val="10"/>
        <color theme="1"/>
        <rFont val="Calibri"/>
        <family val="2"/>
        <scheme val="minor"/>
      </rPr>
      <t xml:space="preserve">Intent. </t>
    </r>
    <r>
      <rPr>
        <sz val="10"/>
        <color theme="1"/>
        <rFont val="Calibri"/>
        <family val="2"/>
        <scheme val="minor"/>
      </rPr>
      <t>Increase public awareness of the National Green Building Standard and projects constructed in accordance with National Green Building Standard to help increase demand for high-performance homes.</t>
    </r>
  </si>
  <si>
    <r>
      <t xml:space="preserve">1003.1 Public Education. </t>
    </r>
    <r>
      <rPr>
        <sz val="10"/>
        <color theme="1"/>
        <rFont val="Calibri"/>
        <family val="2"/>
        <scheme val="minor"/>
      </rPr>
      <t>One or more of the following is implemented:</t>
    </r>
  </si>
  <si>
    <t>2 Max</t>
  </si>
  <si>
    <r>
      <t>Signage.</t>
    </r>
    <r>
      <rPr>
        <sz val="10"/>
        <color theme="1"/>
        <rFont val="Calibri"/>
        <family val="2"/>
        <scheme val="minor"/>
      </rPr>
      <t xml:space="preserve"> Signs showing the project is designed and built in accordance with the National Green Building Standard are posted on the construction site.</t>
    </r>
  </si>
  <si>
    <r>
      <t xml:space="preserve">Certification Plaques. </t>
    </r>
    <r>
      <rPr>
        <sz val="10"/>
        <color theme="1"/>
        <rFont val="Calibri"/>
        <family val="2"/>
        <scheme val="minor"/>
      </rPr>
      <t>National Green Building Standard certification plaques with rating level attainted are placed in a conspicuous location near the utility area of the home or, in a conspicuous location near the main entrance of a multifamily building.</t>
    </r>
  </si>
  <si>
    <r>
      <t xml:space="preserve">Education. </t>
    </r>
    <r>
      <rPr>
        <sz val="10"/>
        <color theme="1"/>
        <rFont val="Calibri"/>
        <family val="2"/>
        <scheme val="minor"/>
      </rPr>
      <t>A URL for the National Green Building Standard is included on site signage, builder website (or property website for multifamily buildings), and marketing materials for homes certified under the National Green Building Standard.</t>
    </r>
  </si>
  <si>
    <t>1004 POST OCCUPANCY PERFORMANCE ASSESSMENT</t>
  </si>
  <si>
    <r>
      <t xml:space="preserve">1004.0 Intent. </t>
    </r>
    <r>
      <rPr>
        <sz val="10"/>
        <color theme="1"/>
        <rFont val="Calibri"/>
        <family val="2"/>
        <scheme val="minor"/>
      </rPr>
      <t>A verification system for post occupancy assessment of the building is intended to be a management tool for the building owner to determine if energy or water usage have deviated from expected levels so that inspection and correction action can be taken.</t>
    </r>
  </si>
  <si>
    <r>
      <t xml:space="preserve">1004.1 </t>
    </r>
    <r>
      <rPr>
        <sz val="10"/>
        <color theme="1"/>
        <rFont val="Calibri"/>
        <family val="2"/>
        <scheme val="minor"/>
      </rPr>
      <t>A verification system plan is provided in the building owner’s manual (Sections 1001 or 1002).  The verification system provides methods for demonstrating continued energy and water savings that are determined from the building’s initial year of occupancy of water and energy consumption as compared to annualized consumption at least every four years.</t>
    </r>
    <r>
      <rPr>
        <b/>
        <sz val="10"/>
        <color theme="1"/>
        <rFont val="Calibri"/>
        <family val="2"/>
        <scheme val="minor"/>
      </rPr>
      <t xml:space="preserve">  </t>
    </r>
  </si>
  <si>
    <t>Verification plan is developed top monitor post-occupancy energy and water use and is provided in the building owner’s manual.</t>
  </si>
  <si>
    <t>Verification system is installed in the building to monitor post-occupancy energy and water use.</t>
  </si>
  <si>
    <r>
      <t xml:space="preserve"> </t>
    </r>
    <r>
      <rPr>
        <b/>
        <sz val="10"/>
        <color theme="1"/>
        <rFont val="Calibri"/>
        <family val="2"/>
      </rPr>
      <t>(Points awarded per two items. Points awarded for non-mandatory items.)</t>
    </r>
  </si>
  <si>
    <t>1001 HOMEOWNER’S MANUAL AND TRAINING GUIDELINES FOR ONE- AND TWO-FAMILY DWELLINGS</t>
  </si>
  <si>
    <t>(Points awarded per two items. Points awarded for non-mandatory items.)</t>
  </si>
  <si>
    <t>1
8 Max</t>
  </si>
  <si>
    <r>
      <t xml:space="preserve">1002.1 Building construction manual. </t>
    </r>
    <r>
      <rPr>
        <sz val="10"/>
        <color theme="1"/>
        <rFont val="Calibri"/>
        <family val="2"/>
        <scheme val="minor"/>
      </rPr>
      <t xml:space="preserve">A building construction manual, including </t>
    </r>
    <r>
      <rPr>
        <sz val="10"/>
        <color rgb="FFFF0000"/>
        <rFont val="Calibri"/>
        <family val="2"/>
        <scheme val="minor"/>
      </rPr>
      <t>five or more</t>
    </r>
    <r>
      <rPr>
        <sz val="10"/>
        <color theme="1"/>
        <rFont val="Calibri"/>
        <family val="2"/>
        <scheme val="minor"/>
      </rPr>
      <t xml:space="preserve"> of the following, is compiled and distributed in accordance with Section 1002.0.</t>
    </r>
  </si>
  <si>
    <r>
      <t xml:space="preserve">1002.2 Operations manual. </t>
    </r>
    <r>
      <rPr>
        <sz val="10"/>
        <color theme="1"/>
        <rFont val="Calibri"/>
        <family val="2"/>
        <scheme val="minor"/>
      </rPr>
      <t xml:space="preserve">Operations manuals are created and distributed to the responsible parties in accordance with Section 1002.0. Between all of the operation manuals, </t>
    </r>
    <r>
      <rPr>
        <sz val="10"/>
        <color rgb="FFFF0000"/>
        <rFont val="Calibri"/>
        <family val="2"/>
        <scheme val="minor"/>
      </rPr>
      <t>five or more</t>
    </r>
    <r>
      <rPr>
        <sz val="10"/>
        <color theme="1"/>
        <rFont val="Calibri"/>
        <family val="2"/>
        <scheme val="minor"/>
      </rPr>
      <t xml:space="preserve"> of the following options are included.</t>
    </r>
  </si>
  <si>
    <r>
      <t>1002.3 Maintenance manual.</t>
    </r>
    <r>
      <rPr>
        <sz val="10"/>
        <color theme="1"/>
        <rFont val="Calibri"/>
        <family val="2"/>
        <scheme val="minor"/>
      </rPr>
      <t xml:space="preserve"> Maintenance manuals are created and distributed to the responsible parties in accordance with Section 1002.0. Between all of the maintenance manuals, </t>
    </r>
    <r>
      <rPr>
        <sz val="10"/>
        <color rgb="FFFF0000"/>
        <rFont val="Calibri"/>
        <family val="2"/>
        <scheme val="minor"/>
      </rPr>
      <t>five or more</t>
    </r>
    <r>
      <rPr>
        <sz val="10"/>
        <color theme="1"/>
        <rFont val="Calibri"/>
        <family val="2"/>
        <scheme val="minor"/>
      </rPr>
      <t xml:space="preserve"> of the following options are included.</t>
    </r>
  </si>
  <si>
    <t>END OF CHAPTER 10</t>
  </si>
  <si>
    <t>(Points are awarded only for buildings that use natural draft combustion space or water heating equipment.)</t>
  </si>
  <si>
    <t>Note: Points are only available for lots with slopes of 25% or greater.</t>
  </si>
  <si>
    <t>path:</t>
  </si>
  <si>
    <t>705 ct.:</t>
  </si>
  <si>
    <t>Less than 
two practices
chosen in 705</t>
  </si>
  <si>
    <t>NOTE: List the reviewer in the assigned Notes field.</t>
  </si>
  <si>
    <t>Not Primary Heat</t>
  </si>
  <si>
    <t>No Radiant or Hydronic</t>
  </si>
  <si>
    <t>Type of Heating System (main system):</t>
  </si>
  <si>
    <t>dstHeat1</t>
  </si>
  <si>
    <t>dstHeat2</t>
  </si>
  <si>
    <t>dstHeat3</t>
  </si>
  <si>
    <t>ddHeat1</t>
  </si>
  <si>
    <t>ddHeat2</t>
  </si>
  <si>
    <t>ddHeat3</t>
  </si>
  <si>
    <t>Type of Heating System (system 2):</t>
  </si>
  <si>
    <t>Type of Heating System (system 3):</t>
  </si>
  <si>
    <t>Type of Cooling System (main system):</t>
  </si>
  <si>
    <t>Type of Cooling System (system 2):</t>
  </si>
  <si>
    <t>Type of Cooling System (system 3):</t>
  </si>
  <si>
    <t>ddCool1</t>
  </si>
  <si>
    <t>dstCool1</t>
  </si>
  <si>
    <t>ddCool2</t>
  </si>
  <si>
    <t>dstCool2</t>
  </si>
  <si>
    <t>ddCool3</t>
  </si>
  <si>
    <t>dstCool3</t>
  </si>
  <si>
    <t>Heating Ducts:</t>
  </si>
  <si>
    <t>ddHDucts</t>
  </si>
  <si>
    <t>dstHDucts</t>
  </si>
  <si>
    <t>Cooling Ducts:</t>
  </si>
  <si>
    <t>ddCDucts</t>
  </si>
  <si>
    <t>dstCDucts</t>
  </si>
  <si>
    <t>Ducted</t>
  </si>
  <si>
    <t>Ductless</t>
  </si>
  <si>
    <t>No System</t>
  </si>
  <si>
    <t>Gas Engine-Driven Heat Pump</t>
  </si>
  <si>
    <t>Electric Air Conditiner</t>
  </si>
  <si>
    <t>2 points per kW Divided by number of dwelling units</t>
  </si>
  <si>
    <t>701.4.3.3 Exception:</t>
  </si>
  <si>
    <t>See Table 701.4.3.2(2)</t>
  </si>
  <si>
    <t>c. Basement wall U-factor of 0.360 in warm-humid locations.</t>
  </si>
  <si>
    <r>
      <t>b.</t>
    </r>
    <r>
      <rPr>
        <sz val="7"/>
        <color rgb="FF000000"/>
        <rFont val="Times New Roman"/>
        <family val="1"/>
      </rPr>
      <t xml:space="preserve">  </t>
    </r>
    <r>
      <rPr>
        <sz val="10"/>
        <color rgb="FF000000"/>
        <rFont val="Calibri"/>
        <family val="2"/>
      </rPr>
      <t>Where more the half the insulation is on the interior, the mass wall U-factors is a maximum of 0.17 in Zone 1, 0.14 in Zone 2, 0.12 in Zone 3, 0.10 in Zone 4 except in Marine, and the same as the frame wall U-factor in Marine Zone 4 and Zones 5 through 8.</t>
    </r>
  </si>
  <si>
    <r>
      <t>a.</t>
    </r>
    <r>
      <rPr>
        <sz val="7"/>
        <color rgb="FF000000"/>
        <rFont val="Times New Roman"/>
        <family val="1"/>
      </rPr>
      <t xml:space="preserve">  </t>
    </r>
    <r>
      <rPr>
        <sz val="10"/>
        <color rgb="FF000000"/>
        <rFont val="Calibri"/>
        <family val="2"/>
      </rPr>
      <t>Non-fenestration U-factors shall be obtained from measurement, calculation, or an approved source.</t>
    </r>
  </si>
  <si>
    <t>7 and 8</t>
  </si>
  <si>
    <t>5 and Marine 4</t>
  </si>
  <si>
    <t>4 except Marine</t>
  </si>
  <si>
    <r>
      <t>0.091</t>
    </r>
    <r>
      <rPr>
        <vertAlign val="superscript"/>
        <sz val="10"/>
        <color rgb="FF000000"/>
        <rFont val="Calibri"/>
        <family val="2"/>
        <scheme val="minor"/>
      </rPr>
      <t>C</t>
    </r>
  </si>
  <si>
    <t>Crawlspace Wall U-Factor</t>
  </si>
  <si>
    <t>Basement Wall U-Factor</t>
  </si>
  <si>
    <t>Floor U-Factor</t>
  </si>
  <si>
    <t>Mass Wall U-Factor</t>
  </si>
  <si>
    <t>Frame Wall U-Factor</t>
  </si>
  <si>
    <t>Ceiling U-Factor</t>
  </si>
  <si>
    <t>Skylight U-Factor</t>
  </si>
  <si>
    <t>Fenestration U- Factor</t>
  </si>
  <si>
    <t>Climate Zone</t>
  </si>
  <si>
    <r>
      <t>Equivalent U-Factors</t>
    </r>
    <r>
      <rPr>
        <b/>
        <vertAlign val="superscript"/>
        <sz val="10"/>
        <color theme="1"/>
        <rFont val="Calibri"/>
        <family val="2"/>
        <scheme val="minor"/>
      </rPr>
      <t>a</t>
    </r>
  </si>
  <si>
    <t>Table 703.2.1(a)</t>
  </si>
  <si>
    <t>Air Barrier and Insulation Installation</t>
  </si>
  <si>
    <t>Table 701.4.3.2(2)</t>
  </si>
  <si>
    <t xml:space="preserve">Exception: Tropical Climate Zone, crawl space, basement, floor u-factors are not applicable. </t>
  </si>
  <si>
    <r>
      <t xml:space="preserve">a. </t>
    </r>
    <r>
      <rPr>
        <sz val="10"/>
        <color rgb="FF000000"/>
        <rFont val="Calibri"/>
        <family val="2"/>
        <scheme val="minor"/>
      </rPr>
      <t>Tropical Climate Zone: Points are Climate Zone 1 points divided by 2 and rounded down</t>
    </r>
  </si>
  <si>
    <r>
      <rPr>
        <u/>
        <sz val="10"/>
        <color theme="1"/>
        <rFont val="Calibri"/>
        <family val="2"/>
      </rPr>
      <t>&gt;</t>
    </r>
    <r>
      <rPr>
        <sz val="10"/>
        <color theme="1"/>
        <rFont val="Calibri"/>
        <family val="2"/>
      </rPr>
      <t>35%</t>
    </r>
  </si>
  <si>
    <t>30% to &lt;35%</t>
  </si>
  <si>
    <t>25% to &lt;30%</t>
  </si>
  <si>
    <t>20% to &lt;25%</t>
  </si>
  <si>
    <t>15% to &lt;20%</t>
  </si>
  <si>
    <t>10% to &lt;15%</t>
  </si>
  <si>
    <t>5% to &lt;10%</t>
  </si>
  <si>
    <t>0 to &lt;5%</t>
  </si>
  <si>
    <r>
      <t>1</t>
    </r>
    <r>
      <rPr>
        <vertAlign val="superscript"/>
        <sz val="10"/>
        <color theme="1"/>
        <rFont val="Calibri"/>
        <family val="2"/>
      </rPr>
      <t>a</t>
    </r>
  </si>
  <si>
    <t>Minimum UA Improvement</t>
  </si>
  <si>
    <t>Points for Improvement in Total Building Thermal Envelope UA</t>
  </si>
  <si>
    <t>Table 703.2.1(b)</t>
  </si>
  <si>
    <t>&gt;6 inch</t>
  </si>
  <si>
    <r>
      <rPr>
        <u/>
        <sz val="10"/>
        <color theme="1"/>
        <rFont val="Calibri"/>
        <family val="2"/>
      </rPr>
      <t>&gt;</t>
    </r>
    <r>
      <rPr>
        <sz val="10"/>
        <color theme="1"/>
        <rFont val="Calibri"/>
        <family val="2"/>
      </rPr>
      <t>3 inch to</t>
    </r>
    <r>
      <rPr>
        <u/>
        <sz val="10"/>
        <color theme="1"/>
        <rFont val="Calibri"/>
        <family val="2"/>
      </rPr>
      <t xml:space="preserve"> &gt;</t>
    </r>
    <r>
      <rPr>
        <sz val="10"/>
        <color theme="1"/>
        <rFont val="Calibri"/>
        <family val="2"/>
      </rPr>
      <t>6 inch</t>
    </r>
  </si>
  <si>
    <t>7-8</t>
  </si>
  <si>
    <t>1-4</t>
  </si>
  <si>
    <t>Mass thickness</t>
  </si>
  <si>
    <t>Exterior Mass Walls</t>
  </si>
  <si>
    <t>Table 703.2.2</t>
  </si>
  <si>
    <t>Tropical</t>
  </si>
  <si>
    <t>(Points not awarded if points are taken under Section 705.6.2.1)</t>
  </si>
  <si>
    <t>-</t>
  </si>
  <si>
    <t>Max Envelope Leakage Rate (ACH50)</t>
  </si>
  <si>
    <t>Building Envelope Leakage</t>
  </si>
  <si>
    <t>Table 703.2.4</t>
  </si>
  <si>
    <t>Exception: For Sun-tempered designs meeting the requirements of Section 703.7.1, the SHGC is permitted to be 0.40 or higher on south facing glass.</t>
  </si>
  <si>
    <t>Any</t>
  </si>
  <si>
    <t>5 to 8</t>
  </si>
  <si>
    <t>Skylights and TDDs (maximums certified ratings)</t>
  </si>
  <si>
    <t>Windows and Exterior Doors (maximums certified ratings)</t>
  </si>
  <si>
    <t>SHGC</t>
  </si>
  <si>
    <t>U-Factor</t>
  </si>
  <si>
    <t>Climate Zones</t>
  </si>
  <si>
    <t>Fenestration Specifications</t>
  </si>
  <si>
    <t>Table 703.2.5.1</t>
  </si>
  <si>
    <t>(Points for multifamily buildings four or more stories in height are awarded at 3 times the point value listed in Table 703.2.5.2(c))</t>
  </si>
  <si>
    <t>5-8</t>
  </si>
  <si>
    <t>SHGC Skylights &amp; TDDs</t>
  </si>
  <si>
    <t>U-Factor Skylights &amp; TDDs</t>
  </si>
  <si>
    <t>SHGC Windows &amp; Exterior Doors</t>
  </si>
  <si>
    <t>U-Factor Windows &amp; Exterior Doors</t>
  </si>
  <si>
    <t>Enhanced Fenestration Specifications</t>
  </si>
  <si>
    <t>Table 703.2.5.2(c)</t>
  </si>
  <si>
    <t>Table 703.2.5.2(b)</t>
  </si>
  <si>
    <t>a. An equivalent energy performance is permitted based on fenestration meeting the requirements of Section B. Equivalent Energy Performance in ENERGY STAR Product Specification Residential Windows, Doors, and Skylights, Eligibility Criteria Version 6.0.</t>
  </si>
  <si>
    <r>
      <t>0.27</t>
    </r>
    <r>
      <rPr>
        <vertAlign val="superscript"/>
        <sz val="10"/>
        <color theme="1"/>
        <rFont val="Calibri"/>
        <family val="2"/>
        <scheme val="minor"/>
      </rPr>
      <t>a</t>
    </r>
  </si>
  <si>
    <t>Table 703.2.5.2(a)</t>
  </si>
  <si>
    <t>Electric Heat Pump Heating</t>
  </si>
  <si>
    <t>1' 0"</t>
  </si>
  <si>
    <t>1' 4"</t>
  </si>
  <si>
    <t>1' 8"</t>
  </si>
  <si>
    <t>2' 0"</t>
  </si>
  <si>
    <t>7 &amp; 8</t>
  </si>
  <si>
    <t>2' 4"</t>
  </si>
  <si>
    <t>4 &amp; 5 &amp; 6</t>
  </si>
  <si>
    <t>2' 8"</t>
  </si>
  <si>
    <t>1 &amp; 2 &amp; 3</t>
  </si>
  <si>
    <t>≤3' 4"</t>
  </si>
  <si>
    <t>≤4' 4"</t>
  </si>
  <si>
    <t>≤5' 4"</t>
  </si>
  <si>
    <t>≤6' 4"</t>
  </si>
  <si>
    <t>≤7' 4"</t>
  </si>
  <si>
    <t xml:space="preserve">Vertical distance between bottom of overhang and top of window sill </t>
  </si>
  <si>
    <t>South-Facing Window Overhang Depth</t>
  </si>
  <si>
    <t>Table 703.7.1(7)</t>
  </si>
  <si>
    <t>dstFloors</t>
  </si>
  <si>
    <t>Points per formula</t>
  </si>
  <si>
    <t>Percent above ICC IECC 2015:</t>
  </si>
  <si>
    <t>DO NOT PASTE ANYTHING INTO THE WORKSHEET. CELL PROTECTION, VALIDATION, AND CONDITIONAL FORMATTING CAN BE ALTERED BY PASTING. THIS WILL BREAK YOUR SHEET.</t>
  </si>
  <si>
    <t>Home Address:</t>
  </si>
  <si>
    <t>There is mandatory information or practices missing from this Page!</t>
  </si>
  <si>
    <t>There are errors on this page!</t>
  </si>
  <si>
    <t>There is mandatory information or practices missing from this Chapter!</t>
  </si>
  <si>
    <t>ATFS</t>
  </si>
  <si>
    <t>CSA Z809</t>
  </si>
  <si>
    <t>FSC</t>
  </si>
  <si>
    <t>PEFC</t>
  </si>
  <si>
    <t>RPP</t>
  </si>
  <si>
    <t>SFI</t>
  </si>
  <si>
    <t>35% to less than 50%</t>
  </si>
  <si>
    <t>50% to less than 90%</t>
  </si>
  <si>
    <t>90% or more</t>
  </si>
  <si>
    <r>
      <rPr>
        <b/>
        <sz val="11"/>
        <color theme="1"/>
        <rFont val="Calibri"/>
        <family val="2"/>
        <scheme val="minor"/>
      </rPr>
      <t>Error</t>
    </r>
    <r>
      <rPr>
        <sz val="11"/>
        <color theme="1"/>
        <rFont val="Calibri"/>
        <family val="2"/>
        <scheme val="minor"/>
      </rPr>
      <t xml:space="preserve"> - Something is wrong. Review practice text for explanation.</t>
    </r>
  </si>
  <si>
    <r>
      <rPr>
        <b/>
        <sz val="11"/>
        <color theme="1"/>
        <rFont val="Calibri"/>
        <family val="2"/>
        <scheme val="minor"/>
      </rPr>
      <t>Note Entry</t>
    </r>
    <r>
      <rPr>
        <sz val="11"/>
        <color theme="1"/>
        <rFont val="Calibri"/>
        <family val="2"/>
        <scheme val="minor"/>
      </rPr>
      <t xml:space="preserve"> - A place for you to elaborate. If a note is mandatory it will turn yellow. Notes required due to selecting a practice out of phase (rough or final) will not turn yellow.</t>
    </r>
  </si>
  <si>
    <r>
      <rPr>
        <b/>
        <sz val="11"/>
        <color theme="1"/>
        <rFont val="Calibri"/>
        <family val="2"/>
        <scheme val="minor"/>
      </rPr>
      <t>Off Limits</t>
    </r>
    <r>
      <rPr>
        <sz val="11"/>
        <color theme="1"/>
        <rFont val="Calibri"/>
        <family val="2"/>
        <scheme val="minor"/>
      </rPr>
      <t xml:space="preserve"> - Some other answer or lack of answer disqualifies you from this practice or the practice is not available during the current phase (rough or final).</t>
    </r>
  </si>
  <si>
    <r>
      <rPr>
        <b/>
        <sz val="11"/>
        <color theme="1"/>
        <rFont val="Calibri"/>
        <family val="2"/>
        <scheme val="minor"/>
      </rPr>
      <t>Normal Entry (optional)</t>
    </r>
    <r>
      <rPr>
        <sz val="11"/>
        <color theme="1"/>
        <rFont val="Calibri"/>
        <family val="2"/>
        <scheme val="minor"/>
      </rPr>
      <t xml:space="preserve"> - Use the checkbox or dropdown to indicate the status of the adjacent practice. </t>
    </r>
  </si>
  <si>
    <r>
      <rPr>
        <b/>
        <sz val="11"/>
        <color theme="1"/>
        <rFont val="Calibri"/>
        <family val="2"/>
        <scheme val="minor"/>
      </rPr>
      <t>Mandatory Entry or Mandatory Note</t>
    </r>
    <r>
      <rPr>
        <sz val="11"/>
        <color theme="1"/>
        <rFont val="Calibri"/>
        <family val="2"/>
        <scheme val="minor"/>
      </rPr>
      <t xml:space="preserve"> - This field is required in order for the worksheet to be considered complete and submitable.</t>
    </r>
  </si>
  <si>
    <t>Stories above grade:</t>
  </si>
  <si>
    <t>Maximum skylight SHGC:</t>
  </si>
  <si>
    <t>Maximum skylight U-value:</t>
  </si>
  <si>
    <t>dstsSHGC</t>
  </si>
  <si>
    <t>dstsUV</t>
  </si>
  <si>
    <t>Maximum window and door SHGC:</t>
  </si>
  <si>
    <t>Maximum window and door U-value:</t>
  </si>
  <si>
    <t>dstwdSHGC</t>
  </si>
  <si>
    <t>dstwdUV</t>
  </si>
  <si>
    <t>Exclude south-facing glass if part of "Sun-tempered" design (703.7.1).</t>
  </si>
  <si>
    <t>back to 701.4.3.2(2)</t>
  </si>
  <si>
    <t>See 703.4.3.1</t>
  </si>
  <si>
    <t>Exception: Section 703.1.2 is not required for Tropical Climate Zone</t>
  </si>
  <si>
    <t>See Table 703.2.1(a)</t>
  </si>
  <si>
    <t>back to 703.2.1</t>
  </si>
  <si>
    <t>UA Improvement:</t>
  </si>
  <si>
    <t>T</t>
  </si>
  <si>
    <t>zone:</t>
  </si>
  <si>
    <t>tropical:</t>
  </si>
  <si>
    <t>UA:</t>
  </si>
  <si>
    <t>points:</t>
  </si>
  <si>
    <t>Verifier</t>
  </si>
  <si>
    <t>Mass thickness:</t>
  </si>
  <si>
    <t>≤4</t>
  </si>
  <si>
    <t>≤3</t>
  </si>
  <si>
    <t>≤2</t>
  </si>
  <si>
    <t>≤1</t>
  </si>
  <si>
    <t>Selected</t>
  </si>
  <si>
    <t>Required Documentation</t>
  </si>
  <si>
    <t>Ch. 8</t>
  </si>
  <si>
    <t>(4)(a)</t>
  </si>
  <si>
    <t>705.6.3</t>
  </si>
  <si>
    <t>(Points not awarded if points are taken under Section 703.4.4)</t>
  </si>
  <si>
    <t>Duct leakage is in accordance with IECC R403.3.3 and R403.3.4.</t>
  </si>
  <si>
    <t>Duct leakage is in accordance with IECC R403.3.3 and R403.3.4, and testing is conducted by an independent third party.</t>
  </si>
  <si>
    <r>
      <t xml:space="preserve">705.6.3 Insulating hot water pipes. </t>
    </r>
    <r>
      <rPr>
        <sz val="10"/>
        <color theme="1"/>
        <rFont val="Calibri"/>
        <family val="2"/>
        <scheme val="minor"/>
      </rPr>
      <t>Insulation with a minimum thermal resistance (R-value) of at least R-3 is applied to the following, as applicable:</t>
    </r>
  </si>
  <si>
    <t>See Table 801.1(1)</t>
  </si>
  <si>
    <t>See Table 801.1(2)</t>
  </si>
  <si>
    <t>Table 801.1(1)</t>
  </si>
  <si>
    <r>
      <t>Maximum Pipe Length Conversion Table</t>
    </r>
    <r>
      <rPr>
        <b/>
        <vertAlign val="superscript"/>
        <sz val="10"/>
        <color theme="1"/>
        <rFont val="Calibri"/>
        <family val="2"/>
        <scheme val="minor"/>
      </rPr>
      <t>a</t>
    </r>
  </si>
  <si>
    <t>Nominal Pipe Size (inch)</t>
  </si>
  <si>
    <t>Liquid Ounces per Foot of Length</t>
  </si>
  <si>
    <t>Main, Branch, and Fixture Supply System Volume Category</t>
  </si>
  <si>
    <t>Branch and Fixture Supply Volume from Circulation Loop</t>
  </si>
  <si>
    <t>128 ounces (1 gallons) [per 801.1(1)]</t>
  </si>
  <si>
    <t>64 ounces (0.5 gallon) [per 801.1(2)]</t>
  </si>
  <si>
    <t>32 ounces (0.25 gallon) [per 801.1(3)]</t>
  </si>
  <si>
    <t>24 ounces  (0.19 gallons [per 801.1(4)]</t>
  </si>
  <si>
    <t>Maximum Pipe Length (feet)</t>
  </si>
  <si>
    <r>
      <t>1/4</t>
    </r>
    <r>
      <rPr>
        <vertAlign val="superscript"/>
        <sz val="10"/>
        <color theme="1"/>
        <rFont val="Calibri"/>
        <family val="2"/>
        <scheme val="minor"/>
      </rPr>
      <t>b</t>
    </r>
  </si>
  <si>
    <r>
      <t>5/16</t>
    </r>
    <r>
      <rPr>
        <vertAlign val="superscript"/>
        <sz val="10"/>
        <color theme="1"/>
        <rFont val="Calibri"/>
        <family val="2"/>
        <scheme val="minor"/>
      </rPr>
      <t>b</t>
    </r>
  </si>
  <si>
    <r>
      <t>3/8</t>
    </r>
    <r>
      <rPr>
        <vertAlign val="superscript"/>
        <sz val="10"/>
        <color theme="1"/>
        <rFont val="Calibri"/>
        <family val="2"/>
        <scheme val="minor"/>
      </rPr>
      <t>b</t>
    </r>
  </si>
  <si>
    <t>1/2</t>
  </si>
  <si>
    <t>5/8</t>
  </si>
  <si>
    <t>3/4</t>
  </si>
  <si>
    <t>7/8</t>
  </si>
  <si>
    <t>1 1/4</t>
  </si>
  <si>
    <t>1 1/2</t>
  </si>
  <si>
    <t>a. Maximum pipe length figures apply when the entire pipe run is one nominal diameter only. Where multiple pipe diameters are used, the combined volume shall not exceed the volume limitation in Section 801.1.</t>
  </si>
  <si>
    <t>b. The maximum flow rate through 1/4 inch nominal piping shall not exceed 0.5 gpm. The maximum flow rate through 5/16 inch nominal piping shall not exceed 1 gpm. The maximum flow rate through 3/8 inch nominal piping shall not exceed 1.5 gpm.</t>
  </si>
  <si>
    <t>Table 801.1(2)</t>
  </si>
  <si>
    <t>Common Hot Water Pipe Internal Volumes</t>
  </si>
  <si>
    <t>OUNCES OF WATER PER FOOT OF PIPE</t>
  </si>
  <si>
    <t>Size Nominal, Inch</t>
  </si>
  <si>
    <t>Copper Type M</t>
  </si>
  <si>
    <t>Copper Type L</t>
  </si>
  <si>
    <t>Copper Type K</t>
  </si>
  <si>
    <t>CPVC CTS SDR 11</t>
  </si>
  <si>
    <t>CPVC SCH 40</t>
  </si>
  <si>
    <t>CPVC</t>
  </si>
  <si>
    <t>PE-RT</t>
  </si>
  <si>
    <t>Composite ASTM F 1281</t>
  </si>
  <si>
    <t>PEX CTS SDR 9</t>
  </si>
  <si>
    <t>PP SDR 7.4 F2389</t>
  </si>
  <si>
    <t>PP SDR   9  F2389</t>
  </si>
  <si>
    <t>SCH 80</t>
  </si>
  <si>
    <t>SDR 9</t>
  </si>
  <si>
    <t>3/8</t>
  </si>
  <si>
    <t>1 ¼</t>
  </si>
  <si>
    <t>1 ½</t>
  </si>
  <si>
    <t>back to 801.1</t>
  </si>
  <si>
    <t>NOTE: If multiple dishwashers and washing machines are installed, ALL instances must meet the above conditions to be awarded points.</t>
  </si>
  <si>
    <t xml:space="preserve">Multifamily Building Note: Washing machines are installed in individual units or provided in common areas of multifamily buildings. </t>
  </si>
  <si>
    <t># of compartments:</t>
  </si>
  <si>
    <t>1 compartment</t>
  </si>
  <si>
    <t>2 compartments</t>
  </si>
  <si>
    <t>3 compartments</t>
  </si>
  <si>
    <t>4+ compartments</t>
  </si>
  <si>
    <t>1 control</t>
  </si>
  <si>
    <t>2 controls</t>
  </si>
  <si>
    <t>1 bathroom</t>
  </si>
  <si>
    <t>2 bathrooms</t>
  </si>
  <si>
    <t>3+ bathrooms</t>
  </si>
  <si>
    <t>3+ controls</t>
  </si>
  <si>
    <t>1
3 Max</t>
  </si>
  <si>
    <t>1 fixture</t>
  </si>
  <si>
    <t>2 fixtures</t>
  </si>
  <si>
    <t>3+ fixtures</t>
  </si>
  <si>
    <t>2 
6 Max</t>
  </si>
  <si>
    <t>1 Additional
3 Max</t>
  </si>
  <si>
    <t>Ch. 8 Max</t>
  </si>
  <si>
    <t>1 toilet</t>
  </si>
  <si>
    <t>2 toilets</t>
  </si>
  <si>
    <t>3+ toilets</t>
  </si>
  <si>
    <t>NOTE: 5 Points must be taken in 503.5(1)-(6) for a Full Landscape Plan in order to receive points for 801.6.4(3).</t>
  </si>
  <si>
    <t>(2)(a)</t>
  </si>
  <si>
    <t>(2)(b)</t>
  </si>
  <si>
    <t>(2)(c)</t>
  </si>
  <si>
    <t>(2)(d)</t>
  </si>
  <si>
    <t>5
15 Max</t>
  </si>
  <si>
    <t>1 appl./fixture</t>
  </si>
  <si>
    <t>2 appl./fixtures</t>
  </si>
  <si>
    <t>3+ appl./fixtures</t>
  </si>
  <si>
    <t># of systems:</t>
  </si>
  <si>
    <t>5
20 Max</t>
  </si>
  <si>
    <t>4+ appl./fixtures</t>
  </si>
  <si>
    <t>3 appl./fixtures</t>
  </si>
  <si>
    <t>END OF CHAPTER 8</t>
  </si>
  <si>
    <t>CLICK TO PROCEED TO CHAPTER 9 &gt;&gt;</t>
  </si>
  <si>
    <t>Climate Zone:</t>
  </si>
  <si>
    <t>705.6.2</t>
  </si>
  <si>
    <r>
      <t xml:space="preserve">705.6.2 Testing. </t>
    </r>
    <r>
      <rPr>
        <sz val="10"/>
        <color theme="1"/>
        <rFont val="Calibri"/>
        <family val="2"/>
        <scheme val="minor"/>
      </rPr>
      <t>Testing is conducted to verify performance:</t>
    </r>
  </si>
  <si>
    <t>By using this tool, this project automatically qualifies for this practice.</t>
  </si>
  <si>
    <t>(Points not awarded if points are taken under Section 703.2.4)</t>
  </si>
  <si>
    <t>NOTE: Specify name of person or company conducting blower door test in the assigned Notes area.</t>
  </si>
  <si>
    <t>NOTE: Specify name of person or company conducting HVAC airflow test in the assigned Notes area.</t>
  </si>
  <si>
    <t>END OF CHAPTER 7</t>
  </si>
  <si>
    <t>CLICK TO PROCEED TO CHAPTER 8 &gt;&gt;</t>
  </si>
  <si>
    <t>Multifamily Building Note: The site is designed such that at least 40 percent of the multifamily dwelling units have one south facing wall (within 15 degrees) containing at least 50 percent of glazing for entire unit, Effective shading is required for passive solar control on all south facing glazing. The floor area of at least 15 feet from the south facing perimeter glazing is massive and exposed to capture solar heat during the day and reradiate at night.</t>
  </si>
  <si>
    <t>Multifamily Building Note: Washing machines in ALL units must comply.</t>
  </si>
  <si>
    <t>count:</t>
  </si>
  <si>
    <t>Overhangs or adjustable canopies or awnings or trellises provide shading on south-facing glass for the appropriate climate zone in accordance with Table 703.7.1(7):</t>
  </si>
  <si>
    <t>See Table 703.7.1(7)</t>
  </si>
  <si>
    <t>back to 703.7.1</t>
  </si>
  <si>
    <t>A minimum of 95 percent of the total hard-wired interior luminaires or lamps qualify as ENERGY STAR or equivalent.</t>
  </si>
  <si>
    <t># of luminaires:</t>
  </si>
  <si>
    <t>SEF:</t>
  </si>
  <si>
    <t>703.5.4</t>
  </si>
  <si>
    <t>efficiency:</t>
  </si>
  <si>
    <t>type:</t>
  </si>
  <si>
    <r>
      <t xml:space="preserve">Oil water heating (30 or more gallons, Energy Factor of </t>
    </r>
    <r>
      <rPr>
        <sz val="10"/>
        <color theme="1"/>
        <rFont val="Calibri"/>
        <family val="2"/>
      </rPr>
      <t>≥ 0.59</t>
    </r>
    <r>
      <rPr>
        <sz val="10"/>
        <color theme="1"/>
        <rFont val="Calibri"/>
        <family val="2"/>
        <scheme val="minor"/>
      </rPr>
      <t>)</t>
    </r>
  </si>
  <si>
    <t>Electric water heating (EF/TE of ≥ 0.95)</t>
  </si>
  <si>
    <t>Electric instantaneous water heating (EF/TE of ≥ 0.97)</t>
  </si>
  <si>
    <t>Gas water heating (Storage with input rate greater than 75,000 Btu/h or instantaneous input rate greater than 200,000 Btu/h)</t>
  </si>
  <si>
    <t>(1)(a)</t>
  </si>
  <si>
    <t>(1)(b)</t>
  </si>
  <si>
    <t xml:space="preserve">    Energy Factor 0.67 to &lt; 0.80</t>
  </si>
  <si>
    <t xml:space="preserve">    Energy Factor ≥ 0.80</t>
  </si>
  <si>
    <t xml:space="preserve">    Thermal Efficiency of ≥ 0.90</t>
  </si>
  <si>
    <t xml:space="preserve">    Thermal Efficiency of ≥ 0.95</t>
  </si>
  <si>
    <t xml:space="preserve">    Energy Factor of 1.5 to &lt; 2.0</t>
  </si>
  <si>
    <t xml:space="preserve">    Energy Factor of 2.0 to &lt; 2.2</t>
  </si>
  <si>
    <t xml:space="preserve">    Energy Factor of ≥ 2.2</t>
  </si>
  <si>
    <t xml:space="preserve">    SEF ≥ 1.3</t>
  </si>
  <si>
    <t xml:space="preserve">    SEF ≥ 1.51</t>
  </si>
  <si>
    <t xml:space="preserve">    SEF ≥ 1.81</t>
  </si>
  <si>
    <t xml:space="preserve">    SEF ≥ 2.31</t>
  </si>
  <si>
    <t xml:space="preserve">    SEF ≥ 3.01</t>
  </si>
  <si>
    <t>You may only claim points for the lowest efficieny water heater.</t>
  </si>
  <si>
    <t xml:space="preserve">    ductwork entirely outside the building's thermal envelope</t>
  </si>
  <si>
    <t xml:space="preserve">    ductwork entirely intside the building's thermal envelope</t>
  </si>
  <si>
    <t xml:space="preserve">    ductwork inside and outside the building's thermal envelope</t>
  </si>
  <si>
    <t>&gt;4 story MF:</t>
  </si>
  <si>
    <t xml:space="preserve">Number of Types of Building Assembly </t>
  </si>
  <si>
    <t xml:space="preserve">    Countertops</t>
  </si>
  <si>
    <t xml:space="preserve">    Composite trim/doors</t>
  </si>
  <si>
    <t xml:space="preserve">    Custom woodwork</t>
  </si>
  <si>
    <t xml:space="preserve">    Component closet shelving</t>
  </si>
  <si>
    <t>Carpet and carpet cushion meeting the emission limits is installed.</t>
  </si>
  <si>
    <t>A window complying with IRC Section R303.3 is provided in addition to mechanical ventilation.</t>
  </si>
  <si>
    <t># of timers:</t>
  </si>
  <si>
    <t># of humidistats:</t>
  </si>
  <si>
    <t>ENERGY STAR, or equivalent, fans operating above 1 sone</t>
  </si>
  <si>
    <t>Ch. 9</t>
  </si>
  <si>
    <t>902.2.1</t>
  </si>
  <si>
    <t>Cold water pipes in unconditioned spaces are insulated to a minimum of R-4 with pipe insulation or other covering that adequately prevents condensation.</t>
  </si>
  <si>
    <t>Plumbing is not installed in unconditioned spaces.</t>
  </si>
  <si>
    <r>
      <t xml:space="preserve">903.1 Plumbing. </t>
    </r>
    <r>
      <rPr>
        <sz val="10"/>
        <color theme="1"/>
        <rFont val="Calibri"/>
        <family val="2"/>
        <scheme val="minor"/>
      </rPr>
      <t>Plumbing is in accordance with one of the following.</t>
    </r>
  </si>
  <si>
    <r>
      <t>903.3 Relative humidity.</t>
    </r>
    <r>
      <rPr>
        <sz val="10"/>
        <color theme="1"/>
        <rFont val="Calibri"/>
        <family val="2"/>
        <scheme val="minor"/>
      </rPr>
      <t xml:space="preserve"> In climate zones 1A, 2A, 3A, 4A, and 5A, equipment is installed to maintain relative humidity (RH) at or below 60 percent using one of the following:</t>
    </r>
  </si>
  <si>
    <t>Not available if there is no garage</t>
  </si>
  <si>
    <t>actual %:</t>
  </si>
  <si>
    <t>actual %'s:</t>
  </si>
  <si>
    <t>See Table 901.9.1</t>
  </si>
  <si>
    <r>
      <t>e.</t>
    </r>
    <r>
      <rPr>
        <sz val="7"/>
        <color theme="1"/>
        <rFont val="Times New Roman"/>
        <family val="1"/>
      </rPr>
      <t xml:space="preserve">  </t>
    </r>
    <r>
      <rPr>
        <sz val="10"/>
        <color theme="1"/>
        <rFont val="Calibri"/>
        <family val="2"/>
      </rPr>
      <t>Limit is expressed as VOC actual.</t>
    </r>
  </si>
  <si>
    <r>
      <t>d.</t>
    </r>
    <r>
      <rPr>
        <sz val="7"/>
        <color theme="1"/>
        <rFont val="Times New Roman"/>
        <family val="1"/>
      </rPr>
      <t xml:space="preserve">  </t>
    </r>
    <r>
      <rPr>
        <sz val="10"/>
        <color theme="1"/>
        <rFont val="Calibri"/>
        <family val="2"/>
      </rPr>
      <t>Limits are expressed as VOC Regulatory (except as noted), thinned to the manufacturer’s maximum thinning recommendation, excluding any colorant added to tint bases.</t>
    </r>
  </si>
  <si>
    <r>
      <t>c.</t>
    </r>
    <r>
      <rPr>
        <sz val="7"/>
        <color theme="1"/>
        <rFont val="Times New Roman"/>
        <family val="1"/>
      </rPr>
      <t xml:space="preserve">   </t>
    </r>
    <r>
      <rPr>
        <sz val="10"/>
        <color theme="1"/>
        <rFont val="Calibri"/>
        <family val="2"/>
      </rPr>
      <t>Table 901.9.1 architectural coating regulatory category and VOC content compliance determination shall conform to the California Air Resources Board Suggested Control Measure for Architectural Coatings dated February 1, 2008.</t>
    </r>
  </si>
  <si>
    <r>
      <t>b.</t>
    </r>
    <r>
      <rPr>
        <sz val="7"/>
        <color theme="1"/>
        <rFont val="Times New Roman"/>
        <family val="1"/>
      </rPr>
      <t xml:space="preserve">  </t>
    </r>
    <r>
      <rPr>
        <sz val="10"/>
        <color theme="1"/>
        <rFont val="Calibri"/>
        <family val="2"/>
      </rPr>
      <t>Values in this table are derived from those specified by the California Air Resources Board, Architectural Coatings Suggested Control Measure, February 1, 2008.</t>
    </r>
  </si>
  <si>
    <r>
      <t>a.</t>
    </r>
    <r>
      <rPr>
        <sz val="7"/>
        <color theme="1"/>
        <rFont val="Times New Roman"/>
        <family val="1"/>
      </rPr>
      <t xml:space="preserve">  </t>
    </r>
    <r>
      <rPr>
        <sz val="10"/>
        <color theme="1"/>
        <rFont val="Calibri"/>
        <family val="2"/>
      </rPr>
      <t>The specified limits remain in effect unless revised limits are listed in subsequent columns in the table.</t>
    </r>
  </si>
  <si>
    <t>Zinc-Rich Primers</t>
  </si>
  <si>
    <t>Wood Preservatives</t>
  </si>
  <si>
    <t>Wood Coatings</t>
  </si>
  <si>
    <t>Waterproofing Membranes</t>
  </si>
  <si>
    <t>Tub and Tile Refinish Coatings</t>
  </si>
  <si>
    <t>Traffic Marking Coatings</t>
  </si>
  <si>
    <t>Swimming Pool Coatings</t>
  </si>
  <si>
    <t>Stone Consolidants</t>
  </si>
  <si>
    <t>Stains</t>
  </si>
  <si>
    <t>Specialty Primers, Sealers, and Undercoaters</t>
  </si>
  <si>
    <t>Shellacs, Opaque</t>
  </si>
  <si>
    <t>Shellacs, Clear</t>
  </si>
  <si>
    <t>Rust Preventative Coatings</t>
  </si>
  <si>
    <t>Roof Coatings</t>
  </si>
  <si>
    <t>Recycled Coatings</t>
  </si>
  <si>
    <t>Reactive Penetrating Sealers</t>
  </si>
  <si>
    <t>Primers, Sealers, and Undercoaters</t>
  </si>
  <si>
    <t>Pre-Treatment Wash Primers</t>
  </si>
  <si>
    <t>Multi-Color Coatings</t>
  </si>
  <si>
    <t>Metallic Pigmented Coatings</t>
  </si>
  <si>
    <t>Mastic Texture Coatings</t>
  </si>
  <si>
    <t>Magnesite Cement Coatings</t>
  </si>
  <si>
    <r>
      <t>120</t>
    </r>
    <r>
      <rPr>
        <vertAlign val="superscript"/>
        <sz val="10"/>
        <color theme="1"/>
        <rFont val="Calibri"/>
        <family val="2"/>
      </rPr>
      <t>e</t>
    </r>
  </si>
  <si>
    <t>Low Solids Coatings</t>
  </si>
  <si>
    <t>Industrial Maintenance Coatings</t>
  </si>
  <si>
    <t>High Temperature Coatings</t>
  </si>
  <si>
    <t>Graphic Arts Coatings (Sign Paints)</t>
  </si>
  <si>
    <t>Form-Release Compounds</t>
  </si>
  <si>
    <t>Floor Coatings</t>
  </si>
  <si>
    <t>Fire Resistive Coatings</t>
  </si>
  <si>
    <t>Faux Finishing Coatings</t>
  </si>
  <si>
    <r>
      <t>LIMIT</t>
    </r>
    <r>
      <rPr>
        <b/>
        <vertAlign val="superscript"/>
        <sz val="10"/>
        <color theme="1"/>
        <rFont val="Calibri"/>
        <family val="2"/>
      </rPr>
      <t>d</t>
    </r>
    <r>
      <rPr>
        <b/>
        <sz val="10"/>
        <color theme="1"/>
        <rFont val="Calibri"/>
        <family val="2"/>
      </rPr>
      <t xml:space="preserve"> (g/l)</t>
    </r>
  </si>
  <si>
    <t>Coating Category</t>
  </si>
  <si>
    <t>Dry Fog Coatings</t>
  </si>
  <si>
    <t>Driveway Sealers</t>
  </si>
  <si>
    <t>Concrete/Masonry Sealers</t>
  </si>
  <si>
    <t>Concrete Curing Compounds</t>
  </si>
  <si>
    <t>Bond Breakers</t>
  </si>
  <si>
    <t>Bituminous Roof Primers</t>
  </si>
  <si>
    <t>Bituminous Roof Coatings</t>
  </si>
  <si>
    <t>Basement Specialty Coatings</t>
  </si>
  <si>
    <t>Aluminum Roof Coatings</t>
  </si>
  <si>
    <t>Specialty Coatings:</t>
  </si>
  <si>
    <t>Non-flat  High-Gloss Coatings</t>
  </si>
  <si>
    <t>Non-flat Coatings</t>
  </si>
  <si>
    <t>Flat Coatings</t>
  </si>
  <si>
    <r>
      <t>VOC Content Limits For Architectural Coatings</t>
    </r>
    <r>
      <rPr>
        <b/>
        <vertAlign val="superscript"/>
        <sz val="10"/>
        <color theme="1"/>
        <rFont val="Calibri"/>
        <family val="2"/>
      </rPr>
      <t>a,b,c</t>
    </r>
  </si>
  <si>
    <t>Table 901.9.1</t>
  </si>
  <si>
    <t>Waterborne IM</t>
  </si>
  <si>
    <t>Solvent-Based IM</t>
  </si>
  <si>
    <t>Architectural Coatings, excluding IM Coatings</t>
  </si>
  <si>
    <t>LIMIT (g/l)</t>
  </si>
  <si>
    <t>Colorant</t>
  </si>
  <si>
    <t>VOC Content Limits for Colorants</t>
  </si>
  <si>
    <t>Table 901.9.2</t>
  </si>
  <si>
    <t>b. For low-solid adhesives and sealants, the VOC limit is expressed in grams/liter of material as specified in Rule 1168. For all other adhesives and sealants, the VOC limits are expressed as grams of VOC per liter of adhesive or sealant less water and less exempt compounds as specified in Rule 1168.</t>
  </si>
  <si>
    <r>
      <t>a.</t>
    </r>
    <r>
      <rPr>
        <sz val="7"/>
        <color theme="1"/>
        <rFont val="Times New Roman"/>
        <family val="1"/>
      </rPr>
      <t xml:space="preserve">   </t>
    </r>
    <r>
      <rPr>
        <sz val="10"/>
        <color theme="1"/>
        <rFont val="Calibri"/>
        <family val="2"/>
      </rPr>
      <t>VOC limit less water and less exempt compounds in grams/liter</t>
    </r>
  </si>
  <si>
    <t>Structural wood member adhesive</t>
  </si>
  <si>
    <t>Special purpose contact adhesive</t>
  </si>
  <si>
    <t>Contact adhesive</t>
  </si>
  <si>
    <t>Adhesive primer for plastic</t>
  </si>
  <si>
    <t>Plastic cement welding</t>
  </si>
  <si>
    <t>ABS solvent cement</t>
  </si>
  <si>
    <t>PVC solvent cement</t>
  </si>
  <si>
    <t>CPVC solvent cement</t>
  </si>
  <si>
    <t>Other sealant primers</t>
  </si>
  <si>
    <t>Modified bituminous sealant primer</t>
  </si>
  <si>
    <t xml:space="preserve">  Porous</t>
  </si>
  <si>
    <t xml:space="preserve">  Non-porous</t>
  </si>
  <si>
    <t>Architectural sealant primer</t>
  </si>
  <si>
    <t>Architectural sealants</t>
  </si>
  <si>
    <t>Single ply roof membrane adhesives</t>
  </si>
  <si>
    <t>Structural glazing adhesives</t>
  </si>
  <si>
    <t>Multipurpose construction adhesives</t>
  </si>
  <si>
    <t>VOC LIMIT (g/l)</t>
  </si>
  <si>
    <t>ADHESIVE OR SEALANT</t>
  </si>
  <si>
    <t>Cove base adhesives</t>
  </si>
  <si>
    <t>Drywall and panel adhesives</t>
  </si>
  <si>
    <t>VCT and asphalt tile adhesives</t>
  </si>
  <si>
    <t>Ceramic tile adhesives</t>
  </si>
  <si>
    <t>Subfloor adhesives</t>
  </si>
  <si>
    <t>Rubber floor adhesives</t>
  </si>
  <si>
    <t>Wood flooring adhesive</t>
  </si>
  <si>
    <t>Outdoor carpet adhesives</t>
  </si>
  <si>
    <t>Carpet pad adhesives</t>
  </si>
  <si>
    <t xml:space="preserve">Indoor carpet adhesives </t>
  </si>
  <si>
    <r>
      <t>Site Applied Adhesive and Sealants VOC Limits</t>
    </r>
    <r>
      <rPr>
        <b/>
        <vertAlign val="superscript"/>
        <sz val="10"/>
        <color theme="1"/>
        <rFont val="Calibri"/>
        <family val="2"/>
      </rPr>
      <t>a,b</t>
    </r>
  </si>
  <si>
    <t>Table 901.10(3)</t>
  </si>
  <si>
    <t>back to 901.9.1</t>
  </si>
  <si>
    <t>See Table 901.9.2</t>
  </si>
  <si>
    <t>See Table 901.10(3)</t>
  </si>
  <si>
    <t>back to 901.10(3)</t>
  </si>
  <si>
    <t># of fans:</t>
  </si>
  <si>
    <t>ACH50:</t>
  </si>
  <si>
    <t>row:</t>
  </si>
  <si>
    <t>602.1.7.1(3):</t>
  </si>
  <si>
    <r>
      <t xml:space="preserve">902.2.1 </t>
    </r>
    <r>
      <rPr>
        <sz val="10"/>
        <color theme="1"/>
        <rFont val="Calibri"/>
        <family val="2"/>
        <scheme val="minor"/>
      </rPr>
      <t>One of the following whole building ventilation systems is implemented and is in accordance with the specifications of Appendix B and an explanation of the operation and importance of the ventilation system is included in either 1001.1(9) or 1002.2(11).</t>
    </r>
  </si>
  <si>
    <t>back to 703.2.2</t>
  </si>
  <si>
    <t>back to 703.2.4</t>
  </si>
  <si>
    <t>multiple heating sys.?</t>
  </si>
  <si>
    <t>multiple cooling sys.?</t>
  </si>
  <si>
    <r>
      <t xml:space="preserve">    </t>
    </r>
    <r>
      <rPr>
        <sz val="10"/>
        <color theme="1"/>
        <rFont val="Calibri"/>
        <family val="2"/>
      </rPr>
      <t>≥90% AFUE</t>
    </r>
  </si>
  <si>
    <r>
      <t xml:space="preserve">    </t>
    </r>
    <r>
      <rPr>
        <sz val="10"/>
        <color theme="1"/>
        <rFont val="Calibri"/>
        <family val="2"/>
      </rPr>
      <t>≥92% AFUE</t>
    </r>
  </si>
  <si>
    <r>
      <t xml:space="preserve">    </t>
    </r>
    <r>
      <rPr>
        <sz val="10"/>
        <color theme="1"/>
        <rFont val="Calibri"/>
        <family val="2"/>
      </rPr>
      <t>≥94% AFUE</t>
    </r>
  </si>
  <si>
    <r>
      <t xml:space="preserve">    </t>
    </r>
    <r>
      <rPr>
        <sz val="10"/>
        <color theme="1"/>
        <rFont val="Calibri"/>
        <family val="2"/>
      </rPr>
      <t>≥96% AFUE</t>
    </r>
  </si>
  <si>
    <r>
      <t xml:space="preserve">    </t>
    </r>
    <r>
      <rPr>
        <sz val="10"/>
        <color theme="1"/>
        <rFont val="Calibri"/>
        <family val="2"/>
      </rPr>
      <t>≥98% AFUE</t>
    </r>
  </si>
  <si>
    <r>
      <t xml:space="preserve">    </t>
    </r>
    <r>
      <rPr>
        <sz val="10"/>
        <color theme="1"/>
        <rFont val="Calibri"/>
        <family val="2"/>
      </rPr>
      <t>≥85% AFUE</t>
    </r>
  </si>
  <si>
    <t>CZ:</t>
  </si>
  <si>
    <t>NOTE: For multi-unit buildings, each dwelling unit must have compliant whole-dwelling unit fans installed to claim these points.</t>
  </si>
  <si>
    <t>NOTE: For multi-unit buildings, each dwelling unit must comply to claim this point.</t>
  </si>
  <si>
    <t>See Table 703.2.5.1</t>
  </si>
  <si>
    <t>back to 703.2.5.1</t>
  </si>
  <si>
    <t>Per Table 703.2.5.2(a) or
703.2.5.2(b) or 
703.2.5.2(c)</t>
  </si>
  <si>
    <t>back to 703.2.5.2</t>
  </si>
  <si>
    <t>END OF CHAPTER 9</t>
  </si>
  <si>
    <t>CLICK TO PROCEED TO CHAPTER 10 &gt;&gt;</t>
  </si>
  <si>
    <t>Min. or Average AFUE:</t>
  </si>
  <si>
    <r>
      <t xml:space="preserve">    </t>
    </r>
    <r>
      <rPr>
        <sz val="10"/>
        <color theme="1"/>
        <rFont val="Calibri"/>
        <family val="2"/>
      </rPr>
      <t>≥8.5 HSPF</t>
    </r>
  </si>
  <si>
    <r>
      <t xml:space="preserve">    </t>
    </r>
    <r>
      <rPr>
        <sz val="10"/>
        <color theme="1"/>
        <rFont val="Calibri"/>
        <family val="2"/>
      </rPr>
      <t>≥9.0 HSPF</t>
    </r>
  </si>
  <si>
    <r>
      <t xml:space="preserve">    </t>
    </r>
    <r>
      <rPr>
        <sz val="10"/>
        <color theme="1"/>
        <rFont val="Calibri"/>
        <family val="2"/>
      </rPr>
      <t>≥9.5 HSPF</t>
    </r>
  </si>
  <si>
    <r>
      <t xml:space="preserve">    </t>
    </r>
    <r>
      <rPr>
        <sz val="10"/>
        <color theme="1"/>
        <rFont val="Calibri"/>
        <family val="2"/>
      </rPr>
      <t>≥10.0 HSPF</t>
    </r>
  </si>
  <si>
    <r>
      <t>Gas Engine-Driven Heat Pump Heating (≥1.3 COP at 47</t>
    </r>
    <r>
      <rPr>
        <sz val="10"/>
        <color theme="1"/>
        <rFont val="Calibri"/>
        <family val="2"/>
      </rPr>
      <t>°</t>
    </r>
    <r>
      <rPr>
        <sz val="10"/>
        <color theme="1"/>
        <rFont val="Calibri"/>
        <family val="2"/>
        <scheme val="minor"/>
      </rPr>
      <t>F)</t>
    </r>
  </si>
  <si>
    <t>Min. or Average COP:</t>
  </si>
  <si>
    <t>Min. or Average HSPF:</t>
  </si>
  <si>
    <r>
      <t xml:space="preserve">    </t>
    </r>
    <r>
      <rPr>
        <sz val="10"/>
        <color theme="1"/>
        <rFont val="Calibri"/>
        <family val="2"/>
      </rPr>
      <t>≥15 SEER</t>
    </r>
  </si>
  <si>
    <r>
      <t xml:space="preserve">    </t>
    </r>
    <r>
      <rPr>
        <sz val="10"/>
        <color theme="1"/>
        <rFont val="Calibri"/>
        <family val="2"/>
      </rPr>
      <t>≥17 SEER</t>
    </r>
  </si>
  <si>
    <r>
      <t xml:space="preserve">    </t>
    </r>
    <r>
      <rPr>
        <sz val="10"/>
        <color theme="1"/>
        <rFont val="Calibri"/>
        <family val="2"/>
      </rPr>
      <t>≥19 SEER</t>
    </r>
  </si>
  <si>
    <r>
      <t xml:space="preserve">    </t>
    </r>
    <r>
      <rPr>
        <sz val="10"/>
        <color theme="1"/>
        <rFont val="Calibri"/>
        <family val="2"/>
      </rPr>
      <t>≥21 SEER</t>
    </r>
  </si>
  <si>
    <t>Tropical Climate Zone: None of the occupied space is air conditioned and ceiling fans are provided for bedrooms and the largest space which is not used as a bedroom.</t>
  </si>
  <si>
    <t>(*)</t>
  </si>
  <si>
    <t>Electric Air Conditioner and Heat Pump Cooling</t>
  </si>
  <si>
    <r>
      <t>Gas Engine-Driven Heat Pump Cooling (≥1.2 COP at 95</t>
    </r>
    <r>
      <rPr>
        <sz val="10"/>
        <color theme="1"/>
        <rFont val="Calibri"/>
        <family val="2"/>
      </rPr>
      <t>°</t>
    </r>
    <r>
      <rPr>
        <sz val="10"/>
        <color theme="1"/>
        <rFont val="Calibri"/>
        <family val="2"/>
        <scheme val="minor"/>
      </rPr>
      <t>F)</t>
    </r>
  </si>
  <si>
    <t>Min. or Average SEER:</t>
  </si>
  <si>
    <r>
      <t xml:space="preserve">    </t>
    </r>
    <r>
      <rPr>
        <sz val="10"/>
        <color theme="1"/>
        <rFont val="Calibri"/>
        <family val="2"/>
      </rPr>
      <t>≥15 SEER, ≥4.0 COP</t>
    </r>
  </si>
  <si>
    <r>
      <t xml:space="preserve">    </t>
    </r>
    <r>
      <rPr>
        <sz val="10"/>
        <color theme="1"/>
        <rFont val="Calibri"/>
        <family val="2"/>
      </rPr>
      <t>≥16 EER, ≥3.6 COP</t>
    </r>
  </si>
  <si>
    <r>
      <t xml:space="preserve">    </t>
    </r>
    <r>
      <rPr>
        <sz val="10"/>
        <color theme="1"/>
        <rFont val="Calibri"/>
        <family val="2"/>
      </rPr>
      <t>≥24 EER, ≥4.3 COP</t>
    </r>
  </si>
  <si>
    <r>
      <t xml:space="preserve">    </t>
    </r>
    <r>
      <rPr>
        <sz val="10"/>
        <color theme="1"/>
        <rFont val="Calibri"/>
        <family val="2"/>
      </rPr>
      <t>≥28 EER, ≥4.8 COP</t>
    </r>
  </si>
  <si>
    <t>Min. or Average EER:</t>
  </si>
  <si>
    <t>Multifamily Building Note: Testing by dwelling units, groups of dwelling units, or the building as a whole is acceptable.</t>
  </si>
  <si>
    <t>902.1.1</t>
  </si>
  <si>
    <r>
      <t xml:space="preserve">902.1.1 </t>
    </r>
    <r>
      <rPr>
        <sz val="10"/>
        <color theme="1"/>
        <rFont val="Calibri"/>
        <family val="2"/>
        <scheme val="minor"/>
      </rPr>
      <t>Spot ventilation is in accordance with the following:</t>
    </r>
  </si>
  <si>
    <t>701.4.2.1</t>
  </si>
  <si>
    <t>verFloors</t>
  </si>
  <si>
    <t>verHDucts</t>
  </si>
  <si>
    <t>verCool1</t>
  </si>
  <si>
    <t>verCool2</t>
  </si>
  <si>
    <t>verCool3</t>
  </si>
  <si>
    <t>verCDucts</t>
  </si>
  <si>
    <t>verwdSHGC</t>
  </si>
  <si>
    <t>versSHGC</t>
  </si>
  <si>
    <t>verwdUV</t>
  </si>
  <si>
    <t>versUV</t>
  </si>
  <si>
    <r>
      <rPr>
        <b/>
        <sz val="11"/>
        <color theme="1"/>
        <rFont val="Calibri"/>
        <family val="2"/>
        <scheme val="minor"/>
      </rPr>
      <t>Answered</t>
    </r>
    <r>
      <rPr>
        <sz val="11"/>
        <color theme="1"/>
        <rFont val="Calibri"/>
        <family val="2"/>
        <scheme val="minor"/>
      </rPr>
      <t xml:space="preserve"> - You have affirmed that this practice was chosen/not chosen or met/not met.</t>
    </r>
  </si>
  <si>
    <t>Additional Points required</t>
  </si>
  <si>
    <t>Total points required</t>
  </si>
  <si>
    <r>
      <rPr>
        <b/>
        <sz val="11"/>
        <color theme="1"/>
        <rFont val="Calibri"/>
        <family val="2"/>
        <scheme val="minor"/>
      </rPr>
      <t>Chapter 6:</t>
    </r>
    <r>
      <rPr>
        <sz val="11"/>
        <color theme="1"/>
        <rFont val="Calibri"/>
        <family val="2"/>
        <scheme val="minor"/>
      </rPr>
      <t xml:space="preserve"> Resource Efficiency</t>
    </r>
  </si>
  <si>
    <r>
      <rPr>
        <b/>
        <sz val="11"/>
        <color theme="1"/>
        <rFont val="Calibri"/>
        <family val="2"/>
        <scheme val="minor"/>
      </rPr>
      <t>Chapter 5:</t>
    </r>
    <r>
      <rPr>
        <sz val="11"/>
        <color theme="1"/>
        <rFont val="Calibri"/>
        <family val="2"/>
        <scheme val="minor"/>
      </rPr>
      <t xml:space="preserve"> Lot Design, Preparation, and Development</t>
    </r>
  </si>
  <si>
    <r>
      <rPr>
        <b/>
        <sz val="11"/>
        <color theme="1"/>
        <rFont val="Calibri"/>
        <family val="2"/>
        <scheme val="minor"/>
      </rPr>
      <t>Chapter 7:</t>
    </r>
    <r>
      <rPr>
        <sz val="11"/>
        <color theme="1"/>
        <rFont val="Calibri"/>
        <family val="2"/>
        <scheme val="minor"/>
      </rPr>
      <t xml:space="preserve"> Energy Efficiency</t>
    </r>
  </si>
  <si>
    <r>
      <rPr>
        <b/>
        <sz val="11"/>
        <color theme="1"/>
        <rFont val="Calibri"/>
        <family val="2"/>
        <scheme val="minor"/>
      </rPr>
      <t>Chapter 8:</t>
    </r>
    <r>
      <rPr>
        <sz val="11"/>
        <color theme="1"/>
        <rFont val="Calibri"/>
        <family val="2"/>
        <scheme val="minor"/>
      </rPr>
      <t xml:space="preserve"> Water Efficiency</t>
    </r>
  </si>
  <si>
    <r>
      <rPr>
        <b/>
        <sz val="11"/>
        <color theme="1"/>
        <rFont val="Calibri"/>
        <family val="2"/>
        <scheme val="minor"/>
      </rPr>
      <t>Chapter 9:</t>
    </r>
    <r>
      <rPr>
        <sz val="11"/>
        <color theme="1"/>
        <rFont val="Calibri"/>
        <family val="2"/>
        <scheme val="minor"/>
      </rPr>
      <t xml:space="preserve"> Indoor Environmental Quality</t>
    </r>
  </si>
  <si>
    <r>
      <rPr>
        <b/>
        <sz val="11"/>
        <color theme="1"/>
        <rFont val="Calibri"/>
        <family val="2"/>
        <scheme val="minor"/>
      </rPr>
      <t>Chapter 10:</t>
    </r>
    <r>
      <rPr>
        <sz val="11"/>
        <color theme="1"/>
        <rFont val="Calibri"/>
        <family val="2"/>
        <scheme val="minor"/>
      </rPr>
      <t xml:space="preserve"> Operation, Maintenance, and Building Owner Education</t>
    </r>
  </si>
  <si>
    <t>Additional Points Claimed</t>
  </si>
  <si>
    <t>Summary of Results of the Design Phase</t>
  </si>
  <si>
    <t>Overall Level Achieved for Design</t>
  </si>
  <si>
    <t xml:space="preserve">    Additional points required due to SF over 4000 (601.1)</t>
  </si>
  <si>
    <t xml:space="preserve">Multifamily Building Note: For a multifamily building, a weighted average of the individual unit sizes is used for this practice. </t>
  </si>
  <si>
    <t>Mandatory Practices</t>
  </si>
  <si>
    <t>No Errors</t>
  </si>
  <si>
    <r>
      <t xml:space="preserve">703.3.6 </t>
    </r>
    <r>
      <rPr>
        <sz val="10"/>
        <color theme="1"/>
        <rFont val="Calibri"/>
        <family val="2"/>
        <scheme val="minor"/>
      </rPr>
      <t>Ground source heat pump is installed by a Certified Geothermal Service Contractor in accordance with Table 703.3.6. Refrigerant charge is verified for compliance with manufacturer’s instructions utilizing a method in Section 4.3 of ACCA 5 QI-2010.</t>
    </r>
  </si>
  <si>
    <r>
      <t>703.5.5</t>
    </r>
    <r>
      <rPr>
        <sz val="10"/>
        <color theme="1"/>
        <rFont val="Calibri"/>
        <family val="2"/>
        <scheme val="minor"/>
      </rPr>
      <t xml:space="preserve"> </t>
    </r>
    <r>
      <rPr>
        <b/>
        <sz val="10"/>
        <color theme="1"/>
        <rFont val="Calibri"/>
        <family val="2"/>
        <scheme val="minor"/>
      </rPr>
      <t xml:space="preserve">Solar water heater. </t>
    </r>
    <r>
      <rPr>
        <sz val="10"/>
        <color theme="1"/>
        <rFont val="Calibri"/>
        <family val="2"/>
        <scheme val="minor"/>
      </rPr>
      <t>SRCC (Solar Rating &amp; Certification Corporation) OG 300 rated, or equivalent, solar domestic water heating system is installed. Solar Energy Factor (SEF) as defined by SRCC is in accordance with Table 703.5.5.</t>
    </r>
  </si>
  <si>
    <t>Carpet meeting and carpet cushion not meeting the emission limits is installed.</t>
  </si>
  <si>
    <t>Points Required</t>
  </si>
  <si>
    <t>Sign Off After ROUGH Inspection</t>
  </si>
  <si>
    <t>Project ID:</t>
  </si>
  <si>
    <t>Certification Level - As Designed:</t>
  </si>
  <si>
    <t>Builder/Applicant:</t>
  </si>
  <si>
    <t>Building Type:</t>
  </si>
  <si>
    <t>Project Description:</t>
  </si>
  <si>
    <t>Chapter</t>
  </si>
  <si>
    <t xml:space="preserve">Designer </t>
  </si>
  <si>
    <t>BRONZE</t>
  </si>
  <si>
    <t>SILVER</t>
  </si>
  <si>
    <t>GOLD</t>
  </si>
  <si>
    <t>EMERALD</t>
  </si>
  <si>
    <r>
      <t xml:space="preserve">CHAPTER </t>
    </r>
    <r>
      <rPr>
        <b/>
        <sz val="11"/>
        <color theme="1"/>
        <rFont val="Calibri"/>
        <family val="2"/>
        <scheme val="minor"/>
      </rPr>
      <t>5</t>
    </r>
    <r>
      <rPr>
        <sz val="11"/>
        <color theme="1"/>
        <rFont val="Calibri"/>
        <family val="2"/>
        <scheme val="minor"/>
      </rPr>
      <t xml:space="preserve"> LOT DESIGN</t>
    </r>
  </si>
  <si>
    <r>
      <t xml:space="preserve">CHAPTER </t>
    </r>
    <r>
      <rPr>
        <b/>
        <sz val="11"/>
        <color theme="1"/>
        <rFont val="Calibri"/>
        <family val="2"/>
        <scheme val="minor"/>
      </rPr>
      <t>6</t>
    </r>
    <r>
      <rPr>
        <sz val="11"/>
        <color theme="1"/>
        <rFont val="Calibri"/>
        <family val="2"/>
        <scheme val="minor"/>
      </rPr>
      <t xml:space="preserve"> RESOURCE EFFICIENCY</t>
    </r>
  </si>
  <si>
    <r>
      <t xml:space="preserve">CHAPTER </t>
    </r>
    <r>
      <rPr>
        <b/>
        <sz val="11"/>
        <color theme="1"/>
        <rFont val="Calibri"/>
        <family val="2"/>
        <scheme val="minor"/>
      </rPr>
      <t>7</t>
    </r>
    <r>
      <rPr>
        <sz val="11"/>
        <color theme="1"/>
        <rFont val="Calibri"/>
        <family val="2"/>
        <scheme val="minor"/>
      </rPr>
      <t xml:space="preserve"> ENERGY EFFICIENCY</t>
    </r>
  </si>
  <si>
    <r>
      <t xml:space="preserve">CHAPTER </t>
    </r>
    <r>
      <rPr>
        <b/>
        <sz val="11"/>
        <color theme="1"/>
        <rFont val="Calibri"/>
        <family val="2"/>
        <scheme val="minor"/>
      </rPr>
      <t>8</t>
    </r>
    <r>
      <rPr>
        <sz val="11"/>
        <color theme="1"/>
        <rFont val="Calibri"/>
        <family val="2"/>
        <scheme val="minor"/>
      </rPr>
      <t xml:space="preserve"> WATER EFFICIENCY</t>
    </r>
  </si>
  <si>
    <r>
      <t xml:space="preserve">CHAPTER </t>
    </r>
    <r>
      <rPr>
        <b/>
        <sz val="11"/>
        <color theme="1"/>
        <rFont val="Calibri"/>
        <family val="2"/>
        <scheme val="minor"/>
      </rPr>
      <t>9</t>
    </r>
    <r>
      <rPr>
        <sz val="11"/>
        <color theme="1"/>
        <rFont val="Calibri"/>
        <family val="2"/>
        <scheme val="minor"/>
      </rPr>
      <t xml:space="preserve"> INDOOR ENVIRONMENTAL QUALITY</t>
    </r>
  </si>
  <si>
    <r>
      <t xml:space="preserve">CHAPTER </t>
    </r>
    <r>
      <rPr>
        <b/>
        <sz val="11"/>
        <color theme="1"/>
        <rFont val="Calibri"/>
        <family val="2"/>
        <scheme val="minor"/>
      </rPr>
      <t>10</t>
    </r>
    <r>
      <rPr>
        <sz val="11"/>
        <color theme="1"/>
        <rFont val="Calibri"/>
        <family val="2"/>
        <scheme val="minor"/>
      </rPr>
      <t xml:space="preserve"> OPERATION, MAINTENANCE</t>
    </r>
  </si>
  <si>
    <t>Total</t>
  </si>
  <si>
    <t>Name:</t>
  </si>
  <si>
    <t>Email:</t>
  </si>
  <si>
    <t>Phone:</t>
  </si>
  <si>
    <t>Date:</t>
  </si>
  <si>
    <t>Verifier Comments:</t>
  </si>
  <si>
    <t>Start Time:</t>
  </si>
  <si>
    <t>End Time:</t>
  </si>
  <si>
    <t>(format: mm/dd/yyyy)</t>
  </si>
  <si>
    <t>Team Verification</t>
  </si>
  <si>
    <t xml:space="preserve">(Completing this section is MANDATORY whenever multiple accredited verifiers are involved in the verification of a given building or homes within a batch.) </t>
  </si>
  <si>
    <t>Verifier Name</t>
  </si>
  <si>
    <t>Role</t>
  </si>
  <si>
    <r>
      <rPr>
        <b/>
        <sz val="11"/>
        <color theme="1"/>
        <rFont val="Calibri"/>
        <family val="2"/>
        <scheme val="minor"/>
      </rPr>
      <t>Elements Verified</t>
    </r>
    <r>
      <rPr>
        <sz val="11"/>
        <color theme="1"/>
        <rFont val="Calibri"/>
        <family val="2"/>
        <scheme val="minor"/>
      </rPr>
      <t xml:space="preserve"> </t>
    </r>
    <r>
      <rPr>
        <i/>
        <sz val="8"/>
        <color theme="1"/>
        <rFont val="Calibri"/>
        <family val="2"/>
        <scheme val="minor"/>
      </rPr>
      <t>(if applicable)</t>
    </r>
  </si>
  <si>
    <t>OPTIONAL BATCH SUBMISSION</t>
  </si>
  <si>
    <t>Final Address</t>
  </si>
  <si>
    <t>Rough Address</t>
  </si>
  <si>
    <t>Project ID</t>
  </si>
  <si>
    <r>
      <t xml:space="preserve">Inspection Date 
</t>
    </r>
    <r>
      <rPr>
        <sz val="8"/>
        <color theme="0" tint="-0.499984740745262"/>
        <rFont val="Calibri"/>
        <family val="2"/>
        <scheme val="minor"/>
      </rPr>
      <t>(format: mm/dd/yyyy)</t>
    </r>
  </si>
  <si>
    <t>- REQUIREMENTS FOR BATCH SUBMISSION -</t>
  </si>
  <si>
    <t>Sign Off After FINAL Inspection</t>
  </si>
  <si>
    <t>Map showing location of transportation relative to the building.</t>
  </si>
  <si>
    <t>Community site plan or official local jurisdiction bike lane map.</t>
  </si>
  <si>
    <t>Approved bike plan showing location of designated bicycle parking and racks.</t>
  </si>
  <si>
    <t>Both a plan and implementation is required to award points. Lot specific information for:</t>
  </si>
  <si>
    <t>Evidence of site supervisor training</t>
  </si>
  <si>
    <t>Invoice or other evidence from Certified Arborist.</t>
  </si>
  <si>
    <t>Statement from professional that maintenance of vegetation during construction complies.</t>
  </si>
  <si>
    <t>Written conservation plan.</t>
  </si>
  <si>
    <t>Report from qualified professional indicating the percent alignment.</t>
  </si>
  <si>
    <t>Report from qualified professional stating intent of the requirement has been met.</t>
  </si>
  <si>
    <t>Plans showing grading &amp; clearing limits.</t>
  </si>
  <si>
    <t>Engineer’s report showing 95% event will not result in rainwater leaving the lot.</t>
  </si>
  <si>
    <t>Calculation showing % of hardscape surface covered with permeable materials.</t>
  </si>
  <si>
    <t>Landscape plan that identifies natural vegetation on the lot to be protected, enhanced, or restored.</t>
  </si>
  <si>
    <t>List of regionally appropriate plants must be on plan. Landscape contractor statement or labels on plants.</t>
  </si>
  <si>
    <t>Landscape plan by qualified landscape professional that identifies flowering and nectar producing species on at least 10% of planted areas.</t>
  </si>
  <si>
    <t>Landscape plan by qualified landscape professional.</t>
  </si>
  <si>
    <t>Landscape plan by qualified landscape professional showing watering needs. This practice applies to plants on the lot and the plan should show the hydrozoning.</t>
  </si>
  <si>
    <t>Landscape plan by qualified professional stating intent of practice will be met.</t>
  </si>
  <si>
    <t>PO or invoice for contractor providing onsite recycling.</t>
  </si>
  <si>
    <t>Lot specific plan showing no sensitive areas. These points available if the lot does not contain any environmentally sensitive areas, or if the lot does contain an environmentally sensitive area and this area is not disturbed by the construction.</t>
  </si>
  <si>
    <t>Lot specific plan showing original location of sensitive areas. Plan by qualified professional showing appropriate mitigation or restoration steps. These points are available only if the lot has a compromised environmentally sensitive area on the lot. Points cannot be claimed for mandatory mitigation or restoration of federally-protected sensitive areas unless the mitigation or restoration is greater than that which was required through the federal permit process.</t>
  </si>
  <si>
    <t>None. All designated trees and vegetation on the lot or adjacent to the lot that might be disturbed by the construction must be protected in order to award these points.</t>
  </si>
  <si>
    <t>Landscape plan. The lot must have at least one tree identified for saving on the plan and all of the identified trees must be avoided to earn these points.</t>
  </si>
  <si>
    <t>Invoice or other evidence from qualified arborist. Besides evidence that all appropriate measures above have been implemented, the designated trees and vegetation must be healthy on completion of the project. Designated trees are trees existing on the lot before construction began.</t>
  </si>
  <si>
    <t>Storm water pollution prevention plan. These controls must be on the lot.</t>
  </si>
  <si>
    <t>None. Lot lines alone are not sufficient for this practice except on small urban lots where the building footprint consumes at least 50% of the lot.</t>
  </si>
  <si>
    <t>The no disturbance zone may be adjacent to the lot when the zone is close enough to be impacted by the construction.</t>
  </si>
  <si>
    <t>None. Stockpiled topsoil can either be from the lot itself or from the construction of the development, but the stockpiled topsoil must be used on the lot for points to be awarded.</t>
  </si>
  <si>
    <t>None. This must be done for all heavy equipment used on the lot throughout the construction process.</t>
  </si>
  <si>
    <t>As-built construction schedule. This practice applies to the lot.</t>
  </si>
  <si>
    <t>Invoice or evidence from landscape contractor. The amount of amendments should be consistent with good landscape practice. A soil analysis or landscape professional would typically be required to identify the most appropriate amendments. Amendments or mulch should be applied to at least 50% of the landscaped area.</t>
  </si>
  <si>
    <t>Plans and scope of work showing alternative means used. When awarding points for tunneling at least 50% of the utilities must be installed with tunneling to earn these points. At least 75% of the utilities must be installed with low ground pressure equipment for these points. When awarding points for shared trenches or easements, at least three utilities must be in one trench or two utilities in each of two trenches or all utilities use the same easement.</t>
  </si>
  <si>
    <t>None. A shared driveway must be shared at least for 50% of its length.</t>
  </si>
  <si>
    <t>Document with local regulations</t>
  </si>
  <si>
    <t>None.</t>
  </si>
  <si>
    <t>Site and landscape plan.</t>
  </si>
  <si>
    <t>Manufacture’s literature with SRI data.</t>
  </si>
  <si>
    <t>Calculation of number of units divided by lot size for the building.</t>
  </si>
  <si>
    <t>Plan specs.</t>
  </si>
  <si>
    <t>Plans or other document by architect or designer showing square footage calculation per ANSI Z765 for all finished floor area above grade. Calculation showing weighted average unit size for multi-family buildings.</t>
  </si>
  <si>
    <t>Engineer’s statement that the intent of the practice has been met.</t>
  </si>
  <si>
    <t>Specifications showing higher grade materials.</t>
  </si>
  <si>
    <t>Engineer’s statement of design report showing performance based design meeting the intent of the practice.</t>
  </si>
  <si>
    <t>Plans showing dimensions &amp; layouts to minimize material usage and waste.</t>
  </si>
  <si>
    <t>PO and documentation from producer.</t>
  </si>
  <si>
    <t xml:space="preserve">List of materials and manufacture’s literature (unless pre-finished is obvious) that do not get site finished. Note if used at 90%, 50%, or 35% level. </t>
  </si>
  <si>
    <r>
      <t>REQUIRED</t>
    </r>
    <r>
      <rPr>
        <sz val="10"/>
        <color theme="1"/>
        <rFont val="Calibri"/>
        <family val="2"/>
        <scheme val="minor"/>
      </rPr>
      <t>: Written project mission statement, goals, and specific team member roles identified. Points can be awarded if the developer of the community establishes a team for this purpose with identified roles and written goals, objectives, and a mission statement, and the covenants for homes built in the community support the mission.</t>
    </r>
  </si>
  <si>
    <r>
      <t>REQUIRED:</t>
    </r>
    <r>
      <rPr>
        <sz val="10"/>
        <color theme="1"/>
        <rFont val="Calibri"/>
        <family val="2"/>
        <scheme val="minor"/>
      </rPr>
      <t xml:space="preserve"> Natural resource inventory signed by qualified professional.</t>
    </r>
  </si>
  <si>
    <r>
      <t>REQUIRED</t>
    </r>
    <r>
      <rPr>
        <sz val="10"/>
        <color theme="1"/>
        <rFont val="Calibri"/>
        <family val="2"/>
        <scheme val="minor"/>
      </rPr>
      <t>: Hydrological study report applicable to the lot and statement that the intent of the requirement has been met.</t>
    </r>
  </si>
  <si>
    <r>
      <t>REQUIRED:</t>
    </r>
    <r>
      <rPr>
        <sz val="10"/>
        <color theme="1"/>
        <rFont val="Calibri"/>
        <family val="2"/>
        <scheme val="minor"/>
      </rPr>
      <t xml:space="preserve"> Pest management plan.</t>
    </r>
  </si>
  <si>
    <r>
      <t>REQUIRED:</t>
    </r>
    <r>
      <rPr>
        <sz val="10"/>
        <color theme="1"/>
        <rFont val="Calibri"/>
        <family val="2"/>
        <scheme val="minor"/>
      </rPr>
      <t xml:space="preserve"> Framing/structural plans, material and cut lists.</t>
    </r>
  </si>
  <si>
    <t>Plans showing foundation details.</t>
  </si>
  <si>
    <t>Plans/specifications AND scope of work(s) detailing how mandatory requirement has been met. Photo(s) showing installation. Report from certified professional when the building code exceptions are used. </t>
  </si>
  <si>
    <t>Plans/specifications AND scope of work(s) detailing how this requirement has been met. Photo(s) showing installation.</t>
  </si>
  <si>
    <t>Plans, specification, or scope of work showing enhanced foundation coating.</t>
  </si>
  <si>
    <t>Plans showing exterior and interior rain tile for foundation, if applicable.</t>
  </si>
  <si>
    <t xml:space="preserve">If wet insulation is used, provide documentation of moisture content before enclosure. </t>
  </si>
  <si>
    <r>
      <rPr>
        <b/>
        <sz val="10"/>
        <color theme="1"/>
        <rFont val="Calibri"/>
        <family val="2"/>
        <scheme val="minor"/>
      </rPr>
      <t>MANDATORY</t>
    </r>
    <r>
      <rPr>
        <sz val="10"/>
        <color theme="1"/>
        <rFont val="Calibri"/>
        <family val="2"/>
        <scheme val="minor"/>
      </rPr>
      <t xml:space="preserve"> Plans, specification, or scope of work showing WRB or drainage plane.</t>
    </r>
  </si>
  <si>
    <t>Projection factor calculations = overhang width/ height to the overhang (Measure height from sill of window or door to the overhang) See illustration in the definition section of standard.</t>
  </si>
  <si>
    <t>Plans/documentation showing original square footage. When modified, plans showing modifications. When deconstructed, photos showing process and receipts for donation of major components.</t>
  </si>
  <si>
    <t xml:space="preserve">List of the type and quantity of salvaged materials used on this building. Demonstrate that the installed cost of the salvaged materials to be = to or &gt;1% of total construction costs. </t>
  </si>
  <si>
    <t>List of materials used with recycled content. Manufacturer’s literature showing recycled content.</t>
  </si>
  <si>
    <t>Post C&amp;D waste management plan on-site. Evidence that at least 50% of waste materials are being recycled or salvaged.</t>
  </si>
  <si>
    <t>No documentation required, but builder rep shall point out on-site recycling efforts and explain 50% goal.</t>
  </si>
  <si>
    <t>Copy of agreement with and pick-up tickets by recycling contractor, list of materials sent to recycler.</t>
  </si>
  <si>
    <t>List of materials and amounts, and manufacturers’ literature or certificate documenting materials manufactured from renewable resources used on this site.</t>
  </si>
  <si>
    <t>List of certified wood product types used and literature or stamp showing certification.</t>
  </si>
  <si>
    <t xml:space="preserve">List materials used and manufacturer’s literature showing source and amount of energy used in manufacturing. </t>
  </si>
  <si>
    <t>List the products used and justification that are claimed to use fewer resources if not specifically listed in the practice.</t>
  </si>
  <si>
    <t>List the materials or components and manufacturing location used in the home that are extracted, processed, and manufactured within 500 miles</t>
  </si>
  <si>
    <t>Documented ISO 14044 LCA comparing at least two products intended for the same application.</t>
  </si>
  <si>
    <t>List of materials used to include manufacturer, cost of materials, and % of total materials cost. Copy of ISO14001 certificate for each material claimed. Analysis showing total material cost.</t>
  </si>
  <si>
    <t>List of certified products with product literature or other evidence of certification.</t>
  </si>
  <si>
    <t>Drawing, specifications, scopes of work detailing air sealing that is not readily inspected during the rough inspection.</t>
  </si>
  <si>
    <t>Manufacturer’s label or literature indicating listing complying with this practice.</t>
  </si>
  <si>
    <t xml:space="preserve">Manufacturer’s literature stating compliance with the practice. </t>
  </si>
  <si>
    <t>Manufacturer’s literature indicating conformance to ASTM C1371</t>
  </si>
  <si>
    <t>Test report showing ACH50.</t>
  </si>
  <si>
    <t>Labels on units.</t>
  </si>
  <si>
    <t>Manufacturer’s specification for combo system showing combined annual efficiency of at least 0.80 and a minimum water heating recovery efficiency of 0.87.</t>
  </si>
  <si>
    <t>Manufacturer’s specification for equipment that is installed.</t>
  </si>
  <si>
    <t>Manufacturer’s literature.</t>
  </si>
  <si>
    <t>Manufacturer’s literature showing factory installation or invoice/statement of work by qualified installer.</t>
  </si>
  <si>
    <t>Manufacturer’s literature for installed equipment.</t>
  </si>
  <si>
    <t>When thermal mass is claimed provide calculation for ratio of exposed thermal mass to conditioned floor space.</t>
  </si>
  <si>
    <t>Calculations for ratio of south glazing to floor area and ratio of exposed thermal mass to conditioned floor space.</t>
  </si>
  <si>
    <t xml:space="preserve">None. </t>
  </si>
  <si>
    <t>Certificate.</t>
  </si>
  <si>
    <t>Start-up checklist signed by contractor.</t>
  </si>
  <si>
    <t>Blower door test report. 701.4.3.2 visual inspection report.</t>
  </si>
  <si>
    <t>Manufacturer’s product specification(s).</t>
  </si>
  <si>
    <t>Evidence (e.g., utility bills) builder has selected renewable energy service for both construction and local office for temporary electric service during construction.</t>
  </si>
  <si>
    <t>Service agreement that owner has selected renewable energy service plan for permanent service after completion.</t>
  </si>
  <si>
    <t>Manufacture’s literature or label.</t>
  </si>
  <si>
    <t>Manufacturer’s literature or installer certification showing number of watts produced by installed system.</t>
  </si>
  <si>
    <t>Calculation showing maximum amount of water in the piping between heater and any fixture.</t>
  </si>
  <si>
    <t>Manufacturer’s specifications showing compliance.</t>
  </si>
  <si>
    <t>Manufacturer’s specs showing compliance.</t>
  </si>
  <si>
    <t>Manufacturer’s specifications or literature.</t>
  </si>
  <si>
    <t>Landscape plan of 503.5</t>
  </si>
  <si>
    <t>Plans and specs.</t>
  </si>
  <si>
    <t>Analysis by qualified professional that system as installed and normal rainfall with provide 100% of domestic demand</t>
  </si>
  <si>
    <t>Plans and specs showing rough plumbed systems.</t>
  </si>
  <si>
    <t>When fire sprinkler system present, provide installer’s certification that shutoff does not interfere with sprinklers.</t>
  </si>
  <si>
    <t>Local jurisdiction approval.</t>
  </si>
  <si>
    <t>Documentation describing advanced features of the system.</t>
  </si>
  <si>
    <t>Manufacturer’s literature or label. Note: The EPA does not certify fireplaces. There are EPA-qualified fireplaces that are acceptable for this practice.</t>
  </si>
  <si>
    <t>Manufacturer’s literature or label.</t>
  </si>
  <si>
    <t>Manufacturer’s literature/specifications for fan.</t>
  </si>
  <si>
    <t>MANDATORY None.</t>
  </si>
  <si>
    <t>Manufacturer’s literature demonstrating zero emissions.</t>
  </si>
  <si>
    <t>Manufacturer’s literature or label on product indicating CARB compliance.</t>
  </si>
  <si>
    <t>Manufacturer’s literature or label on product indicating CPA4 compliance.</t>
  </si>
  <si>
    <t>Manufacturer’s literature or label on product indicating HPVA compliance.</t>
  </si>
  <si>
    <t>Manufacturer’s literature or label on product indicating CPA compliance.</t>
  </si>
  <si>
    <t xml:space="preserve">Manufacturer’s literature showing 3rd party certification. </t>
  </si>
  <si>
    <t>List of interior coatings used showing amount used, %, and VOC criteria. Manufacturer’s literature showing VOC. Scopes of work or specifications showing which materials were to be used.</t>
  </si>
  <si>
    <t>List of all colorants used showing amount used, %, and VOC criteria. Manufacturer’s literature showing VOC as listed. Scopes of work or specifications showing which materials were to be used.</t>
  </si>
  <si>
    <t>List of interior coatings used showing amount used, %, and VOC criteria. Manufacturer’s literature showing VOC and product certification. Scopes of work or specifications showing which materials were to be used.</t>
  </si>
  <si>
    <t>List of all interior sealants used showing amount, %, and VOC criteria. Manufacturer’s literature showing VOC and product certification when applicable.</t>
  </si>
  <si>
    <t>Manufacturer’s literature or product marking showing compliance for wall, ceiling and/or floor insulation.</t>
  </si>
  <si>
    <t>Manufacturer’s literature or product marking showing NFPA and CSA or UL compliance.</t>
  </si>
  <si>
    <t>Manufacturer’s literature/specifications for the fan showing cfm.</t>
  </si>
  <si>
    <t>Manufacturer’s literature/specifications showing cfm.</t>
  </si>
  <si>
    <t>MANDATORY if ACH50 is less than 5 for any of 701.4.3.2(1), or 703.1.5, or 704.5.2.1 or any blower door testing that has been done.</t>
  </si>
  <si>
    <t>Statement from qualified professional indicating system is in compliance with Appendix B.</t>
  </si>
  <si>
    <t>Test report by qualified professional showing compliance as installed.</t>
  </si>
  <si>
    <t>Designer/installer certification of system capability for installed MERV filters.</t>
  </si>
  <si>
    <t>None for passive system.</t>
  </si>
  <si>
    <t>Invoice from cleaning contractor showing cleaning and coil inspection.</t>
  </si>
  <si>
    <t>Manufacturer’s literature detailing capabilities. Statement by qualified professional that the system as installed has the capacity to meet the practice.</t>
  </si>
  <si>
    <t>Manufacturer’s literature showing cfm.</t>
  </si>
  <si>
    <t>Builder’s documented procedures &amp; standard practices explaining the occupant training process. Examples of training materials and written confirmation from similar projects that training has been done.</t>
  </si>
  <si>
    <t>Builder’s documented procedures &amp; standard practices explaining the occupant training process. Examples of training materials and written confirmation from similar projects that training has actually been done.</t>
  </si>
  <si>
    <t xml:space="preserve">Visual confirmation and/or photos of the construction signs visible on site during construction. </t>
  </si>
  <si>
    <t>Purchase order for certification signage and written instructions regarding installation location.</t>
  </si>
  <si>
    <t xml:space="preserve">Photos, screen shots of web pages, or copies of marketing materials that include www.ngbs.com. </t>
  </si>
  <si>
    <t xml:space="preserve">Verification system, such as automated monitoring equipment, is installed that provides a means to measure energy and water usage. </t>
  </si>
  <si>
    <r>
      <t>MANDATORY</t>
    </r>
    <r>
      <rPr>
        <sz val="10"/>
        <color theme="1"/>
        <rFont val="Calibri"/>
        <family val="2"/>
        <scheme val="minor"/>
      </rPr>
      <t>. Plans showing exterior drain tile for foundation, if applicable. Photo(s) showing installation.</t>
    </r>
  </si>
  <si>
    <r>
      <t>Flooring manufacturer’s recommendations for moisture content. Moisture sampling data by builder or 3</t>
    </r>
    <r>
      <rPr>
        <vertAlign val="superscript"/>
        <sz val="10"/>
        <color theme="1"/>
        <rFont val="Calibri"/>
        <family val="2"/>
        <scheme val="minor"/>
      </rPr>
      <t>rd</t>
    </r>
    <r>
      <rPr>
        <sz val="10"/>
        <color theme="1"/>
        <rFont val="Calibri"/>
        <family val="2"/>
        <scheme val="minor"/>
      </rPr>
      <t xml:space="preserve"> party.</t>
    </r>
  </si>
  <si>
    <r>
      <t>MANDATORY</t>
    </r>
    <r>
      <rPr>
        <sz val="10"/>
        <color theme="1"/>
        <rFont val="Calibri"/>
        <family val="2"/>
        <scheme val="minor"/>
      </rPr>
      <t xml:space="preserve"> Manufacturer’s literature/specification/labeling showing ASTM compliance. Plans/specifications and scope of work showing installation. </t>
    </r>
  </si>
  <si>
    <r>
      <t>MANDATORY</t>
    </r>
    <r>
      <rPr>
        <sz val="10"/>
        <color theme="1"/>
        <rFont val="Calibri"/>
        <family val="2"/>
        <scheme val="minor"/>
      </rPr>
      <t xml:space="preserve"> Plans showing ice barrier.</t>
    </r>
  </si>
  <si>
    <r>
      <t>MANDATORY</t>
    </r>
    <r>
      <rPr>
        <sz val="10"/>
        <color theme="1"/>
        <rFont val="Calibri"/>
        <family val="2"/>
        <scheme val="minor"/>
      </rPr>
      <t xml:space="preserve"> None.</t>
    </r>
  </si>
  <si>
    <r>
      <t xml:space="preserve">REQUIRED: </t>
    </r>
    <r>
      <rPr>
        <sz val="10"/>
        <color theme="1"/>
        <rFont val="Calibri"/>
        <family val="2"/>
        <scheme val="minor"/>
      </rPr>
      <t>Type III industry-wide environmental product declaration for each product.</t>
    </r>
  </si>
  <si>
    <r>
      <t>REQUIRED:</t>
    </r>
    <r>
      <rPr>
        <sz val="10"/>
        <color theme="1"/>
        <rFont val="Calibri"/>
        <family val="2"/>
        <scheme val="minor"/>
      </rPr>
      <t xml:space="preserve"> Type III Environmental Product Declaration for each product.</t>
    </r>
  </si>
  <si>
    <r>
      <t>REQUIRED:</t>
    </r>
    <r>
      <rPr>
        <sz val="10"/>
        <color theme="1"/>
        <rFont val="Calibri"/>
        <family val="2"/>
        <scheme val="minor"/>
      </rPr>
      <t xml:space="preserve"> 3</t>
    </r>
    <r>
      <rPr>
        <vertAlign val="superscript"/>
        <sz val="10"/>
        <color theme="1"/>
        <rFont val="Calibri"/>
        <family val="2"/>
        <scheme val="minor"/>
      </rPr>
      <t>rd</t>
    </r>
    <r>
      <rPr>
        <sz val="10"/>
        <color theme="1"/>
        <rFont val="Calibri"/>
        <family val="2"/>
        <scheme val="minor"/>
      </rPr>
      <t xml:space="preserve"> party report/statement showing design has been reviewed to ensure energy efficient performance or specific prescriptive details are adequately implemented in the building’s design, and to ensure proper integration of various energy efficient technologies. In Climate Zone 1 PE must sign off that the system will maintain the cooling season indoor humidity less than the ASHRAE Simplified method for Design Indoor RH (70%) if the system size is not consistent with Manual S. </t>
    </r>
  </si>
  <si>
    <r>
      <t>REQUIRED</t>
    </r>
    <r>
      <rPr>
        <sz val="10"/>
        <color theme="1"/>
        <rFont val="Calibri"/>
        <family val="2"/>
        <scheme val="minor"/>
      </rPr>
      <t xml:space="preserve"> if applicable: When primary heat source in the building is a radiant or hydronic heating system, a statement from qualified professional of system design using industry-approved guidelines.</t>
    </r>
  </si>
  <si>
    <r>
      <t xml:space="preserve">MANDATORY </t>
    </r>
    <r>
      <rPr>
        <sz val="10"/>
        <color theme="1"/>
        <rFont val="Calibri"/>
        <family val="2"/>
        <scheme val="minor"/>
      </rPr>
      <t>if there is a duct system: For buildings with ducted systems provide product spec or trade contractor’s scope of work to confirm use of duct sealing using UL 181 tape, mastic, gaskets, or an IRC or ICC/IMC approved system.</t>
    </r>
  </si>
  <si>
    <r>
      <t>REQUIRED</t>
    </r>
    <r>
      <rPr>
        <sz val="10"/>
        <color theme="1"/>
        <rFont val="Calibri"/>
        <family val="2"/>
        <scheme val="minor"/>
      </rPr>
      <t>: Software output report for this building using ACCA Manual D or equivalent.</t>
    </r>
  </si>
  <si>
    <r>
      <t>RESCheck 4.0.1 or other equivalent analysis method showing the percent improvement for UA improvement over an analysis using the values provided in Table 703.2.1(a). Documentation of 3</t>
    </r>
    <r>
      <rPr>
        <vertAlign val="superscript"/>
        <sz val="10"/>
        <color theme="1"/>
        <rFont val="Calibri"/>
        <family val="2"/>
        <scheme val="minor"/>
      </rPr>
      <t>rd</t>
    </r>
    <r>
      <rPr>
        <sz val="10"/>
        <color theme="1"/>
        <rFont val="Calibri"/>
        <family val="2"/>
        <scheme val="minor"/>
      </rPr>
      <t xml:space="preserve"> party insulation installation grading results</t>
    </r>
  </si>
  <si>
    <r>
      <t>3</t>
    </r>
    <r>
      <rPr>
        <vertAlign val="superscript"/>
        <sz val="10"/>
        <color theme="1"/>
        <rFont val="Calibri"/>
        <family val="2"/>
        <scheme val="minor"/>
      </rPr>
      <t>rd</t>
    </r>
    <r>
      <rPr>
        <sz val="10"/>
        <color theme="1"/>
        <rFont val="Calibri"/>
        <family val="2"/>
        <scheme val="minor"/>
      </rPr>
      <t xml:space="preserve"> party duct leakage test report.</t>
    </r>
  </si>
  <si>
    <r>
      <t>Report signed by qualified 3</t>
    </r>
    <r>
      <rPr>
        <vertAlign val="superscript"/>
        <sz val="10"/>
        <color theme="1"/>
        <rFont val="Calibri"/>
        <family val="2"/>
        <scheme val="minor"/>
      </rPr>
      <t>rd</t>
    </r>
    <r>
      <rPr>
        <sz val="10"/>
        <color theme="1"/>
        <rFont val="Calibri"/>
        <family val="2"/>
        <scheme val="minor"/>
      </rPr>
      <t xml:space="preserve"> party showing design and actual flows at each supply and return indicating compliance with balanced flow requirement.</t>
    </r>
  </si>
  <si>
    <r>
      <t>None</t>
    </r>
    <r>
      <rPr>
        <sz val="10"/>
        <color rgb="FF000000"/>
        <rFont val="Calibri"/>
        <family val="2"/>
        <scheme val="minor"/>
      </rPr>
      <t>.</t>
    </r>
  </si>
  <si>
    <r>
      <t xml:space="preserve">1a, and 1b are </t>
    </r>
    <r>
      <rPr>
        <b/>
        <sz val="10"/>
        <color theme="1"/>
        <rFont val="Calibri"/>
        <family val="2"/>
        <scheme val="minor"/>
      </rPr>
      <t>MANDATORY</t>
    </r>
    <r>
      <rPr>
        <sz val="10"/>
        <color theme="1"/>
        <rFont val="Calibri"/>
        <family val="2"/>
        <scheme val="minor"/>
      </rPr>
      <t xml:space="preserve"> if applicable</t>
    </r>
  </si>
  <si>
    <r>
      <t>Manufacturer’s literature showin</t>
    </r>
    <r>
      <rPr>
        <vertAlign val="superscript"/>
        <sz val="10"/>
        <color theme="1"/>
        <rFont val="Calibri"/>
        <family val="2"/>
        <scheme val="minor"/>
      </rPr>
      <t xml:space="preserve">g </t>
    </r>
    <r>
      <rPr>
        <sz val="10"/>
        <color theme="1"/>
        <rFont val="Calibri"/>
        <family val="2"/>
        <scheme val="minor"/>
      </rPr>
      <t>3</t>
    </r>
    <r>
      <rPr>
        <vertAlign val="superscript"/>
        <sz val="10"/>
        <color theme="1"/>
        <rFont val="Calibri"/>
        <family val="2"/>
        <scheme val="minor"/>
      </rPr>
      <t>rd</t>
    </r>
    <r>
      <rPr>
        <sz val="10"/>
        <color theme="1"/>
        <rFont val="Calibri"/>
        <family val="2"/>
        <scheme val="minor"/>
      </rPr>
      <t xml:space="preserve"> party certification for other materials. Scope of work or specification showing products to be installed.</t>
    </r>
  </si>
  <si>
    <r>
      <t>3</t>
    </r>
    <r>
      <rPr>
        <vertAlign val="superscript"/>
        <sz val="10"/>
        <color theme="1"/>
        <rFont val="Calibri"/>
        <family val="2"/>
        <scheme val="minor"/>
      </rPr>
      <t>rd</t>
    </r>
    <r>
      <rPr>
        <sz val="10"/>
        <color theme="1"/>
        <rFont val="Calibri"/>
        <family val="2"/>
        <scheme val="minor"/>
      </rPr>
      <t xml:space="preserve"> party test report showing compliance as installed.</t>
    </r>
  </si>
  <si>
    <r>
      <t>Moisture sampling data by builder or 3</t>
    </r>
    <r>
      <rPr>
        <vertAlign val="superscript"/>
        <sz val="10"/>
        <color theme="1"/>
        <rFont val="Calibri"/>
        <family val="2"/>
        <scheme val="minor"/>
      </rPr>
      <t>rd</t>
    </r>
    <r>
      <rPr>
        <sz val="10"/>
        <color theme="1"/>
        <rFont val="Calibri"/>
        <family val="2"/>
        <scheme val="minor"/>
      </rPr>
      <t xml:space="preserve"> party.</t>
    </r>
  </si>
  <si>
    <r>
      <t>REQUIRED</t>
    </r>
    <r>
      <rPr>
        <sz val="10"/>
        <color theme="1"/>
        <rFont val="Calibri"/>
        <family val="2"/>
        <scheme val="minor"/>
      </rPr>
      <t>: Hygrothermal analysis, such as WUFI.</t>
    </r>
  </si>
  <si>
    <r>
      <t>REQUIRED</t>
    </r>
    <r>
      <rPr>
        <sz val="10"/>
        <color theme="1"/>
        <rFont val="Calibri"/>
        <family val="2"/>
        <scheme val="minor"/>
      </rPr>
      <t>: Software output report for this building using ACCA Manual J AND Manual S or equivalent.</t>
    </r>
  </si>
  <si>
    <t>Verification plan is developed to monitor post-occupancy energy and water use and is provided in the building owner’s manual.</t>
  </si>
  <si>
    <t>Overview (Design Phase)</t>
  </si>
  <si>
    <t>Overview (Verifier phase)</t>
  </si>
  <si>
    <t>Who completed this information?</t>
  </si>
  <si>
    <t>Caveats</t>
  </si>
  <si>
    <t>CLICK HERE TO GET STARTED!</t>
  </si>
  <si>
    <t>DESIGN PHASE:</t>
  </si>
  <si>
    <r>
      <t xml:space="preserve">Begin on the </t>
    </r>
    <r>
      <rPr>
        <b/>
        <sz val="11"/>
        <color theme="1"/>
        <rFont val="Calibri"/>
        <family val="2"/>
        <scheme val="minor"/>
      </rPr>
      <t>Overview (Design)</t>
    </r>
    <r>
      <rPr>
        <sz val="11"/>
        <color theme="1"/>
        <rFont val="Calibri"/>
        <family val="2"/>
        <scheme val="minor"/>
      </rPr>
      <t xml:space="preserve"> page. Complete all mandatory information and as much non-mandatory information as possible before moving on to the rest of the workbook. </t>
    </r>
  </si>
  <si>
    <t>VERIFICATION PHASE:</t>
  </si>
  <si>
    <t>Information in the header will track your points progress for that Chapter in real time. The header will also display warnings if you are missing any mandatory information or there is an error on that page. The Chapter Level may not display while there are still errors on the page.</t>
  </si>
  <si>
    <t>www.homeinnovation.com/FindNGBSverifier</t>
  </si>
  <si>
    <t>When you have finished scoring the design phase, send this file as an attachment to your verifier. They will complete the remainder. Accredited verifiers can be found at:</t>
  </si>
  <si>
    <r>
      <t xml:space="preserve">The </t>
    </r>
    <r>
      <rPr>
        <b/>
        <sz val="11"/>
        <color theme="1"/>
        <rFont val="Calibri"/>
        <family val="2"/>
        <scheme val="minor"/>
      </rPr>
      <t>Design Summary</t>
    </r>
    <r>
      <rPr>
        <sz val="11"/>
        <color theme="1"/>
        <rFont val="Calibri"/>
        <family val="2"/>
        <scheme val="minor"/>
      </rPr>
      <t xml:space="preserve"> page shows a summary of the points claimed in the Design phase. It will also indicate if there is anything missing or incorrect in each Chapter.</t>
    </r>
  </si>
  <si>
    <t>Report Phase:</t>
  </si>
  <si>
    <r>
      <t xml:space="preserve">The </t>
    </r>
    <r>
      <rPr>
        <b/>
        <sz val="11"/>
        <color theme="1"/>
        <rFont val="Calibri"/>
        <family val="2"/>
        <scheme val="minor"/>
      </rPr>
      <t>Verification Report</t>
    </r>
    <r>
      <rPr>
        <sz val="11"/>
        <color theme="1"/>
        <rFont val="Calibri"/>
        <family val="2"/>
        <scheme val="minor"/>
      </rPr>
      <t xml:space="preserve"> page is used for both parts of the Verification phase. At the top of the page, select the goal level and the phase (Rough or Final).</t>
    </r>
  </si>
  <si>
    <t>Some practices should only be claimed during one phase of Verification. If the practice is not available during your current phase, it will be greyed out.</t>
  </si>
  <si>
    <t>Points claimed in the Design phase are displayed for easy comparison. On practices where the choices are not obvious based on point values, chosen portions of the practice will be highlighted in green.</t>
  </si>
  <si>
    <t>NOTE: If "N/A" is selected, please explain in the Notes area.</t>
  </si>
  <si>
    <t>Built to IBC</t>
  </si>
  <si>
    <t>(m)</t>
  </si>
  <si>
    <t>901.10</t>
  </si>
  <si>
    <t>RF</t>
  </si>
  <si>
    <t>R</t>
  </si>
  <si>
    <t>F</t>
  </si>
  <si>
    <t>P</t>
  </si>
  <si>
    <t>NGBS Green is a site-verified certification. Buildings seeking NGBS Green certification must be inspected at least twice by an NGBS Green Accredited Verifier; once before drywall is installed so the Verifier can inspect NGBS green practices inside the wall, and once when the building is complete. For multifamily buildings, each unit must be inspected. Most practices must be visually inspected by the Verifier before certification points are awarded. Documents, plans, and specs are part of the verification process. Below is documentation the Verifer will need, in addition to ,visual inspection, to award certification points.</t>
  </si>
  <si>
    <r>
      <t>REQUIRED:</t>
    </r>
    <r>
      <rPr>
        <sz val="10"/>
        <rFont val="Calibri"/>
        <family val="2"/>
        <scheme val="minor"/>
      </rPr>
      <t xml:space="preserve"> Hydrologic study report verifying the intent of the requirement has been met</t>
    </r>
  </si>
  <si>
    <t>Site assessment and plan that identifies important existing permeable soils, natural drainage ways and other water features.  Photos or other document showing water &amp; natural drainage prior to development.</t>
  </si>
  <si>
    <t>Hydrologic analysis; plans that show features to minimize concentrated flows</t>
  </si>
  <si>
    <t>Demolition waste management plan</t>
  </si>
  <si>
    <t>Site plan</t>
  </si>
  <si>
    <t>Documented ISO 14044 Building Assembly LCA comparing at least two assemblies intended for the same application.</t>
  </si>
  <si>
    <r>
      <t>REQUIRED:</t>
    </r>
    <r>
      <rPr>
        <sz val="10"/>
        <rFont val="Calibri"/>
        <family val="2"/>
        <scheme val="minor"/>
      </rPr>
      <t xml:space="preserve"> HERS Index Score of home.</t>
    </r>
  </si>
  <si>
    <r>
      <t>REQUIRED</t>
    </r>
    <r>
      <rPr>
        <sz val="10"/>
        <color theme="1"/>
        <rFont val="Calibri"/>
        <family val="2"/>
        <scheme val="minor"/>
      </rPr>
      <t>: ENERGY STAR Certificate or statement from energy professional that the building qualifies for ENERGY STAR and which version, or statement from a qualified energy professional that the building meets the IECC’s Tropical Climate Zone requirements.</t>
    </r>
  </si>
  <si>
    <r>
      <t>REQUIRED</t>
    </r>
    <r>
      <rPr>
        <sz val="10"/>
        <color theme="1"/>
        <rFont val="Calibri"/>
        <family val="2"/>
        <scheme val="minor"/>
      </rPr>
      <t xml:space="preserve">: Blower door report by qualified professional. </t>
    </r>
  </si>
  <si>
    <r>
      <t>REQUIRED:</t>
    </r>
    <r>
      <rPr>
        <sz val="10"/>
        <rFont val="Calibri"/>
        <family val="2"/>
        <scheme val="minor"/>
      </rPr>
      <t xml:space="preserve"> Energy analysis report.</t>
    </r>
  </si>
  <si>
    <r>
      <rPr>
        <b/>
        <sz val="10"/>
        <color theme="1"/>
        <rFont val="Calibri"/>
        <family val="2"/>
        <scheme val="minor"/>
      </rPr>
      <t>Required:</t>
    </r>
    <r>
      <rPr>
        <sz val="10"/>
        <color theme="1"/>
        <rFont val="Calibri"/>
        <family val="2"/>
        <scheme val="minor"/>
      </rPr>
      <t xml:space="preserve"> RESCheck 4.0.1 or other equivalent analysis method showing the percent improvement for UA improvement over an analysis using the values provided in Table 703.2.1(a). Documentation of 3rd party insulation installation grading results.</t>
    </r>
  </si>
  <si>
    <t>Duct leakage report.</t>
  </si>
  <si>
    <t>Fenestration label.</t>
  </si>
  <si>
    <t>Point calculation using the EPA HERS Index Target Procedure.</t>
  </si>
  <si>
    <t>NGBS Green Verification report completed by Accredited Verifier serves as documentation.</t>
  </si>
  <si>
    <t>3rd party duct leakage test report</t>
  </si>
  <si>
    <r>
      <rPr>
        <b/>
        <sz val="10"/>
        <color theme="1"/>
        <rFont val="Calibri"/>
        <family val="2"/>
        <scheme val="minor"/>
      </rPr>
      <t>MANDATORY</t>
    </r>
    <r>
      <rPr>
        <sz val="10"/>
        <color theme="1"/>
        <rFont val="Calibri"/>
        <family val="2"/>
        <scheme val="minor"/>
      </rPr>
      <t xml:space="preserve"> None.</t>
    </r>
  </si>
  <si>
    <t>Analysis or reports from appropriate building modeling software used during design by the design team to estimate expected annual energy and water use for the building. The expected energy and water use will set the performance baseline for the building and the calculations must be included in the building owner’s manual.
Building owner’s manual must include a plan where actual energy and water use can be compared to the expected energy and water use. The plan must provide for measurement and verification of the energy and water use at least every four years after initial occupancy. The building owner can select to review energy and water use at a more frequent schedule. Further, if the building owner’s manual must energy or water use exceed the design baseline by more than 20% on an annualized basis, the owner will further investigate and resolve any issues found, or recommend further corrections or modifications to meet the efficiency standards.</t>
  </si>
  <si>
    <t>NGBS Scoring for New Construction
ICC/ASHRAE 700-2015 National Green Building Standard™</t>
  </si>
  <si>
    <t>This workbook will be updated periodically.  Before scoring a project, check if you have the latest version.</t>
  </si>
  <si>
    <t>This scoring tool was developed using Microsoft Excel for PC. Features of this spreadsheet may not work in older Excel versions, in spreadsheet software other than Excel, or platforms other than Windows.</t>
  </si>
  <si>
    <t>This tool follows 3 distinct phases: the Design phase, Rough Verification, and Final Verfication.
While the Design Phase is not required to earn certification, it is helpful in the overall process.
Two Verification phases ARE required, with one occuring following rough-in and the second occuring after construction is complete.</t>
  </si>
  <si>
    <r>
      <rPr>
        <b/>
        <sz val="11"/>
        <color theme="1"/>
        <rFont val="Calibri"/>
        <family val="2"/>
        <scheme val="minor"/>
      </rPr>
      <t>Chapters 5 through 10</t>
    </r>
    <r>
      <rPr>
        <sz val="11"/>
        <color theme="1"/>
        <rFont val="Calibri"/>
        <family val="2"/>
        <scheme val="minor"/>
      </rPr>
      <t xml:space="preserve"> are for the design phase. Claim practices using checkboxes, dropdowns, and number entry. Practices are colored based on their availability (see Key below).</t>
    </r>
  </si>
  <si>
    <r>
      <t xml:space="preserve">Verifiers should begin with the </t>
    </r>
    <r>
      <rPr>
        <b/>
        <sz val="11"/>
        <color theme="1"/>
        <rFont val="Calibri"/>
        <family val="2"/>
        <scheme val="minor"/>
      </rPr>
      <t>Overview (Verification)</t>
    </r>
    <r>
      <rPr>
        <sz val="11"/>
        <color theme="1"/>
        <rFont val="Calibri"/>
        <family val="2"/>
        <scheme val="minor"/>
      </rPr>
      <t xml:space="preserve"> page. Verifiers must confirm the information on the </t>
    </r>
    <r>
      <rPr>
        <b/>
        <sz val="11"/>
        <color theme="1"/>
        <rFont val="Calibri"/>
        <family val="2"/>
        <scheme val="minor"/>
      </rPr>
      <t>Overview (Design)</t>
    </r>
    <r>
      <rPr>
        <sz val="11"/>
        <color theme="1"/>
        <rFont val="Calibri"/>
        <family val="2"/>
        <scheme val="minor"/>
      </rPr>
      <t xml:space="preserve"> page. If any information is incorrect, uncheck the corresponding checkbox and enter the correct information here.</t>
    </r>
  </si>
  <si>
    <t>R/F</t>
  </si>
  <si>
    <t>606.0</t>
  </si>
  <si>
    <t>605.0</t>
  </si>
  <si>
    <t>603.0</t>
  </si>
  <si>
    <t>505.0</t>
  </si>
  <si>
    <t>1003.0</t>
  </si>
  <si>
    <t>1004.0</t>
  </si>
  <si>
    <t>901.0</t>
  </si>
  <si>
    <t>Plans/specifications for active systems.</t>
  </si>
  <si>
    <t>Plans/construction documents showing flashing details at all required locations</t>
  </si>
  <si>
    <t>Address of Home:</t>
  </si>
  <si>
    <t>Certification Level - Final:</t>
  </si>
  <si>
    <t>Builder Comments:</t>
  </si>
  <si>
    <t>rgherror</t>
  </si>
  <si>
    <t>There are errors in the Verification Report Sheet!</t>
  </si>
  <si>
    <t>There is missing mandatory information on this sheet!</t>
  </si>
  <si>
    <t>X = not allowed, any length of duct of this size with assumed turns and fitting will exceed the rated pressure drop.</t>
  </si>
  <si>
    <t>NL = no limit on duct length of this size.</t>
  </si>
  <si>
    <t>This table assumes no elbows. Deduct 15 ft (5 m) of allowable duct length for each elbow.</t>
  </si>
  <si>
    <t>NL</t>
  </si>
  <si>
    <t>7 (175) and above</t>
  </si>
  <si>
    <t>145 (48)</t>
  </si>
  <si>
    <t>95 (32)</t>
  </si>
  <si>
    <t>125 (42)</t>
  </si>
  <si>
    <t>6 (150)</t>
  </si>
  <si>
    <t>55 (18)</t>
  </si>
  <si>
    <t>85 (28)</t>
  </si>
  <si>
    <t>135 (45)</t>
  </si>
  <si>
    <t>20 (7)</t>
  </si>
  <si>
    <t>35 (12)</t>
  </si>
  <si>
    <t>70 (27)</t>
  </si>
  <si>
    <t>5 (125)</t>
  </si>
  <si>
    <t>5 (2)</t>
  </si>
  <si>
    <t>105 (35)</t>
  </si>
  <si>
    <t>3 (1)</t>
  </si>
  <si>
    <t>4 (100)</t>
  </si>
  <si>
    <t>3 (75)</t>
  </si>
  <si>
    <t>Maximum Length, ft (m)</t>
  </si>
  <si>
    <t>Diameter, in. (mm)</t>
  </si>
  <si>
    <t>(L/s @ 62.5 Pa)</t>
  </si>
  <si>
    <t>cfm @ 0.25 in. w.g.</t>
  </si>
  <si>
    <t>Smooth Duct</t>
  </si>
  <si>
    <t>Flex Duct</t>
  </si>
  <si>
    <t>Fan Rating</t>
  </si>
  <si>
    <t>Duct Type</t>
  </si>
  <si>
    <t>Prescriptive Duct Sizing</t>
  </si>
  <si>
    <t>TABLE A201</t>
  </si>
  <si>
    <r>
      <t>A201.1</t>
    </r>
    <r>
      <rPr>
        <sz val="10"/>
        <color theme="1"/>
        <rFont val="Arial"/>
        <family val="2"/>
      </rPr>
      <t xml:space="preserve"> </t>
    </r>
    <r>
      <rPr>
        <b/>
        <sz val="10"/>
        <color theme="1"/>
        <rFont val="Arial"/>
        <family val="2"/>
      </rPr>
      <t xml:space="preserve">Airflow rating. </t>
    </r>
    <r>
      <rPr>
        <sz val="10"/>
        <color theme="1"/>
        <rFont val="Arial"/>
        <family val="2"/>
      </rPr>
      <t>The airflows required by this standard refer to the delivered airflow of the system as installed and tested using a flow hood, flow grid, or other airflow measuring device. Alternatively, the airflow rating at a pressure of 0.25 in. w.c. (62.5 Pa) may be used, provided the duct sizing meets the prescriptive requirements of Table A201 or manufacturers’ design criteria.</t>
    </r>
  </si>
  <si>
    <t>AIR FLOW RATING</t>
  </si>
  <si>
    <t>A200</t>
  </si>
  <si>
    <r>
      <t>A101.3 Acknowledgment.</t>
    </r>
    <r>
      <rPr>
        <sz val="10"/>
        <color theme="1"/>
        <rFont val="Arial"/>
        <family val="2"/>
      </rPr>
      <t xml:space="preserve"> The text of Appendix A, Section A200 and related Table are extracted from ASHRAE (American Society of Heating, Refrigerating and Air-Conditioning Engineers, Inc.) Standard 62.2-2007 </t>
    </r>
    <r>
      <rPr>
        <i/>
        <sz val="10"/>
        <color theme="1"/>
        <rFont val="Arial"/>
        <family val="2"/>
      </rPr>
      <t>Ventilation and Acceptable Indoor Air Quality in Low-Rise Residential Buildings</t>
    </r>
    <r>
      <rPr>
        <sz val="10"/>
        <color theme="1"/>
        <rFont val="Arial"/>
        <family val="2"/>
      </rPr>
      <t>, Section 7.3 and Table 7.1, respectively, and is used with the permission of ASHRAE. The referenced Section and Table numbers within the extracted text are modified to be applicable to Appendix A of this Standard.</t>
    </r>
  </si>
  <si>
    <r>
      <t>A101.2 Scope.</t>
    </r>
    <r>
      <rPr>
        <sz val="10"/>
        <color theme="1"/>
        <rFont val="Arial"/>
        <family val="2"/>
      </rPr>
      <t xml:space="preserve"> The provisions contained in Appendix A provide the criteria necessary for complying with Section 901.3(1)(c) for the installation of ducted exhaust fans in garages. To receive points for implementing Practice 901.3(1)(c), the fan airflow rating and duct sizing for ducted exhaust fans are to be in accordance with the applicable criteria of Appendix A.</t>
    </r>
  </si>
  <si>
    <r>
      <t>A101.1 Applicability of Appendix A.</t>
    </r>
    <r>
      <rPr>
        <sz val="10"/>
        <color theme="1"/>
        <rFont val="Arial"/>
        <family val="2"/>
      </rPr>
      <t xml:space="preserve"> Appendix A is part of this Standard. </t>
    </r>
  </si>
  <si>
    <t>SCOPE AND APPLICABILITY</t>
  </si>
  <si>
    <t>A100</t>
  </si>
  <si>
    <t>DUCTED GARAGE EXHAUST FAN SIZING CRITERIA</t>
  </si>
  <si>
    <t>APPENDIX A</t>
  </si>
  <si>
    <r>
      <t xml:space="preserve">Exception: </t>
    </r>
    <r>
      <rPr>
        <sz val="10"/>
        <color theme="1"/>
        <rFont val="Arial"/>
        <family val="2"/>
      </rPr>
      <t>These ventilation strategies are not restricted if the authority having jurisdiction approves the envelope design as being moisture resistant.</t>
    </r>
  </si>
  <si>
    <r>
      <t xml:space="preserve">B201.6.2 Very Cold Climates. </t>
    </r>
    <r>
      <rPr>
        <sz val="10"/>
        <color theme="1"/>
        <rFont val="Arial"/>
        <family val="2"/>
      </rPr>
      <t>Mechanical supply systems exceeding 7.5 cfm per 100 ft</t>
    </r>
    <r>
      <rPr>
        <vertAlign val="superscript"/>
        <sz val="10"/>
        <color theme="1"/>
        <rFont val="Arial"/>
        <family val="2"/>
      </rPr>
      <t>2</t>
    </r>
    <r>
      <rPr>
        <sz val="10"/>
        <color theme="1"/>
        <rFont val="Arial"/>
        <family val="2"/>
      </rPr>
      <t xml:space="preserve"> (35 L/s per 100 m</t>
    </r>
    <r>
      <rPr>
        <vertAlign val="superscript"/>
        <sz val="10"/>
        <color theme="1"/>
        <rFont val="Arial"/>
        <family val="2"/>
      </rPr>
      <t>2</t>
    </r>
    <r>
      <rPr>
        <sz val="10"/>
        <color theme="1"/>
        <rFont val="Arial"/>
        <family val="2"/>
      </rPr>
      <t>) shall not be used in very cold climates. (See ASHRAE 62.2*, Section 8 for a listing of very cold US climates.)</t>
    </r>
  </si>
  <si>
    <r>
      <t xml:space="preserve">B201.6.1 Hot, Humid Climates. </t>
    </r>
    <r>
      <rPr>
        <sz val="10"/>
        <color theme="1"/>
        <rFont val="Arial"/>
        <family val="2"/>
      </rPr>
      <t>In hot, humid climates, whole-house mechanical net exhaust flow shall not exceed 7.5 cfm per 100 ft</t>
    </r>
    <r>
      <rPr>
        <vertAlign val="superscript"/>
        <sz val="10"/>
        <color theme="1"/>
        <rFont val="Arial"/>
        <family val="2"/>
      </rPr>
      <t>2</t>
    </r>
    <r>
      <rPr>
        <sz val="10"/>
        <color theme="1"/>
        <rFont val="Arial"/>
        <family val="2"/>
      </rPr>
      <t xml:space="preserve"> (35 L/s per 100 m</t>
    </r>
    <r>
      <rPr>
        <vertAlign val="superscript"/>
        <sz val="10"/>
        <color theme="1"/>
        <rFont val="Arial"/>
        <family val="2"/>
      </rPr>
      <t>2</t>
    </r>
    <r>
      <rPr>
        <sz val="10"/>
        <color theme="1"/>
        <rFont val="Arial"/>
        <family val="2"/>
      </rPr>
      <t>). (See ASHRAE 62.2*, Section 8 for a listing of hot, humid US climates.)</t>
    </r>
  </si>
  <si>
    <r>
      <t>B201.6</t>
    </r>
    <r>
      <rPr>
        <sz val="10"/>
        <color theme="1"/>
        <rFont val="Arial"/>
        <family val="2"/>
      </rPr>
      <t xml:space="preserve"> </t>
    </r>
    <r>
      <rPr>
        <b/>
        <sz val="10"/>
        <color theme="1"/>
        <rFont val="Arial"/>
        <family val="2"/>
      </rPr>
      <t>Restrictions on System Type.</t>
    </r>
    <r>
      <rPr>
        <sz val="10"/>
        <color theme="1"/>
        <rFont val="Arial"/>
        <family val="2"/>
      </rPr>
      <t xml:space="preserve"> Use of certain ventilation strategies is restricted in specific climates as follows.</t>
    </r>
  </si>
  <si>
    <t xml:space="preserve">For values not listed, use the next higher value for cycle time or the next lower value for Fractional On-Time. Linear interpolation is allowed for intermediate Fractional On-Times. The maximum allowed Cycle Time is 24 hours and the minimum allowed Fractional On-Time is 0.1. </t>
  </si>
  <si>
    <t xml:space="preserve">See Chapter 10 of Guideline 24 for an example of this calculation. </t>
  </si>
  <si>
    <t>*</t>
  </si>
  <si>
    <t>0-4</t>
  </si>
  <si>
    <r>
      <t>Cycle Time, T</t>
    </r>
    <r>
      <rPr>
        <b/>
        <vertAlign val="subscript"/>
        <sz val="10"/>
        <color theme="1"/>
        <rFont val="Arial"/>
        <family val="2"/>
      </rPr>
      <t xml:space="preserve">cyc </t>
    </r>
    <r>
      <rPr>
        <b/>
        <sz val="10"/>
        <color theme="1"/>
        <rFont val="Arial"/>
        <family val="2"/>
      </rPr>
      <t>(h)</t>
    </r>
  </si>
  <si>
    <t xml:space="preserve">Fractional On-Time, </t>
  </si>
  <si>
    <t>Ventilation Effectiveness for Intermittent Fans</t>
  </si>
  <si>
    <t>TABLE B201.5</t>
  </si>
  <si>
    <t>fractional on time, defined as the on-time for one cycle divided by the cycle time</t>
  </si>
  <si>
    <t>=</t>
  </si>
  <si>
    <t>ventilation effectiveness (from Table B201.5)</t>
  </si>
  <si>
    <t>fan cycle time, defined as the total time for one on-cycle and one off-cycle (used in Table B201.5)</t>
  </si>
  <si>
    <r>
      <t>T</t>
    </r>
    <r>
      <rPr>
        <i/>
        <vertAlign val="subscript"/>
        <sz val="10"/>
        <color theme="1"/>
        <rFont val="Times New Roman"/>
        <family val="1"/>
      </rPr>
      <t>cyc</t>
    </r>
  </si>
  <si>
    <t>ventilation air requirement (from Table B201.1a or B201.1b)</t>
  </si>
  <si>
    <t>fan flow rate during the on-cycle</t>
  </si>
  <si>
    <t>where</t>
  </si>
  <si>
    <t>Equation B201.5</t>
  </si>
  <si>
    <r>
      <t xml:space="preserve">Exception: </t>
    </r>
    <r>
      <rPr>
        <sz val="10"/>
        <color theme="1"/>
        <rFont val="Arial"/>
        <family val="2"/>
      </rPr>
      <t>The effective ventilation rate of an intermittent system is the combination of its delivered capacity, its daily fractional on-time, cycle time, and the ventilation effectiveness from Table B201.2. The fan flow rate required to achieve an effective ventilation rate that is equivalent to the continuous ventilation requirement shall be calculated from the following equation:</t>
    </r>
  </si>
  <si>
    <r>
      <t>B201.5</t>
    </r>
    <r>
      <rPr>
        <sz val="10"/>
        <color theme="1"/>
        <rFont val="Arial"/>
        <family val="2"/>
      </rPr>
      <t xml:space="preserve"> </t>
    </r>
    <r>
      <rPr>
        <b/>
        <sz val="10"/>
        <color theme="1"/>
        <rFont val="Arial"/>
        <family val="2"/>
      </rPr>
      <t>Delivered Ventilation.</t>
    </r>
    <r>
      <rPr>
        <sz val="10"/>
        <color theme="1"/>
        <rFont val="Arial"/>
        <family val="2"/>
      </rPr>
      <t xml:space="preserve"> The delivered ventilation rate shall be calculated as the larger of the total supply or total exhaust and shall be no less than specified in Section B201.1 during each hour of operation.</t>
    </r>
  </si>
  <si>
    <r>
      <t xml:space="preserve">Exception: </t>
    </r>
    <r>
      <rPr>
        <sz val="10"/>
        <color theme="1"/>
        <rFont val="Arial"/>
        <family val="2"/>
      </rPr>
      <t>An intermittently operating, whole-house mechanical ventilation system may be used if the ventilation rate is adjusted, according to the exception to Section B201.5. The system must be designed so that it can operate automatically based on a timer. The intermittent mechanical ventilation system must operate at least once per day and must operate at least 10 percent of the time.</t>
    </r>
  </si>
  <si>
    <r>
      <t>B201.4</t>
    </r>
    <r>
      <rPr>
        <sz val="10"/>
        <color theme="1"/>
        <rFont val="Arial"/>
        <family val="2"/>
      </rPr>
      <t xml:space="preserve"> </t>
    </r>
    <r>
      <rPr>
        <b/>
        <sz val="10"/>
        <color theme="1"/>
        <rFont val="Arial"/>
        <family val="2"/>
      </rPr>
      <t>Control and Operation.</t>
    </r>
    <r>
      <rPr>
        <sz val="10"/>
        <color theme="1"/>
        <rFont val="Arial"/>
        <family val="2"/>
      </rPr>
      <t xml:space="preserve"> The “fan on” switch on a heating or air-conditioning system shall be permitted as an operational control for systems introducing ventilation air through a duct to the return side of an HVAC system. Readily accessible override control must be provided to the occupant. Local exhaust fan switches and “fan on” switches shall be permitted as override controls. Controls, including the “fan-on” switch of a conditioning system, must be appropriately labeled.</t>
    </r>
  </si>
  <si>
    <r>
      <t>B201.3</t>
    </r>
    <r>
      <rPr>
        <sz val="10"/>
        <color theme="1"/>
        <rFont val="Arial"/>
        <family val="2"/>
      </rPr>
      <t xml:space="preserve"> </t>
    </r>
    <r>
      <rPr>
        <b/>
        <sz val="10"/>
        <color theme="1"/>
        <rFont val="Arial"/>
        <family val="2"/>
      </rPr>
      <t xml:space="preserve">Airflow Measurement. </t>
    </r>
    <r>
      <rPr>
        <sz val="10"/>
        <color theme="1"/>
        <rFont val="Arial"/>
        <family val="2"/>
      </rPr>
      <t>The airflow required by this section is the quantity of outdoor ventilation air supplied and/or indoor air exhausted by the ventilation system as installed and shall be measured using a flow hood, flow grid, or other airflow measuring device. Ventilation airflow of systems with multiple operating modes shall be tested in all modes designed to meet this section.</t>
    </r>
  </si>
  <si>
    <r>
      <t>B201.2</t>
    </r>
    <r>
      <rPr>
        <sz val="10"/>
        <color theme="1"/>
        <rFont val="Arial"/>
        <family val="2"/>
      </rPr>
      <t xml:space="preserve"> </t>
    </r>
    <r>
      <rPr>
        <b/>
        <sz val="10"/>
        <color theme="1"/>
        <rFont val="Arial"/>
        <family val="2"/>
      </rPr>
      <t xml:space="preserve">System Type. </t>
    </r>
    <r>
      <rPr>
        <sz val="10"/>
        <color theme="1"/>
        <rFont val="Arial"/>
        <family val="2"/>
      </rPr>
      <t>The whole-house ventilation system shall consist of one or more supply or exhaust fans and associated ducts and controls. Local exhaust fans shall be permitted to be part of a mechanical exhaust system. Outdoor air ducts connected to the return side of an air handler shall be permitted as supply ventilation if manufacturers’ requirements for return air temperature are met. See ASHRAE 62.2*, Appendix B for guidance on selection of methods.</t>
    </r>
  </si>
  <si>
    <r>
      <t>[1]</t>
    </r>
    <r>
      <rPr>
        <sz val="12"/>
        <color theme="1"/>
        <rFont val="Arial"/>
        <family val="2"/>
      </rPr>
      <t xml:space="preserve"> </t>
    </r>
    <r>
      <rPr>
        <i/>
        <sz val="9"/>
        <color theme="1"/>
        <rFont val="Arial"/>
        <family val="2"/>
      </rPr>
      <t xml:space="preserve">ANSI/ASHRAE Standard 136-1993 (RA 2006), A Method of Determining Air Change Rates in Detached Dwellings. </t>
    </r>
    <r>
      <rPr>
        <sz val="9"/>
        <color theme="1"/>
        <rFont val="Arial"/>
        <family val="2"/>
      </rPr>
      <t>American Society of Heating, Refrigerating and Air-Conditioning Engineers, Inc., Atlanta, GA.</t>
    </r>
  </si>
  <si>
    <t>&gt;697</t>
  </si>
  <si>
    <t>557.1–697</t>
  </si>
  <si>
    <t>418.1–557</t>
  </si>
  <si>
    <t>279.1–418</t>
  </si>
  <si>
    <t>139.1–279</t>
  </si>
  <si>
    <t>&lt;139</t>
  </si>
  <si>
    <t>&gt;7</t>
  </si>
  <si>
    <t>6–7</t>
  </si>
  <si>
    <t>4–5</t>
  </si>
  <si>
    <t>2–3</t>
  </si>
  <si>
    <t>0–1</t>
  </si>
  <si>
    <r>
      <t>(m</t>
    </r>
    <r>
      <rPr>
        <b/>
        <vertAlign val="superscript"/>
        <sz val="10"/>
        <color theme="1"/>
        <rFont val="Arial"/>
        <family val="2"/>
      </rPr>
      <t>2</t>
    </r>
    <r>
      <rPr>
        <b/>
        <sz val="10"/>
        <color theme="1"/>
        <rFont val="Arial"/>
        <family val="2"/>
      </rPr>
      <t>)</t>
    </r>
  </si>
  <si>
    <t>Bedrooms</t>
  </si>
  <si>
    <t>Floor Area</t>
  </si>
  <si>
    <t>Ventilation Air Requirements, L/s</t>
  </si>
  <si>
    <t>TABLE B201.1b (SI)</t>
  </si>
  <si>
    <t>&gt;7500</t>
  </si>
  <si>
    <t>6001–7500</t>
  </si>
  <si>
    <t>4501–6000</t>
  </si>
  <si>
    <t>3001–4500</t>
  </si>
  <si>
    <t>1501–3000</t>
  </si>
  <si>
    <t>&lt;1500</t>
  </si>
  <si>
    <r>
      <t>(ft</t>
    </r>
    <r>
      <rPr>
        <b/>
        <vertAlign val="superscript"/>
        <sz val="10"/>
        <color theme="1"/>
        <rFont val="Arial"/>
        <family val="2"/>
      </rPr>
      <t>2</t>
    </r>
    <r>
      <rPr>
        <b/>
        <sz val="10"/>
        <color theme="1"/>
        <rFont val="Arial"/>
        <family val="2"/>
      </rPr>
      <t>)</t>
    </r>
  </si>
  <si>
    <t>Ventilation Air Requirements, cfm</t>
  </si>
  <si>
    <t>TABLE B201.1a (I-P)</t>
  </si>
  <si>
    <t>number of bedrooms; not to be less than one</t>
  </si>
  <si>
    <r>
      <t>floor area, m</t>
    </r>
    <r>
      <rPr>
        <vertAlign val="superscript"/>
        <sz val="10"/>
        <color theme="1"/>
        <rFont val="Arial"/>
        <family val="2"/>
      </rPr>
      <t>2</t>
    </r>
  </si>
  <si>
    <t>fan flow rate, L/s</t>
  </si>
  <si>
    <t>Equation B201.1b</t>
  </si>
  <si>
    <r>
      <t>floor area, ft</t>
    </r>
    <r>
      <rPr>
        <vertAlign val="superscript"/>
        <sz val="10"/>
        <color theme="1"/>
        <rFont val="Arial"/>
        <family val="2"/>
      </rPr>
      <t>2</t>
    </r>
  </si>
  <si>
    <t>fan flow rate, cfm</t>
  </si>
  <si>
    <t>Equation B201.1a</t>
  </si>
  <si>
    <r>
      <rPr>
        <b/>
        <sz val="10"/>
        <color theme="1"/>
        <rFont val="Arial"/>
        <family val="2"/>
      </rPr>
      <t>B201.1.3 Infiltration Credit.</t>
    </r>
    <r>
      <rPr>
        <sz val="10"/>
        <color theme="1"/>
        <rFont val="Arial"/>
        <family val="2"/>
      </rPr>
      <t xml:space="preserve"> Section B201.1 includes a default credit for ventilation provided by infiltration of 2 cfm/100 ft2 (10 L/s per 100 m2) of occupiable floor space. For buildings built prior to the application of this standard, when excess infiltration has been measured using ANSI/ASHRAE Standard 136, A Method of Determining Air Change Rates in Detached Dwellings,</t>
    </r>
    <r>
      <rPr>
        <vertAlign val="superscript"/>
        <sz val="10"/>
        <color theme="1"/>
        <rFont val="Arial"/>
        <family val="2"/>
      </rPr>
      <t>[1]</t>
    </r>
    <r>
      <rPr>
        <sz val="10"/>
        <color theme="1"/>
        <rFont val="Arial"/>
        <family val="2"/>
      </rPr>
      <t xml:space="preserve"> the rates in Section B201.1 may be decreased by half of the excess of the rate calculated from Standard 136 that is above the default rate. No increase to the rate in Section B201.1 is required if measured infiltration in accordance with Standard 136 is lower than the default rate. </t>
    </r>
  </si>
  <si>
    <r>
      <t>B201.1.2 Alternative Ventilation</t>
    </r>
    <r>
      <rPr>
        <sz val="10"/>
        <color theme="1"/>
        <rFont val="Arial"/>
        <family val="2"/>
      </rPr>
      <t>. Other methods may be used to provide the required ventilation rates (of Tables B201.1a and B201.1b) when approved by a licensed design professional.</t>
    </r>
  </si>
  <si>
    <r>
      <t xml:space="preserve">B201.1.1 Different Occupant Density. </t>
    </r>
    <r>
      <rPr>
        <sz val="10"/>
        <color theme="1"/>
        <rFont val="Arial"/>
        <family val="2"/>
      </rPr>
      <t>Tables B201.1a and B201.1b and Equations B201.1a and B201.1b assume two persons in a studio or one-bedroom dwelling unit and an additional person for each additional bedroom. Where higher occupant densities are known, the rate shall be increased by 7.5 cfm (3.5 L/s) for each additional person. When approved by the authority having jurisdiction, lower occupant densities may be used.</t>
    </r>
  </si>
  <si>
    <r>
      <t xml:space="preserve">and </t>
    </r>
    <r>
      <rPr>
        <sz val="10"/>
        <color theme="1"/>
        <rFont val="Arial"/>
        <family val="2"/>
      </rPr>
      <t>if the authority having jurisdiction determines that window operation is a locally permissible method of providing ventilation.</t>
    </r>
  </si>
  <si>
    <t>the building is thermally conditioned for human occupancy for less than 876 hours per year,</t>
  </si>
  <si>
    <r>
      <t>(b)</t>
    </r>
    <r>
      <rPr>
        <sz val="10"/>
        <color theme="1"/>
        <rFont val="Arial"/>
        <family val="2"/>
      </rPr>
      <t xml:space="preserve"> </t>
    </r>
  </si>
  <si>
    <t>the building has no mechanical cooling and is in zone 1 or 2 of the ICC* IECC Climate Zone Map (see ASHRAE 62.2*, Figure 8.2), or</t>
  </si>
  <si>
    <r>
      <t>(a)</t>
    </r>
    <r>
      <rPr>
        <sz val="10"/>
        <color theme="1"/>
        <rFont val="Arial"/>
        <family val="2"/>
      </rPr>
      <t xml:space="preserve"> </t>
    </r>
  </si>
  <si>
    <r>
      <t xml:space="preserve">Exceptions: </t>
    </r>
    <r>
      <rPr>
        <sz val="10"/>
        <color theme="1"/>
        <rFont val="Arial"/>
        <family val="2"/>
      </rPr>
      <t>Whole-building mechanical systems are not required provided that at least one of the following conditions is met:</t>
    </r>
  </si>
  <si>
    <r>
      <t>B201.1</t>
    </r>
    <r>
      <rPr>
        <sz val="10"/>
        <color theme="1"/>
        <rFont val="Arial"/>
        <family val="2"/>
      </rPr>
      <t xml:space="preserve"> </t>
    </r>
    <r>
      <rPr>
        <b/>
        <sz val="10"/>
        <color theme="1"/>
        <rFont val="Arial"/>
        <family val="2"/>
      </rPr>
      <t>Ventilation Rate.</t>
    </r>
    <r>
      <rPr>
        <sz val="10"/>
        <color theme="1"/>
        <rFont val="Arial"/>
        <family val="2"/>
      </rPr>
      <t xml:space="preserve"> A mechanical exhaust system, supply system, or combination thereof shall be installed for each dwelling unit to provide whole-building ventilation with outdoor air each hour at no less than the rate specified in Tables B201.1a and B201.1b or, equivalently, Equations B201.1a and B201.1b, based on the floor area of the conditioned space and number of bedrooms.</t>
    </r>
  </si>
  <si>
    <t>WHOLE-BUILDING VENTILATION</t>
  </si>
  <si>
    <t>B200</t>
  </si>
  <si>
    <r>
      <t>B101.3 Acknowledgment.</t>
    </r>
    <r>
      <rPr>
        <sz val="10"/>
        <color theme="1"/>
        <rFont val="Arial"/>
        <family val="2"/>
      </rPr>
      <t xml:space="preserve"> The text of Appendix B, Section B200 and related Tables are extracted from ASHRAE (American Society of Heating, Refrigerating and Air-Conditioning Engineers, Inc.) Standard 62.2-2010 </t>
    </r>
    <r>
      <rPr>
        <i/>
        <sz val="10"/>
        <color theme="1"/>
        <rFont val="Arial"/>
        <family val="2"/>
      </rPr>
      <t>Ventilation and Acceptable Indoor Air Quality in Low-Rise Residential Buildings</t>
    </r>
    <r>
      <rPr>
        <sz val="10"/>
        <color theme="1"/>
        <rFont val="Arial"/>
        <family val="2"/>
      </rPr>
      <t>, Section 4, and is used with the permission of ASHRAE. The referenced Section and Table numbers within the extracted text are modified to be applicable to Appendix B of this Standard. “*” indicates added reference to ICC or ASHRAE 62.2 to provide clarity.</t>
    </r>
  </si>
  <si>
    <r>
      <t>B101.2 Scope.</t>
    </r>
    <r>
      <rPr>
        <sz val="10"/>
        <color theme="1"/>
        <rFont val="Arial"/>
        <family val="2"/>
      </rPr>
      <t xml:space="preserve"> The provisions contained in Appendix B provide the specifications necessary for complying with Section 902.2.1 for the installation of whole building ventilation systems. To receive points for implementing Practice 902.2.1, the chosen whole building ventilation system is to be in accordance with the applicable specifications of Appendix B.</t>
    </r>
  </si>
  <si>
    <r>
      <t>B101.1 Applicability of Appendix B.</t>
    </r>
    <r>
      <rPr>
        <sz val="10"/>
        <color theme="1"/>
        <rFont val="Arial"/>
        <family val="2"/>
      </rPr>
      <t xml:space="preserve"> Appendix B is part of this Standard. </t>
    </r>
  </si>
  <si>
    <t>B100</t>
  </si>
  <si>
    <t>WHOLE BUILDING VENTILATION SYSTEM SPECIFICATIONS</t>
  </si>
  <si>
    <t>APPENDIX B</t>
  </si>
  <si>
    <t>(877) 854-3577</t>
  </si>
  <si>
    <t>www.ul.com</t>
  </si>
  <si>
    <t>Northbrook, IL 60062-2096</t>
  </si>
  <si>
    <t>333 Pfingsten Road</t>
  </si>
  <si>
    <t>Underwriters Laboratories Inc.</t>
  </si>
  <si>
    <t>UL 2768</t>
  </si>
  <si>
    <t>(202) 872-6400</t>
  </si>
  <si>
    <t xml:space="preserve">http://www.greenseal.org/ </t>
  </si>
  <si>
    <t>Washington, DC 20036-5525</t>
  </si>
  <si>
    <t>1001 Connecticut Avenue, NW, Suite 827</t>
  </si>
  <si>
    <t>Green Seal</t>
  </si>
  <si>
    <t>Green Seal-11 Standard for Paints and Coatings</t>
  </si>
  <si>
    <t>(510) 452-8000</t>
  </si>
  <si>
    <t xml:space="preserve">http://www.scscertified.com </t>
  </si>
  <si>
    <t>Emeryville, California 94608</t>
  </si>
  <si>
    <t>2000 Powell Street, Suite 600</t>
  </si>
  <si>
    <t>Scientific Certification Systems</t>
  </si>
  <si>
    <t>Scientific Certification Systems (SCS) Indoor Advantage Gold Program</t>
  </si>
  <si>
    <t xml:space="preserve">http://www.rfci.com </t>
  </si>
  <si>
    <t>LaGrange, Georgia 30240</t>
  </si>
  <si>
    <t>115 Broad Street, Suite 201</t>
  </si>
  <si>
    <t>Resilient Floor Covering Institute</t>
  </si>
  <si>
    <t>Resilient Floor Covering Institute’s FloorScore Indoor Air Certification Program</t>
  </si>
  <si>
    <t xml:space="preserve">www.ul.com </t>
  </si>
  <si>
    <t>Underwriters Laboratories Inc. 333 Pfingsten Road Northbrook, IL 60062-2096</t>
  </si>
  <si>
    <t>UL GREENGUARD Gold</t>
  </si>
  <si>
    <t>(706) 278-3176</t>
  </si>
  <si>
    <t>http://www.carpet-rug.org</t>
  </si>
  <si>
    <t>United States of America</t>
  </si>
  <si>
    <t>Dalton, Georgia 30720</t>
  </si>
  <si>
    <t>730 College Drive</t>
  </si>
  <si>
    <t>Carpet and Rug Institute</t>
  </si>
  <si>
    <t>Carpet and Rug Institute’s (CRI) Green Label Plus Indoor Air Quality Program</t>
  </si>
  <si>
    <t>(703) 264-1690</t>
  </si>
  <si>
    <t>www.kcma.org</t>
  </si>
  <si>
    <t>Reston, VA 20191</t>
  </si>
  <si>
    <t>1899 Preston White Drive</t>
  </si>
  <si>
    <t>Kitchen Cabinet Manufacturers Association</t>
  </si>
  <si>
    <t>Kitchen Cabinet Manufacturers Association (KCMA) Environmental Stewardship Program (ESP)</t>
  </si>
  <si>
    <t>Contact Information for the Program Administrator</t>
  </si>
  <si>
    <t>Third-party Certification Program</t>
  </si>
  <si>
    <t>Contact Information for the Example Third-party Certification Programs</t>
  </si>
  <si>
    <t>TABLE D200(2)</t>
  </si>
  <si>
    <t>UL GREENGUARD Gold Scientific Certifications Systems (SCS) Indoor Advantage Gold Program</t>
  </si>
  <si>
    <t>901.11 Insulation</t>
  </si>
  <si>
    <t>Green Seal-36 Standard for Adhesives for Commercial Use</t>
  </si>
  <si>
    <t>Scientific Certifications Systems (SCS) Indoor Advantage Gold Program</t>
  </si>
  <si>
    <t xml:space="preserve">UL GREENGUARD </t>
  </si>
  <si>
    <t>901.10 Adhesives and sealants</t>
  </si>
  <si>
    <t>901.9 Architectural coatings</t>
  </si>
  <si>
    <t>901.8 Wall coverings</t>
  </si>
  <si>
    <t>UL GREENGUARD Gold Resilient Floor Covering Institute’s FloorScore Indoor Air Certification Program</t>
  </si>
  <si>
    <t>901.7 Hard-surface flooring</t>
  </si>
  <si>
    <t>901.6 Carpets</t>
  </si>
  <si>
    <t xml:space="preserve">Kitchen Cabinet Manufacturers Association (KCMA) Environmental Stewardship Program (ESP) </t>
  </si>
  <si>
    <t>901.5 Cabinets</t>
  </si>
  <si>
    <t>Examples of Third-party Certification Programs Compliant with the Corresponding Section</t>
  </si>
  <si>
    <t>Related Section of Standard</t>
  </si>
  <si>
    <t>Examples of Third-party Certification Programs</t>
  </si>
  <si>
    <t>TABLE D200(1)</t>
  </si>
  <si>
    <t>CONFORMANCE</t>
  </si>
  <si>
    <t>D200</t>
  </si>
  <si>
    <r>
      <t>D101.2 Scope.</t>
    </r>
    <r>
      <rPr>
        <sz val="10"/>
        <color theme="1"/>
        <rFont val="Arial"/>
        <family val="2"/>
      </rPr>
      <t xml:space="preserve"> Appendix D provides examples of third-party programs for indoor environmental quality that can be used to demonstrate compliance with the applicable provisions of this Standard.</t>
    </r>
  </si>
  <si>
    <r>
      <t>D101.1 Applicability of Appendix D.</t>
    </r>
    <r>
      <rPr>
        <sz val="10"/>
        <color theme="1"/>
        <rFont val="Arial"/>
        <family val="2"/>
      </rPr>
      <t xml:space="preserve"> Appendix D is not part of this Standard. </t>
    </r>
  </si>
  <si>
    <t>D100</t>
  </si>
  <si>
    <t xml:space="preserve">EXAMPLES OF THIRD-PARTY PROGRAMS FOR INDOOR ENVIRONMENTAL QUALITY </t>
  </si>
  <si>
    <t xml:space="preserve">APPENDIX D </t>
  </si>
  <si>
    <t>The "Required Documentation" and "Verification Report" sheets have filters built in. You can use these filters to hide rows that are irrelevant to you.</t>
  </si>
  <si>
    <t>Advanced (filtering)</t>
  </si>
  <si>
    <t>The "Verification Report" sheet has three columns on the left: Chapter, Points, and Rough/Final. You can use each filter to hide practices that are not relevant to you.</t>
  </si>
  <si>
    <t>The filtering is easily undone and redone. Just click the arrow again and recheck each value you want to display.</t>
  </si>
  <si>
    <t>The points filtering is based on the current state of the design portion when the filter is applied. If the selected practices are changed, you will have to undo and redo the filtering.</t>
  </si>
  <si>
    <t>DO NOT SELECT "SORT". SORTING WILL NOT DO ANYTHING POSITIVE. IF YOU ACCIDENTALLY SORT SOMETHING, UNDO (CTRL + Z) AND IT SHOULD GO BACK TO NORMAL BUT MAY CRASH.</t>
  </si>
  <si>
    <t>filter column</t>
  </si>
  <si>
    <t>Use the notes column to add explanation or extra information regarding a practice. Some practices require a note of explanation and will indicate as such.</t>
  </si>
  <si>
    <t>CLICK TO PROCEED TO CHAPTER 5 &gt;&gt;</t>
  </si>
  <si>
    <t>Mandatory Information is missing on the Overview (Design) page!</t>
  </si>
  <si>
    <t>Ch7Max</t>
  </si>
  <si>
    <t>Ch8Max</t>
  </si>
  <si>
    <t>Mandatory info is missing from the Overview (Design) page!</t>
  </si>
  <si>
    <t>Mandatory Information is missing on the Overview (Verification) page!</t>
  </si>
  <si>
    <t>back to Verification Report</t>
  </si>
  <si>
    <r>
      <t xml:space="preserve">The </t>
    </r>
    <r>
      <rPr>
        <b/>
        <sz val="11"/>
        <color theme="1"/>
        <rFont val="Calibri"/>
        <family val="2"/>
        <scheme val="minor"/>
      </rPr>
      <t>Required Documentation</t>
    </r>
    <r>
      <rPr>
        <sz val="11"/>
        <color theme="1"/>
        <rFont val="Calibri"/>
        <family val="2"/>
        <scheme val="minor"/>
      </rPr>
      <t xml:space="preserve"> page shows the paperwork necessary if claiming certain practices. These can be filtered to only show those that were claimed in the Design phase.</t>
    </r>
  </si>
  <si>
    <t>version</t>
  </si>
  <si>
    <t>correction</t>
  </si>
  <si>
    <t>release date</t>
  </si>
  <si>
    <t>initial release</t>
  </si>
  <si>
    <t>Design Phase Notes</t>
  </si>
  <si>
    <t>Verifier Notes</t>
  </si>
  <si>
    <t>1001.0</t>
  </si>
  <si>
    <t>1002.0</t>
  </si>
  <si>
    <t>701.1</t>
  </si>
  <si>
    <t>902.0</t>
  </si>
  <si>
    <t>903.0</t>
  </si>
  <si>
    <t>904.0</t>
  </si>
  <si>
    <t>_1_</t>
  </si>
  <si>
    <t>_2_</t>
  </si>
  <si>
    <t>_3_</t>
  </si>
  <si>
    <t>601</t>
  </si>
  <si>
    <t>901</t>
  </si>
  <si>
    <t>1001</t>
  </si>
  <si>
    <t>3.1.0</t>
  </si>
  <si>
    <t>3.0.0</t>
  </si>
  <si>
    <t>corrected "additional points" display on Design Summary page; Corrected display error for some Design Phase Notes in Verification Report; Fixed Validation on Overview pages; Fixed elements related to backend</t>
  </si>
  <si>
    <t>3.2.0</t>
  </si>
  <si>
    <t>If you click on the arrow in the top left, you will see options for filtering out certain values. If you uncheck values other than "P", practices not chosen will be hidden.</t>
  </si>
  <si>
    <t>fixed 902.1.1(2) dropdown; Points are now available if no recessed lighting (705.2.4); Allow N/As in 901.2.1 when 901.2.2 selected; fixed checkbox for 901.2.2 in Verifier Report.</t>
  </si>
  <si>
    <r>
      <t xml:space="preserve">902.2.1 </t>
    </r>
    <r>
      <rPr>
        <sz val="10"/>
        <color theme="1"/>
        <rFont val="Calibri"/>
        <family val="2"/>
        <scheme val="minor"/>
      </rPr>
      <t xml:space="preserve">One of the following whole building ventilation systems is implemented and is in accordance with the specifications of Appendix B and an explanation of the operation and importance of the ventilation system is </t>
    </r>
    <r>
      <rPr>
        <b/>
        <sz val="10"/>
        <color theme="1"/>
        <rFont val="Calibri"/>
        <family val="2"/>
        <scheme val="minor"/>
      </rPr>
      <t>included in either 1001.1(9) or 1002.2(11)</t>
    </r>
    <r>
      <rPr>
        <sz val="10"/>
        <color theme="1"/>
        <rFont val="Calibri"/>
        <family val="2"/>
        <scheme val="minor"/>
      </rPr>
      <t>.</t>
    </r>
  </si>
  <si>
    <r>
      <t xml:space="preserve">This workbook allows you to score a new single-family or multifamily building to the ICC/ASHRAE 700-2015 National Green Building Standard™. Use of the NGBS Scoring workbook is the required entry point for Home Innovation’s NGBS Green Certification. This workbook is intended to be used in conjunction with the publications ICC/ASHRAE 700-2015 National Green Building Standard™.  Please read the Instructions below.  </t>
    </r>
    <r>
      <rPr>
        <b/>
        <sz val="11"/>
        <color rgb="FFFF0000"/>
        <rFont val="Calibri"/>
        <family val="2"/>
        <scheme val="minor"/>
      </rPr>
      <t>Excel 2010, 2013, or 2016 is required!</t>
    </r>
  </si>
  <si>
    <t>state entered incorrectly will no longer turn green; states now in alphabetical order in dropdown; changed how mandatories are indicated for 902.2.1 and 1001.1(9)/1002.2(11); added official support for Excel 2016</t>
  </si>
  <si>
    <t>3.3.0</t>
  </si>
  <si>
    <t>Conditioned Square Footage:</t>
  </si>
  <si>
    <t>"</t>
  </si>
  <si>
    <t>Coding</t>
  </si>
  <si>
    <t>Coding+Points</t>
  </si>
  <si>
    <t>points</t>
  </si>
  <si>
    <t>No Mandatory items missing on the "Overview (Design)" page</t>
  </si>
  <si>
    <t>On the far left of the "Required Documentation" sheet, there are three dynamic columns which change based on what you did in the design portion.</t>
  </si>
  <si>
    <t>(cont.) various interface tweaks; fixed 902.3 error; 801.6.3 now allows N/A; 901.13 &amp; 14 are now MF only; corrected Rough/Final for Ch. 7</t>
  </si>
  <si>
    <t>(cont.) added alternative to ACH50 (ELR50); added coding column to Design pages and Required Documentation.</t>
  </si>
  <si>
    <t>Filters</t>
  </si>
  <si>
    <t>3.3.1</t>
  </si>
  <si>
    <t>changed filtering appearance, added some clarifying language to the Final Signature page.</t>
  </si>
  <si>
    <t>Location:</t>
  </si>
  <si>
    <t>dstDesigner</t>
  </si>
  <si>
    <t>verProjectID</t>
  </si>
  <si>
    <t>3.3.2</t>
  </si>
  <si>
    <t>Added text to Design Summary; Fixed elements related to backend</t>
  </si>
  <si>
    <t>(format: hh:mm AM)</t>
  </si>
  <si>
    <r>
      <rPr>
        <b/>
        <sz val="11"/>
        <color theme="1"/>
        <rFont val="Calibri"/>
        <family val="2"/>
        <scheme val="minor"/>
      </rPr>
      <t>Inspection Dates</t>
    </r>
    <r>
      <rPr>
        <sz val="11"/>
        <color theme="1"/>
        <rFont val="Calibri"/>
        <family val="2"/>
        <scheme val="minor"/>
      </rPr>
      <t xml:space="preserve"> </t>
    </r>
    <r>
      <rPr>
        <i/>
        <sz val="8"/>
        <color theme="1"/>
        <rFont val="Calibri"/>
        <family val="2"/>
        <scheme val="minor"/>
      </rPr>
      <t>(if applicable)</t>
    </r>
  </si>
  <si>
    <t>back to 901.9.2</t>
  </si>
  <si>
    <t>Minor text fixes; fixed some hyperlinks that were unclickable; fill-in box formatting; 901.3 accepts N/As when not Mandatory</t>
  </si>
  <si>
    <t>required by IECC:</t>
  </si>
  <si>
    <t>(cont.)705.6.3 available without points, unlocking 801.1.6; 901.1.4 no longer locks out 901.2.2</t>
  </si>
  <si>
    <t>3.4.0</t>
  </si>
  <si>
    <t>3.5.0</t>
  </si>
  <si>
    <t>fixed 801.1.6 in verification phase; fixed Final Level calculation</t>
  </si>
  <si>
    <t>3.5.1</t>
  </si>
  <si>
    <t>behind the scenes changes</t>
  </si>
  <si>
    <t>rough</t>
  </si>
  <si>
    <t>dd name</t>
  </si>
  <si>
    <t>All rights reserved.  This document is protected by U.S. copyright law. Requirements from ICC/ASHRAE 700-2015 National Green Building Standard™ © 2017 National Association of Home Builders of the U.S. - used by permission.  Home Innovation authorizes use of this document only by those individuals/organizations participating in Home Innovation's NGBS Green program and solely for purpose of seeking NGBS Green certification from the Home Innovation Research Labs.</t>
  </si>
  <si>
    <t>© Home Innovation Research Labs, Inc., 2017. All rights reserved.</t>
  </si>
  <si>
    <t>3.6.0</t>
  </si>
  <si>
    <t>Reviewer Notes</t>
  </si>
  <si>
    <t>include</t>
  </si>
  <si>
    <t>photoRev</t>
  </si>
  <si>
    <t>fixed 602.1.12 points calculation; fixed part of 703.5.1 hiding inappropriately when filtering for points claimed; added reviewer column (internal) and photo review sheet</t>
  </si>
  <si>
    <t>photoRevList</t>
  </si>
  <si>
    <t>Not OK</t>
  </si>
  <si>
    <t>(cont.)701.1.1-3 no longer trigger a mandatory error during rough.</t>
  </si>
  <si>
    <t>check google maps or photo should appear developed</t>
  </si>
  <si>
    <t>look for sidewalk in foreground or check google</t>
  </si>
  <si>
    <t>use best judgement to confirm slope angle</t>
  </si>
  <si>
    <t>look at plants</t>
  </si>
  <si>
    <t>look at similar plants</t>
  </si>
  <si>
    <t>look for trees and shading</t>
  </si>
  <si>
    <t>look for silt fence</t>
  </si>
  <si>
    <t xml:space="preserve">look for silt fence </t>
  </si>
  <si>
    <t>look for silt fence or saftey fencing</t>
  </si>
  <si>
    <t>driveway appearance or google maps</t>
  </si>
  <si>
    <t>trees or other that create shading</t>
  </si>
  <si>
    <t>concrete driveway</t>
  </si>
  <si>
    <t>white or light roof color</t>
  </si>
  <si>
    <t>visual judgement</t>
  </si>
  <si>
    <t>visual confirmation</t>
  </si>
  <si>
    <t xml:space="preserve">trim </t>
  </si>
  <si>
    <t>windows</t>
  </si>
  <si>
    <t>tyvek, or green osb walls with tape</t>
  </si>
  <si>
    <t xml:space="preserve">look at front door and estimate # covered doors excluding garage </t>
  </si>
  <si>
    <t xml:space="preserve">visually estimate roof overhangs </t>
  </si>
  <si>
    <t>visual inspection</t>
  </si>
  <si>
    <t>look for gutters and or downspouts</t>
  </si>
  <si>
    <t>look for steps at the entery doors - fail</t>
  </si>
  <si>
    <t>look for chimney</t>
  </si>
  <si>
    <t>look for garage</t>
  </si>
  <si>
    <t>If photos appear to contradict the points claimed, 
please explain in the Notes field in the Verifier report.</t>
  </si>
  <si>
    <t>Practices that will be reviewed alongside 
the required photo documentation.</t>
  </si>
  <si>
    <t>3.7.0</t>
  </si>
  <si>
    <t>fixed mandatory errors appearing at rough for practices that are also available at final</t>
  </si>
  <si>
    <t>4.0.0</t>
  </si>
  <si>
    <t>3.7.1</t>
  </si>
  <si>
    <t>fixed 701.4.3.2  mandatory air sealing items and fixed 701.4.3.5 available for Final not Rough</t>
  </si>
  <si>
    <t>Mandatory</t>
  </si>
  <si>
    <t>highlight mandatory items on the right side of the Verification Report  worksheet, adjust workbook to work with 2015 updater tool.</t>
  </si>
  <si>
    <t>4.0.1</t>
  </si>
  <si>
    <t>adjusted Rough Sig and Final Sig. to work better with the 2015 Updater Tool</t>
  </si>
  <si>
    <t>2015 IECC</t>
  </si>
  <si>
    <t>4.0.2</t>
  </si>
  <si>
    <t>added 2015 IECC, 2015 IRC and 2015 IBC as selections in the pull down for the “Local Building Code”</t>
  </si>
  <si>
    <t>2015 IRC</t>
  </si>
  <si>
    <t>2015 IBC</t>
  </si>
  <si>
    <t>4.0.3</t>
  </si>
  <si>
    <t>Correct login in Section 705.6.2 to include multistory high-rise exception per IECC guidelines</t>
  </si>
  <si>
    <t>4.0.4</t>
  </si>
  <si>
    <t>Modified logic for ACH50 ch7</t>
  </si>
  <si>
    <t>703.3.3</t>
  </si>
  <si>
    <r>
      <t xml:space="preserve">Electric Heat Pump Heating for </t>
    </r>
    <r>
      <rPr>
        <b/>
        <sz val="10"/>
        <color theme="1"/>
        <rFont val="Calibri"/>
        <family val="2"/>
        <scheme val="minor"/>
      </rPr>
      <t>Multifamily Building Four or More Stories in Height</t>
    </r>
  </si>
  <si>
    <t>4.0.5</t>
  </si>
  <si>
    <t>Fixed 703.3.3(2); added missing content</t>
  </si>
  <si>
    <t>Section 703.1.2 is not required for Tropical Climate Zone or high rise multifamily</t>
  </si>
  <si>
    <t>(If applying multifamily exception and seeking points under 705.6.2.1, enter testing values within 705.6.2.1 section.)</t>
  </si>
  <si>
    <t>4.0.6</t>
  </si>
  <si>
    <t>Address Multifamily  exemptions in ch7 for buildings with 4 or more stories</t>
  </si>
  <si>
    <t>ACH50</t>
  </si>
  <si>
    <t>_1</t>
  </si>
  <si>
    <t>_2</t>
  </si>
  <si>
    <t>ELR50:</t>
  </si>
  <si>
    <t>Leakage</t>
  </si>
  <si>
    <t>Air leakage from 701.4.3.2 or 705.6.2.1</t>
  </si>
  <si>
    <t>4.0.7</t>
  </si>
  <si>
    <t>4.0.8</t>
  </si>
  <si>
    <t>modified Multifamily Exception for Prescriptive Path</t>
  </si>
  <si>
    <t>modified logic for ACH50  and ELR50 in chapter 7 and chapter 9</t>
  </si>
  <si>
    <t>4.0.9</t>
  </si>
  <si>
    <t>corrected 703.3.2 hashing error</t>
  </si>
  <si>
    <t>4.1.0</t>
  </si>
  <si>
    <t>902.3 "N/A" shown for addresses that are in the Tropical Zones and 703.2.5 mandatory note required when selected</t>
  </si>
  <si>
    <t>4.2.0</t>
  </si>
  <si>
    <t>2018 IECC</t>
  </si>
  <si>
    <t>2018 IBC</t>
  </si>
  <si>
    <t>2018 IRC</t>
  </si>
  <si>
    <r>
      <t xml:space="preserve">501.1 Lot. </t>
    </r>
    <r>
      <rPr>
        <sz val="10"/>
        <color theme="1"/>
        <rFont val="Calibri"/>
        <family val="2"/>
      </rPr>
      <t xml:space="preserve"> Lot is selected in accordance with Section 501.1(1) or Section 501.1(2).</t>
    </r>
  </si>
  <si>
    <t>A lot is selected within a site certified to this Standard or equivalent;</t>
  </si>
  <si>
    <t>A lot is selected to minimize environmental impact by one or more of the following:</t>
  </si>
  <si>
    <t>removed GCP from 606.2, adjusted R/F availability for 901.3(1), added local building and energy codes, unlocked "other" fields in overview, adjusted 501.1 to match NGBS, 503.7 now dropdown</t>
  </si>
  <si>
    <t>Construction activities are scheduled such that disturbed soil that is to be left unworked for more than 21 days is stabilized within 14 days.</t>
  </si>
  <si>
    <t>30 + (ENERGY STAR HERS Index Target – As Designed Home HERS) * 2</t>
  </si>
  <si>
    <t>ENERGY STAR HERS Index Target</t>
  </si>
  <si>
    <t>As Designed Home HERS</t>
  </si>
  <si>
    <t>Batch Submission:</t>
  </si>
  <si>
    <t>dstBatch</t>
  </si>
  <si>
    <t>• A batch can either consist of single-family homes or multifamily buildings; however, only NGBS Green Master Verifiers can batch multifamily.</t>
  </si>
  <si>
    <t>• All buildings must have substantially the same construction type and the same heating and cooling systems.</t>
  </si>
  <si>
    <t>• All inspections of the same type (rough or final) must be completed before submitting the report. All buildings must be inspected, and the inspection dates need to be included for each address.</t>
  </si>
  <si>
    <t>• All buildings within a batch listed earn the same certification level. Mandatory practices and points are only awarded for items that all buildings meet. Where applicable, the energy efficiency report for the worst-case in the batch must be submitted and values entered within the verification report.</t>
  </si>
  <si>
    <r>
      <rPr>
        <b/>
        <sz val="11"/>
        <color theme="1"/>
        <rFont val="Calibri"/>
        <family val="2"/>
        <scheme val="minor"/>
      </rPr>
      <t>Sampled Units</t>
    </r>
    <r>
      <rPr>
        <sz val="11"/>
        <color theme="1"/>
        <rFont val="Calibri"/>
        <family val="2"/>
        <scheme val="minor"/>
      </rPr>
      <t xml:space="preserve"> – If sampling was performed, either complete table below </t>
    </r>
    <r>
      <rPr>
        <u/>
        <sz val="11"/>
        <color theme="1"/>
        <rFont val="Calibri"/>
        <family val="2"/>
        <scheme val="minor"/>
      </rPr>
      <t>or</t>
    </r>
    <r>
      <rPr>
        <sz val="11"/>
        <color theme="1"/>
        <rFont val="Calibri"/>
        <family val="2"/>
        <scheme val="minor"/>
      </rPr>
      <t xml:space="preserve"> submit separate file (Excel or Word) with notes about which units were available and sampled.</t>
    </r>
  </si>
  <si>
    <t>Date(s) of Visit</t>
  </si>
  <si>
    <t>Number of Units Available for Inspection</t>
  </si>
  <si>
    <t>Number of Units Inspected (Identify Initial Set and Sampled)</t>
  </si>
  <si>
    <t>Sampling rate is below threshold required within Home Innovation’s Sampling Protocol. See VRG for more details.</t>
  </si>
  <si>
    <t>Sampling rate is potentially below threshold required within Home Innovation’s Sampling Protocol. NGBS Green Master Verifiers and Experienced Multifamily Verifiers (1,000+ verified units) are eligible to verify at a lower rate. See VRG for more details.</t>
  </si>
  <si>
    <t>Majority Unconditioned</t>
  </si>
  <si>
    <t>(cont.)704 now requires 2 inputs, adjusted error logic for 801.6.3, 703.2.5 now a dropdown, "N/A" option added to 902.3(1), batch submission expanded, sampling added, Req. Doc. updated, all print areas now portrait</t>
  </si>
  <si>
    <t>Certificate for Land Development certificate</t>
  </si>
  <si>
    <t>Evidence that the site is an EPA-recognized brownfield.</t>
  </si>
  <si>
    <t>Evidence that the site was previously developed</t>
  </si>
  <si>
    <t>Evidence that the site is a recognized greyfield</t>
  </si>
  <si>
    <t>Map showing distance is based walking or driving from the lot and not from the community entrance.</t>
  </si>
  <si>
    <t>None. Infrastructure in the community should be considered applicable for this practice.</t>
  </si>
  <si>
    <t>Map or approved site plan showing location of committed community resources relative to lot.</t>
  </si>
  <si>
    <t>Statement from professional that he/she directed plan implementation.</t>
  </si>
  <si>
    <t>Construction schedule.</t>
  </si>
  <si>
    <t>Plans and scopes of work showing alternative means needed.</t>
  </si>
  <si>
    <t>Calculation showing % of lot (minus building footprint &amp; hardscape) that is turf. Landscape plan by qualified landscape professional stating intent of practice will be met.</t>
  </si>
  <si>
    <t>Development-wide or lot-specific wildlife management plan by a qualified professional.</t>
  </si>
  <si>
    <t>List of practices implemented from 503.3 on the lot.</t>
  </si>
  <si>
    <t>Inspection reports of stormwater best management practices. Reports should be prepared by inspector with experience performing BMP inspections.</t>
  </si>
  <si>
    <t>This practice applies to strategies implemented on the lot. Calculation showing percent of hardscape included in heat island minimization. Manufacturer’s literature with SRI data.</t>
  </si>
  <si>
    <t>None. These points are intended for buildings that contain other than residential uses in the building. The points for mixed-use community are awarded in 501.2.4</t>
  </si>
  <si>
    <r>
      <rPr>
        <b/>
        <sz val="10"/>
        <color theme="1"/>
        <rFont val="Calibri"/>
        <family val="2"/>
        <scheme val="minor"/>
      </rPr>
      <t xml:space="preserve">MANDATORY. </t>
    </r>
    <r>
      <rPr>
        <sz val="10"/>
        <color theme="1"/>
        <rFont val="Calibri"/>
        <family val="2"/>
        <scheme val="minor"/>
      </rPr>
      <t>None.</t>
    </r>
  </si>
  <si>
    <t>When used, manufacturer's literature showing ENERGY STAR Cool Roof or equivalent. For products to comply, it is not simply enough for them to have an ENERGY STAR label. The product must meet the ENERGY STAR product specifications in Chapter 13. Verifiers must ensure that the products/appliances installed meet the eligibility criteria.</t>
  </si>
  <si>
    <r>
      <t xml:space="preserve">MANDATORY. </t>
    </r>
    <r>
      <rPr>
        <sz val="10"/>
        <color theme="1"/>
        <rFont val="Calibri"/>
        <family val="2"/>
        <scheme val="minor"/>
      </rPr>
      <t>None.</t>
    </r>
  </si>
  <si>
    <t>LCA report.</t>
  </si>
  <si>
    <t>Documented whole-building LCA report.</t>
  </si>
  <si>
    <r>
      <t xml:space="preserve">Software report indicating at least compliance with the 2015 IECC requirement for the relevant climate location. Acceptable software includes, among others, REM/Rate, Open Studio, or Energy Gauge. [See </t>
    </r>
    <r>
      <rPr>
        <b/>
        <i/>
        <sz val="10"/>
        <color theme="1"/>
        <rFont val="Calibri"/>
        <family val="2"/>
        <scheme val="minor"/>
      </rPr>
      <t>NGBS Green Energy Modeling Guidance</t>
    </r>
    <r>
      <rPr>
        <sz val="10"/>
        <color theme="1"/>
        <rFont val="Calibri"/>
        <family val="2"/>
        <scheme val="minor"/>
      </rPr>
      <t>.] The same software report can be used to support performance point claim in Section 702.</t>
    </r>
  </si>
  <si>
    <t>RemRate or Ekotrope 2015 NGBS report, REScheck, or other report showing the thermal envelop meets the requirements.</t>
  </si>
  <si>
    <r>
      <t xml:space="preserve">Energy analysis report. FOR MORE DETAILS SEE VRG Part I APPENDIX C.
All buildings using this path must have their performance claim supported by REM/Rate, Ekotrope, or Energy Gauge output reports prepared and signed by a qualified energy professional. </t>
    </r>
    <r>
      <rPr>
        <b/>
        <sz val="10"/>
        <color theme="1"/>
        <rFont val="Calibri"/>
        <family val="2"/>
        <scheme val="minor"/>
      </rPr>
      <t>The 2015 IECC sets the baseline performance for this analysis, however, the building does NOT have to be 2015 IECC compliant to be 2015 NGBS compliant. 
For the 2015 NGBS Energy Model Compliance Report the energy use summary compares the NGBS “As Designed” home to the NGBS “Reference” home. The NGBS “As Designed” home includes improvements in building envelope, air infiltration, heating system efficiencies, cooling system efficiencies, ventilation system efficiencies, duct sealing, water heating system efficiencies, lighting, appliances and on-site renewable energy.</t>
    </r>
    <r>
      <rPr>
        <sz val="10"/>
        <color theme="1"/>
        <rFont val="Calibri"/>
        <family val="2"/>
        <scheme val="minor"/>
      </rPr>
      <t xml:space="preserve">
REMRate and Ekotrope have an NGBS Green report that demonstrates compliance with this practice.
The printed report file can remain: “Draft.” It does not have to be “confirmed.” After you have visually verified all aspects, add a note on each analysis with "field verified", include initials and date. Scan this document and submit. 
These notes can be accomplished through pdf editor as well. The purpose is to ensure that the Verifier is confirming the design that was modeled was what was constructed through visual verification. </t>
    </r>
  </si>
  <si>
    <t>R402.4.1.2 Testing. The building or dwelling unit shall be tested and verified as having an air leakage rate of not exceeding 5 air changes per hour in Climate Zones 1 and 2, and 3 air changes per hour in Climate Zones 3 through 8 if using the ACH50 or 0.33 for Climate Zones 1 and 2 and 0.23 for Climate Zones 3 through 8 if using the ELR method. Testing shall be conducted with a blower door at a pressure of 0.2 inches w.g. (50 Pascals).</t>
  </si>
  <si>
    <t>Manufacturer’s literature or labels. For products to comply, it is not simply enough for them to have an ENERGY STAR label. The product must meet the ENERGY STAR product specifications in Chapter 13. Verifiers must ensure that the products/appliances installed meet these eligibility criteria.</t>
  </si>
  <si>
    <t>Manufacturer’s literature or labels, or documentation demonstrating equivalent to ENERGY STAR requirements. For products to comply, it is not simply enough for them to have an ENERGY STAR label. The product must meet the ENERGY STAR product specifications in Chapter 13. Verifiers must ensure that the products/appliances installed meet these eligibility criteria.</t>
  </si>
  <si>
    <t xml:space="preserve">Calculation showing glazing percentage per the practice. For products to comply, it is not simply enough for them to have an ENERGY STAR label. The product must meet the ENERGY STAR product specifications in Chapter 13. Verifiers must ensure that the products/appliances installed meet these eligibility criteria. </t>
  </si>
  <si>
    <t xml:space="preserve">For products to comply, it is not simply enough for them to have an ENERGY STAR label. The product must meet the ENERGY STAR product specifications in Chapter 13.  Verifiers must ensure that the products/appliances installed meet these eligibility criteria. </t>
  </si>
  <si>
    <t>Manufacturer's literature.</t>
  </si>
  <si>
    <t>Plan and statement from WaterSense professional indicating compliance.</t>
  </si>
  <si>
    <t>None, but check to make sure that the greywater reclaimed or recycled is compliant with IRC Appendix O and as permitted by local building code.</t>
  </si>
  <si>
    <r>
      <t>None for materials (a)-(f). Manufacturer’s literature showing</t>
    </r>
    <r>
      <rPr>
        <vertAlign val="superscript"/>
        <sz val="10"/>
        <color theme="1"/>
        <rFont val="Calibri"/>
        <family val="2"/>
        <scheme val="minor"/>
      </rPr>
      <t xml:space="preserve"> </t>
    </r>
    <r>
      <rPr>
        <sz val="10"/>
        <color theme="1"/>
        <rFont val="Calibri"/>
        <family val="2"/>
        <scheme val="minor"/>
      </rPr>
      <t>3</t>
    </r>
    <r>
      <rPr>
        <vertAlign val="superscript"/>
        <sz val="10"/>
        <color theme="1"/>
        <rFont val="Calibri"/>
        <family val="2"/>
        <scheme val="minor"/>
      </rPr>
      <t>rd</t>
    </r>
    <r>
      <rPr>
        <sz val="10"/>
        <color theme="1"/>
        <rFont val="Calibri"/>
        <family val="2"/>
        <scheme val="minor"/>
      </rPr>
      <t xml:space="preserve"> party certification for other materials including carpet. Scope of work or specification showing products to be installed.</t>
    </r>
  </si>
  <si>
    <t xml:space="preserve">ENERGY STAR label or literature for basic fans or fans below 1 sone. For products to comply, it is not simply enough for them to have an ENERGY STAR label. The product must meet the ENERGY STAR product specifications in Chapter 13.  Verifiers must ensure that the products/appliances installed meet these eligibility criteria. </t>
  </si>
  <si>
    <t>Verifier should review homeowner’s manual that addresses the required 3 items and any of the listed additional optional items.</t>
  </si>
  <si>
    <t>Verifier must review building construction manual that addresses the mandatory 3 items (a certificate placeholder is acceptable) plus at least 2 of the listed additional optional items. Verify the expected process to deliver manual(s) to the responsible party.</t>
  </si>
  <si>
    <t>Review the operations manual that includes both mandatory items and at least 2 from the list of optional items.</t>
  </si>
  <si>
    <t>Review the maintenance manual that addresses the mandatory item and at least 4 of the optional items.</t>
  </si>
  <si>
    <t>_</t>
  </si>
  <si>
    <t>Please indicate energy modeler’s professional credential and, in the notes field, their name.</t>
  </si>
  <si>
    <t>Modeler’s Credential:</t>
  </si>
  <si>
    <t>HERS Rater</t>
  </si>
  <si>
    <t>AEE BESA</t>
  </si>
  <si>
    <t>BEMP</t>
  </si>
  <si>
    <t>ES MFHR LP</t>
  </si>
  <si>
    <t>4.2.1</t>
  </si>
  <si>
    <t>added modeler's credential,fixed erroring for 703.1.2</t>
  </si>
  <si>
    <t>4.2.2</t>
  </si>
  <si>
    <t>added "other" to modeler credential field</t>
  </si>
  <si>
    <t>Please indicate energy modeler’s professional credential and, in the notes field, their name. When selecting “Other,” enter professional credentials (e.g., engineer, architect) within the notes field.</t>
  </si>
  <si>
    <t>4.2.3</t>
  </si>
  <si>
    <t>fixed points 501.1 on Verification Report tab</t>
  </si>
  <si>
    <t>4.2.4</t>
  </si>
  <si>
    <t>Rough-In Test:</t>
  </si>
  <si>
    <t>Postconstruction Test:</t>
  </si>
  <si>
    <t>602.1.1.1 now allows "N/A" with mandatory note,701.4.3.5 now available during rough, 703.1.3 test results now need to be entered, 705.2.4 no longer available if there are no heating or cooling systems</t>
  </si>
  <si>
    <t>City</t>
  </si>
  <si>
    <t>Zip</t>
  </si>
  <si>
    <r>
      <t xml:space="preserve">When the rough portion of the Verification phase is complete, move on to the </t>
    </r>
    <r>
      <rPr>
        <b/>
        <sz val="11"/>
        <color theme="1"/>
        <rFont val="Calibri"/>
        <family val="2"/>
        <scheme val="minor"/>
      </rPr>
      <t>Rough Summary</t>
    </r>
    <r>
      <rPr>
        <sz val="11"/>
        <color theme="1"/>
        <rFont val="Calibri"/>
        <family val="2"/>
        <scheme val="minor"/>
      </rPr>
      <t xml:space="preserve"> page. Fill out the necessary information before submitting the file to Home Innovation.</t>
    </r>
  </si>
  <si>
    <r>
      <t xml:space="preserve">When the final portion of the Verification phase is complete, move to the </t>
    </r>
    <r>
      <rPr>
        <b/>
        <sz val="11"/>
        <color theme="1"/>
        <rFont val="Calibri"/>
        <family val="2"/>
        <scheme val="minor"/>
      </rPr>
      <t>Final Summary</t>
    </r>
    <r>
      <rPr>
        <sz val="11"/>
        <color theme="1"/>
        <rFont val="Calibri"/>
        <family val="2"/>
        <scheme val="minor"/>
      </rPr>
      <t xml:space="preserve"> page. Fill out necessary information before submitting the file to Home Innovation.</t>
    </r>
  </si>
  <si>
    <t>removed signatures. Expanded batching</t>
  </si>
  <si>
    <t>4.2.5</t>
  </si>
  <si>
    <t>• A batch can consist of 2-50 buildings.</t>
  </si>
  <si>
    <t>• Batch submission is at the discretion of the verifier. A building can be removed from a batch at any time and submitted separately.</t>
  </si>
  <si>
    <t>• All buildings within a batch must be built by the same builder and be located within the same county.</t>
  </si>
  <si>
    <t>• Photos for each building are to be submitted, each titled with their respective Project ID.</t>
  </si>
  <si>
    <t>Met; Tested</t>
  </si>
  <si>
    <t>Met; Not Tested</t>
  </si>
  <si>
    <t>703.1.3 no longer requires test results when testing not required, 703.1 points no longer awarded in Tropical Zone</t>
  </si>
  <si>
    <t>4.2.6</t>
  </si>
  <si>
    <t>4.2.7</t>
  </si>
  <si>
    <t>corrected availability for 703.1.2</t>
  </si>
  <si>
    <t>max ACH:</t>
  </si>
  <si>
    <t>max ELR:</t>
  </si>
  <si>
    <t>ELR:</t>
  </si>
  <si>
    <t>SAMPLING – MULTIFAMILY AND SINGLE-FAMILY BUILD-TO-RENT.</t>
  </si>
  <si>
    <t>4.2.8</t>
  </si>
  <si>
    <t>some minor indicating text added or adjusted; 703.1.2 ELR limit now considers number of stories</t>
  </si>
  <si>
    <t>Post office, gym, school, dog park, deli, coffee shop</t>
  </si>
  <si>
    <t>Weyerhaeuser Javelin Design Software</t>
  </si>
  <si>
    <t>Superior Walls Insulated Precast Concrete Walls</t>
  </si>
  <si>
    <t>DuPont FlexWrap</t>
  </si>
  <si>
    <t>Weyerhaeuser Trus Joist</t>
  </si>
  <si>
    <t>Nordic Lam Products</t>
  </si>
  <si>
    <t>Weyerhaeuser Lumber-Framer Series</t>
  </si>
  <si>
    <t>Weyerhaeuser Flooring and Sheating; Boise Cascade Versa-Lam</t>
  </si>
  <si>
    <t>NGBS Green Verifier</t>
  </si>
  <si>
    <t>32/27</t>
  </si>
  <si>
    <t>Niagara Corp. Original</t>
  </si>
  <si>
    <t>Timberlake Kitchen &amp; Bathroom Cabinetry</t>
  </si>
  <si>
    <t>ABC Builder</t>
  </si>
  <si>
    <t>Durham</t>
  </si>
  <si>
    <t>123 Example Drive</t>
  </si>
  <si>
    <t>Lot 1A</t>
  </si>
  <si>
    <t>27703</t>
  </si>
  <si>
    <t>x</t>
  </si>
  <si>
    <t/>
  </si>
  <si>
    <t>none</t>
  </si>
  <si>
    <t>8/5/19</t>
  </si>
  <si>
    <t>on file</t>
  </si>
  <si>
    <t>9:00 AM</t>
  </si>
  <si>
    <t>8:00 AM</t>
  </si>
  <si>
    <t>2/6/2019</t>
  </si>
  <si>
    <t>zip walls</t>
  </si>
  <si>
    <t>tech shield</t>
  </si>
  <si>
    <t>zip walls and tech shield</t>
  </si>
  <si>
    <t>furnace</t>
  </si>
  <si>
    <t>ac</t>
  </si>
  <si>
    <t>Target 58; final HERS 46</t>
  </si>
  <si>
    <t>Koppers MicroPro® Wood Preservation Technology</t>
  </si>
  <si>
    <t>CertainTeed Landmark Solaris Shingles - Crystal Gray</t>
  </si>
  <si>
    <t>Weyerhaeuser Trus Joist® TJI® Joist</t>
  </si>
  <si>
    <t>CertainTeed Cedar Impressions; James Hardie Siding</t>
  </si>
  <si>
    <t>Hardie™ Weather Barrier</t>
  </si>
  <si>
    <t>Hardie™ Pro-Flashing</t>
  </si>
  <si>
    <t>Aeroseal Air Duct Sealing</t>
  </si>
  <si>
    <t>Panasonic Energy-Recovery Ventilator; WhisperComfort FV-04VE1</t>
  </si>
  <si>
    <t>CertainTeed Sustainable Insulation™ Batt &amp; Roll Insulation</t>
  </si>
  <si>
    <t>Boise Cascade BCI® Joists</t>
  </si>
  <si>
    <t>Panasonic Exhaust Ventilation Fan WhisperValue DC FV-0510VSC1, FV0510VSCL1</t>
  </si>
  <si>
    <t>Panasonic Exhaust Ventilation Fan. Whisper ValueDC FV-0510VSC1, FV0510VSCL1</t>
  </si>
  <si>
    <t>John Smith</t>
  </si>
  <si>
    <t>555-555-5555</t>
  </si>
  <si>
    <t>john.smith@verifier.com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</si>
</sst>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quot;)&quot;"/>
    <numFmt numFmtId="165" formatCode="0&quot; square feet&quot;"/>
    <numFmt numFmtId="166" formatCode="0.0%"/>
    <numFmt numFmtId="167" formatCode="0&quot; products&quot;"/>
    <numFmt numFmtId="168" formatCode="0.0"/>
    <numFmt numFmtId="169" formatCode="0.000"/>
    <numFmt numFmtId="170" formatCode="0&quot; inches&quot;"/>
    <numFmt numFmtId="171" formatCode="0&quot; Additional&quot;"/>
    <numFmt numFmtId="172" formatCode="0&quot; system(s)&quot;"/>
    <numFmt numFmtId="173" formatCode="0&quot; kW&quot;"/>
    <numFmt numFmtId="174" formatCode="&quot;per &quot;0&quot; square feet&quot;"/>
    <numFmt numFmtId="175" formatCode="0&quot; luminaires&quot;"/>
    <numFmt numFmtId="176" formatCode="0&quot; timer(s)&quot;"/>
    <numFmt numFmtId="177" formatCode="0&quot; humidistat(s)&quot;"/>
    <numFmt numFmtId="178" formatCode="0&quot; fan(s)&quot;"/>
    <numFmt numFmtId="179" formatCode="0_);[Red]\(0\)"/>
    <numFmt numFmtId="180" formatCode="mm/dd/yy;@"/>
    <numFmt numFmtId="181" formatCode="0&quot; unit(s)&quot;"/>
  </numFmts>
  <fonts count="9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4"/>
      <color theme="1"/>
      <name val="Calibri"/>
      <family val="2"/>
      <scheme val="minor"/>
    </font>
    <font>
      <u/>
      <sz val="10"/>
      <color indexed="12"/>
      <name val="Calibri"/>
      <family val="2"/>
      <scheme val="minor"/>
    </font>
    <font>
      <sz val="14"/>
      <color theme="0"/>
      <name val="Calibri"/>
      <family val="2"/>
      <scheme val="minor"/>
    </font>
    <font>
      <u/>
      <sz val="11"/>
      <color theme="11"/>
      <name val="Calibri"/>
      <family val="2"/>
      <scheme val="minor"/>
    </font>
    <font>
      <b/>
      <sz val="11"/>
      <color rgb="FFFF0000"/>
      <name val="Calibri"/>
      <family val="2"/>
      <scheme val="minor"/>
    </font>
    <font>
      <sz val="9"/>
      <color theme="0"/>
      <name val="Calibri"/>
      <family val="2"/>
      <scheme val="minor"/>
    </font>
    <font>
      <b/>
      <sz val="10"/>
      <color theme="1"/>
      <name val="Calibri"/>
      <family val="2"/>
      <scheme val="minor"/>
    </font>
    <font>
      <b/>
      <sz val="10"/>
      <color theme="1"/>
      <name val="Calibri"/>
      <family val="2"/>
    </font>
    <font>
      <sz val="10"/>
      <color theme="1"/>
      <name val="Calibri"/>
      <family val="2"/>
    </font>
    <font>
      <sz val="11"/>
      <color rgb="FF37CBFF"/>
      <name val="Calibri"/>
      <family val="2"/>
      <scheme val="minor"/>
    </font>
    <font>
      <sz val="10"/>
      <name val="Calibri"/>
      <family val="2"/>
    </font>
    <font>
      <b/>
      <sz val="11"/>
      <color theme="0" tint="-0.14996795556505021"/>
      <name val="Calibri"/>
      <family val="2"/>
      <scheme val="minor"/>
    </font>
    <font>
      <sz val="12"/>
      <color theme="0"/>
      <name val="Calibri"/>
      <family val="2"/>
      <scheme val="minor"/>
    </font>
    <font>
      <i/>
      <sz val="10"/>
      <color theme="1"/>
      <name val="Calibri"/>
      <family val="2"/>
      <scheme val="minor"/>
    </font>
    <font>
      <b/>
      <sz val="12"/>
      <name val="Calibri"/>
      <family val="2"/>
    </font>
    <font>
      <vertAlign val="superscript"/>
      <sz val="10"/>
      <color theme="1"/>
      <name val="Calibri"/>
      <family val="2"/>
      <scheme val="minor"/>
    </font>
    <font>
      <b/>
      <vertAlign val="superscript"/>
      <sz val="10"/>
      <color theme="1"/>
      <name val="Calibri"/>
      <family val="2"/>
      <scheme val="minor"/>
    </font>
    <font>
      <b/>
      <i/>
      <sz val="10"/>
      <color theme="1"/>
      <name val="Calibri"/>
      <family val="2"/>
      <scheme val="minor"/>
    </font>
    <font>
      <sz val="7"/>
      <color theme="1"/>
      <name val="Times New Roman"/>
      <family val="1"/>
    </font>
    <font>
      <sz val="10"/>
      <color rgb="FF000000"/>
      <name val="Calibri"/>
      <family val="2"/>
      <scheme val="minor"/>
    </font>
    <font>
      <u/>
      <sz val="10"/>
      <color theme="1"/>
      <name val="Calibri"/>
      <family val="2"/>
      <scheme val="minor"/>
    </font>
    <font>
      <i/>
      <sz val="10"/>
      <color theme="1"/>
      <name val="Symbol"/>
      <family val="1"/>
      <charset val="2"/>
    </font>
    <font>
      <b/>
      <sz val="10"/>
      <color rgb="FFFF0000"/>
      <name val="Calibri"/>
      <family val="2"/>
      <scheme val="minor"/>
    </font>
    <font>
      <vertAlign val="subscript"/>
      <sz val="10"/>
      <color theme="1"/>
      <name val="Calibri"/>
      <family val="2"/>
    </font>
    <font>
      <i/>
      <vertAlign val="subscript"/>
      <sz val="10"/>
      <color theme="1"/>
      <name val="Calibri"/>
      <family val="2"/>
    </font>
    <font>
      <b/>
      <sz val="10"/>
      <color rgb="FF000000"/>
      <name val="Calibri"/>
      <family val="2"/>
      <scheme val="minor"/>
    </font>
    <font>
      <b/>
      <sz val="10"/>
      <color theme="0"/>
      <name val="Calibri"/>
      <family val="2"/>
      <scheme val="minor"/>
    </font>
    <font>
      <b/>
      <sz val="10"/>
      <color theme="0"/>
      <name val="Calibri"/>
      <family val="2"/>
    </font>
    <font>
      <sz val="11"/>
      <name val="Calibri"/>
      <family val="2"/>
      <scheme val="minor"/>
    </font>
    <font>
      <i/>
      <vertAlign val="superscript"/>
      <sz val="10"/>
      <color theme="1"/>
      <name val="Calibri"/>
      <family val="2"/>
      <scheme val="minor"/>
    </font>
    <font>
      <sz val="10"/>
      <color rgb="FFFF0000"/>
      <name val="Calibri"/>
      <family val="2"/>
      <scheme val="minor"/>
    </font>
    <font>
      <sz val="10"/>
      <color rgb="FF000000"/>
      <name val="Calibri"/>
      <family val="2"/>
    </font>
    <font>
      <sz val="7"/>
      <color rgb="FF000000"/>
      <name val="Times New Roman"/>
      <family val="1"/>
    </font>
    <font>
      <vertAlign val="superscript"/>
      <sz val="10"/>
      <color rgb="FF000000"/>
      <name val="Calibri"/>
      <family val="2"/>
      <scheme val="minor"/>
    </font>
    <font>
      <u/>
      <sz val="10"/>
      <color theme="1"/>
      <name val="Calibri"/>
      <family val="2"/>
    </font>
    <font>
      <vertAlign val="superscript"/>
      <sz val="10"/>
      <color theme="1"/>
      <name val="Calibri"/>
      <family val="2"/>
    </font>
    <font>
      <b/>
      <sz val="10"/>
      <color rgb="FF000000"/>
      <name val="Calibri"/>
      <family val="2"/>
    </font>
    <font>
      <b/>
      <sz val="10"/>
      <name val="Calibri"/>
      <family val="2"/>
      <scheme val="minor"/>
    </font>
    <font>
      <b/>
      <vertAlign val="superscript"/>
      <sz val="10"/>
      <color theme="1"/>
      <name val="Calibri"/>
      <family val="2"/>
    </font>
    <font>
      <sz val="8"/>
      <color theme="1"/>
      <name val="Calibri"/>
      <family val="2"/>
    </font>
    <font>
      <u/>
      <sz val="10"/>
      <color theme="10"/>
      <name val="Calibri"/>
      <family val="2"/>
      <scheme val="minor"/>
    </font>
    <font>
      <sz val="10"/>
      <color theme="0"/>
      <name val="Calibri"/>
      <family val="2"/>
      <scheme val="minor"/>
    </font>
    <font>
      <b/>
      <u/>
      <sz val="10"/>
      <color theme="10"/>
      <name val="Calibri"/>
      <family val="2"/>
      <scheme val="minor"/>
    </font>
    <font>
      <b/>
      <sz val="16"/>
      <color theme="1"/>
      <name val="Calibri"/>
      <family val="2"/>
      <scheme val="minor"/>
    </font>
    <font>
      <b/>
      <sz val="11"/>
      <name val="Calibri"/>
      <family val="2"/>
      <scheme val="minor"/>
    </font>
    <font>
      <b/>
      <sz val="11"/>
      <name val="Wingdings"/>
      <charset val="2"/>
    </font>
    <font>
      <sz val="8"/>
      <color theme="0" tint="-0.499984740745262"/>
      <name val="Calibri"/>
      <family val="2"/>
      <scheme val="minor"/>
    </font>
    <font>
      <i/>
      <sz val="8"/>
      <color theme="1"/>
      <name val="Calibri"/>
      <family val="2"/>
      <scheme val="minor"/>
    </font>
    <font>
      <i/>
      <sz val="8"/>
      <color theme="0" tint="-0.499984740745262"/>
      <name val="Calibri"/>
      <family val="2"/>
      <scheme val="minor"/>
    </font>
    <font>
      <sz val="10"/>
      <name val="Calibri"/>
      <family val="2"/>
      <scheme val="minor"/>
    </font>
    <font>
      <u/>
      <sz val="14"/>
      <color theme="0"/>
      <name val="Calibri"/>
      <family val="2"/>
      <scheme val="minor"/>
    </font>
    <font>
      <b/>
      <u/>
      <sz val="11"/>
      <color theme="1"/>
      <name val="Calibri"/>
      <family val="2"/>
      <scheme val="minor"/>
    </font>
    <font>
      <u/>
      <sz val="11"/>
      <color theme="10"/>
      <name val="Calibri"/>
      <family val="2"/>
      <scheme val="minor"/>
    </font>
    <font>
      <sz val="8"/>
      <color theme="1"/>
      <name val="Calibri"/>
      <family val="2"/>
      <scheme val="minor"/>
    </font>
    <font>
      <sz val="8"/>
      <color theme="1"/>
      <name val="Arial"/>
      <family val="2"/>
    </font>
    <font>
      <sz val="10"/>
      <color theme="1"/>
      <name val="Arial"/>
      <family val="2"/>
    </font>
    <font>
      <b/>
      <sz val="10"/>
      <color theme="1"/>
      <name val="Arial"/>
      <family val="2"/>
    </font>
    <font>
      <b/>
      <sz val="10"/>
      <color theme="0"/>
      <name val="Arial"/>
      <family val="2"/>
    </font>
    <font>
      <i/>
      <sz val="10"/>
      <color theme="1"/>
      <name val="Arial"/>
      <family val="2"/>
    </font>
    <font>
      <b/>
      <sz val="16"/>
      <color theme="1"/>
      <name val="Arial"/>
      <family val="2"/>
    </font>
    <font>
      <b/>
      <sz val="12"/>
      <color theme="1"/>
      <name val="Arial"/>
      <family val="2"/>
    </font>
    <font>
      <sz val="12"/>
      <color theme="1"/>
      <name val="Times New Roman"/>
      <family val="1"/>
    </font>
    <font>
      <vertAlign val="superscript"/>
      <sz val="10"/>
      <color theme="1"/>
      <name val="Arial"/>
      <family val="2"/>
    </font>
    <font>
      <b/>
      <vertAlign val="subscript"/>
      <sz val="10"/>
      <color theme="1"/>
      <name val="Arial"/>
      <family val="2"/>
    </font>
    <font>
      <i/>
      <sz val="10"/>
      <color theme="1"/>
      <name val="Times New Roman"/>
      <family val="1"/>
    </font>
    <font>
      <i/>
      <vertAlign val="subscript"/>
      <sz val="10"/>
      <color theme="1"/>
      <name val="Times New Roman"/>
      <family val="1"/>
    </font>
    <font>
      <vertAlign val="superscript"/>
      <sz val="12"/>
      <color theme="1"/>
      <name val="Arial"/>
      <family val="2"/>
    </font>
    <font>
      <sz val="12"/>
      <color theme="1"/>
      <name val="Arial"/>
      <family val="2"/>
    </font>
    <font>
      <i/>
      <sz val="9"/>
      <color theme="1"/>
      <name val="Arial"/>
      <family val="2"/>
    </font>
    <font>
      <sz val="9"/>
      <color theme="1"/>
      <name val="Arial"/>
      <family val="2"/>
    </font>
    <font>
      <b/>
      <vertAlign val="superscript"/>
      <sz val="10"/>
      <color theme="1"/>
      <name val="Arial"/>
      <family val="2"/>
    </font>
    <font>
      <b/>
      <sz val="14"/>
      <color theme="0"/>
      <name val="Calibri"/>
      <family val="2"/>
      <scheme val="minor"/>
    </font>
    <font>
      <b/>
      <sz val="16"/>
      <color theme="0"/>
      <name val="Calibri"/>
      <family val="2"/>
      <scheme val="minor"/>
    </font>
    <font>
      <sz val="16"/>
      <color theme="0"/>
      <name val="Calibri"/>
      <family val="2"/>
      <scheme val="minor"/>
    </font>
    <font>
      <i/>
      <sz val="8"/>
      <color theme="0"/>
      <name val="Calibri"/>
      <family val="2"/>
      <scheme val="minor"/>
    </font>
    <font>
      <sz val="8"/>
      <name val="Calibri"/>
      <family val="2"/>
      <scheme val="minor"/>
    </font>
    <font>
      <u/>
      <sz val="11"/>
      <color theme="1"/>
      <name val="Calibri"/>
      <family val="2"/>
      <scheme val="minor"/>
    </font>
    <font>
      <b/>
      <sz val="11"/>
      <color rgb="FFFFFFFF"/>
      <name val="Calibri"/>
      <family val="2"/>
      <scheme val="minor"/>
    </font>
  </fonts>
  <fills count="49">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37CBFF"/>
        <bgColor indexed="64"/>
      </patternFill>
    </fill>
    <fill>
      <patternFill patternType="darkDown">
        <fgColor theme="0"/>
        <bgColor rgb="FFFFFF00"/>
      </patternFill>
    </fill>
    <fill>
      <patternFill patternType="solid">
        <fgColor theme="0"/>
        <bgColor indexed="64"/>
      </patternFill>
    </fill>
    <fill>
      <patternFill patternType="darkGrid">
        <bgColor rgb="FF37CBFF"/>
      </patternFill>
    </fill>
    <fill>
      <patternFill patternType="solid">
        <fgColor theme="1"/>
        <bgColor indexed="64"/>
      </patternFill>
    </fill>
    <fill>
      <patternFill patternType="solid">
        <fgColor rgb="FFD9D9D9"/>
        <bgColor indexed="64"/>
      </patternFill>
    </fill>
    <fill>
      <patternFill patternType="solid">
        <fgColor rgb="FFE6E6E6"/>
        <bgColor indexed="64"/>
      </patternFill>
    </fill>
    <fill>
      <patternFill patternType="solid">
        <fgColor rgb="FF000000"/>
        <bgColor indexed="64"/>
      </patternFill>
    </fill>
    <fill>
      <patternFill patternType="solid">
        <fgColor theme="0" tint="-4.9989318521683403E-2"/>
        <bgColor indexed="64"/>
      </patternFill>
    </fill>
    <fill>
      <patternFill patternType="darkDown">
        <fgColor theme="0"/>
        <bgColor theme="0"/>
      </patternFill>
    </fill>
  </fills>
  <borders count="1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2060"/>
      </left>
      <right style="thin">
        <color rgb="FF002060"/>
      </right>
      <top style="thin">
        <color rgb="FF002060"/>
      </top>
      <bottom style="thin">
        <color rgb="FF00206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FFC000"/>
      </left>
      <right style="thin">
        <color rgb="FFFFC000"/>
      </right>
      <top style="thin">
        <color rgb="FFFFC000"/>
      </top>
      <bottom style="thin">
        <color rgb="FFFFC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right style="thin">
        <color auto="1"/>
      </right>
      <top/>
      <bottom style="double">
        <color indexed="64"/>
      </bottom>
      <diagonal/>
    </border>
    <border>
      <left/>
      <right/>
      <top/>
      <bottom style="double">
        <color indexed="64"/>
      </bottom>
      <diagonal/>
    </border>
    <border>
      <left style="thin">
        <color auto="1"/>
      </left>
      <right style="thin">
        <color auto="1"/>
      </right>
      <top style="thin">
        <color auto="1"/>
      </top>
      <bottom style="double">
        <color indexed="64"/>
      </bottom>
      <diagonal/>
    </border>
    <border>
      <left/>
      <right/>
      <top style="double">
        <color indexed="64"/>
      </top>
      <bottom/>
      <diagonal/>
    </border>
    <border>
      <left style="thin">
        <color auto="1"/>
      </left>
      <right style="thin">
        <color auto="1"/>
      </right>
      <top style="double">
        <color indexed="64"/>
      </top>
      <bottom style="thin">
        <color auto="1"/>
      </bottom>
      <diagonal/>
    </border>
    <border>
      <left/>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thin">
        <color auto="1"/>
      </right>
      <top style="double">
        <color indexed="64"/>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style="thin">
        <color rgb="FFFFC000"/>
      </right>
      <top/>
      <bottom style="thin">
        <color rgb="FFFFC000"/>
      </bottom>
      <diagonal/>
    </border>
    <border>
      <left style="thin">
        <color rgb="FFFFC000"/>
      </left>
      <right style="thin">
        <color rgb="FFFFC000"/>
      </right>
      <top style="thin">
        <color rgb="FFFFC000"/>
      </top>
      <bottom style="thin">
        <color auto="1"/>
      </bottom>
      <diagonal/>
    </border>
    <border>
      <left style="thin">
        <color rgb="FFFFC000"/>
      </left>
      <right style="thin">
        <color rgb="FFFFC000"/>
      </right>
      <top style="thin">
        <color rgb="FFFFC000"/>
      </top>
      <bottom style="double">
        <color auto="1"/>
      </bottom>
      <diagonal/>
    </border>
    <border>
      <left/>
      <right style="thin">
        <color auto="1"/>
      </right>
      <top style="double">
        <color auto="1"/>
      </top>
      <bottom/>
      <diagonal/>
    </border>
    <border>
      <left style="thin">
        <color auto="1"/>
      </left>
      <right style="thin">
        <color auto="1"/>
      </right>
      <top/>
      <bottom style="double">
        <color indexed="64"/>
      </bottom>
      <diagonal/>
    </border>
    <border>
      <left style="thin">
        <color auto="1"/>
      </left>
      <right/>
      <top/>
      <bottom style="double">
        <color indexed="64"/>
      </bottom>
      <diagonal/>
    </border>
    <border>
      <left/>
      <right style="thin">
        <color auto="1"/>
      </right>
      <top style="thin">
        <color auto="1"/>
      </top>
      <bottom style="double">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left>
      <right style="thin">
        <color indexed="64"/>
      </right>
      <top style="thin">
        <color auto="1"/>
      </top>
      <bottom/>
      <diagonal/>
    </border>
    <border>
      <left style="thin">
        <color theme="0"/>
      </left>
      <right style="thin">
        <color indexed="64"/>
      </right>
      <top/>
      <bottom/>
      <diagonal/>
    </border>
    <border>
      <left/>
      <right/>
      <top style="double">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diagonal/>
    </border>
    <border>
      <left/>
      <right style="medium">
        <color indexed="64"/>
      </right>
      <top/>
      <bottom style="medium">
        <color rgb="FF000000"/>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medium">
        <color indexed="64"/>
      </left>
      <right style="medium">
        <color indexed="64"/>
      </right>
      <top style="medium">
        <color indexed="64"/>
      </top>
      <bottom style="medium">
        <color indexed="64"/>
      </bottom>
      <diagonal/>
    </border>
    <border>
      <left style="thin">
        <color rgb="FFFFC000"/>
      </left>
      <right/>
      <top/>
      <bottom/>
      <diagonal/>
    </border>
    <border>
      <left style="thin">
        <color theme="0" tint="-0.1499679555650502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top/>
      <bottom/>
      <diagonal/>
    </border>
    <border>
      <left/>
      <right style="medium">
        <color indexed="64"/>
      </right>
      <top/>
      <bottom style="double">
        <color rgb="FF000000"/>
      </bottom>
      <diagonal/>
    </border>
    <border>
      <left/>
      <right style="medium">
        <color indexed="64"/>
      </right>
      <top/>
      <bottom style="double">
        <color indexed="64"/>
      </bottom>
      <diagonal/>
    </border>
    <border>
      <left style="medium">
        <color indexed="64"/>
      </left>
      <right/>
      <top/>
      <bottom style="double">
        <color indexed="64"/>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9" tint="-0.24994659260841701"/>
      </left>
      <right style="thin">
        <color auto="1"/>
      </right>
      <top style="thin">
        <color theme="9" tint="-0.24994659260841701"/>
      </top>
      <bottom style="thin">
        <color theme="9" tint="-0.24994659260841701"/>
      </bottom>
      <diagonal/>
    </border>
    <border>
      <left style="thin">
        <color auto="1"/>
      </left>
      <right style="thin">
        <color auto="1"/>
      </right>
      <top style="thin">
        <color theme="9" tint="-0.24994659260841701"/>
      </top>
      <bottom style="thin">
        <color theme="9" tint="-0.24994659260841701"/>
      </bottom>
      <diagonal/>
    </border>
    <border>
      <left style="thin">
        <color auto="1"/>
      </left>
      <right style="thin">
        <color theme="9" tint="-0.24994659260841701"/>
      </right>
      <top style="thin">
        <color theme="9" tint="-0.24994659260841701"/>
      </top>
      <bottom style="thin">
        <color theme="9" tint="-0.24994659260841701"/>
      </bottom>
      <diagonal/>
    </border>
    <border>
      <left style="thin">
        <color rgb="FFFFC000"/>
      </left>
      <right/>
      <top/>
      <bottom style="thin">
        <color indexed="64"/>
      </bottom>
      <diagonal/>
    </border>
  </borders>
  <cellStyleXfs count="68">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9" fillId="6" borderId="4" applyNumberFormat="0" applyAlignment="0" applyProtection="0"/>
    <xf numFmtId="0" fontId="10" fillId="7" borderId="5" applyNumberFormat="0" applyAlignment="0" applyProtection="0"/>
    <xf numFmtId="0" fontId="11" fillId="7" borderId="4" applyNumberFormat="0" applyAlignment="0" applyProtection="0"/>
    <xf numFmtId="0" fontId="12" fillId="0" borderId="6" applyNumberFormat="0" applyFill="0" applyAlignment="0" applyProtection="0"/>
    <xf numFmtId="0" fontId="13" fillId="8" borderId="7" applyNumberFormat="0" applyAlignment="0" applyProtection="0"/>
    <xf numFmtId="0" fontId="14" fillId="0" borderId="0" applyNumberFormat="0" applyFill="0" applyBorder="0" applyAlignment="0" applyProtection="0"/>
    <xf numFmtId="0" fontId="1" fillId="9"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0" fontId="1" fillId="38" borderId="10" applyNumberFormat="0" applyFont="0" applyAlignment="0">
      <protection locked="0"/>
    </xf>
    <xf numFmtId="0" fontId="1" fillId="39" borderId="10" applyNumberFormat="0" applyFont="0" applyAlignment="0">
      <protection locked="0"/>
    </xf>
    <xf numFmtId="0" fontId="20" fillId="0" borderId="0" applyNumberFormat="0" applyFill="0" applyBorder="0" applyAlignment="0" applyProtection="0"/>
    <xf numFmtId="0" fontId="21" fillId="34" borderId="0" applyNumberFormat="0" applyBorder="0" applyAlignment="0"/>
    <xf numFmtId="0" fontId="1" fillId="35" borderId="10" applyNumberFormat="0" applyFont="0" applyAlignment="0">
      <alignment horizontal="center" vertical="center"/>
    </xf>
    <xf numFmtId="0" fontId="1" fillId="36" borderId="10" applyNumberFormat="0" applyFont="0" applyAlignment="0"/>
    <xf numFmtId="0" fontId="1" fillId="37" borderId="10" applyNumberFormat="0" applyFont="0" applyAlignment="0">
      <protection locked="0"/>
    </xf>
    <xf numFmtId="0" fontId="1" fillId="37" borderId="10" applyFont="0">
      <alignment horizontal="left" vertical="top" wrapText="1"/>
      <protection locked="0"/>
    </xf>
    <xf numFmtId="0" fontId="20"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0" fillId="0" borderId="0" applyNumberFormat="0" applyBorder="0" applyAlignment="0" applyProtection="0">
      <alignment horizontal="left"/>
    </xf>
    <xf numFmtId="0" fontId="22" fillId="0" borderId="0" applyNumberFormat="0" applyFill="0" applyBorder="0" applyAlignment="0" applyProtection="0"/>
    <xf numFmtId="0" fontId="1" fillId="0" borderId="0" applyFont="0" applyFill="0" applyBorder="0">
      <alignment horizontal="center" vertical="center"/>
    </xf>
    <xf numFmtId="0" fontId="24" fillId="34" borderId="18">
      <alignment vertical="center" wrapText="1"/>
    </xf>
    <xf numFmtId="0" fontId="1" fillId="35" borderId="10" applyFont="0" applyAlignment="0">
      <alignment horizontal="center" vertical="center"/>
    </xf>
    <xf numFmtId="164" fontId="29" fillId="40" borderId="14">
      <alignment horizontal="left" vertical="top" wrapText="1"/>
    </xf>
    <xf numFmtId="0" fontId="1" fillId="37" borderId="10" applyFont="0">
      <alignment horizontal="left" vertical="top" wrapText="1"/>
    </xf>
    <xf numFmtId="0" fontId="71" fillId="0" borderId="0" applyNumberFormat="0" applyFill="0" applyBorder="0" applyAlignment="0" applyProtection="0"/>
  </cellStyleXfs>
  <cellXfs count="1163">
    <xf numFmtId="0" fontId="0" fillId="0" borderId="0" xfId="0"/>
    <xf numFmtId="0" fontId="0" fillId="2" borderId="0" xfId="0" applyFill="1"/>
    <xf numFmtId="0" fontId="0" fillId="0" borderId="0" xfId="0" applyAlignment="1">
      <alignment horizontal="left"/>
    </xf>
    <xf numFmtId="0" fontId="0" fillId="0" borderId="0" xfId="0" applyAlignment="1">
      <alignment horizontal="left" vertical="top"/>
    </xf>
    <xf numFmtId="0" fontId="18" fillId="0" borderId="0" xfId="0" applyFont="1"/>
    <xf numFmtId="0" fontId="0" fillId="2" borderId="0" xfId="0" applyFill="1" applyAlignment="1">
      <alignment horizontal="left"/>
    </xf>
    <xf numFmtId="0" fontId="0" fillId="0" borderId="0" xfId="0" applyAlignment="1">
      <alignment horizontal="right"/>
    </xf>
    <xf numFmtId="0" fontId="0" fillId="38" borderId="10" xfId="47" applyFont="1" applyAlignment="1">
      <alignment horizontal="left"/>
      <protection locked="0"/>
    </xf>
    <xf numFmtId="0" fontId="0" fillId="39" borderId="10" xfId="48" applyFont="1" applyAlignment="1">
      <alignment horizontal="left"/>
      <protection locked="0"/>
    </xf>
    <xf numFmtId="0" fontId="0" fillId="39" borderId="10" xfId="48" applyFont="1">
      <protection locked="0"/>
    </xf>
    <xf numFmtId="0" fontId="21" fillId="34" borderId="0" xfId="50" applyAlignment="1">
      <alignment horizontal="left"/>
    </xf>
    <xf numFmtId="0" fontId="21" fillId="34" borderId="0" xfId="50" applyAlignment="1"/>
    <xf numFmtId="49" fontId="0" fillId="0" borderId="0" xfId="0" applyNumberFormat="1"/>
    <xf numFmtId="49" fontId="18" fillId="0" borderId="0" xfId="0" applyNumberFormat="1" applyFont="1"/>
    <xf numFmtId="49" fontId="21" fillId="34" borderId="0" xfId="50" applyNumberFormat="1"/>
    <xf numFmtId="0" fontId="21" fillId="34" borderId="0" xfId="50"/>
    <xf numFmtId="49" fontId="21" fillId="34" borderId="0" xfId="50" applyNumberFormat="1" applyAlignment="1">
      <alignment horizontal="center" vertical="center"/>
    </xf>
    <xf numFmtId="0" fontId="28" fillId="39" borderId="10" xfId="48" applyFont="1">
      <protection locked="0"/>
    </xf>
    <xf numFmtId="49" fontId="18" fillId="0" borderId="0" xfId="0" quotePrefix="1" applyNumberFormat="1" applyFont="1"/>
    <xf numFmtId="49" fontId="25" fillId="0" borderId="0" xfId="0" applyNumberFormat="1" applyFont="1"/>
    <xf numFmtId="0" fontId="0" fillId="0" borderId="10" xfId="0" applyBorder="1" applyAlignment="1">
      <alignment horizontal="center"/>
    </xf>
    <xf numFmtId="0" fontId="0" fillId="0" borderId="0" xfId="0" applyAlignment="1">
      <alignment horizontal="center"/>
    </xf>
    <xf numFmtId="0" fontId="24" fillId="34" borderId="18" xfId="63" applyAlignment="1">
      <alignment vertical="center"/>
    </xf>
    <xf numFmtId="0" fontId="24" fillId="34" borderId="18" xfId="63" applyAlignment="1">
      <alignment horizontal="center" vertical="center" wrapText="1"/>
    </xf>
    <xf numFmtId="0" fontId="0" fillId="0" borderId="0" xfId="62" applyFont="1">
      <alignment horizontal="center" vertical="center"/>
    </xf>
    <xf numFmtId="0" fontId="0" fillId="41" borderId="10" xfId="48" applyFont="1" applyFill="1" applyAlignment="1" applyProtection="1">
      <alignment horizontal="left"/>
    </xf>
    <xf numFmtId="0" fontId="0" fillId="41" borderId="10" xfId="47" applyFont="1" applyFill="1" applyAlignment="1" applyProtection="1">
      <alignment horizontal="left"/>
    </xf>
    <xf numFmtId="0" fontId="0" fillId="41" borderId="10" xfId="48" applyFont="1" applyFill="1" applyProtection="1"/>
    <xf numFmtId="0" fontId="28" fillId="38" borderId="10" xfId="47" applyFont="1">
      <protection locked="0"/>
    </xf>
    <xf numFmtId="0" fontId="31" fillId="34" borderId="19" xfId="50" applyFont="1" applyBorder="1" applyAlignment="1"/>
    <xf numFmtId="0" fontId="0" fillId="38" borderId="10" xfId="47" applyFont="1" applyAlignment="1">
      <alignment horizontal="center"/>
      <protection locked="0"/>
    </xf>
    <xf numFmtId="0" fontId="16" fillId="39" borderId="10" xfId="48" applyFont="1" applyAlignment="1">
      <alignment horizontal="center"/>
      <protection locked="0"/>
    </xf>
    <xf numFmtId="0" fontId="25" fillId="0" borderId="0" xfId="0" applyFont="1" applyAlignment="1">
      <alignment horizontal="left"/>
    </xf>
    <xf numFmtId="0" fontId="25" fillId="0" borderId="0" xfId="0" applyFont="1" applyAlignment="1">
      <alignment horizontal="left" vertical="top"/>
    </xf>
    <xf numFmtId="0" fontId="25" fillId="0" borderId="0" xfId="0" applyFont="1"/>
    <xf numFmtId="0" fontId="0" fillId="0" borderId="0" xfId="0" applyAlignment="1">
      <alignment vertical="center"/>
    </xf>
    <xf numFmtId="0" fontId="21" fillId="34" borderId="0" xfId="50" applyAlignment="1">
      <alignment vertical="center"/>
    </xf>
    <xf numFmtId="0" fontId="21" fillId="34" borderId="0" xfId="50" applyAlignment="1">
      <alignment horizontal="center" vertical="center"/>
    </xf>
    <xf numFmtId="0" fontId="21" fillId="34" borderId="0" xfId="50" applyAlignment="1">
      <alignment horizontal="left" vertical="top"/>
    </xf>
    <xf numFmtId="0" fontId="0" fillId="37" borderId="10" xfId="54" applyFont="1">
      <alignment horizontal="left" vertical="top" wrapText="1"/>
      <protection locked="0"/>
    </xf>
    <xf numFmtId="49" fontId="18" fillId="0" borderId="0" xfId="0" applyNumberFormat="1" applyFont="1" applyAlignment="1">
      <alignment horizontal="left"/>
    </xf>
    <xf numFmtId="49" fontId="25" fillId="0" borderId="0" xfId="0" applyNumberFormat="1" applyFont="1" applyAlignment="1">
      <alignment horizontal="left"/>
    </xf>
    <xf numFmtId="49" fontId="21" fillId="34" borderId="0" xfId="50" applyNumberFormat="1" applyAlignment="1">
      <alignment horizontal="left" vertical="top"/>
    </xf>
    <xf numFmtId="0" fontId="25" fillId="0" borderId="0" xfId="0" applyFont="1" applyAlignment="1">
      <alignment horizontal="center" vertical="center"/>
    </xf>
    <xf numFmtId="0" fontId="0" fillId="0" borderId="0" xfId="0" applyAlignment="1">
      <alignment horizontal="center" vertical="center"/>
    </xf>
    <xf numFmtId="0" fontId="21" fillId="34" borderId="0" xfId="50" applyAlignment="1">
      <alignment vertical="top"/>
    </xf>
    <xf numFmtId="0" fontId="18" fillId="0" borderId="0" xfId="0" applyFont="1" applyAlignment="1">
      <alignment vertical="top"/>
    </xf>
    <xf numFmtId="0" fontId="21" fillId="34" borderId="0" xfId="50" applyAlignment="1">
      <alignment vertical="top" wrapText="1"/>
    </xf>
    <xf numFmtId="0" fontId="25" fillId="0" borderId="0" xfId="0" applyFont="1" applyAlignment="1">
      <alignment vertical="top"/>
    </xf>
    <xf numFmtId="0" fontId="0" fillId="0" borderId="0" xfId="0" applyAlignment="1">
      <alignment vertical="top"/>
    </xf>
    <xf numFmtId="49" fontId="25" fillId="0" borderId="0" xfId="0" applyNumberFormat="1" applyFont="1" applyAlignment="1">
      <alignment vertical="top"/>
    </xf>
    <xf numFmtId="49" fontId="21" fillId="34" borderId="0" xfId="50" applyNumberFormat="1" applyAlignment="1">
      <alignment vertical="top"/>
    </xf>
    <xf numFmtId="49" fontId="25" fillId="0" borderId="0" xfId="0" quotePrefix="1" applyNumberFormat="1" applyFont="1" applyAlignment="1">
      <alignment vertical="top"/>
    </xf>
    <xf numFmtId="49" fontId="18" fillId="0" borderId="0" xfId="0" applyNumberFormat="1" applyFont="1" applyAlignment="1">
      <alignment vertical="top"/>
    </xf>
    <xf numFmtId="0" fontId="0" fillId="0" borderId="0" xfId="62" applyFont="1" applyBorder="1">
      <alignment horizontal="center" vertical="center"/>
    </xf>
    <xf numFmtId="49" fontId="25" fillId="0" borderId="31" xfId="0" applyNumberFormat="1" applyFont="1" applyBorder="1" applyAlignment="1">
      <alignment vertical="top"/>
    </xf>
    <xf numFmtId="0" fontId="18" fillId="0" borderId="31" xfId="0" applyFont="1" applyBorder="1" applyAlignment="1">
      <alignment vertical="top"/>
    </xf>
    <xf numFmtId="0" fontId="0" fillId="0" borderId="31" xfId="62" applyFont="1" applyBorder="1">
      <alignment horizontal="center" vertical="center"/>
    </xf>
    <xf numFmtId="0" fontId="0" fillId="0" borderId="31" xfId="0" applyBorder="1"/>
    <xf numFmtId="0" fontId="28" fillId="39" borderId="32" xfId="48" applyFont="1" applyBorder="1">
      <protection locked="0"/>
    </xf>
    <xf numFmtId="49" fontId="18" fillId="0" borderId="31" xfId="0" applyNumberFormat="1" applyFont="1" applyBorder="1" applyAlignment="1">
      <alignment vertical="top"/>
    </xf>
    <xf numFmtId="0" fontId="25" fillId="0" borderId="31" xfId="0" applyFont="1" applyBorder="1" applyAlignment="1">
      <alignment vertical="top"/>
    </xf>
    <xf numFmtId="0" fontId="0" fillId="0" borderId="33" xfId="0" applyBorder="1"/>
    <xf numFmtId="0" fontId="25" fillId="0" borderId="33" xfId="0" applyFont="1" applyBorder="1" applyAlignment="1">
      <alignment horizontal="left" vertical="top"/>
    </xf>
    <xf numFmtId="49" fontId="18" fillId="0" borderId="33" xfId="0" applyNumberFormat="1" applyFont="1" applyBorder="1" applyAlignment="1">
      <alignment vertical="top"/>
    </xf>
    <xf numFmtId="9" fontId="1" fillId="39" borderId="10" xfId="48" applyNumberFormat="1" applyFont="1" applyAlignment="1">
      <alignment horizontal="center" vertical="center"/>
      <protection locked="0"/>
    </xf>
    <xf numFmtId="49" fontId="25" fillId="0" borderId="31" xfId="0" quotePrefix="1" applyNumberFormat="1" applyFont="1" applyBorder="1" applyAlignment="1">
      <alignment vertical="top"/>
    </xf>
    <xf numFmtId="0" fontId="0" fillId="0" borderId="30" xfId="0" applyBorder="1"/>
    <xf numFmtId="0" fontId="0" fillId="0" borderId="28" xfId="0" applyBorder="1"/>
    <xf numFmtId="49" fontId="25" fillId="0" borderId="33" xfId="0" applyNumberFormat="1" applyFont="1" applyBorder="1" applyAlignment="1">
      <alignment vertical="top"/>
    </xf>
    <xf numFmtId="0" fontId="0" fillId="0" borderId="31" xfId="0" applyBorder="1" applyAlignment="1">
      <alignment vertical="top"/>
    </xf>
    <xf numFmtId="49" fontId="25" fillId="0" borderId="35" xfId="0" applyNumberFormat="1" applyFont="1" applyBorder="1" applyAlignment="1">
      <alignment vertical="top"/>
    </xf>
    <xf numFmtId="49" fontId="18" fillId="0" borderId="35" xfId="0" applyNumberFormat="1" applyFont="1" applyBorder="1" applyAlignment="1">
      <alignment vertical="top"/>
    </xf>
    <xf numFmtId="0" fontId="25" fillId="0" borderId="35" xfId="0" applyFont="1" applyBorder="1" applyAlignment="1">
      <alignment vertical="top"/>
    </xf>
    <xf numFmtId="0" fontId="16" fillId="0" borderId="35" xfId="0" applyFont="1" applyBorder="1" applyAlignment="1">
      <alignment horizontal="center" vertical="center"/>
    </xf>
    <xf numFmtId="0" fontId="0" fillId="0" borderId="35" xfId="0" applyBorder="1"/>
    <xf numFmtId="0" fontId="0" fillId="0" borderId="35" xfId="0" applyBorder="1" applyAlignment="1">
      <alignment horizontal="center" vertical="center"/>
    </xf>
    <xf numFmtId="0" fontId="28" fillId="39" borderId="17" xfId="48" applyFont="1" applyBorder="1">
      <protection locked="0"/>
    </xf>
    <xf numFmtId="0" fontId="28" fillId="39" borderId="36" xfId="48" applyFont="1" applyBorder="1">
      <protection locked="0"/>
    </xf>
    <xf numFmtId="0" fontId="0" fillId="0" borderId="0" xfId="0" quotePrefix="1"/>
    <xf numFmtId="0" fontId="0" fillId="0" borderId="31" xfId="0" applyBorder="1" applyAlignment="1">
      <alignment horizontal="center" vertical="center"/>
    </xf>
    <xf numFmtId="0" fontId="25" fillId="0" borderId="33" xfId="0" applyFont="1" applyBorder="1" applyAlignment="1">
      <alignment vertical="top"/>
    </xf>
    <xf numFmtId="0" fontId="0" fillId="37" borderId="36" xfId="54" applyFont="1" applyBorder="1">
      <alignment horizontal="left" vertical="top" wrapText="1"/>
      <protection locked="0"/>
    </xf>
    <xf numFmtId="49" fontId="18" fillId="0" borderId="0" xfId="0" applyNumberFormat="1" applyFont="1" applyAlignment="1">
      <alignment horizontal="center"/>
    </xf>
    <xf numFmtId="0" fontId="16" fillId="0" borderId="0" xfId="0" applyFont="1" applyAlignment="1">
      <alignment horizontal="center" vertical="center"/>
    </xf>
    <xf numFmtId="0" fontId="18" fillId="0" borderId="0" xfId="0" applyFont="1" applyAlignment="1">
      <alignment horizontal="center" vertical="center"/>
    </xf>
    <xf numFmtId="0" fontId="27" fillId="0" borderId="25" xfId="0" applyFont="1" applyBorder="1" applyAlignment="1">
      <alignment horizontal="center" vertical="center"/>
    </xf>
    <xf numFmtId="0" fontId="27" fillId="0" borderId="12" xfId="0" applyFont="1" applyBorder="1" applyAlignment="1">
      <alignment horizontal="center" vertical="center"/>
    </xf>
    <xf numFmtId="0" fontId="26" fillId="0" borderId="21" xfId="0" applyFont="1" applyBorder="1" applyAlignment="1">
      <alignment horizontal="center" vertical="center" wrapText="1"/>
    </xf>
    <xf numFmtId="0" fontId="26" fillId="0" borderId="12" xfId="0" applyFont="1" applyBorder="1" applyAlignment="1">
      <alignment horizontal="center" vertical="center"/>
    </xf>
    <xf numFmtId="0" fontId="26" fillId="0" borderId="10" xfId="0" applyFont="1" applyBorder="1" applyAlignment="1">
      <alignment horizontal="center" vertic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59" fillId="0" borderId="0" xfId="57" applyBorder="1"/>
    <xf numFmtId="0" fontId="25" fillId="0" borderId="0" xfId="0" applyFont="1" applyAlignment="1">
      <alignment horizontal="right" vertical="top"/>
    </xf>
    <xf numFmtId="0" fontId="32" fillId="0" borderId="0" xfId="0" applyFont="1" applyAlignment="1">
      <alignment vertical="top"/>
    </xf>
    <xf numFmtId="0" fontId="18" fillId="0" borderId="0" xfId="0" applyFont="1" applyAlignment="1">
      <alignment horizontal="right" vertical="top"/>
    </xf>
    <xf numFmtId="0" fontId="18" fillId="0" borderId="0" xfId="0" applyFont="1" applyAlignment="1">
      <alignment horizontal="left" vertical="top" wrapText="1"/>
    </xf>
    <xf numFmtId="0" fontId="18" fillId="0" borderId="0" xfId="0" applyFont="1" applyAlignment="1">
      <alignment vertical="top" wrapText="1"/>
    </xf>
    <xf numFmtId="164" fontId="29" fillId="40" borderId="14" xfId="65">
      <alignment horizontal="left" vertical="top" wrapText="1"/>
    </xf>
    <xf numFmtId="0" fontId="26" fillId="0" borderId="0" xfId="0" applyFont="1" applyAlignment="1">
      <alignment horizontal="right" vertical="top" wrapText="1"/>
    </xf>
    <xf numFmtId="0" fontId="25" fillId="0" borderId="0" xfId="0" applyFont="1" applyAlignment="1">
      <alignment horizontal="right" vertical="top" wrapText="1"/>
    </xf>
    <xf numFmtId="0" fontId="18" fillId="0" borderId="0" xfId="0" applyFont="1" applyAlignment="1">
      <alignment horizontal="left"/>
    </xf>
    <xf numFmtId="0" fontId="25" fillId="0" borderId="0" xfId="0" applyFont="1" applyAlignment="1">
      <alignment horizontal="center"/>
    </xf>
    <xf numFmtId="0" fontId="25" fillId="0" borderId="0" xfId="0" applyFont="1" applyAlignment="1">
      <alignment vertical="top" wrapText="1"/>
    </xf>
    <xf numFmtId="0" fontId="0" fillId="37" borderId="15" xfId="54" applyFont="1" applyBorder="1">
      <alignment horizontal="left" vertical="top" wrapText="1"/>
      <protection locked="0"/>
    </xf>
    <xf numFmtId="166" fontId="47" fillId="39" borderId="10" xfId="48" applyNumberFormat="1" applyFont="1">
      <protection locked="0"/>
    </xf>
    <xf numFmtId="0" fontId="0" fillId="37" borderId="32" xfId="54" applyFont="1" applyBorder="1">
      <alignment horizontal="left" vertical="top" wrapText="1"/>
      <protection locked="0"/>
    </xf>
    <xf numFmtId="167" fontId="47" fillId="39" borderId="10" xfId="48" applyNumberFormat="1" applyFont="1">
      <protection locked="0"/>
    </xf>
    <xf numFmtId="49" fontId="25" fillId="0" borderId="26" xfId="0" applyNumberFormat="1" applyFont="1" applyBorder="1" applyAlignment="1">
      <alignment vertical="top"/>
    </xf>
    <xf numFmtId="0" fontId="18" fillId="0" borderId="26" xfId="0" applyFont="1" applyBorder="1" applyAlignment="1">
      <alignment vertical="top"/>
    </xf>
    <xf numFmtId="0" fontId="0" fillId="0" borderId="26" xfId="62" applyFont="1" applyBorder="1">
      <alignment horizontal="center" vertical="center"/>
    </xf>
    <xf numFmtId="49" fontId="18" fillId="0" borderId="26" xfId="0" applyNumberFormat="1" applyFont="1" applyBorder="1" applyAlignment="1">
      <alignment vertical="top"/>
    </xf>
    <xf numFmtId="0" fontId="0" fillId="0" borderId="26" xfId="0" applyBorder="1"/>
    <xf numFmtId="49" fontId="25" fillId="0" borderId="26" xfId="0" quotePrefix="1" applyNumberFormat="1" applyFont="1" applyBorder="1" applyAlignment="1">
      <alignment vertical="top"/>
    </xf>
    <xf numFmtId="164" fontId="29" fillId="40" borderId="50" xfId="65" applyBorder="1">
      <alignment horizontal="left" vertical="top" wrapText="1"/>
    </xf>
    <xf numFmtId="164" fontId="29" fillId="40" borderId="51" xfId="65" applyBorder="1">
      <alignment horizontal="left" vertical="top" wrapText="1"/>
    </xf>
    <xf numFmtId="0" fontId="25" fillId="0" borderId="33" xfId="0" applyFont="1" applyBorder="1" applyAlignment="1">
      <alignment horizontal="left"/>
    </xf>
    <xf numFmtId="0" fontId="18" fillId="0" borderId="33" xfId="0" applyFont="1" applyBorder="1"/>
    <xf numFmtId="0" fontId="18" fillId="0" borderId="33" xfId="0" applyFont="1" applyBorder="1" applyAlignment="1">
      <alignment vertical="top"/>
    </xf>
    <xf numFmtId="0" fontId="18" fillId="0" borderId="0" xfId="0" applyFont="1" applyAlignment="1">
      <alignment horizontal="left" vertical="top"/>
    </xf>
    <xf numFmtId="0" fontId="45" fillId="0" borderId="0" xfId="0" applyFont="1" applyAlignment="1">
      <alignment horizontal="center" vertical="center"/>
    </xf>
    <xf numFmtId="0" fontId="0" fillId="0" borderId="52" xfId="0" applyBorder="1"/>
    <xf numFmtId="0" fontId="28" fillId="39" borderId="15" xfId="48" applyFont="1" applyBorder="1">
      <protection locked="0"/>
    </xf>
    <xf numFmtId="0" fontId="37" fillId="0" borderId="0" xfId="0" applyFont="1" applyAlignment="1">
      <alignment horizontal="justify" vertical="top"/>
    </xf>
    <xf numFmtId="0" fontId="0" fillId="39" borderId="34" xfId="48" applyFont="1" applyBorder="1">
      <protection locked="0"/>
    </xf>
    <xf numFmtId="0" fontId="25" fillId="0" borderId="31" xfId="0" applyFont="1" applyBorder="1" applyAlignment="1">
      <alignment horizontal="left"/>
    </xf>
    <xf numFmtId="49" fontId="25" fillId="0" borderId="31" xfId="0" applyNumberFormat="1" applyFont="1" applyBorder="1"/>
    <xf numFmtId="165" fontId="47" fillId="39" borderId="34" xfId="48" applyNumberFormat="1" applyFont="1" applyBorder="1">
      <protection locked="0"/>
    </xf>
    <xf numFmtId="0" fontId="25" fillId="0" borderId="23" xfId="0" applyFont="1" applyBorder="1" applyAlignment="1">
      <alignment horizontal="left"/>
    </xf>
    <xf numFmtId="0" fontId="18" fillId="0" borderId="23" xfId="0" applyFont="1" applyBorder="1"/>
    <xf numFmtId="0" fontId="18" fillId="0" borderId="23" xfId="0" applyFont="1" applyBorder="1" applyAlignment="1">
      <alignment vertical="top"/>
    </xf>
    <xf numFmtId="0" fontId="0" fillId="0" borderId="23" xfId="0" applyBorder="1"/>
    <xf numFmtId="166" fontId="47" fillId="39" borderId="34" xfId="48" applyNumberFormat="1" applyFont="1" applyBorder="1">
      <protection locked="0"/>
    </xf>
    <xf numFmtId="49" fontId="25" fillId="0" borderId="33" xfId="0" applyNumberFormat="1" applyFont="1" applyBorder="1"/>
    <xf numFmtId="0" fontId="0" fillId="0" borderId="31" xfId="0" applyBorder="1" applyAlignment="1">
      <alignment vertical="center"/>
    </xf>
    <xf numFmtId="0" fontId="16" fillId="35" borderId="35" xfId="0" applyFont="1" applyFill="1" applyBorder="1"/>
    <xf numFmtId="0" fontId="0" fillId="35" borderId="35" xfId="0" applyFill="1" applyBorder="1"/>
    <xf numFmtId="0" fontId="0" fillId="35" borderId="35" xfId="0" applyFill="1" applyBorder="1" applyAlignment="1">
      <alignment vertical="center"/>
    </xf>
    <xf numFmtId="0" fontId="0" fillId="35" borderId="35" xfId="0" applyFill="1" applyBorder="1" applyAlignment="1">
      <alignment horizontal="center" vertical="center"/>
    </xf>
    <xf numFmtId="0" fontId="59" fillId="35" borderId="35" xfId="57" applyFill="1" applyBorder="1"/>
    <xf numFmtId="0" fontId="36" fillId="0" borderId="0" xfId="0" applyFont="1" applyAlignment="1">
      <alignment horizontal="left" vertical="top" wrapText="1"/>
    </xf>
    <xf numFmtId="49" fontId="25" fillId="0" borderId="26" xfId="0" applyNumberFormat="1" applyFont="1" applyBorder="1"/>
    <xf numFmtId="0" fontId="18" fillId="0" borderId="26" xfId="0" applyFont="1" applyBorder="1" applyAlignment="1">
      <alignment horizontal="left" vertical="top"/>
    </xf>
    <xf numFmtId="49" fontId="25" fillId="0" borderId="21" xfId="0" applyNumberFormat="1" applyFont="1" applyBorder="1"/>
    <xf numFmtId="0" fontId="18" fillId="0" borderId="21" xfId="0" applyFont="1" applyBorder="1" applyAlignment="1">
      <alignment vertical="top"/>
    </xf>
    <xf numFmtId="0" fontId="18" fillId="0" borderId="21" xfId="0" applyFont="1" applyBorder="1" applyAlignment="1">
      <alignment horizontal="left" vertical="top"/>
    </xf>
    <xf numFmtId="0" fontId="25" fillId="0" borderId="21" xfId="0" applyFont="1" applyBorder="1" applyAlignment="1">
      <alignment horizontal="center" vertical="center"/>
    </xf>
    <xf numFmtId="49" fontId="25" fillId="0" borderId="23" xfId="0" applyNumberFormat="1" applyFont="1" applyBorder="1"/>
    <xf numFmtId="0" fontId="18" fillId="0" borderId="26" xfId="0" applyFont="1" applyBorder="1"/>
    <xf numFmtId="0" fontId="0" fillId="0" borderId="21" xfId="0" applyBorder="1"/>
    <xf numFmtId="0" fontId="0" fillId="0" borderId="21" xfId="0" applyBorder="1" applyAlignment="1">
      <alignment horizontal="center" vertical="center"/>
    </xf>
    <xf numFmtId="49" fontId="25" fillId="0" borderId="21" xfId="0" applyNumberFormat="1" applyFont="1" applyBorder="1" applyAlignment="1">
      <alignment vertical="top"/>
    </xf>
    <xf numFmtId="49" fontId="25" fillId="0" borderId="23" xfId="0" quotePrefix="1" applyNumberFormat="1" applyFont="1" applyBorder="1" applyAlignment="1">
      <alignment vertical="top"/>
    </xf>
    <xf numFmtId="0" fontId="25" fillId="0" borderId="23" xfId="0" applyFont="1" applyBorder="1" applyAlignment="1">
      <alignment vertical="top"/>
    </xf>
    <xf numFmtId="0" fontId="25" fillId="0" borderId="26" xfId="0" applyFont="1" applyBorder="1" applyAlignment="1">
      <alignment horizontal="left"/>
    </xf>
    <xf numFmtId="0" fontId="25" fillId="0" borderId="26" xfId="0" applyFont="1" applyBorder="1" applyAlignment="1">
      <alignment vertical="top"/>
    </xf>
    <xf numFmtId="49" fontId="25" fillId="0" borderId="21" xfId="0" quotePrefix="1" applyNumberFormat="1" applyFont="1" applyBorder="1" applyAlignment="1">
      <alignment vertical="top"/>
    </xf>
    <xf numFmtId="0" fontId="25" fillId="0" borderId="21" xfId="0" applyFont="1" applyBorder="1" applyAlignment="1">
      <alignment vertical="top"/>
    </xf>
    <xf numFmtId="0" fontId="25" fillId="0" borderId="26" xfId="0" applyFont="1" applyBorder="1" applyAlignment="1">
      <alignment horizontal="right" vertical="top" wrapText="1"/>
    </xf>
    <xf numFmtId="168" fontId="25" fillId="0" borderId="0" xfId="0" applyNumberFormat="1" applyFont="1" applyAlignment="1">
      <alignment horizontal="left"/>
    </xf>
    <xf numFmtId="2" fontId="25" fillId="0" borderId="0" xfId="0" applyNumberFormat="1" applyFont="1" applyAlignment="1">
      <alignment horizontal="left"/>
    </xf>
    <xf numFmtId="0" fontId="27" fillId="0" borderId="0" xfId="0" applyFont="1" applyAlignment="1">
      <alignment horizontal="right" wrapText="1"/>
    </xf>
    <xf numFmtId="0" fontId="18" fillId="0" borderId="0" xfId="0" applyFont="1" applyAlignment="1">
      <alignment wrapText="1"/>
    </xf>
    <xf numFmtId="0" fontId="26" fillId="0" borderId="0" xfId="0" applyFont="1" applyAlignment="1">
      <alignment horizontal="right" vertical="center" wrapText="1"/>
    </xf>
    <xf numFmtId="0" fontId="26" fillId="0" borderId="0" xfId="0" applyFont="1" applyAlignment="1">
      <alignment horizontal="right" wrapText="1"/>
    </xf>
    <xf numFmtId="0" fontId="25" fillId="0" borderId="0" xfId="0" applyFont="1" applyAlignment="1">
      <alignment wrapText="1"/>
    </xf>
    <xf numFmtId="0" fontId="21" fillId="34" borderId="0" xfId="50" applyAlignment="1">
      <alignment horizontal="left" vertical="top" wrapText="1"/>
    </xf>
    <xf numFmtId="49" fontId="21" fillId="34" borderId="0" xfId="50" applyNumberFormat="1" applyAlignment="1">
      <alignment horizontal="left" vertical="top" wrapText="1"/>
    </xf>
    <xf numFmtId="49" fontId="25" fillId="0" borderId="0" xfId="0" applyNumberFormat="1" applyFont="1" applyAlignment="1">
      <alignment vertical="top" wrapText="1"/>
    </xf>
    <xf numFmtId="49" fontId="25" fillId="0" borderId="0" xfId="0" quotePrefix="1" applyNumberFormat="1" applyFont="1" applyAlignment="1">
      <alignment vertical="top" wrapText="1"/>
    </xf>
    <xf numFmtId="0" fontId="27" fillId="0" borderId="0" xfId="0" applyFont="1" applyAlignment="1">
      <alignment horizontal="justify" vertical="top" wrapText="1"/>
    </xf>
    <xf numFmtId="0" fontId="32" fillId="0" borderId="0" xfId="0" applyFont="1" applyAlignment="1">
      <alignment vertical="top" wrapText="1"/>
    </xf>
    <xf numFmtId="49" fontId="25" fillId="0" borderId="0" xfId="0" applyNumberFormat="1" applyFont="1" applyAlignment="1">
      <alignment horizontal="center" vertical="top" wrapText="1"/>
    </xf>
    <xf numFmtId="0" fontId="44" fillId="0" borderId="0" xfId="0" applyFont="1" applyAlignment="1">
      <alignment vertical="top" wrapText="1"/>
    </xf>
    <xf numFmtId="0" fontId="18" fillId="0" borderId="0" xfId="0" applyFont="1" applyAlignment="1">
      <alignment horizontal="right" vertical="top" wrapText="1"/>
    </xf>
    <xf numFmtId="0" fontId="25" fillId="0" borderId="0" xfId="0" applyFont="1" applyAlignment="1">
      <alignment horizontal="center" vertical="top" wrapText="1"/>
    </xf>
    <xf numFmtId="0" fontId="18" fillId="0" borderId="31" xfId="0" applyFont="1" applyBorder="1"/>
    <xf numFmtId="0" fontId="18" fillId="0" borderId="31" xfId="0" applyFont="1" applyBorder="1" applyAlignment="1">
      <alignment horizontal="center" vertical="center"/>
    </xf>
    <xf numFmtId="0" fontId="18" fillId="0" borderId="31" xfId="0" applyFont="1" applyBorder="1" applyAlignment="1">
      <alignment wrapText="1"/>
    </xf>
    <xf numFmtId="0" fontId="18" fillId="0" borderId="26" xfId="0" applyFont="1" applyBorder="1" applyAlignment="1">
      <alignment wrapText="1"/>
    </xf>
    <xf numFmtId="0" fontId="18" fillId="0" borderId="21" xfId="0" applyFont="1" applyBorder="1"/>
    <xf numFmtId="0" fontId="18" fillId="0" borderId="21" xfId="0" applyFont="1" applyBorder="1" applyAlignment="1">
      <alignment wrapText="1"/>
    </xf>
    <xf numFmtId="0" fontId="18" fillId="0" borderId="23" xfId="0" applyFont="1" applyBorder="1" applyAlignment="1">
      <alignment horizontal="center" vertical="center"/>
    </xf>
    <xf numFmtId="0" fontId="18" fillId="0" borderId="23" xfId="0" applyFont="1" applyBorder="1" applyAlignment="1">
      <alignment wrapText="1"/>
    </xf>
    <xf numFmtId="0" fontId="0" fillId="0" borderId="26" xfId="0" applyBorder="1" applyAlignment="1">
      <alignment horizontal="center" vertical="center"/>
    </xf>
    <xf numFmtId="0" fontId="16" fillId="0" borderId="26" xfId="0" applyFont="1" applyBorder="1" applyAlignment="1">
      <alignment horizontal="center" vertical="center"/>
    </xf>
    <xf numFmtId="0" fontId="18" fillId="0" borderId="26" xfId="0" applyFont="1" applyBorder="1" applyAlignment="1">
      <alignment horizontal="left" vertical="top" wrapText="1"/>
    </xf>
    <xf numFmtId="0" fontId="16" fillId="0" borderId="31" xfId="0" applyFont="1" applyBorder="1" applyAlignment="1">
      <alignment horizontal="center" vertical="center"/>
    </xf>
    <xf numFmtId="0" fontId="0" fillId="0" borderId="33" xfId="0" applyBorder="1" applyAlignment="1">
      <alignment horizontal="center" vertical="center"/>
    </xf>
    <xf numFmtId="0" fontId="16" fillId="0" borderId="33" xfId="0" applyFont="1" applyBorder="1" applyAlignment="1">
      <alignment horizontal="center" vertical="center"/>
    </xf>
    <xf numFmtId="164" fontId="29" fillId="40" borderId="47" xfId="65" applyBorder="1">
      <alignment horizontal="left" vertical="top" wrapText="1"/>
    </xf>
    <xf numFmtId="0" fontId="25" fillId="0" borderId="26" xfId="0" applyFont="1" applyBorder="1" applyAlignment="1">
      <alignment horizontal="center" vertical="center"/>
    </xf>
    <xf numFmtId="0" fontId="25" fillId="0" borderId="33" xfId="0" applyFont="1" applyBorder="1" applyAlignment="1">
      <alignment horizontal="center" vertical="center"/>
    </xf>
    <xf numFmtId="0" fontId="0" fillId="37" borderId="10" xfId="66" applyFont="1">
      <alignment horizontal="left" vertical="top" wrapText="1"/>
    </xf>
    <xf numFmtId="0" fontId="0" fillId="37" borderId="32" xfId="66" applyFont="1" applyBorder="1">
      <alignment horizontal="left" vertical="top" wrapText="1"/>
    </xf>
    <xf numFmtId="0" fontId="0" fillId="37" borderId="53" xfId="66" applyFont="1" applyBorder="1">
      <alignment horizontal="left" vertical="top" wrapText="1"/>
    </xf>
    <xf numFmtId="0" fontId="0" fillId="0" borderId="54" xfId="0" applyBorder="1"/>
    <xf numFmtId="0" fontId="0" fillId="39" borderId="17" xfId="48" applyFont="1" applyBorder="1">
      <protection locked="0"/>
    </xf>
    <xf numFmtId="0" fontId="0" fillId="0" borderId="55" xfId="0" applyBorder="1"/>
    <xf numFmtId="0" fontId="59" fillId="35" borderId="35" xfId="57" applyFill="1" applyBorder="1" applyProtection="1">
      <protection locked="0"/>
    </xf>
    <xf numFmtId="0" fontId="59" fillId="0" borderId="0" xfId="57" applyAlignment="1" applyProtection="1">
      <alignment horizontal="left" vertical="top" wrapText="1"/>
      <protection locked="0"/>
    </xf>
    <xf numFmtId="164" fontId="59" fillId="40" borderId="47" xfId="57" applyNumberFormat="1" applyFill="1" applyBorder="1" applyAlignment="1" applyProtection="1">
      <alignment horizontal="left" vertical="top" wrapText="1"/>
      <protection locked="0"/>
    </xf>
    <xf numFmtId="164" fontId="59" fillId="40" borderId="14" xfId="57" applyNumberFormat="1" applyFill="1" applyBorder="1" applyAlignment="1" applyProtection="1">
      <alignment horizontal="left" vertical="top" wrapText="1"/>
      <protection locked="0"/>
    </xf>
    <xf numFmtId="0" fontId="59" fillId="0" borderId="0" xfId="57" applyBorder="1" applyProtection="1">
      <protection locked="0"/>
    </xf>
    <xf numFmtId="0" fontId="26" fillId="0" borderId="33" xfId="0" applyFont="1" applyBorder="1" applyAlignment="1">
      <alignment horizontal="left" vertical="top" wrapText="1"/>
    </xf>
    <xf numFmtId="0" fontId="0" fillId="0" borderId="64" xfId="0" applyBorder="1"/>
    <xf numFmtId="0" fontId="25" fillId="0" borderId="33" xfId="0" applyFont="1" applyBorder="1" applyAlignment="1">
      <alignment horizontal="left" vertical="top" wrapText="1"/>
    </xf>
    <xf numFmtId="0" fontId="18" fillId="0" borderId="26" xfId="0" applyFont="1" applyBorder="1" applyAlignment="1">
      <alignment vertical="top" wrapText="1"/>
    </xf>
    <xf numFmtId="0" fontId="0" fillId="0" borderId="0" xfId="0" applyAlignment="1">
      <alignment wrapText="1"/>
    </xf>
    <xf numFmtId="0" fontId="0" fillId="0" borderId="0" xfId="0" applyAlignment="1">
      <alignment horizontal="left" wrapText="1"/>
    </xf>
    <xf numFmtId="0" fontId="27" fillId="0" borderId="0" xfId="0" applyFont="1" applyAlignment="1">
      <alignment horizontal="left" vertical="top" wrapText="1"/>
    </xf>
    <xf numFmtId="0" fontId="27" fillId="0" borderId="10" xfId="0" applyFont="1" applyBorder="1" applyAlignment="1">
      <alignment horizontal="center" vertical="center"/>
    </xf>
    <xf numFmtId="0" fontId="18" fillId="0" borderId="21" xfId="0" applyFont="1" applyBorder="1" applyAlignment="1">
      <alignment horizontal="left" vertical="top" wrapText="1"/>
    </xf>
    <xf numFmtId="0" fontId="18" fillId="0" borderId="21" xfId="0" applyFont="1" applyBorder="1" applyAlignment="1">
      <alignment vertical="top" wrapText="1"/>
    </xf>
    <xf numFmtId="0" fontId="37" fillId="0" borderId="0" xfId="0" applyFont="1" applyAlignment="1">
      <alignment horizontal="justify" vertical="top" wrapText="1"/>
    </xf>
    <xf numFmtId="0" fontId="25" fillId="0" borderId="33" xfId="0" applyFont="1" applyBorder="1" applyAlignment="1">
      <alignment vertical="top" wrapText="1"/>
    </xf>
    <xf numFmtId="0" fontId="18" fillId="0" borderId="31" xfId="0" applyFont="1" applyBorder="1" applyAlignment="1">
      <alignment vertical="top" wrapText="1"/>
    </xf>
    <xf numFmtId="169" fontId="18" fillId="0" borderId="10" xfId="0" applyNumberFormat="1" applyFont="1" applyBorder="1" applyAlignment="1">
      <alignment horizontal="center" vertical="center" wrapText="1"/>
    </xf>
    <xf numFmtId="169" fontId="18" fillId="0" borderId="10" xfId="0" applyNumberFormat="1" applyFont="1" applyBorder="1" applyAlignment="1">
      <alignment horizontal="center" vertical="center"/>
    </xf>
    <xf numFmtId="0" fontId="27" fillId="0" borderId="12" xfId="0" applyFont="1" applyBorder="1" applyAlignment="1">
      <alignment horizontal="center" vertical="center" wrapText="1"/>
    </xf>
    <xf numFmtId="0" fontId="38" fillId="0" borderId="0" xfId="0" applyFont="1" applyAlignment="1">
      <alignment horizontal="center" vertical="center"/>
    </xf>
    <xf numFmtId="0" fontId="18" fillId="0" borderId="10" xfId="0" applyFont="1" applyBorder="1" applyAlignment="1">
      <alignment horizontal="center" vertical="center" wrapText="1"/>
    </xf>
    <xf numFmtId="2" fontId="27" fillId="0" borderId="12" xfId="0" applyNumberFormat="1" applyFont="1" applyBorder="1" applyAlignment="1">
      <alignment horizontal="center" vertical="center" wrapText="1"/>
    </xf>
    <xf numFmtId="0" fontId="18" fillId="0" borderId="10" xfId="0" applyFont="1" applyBorder="1" applyAlignment="1">
      <alignment horizont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0" xfId="0" applyFont="1" applyBorder="1" applyAlignment="1">
      <alignment horizontal="center" vertical="center"/>
    </xf>
    <xf numFmtId="0" fontId="44" fillId="0" borderId="10" xfId="0" applyFont="1" applyBorder="1" applyAlignment="1">
      <alignment horizontal="center" vertical="center"/>
    </xf>
    <xf numFmtId="0" fontId="26" fillId="0" borderId="12" xfId="0" applyFont="1" applyBorder="1" applyAlignment="1">
      <alignment horizontal="center" vertical="center" wrapText="1"/>
    </xf>
    <xf numFmtId="1" fontId="18" fillId="0" borderId="10" xfId="0" applyNumberFormat="1" applyFont="1" applyBorder="1" applyAlignment="1">
      <alignment horizontal="center" vertical="center" wrapText="1"/>
    </xf>
    <xf numFmtId="1" fontId="27" fillId="0" borderId="12" xfId="0" applyNumberFormat="1" applyFont="1" applyBorder="1" applyAlignment="1">
      <alignment horizontal="center" vertical="center" wrapText="1"/>
    </xf>
    <xf numFmtId="16" fontId="0" fillId="0" borderId="0" xfId="0" applyNumberFormat="1"/>
    <xf numFmtId="49" fontId="18" fillId="0" borderId="10" xfId="0" applyNumberFormat="1" applyFont="1" applyBorder="1" applyAlignment="1">
      <alignment horizontal="center" vertical="center" wrapText="1"/>
    </xf>
    <xf numFmtId="49" fontId="27" fillId="0" borderId="12" xfId="0" applyNumberFormat="1" applyFont="1" applyBorder="1" applyAlignment="1">
      <alignment horizontal="center" vertical="center" wrapText="1"/>
    </xf>
    <xf numFmtId="49" fontId="25" fillId="0" borderId="10" xfId="0" applyNumberFormat="1" applyFont="1" applyBorder="1" applyAlignment="1">
      <alignment horizontal="center" vertical="center" wrapText="1"/>
    </xf>
    <xf numFmtId="49" fontId="44" fillId="0" borderId="10" xfId="0" applyNumberFormat="1" applyFont="1" applyBorder="1" applyAlignment="1">
      <alignment horizontal="center" vertical="center"/>
    </xf>
    <xf numFmtId="49" fontId="25" fillId="0" borderId="10" xfId="0" applyNumberFormat="1" applyFont="1" applyBorder="1" applyAlignment="1">
      <alignment horizontal="center" vertical="center"/>
    </xf>
    <xf numFmtId="2" fontId="18" fillId="0" borderId="10" xfId="0" applyNumberFormat="1" applyFont="1" applyBorder="1" applyAlignment="1">
      <alignment horizontal="center" vertical="center" wrapText="1"/>
    </xf>
    <xf numFmtId="2" fontId="18" fillId="0" borderId="10" xfId="0" applyNumberFormat="1" applyFont="1" applyBorder="1" applyAlignment="1">
      <alignment horizontal="center" vertical="center"/>
    </xf>
    <xf numFmtId="49" fontId="18" fillId="0" borderId="10" xfId="0" applyNumberFormat="1" applyFont="1" applyBorder="1" applyAlignment="1">
      <alignment horizontal="center"/>
    </xf>
    <xf numFmtId="0" fontId="18" fillId="0" borderId="10" xfId="0" applyFont="1" applyBorder="1" applyAlignment="1">
      <alignment horizontal="center"/>
    </xf>
    <xf numFmtId="0" fontId="45" fillId="43" borderId="15" xfId="0" applyFont="1" applyFill="1" applyBorder="1" applyAlignment="1">
      <alignment horizontal="center" vertical="center" wrapText="1"/>
    </xf>
    <xf numFmtId="0" fontId="18" fillId="0" borderId="15" xfId="0" applyFont="1" applyBorder="1" applyAlignment="1">
      <alignment horizontal="center" vertical="center" wrapText="1"/>
    </xf>
    <xf numFmtId="0" fontId="27" fillId="0" borderId="10" xfId="0" applyFont="1" applyBorder="1" applyAlignment="1">
      <alignment horizontal="center" vertical="center" wrapText="1"/>
    </xf>
    <xf numFmtId="0" fontId="16" fillId="0" borderId="0" xfId="0" applyFont="1" applyAlignment="1">
      <alignment horizontal="center"/>
    </xf>
    <xf numFmtId="0" fontId="27" fillId="0" borderId="65" xfId="0" applyFont="1" applyBorder="1" applyAlignment="1">
      <alignment horizontal="center" vertical="center"/>
    </xf>
    <xf numFmtId="0" fontId="26" fillId="0" borderId="65" xfId="0" applyFont="1" applyBorder="1" applyAlignment="1">
      <alignment horizontal="center" vertical="center"/>
    </xf>
    <xf numFmtId="0" fontId="26" fillId="0" borderId="65" xfId="0" applyFont="1" applyBorder="1" applyAlignment="1">
      <alignment horizontal="center" vertical="center" wrapText="1"/>
    </xf>
    <xf numFmtId="49" fontId="0" fillId="39" borderId="10" xfId="48" applyNumberFormat="1" applyFont="1" applyAlignment="1">
      <alignment horizontal="left"/>
      <protection locked="0"/>
    </xf>
    <xf numFmtId="0" fontId="16" fillId="0" borderId="25" xfId="0" applyFont="1" applyBorder="1" applyAlignment="1">
      <alignment horizontal="right" vertical="center"/>
    </xf>
    <xf numFmtId="0" fontId="16" fillId="0" borderId="12" xfId="0" applyFont="1" applyBorder="1" applyAlignment="1">
      <alignment horizontal="right" vertical="center"/>
    </xf>
    <xf numFmtId="9" fontId="0" fillId="0" borderId="0" xfId="0" applyNumberFormat="1"/>
    <xf numFmtId="0" fontId="16" fillId="0" borderId="0" xfId="0" applyFont="1"/>
    <xf numFmtId="170" fontId="47" fillId="39" borderId="10" xfId="48" applyNumberFormat="1" applyFont="1">
      <protection locked="0"/>
    </xf>
    <xf numFmtId="0" fontId="18" fillId="0" borderId="10" xfId="0" applyFont="1" applyBorder="1" applyAlignment="1">
      <alignment horizontal="center" vertical="center"/>
    </xf>
    <xf numFmtId="0" fontId="55" fillId="0" borderId="76" xfId="0" applyFont="1" applyBorder="1" applyAlignment="1">
      <alignment horizontal="center" vertical="center" wrapText="1"/>
    </xf>
    <xf numFmtId="0" fontId="55" fillId="0" borderId="77" xfId="0" applyFont="1" applyBorder="1" applyAlignment="1">
      <alignment horizontal="center" vertical="center" wrapText="1"/>
    </xf>
    <xf numFmtId="0" fontId="55" fillId="0" borderId="65" xfId="0" applyFont="1" applyBorder="1" applyAlignment="1">
      <alignment horizontal="center" vertical="center" wrapText="1"/>
    </xf>
    <xf numFmtId="49" fontId="50" fillId="0" borderId="66" xfId="0" applyNumberFormat="1" applyFont="1" applyBorder="1" applyAlignment="1">
      <alignment horizontal="center" vertical="center" wrapText="1"/>
    </xf>
    <xf numFmtId="0" fontId="50" fillId="0" borderId="65" xfId="0" applyFont="1" applyBorder="1" applyAlignment="1">
      <alignment horizontal="center" vertical="center" wrapText="1"/>
    </xf>
    <xf numFmtId="2" fontId="50" fillId="0" borderId="65" xfId="0" applyNumberFormat="1" applyFont="1" applyBorder="1" applyAlignment="1">
      <alignment horizontal="center" vertical="center" wrapText="1"/>
    </xf>
    <xf numFmtId="0" fontId="50" fillId="0" borderId="66" xfId="0" applyFont="1" applyBorder="1" applyAlignment="1">
      <alignment horizontal="center" vertical="center" wrapText="1"/>
    </xf>
    <xf numFmtId="0" fontId="0" fillId="39" borderId="10" xfId="48" applyFont="1" applyAlignment="1">
      <protection locked="0"/>
    </xf>
    <xf numFmtId="0" fontId="25" fillId="0" borderId="31" xfId="0" applyFont="1" applyBorder="1" applyAlignment="1">
      <alignment horizontal="center" vertical="center"/>
    </xf>
    <xf numFmtId="49" fontId="25" fillId="0" borderId="31" xfId="0" applyNumberFormat="1" applyFont="1" applyBorder="1" applyAlignment="1">
      <alignment horizontal="left"/>
    </xf>
    <xf numFmtId="0" fontId="25" fillId="0" borderId="31" xfId="0" applyFont="1" applyBorder="1" applyAlignment="1">
      <alignment vertical="top" wrapText="1"/>
    </xf>
    <xf numFmtId="0" fontId="25" fillId="0" borderId="31" xfId="0" applyFont="1" applyBorder="1" applyAlignment="1">
      <alignment horizontal="right" vertical="top" wrapText="1"/>
    </xf>
    <xf numFmtId="0" fontId="25" fillId="0" borderId="35" xfId="0" applyFont="1" applyBorder="1" applyAlignment="1">
      <alignment horizontal="left"/>
    </xf>
    <xf numFmtId="0" fontId="18" fillId="0" borderId="35" xfId="0" applyFont="1" applyBorder="1"/>
    <xf numFmtId="0" fontId="25" fillId="0" borderId="35" xfId="0" applyFont="1" applyBorder="1" applyAlignment="1">
      <alignment vertical="top" wrapText="1"/>
    </xf>
    <xf numFmtId="0" fontId="25" fillId="0" borderId="35" xfId="0" applyFont="1" applyBorder="1" applyAlignment="1">
      <alignment horizontal="center" vertical="center"/>
    </xf>
    <xf numFmtId="0" fontId="28" fillId="39" borderId="34" xfId="48" applyFont="1" applyBorder="1">
      <protection locked="0"/>
    </xf>
    <xf numFmtId="172" fontId="47" fillId="39" borderId="10" xfId="48" applyNumberFormat="1" applyFont="1">
      <protection locked="0"/>
    </xf>
    <xf numFmtId="171" fontId="25" fillId="0" borderId="26" xfId="0" applyNumberFormat="1" applyFont="1" applyBorder="1" applyAlignment="1">
      <alignment horizontal="center" vertical="center"/>
    </xf>
    <xf numFmtId="0" fontId="25" fillId="0" borderId="0" xfId="0" applyFont="1" applyAlignment="1">
      <alignment horizontal="left" vertical="top" wrapText="1"/>
    </xf>
    <xf numFmtId="173" fontId="47" fillId="39" borderId="10" xfId="48" applyNumberFormat="1" applyFont="1">
      <protection locked="0"/>
    </xf>
    <xf numFmtId="175" fontId="47" fillId="39" borderId="10" xfId="48" applyNumberFormat="1" applyFont="1">
      <protection locked="0"/>
    </xf>
    <xf numFmtId="2" fontId="47" fillId="39" borderId="10" xfId="48" applyNumberFormat="1" applyFont="1">
      <protection locked="0"/>
    </xf>
    <xf numFmtId="0" fontId="0" fillId="2" borderId="0" xfId="0" applyFill="1" applyAlignment="1">
      <alignment horizontal="right"/>
    </xf>
    <xf numFmtId="0" fontId="45" fillId="34" borderId="0" xfId="50" applyFont="1" applyAlignment="1">
      <alignment horizontal="center" vertical="center"/>
    </xf>
    <xf numFmtId="0" fontId="26" fillId="0" borderId="70" xfId="0" applyFont="1" applyBorder="1" applyAlignment="1">
      <alignment horizontal="center" vertical="center" wrapText="1"/>
    </xf>
    <xf numFmtId="9" fontId="1" fillId="39" borderId="10" xfId="48" applyNumberFormat="1" applyFont="1" applyAlignment="1">
      <alignment horizontal="right" vertical="center"/>
      <protection locked="0"/>
    </xf>
    <xf numFmtId="0" fontId="27" fillId="0" borderId="65" xfId="0" applyFont="1" applyBorder="1" applyAlignment="1">
      <alignment horizontal="center" vertical="center" wrapText="1"/>
    </xf>
    <xf numFmtId="0" fontId="27" fillId="0" borderId="66" xfId="0" applyFont="1" applyBorder="1" applyAlignment="1">
      <alignment horizontal="left" vertical="center" wrapText="1" indent="1"/>
    </xf>
    <xf numFmtId="0" fontId="27" fillId="0" borderId="70" xfId="0" applyFont="1" applyBorder="1" applyAlignment="1">
      <alignment horizontal="center" vertical="center" wrapText="1"/>
    </xf>
    <xf numFmtId="0" fontId="27" fillId="0" borderId="81" xfId="0" applyFont="1" applyBorder="1" applyAlignment="1">
      <alignment horizontal="left" vertical="center" wrapText="1" indent="1"/>
    </xf>
    <xf numFmtId="0" fontId="27" fillId="0" borderId="76" xfId="0" applyFont="1" applyBorder="1" applyAlignment="1">
      <alignment horizontal="center" vertical="center" wrapText="1"/>
    </xf>
    <xf numFmtId="0" fontId="27" fillId="0" borderId="67" xfId="0" applyFont="1" applyBorder="1" applyAlignment="1">
      <alignment horizontal="left" vertical="center" wrapText="1" indent="1"/>
    </xf>
    <xf numFmtId="0" fontId="26" fillId="0" borderId="66" xfId="0" applyFont="1" applyBorder="1" applyAlignment="1">
      <alignment horizontal="center" vertical="center" wrapText="1"/>
    </xf>
    <xf numFmtId="0" fontId="27" fillId="44" borderId="65" xfId="0" applyFont="1" applyFill="1" applyBorder="1" applyAlignment="1">
      <alignment horizontal="center" vertical="center" wrapText="1"/>
    </xf>
    <xf numFmtId="0" fontId="27" fillId="44" borderId="66" xfId="0" applyFont="1" applyFill="1" applyBorder="1" applyAlignment="1">
      <alignment vertical="center" wrapText="1"/>
    </xf>
    <xf numFmtId="0" fontId="27" fillId="0" borderId="66" xfId="0" applyFont="1" applyBorder="1" applyAlignment="1">
      <alignment vertical="center" wrapText="1"/>
    </xf>
    <xf numFmtId="0" fontId="26" fillId="0" borderId="81" xfId="0" applyFont="1" applyBorder="1" applyAlignment="1">
      <alignment horizontal="center" vertical="center" wrapText="1"/>
    </xf>
    <xf numFmtId="0" fontId="27" fillId="0" borderId="66" xfId="0" applyFont="1" applyBorder="1" applyAlignment="1">
      <alignment horizontal="center" vertical="center" wrapText="1"/>
    </xf>
    <xf numFmtId="0" fontId="27" fillId="0" borderId="10" xfId="0" applyFont="1" applyBorder="1" applyAlignment="1">
      <alignment vertical="center" wrapText="1"/>
    </xf>
    <xf numFmtId="0" fontId="27" fillId="0" borderId="17"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5" xfId="0" applyFont="1" applyBorder="1" applyAlignment="1">
      <alignment horizontal="center" vertical="center" wrapText="1"/>
    </xf>
    <xf numFmtId="0" fontId="26" fillId="0" borderId="10" xfId="0" applyFont="1" applyBorder="1" applyAlignment="1">
      <alignment horizontal="center" vertical="center" wrapText="1"/>
    </xf>
    <xf numFmtId="0" fontId="27" fillId="0" borderId="15" xfId="0" applyFont="1" applyBorder="1" applyAlignment="1">
      <alignment vertical="center" wrapText="1"/>
    </xf>
    <xf numFmtId="0" fontId="27" fillId="0" borderId="17" xfId="0" applyFont="1" applyBorder="1" applyAlignment="1">
      <alignment vertical="center" wrapText="1"/>
    </xf>
    <xf numFmtId="0" fontId="27" fillId="0" borderId="16" xfId="0" applyFont="1" applyBorder="1" applyAlignment="1">
      <alignment vertical="center" wrapText="1"/>
    </xf>
    <xf numFmtId="0" fontId="41" fillId="0" borderId="0" xfId="0" applyFont="1" applyAlignment="1">
      <alignment horizontal="center" vertical="center"/>
    </xf>
    <xf numFmtId="0" fontId="25" fillId="0" borderId="0" xfId="0" applyFont="1" applyAlignment="1">
      <alignment horizontal="center" vertical="center" wrapText="1"/>
    </xf>
    <xf numFmtId="0" fontId="25" fillId="0" borderId="0" xfId="62" applyFont="1">
      <alignment horizontal="center" vertical="center"/>
    </xf>
    <xf numFmtId="0" fontId="26" fillId="0" borderId="0" xfId="0" applyFont="1" applyAlignment="1">
      <alignment horizontal="center" vertical="center"/>
    </xf>
    <xf numFmtId="0" fontId="18" fillId="0" borderId="21" xfId="0" applyFont="1" applyBorder="1" applyAlignment="1">
      <alignment horizontal="center" vertical="center"/>
    </xf>
    <xf numFmtId="2" fontId="0" fillId="0" borderId="0" xfId="0" applyNumberFormat="1"/>
    <xf numFmtId="0" fontId="0" fillId="37" borderId="17" xfId="54" applyFont="1" applyBorder="1">
      <alignment horizontal="left" vertical="top" wrapText="1"/>
      <protection locked="0"/>
    </xf>
    <xf numFmtId="0" fontId="0" fillId="37" borderId="53" xfId="54" applyFont="1" applyBorder="1">
      <alignment horizontal="left" vertical="top" wrapText="1"/>
      <protection locked="0"/>
    </xf>
    <xf numFmtId="0" fontId="25" fillId="0" borderId="23" xfId="0" applyFont="1" applyBorder="1" applyAlignment="1">
      <alignment horizontal="center" vertical="center"/>
    </xf>
    <xf numFmtId="0" fontId="26" fillId="0" borderId="0" xfId="0" applyFont="1" applyAlignment="1">
      <alignment horizontal="center" vertical="center" wrapText="1"/>
    </xf>
    <xf numFmtId="0" fontId="25" fillId="0" borderId="26" xfId="0" applyFont="1" applyBorder="1" applyAlignment="1">
      <alignment horizontal="center" vertical="center" wrapText="1"/>
    </xf>
    <xf numFmtId="0" fontId="18" fillId="0" borderId="23" xfId="0" applyFont="1" applyBorder="1" applyAlignment="1">
      <alignment vertical="top" wrapText="1"/>
    </xf>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26" fillId="0" borderId="26" xfId="0" applyFont="1" applyBorder="1" applyAlignment="1">
      <alignment horizontal="center" vertical="center" wrapText="1"/>
    </xf>
    <xf numFmtId="0" fontId="25" fillId="0" borderId="26" xfId="0" applyFont="1" applyBorder="1" applyAlignment="1">
      <alignment horizontal="center"/>
    </xf>
    <xf numFmtId="168" fontId="25" fillId="0" borderId="31" xfId="0" applyNumberFormat="1" applyFont="1" applyBorder="1" applyAlignment="1">
      <alignment horizontal="left"/>
    </xf>
    <xf numFmtId="168" fontId="25" fillId="0" borderId="33" xfId="0" applyNumberFormat="1" applyFont="1" applyBorder="1" applyAlignment="1">
      <alignment horizontal="left"/>
    </xf>
    <xf numFmtId="0" fontId="18" fillId="0" borderId="31" xfId="0" applyFont="1" applyBorder="1" applyAlignment="1">
      <alignment horizontal="left"/>
    </xf>
    <xf numFmtId="0" fontId="59" fillId="0" borderId="31" xfId="57" applyBorder="1" applyAlignment="1" applyProtection="1">
      <alignment horizontal="left" vertical="top" wrapText="1"/>
      <protection locked="0"/>
    </xf>
    <xf numFmtId="176" fontId="47" fillId="39" borderId="10" xfId="48" applyNumberFormat="1" applyFont="1">
      <protection locked="0"/>
    </xf>
    <xf numFmtId="178" fontId="47" fillId="39" borderId="10" xfId="48" applyNumberFormat="1" applyFont="1">
      <protection locked="0"/>
    </xf>
    <xf numFmtId="2" fontId="0" fillId="2" borderId="0" xfId="0" applyNumberFormat="1" applyFill="1"/>
    <xf numFmtId="9" fontId="47" fillId="39" borderId="10" xfId="48" applyNumberFormat="1" applyFont="1">
      <protection locked="0"/>
    </xf>
    <xf numFmtId="168" fontId="47" fillId="39" borderId="10" xfId="48" applyNumberFormat="1" applyFont="1">
      <protection locked="0"/>
    </xf>
    <xf numFmtId="0" fontId="18" fillId="0" borderId="0" xfId="0" applyFont="1" applyAlignment="1">
      <alignment vertical="center"/>
    </xf>
    <xf numFmtId="0" fontId="60" fillId="34" borderId="0" xfId="50" applyFont="1" applyAlignment="1">
      <alignment vertical="center"/>
    </xf>
    <xf numFmtId="0" fontId="25" fillId="0" borderId="31" xfId="62" applyFont="1" applyBorder="1">
      <alignment horizontal="center" vertical="center"/>
    </xf>
    <xf numFmtId="0" fontId="18" fillId="0" borderId="0" xfId="62" applyFont="1" applyBorder="1">
      <alignment horizontal="center" vertical="center"/>
    </xf>
    <xf numFmtId="0" fontId="18" fillId="0" borderId="31" xfId="62" applyFont="1" applyBorder="1">
      <alignment horizontal="center" vertical="center"/>
    </xf>
    <xf numFmtId="0" fontId="60" fillId="34" borderId="0" xfId="50" applyFont="1" applyAlignment="1">
      <alignment horizontal="center" vertical="center"/>
    </xf>
    <xf numFmtId="0" fontId="18" fillId="0" borderId="33"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60" fillId="34" borderId="0" xfId="50" applyFont="1"/>
    <xf numFmtId="0" fontId="25" fillId="0" borderId="33" xfId="0" applyFont="1" applyBorder="1"/>
    <xf numFmtId="0" fontId="18" fillId="0" borderId="31" xfId="0" applyFont="1" applyBorder="1" applyAlignment="1">
      <alignment vertical="center"/>
    </xf>
    <xf numFmtId="1" fontId="47" fillId="39" borderId="10" xfId="48" applyNumberFormat="1" applyFont="1">
      <protection locked="0"/>
    </xf>
    <xf numFmtId="49" fontId="25" fillId="0" borderId="31" xfId="0" applyNumberFormat="1" applyFont="1" applyBorder="1" applyAlignment="1">
      <alignment vertical="top" wrapText="1"/>
    </xf>
    <xf numFmtId="0" fontId="18" fillId="0" borderId="33" xfId="0" applyFont="1" applyBorder="1" applyAlignment="1">
      <alignment vertical="top" wrapText="1"/>
    </xf>
    <xf numFmtId="0" fontId="18" fillId="0" borderId="35" xfId="0" applyFont="1" applyBorder="1" applyAlignment="1">
      <alignment vertical="top" wrapText="1"/>
    </xf>
    <xf numFmtId="0" fontId="26" fillId="0" borderId="31" xfId="0" applyFont="1" applyBorder="1" applyAlignment="1">
      <alignment horizontal="center" vertical="center" wrapText="1"/>
    </xf>
    <xf numFmtId="0" fontId="26" fillId="0" borderId="0" xfId="0" applyFont="1" applyAlignment="1">
      <alignment vertical="top" wrapText="1"/>
    </xf>
    <xf numFmtId="0" fontId="18" fillId="0" borderId="26" xfId="0" applyFont="1" applyBorder="1" applyAlignment="1">
      <alignment horizontal="left"/>
    </xf>
    <xf numFmtId="0" fontId="26" fillId="0" borderId="31" xfId="0" applyFont="1" applyBorder="1" applyAlignment="1">
      <alignment horizontal="justify" vertical="top" wrapText="1"/>
    </xf>
    <xf numFmtId="0" fontId="28" fillId="39" borderId="53" xfId="48" applyFont="1" applyBorder="1">
      <protection locked="0"/>
    </xf>
    <xf numFmtId="0" fontId="59" fillId="0" borderId="26" xfId="57" applyBorder="1" applyAlignment="1" applyProtection="1">
      <alignment horizontal="left" vertical="top" wrapText="1"/>
      <protection locked="0"/>
    </xf>
    <xf numFmtId="177" fontId="47" fillId="39" borderId="10" xfId="48" applyNumberFormat="1" applyFont="1">
      <protection locked="0"/>
    </xf>
    <xf numFmtId="0" fontId="25" fillId="0" borderId="23" xfId="0" applyFont="1" applyBorder="1" applyAlignment="1">
      <alignment vertical="top" wrapText="1"/>
    </xf>
    <xf numFmtId="49" fontId="25" fillId="0" borderId="26" xfId="0" applyNumberFormat="1" applyFont="1" applyBorder="1" applyAlignment="1">
      <alignment vertical="top" wrapText="1"/>
    </xf>
    <xf numFmtId="0" fontId="0" fillId="2" borderId="23" xfId="0" applyFill="1" applyBorder="1"/>
    <xf numFmtId="0" fontId="25" fillId="0" borderId="26" xfId="0" applyFont="1" applyBorder="1" applyAlignment="1">
      <alignment vertical="top" wrapText="1"/>
    </xf>
    <xf numFmtId="0" fontId="25" fillId="0" borderId="23" xfId="0" applyFont="1" applyBorder="1"/>
    <xf numFmtId="0" fontId="25" fillId="0" borderId="26" xfId="0" applyFont="1" applyBorder="1"/>
    <xf numFmtId="0" fontId="25" fillId="0" borderId="21" xfId="0" applyFont="1" applyBorder="1"/>
    <xf numFmtId="0" fontId="25" fillId="0" borderId="21" xfId="0" applyFont="1" applyBorder="1" applyAlignment="1">
      <alignment vertical="top" wrapText="1"/>
    </xf>
    <xf numFmtId="0" fontId="59" fillId="0" borderId="26" xfId="57" applyBorder="1" applyAlignment="1">
      <alignment horizontal="left" vertical="top" wrapText="1"/>
    </xf>
    <xf numFmtId="0" fontId="25" fillId="0" borderId="82" xfId="0" applyFont="1" applyBorder="1" applyAlignment="1">
      <alignment horizontal="center" vertical="center"/>
    </xf>
    <xf numFmtId="0" fontId="0" fillId="0" borderId="27" xfId="0" applyBorder="1"/>
    <xf numFmtId="0" fontId="0" fillId="0" borderId="24" xfId="0" applyBorder="1"/>
    <xf numFmtId="0" fontId="32" fillId="0" borderId="26" xfId="0" applyFont="1" applyBorder="1" applyAlignment="1">
      <alignment vertical="top" wrapText="1"/>
    </xf>
    <xf numFmtId="0" fontId="25" fillId="0" borderId="26" xfId="62" applyFont="1" applyBorder="1">
      <alignment horizontal="center" vertical="center"/>
    </xf>
    <xf numFmtId="0" fontId="27" fillId="0" borderId="31" xfId="0" applyFont="1" applyBorder="1" applyAlignment="1">
      <alignment horizontal="justify" vertical="top" wrapText="1"/>
    </xf>
    <xf numFmtId="49" fontId="25" fillId="0" borderId="26" xfId="0" applyNumberFormat="1" applyFont="1" applyBorder="1" applyAlignment="1">
      <alignment horizontal="center" vertical="top" wrapText="1"/>
    </xf>
    <xf numFmtId="174" fontId="0" fillId="0" borderId="31" xfId="0" applyNumberFormat="1" applyBorder="1" applyAlignment="1">
      <alignment horizontal="left"/>
    </xf>
    <xf numFmtId="49" fontId="25" fillId="0" borderId="31" xfId="0" applyNumberFormat="1" applyFont="1" applyBorder="1" applyAlignment="1">
      <alignment horizontal="center" vertical="top" wrapText="1"/>
    </xf>
    <xf numFmtId="0" fontId="0" fillId="0" borderId="0" xfId="0" applyAlignment="1">
      <alignment vertical="top" wrapText="1"/>
    </xf>
    <xf numFmtId="0" fontId="0" fillId="0" borderId="26" xfId="0" applyBorder="1" applyAlignment="1">
      <alignment vertical="top" wrapText="1"/>
    </xf>
    <xf numFmtId="49" fontId="25" fillId="0" borderId="23" xfId="0" applyNumberFormat="1" applyFont="1" applyBorder="1" applyAlignment="1">
      <alignment vertical="top" wrapText="1"/>
    </xf>
    <xf numFmtId="49" fontId="25" fillId="0" borderId="21" xfId="0" applyNumberFormat="1" applyFont="1" applyBorder="1" applyAlignment="1">
      <alignment vertical="top" wrapText="1"/>
    </xf>
    <xf numFmtId="49" fontId="25" fillId="0" borderId="21" xfId="0" quotePrefix="1" applyNumberFormat="1" applyFont="1" applyBorder="1" applyAlignment="1">
      <alignment vertical="top" wrapText="1"/>
    </xf>
    <xf numFmtId="0" fontId="27" fillId="0" borderId="26" xfId="0" applyFont="1" applyBorder="1" applyAlignment="1">
      <alignment horizontal="justify" vertical="top" wrapText="1"/>
    </xf>
    <xf numFmtId="0" fontId="27" fillId="0" borderId="21" xfId="0" applyFont="1" applyBorder="1" applyAlignment="1">
      <alignment horizontal="justify" vertical="top" wrapText="1"/>
    </xf>
    <xf numFmtId="0" fontId="25" fillId="0" borderId="21" xfId="62" applyFont="1" applyBorder="1">
      <alignment horizontal="center" vertical="center"/>
    </xf>
    <xf numFmtId="49" fontId="25" fillId="0" borderId="21" xfId="0" applyNumberFormat="1" applyFont="1" applyBorder="1" applyAlignment="1">
      <alignment horizontal="center" vertical="top" wrapText="1"/>
    </xf>
    <xf numFmtId="49" fontId="25" fillId="0" borderId="23" xfId="0" applyNumberFormat="1" applyFont="1" applyBorder="1" applyAlignment="1">
      <alignment horizontal="center" vertical="top" wrapText="1"/>
    </xf>
    <xf numFmtId="0" fontId="0" fillId="0" borderId="10" xfId="0" applyBorder="1"/>
    <xf numFmtId="0" fontId="16" fillId="0" borderId="10" xfId="0" applyFont="1" applyBorder="1" applyAlignment="1">
      <alignment horizontal="center" vertical="center"/>
    </xf>
    <xf numFmtId="0" fontId="16" fillId="0" borderId="10" xfId="0" applyFont="1" applyBorder="1" applyAlignment="1">
      <alignment horizontal="center"/>
    </xf>
    <xf numFmtId="0" fontId="16" fillId="0" borderId="0" xfId="0" applyFont="1" applyAlignment="1">
      <alignment horizontal="center" wrapText="1"/>
    </xf>
    <xf numFmtId="0" fontId="0" fillId="0" borderId="10" xfId="0" applyBorder="1" applyAlignment="1">
      <alignment horizontal="right" indent="2"/>
    </xf>
    <xf numFmtId="0" fontId="62" fillId="0" borderId="0" xfId="0" applyFont="1"/>
    <xf numFmtId="0" fontId="16" fillId="0" borderId="10" xfId="0" applyFont="1" applyBorder="1" applyAlignment="1">
      <alignment horizontal="right" indent="2"/>
    </xf>
    <xf numFmtId="179" fontId="16" fillId="0" borderId="10" xfId="0" applyNumberFormat="1" applyFont="1" applyBorder="1"/>
    <xf numFmtId="0" fontId="16" fillId="0" borderId="10" xfId="0" applyFont="1" applyBorder="1" applyAlignment="1">
      <alignment vertical="top"/>
    </xf>
    <xf numFmtId="0" fontId="64" fillId="0" borderId="10" xfId="60" applyFont="1" applyBorder="1" applyAlignment="1">
      <alignment horizontal="center"/>
    </xf>
    <xf numFmtId="0" fontId="63" fillId="0" borderId="10" xfId="60" applyFont="1" applyBorder="1" applyAlignment="1"/>
    <xf numFmtId="0" fontId="16" fillId="0" borderId="10" xfId="0" applyFont="1" applyBorder="1"/>
    <xf numFmtId="179" fontId="16" fillId="0" borderId="0" xfId="0" applyNumberFormat="1" applyFont="1"/>
    <xf numFmtId="0" fontId="19" fillId="0" borderId="0" xfId="0" applyFont="1" applyAlignment="1">
      <alignment horizontal="center" vertical="center"/>
    </xf>
    <xf numFmtId="0" fontId="63" fillId="0" borderId="0" xfId="60" applyFont="1" applyBorder="1" applyAlignment="1"/>
    <xf numFmtId="0" fontId="0" fillId="0" borderId="0" xfId="64" applyFont="1" applyFill="1" applyBorder="1" applyAlignment="1">
      <alignment horizontal="left"/>
    </xf>
    <xf numFmtId="0" fontId="0" fillId="0" borderId="0" xfId="64" applyFont="1" applyFill="1" applyBorder="1" applyAlignment="1">
      <alignment horizontal="center"/>
    </xf>
    <xf numFmtId="0" fontId="0" fillId="41" borderId="0" xfId="0" applyFill="1"/>
    <xf numFmtId="0" fontId="16" fillId="0" borderId="10" xfId="0" applyFont="1" applyBorder="1" applyAlignment="1">
      <alignment horizontal="center" vertical="center" wrapText="1"/>
    </xf>
    <xf numFmtId="0" fontId="0" fillId="0" borderId="15" xfId="0" applyBorder="1" applyAlignment="1">
      <alignment horizontal="left" vertical="center"/>
    </xf>
    <xf numFmtId="0" fontId="0" fillId="0" borderId="15" xfId="0" applyBorder="1" applyAlignment="1">
      <alignment horizontal="center" vertical="center"/>
    </xf>
    <xf numFmtId="0" fontId="0" fillId="0" borderId="15" xfId="0" applyBorder="1" applyAlignment="1">
      <alignment horizontal="center"/>
    </xf>
    <xf numFmtId="0" fontId="0" fillId="0" borderId="16" xfId="0" applyBorder="1" applyAlignment="1">
      <alignment horizontal="left" vertical="center"/>
    </xf>
    <xf numFmtId="0" fontId="0" fillId="0" borderId="16" xfId="0" applyBorder="1" applyAlignment="1">
      <alignment horizontal="center" vertical="center"/>
    </xf>
    <xf numFmtId="0" fontId="0" fillId="0" borderId="16" xfId="0" applyBorder="1" applyAlignment="1">
      <alignment horizontal="center"/>
    </xf>
    <xf numFmtId="0" fontId="0" fillId="0" borderId="17" xfId="0" applyBorder="1" applyAlignment="1">
      <alignment horizontal="left" vertical="center" wrapText="1"/>
    </xf>
    <xf numFmtId="0" fontId="0" fillId="0" borderId="17" xfId="0" applyBorder="1" applyAlignment="1">
      <alignment horizontal="center" vertical="center"/>
    </xf>
    <xf numFmtId="0" fontId="0" fillId="0" borderId="17" xfId="0" applyBorder="1" applyAlignment="1">
      <alignment horizontal="center"/>
    </xf>
    <xf numFmtId="0" fontId="0" fillId="41" borderId="0" xfId="0" applyFill="1" applyAlignment="1">
      <alignment horizontal="left"/>
    </xf>
    <xf numFmtId="0" fontId="0" fillId="41" borderId="0" xfId="0" applyFill="1" applyAlignment="1">
      <alignment horizontal="center"/>
    </xf>
    <xf numFmtId="0" fontId="16" fillId="0" borderId="0" xfId="0" applyFont="1" applyAlignment="1">
      <alignment horizontal="right"/>
    </xf>
    <xf numFmtId="0" fontId="67" fillId="0" borderId="0" xfId="0" applyFont="1" applyAlignment="1">
      <alignment horizontal="left" vertical="center"/>
    </xf>
    <xf numFmtId="0" fontId="67" fillId="0" borderId="0" xfId="0" applyFont="1" applyAlignment="1">
      <alignment vertical="center"/>
    </xf>
    <xf numFmtId="0" fontId="16" fillId="0" borderId="10" xfId="0" applyFont="1" applyBorder="1" applyAlignment="1">
      <alignment horizontal="center" wrapText="1"/>
    </xf>
    <xf numFmtId="180" fontId="0" fillId="0" borderId="0" xfId="0" applyNumberFormat="1"/>
    <xf numFmtId="0" fontId="0" fillId="0" borderId="0" xfId="64" applyFont="1" applyFill="1" applyBorder="1" applyAlignment="1"/>
    <xf numFmtId="0" fontId="0" fillId="0" borderId="0" xfId="52" applyFont="1" applyFill="1" applyBorder="1" applyAlignment="1"/>
    <xf numFmtId="0" fontId="66" fillId="0" borderId="0" xfId="54" applyFont="1" applyFill="1" applyBorder="1">
      <alignment horizontal="left" vertical="top" wrapText="1"/>
      <protection locked="0"/>
    </xf>
    <xf numFmtId="0" fontId="14" fillId="0" borderId="0" xfId="0" applyFont="1" applyAlignment="1">
      <alignment vertical="top"/>
    </xf>
    <xf numFmtId="0" fontId="0" fillId="39" borderId="10" xfId="48" applyFont="1" applyProtection="1"/>
    <xf numFmtId="0" fontId="0" fillId="38" borderId="10" xfId="47" applyFont="1" applyProtection="1"/>
    <xf numFmtId="0" fontId="0" fillId="35" borderId="10" xfId="64" applyFont="1" applyAlignment="1"/>
    <xf numFmtId="0" fontId="0" fillId="36" borderId="11" xfId="0" applyFill="1" applyBorder="1"/>
    <xf numFmtId="0" fontId="0" fillId="37" borderId="10" xfId="54" applyFont="1" applyProtection="1">
      <alignment horizontal="left" vertical="top" wrapText="1"/>
    </xf>
    <xf numFmtId="0" fontId="0" fillId="42" borderId="10" xfId="48" applyFont="1" applyFill="1" applyProtection="1"/>
    <xf numFmtId="0" fontId="0" fillId="0" borderId="0" xfId="64" applyFont="1" applyFill="1" applyBorder="1" applyAlignment="1">
      <alignment horizontal="left" vertical="top"/>
    </xf>
    <xf numFmtId="0" fontId="16" fillId="0" borderId="12" xfId="0" applyFont="1" applyBorder="1" applyAlignment="1">
      <alignment horizontal="right"/>
    </xf>
    <xf numFmtId="0" fontId="16" fillId="0" borderId="21" xfId="0" applyFont="1" applyBorder="1"/>
    <xf numFmtId="0" fontId="16" fillId="0" borderId="13" xfId="0" applyFont="1" applyBorder="1"/>
    <xf numFmtId="0" fontId="16" fillId="0" borderId="0" xfId="62" applyFont="1">
      <alignment horizontal="center" vertical="center"/>
    </xf>
    <xf numFmtId="0" fontId="25" fillId="0" borderId="31" xfId="0" applyFont="1" applyBorder="1" applyAlignment="1">
      <alignment horizontal="center"/>
    </xf>
    <xf numFmtId="0" fontId="0" fillId="0" borderId="0" xfId="0" applyAlignment="1">
      <alignment horizontal="left" vertical="top" wrapText="1"/>
    </xf>
    <xf numFmtId="0" fontId="18" fillId="0" borderId="31" xfId="0" applyFont="1" applyBorder="1" applyAlignment="1">
      <alignment horizontal="left" vertical="top" wrapText="1"/>
    </xf>
    <xf numFmtId="0" fontId="18" fillId="0" borderId="23" xfId="0" applyFont="1" applyBorder="1" applyAlignment="1">
      <alignment horizontal="left" vertical="top" wrapText="1"/>
    </xf>
    <xf numFmtId="0" fontId="25" fillId="0" borderId="26" xfId="0" applyFont="1" applyBorder="1" applyAlignment="1">
      <alignment horizontal="left" vertical="top" wrapText="1"/>
    </xf>
    <xf numFmtId="49" fontId="25" fillId="0" borderId="0" xfId="0" applyNumberFormat="1" applyFont="1" applyAlignment="1">
      <alignment horizontal="left" vertical="top"/>
    </xf>
    <xf numFmtId="0" fontId="25" fillId="0" borderId="26" xfId="0" applyFont="1" applyBorder="1" applyAlignment="1">
      <alignment horizontal="left" vertical="top"/>
    </xf>
    <xf numFmtId="0" fontId="25" fillId="0" borderId="31" xfId="0" applyFont="1" applyBorder="1" applyAlignment="1">
      <alignment horizontal="left" vertical="top"/>
    </xf>
    <xf numFmtId="0" fontId="25" fillId="0" borderId="23" xfId="0" applyFont="1" applyBorder="1" applyAlignment="1">
      <alignment horizontal="left" vertical="top"/>
    </xf>
    <xf numFmtId="0" fontId="25" fillId="0" borderId="35" xfId="0" applyFont="1" applyBorder="1" applyAlignment="1">
      <alignment horizontal="left" vertical="top"/>
    </xf>
    <xf numFmtId="49" fontId="25" fillId="0" borderId="31" xfId="0" applyNumberFormat="1" applyFont="1" applyBorder="1" applyAlignment="1">
      <alignment horizontal="left" vertical="top"/>
    </xf>
    <xf numFmtId="168" fontId="25" fillId="0" borderId="0" xfId="0" applyNumberFormat="1" applyFont="1" applyAlignment="1">
      <alignment horizontal="left" vertical="top"/>
    </xf>
    <xf numFmtId="0" fontId="18" fillId="0" borderId="31" xfId="0" applyFont="1" applyBorder="1" applyAlignment="1">
      <alignment horizontal="left" vertical="top"/>
    </xf>
    <xf numFmtId="2" fontId="25" fillId="0" borderId="0" xfId="0" applyNumberFormat="1" applyFont="1" applyAlignment="1">
      <alignment horizontal="left" vertical="top"/>
    </xf>
    <xf numFmtId="168" fontId="25" fillId="0" borderId="31" xfId="0" applyNumberFormat="1" applyFont="1" applyBorder="1" applyAlignment="1">
      <alignment horizontal="left" vertical="top"/>
    </xf>
    <xf numFmtId="168" fontId="25" fillId="0" borderId="33" xfId="0" applyNumberFormat="1" applyFont="1" applyBorder="1" applyAlignment="1">
      <alignment horizontal="left" vertical="top"/>
    </xf>
    <xf numFmtId="49" fontId="18" fillId="0" borderId="0" xfId="0" applyNumberFormat="1" applyFont="1" applyAlignment="1">
      <alignment horizontal="left" vertical="top"/>
    </xf>
    <xf numFmtId="49" fontId="18" fillId="0" borderId="31" xfId="0" applyNumberFormat="1" applyFont="1" applyBorder="1" applyAlignment="1">
      <alignment horizontal="left" vertical="top"/>
    </xf>
    <xf numFmtId="49" fontId="25" fillId="0" borderId="33" xfId="0" applyNumberFormat="1" applyFont="1" applyBorder="1" applyAlignment="1">
      <alignment horizontal="left" vertical="top"/>
    </xf>
    <xf numFmtId="0" fontId="0" fillId="0" borderId="31" xfId="0" applyBorder="1" applyAlignment="1">
      <alignment horizontal="left" vertical="top"/>
    </xf>
    <xf numFmtId="49" fontId="25" fillId="0" borderId="35" xfId="0" applyNumberFormat="1" applyFont="1" applyBorder="1" applyAlignment="1">
      <alignment horizontal="left" vertical="top"/>
    </xf>
    <xf numFmtId="0" fontId="25" fillId="0" borderId="21" xfId="0" applyFont="1" applyBorder="1" applyAlignment="1">
      <alignment horizontal="left" vertical="top"/>
    </xf>
    <xf numFmtId="0" fontId="0" fillId="0" borderId="26" xfId="0" applyBorder="1" applyAlignment="1">
      <alignment horizontal="left" vertical="top"/>
    </xf>
    <xf numFmtId="49" fontId="25" fillId="0" borderId="26" xfId="0" applyNumberFormat="1" applyFont="1" applyBorder="1" applyAlignment="1">
      <alignment horizontal="left" vertical="top"/>
    </xf>
    <xf numFmtId="49" fontId="25" fillId="0" borderId="0" xfId="0" quotePrefix="1" applyNumberFormat="1" applyFont="1" applyAlignment="1">
      <alignment horizontal="left" vertical="top"/>
    </xf>
    <xf numFmtId="49" fontId="18" fillId="0" borderId="26" xfId="0" applyNumberFormat="1" applyFont="1" applyBorder="1" applyAlignment="1">
      <alignment horizontal="left" vertical="top"/>
    </xf>
    <xf numFmtId="49" fontId="18" fillId="0" borderId="33" xfId="0" applyNumberFormat="1" applyFont="1" applyBorder="1" applyAlignment="1">
      <alignment horizontal="left" vertical="top"/>
    </xf>
    <xf numFmtId="49" fontId="25" fillId="0" borderId="26" xfId="0" quotePrefix="1" applyNumberFormat="1" applyFont="1" applyBorder="1" applyAlignment="1">
      <alignment horizontal="left" vertical="top"/>
    </xf>
    <xf numFmtId="49" fontId="25" fillId="0" borderId="31" xfId="0" quotePrefix="1" applyNumberFormat="1" applyFont="1" applyBorder="1" applyAlignment="1">
      <alignment horizontal="left" vertical="top"/>
    </xf>
    <xf numFmtId="49" fontId="18" fillId="0" borderId="35" xfId="0" applyNumberFormat="1" applyFont="1" applyBorder="1" applyAlignment="1">
      <alignment horizontal="left" vertical="top"/>
    </xf>
    <xf numFmtId="0" fontId="18" fillId="0" borderId="33" xfId="0" applyFont="1" applyBorder="1" applyAlignment="1">
      <alignment horizontal="left" vertical="top"/>
    </xf>
    <xf numFmtId="49" fontId="25" fillId="0" borderId="21" xfId="0" applyNumberFormat="1" applyFont="1" applyBorder="1" applyAlignment="1">
      <alignment horizontal="left" vertical="top"/>
    </xf>
    <xf numFmtId="49" fontId="25" fillId="0" borderId="23" xfId="0" quotePrefix="1" applyNumberFormat="1" applyFont="1" applyBorder="1" applyAlignment="1">
      <alignment horizontal="left" vertical="top"/>
    </xf>
    <xf numFmtId="0" fontId="0" fillId="0" borderId="23" xfId="0" applyBorder="1" applyAlignment="1">
      <alignment horizontal="left" vertical="top"/>
    </xf>
    <xf numFmtId="49" fontId="25" fillId="0" borderId="23" xfId="0" applyNumberFormat="1" applyFont="1" applyBorder="1" applyAlignment="1">
      <alignment horizontal="left" vertical="top"/>
    </xf>
    <xf numFmtId="0" fontId="18" fillId="0" borderId="23" xfId="0" applyFont="1" applyBorder="1" applyAlignment="1">
      <alignment horizontal="left" vertical="top"/>
    </xf>
    <xf numFmtId="49" fontId="25" fillId="0" borderId="21" xfId="0" quotePrefix="1" applyNumberFormat="1" applyFont="1" applyBorder="1" applyAlignment="1">
      <alignment horizontal="left" vertical="top"/>
    </xf>
    <xf numFmtId="49" fontId="25" fillId="0" borderId="0" xfId="0" applyNumberFormat="1" applyFont="1" applyAlignment="1">
      <alignment horizontal="left" vertical="top" wrapText="1"/>
    </xf>
    <xf numFmtId="49" fontId="25" fillId="0" borderId="26" xfId="0" applyNumberFormat="1" applyFont="1" applyBorder="1" applyAlignment="1">
      <alignment horizontal="left" vertical="top" wrapText="1"/>
    </xf>
    <xf numFmtId="0" fontId="18" fillId="0" borderId="33" xfId="0" applyFont="1" applyBorder="1" applyAlignment="1">
      <alignment horizontal="left" vertical="top" wrapText="1"/>
    </xf>
    <xf numFmtId="49" fontId="25" fillId="0" borderId="0" xfId="0" quotePrefix="1" applyNumberFormat="1" applyFont="1" applyAlignment="1">
      <alignment horizontal="left" vertical="top" wrapText="1"/>
    </xf>
    <xf numFmtId="0" fontId="0" fillId="0" borderId="26" xfId="0" applyBorder="1" applyAlignment="1">
      <alignment horizontal="left" vertical="top" wrapText="1"/>
    </xf>
    <xf numFmtId="49" fontId="25" fillId="0" borderId="23" xfId="0" applyNumberFormat="1" applyFont="1" applyBorder="1" applyAlignment="1">
      <alignment horizontal="left" vertical="top" wrapText="1"/>
    </xf>
    <xf numFmtId="49" fontId="25" fillId="0" borderId="21" xfId="0" applyNumberFormat="1" applyFont="1" applyBorder="1" applyAlignment="1">
      <alignment horizontal="left" vertical="top" wrapText="1"/>
    </xf>
    <xf numFmtId="49" fontId="25" fillId="0" borderId="21" xfId="0" quotePrefix="1" applyNumberFormat="1" applyFont="1" applyBorder="1" applyAlignment="1">
      <alignment horizontal="left" vertical="top" wrapText="1"/>
    </xf>
    <xf numFmtId="49" fontId="25" fillId="0" borderId="31" xfId="0" applyNumberFormat="1" applyFont="1" applyBorder="1" applyAlignment="1">
      <alignment horizontal="left" vertical="top" wrapText="1"/>
    </xf>
    <xf numFmtId="0" fontId="18" fillId="0" borderId="35" xfId="0" applyFont="1" applyBorder="1" applyAlignment="1">
      <alignment horizontal="left" vertical="top" wrapText="1"/>
    </xf>
    <xf numFmtId="0" fontId="44" fillId="0" borderId="23" xfId="0" applyFont="1" applyBorder="1" applyAlignment="1">
      <alignment vertical="top" wrapText="1"/>
    </xf>
    <xf numFmtId="0" fontId="0" fillId="2" borderId="0" xfId="0" applyFill="1" applyAlignment="1">
      <alignment vertical="top"/>
    </xf>
    <xf numFmtId="0" fontId="18" fillId="0" borderId="10" xfId="0" applyFont="1" applyBorder="1" applyAlignment="1">
      <alignment horizontal="left" vertical="top"/>
    </xf>
    <xf numFmtId="0" fontId="21" fillId="34" borderId="0" xfId="50" applyAlignment="1">
      <alignment horizontal="center"/>
    </xf>
    <xf numFmtId="49" fontId="0" fillId="38" borderId="10" xfId="47" applyNumberFormat="1" applyFont="1" applyAlignment="1">
      <protection locked="0"/>
    </xf>
    <xf numFmtId="49" fontId="0" fillId="39" borderId="10" xfId="48" applyNumberFormat="1" applyFont="1">
      <protection locked="0"/>
    </xf>
    <xf numFmtId="14" fontId="0" fillId="39" borderId="10" xfId="48" applyNumberFormat="1" applyFont="1">
      <protection locked="0"/>
    </xf>
    <xf numFmtId="0" fontId="18" fillId="0" borderId="10" xfId="0" applyFont="1" applyBorder="1"/>
    <xf numFmtId="0" fontId="21" fillId="34" borderId="10" xfId="50" applyBorder="1" applyAlignment="1">
      <alignment vertical="top"/>
    </xf>
    <xf numFmtId="0" fontId="25" fillId="0" borderId="10" xfId="0" applyFont="1" applyBorder="1" applyAlignment="1">
      <alignment horizontal="left" vertical="top"/>
    </xf>
    <xf numFmtId="0" fontId="21" fillId="34" borderId="10" xfId="50" applyBorder="1" applyAlignment="1">
      <alignment horizontal="left" vertical="top"/>
    </xf>
    <xf numFmtId="0" fontId="21" fillId="34" borderId="10" xfId="50" applyBorder="1" applyAlignment="1">
      <alignment vertical="top" wrapText="1"/>
    </xf>
    <xf numFmtId="0" fontId="18" fillId="0" borderId="10" xfId="0" applyFont="1" applyBorder="1" applyAlignment="1">
      <alignment horizontal="left" vertical="top" wrapText="1"/>
    </xf>
    <xf numFmtId="0" fontId="49" fillId="0" borderId="10" xfId="0" applyFont="1" applyBorder="1" applyAlignment="1">
      <alignment horizontal="left" vertical="top"/>
    </xf>
    <xf numFmtId="0" fontId="21" fillId="34" borderId="10" xfId="50" applyBorder="1"/>
    <xf numFmtId="49" fontId="18" fillId="0" borderId="10" xfId="0" applyNumberFormat="1" applyFont="1" applyBorder="1" applyAlignment="1">
      <alignment horizontal="left" vertical="top" wrapText="1"/>
    </xf>
    <xf numFmtId="49" fontId="21" fillId="34" borderId="10" xfId="50" applyNumberFormat="1" applyBorder="1" applyAlignment="1">
      <alignment horizontal="left" vertical="top" wrapText="1"/>
    </xf>
    <xf numFmtId="0" fontId="25" fillId="0" borderId="10" xfId="0" applyFont="1" applyBorder="1" applyAlignment="1">
      <alignment horizontal="left" vertical="top" wrapText="1"/>
    </xf>
    <xf numFmtId="0" fontId="21" fillId="34" borderId="10" xfId="50" applyBorder="1" applyAlignment="1">
      <alignment horizontal="left" vertical="top" wrapText="1"/>
    </xf>
    <xf numFmtId="0" fontId="68" fillId="0" borderId="10" xfId="0" applyFont="1" applyBorder="1" applyAlignment="1">
      <alignment horizontal="left" vertical="top" wrapText="1"/>
    </xf>
    <xf numFmtId="0" fontId="68" fillId="0" borderId="10" xfId="0" applyFont="1" applyBorder="1" applyAlignment="1">
      <alignment horizontal="left" vertical="top"/>
    </xf>
    <xf numFmtId="0" fontId="38" fillId="0" borderId="10" xfId="0" applyFont="1" applyBorder="1" applyAlignment="1">
      <alignment horizontal="left" vertical="top" wrapText="1"/>
    </xf>
    <xf numFmtId="0" fontId="36" fillId="0" borderId="10" xfId="0" applyFont="1" applyBorder="1" applyAlignment="1">
      <alignment horizontal="left" vertical="top" wrapText="1"/>
    </xf>
    <xf numFmtId="0" fontId="60" fillId="34" borderId="10" xfId="50" applyFont="1" applyBorder="1" applyAlignment="1">
      <alignment horizontal="left" vertical="top" wrapText="1"/>
    </xf>
    <xf numFmtId="0" fontId="74" fillId="0" borderId="84" xfId="0" applyFont="1" applyBorder="1" applyAlignment="1">
      <alignment horizontal="center" vertical="top" wrapText="1"/>
    </xf>
    <xf numFmtId="0" fontId="74" fillId="0" borderId="85" xfId="0" applyFont="1" applyBorder="1" applyAlignment="1">
      <alignment horizontal="center" vertical="top" wrapText="1"/>
    </xf>
    <xf numFmtId="0" fontId="74" fillId="0" borderId="87" xfId="0" applyFont="1" applyBorder="1" applyAlignment="1">
      <alignment horizontal="center" vertical="top" wrapText="1"/>
    </xf>
    <xf numFmtId="0" fontId="74" fillId="0" borderId="10" xfId="0" applyFont="1" applyBorder="1" applyAlignment="1">
      <alignment horizontal="center" vertical="top" wrapText="1"/>
    </xf>
    <xf numFmtId="0" fontId="74" fillId="0" borderId="89" xfId="0" applyFont="1" applyBorder="1" applyAlignment="1">
      <alignment horizontal="center" vertical="top" wrapText="1"/>
    </xf>
    <xf numFmtId="0" fontId="74" fillId="0" borderId="34" xfId="0" applyFont="1" applyBorder="1" applyAlignment="1">
      <alignment horizontal="center" vertical="top" wrapText="1"/>
    </xf>
    <xf numFmtId="0" fontId="74" fillId="0" borderId="0" xfId="0" applyFont="1" applyAlignment="1">
      <alignment horizontal="justify" vertical="top" wrapText="1"/>
    </xf>
    <xf numFmtId="0" fontId="75" fillId="0" borderId="0" xfId="0" applyFont="1" applyAlignment="1">
      <alignment horizontal="justify" vertical="center" wrapText="1"/>
    </xf>
    <xf numFmtId="0" fontId="75" fillId="0" borderId="0" xfId="0" applyFont="1" applyAlignment="1">
      <alignment horizontal="justify" vertical="top" wrapText="1"/>
    </xf>
    <xf numFmtId="0" fontId="74" fillId="0" borderId="0" xfId="0" applyFont="1" applyAlignment="1">
      <alignment horizontal="justify" vertical="center"/>
    </xf>
    <xf numFmtId="0" fontId="78"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left" vertical="center"/>
    </xf>
    <xf numFmtId="0" fontId="80" fillId="0" borderId="0" xfId="0" applyFont="1" applyAlignment="1">
      <alignment vertical="top" wrapText="1"/>
    </xf>
    <xf numFmtId="0" fontId="74" fillId="0" borderId="65" xfId="0" applyFont="1" applyBorder="1" applyAlignment="1">
      <alignment horizontal="center" vertical="top" wrapText="1"/>
    </xf>
    <xf numFmtId="0" fontId="74" fillId="0" borderId="75" xfId="0" applyFont="1" applyBorder="1" applyAlignment="1">
      <alignment horizontal="center" vertical="top" wrapText="1"/>
    </xf>
    <xf numFmtId="0" fontId="74" fillId="0" borderId="76" xfId="0" applyFont="1" applyBorder="1" applyAlignment="1">
      <alignment horizontal="center" vertical="top" wrapText="1"/>
    </xf>
    <xf numFmtId="0" fontId="74" fillId="0" borderId="0" xfId="0" applyFont="1" applyAlignment="1">
      <alignment horizontal="center" vertical="top" wrapText="1"/>
    </xf>
    <xf numFmtId="0" fontId="75" fillId="0" borderId="95" xfId="0" applyFont="1" applyBorder="1" applyAlignment="1">
      <alignment horizontal="center" vertical="top" wrapText="1"/>
    </xf>
    <xf numFmtId="0" fontId="74" fillId="0" borderId="0" xfId="0" applyFont="1" applyAlignment="1">
      <alignment vertical="top" wrapText="1"/>
    </xf>
    <xf numFmtId="0" fontId="83" fillId="0" borderId="0" xfId="0" applyFont="1" applyAlignment="1">
      <alignment horizontal="left" vertical="top" wrapText="1"/>
    </xf>
    <xf numFmtId="0" fontId="85" fillId="0" borderId="0" xfId="0" applyFont="1"/>
    <xf numFmtId="0" fontId="75" fillId="0" borderId="96" xfId="0" applyFont="1" applyBorder="1" applyAlignment="1">
      <alignment horizontal="center" vertical="top" wrapText="1"/>
    </xf>
    <xf numFmtId="0" fontId="75" fillId="0" borderId="31" xfId="0" applyFont="1" applyBorder="1" applyAlignment="1">
      <alignment horizontal="center" vertical="top" wrapText="1"/>
    </xf>
    <xf numFmtId="0" fontId="74" fillId="0" borderId="0" xfId="0" applyFont="1" applyAlignment="1">
      <alignment horizontal="left" vertical="top" wrapText="1"/>
    </xf>
    <xf numFmtId="0" fontId="74" fillId="0" borderId="69" xfId="0" applyFont="1" applyBorder="1" applyAlignment="1">
      <alignment horizontal="left" vertical="top" wrapText="1"/>
    </xf>
    <xf numFmtId="0" fontId="74" fillId="0" borderId="94" xfId="0" applyFont="1" applyBorder="1" applyAlignment="1">
      <alignment horizontal="left" vertical="top" wrapText="1"/>
    </xf>
    <xf numFmtId="0" fontId="73" fillId="0" borderId="0" xfId="0" applyFont="1" applyAlignment="1">
      <alignment vertical="top" wrapText="1"/>
    </xf>
    <xf numFmtId="0" fontId="73" fillId="0" borderId="0" xfId="0" applyFont="1" applyAlignment="1">
      <alignment horizontal="justify" vertical="top" wrapText="1"/>
    </xf>
    <xf numFmtId="0" fontId="74" fillId="0" borderId="0" xfId="0" applyFont="1" applyAlignment="1">
      <alignment horizontal="justify" vertical="top"/>
    </xf>
    <xf numFmtId="0" fontId="0" fillId="0" borderId="0" xfId="0" applyAlignment="1">
      <alignment horizontal="center" vertical="top"/>
    </xf>
    <xf numFmtId="0" fontId="79" fillId="0" borderId="0" xfId="0" applyFont="1" applyAlignment="1">
      <alignment horizontal="left" vertical="top"/>
    </xf>
    <xf numFmtId="0" fontId="0" fillId="38" borderId="10" xfId="47" applyFont="1">
      <protection locked="0"/>
    </xf>
    <xf numFmtId="49" fontId="0" fillId="38" borderId="10" xfId="47" applyNumberFormat="1" applyFont="1" applyAlignment="1">
      <alignment horizontal="left"/>
      <protection locked="0"/>
    </xf>
    <xf numFmtId="0" fontId="16" fillId="0" borderId="0" xfId="0" applyFont="1" applyAlignment="1">
      <alignment vertical="top"/>
    </xf>
    <xf numFmtId="49" fontId="21" fillId="34" borderId="0" xfId="50" applyNumberFormat="1" applyAlignment="1">
      <alignment horizontal="left"/>
    </xf>
    <xf numFmtId="0" fontId="0" fillId="0" borderId="0" xfId="0" applyProtection="1">
      <protection locked="0"/>
    </xf>
    <xf numFmtId="49" fontId="0" fillId="0" borderId="0" xfId="0" applyNumberFormat="1" applyAlignment="1">
      <alignment horizontal="right"/>
    </xf>
    <xf numFmtId="14" fontId="0" fillId="0" borderId="0" xfId="0" applyNumberFormat="1"/>
    <xf numFmtId="49" fontId="18" fillId="0" borderId="0" xfId="0" applyNumberFormat="1" applyFont="1" applyAlignment="1">
      <alignment horizontal="left" vertical="top" wrapText="1"/>
    </xf>
    <xf numFmtId="49" fontId="18" fillId="0" borderId="0" xfId="0" quotePrefix="1" applyNumberFormat="1" applyFont="1" applyAlignment="1">
      <alignment horizontal="left" vertical="top"/>
    </xf>
    <xf numFmtId="0" fontId="24" fillId="34" borderId="0" xfId="63" applyBorder="1" applyAlignment="1">
      <alignment vertical="center"/>
    </xf>
    <xf numFmtId="0" fontId="24" fillId="34" borderId="18" xfId="63" applyAlignment="1">
      <alignment horizontal="center" vertical="center"/>
    </xf>
    <xf numFmtId="49" fontId="18" fillId="0" borderId="0" xfId="0" applyNumberFormat="1" applyFont="1" applyProtection="1">
      <protection locked="0"/>
    </xf>
    <xf numFmtId="49" fontId="18" fillId="0" borderId="0" xfId="0" quotePrefix="1" applyNumberFormat="1" applyFont="1" applyProtection="1">
      <protection locked="0"/>
    </xf>
    <xf numFmtId="49" fontId="0" fillId="0" borderId="0" xfId="0" applyNumberFormat="1" applyProtection="1">
      <protection locked="0"/>
    </xf>
    <xf numFmtId="49" fontId="18" fillId="0" borderId="0" xfId="0" applyNumberFormat="1" applyFont="1" applyAlignment="1" applyProtection="1">
      <alignment horizontal="left"/>
      <protection locked="0"/>
    </xf>
    <xf numFmtId="49" fontId="25" fillId="0" borderId="0" xfId="0" applyNumberFormat="1" applyFont="1" applyAlignment="1" applyProtection="1">
      <alignment horizontal="left"/>
      <protection locked="0"/>
    </xf>
    <xf numFmtId="0" fontId="41" fillId="2" borderId="26" xfId="0" applyFont="1" applyFill="1" applyBorder="1" applyAlignment="1">
      <alignment horizontal="center" vertical="center"/>
    </xf>
    <xf numFmtId="0" fontId="41" fillId="2" borderId="0" xfId="0" applyFont="1" applyFill="1" applyAlignment="1">
      <alignment horizontal="center" vertical="center"/>
    </xf>
    <xf numFmtId="0" fontId="41" fillId="2" borderId="21" xfId="0" applyFont="1" applyFill="1" applyBorder="1" applyAlignment="1">
      <alignment horizontal="center" vertical="center"/>
    </xf>
    <xf numFmtId="0" fontId="59" fillId="0" borderId="0" xfId="57" applyProtection="1">
      <protection locked="0"/>
    </xf>
    <xf numFmtId="49" fontId="0" fillId="39" borderId="10" xfId="48" applyNumberFormat="1" applyFont="1" applyAlignment="1">
      <protection locked="0"/>
    </xf>
    <xf numFmtId="0" fontId="30" fillId="0" borderId="0" xfId="60" applyBorder="1" applyAlignment="1"/>
    <xf numFmtId="0" fontId="0" fillId="0" borderId="0" xfId="0" applyAlignment="1">
      <alignment horizontal="left" vertical="center"/>
    </xf>
    <xf numFmtId="0" fontId="21" fillId="34" borderId="0" xfId="50" applyProtection="1">
      <protection locked="0"/>
    </xf>
    <xf numFmtId="0" fontId="0" fillId="37" borderId="10" xfId="66" applyFont="1" applyProtection="1">
      <alignment horizontal="left" vertical="top" wrapText="1"/>
      <protection locked="0"/>
    </xf>
    <xf numFmtId="0" fontId="0" fillId="0" borderId="54" xfId="0" applyBorder="1" applyProtection="1">
      <protection locked="0"/>
    </xf>
    <xf numFmtId="0" fontId="0" fillId="37" borderId="53" xfId="66" applyFont="1" applyBorder="1" applyProtection="1">
      <alignment horizontal="left" vertical="top" wrapText="1"/>
      <protection locked="0"/>
    </xf>
    <xf numFmtId="0" fontId="0" fillId="0" borderId="31" xfId="0" applyBorder="1" applyProtection="1">
      <protection locked="0"/>
    </xf>
    <xf numFmtId="0" fontId="0" fillId="37" borderId="32" xfId="66" applyFont="1" applyBorder="1" applyProtection="1">
      <alignment horizontal="left" vertical="top" wrapText="1"/>
      <protection locked="0"/>
    </xf>
    <xf numFmtId="0" fontId="47" fillId="34" borderId="0" xfId="50" applyFont="1"/>
    <xf numFmtId="0" fontId="0" fillId="47" borderId="0" xfId="0" applyFill="1"/>
    <xf numFmtId="164" fontId="29" fillId="48" borderId="14" xfId="65" applyFill="1">
      <alignment horizontal="left" vertical="top" wrapText="1"/>
    </xf>
    <xf numFmtId="0" fontId="0" fillId="39" borderId="10" xfId="0" applyFill="1" applyBorder="1" applyProtection="1">
      <protection locked="0"/>
    </xf>
    <xf numFmtId="9" fontId="0" fillId="47" borderId="0" xfId="0" applyNumberFormat="1" applyFill="1"/>
    <xf numFmtId="0" fontId="93" fillId="0" borderId="0" xfId="0" applyFont="1"/>
    <xf numFmtId="0" fontId="25" fillId="0" borderId="113" xfId="0" applyFont="1" applyBorder="1" applyAlignment="1">
      <alignment horizontal="center" vertical="center"/>
    </xf>
    <xf numFmtId="2" fontId="0" fillId="0" borderId="0" xfId="0" applyNumberFormat="1" applyAlignment="1">
      <alignment horizontal="left"/>
    </xf>
    <xf numFmtId="0" fontId="26" fillId="0" borderId="0" xfId="0" applyFont="1" applyAlignment="1">
      <alignment horizontal="left" vertical="top" wrapText="1"/>
    </xf>
    <xf numFmtId="0" fontId="25" fillId="0" borderId="0" xfId="62" applyFont="1" applyBorder="1">
      <alignment horizontal="center" vertical="center"/>
    </xf>
    <xf numFmtId="0" fontId="27" fillId="0" borderId="26" xfId="0" applyFont="1" applyBorder="1" applyAlignment="1">
      <alignment horizontal="left" vertical="top" wrapText="1"/>
    </xf>
    <xf numFmtId="49" fontId="25" fillId="0" borderId="23" xfId="0" applyNumberFormat="1" applyFont="1" applyBorder="1" applyAlignment="1">
      <alignment vertical="top"/>
    </xf>
    <xf numFmtId="0" fontId="16" fillId="41" borderId="0" xfId="0" quotePrefix="1" applyFont="1" applyFill="1"/>
    <xf numFmtId="0" fontId="0" fillId="41" borderId="0" xfId="0" applyFill="1" applyAlignment="1">
      <alignment horizontal="left" indent="1"/>
    </xf>
    <xf numFmtId="0" fontId="0" fillId="0" borderId="0" xfId="0" applyAlignment="1">
      <alignment vertical="center" wrapText="1"/>
    </xf>
    <xf numFmtId="49" fontId="18" fillId="39" borderId="10" xfId="48" applyNumberFormat="1" applyFont="1" applyAlignment="1">
      <alignment horizontal="right"/>
      <protection locked="0"/>
    </xf>
    <xf numFmtId="181" fontId="18" fillId="39" borderId="10" xfId="48" applyNumberFormat="1" applyFont="1" applyAlignment="1">
      <alignment horizontal="right"/>
      <protection locked="0"/>
    </xf>
    <xf numFmtId="0" fontId="47" fillId="0" borderId="0" xfId="0" applyFont="1" applyAlignment="1">
      <alignment horizontal="left" vertical="top"/>
    </xf>
    <xf numFmtId="0" fontId="0" fillId="0" borderId="23" xfId="0" applyBorder="1" applyAlignment="1">
      <alignment horizontal="center" vertical="center"/>
    </xf>
    <xf numFmtId="0" fontId="68" fillId="0" borderId="15" xfId="0" applyFont="1" applyBorder="1" applyAlignment="1">
      <alignment horizontal="left" vertical="top" wrapText="1"/>
    </xf>
    <xf numFmtId="9" fontId="47" fillId="39" borderId="32" xfId="48" applyNumberFormat="1" applyFont="1" applyBorder="1">
      <protection locked="0"/>
    </xf>
    <xf numFmtId="166" fontId="47" fillId="39" borderId="32" xfId="48" applyNumberFormat="1" applyFont="1" applyBorder="1">
      <protection locked="0"/>
    </xf>
    <xf numFmtId="0" fontId="16" fillId="0" borderId="12" xfId="0" applyFont="1" applyBorder="1" applyAlignment="1">
      <alignment horizontal="center"/>
    </xf>
    <xf numFmtId="0" fontId="0" fillId="2" borderId="26" xfId="0" applyFill="1" applyBorder="1" applyAlignment="1">
      <alignment horizontal="right"/>
    </xf>
    <xf numFmtId="0" fontId="0" fillId="2" borderId="26" xfId="0" applyFill="1" applyBorder="1"/>
    <xf numFmtId="0" fontId="96" fillId="0" borderId="10" xfId="60" applyFont="1" applyBorder="1" applyAlignment="1"/>
    <xf numFmtId="0" fontId="96" fillId="0" borderId="0" xfId="60" applyFont="1" applyAlignment="1"/>
    <xf numFmtId="0" fontId="96" fillId="0" borderId="0" xfId="60" applyFont="1" applyAlignment="1">
      <alignment horizontal="left"/>
    </xf>
    <xf numFmtId="0" fontId="96" fillId="0" borderId="0" xfId="60" applyFont="1" applyAlignment="1" applyProtection="1"/>
    <xf numFmtId="0" fontId="96" fillId="0" borderId="0" xfId="60" applyFont="1" applyAlignment="1" applyProtection="1">
      <alignment horizontal="left"/>
    </xf>
    <xf numFmtId="0" fontId="0" fillId="41" borderId="0" xfId="0" applyFill="1" applyAlignment="1">
      <alignment textRotation="90"/>
    </xf>
    <xf numFmtId="0" fontId="17" fillId="41" borderId="0" xfId="0" applyFont="1" applyFill="1" applyAlignment="1">
      <alignment horizontal="right"/>
    </xf>
    <xf numFmtId="0" fontId="0" fillId="41" borderId="0" xfId="0" quotePrefix="1" applyFill="1"/>
    <xf numFmtId="0" fontId="0" fillId="41" borderId="0" xfId="0" applyFill="1" applyAlignment="1">
      <alignment horizontal="center" vertical="center" textRotation="90"/>
    </xf>
    <xf numFmtId="0" fontId="0" fillId="41" borderId="0" xfId="0" applyFill="1" applyAlignment="1">
      <alignment horizontal="center" vertical="top" textRotation="90"/>
    </xf>
    <xf numFmtId="0" fontId="16" fillId="41" borderId="0" xfId="0" applyFont="1" applyFill="1"/>
    <xf numFmtId="49" fontId="18" fillId="41" borderId="0" xfId="0" applyNumberFormat="1" applyFont="1" applyFill="1"/>
    <xf numFmtId="49" fontId="0" fillId="41" borderId="0" xfId="0" applyNumberFormat="1" applyFill="1"/>
    <xf numFmtId="49" fontId="18" fillId="41" borderId="0" xfId="0" quotePrefix="1" applyNumberFormat="1" applyFont="1" applyFill="1"/>
    <xf numFmtId="49" fontId="0" fillId="41" borderId="0" xfId="0" quotePrefix="1" applyNumberFormat="1" applyFill="1"/>
    <xf numFmtId="49" fontId="18" fillId="41" borderId="0" xfId="0" applyNumberFormat="1" applyFont="1" applyFill="1" applyAlignment="1">
      <alignment horizontal="left"/>
    </xf>
    <xf numFmtId="49" fontId="18" fillId="41" borderId="0" xfId="0" applyNumberFormat="1" applyFont="1" applyFill="1" applyAlignment="1">
      <alignment horizontal="left" vertical="top"/>
    </xf>
    <xf numFmtId="49" fontId="25" fillId="41" borderId="0" xfId="0" applyNumberFormat="1" applyFont="1" applyFill="1" applyAlignment="1">
      <alignment horizontal="left"/>
    </xf>
    <xf numFmtId="49" fontId="18" fillId="41" borderId="0" xfId="0" applyNumberFormat="1" applyFont="1" applyFill="1" applyAlignment="1">
      <alignment horizontal="left" vertical="top" wrapText="1"/>
    </xf>
    <xf numFmtId="0" fontId="0" fillId="41" borderId="0" xfId="0" applyFill="1" applyAlignment="1">
      <alignment horizontal="left" vertical="top"/>
    </xf>
    <xf numFmtId="49" fontId="18" fillId="41" borderId="0" xfId="0" applyNumberFormat="1" applyFont="1" applyFill="1" applyAlignment="1">
      <alignment vertical="top"/>
    </xf>
    <xf numFmtId="49" fontId="25" fillId="41" borderId="0" xfId="0" applyNumberFormat="1" applyFont="1" applyFill="1"/>
    <xf numFmtId="49" fontId="18" fillId="41" borderId="0" xfId="0" applyNumberFormat="1" applyFont="1" applyFill="1" applyAlignment="1">
      <alignment horizontal="center"/>
    </xf>
    <xf numFmtId="49" fontId="18" fillId="41" borderId="0" xfId="0" applyNumberFormat="1" applyFont="1" applyFill="1" applyProtection="1">
      <protection locked="0"/>
    </xf>
    <xf numFmtId="49" fontId="0" fillId="41" borderId="0" xfId="0" applyNumberFormat="1" applyFill="1" applyAlignment="1">
      <alignment horizontal="left"/>
    </xf>
    <xf numFmtId="49" fontId="18" fillId="41" borderId="0" xfId="0" quotePrefix="1" applyNumberFormat="1" applyFont="1" applyFill="1" applyAlignment="1">
      <alignment horizontal="left" vertical="top"/>
    </xf>
    <xf numFmtId="165" fontId="0" fillId="0" borderId="0" xfId="0" applyNumberFormat="1"/>
    <xf numFmtId="166" fontId="0" fillId="0" borderId="0" xfId="0" applyNumberFormat="1"/>
    <xf numFmtId="167" fontId="0" fillId="0" borderId="0" xfId="0" applyNumberFormat="1"/>
    <xf numFmtId="170" fontId="0" fillId="0" borderId="0" xfId="0" applyNumberFormat="1"/>
    <xf numFmtId="168" fontId="0" fillId="0" borderId="0" xfId="0" applyNumberFormat="1"/>
    <xf numFmtId="1" fontId="0" fillId="0" borderId="0" xfId="0" applyNumberFormat="1"/>
    <xf numFmtId="175" fontId="0" fillId="0" borderId="0" xfId="0" applyNumberFormat="1"/>
    <xf numFmtId="173" fontId="0" fillId="0" borderId="0" xfId="0" applyNumberFormat="1"/>
    <xf numFmtId="172" fontId="0" fillId="0" borderId="0" xfId="0" applyNumberFormat="1"/>
    <xf numFmtId="176" fontId="0" fillId="0" borderId="0" xfId="0" applyNumberFormat="1"/>
    <xf numFmtId="177" fontId="0" fillId="0" borderId="0" xfId="0" applyNumberFormat="1"/>
    <xf numFmtId="178" fontId="0" fillId="0" borderId="0" xfId="0" applyNumberFormat="1"/>
    <xf numFmtId="49" fontId="0" fillId="39" borderId="34" xfId="48" applyNumberFormat="1" applyFont="1" applyBorder="1">
      <protection locked="0"/>
    </xf>
    <xf numFmtId="0" fontId="0" fillId="0" borderId="0" xfId="0" applyAlignment="1">
      <alignment horizontal="left" vertical="top" wrapText="1"/>
    </xf>
    <xf numFmtId="0" fontId="71" fillId="0" borderId="0" xfId="57" applyFont="1" applyAlignment="1" applyProtection="1">
      <alignment horizontal="left" vertical="top" wrapText="1"/>
      <protection locked="0"/>
    </xf>
    <xf numFmtId="0" fontId="69" fillId="34" borderId="0" xfId="50" applyFont="1" applyAlignment="1" applyProtection="1">
      <protection locked="0"/>
    </xf>
    <xf numFmtId="0" fontId="21" fillId="34" borderId="0" xfId="50" applyAlignment="1"/>
    <xf numFmtId="0" fontId="23" fillId="0" borderId="0" xfId="0" applyFont="1"/>
    <xf numFmtId="0" fontId="0" fillId="0" borderId="0" xfId="0" applyAlignment="1">
      <alignment wrapText="1"/>
    </xf>
    <xf numFmtId="0" fontId="70" fillId="0" borderId="0" xfId="0" applyFont="1" applyAlignment="1">
      <alignment horizontal="left" vertical="top" wrapText="1"/>
    </xf>
    <xf numFmtId="0" fontId="0" fillId="0" borderId="10" xfId="0" applyBorder="1" applyAlignment="1">
      <alignment horizontal="center" vertical="center"/>
    </xf>
    <xf numFmtId="0" fontId="19" fillId="0" borderId="10" xfId="0" applyFont="1" applyBorder="1" applyAlignment="1">
      <alignment horizontal="center" vertical="center" wrapText="1"/>
    </xf>
    <xf numFmtId="0" fontId="32" fillId="0" borderId="10" xfId="0" applyFont="1" applyBorder="1" applyAlignment="1">
      <alignment horizontal="center" vertical="top" wrapText="1"/>
    </xf>
    <xf numFmtId="0" fontId="0" fillId="0" borderId="0" xfId="0" applyAlignment="1">
      <alignment horizontal="center"/>
    </xf>
    <xf numFmtId="0" fontId="21" fillId="34" borderId="0" xfId="50" applyAlignment="1">
      <alignment horizontal="right"/>
    </xf>
    <xf numFmtId="14" fontId="21" fillId="34" borderId="23" xfId="50" applyNumberFormat="1" applyBorder="1" applyAlignment="1">
      <alignment horizontal="left"/>
    </xf>
    <xf numFmtId="0" fontId="0" fillId="0" borderId="0" xfId="0" applyAlignment="1">
      <alignment horizontal="left"/>
    </xf>
    <xf numFmtId="0" fontId="71" fillId="0" borderId="0" xfId="57" applyFont="1" applyAlignment="1" applyProtection="1">
      <alignment horizontal="left"/>
      <protection locked="0"/>
    </xf>
    <xf numFmtId="0" fontId="23" fillId="0" borderId="0" xfId="0" applyFont="1" applyAlignment="1">
      <alignment horizontal="left" vertical="top" wrapText="1"/>
    </xf>
    <xf numFmtId="0" fontId="16" fillId="0" borderId="0" xfId="0" applyFont="1" applyAlignment="1">
      <alignment horizontal="right"/>
    </xf>
    <xf numFmtId="0" fontId="96" fillId="0" borderId="0" xfId="60" applyFont="1" applyAlignment="1">
      <alignment horizontal="right"/>
    </xf>
    <xf numFmtId="0" fontId="30" fillId="0" borderId="0" xfId="60" applyAlignment="1">
      <alignment horizontal="right"/>
    </xf>
    <xf numFmtId="0" fontId="0" fillId="39" borderId="10" xfId="48" applyFont="1" applyAlignment="1">
      <alignment horizontal="left"/>
      <protection locked="0"/>
    </xf>
    <xf numFmtId="0" fontId="1" fillId="38" borderId="12" xfId="47" applyFont="1" applyBorder="1" applyAlignment="1">
      <alignment horizontal="left"/>
      <protection locked="0"/>
    </xf>
    <xf numFmtId="0" fontId="1" fillId="38" borderId="13" xfId="47" applyFont="1" applyBorder="1" applyAlignment="1">
      <alignment horizontal="left"/>
      <protection locked="0"/>
    </xf>
    <xf numFmtId="0" fontId="16" fillId="0" borderId="22" xfId="0" applyFont="1" applyBorder="1" applyAlignment="1">
      <alignment horizontal="right"/>
    </xf>
    <xf numFmtId="0" fontId="16" fillId="0" borderId="24" xfId="0" applyFont="1" applyBorder="1" applyAlignment="1">
      <alignment horizontal="right"/>
    </xf>
    <xf numFmtId="0" fontId="0" fillId="39" borderId="12" xfId="48" applyFont="1" applyBorder="1" applyAlignment="1">
      <alignment horizontal="left"/>
      <protection locked="0"/>
    </xf>
    <xf numFmtId="0" fontId="0" fillId="39" borderId="21" xfId="48" applyFont="1" applyBorder="1" applyAlignment="1">
      <alignment horizontal="left"/>
      <protection locked="0"/>
    </xf>
    <xf numFmtId="0" fontId="0" fillId="39" borderId="13" xfId="48" applyFont="1" applyBorder="1" applyAlignment="1">
      <alignment horizontal="left"/>
      <protection locked="0"/>
    </xf>
    <xf numFmtId="0" fontId="0" fillId="38" borderId="10" xfId="47" applyFont="1" applyAlignment="1">
      <alignment horizontal="left"/>
      <protection locked="0"/>
    </xf>
    <xf numFmtId="0" fontId="0" fillId="0" borderId="2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0" borderId="28" xfId="0" applyBorder="1" applyAlignment="1">
      <alignment wrapText="1"/>
    </xf>
    <xf numFmtId="0" fontId="0" fillId="0" borderId="25" xfId="0" applyBorder="1" applyAlignment="1">
      <alignment wrapText="1"/>
    </xf>
    <xf numFmtId="0" fontId="0" fillId="0" borderId="27" xfId="0" applyBorder="1" applyAlignment="1">
      <alignment wrapText="1"/>
    </xf>
    <xf numFmtId="0" fontId="0" fillId="39" borderId="17" xfId="48" applyFont="1" applyBorder="1" applyAlignment="1">
      <alignment horizontal="left"/>
      <protection locked="0"/>
    </xf>
    <xf numFmtId="0" fontId="0" fillId="38" borderId="12" xfId="47" applyFont="1" applyBorder="1" applyAlignment="1">
      <alignment horizontal="left"/>
      <protection locked="0"/>
    </xf>
    <xf numFmtId="0" fontId="0" fillId="38" borderId="21" xfId="47" applyFont="1" applyBorder="1" applyAlignment="1">
      <alignment horizontal="left"/>
      <protection locked="0"/>
    </xf>
    <xf numFmtId="0" fontId="0" fillId="38" borderId="13" xfId="47" applyFont="1" applyBorder="1" applyAlignment="1">
      <alignment horizontal="left"/>
      <protection locked="0"/>
    </xf>
    <xf numFmtId="0" fontId="0" fillId="0" borderId="0" xfId="0" applyAlignment="1">
      <alignment horizontal="right"/>
    </xf>
    <xf numFmtId="0" fontId="0" fillId="39" borderId="22" xfId="48" applyFont="1" applyBorder="1" applyAlignment="1">
      <alignment horizontal="left" vertical="top" wrapText="1"/>
      <protection locked="0"/>
    </xf>
    <xf numFmtId="0" fontId="0" fillId="39" borderId="23" xfId="48" applyFont="1" applyBorder="1" applyAlignment="1">
      <alignment horizontal="left" vertical="top" wrapText="1"/>
      <protection locked="0"/>
    </xf>
    <xf numFmtId="0" fontId="0" fillId="39" borderId="24" xfId="48" applyFont="1" applyBorder="1" applyAlignment="1">
      <alignment horizontal="left" vertical="top" wrapText="1"/>
      <protection locked="0"/>
    </xf>
    <xf numFmtId="0" fontId="0" fillId="39" borderId="25" xfId="48" applyFont="1" applyBorder="1" applyAlignment="1">
      <alignment horizontal="left" vertical="top" wrapText="1"/>
      <protection locked="0"/>
    </xf>
    <xf numFmtId="0" fontId="0" fillId="39" borderId="26" xfId="48" applyFont="1" applyBorder="1" applyAlignment="1">
      <alignment horizontal="left" vertical="top" wrapText="1"/>
      <protection locked="0"/>
    </xf>
    <xf numFmtId="0" fontId="0" fillId="39" borderId="27" xfId="48" applyFont="1" applyBorder="1" applyAlignment="1">
      <alignment horizontal="left" vertical="top" wrapText="1"/>
      <protection locked="0"/>
    </xf>
    <xf numFmtId="0" fontId="16" fillId="0" borderId="0" xfId="0" applyFont="1"/>
    <xf numFmtId="0" fontId="0" fillId="0" borderId="0" xfId="0"/>
    <xf numFmtId="0" fontId="0" fillId="0" borderId="22" xfId="0" applyBorder="1" applyAlignment="1">
      <alignment horizontal="left" wrapText="1"/>
    </xf>
    <xf numFmtId="0" fontId="0" fillId="0" borderId="23" xfId="0" applyBorder="1" applyAlignment="1">
      <alignment horizontal="left" wrapText="1"/>
    </xf>
    <xf numFmtId="0" fontId="0" fillId="0" borderId="24"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27" xfId="0" applyBorder="1" applyAlignment="1">
      <alignment horizontal="left" wrapText="1"/>
    </xf>
    <xf numFmtId="0" fontId="16" fillId="0" borderId="0" xfId="0" applyFont="1" applyAlignment="1">
      <alignment horizontal="right" vertical="center"/>
    </xf>
    <xf numFmtId="0" fontId="16" fillId="0" borderId="0" xfId="0" applyFont="1" applyAlignment="1">
      <alignment horizontal="right" vertical="center" wrapText="1"/>
    </xf>
    <xf numFmtId="0" fontId="0" fillId="37" borderId="34" xfId="54" applyFont="1" applyBorder="1">
      <alignment horizontal="left" vertical="top" wrapText="1"/>
      <protection locked="0"/>
    </xf>
    <xf numFmtId="0" fontId="0" fillId="37" borderId="10" xfId="54" applyFont="1">
      <alignment horizontal="left" vertical="top" wrapText="1"/>
      <protection locked="0"/>
    </xf>
    <xf numFmtId="0" fontId="0" fillId="37" borderId="32" xfId="54" applyFont="1" applyBorder="1">
      <alignment horizontal="left" vertical="top" wrapText="1"/>
      <protection locked="0"/>
    </xf>
    <xf numFmtId="0" fontId="25" fillId="0" borderId="0" xfId="0" applyFont="1" applyAlignment="1">
      <alignment horizontal="center" vertical="center"/>
    </xf>
    <xf numFmtId="0" fontId="25" fillId="0" borderId="26" xfId="0" applyFont="1" applyBorder="1" applyAlignment="1">
      <alignment horizontal="center" vertical="center"/>
    </xf>
    <xf numFmtId="0" fontId="25" fillId="0" borderId="33" xfId="0" applyFont="1" applyBorder="1" applyAlignment="1">
      <alignment horizontal="center" vertical="center"/>
    </xf>
    <xf numFmtId="0" fontId="25" fillId="0" borderId="31" xfId="0" applyFont="1" applyBorder="1" applyAlignment="1">
      <alignment horizontal="center" vertical="center"/>
    </xf>
    <xf numFmtId="0" fontId="18" fillId="0" borderId="33" xfId="0" applyFont="1" applyBorder="1" applyAlignment="1">
      <alignment horizontal="center" vertical="center"/>
    </xf>
    <xf numFmtId="0" fontId="18" fillId="0" borderId="31" xfId="0" applyFont="1" applyBorder="1" applyAlignment="1">
      <alignment horizontal="center" vertical="center"/>
    </xf>
    <xf numFmtId="0" fontId="18" fillId="0" borderId="0" xfId="0" applyFont="1" applyAlignment="1">
      <alignment horizontal="center" vertical="center"/>
    </xf>
    <xf numFmtId="0" fontId="18" fillId="0" borderId="26" xfId="0" applyFont="1" applyBorder="1" applyAlignment="1">
      <alignment horizontal="center" vertical="center"/>
    </xf>
    <xf numFmtId="0" fontId="0" fillId="37" borderId="15" xfId="54" applyFont="1" applyBorder="1">
      <alignment horizontal="left" vertical="top" wrapText="1"/>
      <protection locked="0"/>
    </xf>
    <xf numFmtId="0" fontId="0" fillId="37" borderId="16" xfId="54" applyFont="1" applyBorder="1">
      <alignment horizontal="left" vertical="top" wrapText="1"/>
      <protection locked="0"/>
    </xf>
    <xf numFmtId="0" fontId="0" fillId="37" borderId="17" xfId="54" applyFont="1" applyBorder="1">
      <alignment horizontal="left" vertical="top" wrapText="1"/>
      <protection locked="0"/>
    </xf>
    <xf numFmtId="0" fontId="0" fillId="37" borderId="53" xfId="54" applyFont="1" applyBorder="1">
      <alignment horizontal="left" vertical="top" wrapText="1"/>
      <protection locked="0"/>
    </xf>
    <xf numFmtId="0" fontId="24" fillId="34" borderId="19" xfId="63" applyBorder="1" applyAlignment="1">
      <alignment vertical="center"/>
    </xf>
    <xf numFmtId="0" fontId="24" fillId="34" borderId="0" xfId="63" applyBorder="1" applyAlignment="1">
      <alignment vertical="center"/>
    </xf>
    <xf numFmtId="0" fontId="24" fillId="34" borderId="20" xfId="63" applyBorder="1" applyAlignment="1">
      <alignment vertical="center"/>
    </xf>
    <xf numFmtId="0" fontId="24" fillId="34" borderId="18" xfId="63" applyAlignment="1">
      <alignment vertical="center"/>
    </xf>
    <xf numFmtId="0" fontId="25" fillId="0" borderId="0" xfId="0" applyFont="1" applyAlignment="1">
      <alignment horizontal="left" vertical="top" wrapText="1"/>
    </xf>
    <xf numFmtId="0" fontId="18" fillId="0" borderId="0" xfId="0" applyFont="1" applyAlignment="1">
      <alignment horizontal="left" vertical="top" wrapText="1"/>
    </xf>
    <xf numFmtId="0" fontId="18" fillId="0" borderId="31" xfId="0" applyFont="1" applyBorder="1" applyAlignment="1">
      <alignment horizontal="left" vertical="top" wrapText="1"/>
    </xf>
    <xf numFmtId="0" fontId="18" fillId="0" borderId="26" xfId="0" applyFont="1" applyBorder="1" applyAlignment="1">
      <alignment horizontal="left" vertical="top" wrapText="1"/>
    </xf>
    <xf numFmtId="0" fontId="25" fillId="0" borderId="31" xfId="0" applyFont="1" applyBorder="1" applyAlignment="1">
      <alignment horizontal="left" vertical="top" wrapText="1"/>
    </xf>
    <xf numFmtId="0" fontId="25" fillId="0" borderId="33" xfId="0" applyFont="1" applyBorder="1" applyAlignment="1">
      <alignment horizontal="left" vertical="top" wrapText="1"/>
    </xf>
    <xf numFmtId="0" fontId="25" fillId="0" borderId="23" xfId="0" applyFont="1" applyBorder="1" applyAlignment="1">
      <alignment horizontal="center" vertical="center"/>
    </xf>
    <xf numFmtId="0" fontId="18" fillId="0" borderId="23" xfId="0" applyFont="1" applyBorder="1" applyAlignment="1">
      <alignment horizontal="center" vertical="center"/>
    </xf>
    <xf numFmtId="164" fontId="29" fillId="40" borderId="14" xfId="65">
      <alignment horizontal="left" vertical="top" wrapText="1"/>
    </xf>
    <xf numFmtId="49" fontId="16" fillId="0" borderId="0" xfId="0" applyNumberFormat="1" applyFont="1" applyAlignment="1">
      <alignment horizontal="center" textRotation="90"/>
    </xf>
    <xf numFmtId="0" fontId="0" fillId="0" borderId="10" xfId="0" applyBorder="1"/>
    <xf numFmtId="0" fontId="18" fillId="0" borderId="0" xfId="62" applyFont="1" applyBorder="1">
      <alignment horizontal="center" vertical="center"/>
    </xf>
    <xf numFmtId="0" fontId="18" fillId="0" borderId="26" xfId="62" applyFont="1" applyBorder="1">
      <alignment horizontal="center" vertical="center"/>
    </xf>
    <xf numFmtId="0" fontId="25" fillId="0" borderId="0" xfId="62" applyFont="1" applyBorder="1">
      <alignment horizontal="center" vertical="center"/>
    </xf>
    <xf numFmtId="0" fontId="25" fillId="0" borderId="26" xfId="62" applyFont="1" applyBorder="1">
      <alignment horizontal="center" vertical="center"/>
    </xf>
    <xf numFmtId="0" fontId="0" fillId="37" borderId="37" xfId="54" applyFont="1" applyBorder="1">
      <alignment horizontal="left" vertical="top" wrapText="1"/>
      <protection locked="0"/>
    </xf>
    <xf numFmtId="0" fontId="18" fillId="0" borderId="0" xfId="62" applyFont="1">
      <alignment horizontal="center" vertical="center"/>
    </xf>
    <xf numFmtId="0" fontId="18" fillId="0" borderId="0" xfId="0" applyFont="1" applyAlignment="1">
      <alignment vertical="top" wrapText="1"/>
    </xf>
    <xf numFmtId="0" fontId="18" fillId="0" borderId="26" xfId="0" applyFont="1" applyBorder="1" applyAlignment="1">
      <alignment vertical="top" wrapText="1"/>
    </xf>
    <xf numFmtId="0" fontId="25" fillId="0" borderId="0" xfId="62" applyFont="1">
      <alignment horizontal="center" vertical="center"/>
    </xf>
    <xf numFmtId="0" fontId="16" fillId="0" borderId="10" xfId="0" applyFont="1" applyBorder="1" applyAlignment="1">
      <alignment horizontal="left" vertical="center" indent="10"/>
    </xf>
    <xf numFmtId="0" fontId="16" fillId="0" borderId="10" xfId="0" applyFont="1" applyBorder="1" applyAlignment="1">
      <alignment horizontal="left" indent="10"/>
    </xf>
    <xf numFmtId="0" fontId="24" fillId="34" borderId="62" xfId="63" applyBorder="1" applyAlignment="1">
      <alignment vertical="center"/>
    </xf>
    <xf numFmtId="0" fontId="24" fillId="34" borderId="63" xfId="63" applyBorder="1" applyAlignment="1">
      <alignment vertical="center"/>
    </xf>
    <xf numFmtId="0" fontId="16" fillId="0" borderId="12" xfId="0" applyFont="1" applyBorder="1" applyAlignment="1">
      <alignment horizontal="left" vertical="center" indent="10"/>
    </xf>
    <xf numFmtId="0" fontId="16" fillId="0" borderId="21" xfId="0" applyFont="1" applyBorder="1" applyAlignment="1">
      <alignment horizontal="left" vertical="center" indent="10"/>
    </xf>
    <xf numFmtId="0" fontId="16" fillId="0" borderId="13" xfId="0" applyFont="1" applyBorder="1" applyAlignment="1">
      <alignment horizontal="left" vertical="center" indent="10"/>
    </xf>
    <xf numFmtId="14" fontId="0" fillId="0" borderId="12" xfId="0" applyNumberFormat="1" applyBorder="1" applyAlignment="1">
      <alignment horizontal="center" vertical="center"/>
    </xf>
    <xf numFmtId="0" fontId="0" fillId="0" borderId="21" xfId="0" applyBorder="1" applyAlignment="1">
      <alignment horizontal="center" vertical="center"/>
    </xf>
    <xf numFmtId="0" fontId="0" fillId="0" borderId="13" xfId="0" applyBorder="1" applyAlignment="1">
      <alignment horizontal="center" vertical="center"/>
    </xf>
    <xf numFmtId="0" fontId="26" fillId="0" borderId="0" xfId="0" applyFont="1" applyAlignment="1">
      <alignment horizontal="center" vertical="center" wrapText="1"/>
    </xf>
    <xf numFmtId="0" fontId="25" fillId="0" borderId="0" xfId="0" applyFont="1" applyAlignment="1">
      <alignment horizontal="center" vertical="center" wrapText="1"/>
    </xf>
    <xf numFmtId="0" fontId="26" fillId="0" borderId="0" xfId="0" applyFont="1" applyAlignment="1">
      <alignment horizontal="left" vertical="top" wrapText="1"/>
    </xf>
    <xf numFmtId="0" fontId="25" fillId="0" borderId="26" xfId="0" applyFont="1" applyBorder="1" applyAlignment="1">
      <alignment horizontal="left" vertical="top" wrapText="1"/>
    </xf>
    <xf numFmtId="0" fontId="41" fillId="2" borderId="0" xfId="0" applyFont="1" applyFill="1" applyAlignment="1">
      <alignment horizontal="center" vertical="center"/>
    </xf>
    <xf numFmtId="0" fontId="41" fillId="2" borderId="26" xfId="0" applyFont="1" applyFill="1" applyBorder="1" applyAlignment="1">
      <alignment horizontal="center" vertical="center"/>
    </xf>
    <xf numFmtId="0" fontId="18" fillId="0" borderId="23" xfId="0" applyFont="1" applyBorder="1" applyAlignment="1">
      <alignment horizontal="left" vertical="top" wrapText="1"/>
    </xf>
    <xf numFmtId="0" fontId="25" fillId="0" borderId="33" xfId="0" applyFont="1" applyBorder="1" applyAlignment="1">
      <alignment horizontal="center" vertical="center" wrapText="1"/>
    </xf>
    <xf numFmtId="164" fontId="29" fillId="40" borderId="47" xfId="65" applyBorder="1">
      <alignment horizontal="left" vertical="top" wrapText="1"/>
    </xf>
    <xf numFmtId="164" fontId="29" fillId="40" borderId="48" xfId="65" applyBorder="1">
      <alignment horizontal="left" vertical="top" wrapText="1"/>
    </xf>
    <xf numFmtId="0" fontId="27" fillId="0" borderId="23" xfId="0" applyFont="1" applyBorder="1" applyAlignment="1">
      <alignment horizontal="left" vertical="top" wrapText="1"/>
    </xf>
    <xf numFmtId="0" fontId="27" fillId="0" borderId="0" xfId="0" applyFont="1" applyAlignment="1">
      <alignment horizontal="left" vertical="top" wrapText="1"/>
    </xf>
    <xf numFmtId="0" fontId="26" fillId="0" borderId="33" xfId="0" applyFont="1" applyBorder="1" applyAlignment="1">
      <alignment horizontal="center" vertical="center" wrapText="1"/>
    </xf>
    <xf numFmtId="0" fontId="41" fillId="2" borderId="33" xfId="0" applyFont="1" applyFill="1" applyBorder="1" applyAlignment="1">
      <alignment horizontal="center" vertical="center"/>
    </xf>
    <xf numFmtId="0" fontId="41" fillId="2" borderId="0" xfId="0" applyFont="1" applyFill="1" applyAlignment="1">
      <alignment horizontal="center" vertical="center" wrapText="1"/>
    </xf>
    <xf numFmtId="0" fontId="41" fillId="2" borderId="26" xfId="0" applyFont="1" applyFill="1" applyBorder="1" applyAlignment="1">
      <alignment horizontal="center" vertical="center" wrapText="1"/>
    </xf>
    <xf numFmtId="0" fontId="25" fillId="0" borderId="0" xfId="0" applyFont="1" applyAlignment="1">
      <alignment horizontal="right" vertical="top" wrapText="1"/>
    </xf>
    <xf numFmtId="0" fontId="25" fillId="0" borderId="23" xfId="0" applyFont="1" applyBorder="1" applyAlignment="1">
      <alignment horizontal="left" vertical="top" wrapText="1"/>
    </xf>
    <xf numFmtId="164" fontId="29" fillId="40" borderId="49" xfId="65" applyBorder="1">
      <alignment horizontal="left" vertical="top" wrapText="1"/>
    </xf>
    <xf numFmtId="164" fontId="29" fillId="40" borderId="50" xfId="65" applyBorder="1">
      <alignment horizontal="left" vertical="top" wrapText="1"/>
    </xf>
    <xf numFmtId="0" fontId="25" fillId="0" borderId="26" xfId="0" applyFont="1" applyBorder="1" applyAlignment="1">
      <alignment horizontal="center" vertical="center" wrapText="1"/>
    </xf>
    <xf numFmtId="0" fontId="18" fillId="0" borderId="23" xfId="0" applyFont="1" applyBorder="1" applyAlignment="1">
      <alignment vertical="top" wrapText="1"/>
    </xf>
    <xf numFmtId="0" fontId="61" fillId="0" borderId="23" xfId="57" applyFont="1" applyBorder="1" applyAlignment="1" applyProtection="1">
      <alignment horizontal="center" vertical="center" wrapText="1"/>
      <protection locked="0"/>
    </xf>
    <xf numFmtId="0" fontId="61" fillId="0" borderId="0" xfId="57" applyFont="1" applyBorder="1" applyAlignment="1" applyProtection="1">
      <alignment horizontal="center" vertical="center" wrapText="1"/>
      <protection locked="0"/>
    </xf>
    <xf numFmtId="0" fontId="61" fillId="0" borderId="26" xfId="57" applyFont="1" applyBorder="1" applyAlignment="1" applyProtection="1">
      <alignment horizontal="center" vertical="center" wrapText="1"/>
      <protection locked="0"/>
    </xf>
    <xf numFmtId="0" fontId="61" fillId="0" borderId="0" xfId="57" applyFont="1" applyAlignment="1" applyProtection="1">
      <alignment horizontal="center" vertical="center" wrapText="1"/>
      <protection locked="0"/>
    </xf>
    <xf numFmtId="0" fontId="18" fillId="0" borderId="31" xfId="0" applyFont="1" applyBorder="1" applyAlignment="1">
      <alignment vertical="top" wrapText="1"/>
    </xf>
    <xf numFmtId="0" fontId="0" fillId="0" borderId="0" xfId="0" applyAlignment="1">
      <alignment horizontal="center" vertical="center" wrapText="1"/>
    </xf>
    <xf numFmtId="0" fontId="0" fillId="0" borderId="26" xfId="0" applyBorder="1" applyAlignment="1">
      <alignment horizontal="center" vertical="center" wrapText="1"/>
    </xf>
    <xf numFmtId="0" fontId="59" fillId="0" borderId="23" xfId="57" applyBorder="1" applyAlignment="1" applyProtection="1">
      <alignment horizontal="center" vertical="center" wrapText="1"/>
      <protection locked="0"/>
    </xf>
    <xf numFmtId="0" fontId="59" fillId="0" borderId="26" xfId="57" applyBorder="1" applyAlignment="1" applyProtection="1">
      <alignment horizontal="center" vertical="center" wrapText="1"/>
      <protection locked="0"/>
    </xf>
    <xf numFmtId="0" fontId="25" fillId="0" borderId="23" xfId="0" applyFont="1" applyBorder="1" applyAlignment="1">
      <alignment horizontal="center" vertical="center" wrapText="1"/>
    </xf>
    <xf numFmtId="0" fontId="59" fillId="0" borderId="0" xfId="57" applyBorder="1" applyAlignment="1" applyProtection="1">
      <alignment horizontal="center" vertical="center" wrapText="1"/>
      <protection locked="0"/>
    </xf>
    <xf numFmtId="0" fontId="41" fillId="2" borderId="23" xfId="0" applyFont="1" applyFill="1" applyBorder="1" applyAlignment="1">
      <alignment horizontal="center" vertical="center"/>
    </xf>
    <xf numFmtId="0" fontId="59" fillId="0" borderId="0" xfId="57" applyAlignment="1" applyProtection="1">
      <alignment horizontal="center" vertical="center" wrapText="1"/>
      <protection locked="0"/>
    </xf>
    <xf numFmtId="0" fontId="41" fillId="2" borderId="31" xfId="0" applyFont="1" applyFill="1" applyBorder="1" applyAlignment="1">
      <alignment horizontal="center" vertical="center"/>
    </xf>
    <xf numFmtId="0" fontId="18" fillId="0" borderId="0" xfId="0" applyFont="1" applyAlignment="1">
      <alignment horizontal="right" vertical="top" wrapText="1"/>
    </xf>
    <xf numFmtId="0" fontId="25" fillId="36" borderId="33" xfId="52" applyFont="1" applyBorder="1" applyAlignment="1">
      <alignment horizontal="center" vertical="center" wrapText="1"/>
    </xf>
    <xf numFmtId="0" fontId="25" fillId="36" borderId="31" xfId="52" applyFont="1" applyBorder="1" applyAlignment="1">
      <alignment horizontal="center" vertical="center"/>
    </xf>
    <xf numFmtId="0" fontId="25" fillId="36" borderId="23" xfId="52" applyFont="1" applyBorder="1" applyAlignment="1">
      <alignment horizontal="center" vertical="center" wrapText="1"/>
    </xf>
    <xf numFmtId="0" fontId="25" fillId="36" borderId="0" xfId="52" applyFont="1" applyBorder="1" applyAlignment="1">
      <alignment horizontal="center" vertical="center" wrapText="1"/>
    </xf>
    <xf numFmtId="0" fontId="25" fillId="36" borderId="26" xfId="52" applyFont="1" applyBorder="1" applyAlignment="1">
      <alignment horizontal="center" vertical="center" wrapText="1"/>
    </xf>
    <xf numFmtId="0" fontId="27" fillId="0" borderId="0" xfId="0" applyFont="1" applyAlignment="1">
      <alignment horizontal="justify" vertical="top" wrapText="1"/>
    </xf>
    <xf numFmtId="0" fontId="25" fillId="0" borderId="31" xfId="0" applyFont="1" applyBorder="1" applyAlignment="1">
      <alignment horizontal="right" vertical="top" wrapText="1"/>
    </xf>
    <xf numFmtId="0" fontId="44" fillId="0" borderId="0" xfId="0" applyFont="1" applyAlignment="1">
      <alignment horizontal="left" vertical="top" wrapText="1"/>
    </xf>
    <xf numFmtId="0" fontId="44" fillId="0" borderId="0" xfId="0" applyFont="1" applyAlignment="1">
      <alignment vertical="top" wrapText="1"/>
    </xf>
    <xf numFmtId="0" fontId="44" fillId="0" borderId="26" xfId="0" applyFont="1" applyBorder="1" applyAlignment="1">
      <alignment vertical="top" wrapText="1"/>
    </xf>
    <xf numFmtId="0" fontId="25" fillId="0" borderId="0" xfId="0" applyFont="1" applyAlignment="1">
      <alignment vertical="top" wrapText="1"/>
    </xf>
    <xf numFmtId="0" fontId="44" fillId="0" borderId="31" xfId="0" applyFont="1" applyBorder="1" applyAlignment="1">
      <alignment horizontal="left" vertical="top" wrapText="1"/>
    </xf>
    <xf numFmtId="0" fontId="25" fillId="0" borderId="26" xfId="0" applyFont="1" applyBorder="1" applyAlignment="1">
      <alignment vertical="top" wrapText="1"/>
    </xf>
    <xf numFmtId="0" fontId="27" fillId="0" borderId="26" xfId="0" applyFont="1" applyBorder="1" applyAlignment="1">
      <alignment horizontal="left" vertical="top" wrapText="1"/>
    </xf>
    <xf numFmtId="0" fontId="25" fillId="0" borderId="23" xfId="0" applyFont="1" applyBorder="1" applyAlignment="1">
      <alignment vertical="top" wrapText="1"/>
    </xf>
    <xf numFmtId="164" fontId="29" fillId="40" borderId="51" xfId="65" applyBorder="1">
      <alignment horizontal="left" vertical="top" wrapText="1"/>
    </xf>
    <xf numFmtId="0" fontId="32" fillId="0" borderId="0" xfId="0" applyFont="1" applyAlignment="1">
      <alignment horizontal="center" vertical="center" wrapText="1"/>
    </xf>
    <xf numFmtId="0" fontId="25" fillId="0" borderId="26" xfId="0" applyFont="1" applyBorder="1" applyAlignment="1">
      <alignment horizontal="right" vertical="top" wrapText="1"/>
    </xf>
    <xf numFmtId="0" fontId="26" fillId="0" borderId="0" xfId="0" applyFont="1" applyAlignment="1">
      <alignment horizontal="right" vertical="top" wrapText="1"/>
    </xf>
    <xf numFmtId="0" fontId="25" fillId="0" borderId="33" xfId="0" applyFont="1" applyBorder="1" applyAlignment="1">
      <alignment vertical="top" wrapText="1"/>
    </xf>
    <xf numFmtId="0" fontId="25" fillId="0" borderId="31" xfId="0" applyFont="1" applyBorder="1" applyAlignment="1">
      <alignment vertical="top" wrapText="1"/>
    </xf>
    <xf numFmtId="0" fontId="26" fillId="0" borderId="33" xfId="0" applyFont="1" applyBorder="1" applyAlignment="1">
      <alignment vertical="top" wrapText="1"/>
    </xf>
    <xf numFmtId="0" fontId="26" fillId="0" borderId="0" xfId="0" applyFont="1" applyAlignment="1">
      <alignment vertical="top" wrapText="1"/>
    </xf>
    <xf numFmtId="0" fontId="56" fillId="0" borderId="0" xfId="0" applyFont="1" applyAlignment="1">
      <alignment horizontal="center" vertical="center" wrapText="1"/>
    </xf>
    <xf numFmtId="0" fontId="56" fillId="0" borderId="26" xfId="0" applyFont="1" applyBorder="1" applyAlignment="1">
      <alignment horizontal="center" vertical="center" wrapText="1"/>
    </xf>
    <xf numFmtId="0" fontId="26" fillId="0" borderId="0" xfId="0" applyFont="1" applyAlignment="1">
      <alignment horizontal="center" vertical="center"/>
    </xf>
    <xf numFmtId="0" fontId="26" fillId="0" borderId="26" xfId="0" applyFont="1" applyBorder="1" applyAlignment="1">
      <alignment horizontal="center" vertical="center"/>
    </xf>
    <xf numFmtId="0" fontId="25" fillId="0" borderId="31" xfId="0" applyFont="1" applyBorder="1" applyAlignment="1">
      <alignment horizontal="center" vertical="center" wrapText="1"/>
    </xf>
    <xf numFmtId="0" fontId="26" fillId="0" borderId="26" xfId="0" applyFont="1" applyBorder="1" applyAlignment="1">
      <alignment horizontal="right" vertical="top" wrapText="1"/>
    </xf>
    <xf numFmtId="0" fontId="18" fillId="38" borderId="0" xfId="0" applyFont="1" applyFill="1" applyAlignment="1">
      <alignment horizontal="center" vertical="center"/>
    </xf>
    <xf numFmtId="0" fontId="41" fillId="2" borderId="31" xfId="0" applyFont="1" applyFill="1" applyBorder="1" applyAlignment="1">
      <alignment horizontal="center" vertical="center"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0" fillId="41" borderId="0" xfId="0" applyFill="1" applyAlignment="1">
      <alignment textRotation="90"/>
    </xf>
    <xf numFmtId="0" fontId="72" fillId="0" borderId="0" xfId="0" applyFont="1" applyAlignment="1">
      <alignment horizontal="center" vertical="center" wrapText="1"/>
    </xf>
    <xf numFmtId="0" fontId="18" fillId="0" borderId="0" xfId="0" applyFont="1" applyAlignment="1">
      <alignment horizontal="center" vertical="center" wrapText="1"/>
    </xf>
    <xf numFmtId="0" fontId="26" fillId="0" borderId="23" xfId="0" applyFont="1" applyBorder="1" applyAlignment="1">
      <alignment horizontal="left" vertical="top" wrapText="1"/>
    </xf>
    <xf numFmtId="0" fontId="18" fillId="0" borderId="0" xfId="0" applyFont="1" applyAlignment="1">
      <alignment wrapText="1"/>
    </xf>
    <xf numFmtId="0" fontId="18" fillId="0" borderId="31" xfId="0" applyFont="1" applyBorder="1" applyAlignment="1">
      <alignment wrapText="1"/>
    </xf>
    <xf numFmtId="0" fontId="18" fillId="0" borderId="10" xfId="0" applyFont="1" applyBorder="1" applyAlignment="1">
      <alignment horizontal="left" vertical="top"/>
    </xf>
    <xf numFmtId="0" fontId="18" fillId="0" borderId="10" xfId="0" applyFont="1" applyBorder="1" applyAlignment="1">
      <alignment horizontal="left" vertical="top" wrapText="1"/>
    </xf>
    <xf numFmtId="0" fontId="18" fillId="0" borderId="23" xfId="0" applyFont="1" applyBorder="1" applyAlignment="1">
      <alignment horizontal="left" wrapText="1"/>
    </xf>
    <xf numFmtId="0" fontId="18" fillId="0" borderId="26" xfId="0" applyFont="1" applyBorder="1" applyAlignment="1">
      <alignment horizontal="left" wrapText="1"/>
    </xf>
    <xf numFmtId="0" fontId="18" fillId="0" borderId="23" xfId="0" applyFont="1" applyBorder="1" applyAlignment="1">
      <alignment wrapText="1"/>
    </xf>
    <xf numFmtId="0" fontId="18" fillId="0" borderId="26" xfId="0" applyFont="1" applyBorder="1" applyAlignment="1">
      <alignment wrapText="1"/>
    </xf>
    <xf numFmtId="0" fontId="25" fillId="0" borderId="10" xfId="0" applyFont="1" applyBorder="1" applyAlignment="1">
      <alignment horizontal="left" vertical="top" wrapText="1"/>
    </xf>
    <xf numFmtId="0" fontId="68" fillId="0" borderId="10" xfId="0" applyFont="1" applyBorder="1" applyAlignment="1">
      <alignment horizontal="left" vertical="top" wrapText="1"/>
    </xf>
    <xf numFmtId="0" fontId="68" fillId="0" borderId="10" xfId="0" applyFont="1" applyBorder="1" applyAlignment="1">
      <alignment horizontal="left" vertical="top"/>
    </xf>
    <xf numFmtId="0" fontId="25" fillId="0" borderId="10" xfId="0" applyFont="1" applyBorder="1" applyAlignment="1">
      <alignment horizontal="left" vertical="top"/>
    </xf>
    <xf numFmtId="0" fontId="59" fillId="0" borderId="10" xfId="57" applyBorder="1" applyAlignment="1">
      <alignment horizontal="left" vertical="top" wrapText="1"/>
    </xf>
    <xf numFmtId="0" fontId="25" fillId="0" borderId="15" xfId="0" applyFont="1" applyBorder="1" applyAlignment="1">
      <alignment horizontal="left" vertical="top" wrapText="1"/>
    </xf>
    <xf numFmtId="0" fontId="25" fillId="0" borderId="17" xfId="0" applyFont="1" applyBorder="1" applyAlignment="1">
      <alignment horizontal="left" vertical="top" wrapText="1"/>
    </xf>
    <xf numFmtId="0" fontId="38" fillId="0" borderId="10" xfId="0" applyFont="1" applyBorder="1" applyAlignment="1">
      <alignment horizontal="left" vertical="top"/>
    </xf>
    <xf numFmtId="0" fontId="56" fillId="0" borderId="10" xfId="0" applyFont="1" applyBorder="1" applyAlignment="1">
      <alignment horizontal="left" vertical="top"/>
    </xf>
    <xf numFmtId="0" fontId="25" fillId="0" borderId="16" xfId="0" applyFont="1" applyBorder="1" applyAlignment="1">
      <alignment horizontal="left" vertical="top" wrapText="1"/>
    </xf>
    <xf numFmtId="49" fontId="18" fillId="0" borderId="10" xfId="0" applyNumberFormat="1" applyFont="1" applyBorder="1" applyAlignment="1">
      <alignment horizontal="left" vertical="top" wrapText="1"/>
    </xf>
    <xf numFmtId="0" fontId="0" fillId="0" borderId="0" xfId="0" applyAlignment="1">
      <alignment textRotation="90"/>
    </xf>
    <xf numFmtId="0" fontId="19" fillId="0" borderId="12" xfId="0" applyFont="1" applyBorder="1" applyAlignment="1">
      <alignment horizontal="center" vertical="center"/>
    </xf>
    <xf numFmtId="0" fontId="19" fillId="0" borderId="21" xfId="0" applyFont="1" applyBorder="1" applyAlignment="1">
      <alignment horizontal="center" vertical="center"/>
    </xf>
    <xf numFmtId="0" fontId="19" fillId="0" borderId="13" xfId="0" applyFont="1" applyBorder="1" applyAlignment="1">
      <alignment horizontal="center" vertical="center"/>
    </xf>
    <xf numFmtId="0" fontId="0" fillId="0" borderId="0" xfId="0" applyAlignment="1">
      <alignment horizontal="center" vertical="center"/>
    </xf>
    <xf numFmtId="0" fontId="16" fillId="0" borderId="10" xfId="0" applyFont="1" applyBorder="1" applyAlignment="1">
      <alignment horizontal="center" wrapText="1"/>
    </xf>
    <xf numFmtId="0" fontId="16" fillId="0" borderId="10" xfId="0" applyFont="1" applyBorder="1" applyAlignment="1">
      <alignment horizontal="center"/>
    </xf>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16" fillId="0" borderId="28" xfId="0" applyFont="1" applyBorder="1" applyAlignment="1">
      <alignment horizontal="right"/>
    </xf>
    <xf numFmtId="0" fontId="0" fillId="0" borderId="26" xfId="0" applyBorder="1" applyAlignment="1">
      <alignment horizontal="center"/>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21" fillId="34" borderId="19" xfId="50" applyBorder="1" applyAlignment="1"/>
    <xf numFmtId="0" fontId="21" fillId="34" borderId="0" xfId="50" applyBorder="1" applyAlignment="1"/>
    <xf numFmtId="0" fontId="21" fillId="34" borderId="20" xfId="50" applyBorder="1" applyAlignment="1"/>
    <xf numFmtId="0" fontId="0" fillId="38" borderId="10" xfId="47" applyFont="1" applyAlignment="1">
      <alignment horizontal="left" vertical="top"/>
      <protection locked="0"/>
    </xf>
    <xf numFmtId="0" fontId="0" fillId="41" borderId="10" xfId="48" applyFont="1" applyFill="1" applyAlignment="1" applyProtection="1">
      <alignment horizontal="left"/>
    </xf>
    <xf numFmtId="0" fontId="0" fillId="41" borderId="22" xfId="48" applyFont="1" applyFill="1" applyBorder="1" applyAlignment="1" applyProtection="1">
      <alignment horizontal="left" vertical="top" wrapText="1"/>
    </xf>
    <xf numFmtId="0" fontId="0" fillId="41" borderId="23" xfId="48" applyFont="1" applyFill="1" applyBorder="1" applyAlignment="1" applyProtection="1">
      <alignment horizontal="left" vertical="top" wrapText="1"/>
    </xf>
    <xf numFmtId="0" fontId="0" fillId="41" borderId="24" xfId="48" applyFont="1" applyFill="1" applyBorder="1" applyAlignment="1" applyProtection="1">
      <alignment horizontal="left" vertical="top" wrapText="1"/>
    </xf>
    <xf numFmtId="0" fontId="0" fillId="41" borderId="25" xfId="48" applyFont="1" applyFill="1" applyBorder="1" applyAlignment="1" applyProtection="1">
      <alignment horizontal="left" vertical="top" wrapText="1"/>
    </xf>
    <xf numFmtId="0" fontId="0" fillId="41" borderId="26" xfId="48" applyFont="1" applyFill="1" applyBorder="1" applyAlignment="1" applyProtection="1">
      <alignment horizontal="left" vertical="top" wrapText="1"/>
    </xf>
    <xf numFmtId="0" fontId="0" fillId="41" borderId="27" xfId="48" applyFont="1" applyFill="1" applyBorder="1" applyAlignment="1" applyProtection="1">
      <alignment horizontal="left" vertical="top" wrapText="1"/>
    </xf>
    <xf numFmtId="0" fontId="0" fillId="0" borderId="0" xfId="0" applyAlignment="1">
      <alignment horizontal="left" wrapText="1"/>
    </xf>
    <xf numFmtId="0" fontId="0" fillId="0" borderId="10" xfId="0" applyBorder="1" applyProtection="1">
      <protection locked="0"/>
    </xf>
    <xf numFmtId="0" fontId="0" fillId="41" borderId="10" xfId="47" applyFont="1" applyFill="1" applyAlignment="1" applyProtection="1">
      <alignment horizontal="left"/>
    </xf>
    <xf numFmtId="0" fontId="1" fillId="41" borderId="12" xfId="47" applyFont="1" applyFill="1" applyBorder="1" applyAlignment="1" applyProtection="1">
      <alignment horizontal="left"/>
    </xf>
    <xf numFmtId="0" fontId="1" fillId="41" borderId="13" xfId="47" applyFont="1" applyFill="1" applyBorder="1" applyAlignment="1" applyProtection="1">
      <alignment horizontal="left"/>
    </xf>
    <xf numFmtId="0" fontId="96" fillId="0" borderId="0" xfId="60" applyFont="1" applyBorder="1" applyAlignment="1">
      <alignment horizontal="right"/>
    </xf>
    <xf numFmtId="0" fontId="30" fillId="0" borderId="0" xfId="60" applyBorder="1" applyAlignment="1">
      <alignment horizontal="right"/>
    </xf>
    <xf numFmtId="0" fontId="30" fillId="0" borderId="83" xfId="60" applyBorder="1" applyAlignment="1">
      <alignment horizontal="right"/>
    </xf>
    <xf numFmtId="0" fontId="1" fillId="38" borderId="10" xfId="47" applyFont="1" applyAlignment="1">
      <alignment horizontal="left"/>
      <protection locked="0"/>
    </xf>
    <xf numFmtId="0" fontId="0" fillId="0" borderId="23" xfId="0" applyBorder="1" applyAlignment="1">
      <alignment horizontal="center" vertical="center"/>
    </xf>
    <xf numFmtId="164" fontId="33" fillId="40" borderId="29" xfId="65" applyFont="1" applyBorder="1" applyAlignment="1">
      <alignment horizontal="center" vertical="center" wrapText="1"/>
    </xf>
    <xf numFmtId="164" fontId="33" fillId="40" borderId="0" xfId="65" applyFont="1" applyBorder="1" applyAlignment="1">
      <alignment horizontal="center" vertical="center" wrapText="1"/>
    </xf>
    <xf numFmtId="164" fontId="33" fillId="40" borderId="28" xfId="65" applyFont="1" applyBorder="1" applyAlignment="1">
      <alignment horizontal="center" vertical="center" wrapText="1"/>
    </xf>
    <xf numFmtId="164" fontId="33" fillId="40" borderId="25" xfId="65" applyFont="1" applyBorder="1" applyAlignment="1">
      <alignment horizontal="center" vertical="center" wrapText="1"/>
    </xf>
    <xf numFmtId="164" fontId="33" fillId="40" borderId="26" xfId="65" applyFont="1" applyBorder="1" applyAlignment="1">
      <alignment horizontal="center" vertical="center" wrapText="1"/>
    </xf>
    <xf numFmtId="164" fontId="33" fillId="40" borderId="27" xfId="65" applyFont="1" applyBorder="1" applyAlignment="1">
      <alignment horizontal="center" vertical="center" wrapText="1"/>
    </xf>
    <xf numFmtId="0" fontId="90" fillId="0" borderId="56" xfId="60" applyFont="1" applyBorder="1" applyAlignment="1">
      <alignment horizontal="center" vertical="center"/>
    </xf>
    <xf numFmtId="0" fontId="90" fillId="0" borderId="57" xfId="60" applyFont="1" applyBorder="1" applyAlignment="1">
      <alignment horizontal="center" vertical="center"/>
    </xf>
    <xf numFmtId="0" fontId="90" fillId="0" borderId="58" xfId="60" applyFont="1" applyBorder="1" applyAlignment="1">
      <alignment horizontal="center" vertical="center"/>
    </xf>
    <xf numFmtId="0" fontId="90" fillId="0" borderId="59" xfId="60" applyFont="1" applyBorder="1" applyAlignment="1">
      <alignment horizontal="center" vertical="center"/>
    </xf>
    <xf numFmtId="0" fontId="90" fillId="0" borderId="60" xfId="60" applyFont="1" applyBorder="1" applyAlignment="1">
      <alignment horizontal="center" vertical="center"/>
    </xf>
    <xf numFmtId="0" fontId="90" fillId="0" borderId="61" xfId="60" applyFont="1"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38" borderId="10" xfId="47" applyFont="1">
      <protection locked="0"/>
    </xf>
    <xf numFmtId="0" fontId="0" fillId="0" borderId="12" xfId="0" applyBorder="1"/>
    <xf numFmtId="0" fontId="0" fillId="0" borderId="13" xfId="0" applyBorder="1"/>
    <xf numFmtId="0" fontId="0" fillId="37" borderId="10" xfId="66" applyFont="1">
      <alignment horizontal="left" vertical="top" wrapText="1"/>
    </xf>
    <xf numFmtId="0" fontId="0" fillId="37" borderId="10" xfId="66" applyFont="1" applyProtection="1">
      <alignment horizontal="left" vertical="top" wrapText="1"/>
      <protection locked="0"/>
    </xf>
    <xf numFmtId="0" fontId="91" fillId="34" borderId="62" xfId="63" applyFont="1" applyBorder="1" applyAlignment="1">
      <alignment horizontal="center" vertical="center"/>
    </xf>
    <xf numFmtId="0" fontId="92" fillId="34" borderId="63" xfId="63" applyFont="1" applyBorder="1" applyAlignment="1">
      <alignment horizontal="center" vertical="center"/>
    </xf>
    <xf numFmtId="0" fontId="0" fillId="37" borderId="32" xfId="66" applyFont="1" applyBorder="1" applyProtection="1">
      <alignment horizontal="left" vertical="top" wrapText="1"/>
      <protection locked="0"/>
    </xf>
    <xf numFmtId="0" fontId="0" fillId="37" borderId="17" xfId="66" applyFont="1" applyBorder="1" applyProtection="1">
      <alignment horizontal="left" vertical="top" wrapText="1"/>
      <protection locked="0"/>
    </xf>
    <xf numFmtId="0" fontId="0" fillId="37" borderId="15" xfId="66" applyFont="1" applyBorder="1" applyProtection="1">
      <alignment horizontal="left" vertical="top" wrapText="1"/>
      <protection locked="0"/>
    </xf>
    <xf numFmtId="0" fontId="0" fillId="37" borderId="34" xfId="66" applyFont="1" applyBorder="1" applyProtection="1">
      <alignment horizontal="left" vertical="top" wrapText="1"/>
      <protection locked="0"/>
    </xf>
    <xf numFmtId="0" fontId="0" fillId="37" borderId="16" xfId="66" applyFont="1" applyBorder="1" applyProtection="1">
      <alignment horizontal="left" vertical="top" wrapText="1"/>
      <protection locked="0"/>
    </xf>
    <xf numFmtId="0" fontId="0" fillId="37" borderId="37" xfId="66" applyFont="1" applyBorder="1" applyProtection="1">
      <alignment horizontal="left" vertical="top" wrapText="1"/>
      <protection locked="0"/>
    </xf>
    <xf numFmtId="0" fontId="0" fillId="37" borderId="53" xfId="66" applyFont="1" applyBorder="1" applyProtection="1">
      <alignment horizontal="left" vertical="top" wrapText="1"/>
      <protection locked="0"/>
    </xf>
    <xf numFmtId="0" fontId="0" fillId="41" borderId="0" xfId="0" applyFill="1" applyAlignment="1">
      <alignment horizontal="center" vertical="center" textRotation="90"/>
    </xf>
    <xf numFmtId="0" fontId="0" fillId="41" borderId="28" xfId="0" applyFill="1" applyBorder="1" applyAlignment="1">
      <alignment horizontal="center" vertical="center" textRotation="90"/>
    </xf>
    <xf numFmtId="0" fontId="0" fillId="37" borderId="17" xfId="66" applyFont="1" applyBorder="1">
      <alignment horizontal="left" vertical="top" wrapText="1"/>
    </xf>
    <xf numFmtId="0" fontId="0" fillId="37" borderId="32" xfId="66" applyFont="1" applyBorder="1">
      <alignment horizontal="left" vertical="top" wrapText="1"/>
    </xf>
    <xf numFmtId="0" fontId="0" fillId="37" borderId="15" xfId="66" applyFont="1" applyBorder="1">
      <alignment horizontal="left" vertical="top" wrapText="1"/>
    </xf>
    <xf numFmtId="0" fontId="0" fillId="37" borderId="34" xfId="66" applyFont="1" applyBorder="1">
      <alignment horizontal="left" vertical="top" wrapText="1"/>
    </xf>
    <xf numFmtId="0" fontId="0" fillId="37" borderId="16" xfId="66" applyFont="1" applyBorder="1">
      <alignment horizontal="left" vertical="top" wrapText="1"/>
    </xf>
    <xf numFmtId="0" fontId="96" fillId="0" borderId="12" xfId="60" applyFont="1" applyBorder="1" applyAlignment="1"/>
    <xf numFmtId="0" fontId="30" fillId="0" borderId="13" xfId="60" applyBorder="1" applyAlignment="1"/>
    <xf numFmtId="0" fontId="24" fillId="34" borderId="18" xfId="63">
      <alignment vertical="center" wrapText="1"/>
    </xf>
    <xf numFmtId="0" fontId="0" fillId="0" borderId="21" xfId="0" applyBorder="1" applyAlignment="1">
      <alignment horizontal="left" vertical="center"/>
    </xf>
    <xf numFmtId="0" fontId="0" fillId="0" borderId="13"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16" fillId="0" borderId="0" xfId="62" applyFont="1">
      <alignment horizontal="center" vertical="center"/>
    </xf>
    <xf numFmtId="0" fontId="0" fillId="0" borderId="0" xfId="62" applyFont="1" applyBorder="1">
      <alignment horizontal="center" vertical="center"/>
    </xf>
    <xf numFmtId="0" fontId="0" fillId="0" borderId="26" xfId="62" applyFont="1" applyBorder="1">
      <alignment horizontal="center" vertical="center"/>
    </xf>
    <xf numFmtId="0" fontId="0" fillId="0" borderId="23" xfId="62" applyFont="1" applyBorder="1">
      <alignment horizontal="center" vertical="center"/>
    </xf>
    <xf numFmtId="0" fontId="16" fillId="0" borderId="0" xfId="62" applyFont="1" applyBorder="1">
      <alignment horizontal="center" vertical="center"/>
    </xf>
    <xf numFmtId="0" fontId="16" fillId="0" borderId="26" xfId="62" applyFont="1" applyBorder="1">
      <alignment horizontal="center" vertical="center"/>
    </xf>
    <xf numFmtId="0" fontId="16" fillId="0" borderId="0" xfId="0" applyFont="1" applyAlignment="1">
      <alignment horizontal="center" vertical="center"/>
    </xf>
    <xf numFmtId="0" fontId="16" fillId="0" borderId="10" xfId="0" applyFont="1" applyBorder="1" applyAlignment="1">
      <alignment horizontal="right"/>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9" xfId="0" applyBorder="1" applyAlignment="1">
      <alignment horizontal="center"/>
    </xf>
    <xf numFmtId="0" fontId="0" fillId="0" borderId="28" xfId="0"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10" xfId="0" applyBorder="1" applyAlignment="1">
      <alignment horizontal="left"/>
    </xf>
    <xf numFmtId="0" fontId="0" fillId="0" borderId="0" xfId="62" applyFont="1">
      <alignment horizontal="center"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26" fillId="0" borderId="33" xfId="0" applyFont="1" applyBorder="1" applyAlignment="1">
      <alignment horizontal="left" vertical="top" wrapText="1"/>
    </xf>
    <xf numFmtId="0" fontId="16" fillId="0" borderId="26" xfId="0" applyFont="1" applyBorder="1" applyAlignment="1">
      <alignment horizontal="center" vertical="center"/>
    </xf>
    <xf numFmtId="0" fontId="16" fillId="0" borderId="31" xfId="0" applyFont="1" applyBorder="1" applyAlignment="1">
      <alignment horizontal="center" vertical="center"/>
    </xf>
    <xf numFmtId="0" fontId="0" fillId="0" borderId="31" xfId="0" applyBorder="1" applyAlignment="1">
      <alignment horizontal="center" vertical="center"/>
    </xf>
    <xf numFmtId="0" fontId="16" fillId="0" borderId="23" xfId="0" applyFont="1" applyBorder="1" applyAlignment="1">
      <alignment horizontal="center" vertical="center"/>
    </xf>
    <xf numFmtId="0" fontId="0" fillId="0" borderId="33" xfId="0" applyBorder="1" applyAlignment="1">
      <alignment horizontal="center" vertical="center"/>
    </xf>
    <xf numFmtId="0" fontId="16" fillId="0" borderId="33" xfId="0" applyFont="1" applyBorder="1" applyAlignment="1">
      <alignment horizontal="center" vertical="center"/>
    </xf>
    <xf numFmtId="0" fontId="0" fillId="37" borderId="53" xfId="66" applyFont="1" applyBorder="1">
      <alignment horizontal="left" vertical="top" wrapText="1"/>
    </xf>
    <xf numFmtId="0" fontId="0" fillId="37" borderId="37" xfId="66" applyFont="1" applyBorder="1">
      <alignment horizontal="left" vertical="top" wrapText="1"/>
    </xf>
    <xf numFmtId="164" fontId="29" fillId="40" borderId="14" xfId="65" applyAlignment="1">
      <alignment horizontal="center" vertical="center" wrapText="1"/>
    </xf>
    <xf numFmtId="0" fontId="62" fillId="0" borderId="15" xfId="0" applyFont="1" applyBorder="1" applyAlignment="1">
      <alignment horizontal="center" vertical="center" wrapText="1"/>
    </xf>
    <xf numFmtId="0" fontId="62" fillId="0" borderId="16" xfId="0" applyFont="1" applyBorder="1" applyAlignment="1">
      <alignment horizontal="center" vertical="center" wrapText="1"/>
    </xf>
    <xf numFmtId="0" fontId="0" fillId="41" borderId="0" xfId="0" applyFill="1" applyAlignment="1">
      <alignment horizontal="left" indent="1"/>
    </xf>
    <xf numFmtId="0" fontId="0" fillId="41" borderId="0" xfId="0" applyFill="1" applyAlignment="1">
      <alignment horizontal="left" wrapText="1" indent="1"/>
    </xf>
    <xf numFmtId="0" fontId="0" fillId="41" borderId="0" xfId="0" applyFill="1" applyAlignment="1">
      <alignment horizontal="left" vertical="center" wrapText="1" indent="1"/>
    </xf>
    <xf numFmtId="49" fontId="0" fillId="39" borderId="12" xfId="48" applyNumberFormat="1" applyFont="1" applyBorder="1">
      <protection locked="0"/>
    </xf>
    <xf numFmtId="49" fontId="0" fillId="39" borderId="13" xfId="48" applyNumberFormat="1" applyFont="1" applyBorder="1">
      <protection locked="0"/>
    </xf>
    <xf numFmtId="49" fontId="18" fillId="39" borderId="10" xfId="48" applyNumberFormat="1" applyFont="1" applyAlignment="1">
      <alignment horizontal="left"/>
      <protection locked="0"/>
    </xf>
    <xf numFmtId="0" fontId="30" fillId="0" borderId="23" xfId="60" applyBorder="1" applyAlignment="1">
      <alignment wrapText="1"/>
    </xf>
    <xf numFmtId="0" fontId="30" fillId="0" borderId="0" xfId="60" applyAlignment="1">
      <alignment wrapText="1"/>
    </xf>
    <xf numFmtId="0" fontId="30" fillId="0" borderId="0" xfId="60" applyBorder="1" applyAlignment="1">
      <alignment wrapText="1"/>
    </xf>
    <xf numFmtId="0" fontId="16" fillId="0" borderId="10" xfId="0" applyFont="1" applyBorder="1" applyAlignment="1">
      <alignment horizontal="center" vertical="center" wrapText="1"/>
    </xf>
    <xf numFmtId="0" fontId="0" fillId="39" borderId="23" xfId="48" applyNumberFormat="1" applyFont="1" applyBorder="1" applyAlignment="1" applyProtection="1">
      <alignment horizontal="center" vertical="center"/>
    </xf>
    <xf numFmtId="0" fontId="0" fillId="39" borderId="0" xfId="48" applyNumberFormat="1" applyFont="1" applyBorder="1" applyAlignment="1" applyProtection="1">
      <alignment horizontal="center" vertical="center"/>
    </xf>
    <xf numFmtId="0" fontId="0" fillId="0" borderId="0" xfId="0" applyAlignment="1">
      <alignment horizontal="left" vertical="top"/>
    </xf>
    <xf numFmtId="0" fontId="16" fillId="0" borderId="0" xfId="0" applyFont="1" applyAlignment="1">
      <alignment horizontal="right" vertical="top"/>
    </xf>
    <xf numFmtId="49" fontId="0" fillId="39" borderId="10" xfId="48" applyNumberFormat="1" applyFont="1" applyAlignment="1">
      <alignment horizontal="left" vertical="top" wrapText="1"/>
      <protection locked="0"/>
    </xf>
    <xf numFmtId="0" fontId="96" fillId="0" borderId="0" xfId="60" applyFont="1" applyBorder="1" applyAlignment="1">
      <alignment vertical="center"/>
    </xf>
    <xf numFmtId="0" fontId="30" fillId="0" borderId="0" xfId="60" applyBorder="1" applyAlignment="1">
      <alignment vertical="center"/>
    </xf>
    <xf numFmtId="0" fontId="16" fillId="0" borderId="15" xfId="0" applyFont="1" applyBorder="1" applyAlignment="1">
      <alignment horizontal="center" wrapText="1"/>
    </xf>
    <xf numFmtId="0" fontId="16" fillId="0" borderId="17" xfId="0" applyFont="1" applyBorder="1" applyAlignment="1">
      <alignment horizontal="center" wrapText="1"/>
    </xf>
    <xf numFmtId="49" fontId="0" fillId="39" borderId="10" xfId="48" applyNumberFormat="1" applyFont="1" applyAlignment="1">
      <alignment horizontal="left"/>
      <protection locked="0"/>
    </xf>
    <xf numFmtId="49" fontId="0" fillId="38" borderId="22" xfId="47" applyNumberFormat="1" applyFont="1" applyBorder="1" applyAlignment="1">
      <alignment horizontal="left" vertical="top" wrapText="1"/>
      <protection locked="0"/>
    </xf>
    <xf numFmtId="49" fontId="0" fillId="38" borderId="23" xfId="47" applyNumberFormat="1" applyFont="1" applyBorder="1" applyAlignment="1">
      <alignment horizontal="left" vertical="top" wrapText="1"/>
      <protection locked="0"/>
    </xf>
    <xf numFmtId="49" fontId="0" fillId="38" borderId="24" xfId="47" applyNumberFormat="1" applyFont="1" applyBorder="1" applyAlignment="1">
      <alignment horizontal="left" vertical="top" wrapText="1"/>
      <protection locked="0"/>
    </xf>
    <xf numFmtId="49" fontId="0" fillId="38" borderId="29" xfId="47" applyNumberFormat="1" applyFont="1" applyBorder="1" applyAlignment="1">
      <alignment horizontal="left" vertical="top" wrapText="1"/>
      <protection locked="0"/>
    </xf>
    <xf numFmtId="49" fontId="0" fillId="38" borderId="0" xfId="47" applyNumberFormat="1" applyFont="1" applyBorder="1" applyAlignment="1">
      <alignment horizontal="left" vertical="top" wrapText="1"/>
      <protection locked="0"/>
    </xf>
    <xf numFmtId="49" fontId="0" fillId="38" borderId="28" xfId="47" applyNumberFormat="1" applyFont="1" applyBorder="1" applyAlignment="1">
      <alignment horizontal="left" vertical="top" wrapText="1"/>
      <protection locked="0"/>
    </xf>
    <xf numFmtId="49" fontId="0" fillId="38" borderId="25" xfId="47" applyNumberFormat="1" applyFont="1" applyBorder="1" applyAlignment="1">
      <alignment horizontal="left" vertical="top" wrapText="1"/>
      <protection locked="0"/>
    </xf>
    <xf numFmtId="49" fontId="0" fillId="38" borderId="26" xfId="47" applyNumberFormat="1" applyFont="1" applyBorder="1" applyAlignment="1">
      <alignment horizontal="left" vertical="top" wrapText="1"/>
      <protection locked="0"/>
    </xf>
    <xf numFmtId="49" fontId="0" fillId="38" borderId="27" xfId="47" applyNumberFormat="1" applyFont="1" applyBorder="1" applyAlignment="1">
      <alignment horizontal="left" vertical="top" wrapText="1"/>
      <protection locked="0"/>
    </xf>
    <xf numFmtId="0" fontId="67" fillId="0" borderId="0" xfId="0" applyFont="1" applyAlignment="1">
      <alignment horizontal="left" vertical="center"/>
    </xf>
    <xf numFmtId="0" fontId="0" fillId="0" borderId="0" xfId="0" applyAlignment="1">
      <alignment horizontal="center" wrapText="1"/>
    </xf>
    <xf numFmtId="49" fontId="0" fillId="39" borderId="10" xfId="48" applyNumberFormat="1" applyFont="1">
      <protection locked="0"/>
    </xf>
    <xf numFmtId="0" fontId="47" fillId="0" borderId="0" xfId="0" applyFont="1" applyAlignment="1">
      <alignment horizontal="left"/>
    </xf>
    <xf numFmtId="0" fontId="16" fillId="0" borderId="0" xfId="0" applyFont="1" applyAlignment="1">
      <alignment horizontal="left"/>
    </xf>
    <xf numFmtId="0" fontId="16" fillId="0" borderId="0" xfId="0" applyFont="1" applyAlignment="1">
      <alignment horizontal="left" vertical="center"/>
    </xf>
    <xf numFmtId="49" fontId="0" fillId="38" borderId="22" xfId="47" applyNumberFormat="1" applyFont="1" applyBorder="1" applyAlignment="1">
      <alignment horizontal="center" wrapText="1"/>
      <protection locked="0"/>
    </xf>
    <xf numFmtId="49" fontId="0" fillId="38" borderId="23" xfId="47" applyNumberFormat="1" applyFont="1" applyBorder="1" applyAlignment="1">
      <alignment horizontal="center" wrapText="1"/>
      <protection locked="0"/>
    </xf>
    <xf numFmtId="49" fontId="0" fillId="38" borderId="24" xfId="47" applyNumberFormat="1" applyFont="1" applyBorder="1" applyAlignment="1">
      <alignment horizontal="center" wrapText="1"/>
      <protection locked="0"/>
    </xf>
    <xf numFmtId="49" fontId="0" fillId="38" borderId="29" xfId="47" applyNumberFormat="1" applyFont="1" applyBorder="1" applyAlignment="1">
      <alignment horizontal="center" wrapText="1"/>
      <protection locked="0"/>
    </xf>
    <xf numFmtId="49" fontId="0" fillId="38" borderId="0" xfId="47" applyNumberFormat="1" applyFont="1" applyBorder="1" applyAlignment="1">
      <alignment horizontal="center" wrapText="1"/>
      <protection locked="0"/>
    </xf>
    <xf numFmtId="49" fontId="0" fillId="38" borderId="28" xfId="47" applyNumberFormat="1" applyFont="1" applyBorder="1" applyAlignment="1">
      <alignment horizontal="center" wrapText="1"/>
      <protection locked="0"/>
    </xf>
    <xf numFmtId="49" fontId="0" fillId="38" borderId="25" xfId="47" applyNumberFormat="1" applyFont="1" applyBorder="1" applyAlignment="1">
      <alignment horizontal="center" wrapText="1"/>
      <protection locked="0"/>
    </xf>
    <xf numFmtId="49" fontId="0" fillId="38" borderId="26" xfId="47" applyNumberFormat="1" applyFont="1" applyBorder="1" applyAlignment="1">
      <alignment horizontal="center" wrapText="1"/>
      <protection locked="0"/>
    </xf>
    <xf numFmtId="49" fontId="0" fillId="38" borderId="27" xfId="47" applyNumberFormat="1" applyFont="1" applyBorder="1" applyAlignment="1">
      <alignment horizontal="center" wrapText="1"/>
      <protection locked="0"/>
    </xf>
    <xf numFmtId="49" fontId="0" fillId="38" borderId="10" xfId="47" applyNumberFormat="1" applyFont="1" applyAlignment="1">
      <alignment horizontal="center"/>
      <protection locked="0"/>
    </xf>
    <xf numFmtId="0" fontId="74" fillId="0" borderId="86" xfId="0" applyFont="1" applyBorder="1" applyAlignment="1">
      <alignment horizontal="center" vertical="top" wrapText="1"/>
    </xf>
    <xf numFmtId="0" fontId="74" fillId="0" borderId="85" xfId="0" applyFont="1" applyBorder="1" applyAlignment="1">
      <alignment horizontal="center" vertical="top" wrapText="1"/>
    </xf>
    <xf numFmtId="0" fontId="73" fillId="0" borderId="0" xfId="0" applyFont="1" applyAlignment="1">
      <alignment vertical="center" wrapText="1"/>
    </xf>
    <xf numFmtId="0" fontId="75" fillId="0" borderId="90" xfId="0" applyFont="1" applyBorder="1" applyAlignment="1">
      <alignment horizontal="center" vertical="top" wrapText="1"/>
    </xf>
    <xf numFmtId="0" fontId="75" fillId="0" borderId="34" xfId="0" applyFont="1" applyBorder="1" applyAlignment="1">
      <alignment horizontal="center" vertical="top" wrapText="1"/>
    </xf>
    <xf numFmtId="0" fontId="74" fillId="0" borderId="88" xfId="0" applyFont="1" applyBorder="1" applyAlignment="1">
      <alignment horizontal="center" vertical="top" wrapText="1"/>
    </xf>
    <xf numFmtId="0" fontId="74" fillId="0" borderId="10" xfId="0" applyFont="1" applyBorder="1" applyAlignment="1">
      <alignment horizontal="center" vertical="top" wrapText="1"/>
    </xf>
    <xf numFmtId="0" fontId="75" fillId="0" borderId="93" xfId="0" applyFont="1" applyBorder="1" applyAlignment="1">
      <alignment horizontal="center" vertical="top" wrapText="1"/>
    </xf>
    <xf numFmtId="0" fontId="75" fillId="0" borderId="92" xfId="0" applyFont="1" applyBorder="1" applyAlignment="1">
      <alignment horizontal="center" vertical="top" wrapText="1"/>
    </xf>
    <xf numFmtId="0" fontId="74" fillId="0" borderId="90" xfId="0" applyFont="1" applyBorder="1" applyAlignment="1">
      <alignment horizontal="center" vertical="top" wrapText="1"/>
    </xf>
    <xf numFmtId="0" fontId="74" fillId="0" borderId="34" xfId="0" applyFont="1" applyBorder="1" applyAlignment="1">
      <alignment horizontal="center" vertical="top" wrapText="1"/>
    </xf>
    <xf numFmtId="0" fontId="75" fillId="0" borderId="91" xfId="0" applyFont="1" applyBorder="1" applyAlignment="1">
      <alignment horizontal="center" vertical="top" wrapText="1"/>
    </xf>
    <xf numFmtId="0" fontId="75" fillId="0" borderId="89" xfId="0" applyFont="1" applyBorder="1" applyAlignment="1">
      <alignment horizontal="center" vertical="top" wrapText="1"/>
    </xf>
    <xf numFmtId="0" fontId="74" fillId="45" borderId="93" xfId="0" applyFont="1" applyFill="1" applyBorder="1" applyAlignment="1">
      <alignment horizontal="center" vertical="top" wrapText="1"/>
    </xf>
    <xf numFmtId="0" fontId="74" fillId="45" borderId="92" xfId="0" applyFont="1" applyFill="1" applyBorder="1" applyAlignment="1">
      <alignment horizontal="center" vertical="top" wrapText="1"/>
    </xf>
    <xf numFmtId="0" fontId="75" fillId="0" borderId="0" xfId="0" applyFont="1" applyAlignment="1">
      <alignment horizontal="justify" vertical="top" wrapText="1"/>
    </xf>
    <xf numFmtId="0" fontId="76" fillId="46" borderId="94" xfId="0" applyFont="1" applyFill="1" applyBorder="1" applyAlignment="1">
      <alignment vertical="center" wrapText="1"/>
    </xf>
    <xf numFmtId="0" fontId="76" fillId="46" borderId="0" xfId="0" applyFont="1" applyFill="1" applyAlignment="1">
      <alignment vertical="center" wrapText="1"/>
    </xf>
    <xf numFmtId="0" fontId="75" fillId="0" borderId="0" xfId="0" applyFont="1" applyAlignment="1">
      <alignment horizontal="justify" vertical="center" wrapText="1"/>
    </xf>
    <xf numFmtId="0" fontId="75" fillId="0" borderId="0" xfId="0" applyFont="1" applyAlignment="1">
      <alignment horizontal="center" vertical="top" wrapText="1"/>
    </xf>
    <xf numFmtId="0" fontId="74" fillId="0" borderId="0" xfId="0" applyFont="1" applyAlignment="1">
      <alignment horizontal="justify" vertical="center" wrapText="1"/>
    </xf>
    <xf numFmtId="0" fontId="74" fillId="0" borderId="0" xfId="0" applyFont="1" applyAlignment="1">
      <alignment horizontal="justify" vertical="top" wrapText="1"/>
    </xf>
    <xf numFmtId="0" fontId="74" fillId="0" borderId="69" xfId="0" applyFont="1" applyBorder="1" applyAlignment="1">
      <alignment horizontal="center" vertical="top" wrapText="1"/>
    </xf>
    <xf numFmtId="0" fontId="74" fillId="0" borderId="65" xfId="0" applyFont="1" applyBorder="1" applyAlignment="1">
      <alignment horizontal="center" vertical="top" wrapText="1"/>
    </xf>
    <xf numFmtId="0" fontId="74" fillId="0" borderId="94" xfId="0" applyFont="1" applyBorder="1" applyAlignment="1">
      <alignment horizontal="center" vertical="top" wrapText="1"/>
    </xf>
    <xf numFmtId="0" fontId="74" fillId="0" borderId="76" xfId="0" applyFont="1" applyBorder="1" applyAlignment="1">
      <alignment horizontal="center" vertical="top" wrapText="1"/>
    </xf>
    <xf numFmtId="0" fontId="75" fillId="0" borderId="75" xfId="0" applyFont="1" applyBorder="1" applyAlignment="1">
      <alignment horizontal="center" vertical="top" wrapText="1"/>
    </xf>
    <xf numFmtId="0" fontId="75" fillId="0" borderId="74" xfId="0" applyFont="1" applyBorder="1" applyAlignment="1">
      <alignment horizontal="left" vertical="top" wrapText="1"/>
    </xf>
    <xf numFmtId="0" fontId="75" fillId="0" borderId="73" xfId="0" applyFont="1" applyBorder="1" applyAlignment="1">
      <alignment horizontal="left" vertical="top" wrapText="1"/>
    </xf>
    <xf numFmtId="0" fontId="75" fillId="0" borderId="97" xfId="0" applyFont="1" applyBorder="1" applyAlignment="1">
      <alignment horizontal="left" vertical="top" wrapText="1"/>
    </xf>
    <xf numFmtId="0" fontId="75" fillId="0" borderId="96" xfId="0" applyFont="1" applyBorder="1" applyAlignment="1">
      <alignment horizontal="left" vertical="top" wrapText="1"/>
    </xf>
    <xf numFmtId="0" fontId="75" fillId="0" borderId="72" xfId="0" applyFont="1" applyBorder="1" applyAlignment="1">
      <alignment horizontal="center" vertical="top" wrapText="1"/>
    </xf>
    <xf numFmtId="0" fontId="75" fillId="0" borderId="71" xfId="0" applyFont="1" applyBorder="1" applyAlignment="1">
      <alignment horizontal="center" vertical="top" wrapText="1"/>
    </xf>
    <xf numFmtId="0" fontId="75" fillId="0" borderId="70" xfId="0" applyFont="1" applyBorder="1" applyAlignment="1">
      <alignment horizontal="center" vertical="top" wrapText="1"/>
    </xf>
    <xf numFmtId="0" fontId="77" fillId="0" borderId="0" xfId="0" applyFont="1" applyAlignment="1">
      <alignment horizontal="justify" vertical="top" wrapText="1"/>
    </xf>
    <xf numFmtId="0" fontId="74" fillId="0" borderId="0" xfId="0" applyFont="1" applyAlignment="1">
      <alignment vertical="top" wrapText="1"/>
    </xf>
    <xf numFmtId="0" fontId="74" fillId="0" borderId="0" xfId="0" applyFont="1" applyAlignment="1">
      <alignment horizontal="left" vertical="top" wrapText="1"/>
    </xf>
    <xf numFmtId="0" fontId="78" fillId="0" borderId="0" xfId="0" applyFont="1" applyAlignment="1">
      <alignment horizontal="left" vertical="top"/>
    </xf>
    <xf numFmtId="0" fontId="80" fillId="0" borderId="0" xfId="0" applyFont="1" applyAlignment="1">
      <alignment vertical="top" wrapText="1"/>
    </xf>
    <xf numFmtId="0" fontId="74" fillId="0" borderId="94" xfId="0" applyFont="1" applyBorder="1" applyAlignment="1">
      <alignment vertical="top" wrapText="1"/>
    </xf>
    <xf numFmtId="0" fontId="75" fillId="0" borderId="74" xfId="0" applyFont="1" applyBorder="1" applyAlignment="1">
      <alignment horizontal="center" vertical="top" wrapText="1"/>
    </xf>
    <xf numFmtId="0" fontId="75" fillId="0" borderId="98" xfId="0" applyFont="1" applyBorder="1" applyAlignment="1">
      <alignment horizontal="center" vertical="top" wrapText="1"/>
    </xf>
    <xf numFmtId="0" fontId="75" fillId="0" borderId="97" xfId="0" applyFont="1" applyBorder="1" applyAlignment="1">
      <alignment horizontal="center" vertical="top" wrapText="1"/>
    </xf>
    <xf numFmtId="0" fontId="75" fillId="0" borderId="31" xfId="0" applyFont="1" applyBorder="1" applyAlignment="1">
      <alignment horizontal="center" vertical="top" wrapText="1"/>
    </xf>
    <xf numFmtId="0" fontId="75" fillId="0" borderId="73" xfId="0" applyFont="1" applyBorder="1" applyAlignment="1">
      <alignment horizontal="center" vertical="top" wrapText="1"/>
    </xf>
    <xf numFmtId="0" fontId="85" fillId="0" borderId="0" xfId="0" applyFont="1" applyAlignment="1">
      <alignment wrapText="1"/>
    </xf>
    <xf numFmtId="0" fontId="74" fillId="0" borderId="69" xfId="0" applyFont="1" applyBorder="1" applyAlignment="1">
      <alignment vertical="top" wrapText="1"/>
    </xf>
    <xf numFmtId="0" fontId="74" fillId="0" borderId="75" xfId="0" applyFont="1" applyBorder="1" applyAlignment="1">
      <alignment vertical="top" wrapText="1"/>
    </xf>
    <xf numFmtId="0" fontId="78" fillId="0" borderId="0" xfId="0" applyFont="1" applyAlignment="1">
      <alignment horizontal="left" vertical="center" wrapText="1"/>
    </xf>
    <xf numFmtId="0" fontId="77" fillId="0" borderId="10" xfId="0" applyFont="1" applyBorder="1" applyAlignment="1">
      <alignment vertical="center" wrapText="1"/>
    </xf>
    <xf numFmtId="0" fontId="77" fillId="0" borderId="87" xfId="0" applyFont="1" applyBorder="1" applyAlignment="1">
      <alignment vertical="center" wrapText="1"/>
    </xf>
    <xf numFmtId="0" fontId="71" fillId="0" borderId="10" xfId="67" applyBorder="1" applyAlignment="1">
      <alignment vertical="center" wrapText="1"/>
    </xf>
    <xf numFmtId="0" fontId="71" fillId="0" borderId="87" xfId="67" applyBorder="1" applyAlignment="1">
      <alignment vertical="center" wrapText="1"/>
    </xf>
    <xf numFmtId="0" fontId="77" fillId="0" borderId="85" xfId="0" applyFont="1" applyBorder="1" applyAlignment="1">
      <alignment vertical="center" wrapText="1"/>
    </xf>
    <xf numFmtId="0" fontId="77" fillId="0" borderId="84" xfId="0" applyFont="1" applyBorder="1" applyAlignment="1">
      <alignment vertical="center" wrapText="1"/>
    </xf>
    <xf numFmtId="0" fontId="75" fillId="0" borderId="28" xfId="0" applyFont="1" applyBorder="1" applyAlignment="1">
      <alignment horizontal="center" vertical="center" wrapText="1"/>
    </xf>
    <xf numFmtId="0" fontId="75" fillId="0" borderId="16" xfId="0" applyFont="1" applyBorder="1" applyAlignment="1">
      <alignment horizontal="center" vertical="center" wrapText="1"/>
    </xf>
    <xf numFmtId="0" fontId="75" fillId="0" borderId="29" xfId="0" applyFont="1" applyBorder="1" applyAlignment="1">
      <alignment horizontal="center" vertical="center" wrapText="1"/>
    </xf>
    <xf numFmtId="0" fontId="75" fillId="0" borderId="106" xfId="0" applyFont="1" applyBorder="1" applyAlignment="1">
      <alignment horizontal="center" vertical="center" wrapText="1"/>
    </xf>
    <xf numFmtId="0" fontId="75" fillId="0" borderId="105" xfId="0" applyFont="1" applyBorder="1" applyAlignment="1">
      <alignment horizontal="center" vertical="center" wrapText="1"/>
    </xf>
    <xf numFmtId="0" fontId="75" fillId="0" borderId="104" xfId="0" applyFont="1" applyBorder="1" applyAlignment="1">
      <alignment horizontal="center" vertical="center" wrapText="1"/>
    </xf>
    <xf numFmtId="0" fontId="74" fillId="0" borderId="109" xfId="0" applyFont="1" applyBorder="1" applyAlignment="1">
      <alignment vertical="center" wrapText="1"/>
    </xf>
    <xf numFmtId="0" fontId="74" fillId="0" borderId="108" xfId="0" applyFont="1" applyBorder="1" applyAlignment="1">
      <alignment vertical="center" wrapText="1"/>
    </xf>
    <xf numFmtId="0" fontId="74" fillId="0" borderId="88" xfId="0" applyFont="1" applyBorder="1" applyAlignment="1">
      <alignment vertical="center" wrapText="1"/>
    </xf>
    <xf numFmtId="0" fontId="74" fillId="0" borderId="10" xfId="0" applyFont="1" applyBorder="1" applyAlignment="1">
      <alignment vertical="center" wrapText="1"/>
    </xf>
    <xf numFmtId="0" fontId="74" fillId="0" borderId="86" xfId="0" applyFont="1" applyBorder="1" applyAlignment="1">
      <alignment vertical="center" wrapText="1"/>
    </xf>
    <xf numFmtId="0" fontId="74" fillId="0" borderId="85" xfId="0" applyFont="1" applyBorder="1" applyAlignment="1">
      <alignment vertical="center" wrapText="1"/>
    </xf>
    <xf numFmtId="0" fontId="75" fillId="0" borderId="103" xfId="0" applyFont="1" applyBorder="1" applyAlignment="1">
      <alignment horizontal="center" vertical="center" wrapText="1"/>
    </xf>
    <xf numFmtId="0" fontId="75" fillId="0" borderId="102" xfId="0" applyFont="1" applyBorder="1" applyAlignment="1">
      <alignment horizontal="center" vertical="center" wrapText="1"/>
    </xf>
    <xf numFmtId="0" fontId="75" fillId="0" borderId="101" xfId="0" applyFont="1" applyBorder="1" applyAlignment="1">
      <alignment horizontal="center" vertical="center" wrapText="1"/>
    </xf>
    <xf numFmtId="0" fontId="77" fillId="0" borderId="17" xfId="0" applyFont="1" applyBorder="1" applyAlignment="1">
      <alignment vertical="center" wrapText="1"/>
    </xf>
    <xf numFmtId="0" fontId="77" fillId="0" borderId="99" xfId="0" applyFont="1" applyBorder="1" applyAlignment="1">
      <alignment vertical="center" wrapText="1"/>
    </xf>
    <xf numFmtId="0" fontId="75" fillId="0" borderId="74" xfId="0" applyFont="1" applyBorder="1" applyAlignment="1">
      <alignment horizontal="center" vertical="center" wrapText="1"/>
    </xf>
    <xf numFmtId="0" fontId="75" fillId="0" borderId="98" xfId="0" applyFont="1" applyBorder="1" applyAlignment="1">
      <alignment horizontal="center" vertical="center" wrapText="1"/>
    </xf>
    <xf numFmtId="0" fontId="75" fillId="0" borderId="73" xfId="0" applyFont="1" applyBorder="1" applyAlignment="1">
      <alignment horizontal="center" vertical="center" wrapText="1"/>
    </xf>
    <xf numFmtId="0" fontId="75" fillId="0" borderId="69" xfId="0" applyFont="1" applyBorder="1" applyAlignment="1">
      <alignment horizontal="center" vertical="center" wrapText="1"/>
    </xf>
    <xf numFmtId="0" fontId="75" fillId="0" borderId="75" xfId="0" applyFont="1" applyBorder="1" applyAlignment="1">
      <alignment horizontal="center" vertical="center" wrapText="1"/>
    </xf>
    <xf numFmtId="0" fontId="75" fillId="0" borderId="65" xfId="0" applyFont="1" applyBorder="1" applyAlignment="1">
      <alignment horizontal="center" vertical="center" wrapText="1"/>
    </xf>
    <xf numFmtId="0" fontId="74" fillId="0" borderId="100" xfId="0" applyFont="1" applyBorder="1" applyAlignment="1">
      <alignment vertical="center" wrapText="1"/>
    </xf>
    <xf numFmtId="0" fontId="74" fillId="0" borderId="17" xfId="0" applyFont="1" applyBorder="1" applyAlignment="1">
      <alignment vertical="center" wrapText="1"/>
    </xf>
    <xf numFmtId="0" fontId="74" fillId="0" borderId="87" xfId="0" applyFont="1" applyBorder="1" applyAlignment="1">
      <alignment vertical="center" wrapText="1"/>
    </xf>
    <xf numFmtId="0" fontId="75" fillId="0" borderId="0" xfId="0" applyFont="1" applyAlignment="1">
      <alignment horizontal="center" vertical="center" wrapText="1"/>
    </xf>
    <xf numFmtId="0" fontId="74" fillId="0" borderId="107" xfId="0" applyFont="1" applyBorder="1" applyAlignment="1">
      <alignment vertical="center" wrapText="1"/>
    </xf>
    <xf numFmtId="0" fontId="74" fillId="0" borderId="84" xfId="0" applyFont="1" applyBorder="1" applyAlignment="1">
      <alignment vertical="center" wrapText="1"/>
    </xf>
    <xf numFmtId="0" fontId="27" fillId="0" borderId="0" xfId="0" applyFont="1" applyAlignment="1">
      <alignment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26" fillId="0" borderId="10" xfId="0" applyFont="1" applyBorder="1" applyAlignment="1">
      <alignment horizontal="center" vertical="center"/>
    </xf>
    <xf numFmtId="0" fontId="27" fillId="0" borderId="10" xfId="0" applyFont="1" applyBorder="1" applyAlignment="1">
      <alignment horizontal="center" vertical="center"/>
    </xf>
    <xf numFmtId="0" fontId="26" fillId="0" borderId="26" xfId="0" applyFont="1" applyBorder="1" applyAlignment="1">
      <alignment horizontal="center" vertical="center" wrapText="1"/>
    </xf>
    <xf numFmtId="0" fontId="59" fillId="0" borderId="0" xfId="57" applyAlignment="1" applyProtection="1">
      <alignment horizontal="left" vertical="top" wrapText="1"/>
      <protection locked="0"/>
    </xf>
    <xf numFmtId="0" fontId="59" fillId="37" borderId="78" xfId="57" applyFill="1" applyBorder="1" applyAlignment="1" applyProtection="1">
      <alignment horizontal="center"/>
      <protection locked="0"/>
    </xf>
    <xf numFmtId="0" fontId="59" fillId="37" borderId="79" xfId="57" applyFill="1" applyBorder="1" applyAlignment="1" applyProtection="1">
      <alignment horizontal="center"/>
      <protection locked="0"/>
    </xf>
    <xf numFmtId="0" fontId="59" fillId="37" borderId="80" xfId="57" applyFill="1" applyBorder="1" applyAlignment="1" applyProtection="1">
      <alignment horizontal="center"/>
      <protection locked="0"/>
    </xf>
    <xf numFmtId="0" fontId="59" fillId="37" borderId="46" xfId="57" applyFill="1" applyBorder="1" applyAlignment="1" applyProtection="1">
      <alignment horizontal="center"/>
      <protection locked="0"/>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46" fillId="43" borderId="12" xfId="0" applyFont="1" applyFill="1" applyBorder="1" applyAlignment="1">
      <alignment horizontal="center" vertical="center" wrapText="1"/>
    </xf>
    <xf numFmtId="0" fontId="46" fillId="43" borderId="21" xfId="0" applyFont="1" applyFill="1" applyBorder="1" applyAlignment="1">
      <alignment horizontal="center" vertical="center" wrapText="1"/>
    </xf>
    <xf numFmtId="0" fontId="46" fillId="43" borderId="13" xfId="0" applyFont="1" applyFill="1" applyBorder="1" applyAlignment="1">
      <alignment horizontal="center" vertical="center" wrapText="1"/>
    </xf>
    <xf numFmtId="0" fontId="46" fillId="43" borderId="21" xfId="0" applyFont="1" applyFill="1" applyBorder="1" applyAlignment="1">
      <alignment horizontal="center" vertical="top" wrapText="1"/>
    </xf>
    <xf numFmtId="0" fontId="26" fillId="0" borderId="15" xfId="0" applyFont="1" applyBorder="1" applyAlignment="1">
      <alignment horizontal="center" vertical="center" wrapText="1"/>
    </xf>
    <xf numFmtId="0" fontId="26" fillId="0" borderId="17" xfId="0" applyFont="1" applyBorder="1" applyAlignment="1">
      <alignment horizontal="center" vertical="center" wrapText="1"/>
    </xf>
    <xf numFmtId="0" fontId="59" fillId="37" borderId="10" xfId="57" applyFill="1" applyBorder="1" applyAlignment="1" applyProtection="1">
      <alignment horizontal="center"/>
      <protection locked="0"/>
    </xf>
    <xf numFmtId="0" fontId="59" fillId="0" borderId="41" xfId="57" applyBorder="1" applyAlignment="1" applyProtection="1">
      <alignment horizontal="center"/>
    </xf>
    <xf numFmtId="0" fontId="59" fillId="0" borderId="0" xfId="57" applyBorder="1" applyAlignment="1" applyProtection="1">
      <alignment horizont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25" fillId="0" borderId="26" xfId="0" applyFont="1" applyBorder="1" applyAlignment="1">
      <alignment horizontal="center" wrapText="1"/>
    </xf>
    <xf numFmtId="0" fontId="26" fillId="0" borderId="0" xfId="0" applyFont="1" applyAlignment="1">
      <alignment horizontal="center" vertical="top" wrapText="1"/>
    </xf>
    <xf numFmtId="0" fontId="50" fillId="0" borderId="22" xfId="0" applyFont="1" applyBorder="1" applyAlignment="1">
      <alignment horizontal="left" vertical="top" wrapText="1"/>
    </xf>
    <xf numFmtId="0" fontId="50" fillId="0" borderId="23" xfId="0" applyFont="1" applyBorder="1" applyAlignment="1">
      <alignment horizontal="left" vertical="top" wrapText="1"/>
    </xf>
    <xf numFmtId="0" fontId="50" fillId="0" borderId="24" xfId="0" applyFont="1" applyBorder="1" applyAlignment="1">
      <alignment horizontal="left" vertical="top" wrapText="1"/>
    </xf>
    <xf numFmtId="0" fontId="50" fillId="0" borderId="29" xfId="0" applyFont="1" applyBorder="1" applyAlignment="1">
      <alignment horizontal="left" vertical="top" wrapText="1"/>
    </xf>
    <xf numFmtId="0" fontId="50" fillId="0" borderId="0" xfId="0" applyFont="1" applyAlignment="1">
      <alignment horizontal="left" vertical="top" wrapText="1"/>
    </xf>
    <xf numFmtId="0" fontId="50" fillId="0" borderId="28" xfId="0" applyFont="1" applyBorder="1" applyAlignment="1">
      <alignment horizontal="left" vertical="top" wrapText="1"/>
    </xf>
    <xf numFmtId="0" fontId="38" fillId="0" borderId="25" xfId="0" applyFont="1" applyBorder="1" applyAlignment="1">
      <alignment horizontal="left" vertical="top" wrapText="1"/>
    </xf>
    <xf numFmtId="0" fontId="38" fillId="0" borderId="26" xfId="0" applyFont="1" applyBorder="1" applyAlignment="1">
      <alignment horizontal="left" vertical="top" wrapText="1"/>
    </xf>
    <xf numFmtId="0" fontId="38" fillId="0" borderId="27" xfId="0" applyFont="1" applyBorder="1" applyAlignment="1">
      <alignment horizontal="left" vertical="top" wrapText="1"/>
    </xf>
    <xf numFmtId="0" fontId="18" fillId="0" borderId="10" xfId="0" applyFont="1" applyBorder="1" applyAlignment="1">
      <alignment horizontal="left" wrapText="1"/>
    </xf>
    <xf numFmtId="0" fontId="18" fillId="0" borderId="12" xfId="0" applyFont="1" applyBorder="1" applyAlignment="1">
      <alignment horizontal="center" vertical="center"/>
    </xf>
    <xf numFmtId="0" fontId="18" fillId="0" borderId="21" xfId="0" applyFont="1" applyBorder="1" applyAlignment="1">
      <alignment horizontal="center" vertical="center"/>
    </xf>
    <xf numFmtId="0" fontId="18" fillId="0" borderId="13" xfId="0" applyFont="1" applyBorder="1" applyAlignment="1">
      <alignment horizontal="center" vertical="center"/>
    </xf>
    <xf numFmtId="0" fontId="18" fillId="0" borderId="22"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5" xfId="0" applyFont="1" applyBorder="1" applyAlignment="1">
      <alignment horizontal="center" vertical="center" wrapText="1"/>
    </xf>
    <xf numFmtId="0" fontId="45" fillId="43" borderId="12" xfId="0" applyFont="1" applyFill="1" applyBorder="1" applyAlignment="1">
      <alignment horizontal="center"/>
    </xf>
    <xf numFmtId="0" fontId="45" fillId="43" borderId="21" xfId="0" applyFont="1" applyFill="1" applyBorder="1" applyAlignment="1">
      <alignment horizontal="center"/>
    </xf>
    <xf numFmtId="0" fontId="45" fillId="43" borderId="13" xfId="0" applyFont="1" applyFill="1" applyBorder="1" applyAlignment="1">
      <alignment horizontal="center"/>
    </xf>
    <xf numFmtId="0" fontId="18" fillId="0" borderId="10" xfId="0" applyFont="1" applyBorder="1" applyAlignment="1">
      <alignment horizontal="center" vertical="center"/>
    </xf>
    <xf numFmtId="0" fontId="25" fillId="0" borderId="0" xfId="0" applyFont="1" applyAlignment="1">
      <alignment horizontal="center"/>
    </xf>
    <xf numFmtId="0" fontId="25" fillId="0" borderId="22"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3" xfId="0" applyFont="1" applyBorder="1" applyAlignment="1">
      <alignment horizontal="center" vertical="center"/>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7" xfId="0" applyFont="1" applyBorder="1" applyAlignment="1">
      <alignment horizontal="center" vertical="center" wrapText="1"/>
    </xf>
    <xf numFmtId="0" fontId="45" fillId="43" borderId="15" xfId="0" applyFont="1" applyFill="1" applyBorder="1" applyAlignment="1">
      <alignment horizontal="center" vertical="center" wrapText="1"/>
    </xf>
    <xf numFmtId="0" fontId="45" fillId="43" borderId="17" xfId="0" applyFont="1" applyFill="1" applyBorder="1" applyAlignment="1">
      <alignment horizontal="center" vertical="center" wrapText="1"/>
    </xf>
    <xf numFmtId="0" fontId="26" fillId="0" borderId="68" xfId="0" applyFont="1" applyBorder="1" applyAlignment="1">
      <alignment horizontal="center" vertical="center" textRotation="90" wrapText="1"/>
    </xf>
    <xf numFmtId="0" fontId="26" fillId="0" borderId="67" xfId="0" applyFont="1" applyBorder="1" applyAlignment="1">
      <alignment horizontal="center" vertical="center" textRotation="90" wrapText="1"/>
    </xf>
    <xf numFmtId="0" fontId="26" fillId="0" borderId="66" xfId="0" applyFont="1" applyBorder="1" applyAlignment="1">
      <alignment horizontal="center" vertical="center" textRotation="90" wrapText="1"/>
    </xf>
    <xf numFmtId="0" fontId="26" fillId="0" borderId="75" xfId="0" applyFont="1" applyBorder="1" applyAlignment="1">
      <alignment horizontal="center" vertical="center"/>
    </xf>
    <xf numFmtId="0" fontId="26" fillId="44" borderId="74" xfId="0" applyFont="1" applyFill="1" applyBorder="1" applyAlignment="1">
      <alignment horizontal="center" vertical="center"/>
    </xf>
    <xf numFmtId="0" fontId="26" fillId="44" borderId="73" xfId="0" applyFont="1" applyFill="1" applyBorder="1" applyAlignment="1">
      <alignment horizontal="center" vertical="center"/>
    </xf>
    <xf numFmtId="0" fontId="26" fillId="44" borderId="69" xfId="0" applyFont="1" applyFill="1" applyBorder="1" applyAlignment="1">
      <alignment horizontal="center" vertical="center"/>
    </xf>
    <xf numFmtId="0" fontId="26" fillId="44" borderId="65" xfId="0" applyFont="1" applyFill="1" applyBorder="1" applyAlignment="1">
      <alignment horizontal="center" vertical="center"/>
    </xf>
    <xf numFmtId="0" fontId="26" fillId="0" borderId="72" xfId="0" applyFont="1" applyBorder="1" applyAlignment="1">
      <alignment horizontal="center" vertical="center" wrapText="1"/>
    </xf>
    <xf numFmtId="0" fontId="26" fillId="0" borderId="71" xfId="0" applyFont="1" applyBorder="1" applyAlignment="1">
      <alignment horizontal="center" vertical="center" wrapText="1"/>
    </xf>
    <xf numFmtId="0" fontId="26" fillId="0" borderId="70" xfId="0" applyFont="1" applyBorder="1" applyAlignment="1">
      <alignment horizontal="center" vertical="center" wrapText="1"/>
    </xf>
    <xf numFmtId="0" fontId="59" fillId="37" borderId="110" xfId="57" applyFill="1" applyBorder="1" applyAlignment="1" applyProtection="1">
      <alignment horizontal="center"/>
      <protection locked="0"/>
    </xf>
    <xf numFmtId="0" fontId="59" fillId="37" borderId="111" xfId="57" applyFill="1" applyBorder="1" applyAlignment="1" applyProtection="1">
      <alignment horizontal="center"/>
      <protection locked="0"/>
    </xf>
    <xf numFmtId="0" fontId="59" fillId="37" borderId="112" xfId="57" applyFill="1" applyBorder="1" applyAlignment="1" applyProtection="1">
      <alignment horizontal="center"/>
      <protection locked="0"/>
    </xf>
    <xf numFmtId="0" fontId="25" fillId="0" borderId="10" xfId="0" applyFont="1" applyBorder="1" applyAlignment="1">
      <alignment horizontal="center"/>
    </xf>
    <xf numFmtId="0" fontId="25" fillId="0" borderId="26" xfId="0" applyFont="1" applyBorder="1" applyAlignment="1">
      <alignment horizontal="center"/>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0"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66" xfId="0" applyFont="1" applyBorder="1" applyAlignment="1">
      <alignment horizontal="center" vertical="center" wrapText="1"/>
    </xf>
    <xf numFmtId="0" fontId="26" fillId="0" borderId="75" xfId="0" applyFont="1" applyBorder="1" applyAlignment="1">
      <alignment horizontal="center" vertical="center" wrapText="1"/>
    </xf>
    <xf numFmtId="0" fontId="27" fillId="0" borderId="0" xfId="0" applyFont="1" applyAlignment="1">
      <alignment horizontal="left" vertical="center"/>
    </xf>
    <xf numFmtId="0" fontId="58" fillId="0" borderId="0" xfId="0" applyFont="1" applyAlignment="1">
      <alignment horizontal="left" vertical="top" wrapText="1"/>
    </xf>
  </cellXfs>
  <cellStyles count="68">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Answered" xfId="64" xr:uid="{00000000-0005-0000-0000-000018000000}"/>
    <cellStyle name="Bad" xfId="12" builtinId="27" hidden="1"/>
    <cellStyle name="Calculation" xfId="16" builtinId="22" hidden="1"/>
    <cellStyle name="Calculation" xfId="51" builtinId="22" hidden="1" customBuiltin="1"/>
    <cellStyle name="Check Cell" xfId="18" builtinId="23" hidden="1"/>
    <cellStyle name="Comma" xfId="1" builtinId="3" hidden="1"/>
    <cellStyle name="Comma [0]" xfId="2" builtinId="6" hidden="1"/>
    <cellStyle name="Currency" xfId="3" builtinId="4" hidden="1"/>
    <cellStyle name="Currency [0]" xfId="4" builtinId="7" hidden="1"/>
    <cellStyle name="Explanatory Text" xfId="21" builtinId="53" hidden="1"/>
    <cellStyle name="Followed Hyperlink" xfId="56" builtinId="9" hidden="1"/>
    <cellStyle name="Followed Hyperlink" xfId="58" builtinId="9" hidden="1"/>
    <cellStyle name="Followed Hyperlink" xfId="59" builtinId="9" hidden="1"/>
    <cellStyle name="Followed Hyperlink" xfId="61" builtinId="9" hidden="1"/>
    <cellStyle name="Good" xfId="11" builtinId="26" hidden="1"/>
    <cellStyle name="Heading 1" xfId="7" builtinId="16" hidden="1"/>
    <cellStyle name="Heading 2" xfId="8" builtinId="17" hidden="1"/>
    <cellStyle name="Heading 3" xfId="9" builtinId="18" hidden="1"/>
    <cellStyle name="Heading 4" xfId="10" builtinId="19" hidden="1"/>
    <cellStyle name="Hidden" xfId="60" xr:uid="{00000000-0005-0000-0000-00002B000000}"/>
    <cellStyle name="Hyperlink" xfId="49" builtinId="8" hidden="1"/>
    <cellStyle name="Hyperlink" xfId="55" builtinId="8" hidden="1"/>
    <cellStyle name="Hyperlink" xfId="57" builtinId="8" customBuiltin="1"/>
    <cellStyle name="Hyperlink 2" xfId="67" xr:uid="{00000000-0005-0000-0000-00002F000000}"/>
    <cellStyle name="Input" xfId="14" builtinId="20" hidden="1"/>
    <cellStyle name="Linked Cell" xfId="17" builtinId="24" hidden="1"/>
    <cellStyle name="Main Title" xfId="50" xr:uid="{00000000-0005-0000-0000-000032000000}"/>
    <cellStyle name="Mandatory" xfId="47" xr:uid="{00000000-0005-0000-0000-000033000000}"/>
    <cellStyle name="Neutral" xfId="13" builtinId="28" hidden="1"/>
    <cellStyle name="Normal" xfId="0" builtinId="0"/>
    <cellStyle name="Normal Entry" xfId="48" xr:uid="{00000000-0005-0000-0000-000036000000}"/>
    <cellStyle name="Note" xfId="20" builtinId="10" hidden="1"/>
    <cellStyle name="Note" xfId="53" builtinId="10" hidden="1" customBuiltin="1"/>
    <cellStyle name="Note Entry" xfId="54" xr:uid="{00000000-0005-0000-0000-000039000000}"/>
    <cellStyle name="Note Entry 2" xfId="66" xr:uid="{00000000-0005-0000-0000-00003A000000}"/>
    <cellStyle name="Output" xfId="15" builtinId="21" hidden="1"/>
    <cellStyle name="Percent" xfId="5" builtinId="5" hidden="1"/>
    <cellStyle name="Points" xfId="62" xr:uid="{00000000-0005-0000-0000-00003D000000}"/>
    <cellStyle name="Section Header" xfId="63" xr:uid="{00000000-0005-0000-0000-00003E000000}"/>
    <cellStyle name="Title" xfId="6" builtinId="15" hidden="1"/>
    <cellStyle name="Total" xfId="22" builtinId="25" hidden="1"/>
    <cellStyle name="Warning" xfId="52" xr:uid="{00000000-0005-0000-0000-000041000000}"/>
    <cellStyle name="Warning Text" xfId="19" builtinId="11" hidden="1"/>
    <cellStyle name="Warnings" xfId="65" xr:uid="{00000000-0005-0000-0000-000043000000}"/>
  </cellStyles>
  <dxfs count="4438">
    <dxf>
      <font>
        <b/>
        <i val="0"/>
        <color theme="1"/>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bgColor rgb="FFFFFF99"/>
        </patternFill>
      </fill>
    </dxf>
    <dxf>
      <fill>
        <patternFill>
          <bgColor rgb="FF92D050"/>
        </patternFill>
      </fill>
    </dxf>
    <dxf>
      <font>
        <color theme="1"/>
      </font>
      <fill>
        <patternFill>
          <bgColor rgb="FFFF0000"/>
        </patternFill>
      </fill>
    </dxf>
    <dxf>
      <fill>
        <patternFill>
          <bgColor rgb="FFFF0000"/>
        </patternFill>
      </fill>
    </dxf>
    <dxf>
      <fill>
        <patternFill>
          <bgColor rgb="FFFF9393"/>
        </patternFill>
      </fill>
    </dxf>
    <dxf>
      <fill>
        <patternFill>
          <bgColor rgb="FF92D050"/>
        </patternFill>
      </fill>
    </dxf>
    <dxf>
      <font>
        <color theme="1"/>
      </font>
      <fill>
        <patternFill>
          <bgColor rgb="FFFF9393"/>
        </patternFill>
      </fill>
    </dxf>
    <dxf>
      <fill>
        <patternFill>
          <bgColor rgb="FF92D050"/>
        </patternFill>
      </fill>
    </dxf>
    <dxf>
      <fill>
        <patternFill>
          <bgColor rgb="FFFFFF99"/>
        </patternFill>
      </fill>
    </dxf>
    <dxf>
      <fill>
        <patternFill>
          <bgColor rgb="FF92D050"/>
        </patternFill>
      </fill>
    </dxf>
    <dxf>
      <font>
        <b/>
        <i val="0"/>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ill>
        <patternFill>
          <bgColor rgb="FF92D050"/>
        </patternFill>
      </fill>
    </dxf>
    <dxf>
      <font>
        <b/>
        <i val="0"/>
        <color theme="1"/>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bgColor rgb="FFFFFF99"/>
        </patternFill>
      </fill>
    </dxf>
    <dxf>
      <fill>
        <patternFill>
          <bgColor rgb="FF92D050"/>
        </patternFill>
      </fill>
    </dxf>
    <dxf>
      <font>
        <b/>
        <i val="0"/>
        <color theme="1"/>
      </font>
      <fill>
        <patternFill>
          <bgColor rgb="FFFF0000"/>
        </patternFill>
      </fill>
    </dxf>
    <dxf>
      <font>
        <color theme="1"/>
      </font>
      <fill>
        <patternFill>
          <bgColor rgb="FFFF9393"/>
        </patternFill>
      </fill>
    </dxf>
    <dxf>
      <fill>
        <patternFill>
          <bgColor rgb="FFFF0000"/>
        </patternFill>
      </fill>
    </dxf>
    <dxf>
      <fill>
        <patternFill>
          <bgColor rgb="FFFF9393"/>
        </patternFill>
      </fill>
    </dxf>
    <dxf>
      <fill>
        <patternFill>
          <bgColor rgb="FF92D050"/>
        </patternFill>
      </fill>
    </dxf>
    <dxf>
      <font>
        <color theme="1"/>
      </font>
      <fill>
        <patternFill>
          <bgColor rgb="FFFF0000"/>
        </patternFill>
      </fill>
    </dxf>
    <dxf>
      <fill>
        <patternFill>
          <bgColor rgb="FFFFFF99"/>
        </patternFill>
      </fill>
    </dxf>
    <dxf>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FF00"/>
      </font>
      <fill>
        <patternFill>
          <bgColor rgb="FFFF0000"/>
        </patternFill>
      </fill>
      <border>
        <left style="thin">
          <color auto="1"/>
        </left>
        <right style="thin">
          <color auto="1"/>
        </right>
        <top style="thin">
          <color auto="1"/>
        </top>
        <bottom style="thin">
          <color auto="1"/>
        </bottom>
      </border>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FF00"/>
        </patternFill>
      </fill>
    </dxf>
    <dxf>
      <fill>
        <patternFill>
          <bgColor rgb="FFFFFF0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FF00"/>
      </font>
      <fill>
        <patternFill>
          <bgColor rgb="FFFF0000"/>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92D050"/>
        </patternFill>
      </fill>
    </dxf>
    <dxf>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theme="1"/>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ont>
        <color theme="0"/>
      </font>
      <fill>
        <patternFill patternType="none">
          <bgColor auto="1"/>
        </patternFill>
      </fill>
    </dxf>
    <dxf>
      <font>
        <color theme="0"/>
      </font>
      <fill>
        <patternFill patternType="none">
          <bgColor auto="1"/>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fill>
        <patternFill>
          <bgColor rgb="FFFFFF00"/>
        </patternFill>
      </fill>
    </dxf>
    <dxf>
      <fill>
        <patternFill>
          <bgColor rgb="FFFFFF99"/>
        </patternFill>
      </fill>
    </dxf>
    <dxf>
      <fill>
        <patternFill>
          <bgColor rgb="FFFFFF99"/>
        </patternFill>
      </fill>
    </dxf>
    <dxf>
      <font>
        <color auto="1"/>
      </font>
      <fill>
        <patternFill>
          <bgColor rgb="FF92D050"/>
        </patternFill>
      </fill>
    </dxf>
    <dxf>
      <fill>
        <patternFill>
          <bgColor rgb="FF92D050"/>
        </patternFill>
      </fill>
    </dxf>
    <dxf>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ont>
        <color theme="1"/>
      </font>
      <fill>
        <patternFill>
          <bgColor rgb="FFFF0000"/>
        </patternFill>
      </fill>
    </dxf>
    <dxf>
      <fill>
        <patternFill patternType="darkGrid">
          <bgColor theme="0"/>
        </patternFill>
      </fill>
    </dxf>
    <dxf>
      <font>
        <color theme="1"/>
      </font>
    </dxf>
    <dxf>
      <fill>
        <patternFill>
          <bgColor rgb="FF92D050"/>
        </patternFill>
      </fill>
    </dxf>
    <dxf>
      <fill>
        <patternFill patternType="darkGrid"/>
      </fill>
    </dxf>
    <dxf>
      <fill>
        <patternFill>
          <bgColor rgb="FFFFFF99"/>
        </patternFill>
      </fill>
    </dxf>
    <dxf>
      <fill>
        <patternFill patternType="darkGrid"/>
      </fill>
    </dxf>
    <dxf>
      <fill>
        <patternFill>
          <bgColor rgb="FFFFFF99"/>
        </patternFill>
      </fill>
    </dxf>
    <dxf>
      <font>
        <b/>
        <i val="0"/>
        <color theme="1"/>
      </font>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theme="1"/>
      </font>
      <fill>
        <patternFill>
          <bgColor rgb="FFFF0000"/>
        </patternFill>
      </fill>
    </dxf>
    <dxf>
      <font>
        <color auto="1"/>
      </font>
      <fill>
        <patternFill>
          <bgColor rgb="FF92D050"/>
        </patternFill>
      </fill>
    </dxf>
    <dxf>
      <font>
        <color theme="1"/>
      </font>
      <fill>
        <patternFill patternType="lightGray">
          <bgColor auto="1"/>
        </patternFill>
      </fill>
    </dxf>
    <dxf>
      <font>
        <color theme="1"/>
      </font>
      <fill>
        <patternFill patternType="lightGray">
          <bgColor auto="1"/>
        </patternFill>
      </fill>
    </dxf>
    <dxf>
      <font>
        <color theme="1"/>
      </font>
      <fill>
        <patternFill patternType="lightGray">
          <bgColor auto="1"/>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ill>
        <patternFill>
          <bgColor rgb="FF92D050"/>
        </patternFill>
      </fill>
    </dxf>
    <dxf>
      <font>
        <color rgb="FFFF0000"/>
      </font>
      <fill>
        <patternFill>
          <bgColor rgb="FFFFFF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bgColor rgb="FF92D050"/>
        </patternFill>
      </fill>
    </dxf>
    <dxf>
      <fill>
        <patternFill patternType="darkGrid">
          <fgColor indexed="64"/>
        </patternFill>
      </fill>
    </dxf>
    <dxf>
      <fill>
        <patternFill>
          <bgColor rgb="FFFFFF99"/>
        </patternFill>
      </fill>
    </dxf>
    <dxf>
      <fill>
        <patternFill>
          <bgColor rgb="FFFF0000"/>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FF99"/>
        </patternFill>
      </fill>
    </dxf>
    <dxf>
      <fill>
        <patternFill patternType="darkGrid">
          <fgColor indexed="64"/>
        </patternFill>
      </fill>
    </dxf>
    <dxf>
      <font>
        <color auto="1"/>
      </font>
      <fill>
        <patternFill>
          <bgColor rgb="FF92D050"/>
        </patternFill>
      </fill>
    </dxf>
    <dxf>
      <font>
        <color auto="1"/>
      </font>
      <fill>
        <patternFill>
          <bgColor rgb="FFFF0000"/>
        </patternFill>
      </fill>
    </dxf>
    <dxf>
      <font>
        <color auto="1"/>
      </font>
      <fill>
        <patternFill>
          <bgColor rgb="FFFFFF99"/>
        </patternFill>
      </fill>
    </dxf>
    <dxf>
      <font>
        <color auto="1"/>
      </font>
      <fill>
        <patternFill>
          <bgColor rgb="FF92D050"/>
        </patternFill>
      </fill>
    </dxf>
    <dxf>
      <fill>
        <patternFill patternType="darkGrid">
          <fgColor indexed="64"/>
        </patternFill>
      </fill>
    </dxf>
    <dxf>
      <font>
        <color auto="1"/>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FF99"/>
        </patternFill>
      </fill>
    </dxf>
    <dxf>
      <font>
        <color auto="1"/>
      </font>
      <fill>
        <patternFill>
          <bgColor rgb="FF92D050"/>
        </patternFill>
      </fill>
    </dxf>
    <dxf>
      <fill>
        <patternFill patternType="darkGrid">
          <fgColor indexed="64"/>
        </patternFill>
      </fill>
    </dxf>
    <dxf>
      <font>
        <color auto="1"/>
      </font>
      <fill>
        <patternFill>
          <bgColor rgb="FFFF000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ill>
        <patternFill>
          <bgColor rgb="FF92D050"/>
        </patternFill>
      </fill>
    </dxf>
    <dxf>
      <fill>
        <patternFill>
          <bgColor rgb="FFFF000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FFFF99"/>
        </patternFill>
      </fill>
    </dxf>
    <dxf>
      <font>
        <color theme="1"/>
      </font>
      <fill>
        <patternFill>
          <bgColor rgb="FFFF0000"/>
        </patternFill>
      </fill>
    </dxf>
    <dxf>
      <fill>
        <patternFill>
          <bgColor rgb="FFCC6600"/>
        </patternFill>
      </fill>
    </dxf>
    <dxf>
      <fill>
        <patternFill>
          <bgColor rgb="FFEAEAEA"/>
        </patternFill>
      </fill>
    </dxf>
    <dxf>
      <fill>
        <patternFill>
          <bgColor rgb="FFFFD700"/>
        </patternFill>
      </fill>
    </dxf>
    <dxf>
      <fill>
        <patternFill>
          <bgColor rgb="FF00B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FF99"/>
        </patternFill>
      </fill>
    </dxf>
    <dxf>
      <fill>
        <patternFill>
          <bgColor rgb="FFFF0000"/>
        </patternFill>
      </fill>
    </dxf>
    <dxf>
      <fill>
        <patternFill patternType="darkGrid">
          <fgColor indexed="64"/>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auto="1"/>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92D05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0000"/>
        </patternFill>
      </fill>
    </dxf>
    <dxf>
      <fill>
        <patternFill>
          <bgColor rgb="FF92D050"/>
        </patternFill>
      </fill>
    </dxf>
    <dxf>
      <fill>
        <patternFill patternType="darkGrid">
          <fgColor indexed="64"/>
        </patternFill>
      </fill>
    </dxf>
    <dxf>
      <fill>
        <patternFill>
          <bgColor rgb="FFFFFF99"/>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auto="1"/>
      </font>
      <fill>
        <patternFill>
          <bgColor rgb="FFFF0000"/>
        </patternFill>
      </fill>
    </dxf>
    <dxf>
      <font>
        <color auto="1"/>
      </font>
      <fill>
        <patternFill>
          <bgColor rgb="FF92D050"/>
        </patternFill>
      </fill>
    </dxf>
    <dxf>
      <font>
        <color rgb="FFFFFF99"/>
      </font>
      <fill>
        <patternFill>
          <bgColor rgb="FFFFFF99"/>
        </patternFill>
      </fill>
    </dxf>
    <dxf>
      <fill>
        <patternFill patternType="darkGrid">
          <fgColor indexed="64"/>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92D050"/>
        </patternFill>
      </fill>
    </dxf>
    <dxf>
      <font>
        <color rgb="FFFFFF99"/>
      </font>
      <fill>
        <patternFill>
          <bgColor rgb="FFFFFF99"/>
        </patternFill>
      </fill>
    </dxf>
    <dxf>
      <fill>
        <patternFill patternType="darkGrid">
          <fgColor indexed="64"/>
        </patternFill>
      </fill>
    </dxf>
    <dxf>
      <font>
        <color auto="1"/>
      </font>
      <fill>
        <patternFill>
          <bgColor rgb="FFFF0000"/>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auto="1"/>
      </font>
      <fill>
        <patternFill>
          <bgColor rgb="FFFF0000"/>
        </patternFill>
      </fill>
    </dxf>
    <dxf>
      <font>
        <color auto="1"/>
      </font>
      <fill>
        <patternFill>
          <bgColor rgb="FF92D050"/>
        </patternFill>
      </fill>
    </dxf>
    <dxf>
      <font>
        <color rgb="FFFFFF99"/>
      </font>
      <fill>
        <patternFill>
          <bgColor rgb="FFFFFF99"/>
        </patternFill>
      </fill>
    </dxf>
    <dxf>
      <fill>
        <patternFill patternType="darkGrid">
          <fgColor indexed="64"/>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patternType="darkGrid">
          <fgColor indexed="64"/>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patternType="darkGrid">
          <fgColor indexed="64"/>
        </patternFill>
      </fill>
    </dxf>
    <dxf>
      <fill>
        <patternFill>
          <bgColor rgb="FFFF0000"/>
        </patternFill>
      </fill>
    </dxf>
    <dxf>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FF00"/>
        </patternFill>
      </fill>
    </dxf>
    <dxf>
      <font>
        <color rgb="FFFF0000"/>
      </font>
      <fill>
        <patternFill>
          <bgColor rgb="FFFFFF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FF99"/>
        </patternFill>
      </fill>
    </dxf>
    <dxf>
      <fill>
        <patternFill>
          <bgColor rgb="FFFFFF99"/>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0000"/>
        </patternFill>
      </fill>
    </dxf>
    <dxf>
      <fill>
        <patternFill patternType="darkGrid">
          <fgColor indexed="64"/>
        </patternFill>
      </fill>
    </dxf>
    <dxf>
      <fill>
        <patternFill>
          <bgColor rgb="FFFFFF99"/>
        </patternFill>
      </fill>
    </dxf>
    <dxf>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0000"/>
        </patternFill>
      </fill>
    </dxf>
    <dxf>
      <fill>
        <patternFill patternType="darkTrellis">
          <fgColor indexed="64"/>
        </patternFill>
      </fill>
    </dxf>
    <dxf>
      <fill>
        <patternFill>
          <bgColor rgb="FF92D050"/>
        </patternFill>
      </fill>
    </dxf>
    <dxf>
      <fill>
        <patternFill>
          <bgColor rgb="FFFFFF99"/>
        </patternFill>
      </fill>
    </dxf>
    <dxf>
      <fill>
        <patternFill patternType="darkGrid">
          <fgColor indexed="64"/>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ont>
        <color rgb="FFFF0000"/>
      </font>
      <fill>
        <patternFill>
          <bgColor rgb="FFFF0000"/>
        </patternFill>
      </fill>
    </dxf>
    <dxf>
      <fill>
        <patternFill patternType="darkGrid">
          <fgColor indexed="64"/>
        </patternFill>
      </fill>
    </dxf>
    <dxf>
      <font>
        <color rgb="FFFF0000"/>
      </font>
      <fill>
        <patternFill>
          <bgColor rgb="FFFF0000"/>
        </patternFill>
      </fill>
    </dxf>
    <dxf>
      <font>
        <color rgb="FF92D050"/>
      </font>
      <fill>
        <patternFill>
          <bgColor rgb="FF92D050"/>
        </patternFill>
      </fill>
    </dxf>
    <dxf>
      <fill>
        <patternFill patternType="darkGrid">
          <fgColor indexed="64"/>
        </patternFill>
      </fill>
    </dxf>
    <dxf>
      <font>
        <color rgb="FFFFFF99"/>
      </font>
      <fill>
        <patternFill>
          <bgColor rgb="FFFFFF99"/>
        </patternFill>
      </fill>
    </dxf>
    <dxf>
      <fill>
        <patternFill>
          <bgColor rgb="FFEAEAEA"/>
        </patternFill>
      </fill>
    </dxf>
    <dxf>
      <fill>
        <patternFill>
          <bgColor rgb="FFCC6600"/>
        </patternFill>
      </fill>
    </dxf>
    <dxf>
      <fill>
        <patternFill>
          <bgColor rgb="FF00B050"/>
        </patternFill>
      </fill>
    </dxf>
    <dxf>
      <fill>
        <patternFill>
          <bgColor rgb="FFFFD700"/>
        </patternFill>
      </fill>
    </dxf>
    <dxf>
      <fill>
        <patternFill>
          <bgColor rgb="FF92D050"/>
        </patternFill>
      </fill>
    </dxf>
    <dxf>
      <font>
        <color rgb="FF92D050"/>
      </font>
      <fill>
        <patternFill>
          <bgColor rgb="FF92D050"/>
        </patternFill>
      </fill>
    </dxf>
    <dxf>
      <fill>
        <patternFill patternType="lightGray"/>
      </fill>
    </dxf>
    <dxf>
      <fill>
        <patternFill patternType="lightGray"/>
      </fill>
    </dxf>
    <dxf>
      <font>
        <color theme="1"/>
      </font>
    </dxf>
    <dxf>
      <font>
        <color theme="1"/>
      </font>
    </dxf>
    <dxf>
      <font>
        <color auto="1"/>
      </font>
      <fill>
        <patternFill>
          <bgColor rgb="FFFFFF99"/>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FFF99"/>
      <color rgb="FF37CBFF"/>
      <color rgb="FF8FE2FF"/>
      <color rgb="FFCC6600"/>
      <color rgb="FFCCFF66"/>
      <color rgb="FFFFD70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fmlaLink="$G$8" lockText="1" noThreeD="1"/>
</file>

<file path=xl/ctrlProps/ctrlProp10.xml><?xml version="1.0" encoding="utf-8"?>
<formControlPr xmlns="http://schemas.microsoft.com/office/spreadsheetml/2009/9/main" objectType="CheckBox" fmlaLink="$W$37" lockText="1" noThreeD="1"/>
</file>

<file path=xl/ctrlProps/ctrlProp100.xml><?xml version="1.0" encoding="utf-8"?>
<formControlPr xmlns="http://schemas.microsoft.com/office/spreadsheetml/2009/9/main" objectType="CheckBox" checked="Checked" fmlaLink="$W$148" lockText="1" noThreeD="1"/>
</file>

<file path=xl/ctrlProps/ctrlProp101.xml><?xml version="1.0" encoding="utf-8"?>
<formControlPr xmlns="http://schemas.microsoft.com/office/spreadsheetml/2009/9/main" objectType="CheckBox" fmlaLink="$W$153" lockText="1" noThreeD="1"/>
</file>

<file path=xl/ctrlProps/ctrlProp102.xml><?xml version="1.0" encoding="utf-8"?>
<formControlPr xmlns="http://schemas.microsoft.com/office/spreadsheetml/2009/9/main" objectType="CheckBox" fmlaLink="$W$155" lockText="1" noThreeD="1"/>
</file>

<file path=xl/ctrlProps/ctrlProp103.xml><?xml version="1.0" encoding="utf-8"?>
<formControlPr xmlns="http://schemas.microsoft.com/office/spreadsheetml/2009/9/main" objectType="CheckBox" fmlaLink="$W$157" lockText="1" noThreeD="1"/>
</file>

<file path=xl/ctrlProps/ctrlProp104.xml><?xml version="1.0" encoding="utf-8"?>
<formControlPr xmlns="http://schemas.microsoft.com/office/spreadsheetml/2009/9/main" objectType="CheckBox" checked="Checked" fmlaLink="$W$169" lockText="1" noThreeD="1"/>
</file>

<file path=xl/ctrlProps/ctrlProp105.xml><?xml version="1.0" encoding="utf-8"?>
<formControlPr xmlns="http://schemas.microsoft.com/office/spreadsheetml/2009/9/main" objectType="CheckBox" checked="Checked" fmlaLink="$W$179" lockText="1" noThreeD="1"/>
</file>

<file path=xl/ctrlProps/ctrlProp106.xml><?xml version="1.0" encoding="utf-8"?>
<formControlPr xmlns="http://schemas.microsoft.com/office/spreadsheetml/2009/9/main" objectType="CheckBox" fmlaLink="$W$182" lockText="1" noThreeD="1"/>
</file>

<file path=xl/ctrlProps/ctrlProp107.xml><?xml version="1.0" encoding="utf-8"?>
<formControlPr xmlns="http://schemas.microsoft.com/office/spreadsheetml/2009/9/main" objectType="CheckBox" fmlaLink="$W$183" lockText="1" noThreeD="1"/>
</file>

<file path=xl/ctrlProps/ctrlProp108.xml><?xml version="1.0" encoding="utf-8"?>
<formControlPr xmlns="http://schemas.microsoft.com/office/spreadsheetml/2009/9/main" objectType="CheckBox" fmlaLink="$W$193" lockText="1" noThreeD="1"/>
</file>

<file path=xl/ctrlProps/ctrlProp109.xml><?xml version="1.0" encoding="utf-8"?>
<formControlPr xmlns="http://schemas.microsoft.com/office/spreadsheetml/2009/9/main" objectType="CheckBox" fmlaLink="$W$195" lockText="1" noThreeD="1"/>
</file>

<file path=xl/ctrlProps/ctrlProp11.xml><?xml version="1.0" encoding="utf-8"?>
<formControlPr xmlns="http://schemas.microsoft.com/office/spreadsheetml/2009/9/main" objectType="CheckBox" checked="Checked" fmlaLink="$W$46" lockText="1" noThreeD="1"/>
</file>

<file path=xl/ctrlProps/ctrlProp110.xml><?xml version="1.0" encoding="utf-8"?>
<formControlPr xmlns="http://schemas.microsoft.com/office/spreadsheetml/2009/9/main" objectType="CheckBox" fmlaLink="$W$211" lockText="1" noThreeD="1"/>
</file>

<file path=xl/ctrlProps/ctrlProp111.xml><?xml version="1.0" encoding="utf-8"?>
<formControlPr xmlns="http://schemas.microsoft.com/office/spreadsheetml/2009/9/main" objectType="CheckBox" fmlaLink="$W$222" lockText="1" noThreeD="1"/>
</file>

<file path=xl/ctrlProps/ctrlProp112.xml><?xml version="1.0" encoding="utf-8"?>
<formControlPr xmlns="http://schemas.microsoft.com/office/spreadsheetml/2009/9/main" objectType="CheckBox" fmlaLink="$W$223" lockText="1" noThreeD="1"/>
</file>

<file path=xl/ctrlProps/ctrlProp113.xml><?xml version="1.0" encoding="utf-8"?>
<formControlPr xmlns="http://schemas.microsoft.com/office/spreadsheetml/2009/9/main" objectType="CheckBox" fmlaLink="$W$228" lockText="1" noThreeD="1"/>
</file>

<file path=xl/ctrlProps/ctrlProp114.xml><?xml version="1.0" encoding="utf-8"?>
<formControlPr xmlns="http://schemas.microsoft.com/office/spreadsheetml/2009/9/main" objectType="CheckBox" fmlaLink="$W$230" lockText="1" noThreeD="1"/>
</file>

<file path=xl/ctrlProps/ctrlProp115.xml><?xml version="1.0" encoding="utf-8"?>
<formControlPr xmlns="http://schemas.microsoft.com/office/spreadsheetml/2009/9/main" objectType="CheckBox" fmlaLink="$W$231" lockText="1" noThreeD="1"/>
</file>

<file path=xl/ctrlProps/ctrlProp116.xml><?xml version="1.0" encoding="utf-8"?>
<formControlPr xmlns="http://schemas.microsoft.com/office/spreadsheetml/2009/9/main" objectType="CheckBox" checked="Checked" fmlaLink="$W$234" lockText="1" noThreeD="1"/>
</file>

<file path=xl/ctrlProps/ctrlProp117.xml><?xml version="1.0" encoding="utf-8"?>
<formControlPr xmlns="http://schemas.microsoft.com/office/spreadsheetml/2009/9/main" objectType="CheckBox" checked="Checked" fmlaLink="$W$238" lockText="1" noThreeD="1"/>
</file>

<file path=xl/ctrlProps/ctrlProp118.xml><?xml version="1.0" encoding="utf-8"?>
<formControlPr xmlns="http://schemas.microsoft.com/office/spreadsheetml/2009/9/main" objectType="CheckBox" checked="Checked" fmlaLink="$W$243" lockText="1" noThreeD="1"/>
</file>

<file path=xl/ctrlProps/ctrlProp119.xml><?xml version="1.0" encoding="utf-8"?>
<formControlPr xmlns="http://schemas.microsoft.com/office/spreadsheetml/2009/9/main" objectType="CheckBox" checked="Checked" fmlaLink="$W$245" lockText="1" noThreeD="1"/>
</file>

<file path=xl/ctrlProps/ctrlProp12.xml><?xml version="1.0" encoding="utf-8"?>
<formControlPr xmlns="http://schemas.microsoft.com/office/spreadsheetml/2009/9/main" objectType="CheckBox" fmlaLink="$W$57" lockText="1" noThreeD="1"/>
</file>

<file path=xl/ctrlProps/ctrlProp120.xml><?xml version="1.0" encoding="utf-8"?>
<formControlPr xmlns="http://schemas.microsoft.com/office/spreadsheetml/2009/9/main" objectType="CheckBox" fmlaLink="$W$262" lockText="1" noThreeD="1"/>
</file>

<file path=xl/ctrlProps/ctrlProp121.xml><?xml version="1.0" encoding="utf-8"?>
<formControlPr xmlns="http://schemas.microsoft.com/office/spreadsheetml/2009/9/main" objectType="CheckBox" fmlaLink="$W$278" lockText="1" noThreeD="1"/>
</file>

<file path=xl/ctrlProps/ctrlProp122.xml><?xml version="1.0" encoding="utf-8"?>
<formControlPr xmlns="http://schemas.microsoft.com/office/spreadsheetml/2009/9/main" objectType="CheckBox" fmlaLink="$W$291" lockText="1" noThreeD="1"/>
</file>

<file path=xl/ctrlProps/ctrlProp123.xml><?xml version="1.0" encoding="utf-8"?>
<formControlPr xmlns="http://schemas.microsoft.com/office/spreadsheetml/2009/9/main" objectType="CheckBox" fmlaLink="$W$293" lockText="1" noThreeD="1"/>
</file>

<file path=xl/ctrlProps/ctrlProp124.xml><?xml version="1.0" encoding="utf-8"?>
<formControlPr xmlns="http://schemas.microsoft.com/office/spreadsheetml/2009/9/main" objectType="CheckBox" checked="Checked" fmlaLink="$W$306" lockText="1" noThreeD="1"/>
</file>

<file path=xl/ctrlProps/ctrlProp125.xml><?xml version="1.0" encoding="utf-8"?>
<formControlPr xmlns="http://schemas.microsoft.com/office/spreadsheetml/2009/9/main" objectType="CheckBox" checked="Checked" fmlaLink="$W$307" lockText="1" noThreeD="1"/>
</file>

<file path=xl/ctrlProps/ctrlProp126.xml><?xml version="1.0" encoding="utf-8"?>
<formControlPr xmlns="http://schemas.microsoft.com/office/spreadsheetml/2009/9/main" objectType="CheckBox" checked="Checked" fmlaLink="$W$308" lockText="1" noThreeD="1"/>
</file>

<file path=xl/ctrlProps/ctrlProp127.xml><?xml version="1.0" encoding="utf-8"?>
<formControlPr xmlns="http://schemas.microsoft.com/office/spreadsheetml/2009/9/main" objectType="CheckBox" fmlaLink="$W$309" lockText="1" noThreeD="1"/>
</file>

<file path=xl/ctrlProps/ctrlProp128.xml><?xml version="1.0" encoding="utf-8"?>
<formControlPr xmlns="http://schemas.microsoft.com/office/spreadsheetml/2009/9/main" objectType="CheckBox" fmlaLink="$W$310" lockText="1" noThreeD="1"/>
</file>

<file path=xl/ctrlProps/ctrlProp129.xml><?xml version="1.0" encoding="utf-8"?>
<formControlPr xmlns="http://schemas.microsoft.com/office/spreadsheetml/2009/9/main" objectType="CheckBox" fmlaLink="$W$311" lockText="1" noThreeD="1"/>
</file>

<file path=xl/ctrlProps/ctrlProp13.xml><?xml version="1.0" encoding="utf-8"?>
<formControlPr xmlns="http://schemas.microsoft.com/office/spreadsheetml/2009/9/main" objectType="CheckBox" fmlaLink="$W$58" lockText="1" noThreeD="1"/>
</file>

<file path=xl/ctrlProps/ctrlProp130.xml><?xml version="1.0" encoding="utf-8"?>
<formControlPr xmlns="http://schemas.microsoft.com/office/spreadsheetml/2009/9/main" objectType="CheckBox" fmlaLink="$W$312" lockText="1" noThreeD="1"/>
</file>

<file path=xl/ctrlProps/ctrlProp131.xml><?xml version="1.0" encoding="utf-8"?>
<formControlPr xmlns="http://schemas.microsoft.com/office/spreadsheetml/2009/9/main" objectType="CheckBox" fmlaLink="$W$313" lockText="1" noThreeD="1"/>
</file>

<file path=xl/ctrlProps/ctrlProp132.xml><?xml version="1.0" encoding="utf-8"?>
<formControlPr xmlns="http://schemas.microsoft.com/office/spreadsheetml/2009/9/main" objectType="CheckBox" fmlaLink="$W$314" lockText="1" noThreeD="1"/>
</file>

<file path=xl/ctrlProps/ctrlProp133.xml><?xml version="1.0" encoding="utf-8"?>
<formControlPr xmlns="http://schemas.microsoft.com/office/spreadsheetml/2009/9/main" objectType="CheckBox" checked="Checked" fmlaLink="$W$361" lockText="1" noThreeD="1"/>
</file>

<file path=xl/ctrlProps/ctrlProp134.xml><?xml version="1.0" encoding="utf-8"?>
<formControlPr xmlns="http://schemas.microsoft.com/office/spreadsheetml/2009/9/main" objectType="CheckBox" fmlaLink="$W$363" lockText="1" noThreeD="1"/>
</file>

<file path=xl/ctrlProps/ctrlProp135.xml><?xml version="1.0" encoding="utf-8"?>
<formControlPr xmlns="http://schemas.microsoft.com/office/spreadsheetml/2009/9/main" objectType="CheckBox" fmlaLink="$W$364" lockText="1" noThreeD="1"/>
</file>

<file path=xl/ctrlProps/ctrlProp136.xml><?xml version="1.0" encoding="utf-8"?>
<formControlPr xmlns="http://schemas.microsoft.com/office/spreadsheetml/2009/9/main" objectType="CheckBox" fmlaLink="$W$392" lockText="1" noThreeD="1"/>
</file>

<file path=xl/ctrlProps/ctrlProp137.xml><?xml version="1.0" encoding="utf-8"?>
<formControlPr xmlns="http://schemas.microsoft.com/office/spreadsheetml/2009/9/main" objectType="CheckBox" fmlaLink="$W$401" lockText="1" noThreeD="1"/>
</file>

<file path=xl/ctrlProps/ctrlProp138.xml><?xml version="1.0" encoding="utf-8"?>
<formControlPr xmlns="http://schemas.microsoft.com/office/spreadsheetml/2009/9/main" objectType="CheckBox" fmlaLink="$W$408" lockText="1" noThreeD="1"/>
</file>

<file path=xl/ctrlProps/ctrlProp139.xml><?xml version="1.0" encoding="utf-8"?>
<formControlPr xmlns="http://schemas.microsoft.com/office/spreadsheetml/2009/9/main" objectType="CheckBox" fmlaLink="$W$464" lockText="1" noThreeD="1"/>
</file>

<file path=xl/ctrlProps/ctrlProp14.xml><?xml version="1.0" encoding="utf-8"?>
<formControlPr xmlns="http://schemas.microsoft.com/office/spreadsheetml/2009/9/main" objectType="CheckBox" fmlaLink="$W$60" lockText="1" noThreeD="1"/>
</file>

<file path=xl/ctrlProps/ctrlProp140.xml><?xml version="1.0" encoding="utf-8"?>
<formControlPr xmlns="http://schemas.microsoft.com/office/spreadsheetml/2009/9/main" objectType="CheckBox" fmlaLink="$W$465" lockText="1" noThreeD="1"/>
</file>

<file path=xl/ctrlProps/ctrlProp141.xml><?xml version="1.0" encoding="utf-8"?>
<formControlPr xmlns="http://schemas.microsoft.com/office/spreadsheetml/2009/9/main" objectType="CheckBox" fmlaLink="$W$466" lockText="1" noThreeD="1"/>
</file>

<file path=xl/ctrlProps/ctrlProp142.xml><?xml version="1.0" encoding="utf-8"?>
<formControlPr xmlns="http://schemas.microsoft.com/office/spreadsheetml/2009/9/main" objectType="CheckBox" fmlaLink="$W$467" lockText="1" noThreeD="1"/>
</file>

<file path=xl/ctrlProps/ctrlProp143.xml><?xml version="1.0" encoding="utf-8"?>
<formControlPr xmlns="http://schemas.microsoft.com/office/spreadsheetml/2009/9/main" objectType="CheckBox" fmlaLink="$W$468" lockText="1" noThreeD="1"/>
</file>

<file path=xl/ctrlProps/ctrlProp144.xml><?xml version="1.0" encoding="utf-8"?>
<formControlPr xmlns="http://schemas.microsoft.com/office/spreadsheetml/2009/9/main" objectType="CheckBox" fmlaLink="$W$469" lockText="1" noThreeD="1"/>
</file>

<file path=xl/ctrlProps/ctrlProp145.xml><?xml version="1.0" encoding="utf-8"?>
<formControlPr xmlns="http://schemas.microsoft.com/office/spreadsheetml/2009/9/main" objectType="CheckBox" fmlaLink="$W$470" lockText="1" noThreeD="1"/>
</file>

<file path=xl/ctrlProps/ctrlProp146.xml><?xml version="1.0" encoding="utf-8"?>
<formControlPr xmlns="http://schemas.microsoft.com/office/spreadsheetml/2009/9/main" objectType="CheckBox" fmlaLink="$W$474" lockText="1" noThreeD="1"/>
</file>

<file path=xl/ctrlProps/ctrlProp147.xml><?xml version="1.0" encoding="utf-8"?>
<formControlPr xmlns="http://schemas.microsoft.com/office/spreadsheetml/2009/9/main" objectType="CheckBox" fmlaLink="$W$479" lockText="1" noThreeD="1"/>
</file>

<file path=xl/ctrlProps/ctrlProp148.xml><?xml version="1.0" encoding="utf-8"?>
<formControlPr xmlns="http://schemas.microsoft.com/office/spreadsheetml/2009/9/main" objectType="CheckBox" fmlaLink="$W$483" lockText="1" noThreeD="1"/>
</file>

<file path=xl/ctrlProps/ctrlProp149.xml><?xml version="1.0" encoding="utf-8"?>
<formControlPr xmlns="http://schemas.microsoft.com/office/spreadsheetml/2009/9/main" objectType="CheckBox" fmlaLink="$W$485" lockText="1" noThreeD="1"/>
</file>

<file path=xl/ctrlProps/ctrlProp15.xml><?xml version="1.0" encoding="utf-8"?>
<formControlPr xmlns="http://schemas.microsoft.com/office/spreadsheetml/2009/9/main" objectType="CheckBox" checked="Checked" fmlaLink="$W$62" lockText="1" noThreeD="1"/>
</file>

<file path=xl/ctrlProps/ctrlProp150.xml><?xml version="1.0" encoding="utf-8"?>
<formControlPr xmlns="http://schemas.microsoft.com/office/spreadsheetml/2009/9/main" objectType="CheckBox" fmlaLink="$W$487" lockText="1" noThreeD="1"/>
</file>

<file path=xl/ctrlProps/ctrlProp151.xml><?xml version="1.0" encoding="utf-8"?>
<formControlPr xmlns="http://schemas.microsoft.com/office/spreadsheetml/2009/9/main" objectType="CheckBox" fmlaLink="$W$488" lockText="1" noThreeD="1"/>
</file>

<file path=xl/ctrlProps/ctrlProp152.xml><?xml version="1.0" encoding="utf-8"?>
<formControlPr xmlns="http://schemas.microsoft.com/office/spreadsheetml/2009/9/main" objectType="CheckBox" fmlaLink="$W$489" lockText="1" noThreeD="1"/>
</file>

<file path=xl/ctrlProps/ctrlProp153.xml><?xml version="1.0" encoding="utf-8"?>
<formControlPr xmlns="http://schemas.microsoft.com/office/spreadsheetml/2009/9/main" objectType="CheckBox" fmlaLink="$W$493" lockText="1" noThreeD="1"/>
</file>

<file path=xl/ctrlProps/ctrlProp154.xml><?xml version="1.0" encoding="utf-8"?>
<formControlPr xmlns="http://schemas.microsoft.com/office/spreadsheetml/2009/9/main" objectType="CheckBox" checked="Checked" fmlaLink="$W$495" lockText="1" noThreeD="1"/>
</file>

<file path=xl/ctrlProps/ctrlProp155.xml><?xml version="1.0" encoding="utf-8"?>
<formControlPr xmlns="http://schemas.microsoft.com/office/spreadsheetml/2009/9/main" objectType="CheckBox" checked="Checked" fmlaLink="$W$35" lockText="1" noThreeD="1"/>
</file>

<file path=xl/ctrlProps/ctrlProp156.xml><?xml version="1.0" encoding="utf-8"?>
<formControlPr xmlns="http://schemas.microsoft.com/office/spreadsheetml/2009/9/main" objectType="CheckBox" checked="Checked" fmlaLink="$W$40" lockText="1" noThreeD="1"/>
</file>

<file path=xl/ctrlProps/ctrlProp157.xml><?xml version="1.0" encoding="utf-8"?>
<formControlPr xmlns="http://schemas.microsoft.com/office/spreadsheetml/2009/9/main" objectType="CheckBox" fmlaLink="$W$57" lockText="1" noThreeD="1"/>
</file>

<file path=xl/ctrlProps/ctrlProp158.xml><?xml version="1.0" encoding="utf-8"?>
<formControlPr xmlns="http://schemas.microsoft.com/office/spreadsheetml/2009/9/main" objectType="CheckBox" checked="Checked" fmlaLink="$W$59" lockText="1" noThreeD="1"/>
</file>

<file path=xl/ctrlProps/ctrlProp159.xml><?xml version="1.0" encoding="utf-8"?>
<formControlPr xmlns="http://schemas.microsoft.com/office/spreadsheetml/2009/9/main" objectType="CheckBox" checked="Checked" fmlaLink="$W$121" lockText="1" noThreeD="1"/>
</file>

<file path=xl/ctrlProps/ctrlProp16.xml><?xml version="1.0" encoding="utf-8"?>
<formControlPr xmlns="http://schemas.microsoft.com/office/spreadsheetml/2009/9/main" objectType="CheckBox" fmlaLink="$W$63" lockText="1" noThreeD="1"/>
</file>

<file path=xl/ctrlProps/ctrlProp160.xml><?xml version="1.0" encoding="utf-8"?>
<formControlPr xmlns="http://schemas.microsoft.com/office/spreadsheetml/2009/9/main" objectType="CheckBox" checked="Checked" fmlaLink="$W$135" lockText="1" noThreeD="1"/>
</file>

<file path=xl/ctrlProps/ctrlProp161.xml><?xml version="1.0" encoding="utf-8"?>
<formControlPr xmlns="http://schemas.microsoft.com/office/spreadsheetml/2009/9/main" objectType="CheckBox" fmlaLink="$W$137" lockText="1" noThreeD="1"/>
</file>

<file path=xl/ctrlProps/ctrlProp162.xml><?xml version="1.0" encoding="utf-8"?>
<formControlPr xmlns="http://schemas.microsoft.com/office/spreadsheetml/2009/9/main" objectType="CheckBox" fmlaLink="$W$143" lockText="1" noThreeD="1"/>
</file>

<file path=xl/ctrlProps/ctrlProp163.xml><?xml version="1.0" encoding="utf-8"?>
<formControlPr xmlns="http://schemas.microsoft.com/office/spreadsheetml/2009/9/main" objectType="CheckBox" checked="Checked" fmlaLink="$W$49" lockText="1" noThreeD="1"/>
</file>

<file path=xl/ctrlProps/ctrlProp164.xml><?xml version="1.0" encoding="utf-8"?>
<formControlPr xmlns="http://schemas.microsoft.com/office/spreadsheetml/2009/9/main" objectType="CheckBox" checked="Checked" fmlaLink="$W$52" lockText="1" noThreeD="1"/>
</file>

<file path=xl/ctrlProps/ctrlProp165.xml><?xml version="1.0" encoding="utf-8"?>
<formControlPr xmlns="http://schemas.microsoft.com/office/spreadsheetml/2009/9/main" objectType="CheckBox" checked="Checked" fmlaLink="$W$53" lockText="1" noThreeD="1"/>
</file>

<file path=xl/ctrlProps/ctrlProp166.xml><?xml version="1.0" encoding="utf-8"?>
<formControlPr xmlns="http://schemas.microsoft.com/office/spreadsheetml/2009/9/main" objectType="CheckBox" checked="Checked" fmlaLink="$W$91" lockText="1" noThreeD="1"/>
</file>

<file path=xl/ctrlProps/ctrlProp167.xml><?xml version="1.0" encoding="utf-8"?>
<formControlPr xmlns="http://schemas.microsoft.com/office/spreadsheetml/2009/9/main" objectType="CheckBox" checked="Checked" fmlaLink="$W$94" lockText="1" noThreeD="1"/>
</file>

<file path=xl/ctrlProps/ctrlProp168.xml><?xml version="1.0" encoding="utf-8"?>
<formControlPr xmlns="http://schemas.microsoft.com/office/spreadsheetml/2009/9/main" objectType="CheckBox" fmlaLink="$W$138" lockText="1" noThreeD="1"/>
</file>

<file path=xl/ctrlProps/ctrlProp169.xml><?xml version="1.0" encoding="utf-8"?>
<formControlPr xmlns="http://schemas.microsoft.com/office/spreadsheetml/2009/9/main" objectType="CheckBox" checked="Checked" fmlaLink="$W$160" lockText="1" noThreeD="1"/>
</file>

<file path=xl/ctrlProps/ctrlProp17.xml><?xml version="1.0" encoding="utf-8"?>
<formControlPr xmlns="http://schemas.microsoft.com/office/spreadsheetml/2009/9/main" objectType="CheckBox" fmlaLink="$W$64" lockText="1" noThreeD="1"/>
</file>

<file path=xl/ctrlProps/ctrlProp170.xml><?xml version="1.0" encoding="utf-8"?>
<formControlPr xmlns="http://schemas.microsoft.com/office/spreadsheetml/2009/9/main" objectType="CheckBox" checked="Checked" fmlaLink="$W$173" lockText="1" noThreeD="1"/>
</file>

<file path=xl/ctrlProps/ctrlProp171.xml><?xml version="1.0" encoding="utf-8"?>
<formControlPr xmlns="http://schemas.microsoft.com/office/spreadsheetml/2009/9/main" objectType="CheckBox" fmlaLink="$W$182" lockText="1" noThreeD="1"/>
</file>

<file path=xl/ctrlProps/ctrlProp172.xml><?xml version="1.0" encoding="utf-8"?>
<formControlPr xmlns="http://schemas.microsoft.com/office/spreadsheetml/2009/9/main" objectType="CheckBox" fmlaLink="$W$191" lockText="1" noThreeD="1"/>
</file>

<file path=xl/ctrlProps/ctrlProp173.xml><?xml version="1.0" encoding="utf-8"?>
<formControlPr xmlns="http://schemas.microsoft.com/office/spreadsheetml/2009/9/main" objectType="CheckBox" fmlaLink="$W$574" lockText="1" noThreeD="1"/>
</file>

<file path=xl/ctrlProps/ctrlProp174.xml><?xml version="1.0" encoding="utf-8"?>
<formControlPr xmlns="http://schemas.microsoft.com/office/spreadsheetml/2009/9/main" objectType="CheckBox" fmlaLink="$W$575" lockText="1" noThreeD="1"/>
</file>

<file path=xl/ctrlProps/ctrlProp175.xml><?xml version="1.0" encoding="utf-8"?>
<formControlPr xmlns="http://schemas.microsoft.com/office/spreadsheetml/2009/9/main" objectType="CheckBox" fmlaLink="$W$576" lockText="1" noThreeD="1"/>
</file>

<file path=xl/ctrlProps/ctrlProp176.xml><?xml version="1.0" encoding="utf-8"?>
<formControlPr xmlns="http://schemas.microsoft.com/office/spreadsheetml/2009/9/main" objectType="CheckBox" fmlaLink="$W$577" lockText="1" noThreeD="1"/>
</file>

<file path=xl/ctrlProps/ctrlProp177.xml><?xml version="1.0" encoding="utf-8"?>
<formControlPr xmlns="http://schemas.microsoft.com/office/spreadsheetml/2009/9/main" objectType="CheckBox" fmlaLink="$W$579" lockText="1" noThreeD="1"/>
</file>

<file path=xl/ctrlProps/ctrlProp178.xml><?xml version="1.0" encoding="utf-8"?>
<formControlPr xmlns="http://schemas.microsoft.com/office/spreadsheetml/2009/9/main" objectType="CheckBox" fmlaLink="$W$582" lockText="1" noThreeD="1"/>
</file>

<file path=xl/ctrlProps/ctrlProp179.xml><?xml version="1.0" encoding="utf-8"?>
<formControlPr xmlns="http://schemas.microsoft.com/office/spreadsheetml/2009/9/main" objectType="CheckBox" fmlaLink="$W$600" lockText="1" noThreeD="1"/>
</file>

<file path=xl/ctrlProps/ctrlProp18.xml><?xml version="1.0" encoding="utf-8"?>
<formControlPr xmlns="http://schemas.microsoft.com/office/spreadsheetml/2009/9/main" objectType="CheckBox" fmlaLink="$W$66" lockText="1" noThreeD="1"/>
</file>

<file path=xl/ctrlProps/ctrlProp180.xml><?xml version="1.0" encoding="utf-8"?>
<formControlPr xmlns="http://schemas.microsoft.com/office/spreadsheetml/2009/9/main" objectType="CheckBox" fmlaLink="$W$601" lockText="1" noThreeD="1"/>
</file>

<file path=xl/ctrlProps/ctrlProp181.xml><?xml version="1.0" encoding="utf-8"?>
<formControlPr xmlns="http://schemas.microsoft.com/office/spreadsheetml/2009/9/main" objectType="CheckBox" fmlaLink="$W$602" lockText="1" noThreeD="1"/>
</file>

<file path=xl/ctrlProps/ctrlProp182.xml><?xml version="1.0" encoding="utf-8"?>
<formControlPr xmlns="http://schemas.microsoft.com/office/spreadsheetml/2009/9/main" objectType="CheckBox" fmlaLink="$W$603" lockText="1" noThreeD="1"/>
</file>

<file path=xl/ctrlProps/ctrlProp183.xml><?xml version="1.0" encoding="utf-8"?>
<formControlPr xmlns="http://schemas.microsoft.com/office/spreadsheetml/2009/9/main" objectType="CheckBox" fmlaLink="$W$604" lockText="1" noThreeD="1"/>
</file>

<file path=xl/ctrlProps/ctrlProp184.xml><?xml version="1.0" encoding="utf-8"?>
<formControlPr xmlns="http://schemas.microsoft.com/office/spreadsheetml/2009/9/main" objectType="CheckBox" fmlaLink="$W$605" lockText="1" noThreeD="1"/>
</file>

<file path=xl/ctrlProps/ctrlProp185.xml><?xml version="1.0" encoding="utf-8"?>
<formControlPr xmlns="http://schemas.microsoft.com/office/spreadsheetml/2009/9/main" objectType="CheckBox" checked="Checked" fmlaLink="$W$606" lockText="1" noThreeD="1"/>
</file>

<file path=xl/ctrlProps/ctrlProp186.xml><?xml version="1.0" encoding="utf-8"?>
<formControlPr xmlns="http://schemas.microsoft.com/office/spreadsheetml/2009/9/main" objectType="CheckBox" fmlaLink="$W$607" lockText="1" noThreeD="1"/>
</file>

<file path=xl/ctrlProps/ctrlProp187.xml><?xml version="1.0" encoding="utf-8"?>
<formControlPr xmlns="http://schemas.microsoft.com/office/spreadsheetml/2009/9/main" objectType="CheckBox" fmlaLink="$W$610" lockText="1" noThreeD="1"/>
</file>

<file path=xl/ctrlProps/ctrlProp188.xml><?xml version="1.0" encoding="utf-8"?>
<formControlPr xmlns="http://schemas.microsoft.com/office/spreadsheetml/2009/9/main" objectType="CheckBox" fmlaLink="$W$612" lockText="1" noThreeD="1"/>
</file>

<file path=xl/ctrlProps/ctrlProp189.xml><?xml version="1.0" encoding="utf-8"?>
<formControlPr xmlns="http://schemas.microsoft.com/office/spreadsheetml/2009/9/main" objectType="CheckBox" fmlaLink="$W$614" lockText="1" noThreeD="1"/>
</file>

<file path=xl/ctrlProps/ctrlProp19.xml><?xml version="1.0" encoding="utf-8"?>
<formControlPr xmlns="http://schemas.microsoft.com/office/spreadsheetml/2009/9/main" objectType="CheckBox" fmlaLink="$W$70" lockText="1" noThreeD="1"/>
</file>

<file path=xl/ctrlProps/ctrlProp190.xml><?xml version="1.0" encoding="utf-8"?>
<formControlPr xmlns="http://schemas.microsoft.com/office/spreadsheetml/2009/9/main" objectType="CheckBox" fmlaLink="$W$625" lockText="1" noThreeD="1"/>
</file>

<file path=xl/ctrlProps/ctrlProp191.xml><?xml version="1.0" encoding="utf-8"?>
<formControlPr xmlns="http://schemas.microsoft.com/office/spreadsheetml/2009/9/main" objectType="CheckBox" fmlaLink="$W$633" lockText="1" noThreeD="1"/>
</file>

<file path=xl/ctrlProps/ctrlProp192.xml><?xml version="1.0" encoding="utf-8"?>
<formControlPr xmlns="http://schemas.microsoft.com/office/spreadsheetml/2009/9/main" objectType="CheckBox" fmlaLink="$W$629" lockText="1" noThreeD="1"/>
</file>

<file path=xl/ctrlProps/ctrlProp193.xml><?xml version="1.0" encoding="utf-8"?>
<formControlPr xmlns="http://schemas.microsoft.com/office/spreadsheetml/2009/9/main" objectType="CheckBox" fmlaLink="$W$630" lockText="1" noThreeD="1"/>
</file>

<file path=xl/ctrlProps/ctrlProp194.xml><?xml version="1.0" encoding="utf-8"?>
<formControlPr xmlns="http://schemas.microsoft.com/office/spreadsheetml/2009/9/main" objectType="CheckBox" fmlaLink="$W$636" lockText="1" noThreeD="1"/>
</file>

<file path=xl/ctrlProps/ctrlProp195.xml><?xml version="1.0" encoding="utf-8"?>
<formControlPr xmlns="http://schemas.microsoft.com/office/spreadsheetml/2009/9/main" objectType="CheckBox" fmlaLink="$W$474" lockText="1" noThreeD="1"/>
</file>

<file path=xl/ctrlProps/ctrlProp196.xml><?xml version="1.0" encoding="utf-8"?>
<formControlPr xmlns="http://schemas.microsoft.com/office/spreadsheetml/2009/9/main" objectType="CheckBox" fmlaLink="$W$491" lockText="1" noThreeD="1"/>
</file>

<file path=xl/ctrlProps/ctrlProp197.xml><?xml version="1.0" encoding="utf-8"?>
<formControlPr xmlns="http://schemas.microsoft.com/office/spreadsheetml/2009/9/main" objectType="CheckBox" fmlaLink="$W$494" lockText="1" noThreeD="1"/>
</file>

<file path=xl/ctrlProps/ctrlProp198.xml><?xml version="1.0" encoding="utf-8"?>
<formControlPr xmlns="http://schemas.microsoft.com/office/spreadsheetml/2009/9/main" objectType="CheckBox" fmlaLink="$W$499" lockText="1" noThreeD="1"/>
</file>

<file path=xl/ctrlProps/ctrlProp199.xml><?xml version="1.0" encoding="utf-8"?>
<formControlPr xmlns="http://schemas.microsoft.com/office/spreadsheetml/2009/9/main" objectType="CheckBox" fmlaLink="$W$500" lockText="1" noThreeD="1"/>
</file>

<file path=xl/ctrlProps/ctrlProp2.xml><?xml version="1.0" encoding="utf-8"?>
<formControlPr xmlns="http://schemas.microsoft.com/office/spreadsheetml/2009/9/main" objectType="CheckBox" fmlaLink="$W$15" lockText="1" noThreeD="1"/>
</file>

<file path=xl/ctrlProps/ctrlProp20.xml><?xml version="1.0" encoding="utf-8"?>
<formControlPr xmlns="http://schemas.microsoft.com/office/spreadsheetml/2009/9/main" objectType="CheckBox" fmlaLink="$W$71" lockText="1" noThreeD="1"/>
</file>

<file path=xl/ctrlProps/ctrlProp200.xml><?xml version="1.0" encoding="utf-8"?>
<formControlPr xmlns="http://schemas.microsoft.com/office/spreadsheetml/2009/9/main" objectType="CheckBox" checked="Checked" fmlaLink="$W$504" lockText="1" noThreeD="1"/>
</file>

<file path=xl/ctrlProps/ctrlProp201.xml><?xml version="1.0" encoding="utf-8"?>
<formControlPr xmlns="http://schemas.microsoft.com/office/spreadsheetml/2009/9/main" objectType="CheckBox" checked="Checked" fmlaLink="$W$509" lockText="1" noThreeD="1"/>
</file>

<file path=xl/ctrlProps/ctrlProp202.xml><?xml version="1.0" encoding="utf-8"?>
<formControlPr xmlns="http://schemas.microsoft.com/office/spreadsheetml/2009/9/main" objectType="CheckBox" fmlaLink="$W$534" lockText="1" noThreeD="1"/>
</file>

<file path=xl/ctrlProps/ctrlProp203.xml><?xml version="1.0" encoding="utf-8"?>
<formControlPr xmlns="http://schemas.microsoft.com/office/spreadsheetml/2009/9/main" objectType="CheckBox" fmlaLink="$W$537" lockText="1" noThreeD="1"/>
</file>

<file path=xl/ctrlProps/ctrlProp204.xml><?xml version="1.0" encoding="utf-8"?>
<formControlPr xmlns="http://schemas.microsoft.com/office/spreadsheetml/2009/9/main" objectType="CheckBox" fmlaLink="$W$551" lockText="1" noThreeD="1"/>
</file>

<file path=xl/ctrlProps/ctrlProp205.xml><?xml version="1.0" encoding="utf-8"?>
<formControlPr xmlns="http://schemas.microsoft.com/office/spreadsheetml/2009/9/main" objectType="CheckBox" fmlaLink="$W$563" lockText="1" noThreeD="1"/>
</file>

<file path=xl/ctrlProps/ctrlProp206.xml><?xml version="1.0" encoding="utf-8"?>
<formControlPr xmlns="http://schemas.microsoft.com/office/spreadsheetml/2009/9/main" objectType="CheckBox" fmlaLink="$W$565" lockText="1" noThreeD="1"/>
</file>

<file path=xl/ctrlProps/ctrlProp207.xml><?xml version="1.0" encoding="utf-8"?>
<formControlPr xmlns="http://schemas.microsoft.com/office/spreadsheetml/2009/9/main" objectType="CheckBox" fmlaLink="$W$567" lockText="1" noThreeD="1"/>
</file>

<file path=xl/ctrlProps/ctrlProp208.xml><?xml version="1.0" encoding="utf-8"?>
<formControlPr xmlns="http://schemas.microsoft.com/office/spreadsheetml/2009/9/main" objectType="CheckBox" fmlaLink="$W$376" lockText="1" noThreeD="1"/>
</file>

<file path=xl/ctrlProps/ctrlProp209.xml><?xml version="1.0" encoding="utf-8"?>
<formControlPr xmlns="http://schemas.microsoft.com/office/spreadsheetml/2009/9/main" objectType="CheckBox" fmlaLink="$W$371" lockText="1" noThreeD="1"/>
</file>

<file path=xl/ctrlProps/ctrlProp21.xml><?xml version="1.0" encoding="utf-8"?>
<formControlPr xmlns="http://schemas.microsoft.com/office/spreadsheetml/2009/9/main" objectType="CheckBox" checked="Checked" fmlaLink="$W$78" lockText="1" noThreeD="1"/>
</file>

<file path=xl/ctrlProps/ctrlProp210.xml><?xml version="1.0" encoding="utf-8"?>
<formControlPr xmlns="http://schemas.microsoft.com/office/spreadsheetml/2009/9/main" objectType="CheckBox" fmlaLink="$W$372" lockText="1" noThreeD="1"/>
</file>

<file path=xl/ctrlProps/ctrlProp211.xml><?xml version="1.0" encoding="utf-8"?>
<formControlPr xmlns="http://schemas.microsoft.com/office/spreadsheetml/2009/9/main" objectType="CheckBox" fmlaLink="$W$373" lockText="1" noThreeD="1"/>
</file>

<file path=xl/ctrlProps/ctrlProp212.xml><?xml version="1.0" encoding="utf-8"?>
<formControlPr xmlns="http://schemas.microsoft.com/office/spreadsheetml/2009/9/main" objectType="CheckBox" fmlaLink="$W$404" lockText="1" noThreeD="1"/>
</file>

<file path=xl/ctrlProps/ctrlProp213.xml><?xml version="1.0" encoding="utf-8"?>
<formControlPr xmlns="http://schemas.microsoft.com/office/spreadsheetml/2009/9/main" objectType="CheckBox" fmlaLink="$W$412" lockText="1" noThreeD="1"/>
</file>

<file path=xl/ctrlProps/ctrlProp214.xml><?xml version="1.0" encoding="utf-8"?>
<formControlPr xmlns="http://schemas.microsoft.com/office/spreadsheetml/2009/9/main" objectType="CheckBox" fmlaLink="$W$414" lockText="1" noThreeD="1"/>
</file>

<file path=xl/ctrlProps/ctrlProp215.xml><?xml version="1.0" encoding="utf-8"?>
<formControlPr xmlns="http://schemas.microsoft.com/office/spreadsheetml/2009/9/main" objectType="CheckBox" fmlaLink="$W$415" lockText="1" noThreeD="1"/>
</file>

<file path=xl/ctrlProps/ctrlProp216.xml><?xml version="1.0" encoding="utf-8"?>
<formControlPr xmlns="http://schemas.microsoft.com/office/spreadsheetml/2009/9/main" objectType="CheckBox" fmlaLink="$W$416" lockText="1" noThreeD="1"/>
</file>

<file path=xl/ctrlProps/ctrlProp217.xml><?xml version="1.0" encoding="utf-8"?>
<formControlPr xmlns="http://schemas.microsoft.com/office/spreadsheetml/2009/9/main" objectType="CheckBox" fmlaLink="$W$418" lockText="1" noThreeD="1"/>
</file>

<file path=xl/ctrlProps/ctrlProp218.xml><?xml version="1.0" encoding="utf-8"?>
<formControlPr xmlns="http://schemas.microsoft.com/office/spreadsheetml/2009/9/main" objectType="CheckBox" fmlaLink="$W$421" lockText="1" noThreeD="1"/>
</file>

<file path=xl/ctrlProps/ctrlProp219.xml><?xml version="1.0" encoding="utf-8"?>
<formControlPr xmlns="http://schemas.microsoft.com/office/spreadsheetml/2009/9/main" objectType="CheckBox" fmlaLink="$W$422" lockText="1" noThreeD="1"/>
</file>

<file path=xl/ctrlProps/ctrlProp22.xml><?xml version="1.0" encoding="utf-8"?>
<formControlPr xmlns="http://schemas.microsoft.com/office/spreadsheetml/2009/9/main" objectType="CheckBox" fmlaLink="$W$80" lockText="1" noThreeD="1"/>
</file>

<file path=xl/ctrlProps/ctrlProp220.xml><?xml version="1.0" encoding="utf-8"?>
<formControlPr xmlns="http://schemas.microsoft.com/office/spreadsheetml/2009/9/main" objectType="CheckBox" fmlaLink="$W$427" lockText="1" noThreeD="1"/>
</file>

<file path=xl/ctrlProps/ctrlProp221.xml><?xml version="1.0" encoding="utf-8"?>
<formControlPr xmlns="http://schemas.microsoft.com/office/spreadsheetml/2009/9/main" objectType="CheckBox" fmlaLink="$W$429" lockText="1" noThreeD="1"/>
</file>

<file path=xl/ctrlProps/ctrlProp222.xml><?xml version="1.0" encoding="utf-8"?>
<formControlPr xmlns="http://schemas.microsoft.com/office/spreadsheetml/2009/9/main" objectType="CheckBox" fmlaLink="$W$431" lockText="1" noThreeD="1"/>
</file>

<file path=xl/ctrlProps/ctrlProp223.xml><?xml version="1.0" encoding="utf-8"?>
<formControlPr xmlns="http://schemas.microsoft.com/office/spreadsheetml/2009/9/main" objectType="CheckBox" fmlaLink="$W$433" lockText="1" noThreeD="1"/>
</file>

<file path=xl/ctrlProps/ctrlProp224.xml><?xml version="1.0" encoding="utf-8"?>
<formControlPr xmlns="http://schemas.microsoft.com/office/spreadsheetml/2009/9/main" objectType="CheckBox" fmlaLink="$W$364" lockText="1" noThreeD="1"/>
</file>

<file path=xl/ctrlProps/ctrlProp225.xml><?xml version="1.0" encoding="utf-8"?>
<formControlPr xmlns="http://schemas.microsoft.com/office/spreadsheetml/2009/9/main" objectType="CheckBox" fmlaLink="$W$366" lockText="1" noThreeD="1"/>
</file>

<file path=xl/ctrlProps/ctrlProp226.xml><?xml version="1.0" encoding="utf-8"?>
<formControlPr xmlns="http://schemas.microsoft.com/office/spreadsheetml/2009/9/main" objectType="CheckBox" fmlaLink="$W$368" lockText="1" noThreeD="1"/>
</file>

<file path=xl/ctrlProps/ctrlProp227.xml><?xml version="1.0" encoding="utf-8"?>
<formControlPr xmlns="http://schemas.microsoft.com/office/spreadsheetml/2009/9/main" objectType="CheckBox" fmlaLink="$W$350" lockText="1" noThreeD="1"/>
</file>

<file path=xl/ctrlProps/ctrlProp228.xml><?xml version="1.0" encoding="utf-8"?>
<formControlPr xmlns="http://schemas.microsoft.com/office/spreadsheetml/2009/9/main" objectType="CheckBox" fmlaLink="$W$352" lockText="1" noThreeD="1"/>
</file>

<file path=xl/ctrlProps/ctrlProp229.xml><?xml version="1.0" encoding="utf-8"?>
<formControlPr xmlns="http://schemas.microsoft.com/office/spreadsheetml/2009/9/main" objectType="CheckBox" fmlaLink="$W$348" lockText="1" noThreeD="1"/>
</file>

<file path=xl/ctrlProps/ctrlProp23.xml><?xml version="1.0" encoding="utf-8"?>
<formControlPr xmlns="http://schemas.microsoft.com/office/spreadsheetml/2009/9/main" objectType="CheckBox" fmlaLink="$W$84" lockText="1" noThreeD="1"/>
</file>

<file path=xl/ctrlProps/ctrlProp230.xml><?xml version="1.0" encoding="utf-8"?>
<formControlPr xmlns="http://schemas.microsoft.com/office/spreadsheetml/2009/9/main" objectType="CheckBox" fmlaLink="$W$310" lockText="1" noThreeD="1"/>
</file>

<file path=xl/ctrlProps/ctrlProp231.xml><?xml version="1.0" encoding="utf-8"?>
<formControlPr xmlns="http://schemas.microsoft.com/office/spreadsheetml/2009/9/main" objectType="CheckBox" fmlaLink="$W$312" lockText="1" noThreeD="1"/>
</file>

<file path=xl/ctrlProps/ctrlProp232.xml><?xml version="1.0" encoding="utf-8"?>
<formControlPr xmlns="http://schemas.microsoft.com/office/spreadsheetml/2009/9/main" objectType="CheckBox" checked="Checked" fmlaLink="$W$315" lockText="1" noThreeD="1"/>
</file>

<file path=xl/ctrlProps/ctrlProp233.xml><?xml version="1.0" encoding="utf-8"?>
<formControlPr xmlns="http://schemas.microsoft.com/office/spreadsheetml/2009/9/main" objectType="CheckBox" checked="Checked" fmlaLink="$W$316" lockText="1" noThreeD="1"/>
</file>

<file path=xl/ctrlProps/ctrlProp234.xml><?xml version="1.0" encoding="utf-8"?>
<formControlPr xmlns="http://schemas.microsoft.com/office/spreadsheetml/2009/9/main" objectType="CheckBox" checked="Checked" fmlaLink="$W$318" lockText="1" noThreeD="1"/>
</file>

<file path=xl/ctrlProps/ctrlProp235.xml><?xml version="1.0" encoding="utf-8"?>
<formControlPr xmlns="http://schemas.microsoft.com/office/spreadsheetml/2009/9/main" objectType="CheckBox" fmlaLink="$W$304" lockText="1" noThreeD="1"/>
</file>

<file path=xl/ctrlProps/ctrlProp236.xml><?xml version="1.0" encoding="utf-8"?>
<formControlPr xmlns="http://schemas.microsoft.com/office/spreadsheetml/2009/9/main" objectType="CheckBox" fmlaLink="$W$243" lockText="1" noThreeD="1"/>
</file>

<file path=xl/ctrlProps/ctrlProp237.xml><?xml version="1.0" encoding="utf-8"?>
<formControlPr xmlns="http://schemas.microsoft.com/office/spreadsheetml/2009/9/main" objectType="CheckBox" fmlaLink="$W$284" lockText="1" noThreeD="1"/>
</file>

<file path=xl/ctrlProps/ctrlProp238.xml><?xml version="1.0" encoding="utf-8"?>
<formControlPr xmlns="http://schemas.microsoft.com/office/spreadsheetml/2009/9/main" objectType="CheckBox" fmlaLink="$W$287" lockText="1" noThreeD="1"/>
</file>

<file path=xl/ctrlProps/ctrlProp239.xml><?xml version="1.0" encoding="utf-8"?>
<formControlPr xmlns="http://schemas.microsoft.com/office/spreadsheetml/2009/9/main" objectType="CheckBox" fmlaLink="$W$297" lockText="1" noThreeD="1"/>
</file>

<file path=xl/ctrlProps/ctrlProp24.xml><?xml version="1.0" encoding="utf-8"?>
<formControlPr xmlns="http://schemas.microsoft.com/office/spreadsheetml/2009/9/main" objectType="CheckBox" fmlaLink="$W$88" lockText="1" noThreeD="1"/>
</file>

<file path=xl/ctrlProps/ctrlProp240.xml><?xml version="1.0" encoding="utf-8"?>
<formControlPr xmlns="http://schemas.microsoft.com/office/spreadsheetml/2009/9/main" objectType="CheckBox" fmlaLink="$W$553" lockText="1" noThreeD="1"/>
</file>

<file path=xl/ctrlProps/ctrlProp241.xml><?xml version="1.0" encoding="utf-8"?>
<formControlPr xmlns="http://schemas.microsoft.com/office/spreadsheetml/2009/9/main" objectType="CheckBox" fmlaLink="$W$106" lockText="1" noThreeD="1"/>
</file>

<file path=xl/ctrlProps/ctrlProp242.xml><?xml version="1.0" encoding="utf-8"?>
<formControlPr xmlns="http://schemas.microsoft.com/office/spreadsheetml/2009/9/main" objectType="CheckBox" fmlaLink="$W$107" lockText="1" noThreeD="1"/>
</file>

<file path=xl/ctrlProps/ctrlProp243.xml><?xml version="1.0" encoding="utf-8"?>
<formControlPr xmlns="http://schemas.microsoft.com/office/spreadsheetml/2009/9/main" objectType="CheckBox" fmlaLink="$W$108" lockText="1" noThreeD="1"/>
</file>

<file path=xl/ctrlProps/ctrlProp244.xml><?xml version="1.0" encoding="utf-8"?>
<formControlPr xmlns="http://schemas.microsoft.com/office/spreadsheetml/2009/9/main" objectType="CheckBox" checked="Checked" fmlaLink="$W$46" lockText="1" noThreeD="1"/>
</file>

<file path=xl/ctrlProps/ctrlProp245.xml><?xml version="1.0" encoding="utf-8"?>
<formControlPr xmlns="http://schemas.microsoft.com/office/spreadsheetml/2009/9/main" objectType="CheckBox" fmlaLink="$W$41" lockText="1" noThreeD="1"/>
</file>

<file path=xl/ctrlProps/ctrlProp246.xml><?xml version="1.0" encoding="utf-8"?>
<formControlPr xmlns="http://schemas.microsoft.com/office/spreadsheetml/2009/9/main" objectType="CheckBox" checked="Checked" fmlaLink="$W$77" lockText="1" noThreeD="1"/>
</file>

<file path=xl/ctrlProps/ctrlProp247.xml><?xml version="1.0" encoding="utf-8"?>
<formControlPr xmlns="http://schemas.microsoft.com/office/spreadsheetml/2009/9/main" objectType="CheckBox" checked="Checked" fmlaLink="$W$91" lockText="1" noThreeD="1"/>
</file>

<file path=xl/ctrlProps/ctrlProp248.xml><?xml version="1.0" encoding="utf-8"?>
<formControlPr xmlns="http://schemas.microsoft.com/office/spreadsheetml/2009/9/main" objectType="CheckBox" fmlaLink="$W$98" lockText="1" noThreeD="1"/>
</file>

<file path=xl/ctrlProps/ctrlProp249.xml><?xml version="1.0" encoding="utf-8"?>
<formControlPr xmlns="http://schemas.microsoft.com/office/spreadsheetml/2009/9/main" objectType="CheckBox" fmlaLink="$W$100" lockText="1" noThreeD="1"/>
</file>

<file path=xl/ctrlProps/ctrlProp25.xml><?xml version="1.0" encoding="utf-8"?>
<formControlPr xmlns="http://schemas.microsoft.com/office/spreadsheetml/2009/9/main" objectType="CheckBox" fmlaLink="$W$89" lockText="1" noThreeD="1"/>
</file>

<file path=xl/ctrlProps/ctrlProp250.xml><?xml version="1.0" encoding="utf-8"?>
<formControlPr xmlns="http://schemas.microsoft.com/office/spreadsheetml/2009/9/main" objectType="CheckBox" fmlaLink="$W$102" lockText="1" noThreeD="1"/>
</file>

<file path=xl/ctrlProps/ctrlProp251.xml><?xml version="1.0" encoding="utf-8"?>
<formControlPr xmlns="http://schemas.microsoft.com/office/spreadsheetml/2009/9/main" objectType="CheckBox" fmlaLink="$W$116" lockText="1" noThreeD="1"/>
</file>

<file path=xl/ctrlProps/ctrlProp252.xml><?xml version="1.0" encoding="utf-8"?>
<formControlPr xmlns="http://schemas.microsoft.com/office/spreadsheetml/2009/9/main" objectType="CheckBox" fmlaLink="$W$118" lockText="1" noThreeD="1"/>
</file>

<file path=xl/ctrlProps/ctrlProp253.xml><?xml version="1.0" encoding="utf-8"?>
<formControlPr xmlns="http://schemas.microsoft.com/office/spreadsheetml/2009/9/main" objectType="CheckBox" checked="Checked" fmlaLink="$W$119" lockText="1" noThreeD="1"/>
</file>

<file path=xl/ctrlProps/ctrlProp254.xml><?xml version="1.0" encoding="utf-8"?>
<formControlPr xmlns="http://schemas.microsoft.com/office/spreadsheetml/2009/9/main" objectType="CheckBox" fmlaLink="$W$123" lockText="1" noThreeD="1"/>
</file>

<file path=xl/ctrlProps/ctrlProp255.xml><?xml version="1.0" encoding="utf-8"?>
<formControlPr xmlns="http://schemas.microsoft.com/office/spreadsheetml/2009/9/main" objectType="CheckBox" fmlaLink="$W$144" lockText="1" noThreeD="1"/>
</file>

<file path=xl/ctrlProps/ctrlProp256.xml><?xml version="1.0" encoding="utf-8"?>
<formControlPr xmlns="http://schemas.microsoft.com/office/spreadsheetml/2009/9/main" objectType="CheckBox" fmlaLink="$W$143" lockText="1" noThreeD="1"/>
</file>

<file path=xl/ctrlProps/ctrlProp257.xml><?xml version="1.0" encoding="utf-8"?>
<formControlPr xmlns="http://schemas.microsoft.com/office/spreadsheetml/2009/9/main" objectType="CheckBox" fmlaLink="$W$167" lockText="1" noThreeD="1"/>
</file>

<file path=xl/ctrlProps/ctrlProp258.xml><?xml version="1.0" encoding="utf-8"?>
<formControlPr xmlns="http://schemas.microsoft.com/office/spreadsheetml/2009/9/main" objectType="CheckBox" fmlaLink="$W$165" lockText="1" noThreeD="1"/>
</file>

<file path=xl/ctrlProps/ctrlProp259.xml><?xml version="1.0" encoding="utf-8"?>
<formControlPr xmlns="http://schemas.microsoft.com/office/spreadsheetml/2009/9/main" objectType="CheckBox" fmlaLink="$W$162" lockText="1" noThreeD="1"/>
</file>

<file path=xl/ctrlProps/ctrlProp26.xml><?xml version="1.0" encoding="utf-8"?>
<formControlPr xmlns="http://schemas.microsoft.com/office/spreadsheetml/2009/9/main" objectType="CheckBox" fmlaLink="$W$91" lockText="1" noThreeD="1"/>
</file>

<file path=xl/ctrlProps/ctrlProp260.xml><?xml version="1.0" encoding="utf-8"?>
<formControlPr xmlns="http://schemas.microsoft.com/office/spreadsheetml/2009/9/main" objectType="CheckBox" fmlaLink="$W$160" lockText="1" noThreeD="1"/>
</file>

<file path=xl/ctrlProps/ctrlProp261.xml><?xml version="1.0" encoding="utf-8"?>
<formControlPr xmlns="http://schemas.microsoft.com/office/spreadsheetml/2009/9/main" objectType="CheckBox" fmlaLink="$W$161" lockText="1" noThreeD="1"/>
</file>

<file path=xl/ctrlProps/ctrlProp262.xml><?xml version="1.0" encoding="utf-8"?>
<formControlPr xmlns="http://schemas.microsoft.com/office/spreadsheetml/2009/9/main" objectType="CheckBox" fmlaLink="$W$153" lockText="1" noThreeD="1"/>
</file>

<file path=xl/ctrlProps/ctrlProp263.xml><?xml version="1.0" encoding="utf-8"?>
<formControlPr xmlns="http://schemas.microsoft.com/office/spreadsheetml/2009/9/main" objectType="CheckBox" fmlaLink="$W$12" lockText="1" noThreeD="1"/>
</file>

<file path=xl/ctrlProps/ctrlProp264.xml><?xml version="1.0" encoding="utf-8"?>
<formControlPr xmlns="http://schemas.microsoft.com/office/spreadsheetml/2009/9/main" objectType="CheckBox" checked="Checked" fmlaLink="$W$18" lockText="1" noThreeD="1"/>
</file>

<file path=xl/ctrlProps/ctrlProp265.xml><?xml version="1.0" encoding="utf-8"?>
<formControlPr xmlns="http://schemas.microsoft.com/office/spreadsheetml/2009/9/main" objectType="CheckBox" fmlaLink="$W$33" lockText="1" noThreeD="1"/>
</file>

<file path=xl/ctrlProps/ctrlProp266.xml><?xml version="1.0" encoding="utf-8"?>
<formControlPr xmlns="http://schemas.microsoft.com/office/spreadsheetml/2009/9/main" objectType="CheckBox" fmlaLink="$W$54" lockText="1" noThreeD="1"/>
</file>

<file path=xl/ctrlProps/ctrlProp267.xml><?xml version="1.0" encoding="utf-8"?>
<formControlPr xmlns="http://schemas.microsoft.com/office/spreadsheetml/2009/9/main" objectType="CheckBox" fmlaLink="$W$67" lockText="1" noThreeD="1"/>
</file>

<file path=xl/ctrlProps/ctrlProp268.xml><?xml version="1.0" encoding="utf-8"?>
<formControlPr xmlns="http://schemas.microsoft.com/office/spreadsheetml/2009/9/main" objectType="CheckBox" fmlaLink="$W$61" lockText="1" noThreeD="1"/>
</file>

<file path=xl/ctrlProps/ctrlProp269.xml><?xml version="1.0" encoding="utf-8"?>
<formControlPr xmlns="http://schemas.microsoft.com/office/spreadsheetml/2009/9/main" objectType="CheckBox" fmlaLink="$W$90" lockText="1" noThreeD="1"/>
</file>

<file path=xl/ctrlProps/ctrlProp27.xml><?xml version="1.0" encoding="utf-8"?>
<formControlPr xmlns="http://schemas.microsoft.com/office/spreadsheetml/2009/9/main" objectType="CheckBox" fmlaLink="$W$92" lockText="1" noThreeD="1"/>
</file>

<file path=xl/ctrlProps/ctrlProp270.xml><?xml version="1.0" encoding="utf-8"?>
<formControlPr xmlns="http://schemas.microsoft.com/office/spreadsheetml/2009/9/main" objectType="CheckBox" checked="Checked" fmlaLink="$W$92" lockText="1" noThreeD="1"/>
</file>

<file path=xl/ctrlProps/ctrlProp271.xml><?xml version="1.0" encoding="utf-8"?>
<formControlPr xmlns="http://schemas.microsoft.com/office/spreadsheetml/2009/9/main" objectType="CheckBox" checked="Checked" fmlaLink="$W$95" lockText="1" noThreeD="1"/>
</file>

<file path=xl/ctrlProps/ctrlProp272.xml><?xml version="1.0" encoding="utf-8"?>
<formControlPr xmlns="http://schemas.microsoft.com/office/spreadsheetml/2009/9/main" objectType="CheckBox" fmlaLink="$W$118" lockText="1" noThreeD="1"/>
</file>

<file path=xl/ctrlProps/ctrlProp273.xml><?xml version="1.0" encoding="utf-8"?>
<formControlPr xmlns="http://schemas.microsoft.com/office/spreadsheetml/2009/9/main" objectType="CheckBox" fmlaLink="$W$129" lockText="1" noThreeD="1"/>
</file>

<file path=xl/ctrlProps/ctrlProp274.xml><?xml version="1.0" encoding="utf-8"?>
<formControlPr xmlns="http://schemas.microsoft.com/office/spreadsheetml/2009/9/main" objectType="CheckBox" fmlaLink="$W$131" lockText="1" noThreeD="1"/>
</file>

<file path=xl/ctrlProps/ctrlProp275.xml><?xml version="1.0" encoding="utf-8"?>
<formControlPr xmlns="http://schemas.microsoft.com/office/spreadsheetml/2009/9/main" objectType="CheckBox" fmlaLink="$W$132" lockText="1" noThreeD="1"/>
</file>

<file path=xl/ctrlProps/ctrlProp276.xml><?xml version="1.0" encoding="utf-8"?>
<formControlPr xmlns="http://schemas.microsoft.com/office/spreadsheetml/2009/9/main" objectType="CheckBox" fmlaLink="$W$139" lockText="1" noThreeD="1"/>
</file>

<file path=xl/ctrlProps/ctrlProp277.xml><?xml version="1.0" encoding="utf-8"?>
<formControlPr xmlns="http://schemas.microsoft.com/office/spreadsheetml/2009/9/main" objectType="CheckBox" fmlaLink="$W$148" lockText="1" noThreeD="1"/>
</file>

<file path=xl/ctrlProps/ctrlProp278.xml><?xml version="1.0" encoding="utf-8"?>
<formControlPr xmlns="http://schemas.microsoft.com/office/spreadsheetml/2009/9/main" objectType="CheckBox" fmlaLink="$W$153" lockText="1" noThreeD="1"/>
</file>

<file path=xl/ctrlProps/ctrlProp279.xml><?xml version="1.0" encoding="utf-8"?>
<formControlPr xmlns="http://schemas.microsoft.com/office/spreadsheetml/2009/9/main" objectType="CheckBox" fmlaLink="$W$154" lockText="1" noThreeD="1"/>
</file>

<file path=xl/ctrlProps/ctrlProp28.xml><?xml version="1.0" encoding="utf-8"?>
<formControlPr xmlns="http://schemas.microsoft.com/office/spreadsheetml/2009/9/main" objectType="CheckBox" fmlaLink="$W$93" lockText="1" noThreeD="1"/>
</file>

<file path=xl/ctrlProps/ctrlProp280.xml><?xml version="1.0" encoding="utf-8"?>
<formControlPr xmlns="http://schemas.microsoft.com/office/spreadsheetml/2009/9/main" objectType="CheckBox" checked="Checked" fmlaLink="$W$158" lockText="1" noThreeD="1"/>
</file>

<file path=xl/ctrlProps/ctrlProp281.xml><?xml version="1.0" encoding="utf-8"?>
<formControlPr xmlns="http://schemas.microsoft.com/office/spreadsheetml/2009/9/main" objectType="CheckBox" fmlaLink="$W$167" lockText="1" noThreeD="1"/>
</file>

<file path=xl/ctrlProps/ctrlProp282.xml><?xml version="1.0" encoding="utf-8"?>
<formControlPr xmlns="http://schemas.microsoft.com/office/spreadsheetml/2009/9/main" objectType="CheckBox" fmlaLink="$W$168" lockText="1" noThreeD="1"/>
</file>

<file path=xl/ctrlProps/ctrlProp283.xml><?xml version="1.0" encoding="utf-8"?>
<formControlPr xmlns="http://schemas.microsoft.com/office/spreadsheetml/2009/9/main" objectType="CheckBox" fmlaLink="$W$171" lockText="1" noThreeD="1"/>
</file>

<file path=xl/ctrlProps/ctrlProp284.xml><?xml version="1.0" encoding="utf-8"?>
<formControlPr xmlns="http://schemas.microsoft.com/office/spreadsheetml/2009/9/main" objectType="CheckBox" fmlaLink="$W$173" lockText="1" noThreeD="1"/>
</file>

<file path=xl/ctrlProps/ctrlProp285.xml><?xml version="1.0" encoding="utf-8"?>
<formControlPr xmlns="http://schemas.microsoft.com/office/spreadsheetml/2009/9/main" objectType="CheckBox" checked="Checked" fmlaLink="$W$179" lockText="1" noThreeD="1"/>
</file>

<file path=xl/ctrlProps/ctrlProp286.xml><?xml version="1.0" encoding="utf-8"?>
<formControlPr xmlns="http://schemas.microsoft.com/office/spreadsheetml/2009/9/main" objectType="CheckBox" fmlaLink="$W$181" lockText="1" noThreeD="1"/>
</file>

<file path=xl/ctrlProps/ctrlProp287.xml><?xml version="1.0" encoding="utf-8"?>
<formControlPr xmlns="http://schemas.microsoft.com/office/spreadsheetml/2009/9/main" objectType="CheckBox" checked="Checked" fmlaLink="$W$185" lockText="1" noThreeD="1"/>
</file>

<file path=xl/ctrlProps/ctrlProp288.xml><?xml version="1.0" encoding="utf-8"?>
<formControlPr xmlns="http://schemas.microsoft.com/office/spreadsheetml/2009/9/main" objectType="CheckBox" fmlaLink="$W$192" lockText="1" noThreeD="1"/>
</file>

<file path=xl/ctrlProps/ctrlProp289.xml><?xml version="1.0" encoding="utf-8"?>
<formControlPr xmlns="http://schemas.microsoft.com/office/spreadsheetml/2009/9/main" objectType="CheckBox" fmlaLink="$W$203" lockText="1" noThreeD="1"/>
</file>

<file path=xl/ctrlProps/ctrlProp29.xml><?xml version="1.0" encoding="utf-8"?>
<formControlPr xmlns="http://schemas.microsoft.com/office/spreadsheetml/2009/9/main" objectType="CheckBox" fmlaLink="$W$101" lockText="1" noThreeD="1"/>
</file>

<file path=xl/ctrlProps/ctrlProp290.xml><?xml version="1.0" encoding="utf-8"?>
<formControlPr xmlns="http://schemas.microsoft.com/office/spreadsheetml/2009/9/main" objectType="CheckBox" fmlaLink="$W$205" lockText="1" noThreeD="1"/>
</file>

<file path=xl/ctrlProps/ctrlProp291.xml><?xml version="1.0" encoding="utf-8"?>
<formControlPr xmlns="http://schemas.microsoft.com/office/spreadsheetml/2009/9/main" objectType="CheckBox" fmlaLink="$W$207" lockText="1" noThreeD="1"/>
</file>

<file path=xl/ctrlProps/ctrlProp292.xml><?xml version="1.0" encoding="utf-8"?>
<formControlPr xmlns="http://schemas.microsoft.com/office/spreadsheetml/2009/9/main" objectType="CheckBox" fmlaLink="$W$220" lockText="1" noThreeD="1"/>
</file>

<file path=xl/ctrlProps/ctrlProp293.xml><?xml version="1.0" encoding="utf-8"?>
<formControlPr xmlns="http://schemas.microsoft.com/office/spreadsheetml/2009/9/main" objectType="CheckBox" checked="Checked" fmlaLink="$W$222" lockText="1" noThreeD="1"/>
</file>

<file path=xl/ctrlProps/ctrlProp294.xml><?xml version="1.0" encoding="utf-8"?>
<formControlPr xmlns="http://schemas.microsoft.com/office/spreadsheetml/2009/9/main" objectType="CheckBox" fmlaLink="$W$225" lockText="1" noThreeD="1"/>
</file>

<file path=xl/ctrlProps/ctrlProp295.xml><?xml version="1.0" encoding="utf-8"?>
<formControlPr xmlns="http://schemas.microsoft.com/office/spreadsheetml/2009/9/main" objectType="CheckBox" fmlaLink="$W$234" lockText="1" noThreeD="1"/>
</file>

<file path=xl/ctrlProps/ctrlProp296.xml><?xml version="1.0" encoding="utf-8"?>
<formControlPr xmlns="http://schemas.microsoft.com/office/spreadsheetml/2009/9/main" objectType="CheckBox" fmlaLink="$W$237" lockText="1" noThreeD="1"/>
</file>

<file path=xl/ctrlProps/ctrlProp297.xml><?xml version="1.0" encoding="utf-8"?>
<formControlPr xmlns="http://schemas.microsoft.com/office/spreadsheetml/2009/9/main" objectType="CheckBox" fmlaLink="$W$239" lockText="1" noThreeD="1"/>
</file>

<file path=xl/ctrlProps/ctrlProp298.xml><?xml version="1.0" encoding="utf-8"?>
<formControlPr xmlns="http://schemas.microsoft.com/office/spreadsheetml/2009/9/main" objectType="CheckBox" fmlaLink="$W$242" lockText="1" noThreeD="1"/>
</file>

<file path=xl/ctrlProps/ctrlProp299.xml><?xml version="1.0" encoding="utf-8"?>
<formControlPr xmlns="http://schemas.microsoft.com/office/spreadsheetml/2009/9/main" objectType="CheckBox" checked="Checked" fmlaLink="$W$244" lockText="1" noThreeD="1"/>
</file>

<file path=xl/ctrlProps/ctrlProp3.xml><?xml version="1.0" encoding="utf-8"?>
<formControlPr xmlns="http://schemas.microsoft.com/office/spreadsheetml/2009/9/main" objectType="CheckBox" fmlaLink="$W$17" lockText="1" noThreeD="1"/>
</file>

<file path=xl/ctrlProps/ctrlProp30.xml><?xml version="1.0" encoding="utf-8"?>
<formControlPr xmlns="http://schemas.microsoft.com/office/spreadsheetml/2009/9/main" objectType="CheckBox" checked="Checked" fmlaLink="$W$104" lockText="1" noThreeD="1"/>
</file>

<file path=xl/ctrlProps/ctrlProp300.xml><?xml version="1.0" encoding="utf-8"?>
<formControlPr xmlns="http://schemas.microsoft.com/office/spreadsheetml/2009/9/main" objectType="CheckBox" fmlaLink="$W$258" lockText="1" noThreeD="1"/>
</file>

<file path=xl/ctrlProps/ctrlProp301.xml><?xml version="1.0" encoding="utf-8"?>
<formControlPr xmlns="http://schemas.microsoft.com/office/spreadsheetml/2009/9/main" objectType="CheckBox" fmlaLink="$W$259" lockText="1" noThreeD="1"/>
</file>

<file path=xl/ctrlProps/ctrlProp302.xml><?xml version="1.0" encoding="utf-8"?>
<formControlPr xmlns="http://schemas.microsoft.com/office/spreadsheetml/2009/9/main" objectType="CheckBox" fmlaLink="$W$264" lockText="1" noThreeD="1"/>
</file>

<file path=xl/ctrlProps/ctrlProp303.xml><?xml version="1.0" encoding="utf-8"?>
<formControlPr xmlns="http://schemas.microsoft.com/office/spreadsheetml/2009/9/main" objectType="CheckBox" fmlaLink="$W$269" lockText="1" noThreeD="1"/>
</file>

<file path=xl/ctrlProps/ctrlProp304.xml><?xml version="1.0" encoding="utf-8"?>
<formControlPr xmlns="http://schemas.microsoft.com/office/spreadsheetml/2009/9/main" objectType="CheckBox" fmlaLink="$W$273" lockText="1" noThreeD="1"/>
</file>

<file path=xl/ctrlProps/ctrlProp305.xml><?xml version="1.0" encoding="utf-8"?>
<formControlPr xmlns="http://schemas.microsoft.com/office/spreadsheetml/2009/9/main" objectType="CheckBox" fmlaLink="$W$278" lockText="1" noThreeD="1"/>
</file>

<file path=xl/ctrlProps/ctrlProp306.xml><?xml version="1.0" encoding="utf-8"?>
<formControlPr xmlns="http://schemas.microsoft.com/office/spreadsheetml/2009/9/main" objectType="CheckBox" fmlaLink="$W$134" lockText="1" noThreeD="1"/>
</file>

<file path=xl/ctrlProps/ctrlProp307.xml><?xml version="1.0" encoding="utf-8"?>
<formControlPr xmlns="http://schemas.microsoft.com/office/spreadsheetml/2009/9/main" objectType="CheckBox" checked="Checked" fmlaLink="$W$15" lockText="1" noThreeD="1"/>
</file>

<file path=xl/ctrlProps/ctrlProp308.xml><?xml version="1.0" encoding="utf-8"?>
<formControlPr xmlns="http://schemas.microsoft.com/office/spreadsheetml/2009/9/main" objectType="CheckBox" checked="Checked" fmlaLink="$W$16" lockText="1" noThreeD="1"/>
</file>

<file path=xl/ctrlProps/ctrlProp309.xml><?xml version="1.0" encoding="utf-8"?>
<formControlPr xmlns="http://schemas.microsoft.com/office/spreadsheetml/2009/9/main" objectType="CheckBox" checked="Checked" fmlaLink="$W$17" lockText="1" noThreeD="1"/>
</file>

<file path=xl/ctrlProps/ctrlProp31.xml><?xml version="1.0" encoding="utf-8"?>
<formControlPr xmlns="http://schemas.microsoft.com/office/spreadsheetml/2009/9/main" objectType="CheckBox" checked="Checked" fmlaLink="$W$130" lockText="1" noThreeD="1"/>
</file>

<file path=xl/ctrlProps/ctrlProp310.xml><?xml version="1.0" encoding="utf-8"?>
<formControlPr xmlns="http://schemas.microsoft.com/office/spreadsheetml/2009/9/main" objectType="CheckBox" checked="Checked" fmlaLink="$W$21" lockText="1" noThreeD="1"/>
</file>

<file path=xl/ctrlProps/ctrlProp311.xml><?xml version="1.0" encoding="utf-8"?>
<formControlPr xmlns="http://schemas.microsoft.com/office/spreadsheetml/2009/9/main" objectType="CheckBox" checked="Checked" fmlaLink="$W$22" lockText="1" noThreeD="1"/>
</file>

<file path=xl/ctrlProps/ctrlProp312.xml><?xml version="1.0" encoding="utf-8"?>
<formControlPr xmlns="http://schemas.microsoft.com/office/spreadsheetml/2009/9/main" objectType="CheckBox" checked="Checked" fmlaLink="$W$23" lockText="1" noThreeD="1"/>
</file>

<file path=xl/ctrlProps/ctrlProp313.xml><?xml version="1.0" encoding="utf-8"?>
<formControlPr xmlns="http://schemas.microsoft.com/office/spreadsheetml/2009/9/main" objectType="CheckBox" checked="Checked" fmlaLink="$W$25" lockText="1" noThreeD="1"/>
</file>

<file path=xl/ctrlProps/ctrlProp314.xml><?xml version="1.0" encoding="utf-8"?>
<formControlPr xmlns="http://schemas.microsoft.com/office/spreadsheetml/2009/9/main" objectType="CheckBox" checked="Checked" fmlaLink="$W$27" lockText="1" noThreeD="1"/>
</file>

<file path=xl/ctrlProps/ctrlProp315.xml><?xml version="1.0" encoding="utf-8"?>
<formControlPr xmlns="http://schemas.microsoft.com/office/spreadsheetml/2009/9/main" objectType="CheckBox" checked="Checked" fmlaLink="$W$28" lockText="1" noThreeD="1"/>
</file>

<file path=xl/ctrlProps/ctrlProp316.xml><?xml version="1.0" encoding="utf-8"?>
<formControlPr xmlns="http://schemas.microsoft.com/office/spreadsheetml/2009/9/main" objectType="CheckBox" checked="Checked" fmlaLink="$W$30" lockText="1" noThreeD="1"/>
</file>

<file path=xl/ctrlProps/ctrlProp317.xml><?xml version="1.0" encoding="utf-8"?>
<formControlPr xmlns="http://schemas.microsoft.com/office/spreadsheetml/2009/9/main" objectType="CheckBox" checked="Checked" fmlaLink="$W$31" lockText="1" noThreeD="1"/>
</file>

<file path=xl/ctrlProps/ctrlProp318.xml><?xml version="1.0" encoding="utf-8"?>
<formControlPr xmlns="http://schemas.microsoft.com/office/spreadsheetml/2009/9/main" objectType="CheckBox" fmlaLink="$W$32" lockText="1" noThreeD="1"/>
</file>

<file path=xl/ctrlProps/ctrlProp319.xml><?xml version="1.0" encoding="utf-8"?>
<formControlPr xmlns="http://schemas.microsoft.com/office/spreadsheetml/2009/9/main" objectType="CheckBox" checked="Checked" fmlaLink="$W$38" lockText="1" noThreeD="1"/>
</file>

<file path=xl/ctrlProps/ctrlProp32.xml><?xml version="1.0" encoding="utf-8"?>
<formControlPr xmlns="http://schemas.microsoft.com/office/spreadsheetml/2009/9/main" objectType="CheckBox" fmlaLink="$W$132" lockText="1" noThreeD="1"/>
</file>

<file path=xl/ctrlProps/ctrlProp320.xml><?xml version="1.0" encoding="utf-8"?>
<formControlPr xmlns="http://schemas.microsoft.com/office/spreadsheetml/2009/9/main" objectType="CheckBox" checked="Checked" fmlaLink="$W$42" lockText="1" noThreeD="1"/>
</file>

<file path=xl/ctrlProps/ctrlProp321.xml><?xml version="1.0" encoding="utf-8"?>
<formControlPr xmlns="http://schemas.microsoft.com/office/spreadsheetml/2009/9/main" objectType="CheckBox" checked="Checked" fmlaLink="$W$44" lockText="1" noThreeD="1"/>
</file>

<file path=xl/ctrlProps/ctrlProp322.xml><?xml version="1.0" encoding="utf-8"?>
<formControlPr xmlns="http://schemas.microsoft.com/office/spreadsheetml/2009/9/main" objectType="CheckBox" fmlaLink="$W$46" lockText="1" noThreeD="1"/>
</file>

<file path=xl/ctrlProps/ctrlProp323.xml><?xml version="1.0" encoding="utf-8"?>
<formControlPr xmlns="http://schemas.microsoft.com/office/spreadsheetml/2009/9/main" objectType="CheckBox" checked="Checked" fmlaLink="$W$47" lockText="1" noThreeD="1"/>
</file>

<file path=xl/ctrlProps/ctrlProp324.xml><?xml version="1.0" encoding="utf-8"?>
<formControlPr xmlns="http://schemas.microsoft.com/office/spreadsheetml/2009/9/main" objectType="CheckBox" checked="Checked" fmlaLink="$W$49" lockText="1" noThreeD="1"/>
</file>

<file path=xl/ctrlProps/ctrlProp325.xml><?xml version="1.0" encoding="utf-8"?>
<formControlPr xmlns="http://schemas.microsoft.com/office/spreadsheetml/2009/9/main" objectType="CheckBox" checked="Checked" fmlaLink="$W$51" lockText="1" noThreeD="1"/>
</file>

<file path=xl/ctrlProps/ctrlProp326.xml><?xml version="1.0" encoding="utf-8"?>
<formControlPr xmlns="http://schemas.microsoft.com/office/spreadsheetml/2009/9/main" objectType="CheckBox" checked="Checked" fmlaLink="$W$52" lockText="1" noThreeD="1"/>
</file>

<file path=xl/ctrlProps/ctrlProp327.xml><?xml version="1.0" encoding="utf-8"?>
<formControlPr xmlns="http://schemas.microsoft.com/office/spreadsheetml/2009/9/main" objectType="CheckBox" checked="Checked" fmlaLink="$W$54" lockText="1" noThreeD="1"/>
</file>

<file path=xl/ctrlProps/ctrlProp328.xml><?xml version="1.0" encoding="utf-8"?>
<formControlPr xmlns="http://schemas.microsoft.com/office/spreadsheetml/2009/9/main" objectType="CheckBox" fmlaLink="$W$56" lockText="1" noThreeD="1"/>
</file>

<file path=xl/ctrlProps/ctrlProp329.xml><?xml version="1.0" encoding="utf-8"?>
<formControlPr xmlns="http://schemas.microsoft.com/office/spreadsheetml/2009/9/main" objectType="CheckBox" fmlaLink="$W$58" lockText="1" noThreeD="1"/>
</file>

<file path=xl/ctrlProps/ctrlProp33.xml><?xml version="1.0" encoding="utf-8"?>
<formControlPr xmlns="http://schemas.microsoft.com/office/spreadsheetml/2009/9/main" objectType="CheckBox" fmlaLink="$W$134" lockText="1" noThreeD="1"/>
</file>

<file path=xl/ctrlProps/ctrlProp330.xml><?xml version="1.0" encoding="utf-8"?>
<formControlPr xmlns="http://schemas.microsoft.com/office/spreadsheetml/2009/9/main" objectType="CheckBox" fmlaLink="$W$59" lockText="1" noThreeD="1"/>
</file>

<file path=xl/ctrlProps/ctrlProp331.xml><?xml version="1.0" encoding="utf-8"?>
<formControlPr xmlns="http://schemas.microsoft.com/office/spreadsheetml/2009/9/main" objectType="CheckBox" checked="Checked" fmlaLink="$W$60" lockText="1" noThreeD="1"/>
</file>

<file path=xl/ctrlProps/ctrlProp332.xml><?xml version="1.0" encoding="utf-8"?>
<formControlPr xmlns="http://schemas.microsoft.com/office/spreadsheetml/2009/9/main" objectType="CheckBox" fmlaLink="$W$81" lockText="1" noThreeD="1"/>
</file>

<file path=xl/ctrlProps/ctrlProp333.xml><?xml version="1.0" encoding="utf-8"?>
<formControlPr xmlns="http://schemas.microsoft.com/office/spreadsheetml/2009/9/main" objectType="CheckBox" fmlaLink="$W$84" lockText="1" noThreeD="1"/>
</file>

<file path=xl/ctrlProps/ctrlProp334.xml><?xml version="1.0" encoding="utf-8"?>
<formControlPr xmlns="http://schemas.microsoft.com/office/spreadsheetml/2009/9/main" objectType="CheckBox" fmlaLink="$W$87" lockText="1" noThreeD="1"/>
</file>

<file path=xl/ctrlProps/ctrlProp335.xml><?xml version="1.0" encoding="utf-8"?>
<formControlPr xmlns="http://schemas.microsoft.com/office/spreadsheetml/2009/9/main" objectType="CheckBox" fmlaLink="$W$89" lockText="1" noThreeD="1"/>
</file>

<file path=xl/ctrlProps/ctrlProp336.xml><?xml version="1.0" encoding="utf-8"?>
<formControlPr xmlns="http://schemas.microsoft.com/office/spreadsheetml/2009/9/main" objectType="CheckBox" fmlaLink="$W$90" lockText="1" noThreeD="1"/>
</file>

<file path=xl/ctrlProps/ctrlProp337.xml><?xml version="1.0" encoding="utf-8"?>
<formControlPr xmlns="http://schemas.microsoft.com/office/spreadsheetml/2009/9/main" objectType="CheckBox" fmlaLink="$W$92" lockText="1" noThreeD="1"/>
</file>

<file path=xl/ctrlProps/ctrlProp338.xml><?xml version="1.0" encoding="utf-8"?>
<formControlPr xmlns="http://schemas.microsoft.com/office/spreadsheetml/2009/9/main" objectType="CheckBox" fmlaLink="$W$93" lockText="1" noThreeD="1"/>
</file>

<file path=xl/ctrlProps/ctrlProp339.xml><?xml version="1.0" encoding="utf-8"?>
<formControlPr xmlns="http://schemas.microsoft.com/office/spreadsheetml/2009/9/main" objectType="CheckBox" fmlaLink="$W$94" lockText="1" noThreeD="1"/>
</file>

<file path=xl/ctrlProps/ctrlProp34.xml><?xml version="1.0" encoding="utf-8"?>
<formControlPr xmlns="http://schemas.microsoft.com/office/spreadsheetml/2009/9/main" objectType="CheckBox" checked="Checked" fmlaLink="$W$141" lockText="1" noThreeD="1"/>
</file>

<file path=xl/ctrlProps/ctrlProp340.xml><?xml version="1.0" encoding="utf-8"?>
<formControlPr xmlns="http://schemas.microsoft.com/office/spreadsheetml/2009/9/main" objectType="CheckBox" fmlaLink="$W$100" lockText="1" noThreeD="1"/>
</file>

<file path=xl/ctrlProps/ctrlProp341.xml><?xml version="1.0" encoding="utf-8"?>
<formControlPr xmlns="http://schemas.microsoft.com/office/spreadsheetml/2009/9/main" objectType="CheckBox" fmlaLink="$W$102" lockText="1" noThreeD="1"/>
</file>

<file path=xl/ctrlProps/ctrlProp342.xml><?xml version="1.0" encoding="utf-8"?>
<formControlPr xmlns="http://schemas.microsoft.com/office/spreadsheetml/2009/9/main" objectType="CheckBox" fmlaLink="$W$105" lockText="1" noThreeD="1"/>
</file>

<file path=xl/ctrlProps/ctrlProp343.xml><?xml version="1.0" encoding="utf-8"?>
<formControlPr xmlns="http://schemas.microsoft.com/office/spreadsheetml/2009/9/main" objectType="CheckBox" fmlaLink="$W$107" lockText="1" noThreeD="1"/>
</file>

<file path=xl/ctrlProps/ctrlProp344.xml><?xml version="1.0" encoding="utf-8"?>
<formControlPr xmlns="http://schemas.microsoft.com/office/spreadsheetml/2009/9/main" objectType="CheckBox" fmlaLink="$W$110" lockText="1" noThreeD="1"/>
</file>

<file path=xl/ctrlProps/ctrlProp345.xml><?xml version="1.0" encoding="utf-8"?>
<formControlPr xmlns="http://schemas.microsoft.com/office/spreadsheetml/2009/9/main" objectType="CheckBox" fmlaLink="$W$112" lockText="1" noThreeD="1"/>
</file>

<file path=xl/ctrlProps/ctrlProp346.xml><?xml version="1.0" encoding="utf-8"?>
<formControlPr xmlns="http://schemas.microsoft.com/office/spreadsheetml/2009/9/main" objectType="CheckBox" fmlaLink="$W$113" lockText="1" noThreeD="1"/>
</file>

<file path=xl/ctrlProps/ctrlProp347.xml><?xml version="1.0" encoding="utf-8"?>
<formControlPr xmlns="http://schemas.microsoft.com/office/spreadsheetml/2009/9/main" objectType="CheckBox" fmlaLink="$W$115" lockText="1" noThreeD="1"/>
</file>

<file path=xl/ctrlProps/ctrlProp348.xml><?xml version="1.0" encoding="utf-8"?>
<formControlPr xmlns="http://schemas.microsoft.com/office/spreadsheetml/2009/9/main" objectType="CheckBox" fmlaLink="$W$117" lockText="1" noThreeD="1"/>
</file>

<file path=xl/ctrlProps/ctrlProp349.xml><?xml version="1.0" encoding="utf-8"?>
<formControlPr xmlns="http://schemas.microsoft.com/office/spreadsheetml/2009/9/main" objectType="CheckBox" fmlaLink="$W$118" lockText="1" noThreeD="1"/>
</file>

<file path=xl/ctrlProps/ctrlProp35.xml><?xml version="1.0" encoding="utf-8"?>
<formControlPr xmlns="http://schemas.microsoft.com/office/spreadsheetml/2009/9/main" objectType="CheckBox" fmlaLink="$W$142" lockText="1" noThreeD="1"/>
</file>

<file path=xl/ctrlProps/ctrlProp350.xml><?xml version="1.0" encoding="utf-8"?>
<formControlPr xmlns="http://schemas.microsoft.com/office/spreadsheetml/2009/9/main" objectType="CheckBox" fmlaLink="$W$121" lockText="1" noThreeD="1"/>
</file>

<file path=xl/ctrlProps/ctrlProp351.xml><?xml version="1.0" encoding="utf-8"?>
<formControlPr xmlns="http://schemas.microsoft.com/office/spreadsheetml/2009/9/main" objectType="CheckBox" fmlaLink="$W$127" lockText="1" noThreeD="1"/>
</file>

<file path=xl/ctrlProps/ctrlProp352.xml><?xml version="1.0" encoding="utf-8"?>
<formControlPr xmlns="http://schemas.microsoft.com/office/spreadsheetml/2009/9/main" objectType="CheckBox" fmlaLink="$W$129" lockText="1" noThreeD="1"/>
</file>

<file path=xl/ctrlProps/ctrlProp353.xml><?xml version="1.0" encoding="utf-8"?>
<formControlPr xmlns="http://schemas.microsoft.com/office/spreadsheetml/2009/9/main" objectType="CheckBox" fmlaLink="$W$133" lockText="1" noThreeD="1"/>
</file>

<file path=xl/ctrlProps/ctrlProp354.xml><?xml version="1.0" encoding="utf-8"?>
<formControlPr xmlns="http://schemas.microsoft.com/office/spreadsheetml/2009/9/main" objectType="CheckBox" fmlaLink="$W$140" lockText="1" noThreeD="1"/>
</file>

<file path=xl/ctrlProps/ctrlProp355.xml><?xml version="1.0" encoding="utf-8"?>
<formControlPr xmlns="http://schemas.microsoft.com/office/spreadsheetml/2009/9/main" objectType="CheckBox" fmlaLink="$W$142" lockText="1" noThreeD="1"/>
</file>

<file path=xl/ctrlProps/ctrlProp356.xml><?xml version="1.0" encoding="utf-8"?>
<formControlPr xmlns="http://schemas.microsoft.com/office/spreadsheetml/2009/9/main" objectType="CheckBox" fmlaLink="$W$143" lockText="1" noThreeD="1"/>
</file>

<file path=xl/ctrlProps/ctrlProp357.xml><?xml version="1.0" encoding="utf-8"?>
<formControlPr xmlns="http://schemas.microsoft.com/office/spreadsheetml/2009/9/main" objectType="CheckBox" fmlaLink="$W$145" lockText="1" noThreeD="1"/>
</file>

<file path=xl/ctrlProps/ctrlProp358.xml><?xml version="1.0" encoding="utf-8"?>
<formControlPr xmlns="http://schemas.microsoft.com/office/spreadsheetml/2009/9/main" objectType="CheckBox" fmlaLink="$W$146" lockText="1" noThreeD="1"/>
</file>

<file path=xl/ctrlProps/ctrlProp359.xml><?xml version="1.0" encoding="utf-8"?>
<formControlPr xmlns="http://schemas.microsoft.com/office/spreadsheetml/2009/9/main" objectType="CheckBox" fmlaLink="$W$147" lockText="1" noThreeD="1"/>
</file>

<file path=xl/ctrlProps/ctrlProp36.xml><?xml version="1.0" encoding="utf-8"?>
<formControlPr xmlns="http://schemas.microsoft.com/office/spreadsheetml/2009/9/main" objectType="CheckBox" fmlaLink="$W$147" lockText="1" noThreeD="1"/>
</file>

<file path=xl/ctrlProps/ctrlProp360.xml><?xml version="1.0" encoding="utf-8"?>
<formControlPr xmlns="http://schemas.microsoft.com/office/spreadsheetml/2009/9/main" objectType="CheckBox" fmlaLink="$W$148" lockText="1" noThreeD="1"/>
</file>

<file path=xl/ctrlProps/ctrlProp361.xml><?xml version="1.0" encoding="utf-8"?>
<formControlPr xmlns="http://schemas.microsoft.com/office/spreadsheetml/2009/9/main" objectType="CheckBox" fmlaLink="$W$149" lockText="1" noThreeD="1"/>
</file>

<file path=xl/ctrlProps/ctrlProp362.xml><?xml version="1.0" encoding="utf-8"?>
<formControlPr xmlns="http://schemas.microsoft.com/office/spreadsheetml/2009/9/main" objectType="CheckBox" fmlaLink="$W$166" lockText="1" noThreeD="1"/>
</file>

<file path=xl/ctrlProps/ctrlProp363.xml><?xml version="1.0" encoding="utf-8"?>
<formControlPr xmlns="http://schemas.microsoft.com/office/spreadsheetml/2009/9/main" objectType="CheckBox" fmlaLink="$W$168" lockText="1" noThreeD="1"/>
</file>

<file path=xl/ctrlProps/ctrlProp364.xml><?xml version="1.0" encoding="utf-8"?>
<formControlPr xmlns="http://schemas.microsoft.com/office/spreadsheetml/2009/9/main" objectType="CheckBox" checked="Checked" fmlaLink="$W$171" lockText="1" noThreeD="1"/>
</file>

<file path=xl/ctrlProps/ctrlProp365.xml><?xml version="1.0" encoding="utf-8"?>
<formControlPr xmlns="http://schemas.microsoft.com/office/spreadsheetml/2009/9/main" objectType="CheckBox" fmlaLink="$W$184" lockText="1" noThreeD="1"/>
</file>

<file path=xl/ctrlProps/ctrlProp366.xml><?xml version="1.0" encoding="utf-8"?>
<formControlPr xmlns="http://schemas.microsoft.com/office/spreadsheetml/2009/9/main" objectType="CheckBox" fmlaLink="$W$186" lockText="1" noThreeD="1"/>
</file>

<file path=xl/ctrlProps/ctrlProp367.xml><?xml version="1.0" encoding="utf-8"?>
<formControlPr xmlns="http://schemas.microsoft.com/office/spreadsheetml/2009/9/main" objectType="CheckBox" checked="Checked" fmlaLink="$I$8" lockText="1" noThreeD="1"/>
</file>

<file path=xl/ctrlProps/ctrlProp368.xml><?xml version="1.0" encoding="utf-8"?>
<formControlPr xmlns="http://schemas.microsoft.com/office/spreadsheetml/2009/9/main" objectType="CheckBox" checked="Checked" fmlaLink="$I$9" lockText="1" noThreeD="1"/>
</file>

<file path=xl/ctrlProps/ctrlProp369.xml><?xml version="1.0" encoding="utf-8"?>
<formControlPr xmlns="http://schemas.microsoft.com/office/spreadsheetml/2009/9/main" objectType="CheckBox" checked="Checked" fmlaLink="$I$10" lockText="1" noThreeD="1"/>
</file>

<file path=xl/ctrlProps/ctrlProp37.xml><?xml version="1.0" encoding="utf-8"?>
<formControlPr xmlns="http://schemas.microsoft.com/office/spreadsheetml/2009/9/main" objectType="CheckBox" fmlaLink="$W$149" lockText="1" noThreeD="1"/>
</file>

<file path=xl/ctrlProps/ctrlProp370.xml><?xml version="1.0" encoding="utf-8"?>
<formControlPr xmlns="http://schemas.microsoft.com/office/spreadsheetml/2009/9/main" objectType="CheckBox" checked="Checked" fmlaLink="$I$11" lockText="1" noThreeD="1"/>
</file>

<file path=xl/ctrlProps/ctrlProp371.xml><?xml version="1.0" encoding="utf-8"?>
<formControlPr xmlns="http://schemas.microsoft.com/office/spreadsheetml/2009/9/main" objectType="CheckBox" checked="Checked" fmlaLink="$I$12" lockText="1" noThreeD="1"/>
</file>

<file path=xl/ctrlProps/ctrlProp372.xml><?xml version="1.0" encoding="utf-8"?>
<formControlPr xmlns="http://schemas.microsoft.com/office/spreadsheetml/2009/9/main" objectType="CheckBox" checked="Checked" fmlaLink="$I$13" lockText="1" noThreeD="1"/>
</file>

<file path=xl/ctrlProps/ctrlProp373.xml><?xml version="1.0" encoding="utf-8"?>
<formControlPr xmlns="http://schemas.microsoft.com/office/spreadsheetml/2009/9/main" objectType="CheckBox" checked="Checked" fmlaLink="$I$14" lockText="1" noThreeD="1"/>
</file>

<file path=xl/ctrlProps/ctrlProp374.xml><?xml version="1.0" encoding="utf-8"?>
<formControlPr xmlns="http://schemas.microsoft.com/office/spreadsheetml/2009/9/main" objectType="CheckBox" checked="Checked" fmlaLink="$I$16" lockText="1" noThreeD="1"/>
</file>

<file path=xl/ctrlProps/ctrlProp375.xml><?xml version="1.0" encoding="utf-8"?>
<formControlPr xmlns="http://schemas.microsoft.com/office/spreadsheetml/2009/9/main" objectType="CheckBox" checked="Checked" fmlaLink="$I$17" lockText="1" noThreeD="1"/>
</file>

<file path=xl/ctrlProps/ctrlProp376.xml><?xml version="1.0" encoding="utf-8"?>
<formControlPr xmlns="http://schemas.microsoft.com/office/spreadsheetml/2009/9/main" objectType="CheckBox" checked="Checked" fmlaLink="$I$18" lockText="1" noThreeD="1"/>
</file>

<file path=xl/ctrlProps/ctrlProp377.xml><?xml version="1.0" encoding="utf-8"?>
<formControlPr xmlns="http://schemas.microsoft.com/office/spreadsheetml/2009/9/main" objectType="CheckBox" checked="Checked" fmlaLink="$I$20" lockText="1" noThreeD="1"/>
</file>

<file path=xl/ctrlProps/ctrlProp378.xml><?xml version="1.0" encoding="utf-8"?>
<formControlPr xmlns="http://schemas.microsoft.com/office/spreadsheetml/2009/9/main" objectType="CheckBox" checked="Checked" fmlaLink="$I$21" lockText="1" noThreeD="1"/>
</file>

<file path=xl/ctrlProps/ctrlProp379.xml><?xml version="1.0" encoding="utf-8"?>
<formControlPr xmlns="http://schemas.microsoft.com/office/spreadsheetml/2009/9/main" objectType="CheckBox" checked="Checked" fmlaLink="$I$24" lockText="1" noThreeD="1"/>
</file>

<file path=xl/ctrlProps/ctrlProp38.xml><?xml version="1.0" encoding="utf-8"?>
<formControlPr xmlns="http://schemas.microsoft.com/office/spreadsheetml/2009/9/main" objectType="CheckBox" fmlaLink="$W$152" lockText="1" noThreeD="1"/>
</file>

<file path=xl/ctrlProps/ctrlProp380.xml><?xml version="1.0" encoding="utf-8"?>
<formControlPr xmlns="http://schemas.microsoft.com/office/spreadsheetml/2009/9/main" objectType="CheckBox" checked="Checked" fmlaLink="$I$26" lockText="1" noThreeD="1"/>
</file>

<file path=xl/ctrlProps/ctrlProp381.xml><?xml version="1.0" encoding="utf-8"?>
<formControlPr xmlns="http://schemas.microsoft.com/office/spreadsheetml/2009/9/main" objectType="CheckBox" checked="Checked" fmlaLink="$I$27" lockText="1" noThreeD="1"/>
</file>

<file path=xl/ctrlProps/ctrlProp382.xml><?xml version="1.0" encoding="utf-8"?>
<formControlPr xmlns="http://schemas.microsoft.com/office/spreadsheetml/2009/9/main" objectType="CheckBox" checked="Checked" fmlaLink="$I$29" lockText="1" noThreeD="1"/>
</file>

<file path=xl/ctrlProps/ctrlProp383.xml><?xml version="1.0" encoding="utf-8"?>
<formControlPr xmlns="http://schemas.microsoft.com/office/spreadsheetml/2009/9/main" objectType="CheckBox" checked="Checked" fmlaLink="$I$30" lockText="1" noThreeD="1"/>
</file>

<file path=xl/ctrlProps/ctrlProp384.xml><?xml version="1.0" encoding="utf-8"?>
<formControlPr xmlns="http://schemas.microsoft.com/office/spreadsheetml/2009/9/main" objectType="CheckBox" checked="Checked" fmlaLink="$I$31" lockText="1" noThreeD="1"/>
</file>

<file path=xl/ctrlProps/ctrlProp385.xml><?xml version="1.0" encoding="utf-8"?>
<formControlPr xmlns="http://schemas.microsoft.com/office/spreadsheetml/2009/9/main" objectType="CheckBox" checked="Checked" fmlaLink="$I$32" lockText="1" noThreeD="1"/>
</file>

<file path=xl/ctrlProps/ctrlProp386.xml><?xml version="1.0" encoding="utf-8"?>
<formControlPr xmlns="http://schemas.microsoft.com/office/spreadsheetml/2009/9/main" objectType="CheckBox" checked="Checked" fmlaLink="$I$43" lockText="1" noThreeD="1"/>
</file>

<file path=xl/ctrlProps/ctrlProp387.xml><?xml version="1.0" encoding="utf-8"?>
<formControlPr xmlns="http://schemas.microsoft.com/office/spreadsheetml/2009/9/main" objectType="CheckBox" checked="Checked" fmlaLink="$I$44" lockText="1" noThreeD="1"/>
</file>

<file path=xl/ctrlProps/ctrlProp388.xml><?xml version="1.0" encoding="utf-8"?>
<formControlPr xmlns="http://schemas.microsoft.com/office/spreadsheetml/2009/9/main" objectType="CheckBox" checked="Checked" fmlaLink="$I$45" lockText="1" noThreeD="1"/>
</file>

<file path=xl/ctrlProps/ctrlProp389.xml><?xml version="1.0" encoding="utf-8"?>
<formControlPr xmlns="http://schemas.microsoft.com/office/spreadsheetml/2009/9/main" objectType="CheckBox" checked="Checked" fmlaLink="$I$46" lockText="1" noThreeD="1"/>
</file>

<file path=xl/ctrlProps/ctrlProp39.xml><?xml version="1.0" encoding="utf-8"?>
<formControlPr xmlns="http://schemas.microsoft.com/office/spreadsheetml/2009/9/main" objectType="CheckBox" fmlaLink="$W$154" lockText="1" noThreeD="1"/>
</file>

<file path=xl/ctrlProps/ctrlProp390.xml><?xml version="1.0" encoding="utf-8"?>
<formControlPr xmlns="http://schemas.microsoft.com/office/spreadsheetml/2009/9/main" objectType="CheckBox" checked="Checked" fmlaLink="$I$47" lockText="1" noThreeD="1"/>
</file>

<file path=xl/ctrlProps/ctrlProp391.xml><?xml version="1.0" encoding="utf-8"?>
<formControlPr xmlns="http://schemas.microsoft.com/office/spreadsheetml/2009/9/main" objectType="CheckBox" checked="Checked" fmlaLink="$I$50" lockText="1" noThreeD="1"/>
</file>

<file path=xl/ctrlProps/ctrlProp392.xml><?xml version="1.0" encoding="utf-8"?>
<formControlPr xmlns="http://schemas.microsoft.com/office/spreadsheetml/2009/9/main" objectType="CheckBox" checked="Checked" fmlaLink="$I$51" lockText="1" noThreeD="1"/>
</file>

<file path=xl/ctrlProps/ctrlProp393.xml><?xml version="1.0" encoding="utf-8"?>
<formControlPr xmlns="http://schemas.microsoft.com/office/spreadsheetml/2009/9/main" objectType="CheckBox" checked="Checked" fmlaLink="$I$52" lockText="1" noThreeD="1"/>
</file>

<file path=xl/ctrlProps/ctrlProp394.xml><?xml version="1.0" encoding="utf-8"?>
<formControlPr xmlns="http://schemas.microsoft.com/office/spreadsheetml/2009/9/main" objectType="CheckBox" checked="Checked" fmlaLink="$I$53" lockText="1" noThreeD="1"/>
</file>

<file path=xl/ctrlProps/ctrlProp395.xml><?xml version="1.0" encoding="utf-8"?>
<formControlPr xmlns="http://schemas.microsoft.com/office/spreadsheetml/2009/9/main" objectType="CheckBox" checked="Checked" fmlaLink="$I$54" lockText="1" noThreeD="1"/>
</file>

<file path=xl/ctrlProps/ctrlProp396.xml><?xml version="1.0" encoding="utf-8"?>
<formControlPr xmlns="http://schemas.microsoft.com/office/spreadsheetml/2009/9/main" objectType="CheckBox" checked="Checked" fmlaLink="$I$55" lockText="1" noThreeD="1"/>
</file>

<file path=xl/ctrlProps/ctrlProp397.xml><?xml version="1.0" encoding="utf-8"?>
<formControlPr xmlns="http://schemas.microsoft.com/office/spreadsheetml/2009/9/main" objectType="CheckBox" checked="Checked" fmlaLink="$I$57" lockText="1" noThreeD="1"/>
</file>

<file path=xl/ctrlProps/ctrlProp398.xml><?xml version="1.0" encoding="utf-8"?>
<formControlPr xmlns="http://schemas.microsoft.com/office/spreadsheetml/2009/9/main" objectType="CheckBox" checked="Checked" fmlaLink="$I$58" lockText="1" noThreeD="1"/>
</file>

<file path=xl/ctrlProps/ctrlProp399.xml><?xml version="1.0" encoding="utf-8"?>
<formControlPr xmlns="http://schemas.microsoft.com/office/spreadsheetml/2009/9/main" objectType="CheckBox" checked="Checked" fmlaLink="$I$22" lockText="1" noThreeD="1"/>
</file>

<file path=xl/ctrlProps/ctrlProp4.xml><?xml version="1.0" encoding="utf-8"?>
<formControlPr xmlns="http://schemas.microsoft.com/office/spreadsheetml/2009/9/main" objectType="CheckBox" fmlaLink="$W$18" lockText="1" noThreeD="1"/>
</file>

<file path=xl/ctrlProps/ctrlProp40.xml><?xml version="1.0" encoding="utf-8"?>
<formControlPr xmlns="http://schemas.microsoft.com/office/spreadsheetml/2009/9/main" objectType="CheckBox" fmlaLink="$W$156" lockText="1" noThreeD="1"/>
</file>

<file path=xl/ctrlProps/ctrlProp400.xml><?xml version="1.0" encoding="utf-8"?>
<formControlPr xmlns="http://schemas.microsoft.com/office/spreadsheetml/2009/9/main" objectType="CheckBox" checked="Checked" fmlaLink="$I$33" lockText="1" noThreeD="1"/>
</file>

<file path=xl/ctrlProps/ctrlProp401.xml><?xml version="1.0" encoding="utf-8"?>
<formControlPr xmlns="http://schemas.microsoft.com/office/spreadsheetml/2009/9/main" objectType="CheckBox" checked="Checked" fmlaLink="$I$34" lockText="1" noThreeD="1"/>
</file>

<file path=xl/ctrlProps/ctrlProp402.xml><?xml version="1.0" encoding="utf-8"?>
<formControlPr xmlns="http://schemas.microsoft.com/office/spreadsheetml/2009/9/main" objectType="CheckBox" checked="Checked" fmlaLink="$I$35" lockText="1" noThreeD="1"/>
</file>

<file path=xl/ctrlProps/ctrlProp403.xml><?xml version="1.0" encoding="utf-8"?>
<formControlPr xmlns="http://schemas.microsoft.com/office/spreadsheetml/2009/9/main" objectType="CheckBox" checked="Checked" fmlaLink="$I$36" lockText="1" noThreeD="1"/>
</file>

<file path=xl/ctrlProps/ctrlProp404.xml><?xml version="1.0" encoding="utf-8"?>
<formControlPr xmlns="http://schemas.microsoft.com/office/spreadsheetml/2009/9/main" objectType="CheckBox" checked="Checked" fmlaLink="$I$37" lockText="1" noThreeD="1"/>
</file>

<file path=xl/ctrlProps/ctrlProp405.xml><?xml version="1.0" encoding="utf-8"?>
<formControlPr xmlns="http://schemas.microsoft.com/office/spreadsheetml/2009/9/main" objectType="CheckBox" checked="Checked" fmlaLink="$I$39" lockText="1" noThreeD="1"/>
</file>

<file path=xl/ctrlProps/ctrlProp406.xml><?xml version="1.0" encoding="utf-8"?>
<formControlPr xmlns="http://schemas.microsoft.com/office/spreadsheetml/2009/9/main" objectType="CheckBox" checked="Checked" fmlaLink="$I$40" lockText="1" noThreeD="1"/>
</file>

<file path=xl/ctrlProps/ctrlProp407.xml><?xml version="1.0" encoding="utf-8"?>
<formControlPr xmlns="http://schemas.microsoft.com/office/spreadsheetml/2009/9/main" objectType="CheckBox" checked="Checked" fmlaLink="$I$41" lockText="1" noThreeD="1"/>
</file>

<file path=xl/ctrlProps/ctrlProp408.xml><?xml version="1.0" encoding="utf-8"?>
<formControlPr xmlns="http://schemas.microsoft.com/office/spreadsheetml/2009/9/main" objectType="CheckBox" checked="Checked" fmlaLink="$I$42" lockText="1" noThreeD="1"/>
</file>

<file path=xl/ctrlProps/ctrlProp409.xml><?xml version="1.0" encoding="utf-8"?>
<formControlPr xmlns="http://schemas.microsoft.com/office/spreadsheetml/2009/9/main" objectType="CheckBox" fmlaLink="$W$14" lockText="1" noThreeD="1"/>
</file>

<file path=xl/ctrlProps/ctrlProp41.xml><?xml version="1.0" encoding="utf-8"?>
<formControlPr xmlns="http://schemas.microsoft.com/office/spreadsheetml/2009/9/main" objectType="CheckBox" checked="Checked" fmlaLink="$W$160" lockText="1" noThreeD="1"/>
</file>

<file path=xl/ctrlProps/ctrlProp410.xml><?xml version="1.0" encoding="utf-8"?>
<formControlPr xmlns="http://schemas.microsoft.com/office/spreadsheetml/2009/9/main" objectType="CheckBox" fmlaLink="$W$16" lockText="1" noThreeD="1"/>
</file>

<file path=xl/ctrlProps/ctrlProp411.xml><?xml version="1.0" encoding="utf-8"?>
<formControlPr xmlns="http://schemas.microsoft.com/office/spreadsheetml/2009/9/main" objectType="CheckBox" fmlaLink="$W$17" lockText="1" noThreeD="1"/>
</file>

<file path=xl/ctrlProps/ctrlProp412.xml><?xml version="1.0" encoding="utf-8"?>
<formControlPr xmlns="http://schemas.microsoft.com/office/spreadsheetml/2009/9/main" objectType="CheckBox" fmlaLink="$W$18" lockText="1" noThreeD="1"/>
</file>

<file path=xl/ctrlProps/ctrlProp413.xml><?xml version="1.0" encoding="utf-8"?>
<formControlPr xmlns="http://schemas.microsoft.com/office/spreadsheetml/2009/9/main" objectType="CheckBox" fmlaLink="$W$21" lockText="1" noThreeD="1"/>
</file>

<file path=xl/ctrlProps/ctrlProp414.xml><?xml version="1.0" encoding="utf-8"?>
<formControlPr xmlns="http://schemas.microsoft.com/office/spreadsheetml/2009/9/main" objectType="CheckBox" checked="Checked" fmlaLink="$W$23" lockText="1" noThreeD="1"/>
</file>

<file path=xl/ctrlProps/ctrlProp415.xml><?xml version="1.0" encoding="utf-8"?>
<formControlPr xmlns="http://schemas.microsoft.com/office/spreadsheetml/2009/9/main" objectType="CheckBox" checked="Checked" fmlaLink="$W$25" lockText="1" noThreeD="1"/>
</file>

<file path=xl/ctrlProps/ctrlProp416.xml><?xml version="1.0" encoding="utf-8"?>
<formControlPr xmlns="http://schemas.microsoft.com/office/spreadsheetml/2009/9/main" objectType="CheckBox" fmlaLink="$W$27" lockText="1" noThreeD="1"/>
</file>

<file path=xl/ctrlProps/ctrlProp417.xml><?xml version="1.0" encoding="utf-8"?>
<formControlPr xmlns="http://schemas.microsoft.com/office/spreadsheetml/2009/9/main" objectType="CheckBox" checked="Checked" fmlaLink="$W$36" lockText="1" noThreeD="1"/>
</file>

<file path=xl/ctrlProps/ctrlProp418.xml><?xml version="1.0" encoding="utf-8"?>
<formControlPr xmlns="http://schemas.microsoft.com/office/spreadsheetml/2009/9/main" objectType="CheckBox" checked="Checked" fmlaLink="$W$45" lockText="1" noThreeD="1"/>
</file>

<file path=xl/ctrlProps/ctrlProp419.xml><?xml version="1.0" encoding="utf-8"?>
<formControlPr xmlns="http://schemas.microsoft.com/office/spreadsheetml/2009/9/main" objectType="CheckBox" checked="Checked" fmlaLink="$W$56" lockText="1" noThreeD="1"/>
</file>

<file path=xl/ctrlProps/ctrlProp42.xml><?xml version="1.0" encoding="utf-8"?>
<formControlPr xmlns="http://schemas.microsoft.com/office/spreadsheetml/2009/9/main" objectType="CheckBox" checked="Checked" fmlaLink="$W$161" lockText="1" noThreeD="1"/>
</file>

<file path=xl/ctrlProps/ctrlProp420.xml><?xml version="1.0" encoding="utf-8"?>
<formControlPr xmlns="http://schemas.microsoft.com/office/spreadsheetml/2009/9/main" objectType="CheckBox" checked="Checked" fmlaLink="$W$57" lockText="1" noThreeD="1"/>
</file>

<file path=xl/ctrlProps/ctrlProp421.xml><?xml version="1.0" encoding="utf-8"?>
<formControlPr xmlns="http://schemas.microsoft.com/office/spreadsheetml/2009/9/main" objectType="CheckBox" fmlaLink="$W$59" lockText="1" noThreeD="1"/>
</file>

<file path=xl/ctrlProps/ctrlProp422.xml><?xml version="1.0" encoding="utf-8"?>
<formControlPr xmlns="http://schemas.microsoft.com/office/spreadsheetml/2009/9/main" objectType="CheckBox" checked="Checked" fmlaLink="$W$61" lockText="1" noThreeD="1"/>
</file>

<file path=xl/ctrlProps/ctrlProp423.xml><?xml version="1.0" encoding="utf-8"?>
<formControlPr xmlns="http://schemas.microsoft.com/office/spreadsheetml/2009/9/main" objectType="CheckBox" fmlaLink="$W$62" lockText="1" noThreeD="1"/>
</file>

<file path=xl/ctrlProps/ctrlProp424.xml><?xml version="1.0" encoding="utf-8"?>
<formControlPr xmlns="http://schemas.microsoft.com/office/spreadsheetml/2009/9/main" objectType="CheckBox" fmlaLink="$W$63" lockText="1" noThreeD="1"/>
</file>

<file path=xl/ctrlProps/ctrlProp425.xml><?xml version="1.0" encoding="utf-8"?>
<formControlPr xmlns="http://schemas.microsoft.com/office/spreadsheetml/2009/9/main" objectType="CheckBox" fmlaLink="$W$65" lockText="1" noThreeD="1"/>
</file>

<file path=xl/ctrlProps/ctrlProp426.xml><?xml version="1.0" encoding="utf-8"?>
<formControlPr xmlns="http://schemas.microsoft.com/office/spreadsheetml/2009/9/main" objectType="CheckBox" fmlaLink="$W$69" lockText="1" noThreeD="1"/>
</file>

<file path=xl/ctrlProps/ctrlProp427.xml><?xml version="1.0" encoding="utf-8"?>
<formControlPr xmlns="http://schemas.microsoft.com/office/spreadsheetml/2009/9/main" objectType="CheckBox" fmlaLink="$W$70" lockText="1" noThreeD="1"/>
</file>

<file path=xl/ctrlProps/ctrlProp428.xml><?xml version="1.0" encoding="utf-8"?>
<formControlPr xmlns="http://schemas.microsoft.com/office/spreadsheetml/2009/9/main" objectType="CheckBox" fmlaLink="$W$77" lockText="1" noThreeD="1"/>
</file>

<file path=xl/ctrlProps/ctrlProp429.xml><?xml version="1.0" encoding="utf-8"?>
<formControlPr xmlns="http://schemas.microsoft.com/office/spreadsheetml/2009/9/main" objectType="CheckBox" fmlaLink="$W$79" lockText="1" noThreeD="1"/>
</file>

<file path=xl/ctrlProps/ctrlProp43.xml><?xml version="1.0" encoding="utf-8"?>
<formControlPr xmlns="http://schemas.microsoft.com/office/spreadsheetml/2009/9/main" objectType="CheckBox" fmlaLink="$W$162" lockText="1" noThreeD="1"/>
</file>

<file path=xl/ctrlProps/ctrlProp430.xml><?xml version="1.0" encoding="utf-8"?>
<formControlPr xmlns="http://schemas.microsoft.com/office/spreadsheetml/2009/9/main" objectType="CheckBox" fmlaLink="$W$83" lockText="1" noThreeD="1"/>
</file>

<file path=xl/ctrlProps/ctrlProp431.xml><?xml version="1.0" encoding="utf-8"?>
<formControlPr xmlns="http://schemas.microsoft.com/office/spreadsheetml/2009/9/main" objectType="CheckBox" fmlaLink="$W$87" lockText="1" noThreeD="1"/>
</file>

<file path=xl/ctrlProps/ctrlProp432.xml><?xml version="1.0" encoding="utf-8"?>
<formControlPr xmlns="http://schemas.microsoft.com/office/spreadsheetml/2009/9/main" objectType="CheckBox" fmlaLink="$W$88" lockText="1" noThreeD="1"/>
</file>

<file path=xl/ctrlProps/ctrlProp433.xml><?xml version="1.0" encoding="utf-8"?>
<formControlPr xmlns="http://schemas.microsoft.com/office/spreadsheetml/2009/9/main" objectType="CheckBox" fmlaLink="$W$90" lockText="1" noThreeD="1"/>
</file>

<file path=xl/ctrlProps/ctrlProp434.xml><?xml version="1.0" encoding="utf-8"?>
<formControlPr xmlns="http://schemas.microsoft.com/office/spreadsheetml/2009/9/main" objectType="CheckBox" fmlaLink="$W$91" lockText="1" noThreeD="1"/>
</file>

<file path=xl/ctrlProps/ctrlProp435.xml><?xml version="1.0" encoding="utf-8"?>
<formControlPr xmlns="http://schemas.microsoft.com/office/spreadsheetml/2009/9/main" objectType="CheckBox" fmlaLink="$W$92" lockText="1" noThreeD="1"/>
</file>

<file path=xl/ctrlProps/ctrlProp436.xml><?xml version="1.0" encoding="utf-8"?>
<formControlPr xmlns="http://schemas.microsoft.com/office/spreadsheetml/2009/9/main" objectType="CheckBox" fmlaLink="$W$100" lockText="1" noThreeD="1"/>
</file>

<file path=xl/ctrlProps/ctrlProp437.xml><?xml version="1.0" encoding="utf-8"?>
<formControlPr xmlns="http://schemas.microsoft.com/office/spreadsheetml/2009/9/main" objectType="CheckBox" checked="Checked" fmlaLink="$W$103" lockText="1" noThreeD="1"/>
</file>

<file path=xl/ctrlProps/ctrlProp438.xml><?xml version="1.0" encoding="utf-8"?>
<formControlPr xmlns="http://schemas.microsoft.com/office/spreadsheetml/2009/9/main" objectType="CheckBox" fmlaLink="$W$129" lockText="1" noThreeD="1"/>
</file>

<file path=xl/ctrlProps/ctrlProp439.xml><?xml version="1.0" encoding="utf-8"?>
<formControlPr xmlns="http://schemas.microsoft.com/office/spreadsheetml/2009/9/main" objectType="CheckBox" fmlaLink="$W$131" lockText="1" noThreeD="1"/>
</file>

<file path=xl/ctrlProps/ctrlProp44.xml><?xml version="1.0" encoding="utf-8"?>
<formControlPr xmlns="http://schemas.microsoft.com/office/spreadsheetml/2009/9/main" objectType="CheckBox" fmlaLink="$W$164" lockText="1" noThreeD="1"/>
</file>

<file path=xl/ctrlProps/ctrlProp440.xml><?xml version="1.0" encoding="utf-8"?>
<formControlPr xmlns="http://schemas.microsoft.com/office/spreadsheetml/2009/9/main" objectType="CheckBox" fmlaLink="$W$133" lockText="1" noThreeD="1"/>
</file>

<file path=xl/ctrlProps/ctrlProp441.xml><?xml version="1.0" encoding="utf-8"?>
<formControlPr xmlns="http://schemas.microsoft.com/office/spreadsheetml/2009/9/main" objectType="CheckBox" fmlaLink="$W$140" lockText="1" noThreeD="1"/>
</file>

<file path=xl/ctrlProps/ctrlProp442.xml><?xml version="1.0" encoding="utf-8"?>
<formControlPr xmlns="http://schemas.microsoft.com/office/spreadsheetml/2009/9/main" objectType="CheckBox" fmlaLink="$W$141" lockText="1" noThreeD="1"/>
</file>

<file path=xl/ctrlProps/ctrlProp443.xml><?xml version="1.0" encoding="utf-8"?>
<formControlPr xmlns="http://schemas.microsoft.com/office/spreadsheetml/2009/9/main" objectType="CheckBox" fmlaLink="$W$146" lockText="1" noThreeD="1"/>
</file>

<file path=xl/ctrlProps/ctrlProp444.xml><?xml version="1.0" encoding="utf-8"?>
<formControlPr xmlns="http://schemas.microsoft.com/office/spreadsheetml/2009/9/main" objectType="CheckBox" fmlaLink="$W$148" lockText="1" noThreeD="1"/>
</file>

<file path=xl/ctrlProps/ctrlProp445.xml><?xml version="1.0" encoding="utf-8"?>
<formControlPr xmlns="http://schemas.microsoft.com/office/spreadsheetml/2009/9/main" objectType="CheckBox" fmlaLink="$W$151" lockText="1" noThreeD="1"/>
</file>

<file path=xl/ctrlProps/ctrlProp446.xml><?xml version="1.0" encoding="utf-8"?>
<formControlPr xmlns="http://schemas.microsoft.com/office/spreadsheetml/2009/9/main" objectType="CheckBox" fmlaLink="$W$153" lockText="1" noThreeD="1"/>
</file>

<file path=xl/ctrlProps/ctrlProp447.xml><?xml version="1.0" encoding="utf-8"?>
<formControlPr xmlns="http://schemas.microsoft.com/office/spreadsheetml/2009/9/main" objectType="CheckBox" fmlaLink="$W$155" lockText="1" noThreeD="1"/>
</file>

<file path=xl/ctrlProps/ctrlProp448.xml><?xml version="1.0" encoding="utf-8"?>
<formControlPr xmlns="http://schemas.microsoft.com/office/spreadsheetml/2009/9/main" objectType="CheckBox" fmlaLink="$W$159" lockText="1" noThreeD="1"/>
</file>

<file path=xl/ctrlProps/ctrlProp449.xml><?xml version="1.0" encoding="utf-8"?>
<formControlPr xmlns="http://schemas.microsoft.com/office/spreadsheetml/2009/9/main" objectType="CheckBox" fmlaLink="$W$160" lockText="1" noThreeD="1"/>
</file>

<file path=xl/ctrlProps/ctrlProp45.xml><?xml version="1.0" encoding="utf-8"?>
<formControlPr xmlns="http://schemas.microsoft.com/office/spreadsheetml/2009/9/main" objectType="CheckBox" fmlaLink="$W$179" lockText="1" noThreeD="1"/>
</file>

<file path=xl/ctrlProps/ctrlProp450.xml><?xml version="1.0" encoding="utf-8"?>
<formControlPr xmlns="http://schemas.microsoft.com/office/spreadsheetml/2009/9/main" objectType="CheckBox" fmlaLink="$W$161" lockText="1" noThreeD="1"/>
</file>

<file path=xl/ctrlProps/ctrlProp451.xml><?xml version="1.0" encoding="utf-8"?>
<formControlPr xmlns="http://schemas.microsoft.com/office/spreadsheetml/2009/9/main" objectType="CheckBox" fmlaLink="$W$163" lockText="1" noThreeD="1"/>
</file>

<file path=xl/ctrlProps/ctrlProp452.xml><?xml version="1.0" encoding="utf-8"?>
<formControlPr xmlns="http://schemas.microsoft.com/office/spreadsheetml/2009/9/main" objectType="CheckBox" fmlaLink="$W$178" lockText="1" noThreeD="1"/>
</file>

<file path=xl/ctrlProps/ctrlProp453.xml><?xml version="1.0" encoding="utf-8"?>
<formControlPr xmlns="http://schemas.microsoft.com/office/spreadsheetml/2009/9/main" objectType="CheckBox" fmlaLink="$W$185" lockText="1" noThreeD="1"/>
</file>

<file path=xl/ctrlProps/ctrlProp454.xml><?xml version="1.0" encoding="utf-8"?>
<formControlPr xmlns="http://schemas.microsoft.com/office/spreadsheetml/2009/9/main" objectType="CheckBox" fmlaLink="$W$186" lockText="1" noThreeD="1"/>
</file>

<file path=xl/ctrlProps/ctrlProp455.xml><?xml version="1.0" encoding="utf-8"?>
<formControlPr xmlns="http://schemas.microsoft.com/office/spreadsheetml/2009/9/main" objectType="CheckBox" fmlaLink="$W$188" lockText="1" noThreeD="1"/>
</file>

<file path=xl/ctrlProps/ctrlProp456.xml><?xml version="1.0" encoding="utf-8"?>
<formControlPr xmlns="http://schemas.microsoft.com/office/spreadsheetml/2009/9/main" objectType="CheckBox" checked="Checked" fmlaLink="$W$193" lockText="1" noThreeD="1"/>
</file>

<file path=xl/ctrlProps/ctrlProp457.xml><?xml version="1.0" encoding="utf-8"?>
<formControlPr xmlns="http://schemas.microsoft.com/office/spreadsheetml/2009/9/main" objectType="CheckBox" checked="Checked" fmlaLink="$W$195" lockText="1" noThreeD="1"/>
</file>

<file path=xl/ctrlProps/ctrlProp458.xml><?xml version="1.0" encoding="utf-8"?>
<formControlPr xmlns="http://schemas.microsoft.com/office/spreadsheetml/2009/9/main" objectType="CheckBox" fmlaLink="$W$196" lockText="1" noThreeD="1"/>
</file>

<file path=xl/ctrlProps/ctrlProp459.xml><?xml version="1.0" encoding="utf-8"?>
<formControlPr xmlns="http://schemas.microsoft.com/office/spreadsheetml/2009/9/main" objectType="CheckBox" fmlaLink="$W$198" lockText="1" noThreeD="1"/>
</file>

<file path=xl/ctrlProps/ctrlProp46.xml><?xml version="1.0" encoding="utf-8"?>
<formControlPr xmlns="http://schemas.microsoft.com/office/spreadsheetml/2009/9/main" objectType="CheckBox" fmlaLink="$W$186" lockText="1" noThreeD="1"/>
</file>

<file path=xl/ctrlProps/ctrlProp460.xml><?xml version="1.0" encoding="utf-8"?>
<formControlPr xmlns="http://schemas.microsoft.com/office/spreadsheetml/2009/9/main" objectType="CheckBox" fmlaLink="$W$200" lockText="1" noThreeD="1"/>
</file>

<file path=xl/ctrlProps/ctrlProp461.xml><?xml version="1.0" encoding="utf-8"?>
<formControlPr xmlns="http://schemas.microsoft.com/office/spreadsheetml/2009/9/main" objectType="CheckBox" fmlaLink="$W$204" lockText="1" noThreeD="1"/>
</file>

<file path=xl/ctrlProps/ctrlProp462.xml><?xml version="1.0" encoding="utf-8"?>
<formControlPr xmlns="http://schemas.microsoft.com/office/spreadsheetml/2009/9/main" objectType="CheckBox" fmlaLink="$W$207" lockText="1" noThreeD="1"/>
</file>

<file path=xl/ctrlProps/ctrlProp463.xml><?xml version="1.0" encoding="utf-8"?>
<formControlPr xmlns="http://schemas.microsoft.com/office/spreadsheetml/2009/9/main" objectType="CheckBox" fmlaLink="$W$209" lockText="1" noThreeD="1"/>
</file>

<file path=xl/ctrlProps/ctrlProp464.xml><?xml version="1.0" encoding="utf-8"?>
<formControlPr xmlns="http://schemas.microsoft.com/office/spreadsheetml/2009/9/main" objectType="CheckBox" fmlaLink="$W$210" lockText="1" noThreeD="1"/>
</file>

<file path=xl/ctrlProps/ctrlProp465.xml><?xml version="1.0" encoding="utf-8"?>
<formControlPr xmlns="http://schemas.microsoft.com/office/spreadsheetml/2009/9/main" objectType="CheckBox" fmlaLink="$W$211" lockText="1" noThreeD="1"/>
</file>

<file path=xl/ctrlProps/ctrlProp466.xml><?xml version="1.0" encoding="utf-8"?>
<formControlPr xmlns="http://schemas.microsoft.com/office/spreadsheetml/2009/9/main" objectType="CheckBox" fmlaLink="$W$212" lockText="1" noThreeD="1"/>
</file>

<file path=xl/ctrlProps/ctrlProp467.xml><?xml version="1.0" encoding="utf-8"?>
<formControlPr xmlns="http://schemas.microsoft.com/office/spreadsheetml/2009/9/main" objectType="CheckBox" fmlaLink="$W$213" lockText="1" noThreeD="1"/>
</file>

<file path=xl/ctrlProps/ctrlProp468.xml><?xml version="1.0" encoding="utf-8"?>
<formControlPr xmlns="http://schemas.microsoft.com/office/spreadsheetml/2009/9/main" objectType="CheckBox" fmlaLink="$W$214" lockText="1" noThreeD="1"/>
</file>

<file path=xl/ctrlProps/ctrlProp469.xml><?xml version="1.0" encoding="utf-8"?>
<formControlPr xmlns="http://schemas.microsoft.com/office/spreadsheetml/2009/9/main" objectType="CheckBox" checked="Checked" fmlaLink="$W$216" lockText="1" noThreeD="1"/>
</file>

<file path=xl/ctrlProps/ctrlProp47.xml><?xml version="1.0" encoding="utf-8"?>
<formControlPr xmlns="http://schemas.microsoft.com/office/spreadsheetml/2009/9/main" objectType="CheckBox" fmlaLink="$W$187" lockText="1" noThreeD="1"/>
</file>

<file path=xl/ctrlProps/ctrlProp470.xml><?xml version="1.0" encoding="utf-8"?>
<formControlPr xmlns="http://schemas.microsoft.com/office/spreadsheetml/2009/9/main" objectType="CheckBox" fmlaLink="$W$223" lockText="1" noThreeD="1"/>
</file>

<file path=xl/ctrlProps/ctrlProp471.xml><?xml version="1.0" encoding="utf-8"?>
<formControlPr xmlns="http://schemas.microsoft.com/office/spreadsheetml/2009/9/main" objectType="CheckBox" fmlaLink="$W$225" lockText="1" noThreeD="1"/>
</file>

<file path=xl/ctrlProps/ctrlProp472.xml><?xml version="1.0" encoding="utf-8"?>
<formControlPr xmlns="http://schemas.microsoft.com/office/spreadsheetml/2009/9/main" objectType="CheckBox" fmlaLink="$W$238" lockText="1" noThreeD="1"/>
</file>

<file path=xl/ctrlProps/ctrlProp473.xml><?xml version="1.0" encoding="utf-8"?>
<formControlPr xmlns="http://schemas.microsoft.com/office/spreadsheetml/2009/9/main" objectType="CheckBox" checked="Checked" fmlaLink="$W$241" lockText="1" noThreeD="1"/>
</file>

<file path=xl/ctrlProps/ctrlProp474.xml><?xml version="1.0" encoding="utf-8"?>
<formControlPr xmlns="http://schemas.microsoft.com/office/spreadsheetml/2009/9/main" objectType="CheckBox" fmlaLink="$W$245" lockText="1" noThreeD="1"/>
</file>

<file path=xl/ctrlProps/ctrlProp475.xml><?xml version="1.0" encoding="utf-8"?>
<formControlPr xmlns="http://schemas.microsoft.com/office/spreadsheetml/2009/9/main" objectType="CheckBox" fmlaLink="$W$246" lockText="1" noThreeD="1"/>
</file>

<file path=xl/ctrlProps/ctrlProp476.xml><?xml version="1.0" encoding="utf-8"?>
<formControlPr xmlns="http://schemas.microsoft.com/office/spreadsheetml/2009/9/main" objectType="CheckBox" fmlaLink="$W$255" lockText="1" noThreeD="1"/>
</file>

<file path=xl/ctrlProps/ctrlProp477.xml><?xml version="1.0" encoding="utf-8"?>
<formControlPr xmlns="http://schemas.microsoft.com/office/spreadsheetml/2009/9/main" objectType="CheckBox" fmlaLink="$W$256" lockText="1" noThreeD="1"/>
</file>

<file path=xl/ctrlProps/ctrlProp478.xml><?xml version="1.0" encoding="utf-8"?>
<formControlPr xmlns="http://schemas.microsoft.com/office/spreadsheetml/2009/9/main" objectType="CheckBox" fmlaLink="$W$258" lockText="1" noThreeD="1"/>
</file>

<file path=xl/ctrlProps/ctrlProp479.xml><?xml version="1.0" encoding="utf-8"?>
<formControlPr xmlns="http://schemas.microsoft.com/office/spreadsheetml/2009/9/main" objectType="CheckBox" fmlaLink="$W$284" lockText="1" noThreeD="1"/>
</file>

<file path=xl/ctrlProps/ctrlProp48.xml><?xml version="1.0" encoding="utf-8"?>
<formControlPr xmlns="http://schemas.microsoft.com/office/spreadsheetml/2009/9/main" objectType="CheckBox" fmlaLink="$W$189" lockText="1" noThreeD="1"/>
</file>

<file path=xl/ctrlProps/ctrlProp480.xml><?xml version="1.0" encoding="utf-8"?>
<formControlPr xmlns="http://schemas.microsoft.com/office/spreadsheetml/2009/9/main" objectType="CheckBox" fmlaLink="$W$287" lockText="1" noThreeD="1"/>
</file>

<file path=xl/ctrlProps/ctrlProp481.xml><?xml version="1.0" encoding="utf-8"?>
<formControlPr xmlns="http://schemas.microsoft.com/office/spreadsheetml/2009/9/main" objectType="CheckBox" fmlaLink="$W$290" lockText="1" noThreeD="1"/>
</file>

<file path=xl/ctrlProps/ctrlProp482.xml><?xml version="1.0" encoding="utf-8"?>
<formControlPr xmlns="http://schemas.microsoft.com/office/spreadsheetml/2009/9/main" objectType="CheckBox" fmlaLink="$W$294" lockText="1" noThreeD="1"/>
</file>

<file path=xl/ctrlProps/ctrlProp483.xml><?xml version="1.0" encoding="utf-8"?>
<formControlPr xmlns="http://schemas.microsoft.com/office/spreadsheetml/2009/9/main" objectType="CheckBox" fmlaLink="$W$295" lockText="1" noThreeD="1"/>
</file>

<file path=xl/ctrlProps/ctrlProp484.xml><?xml version="1.0" encoding="utf-8"?>
<formControlPr xmlns="http://schemas.microsoft.com/office/spreadsheetml/2009/9/main" objectType="CheckBox" fmlaLink="$W$296" lockText="1" noThreeD="1"/>
</file>

<file path=xl/ctrlProps/ctrlProp485.xml><?xml version="1.0" encoding="utf-8"?>
<formControlPr xmlns="http://schemas.microsoft.com/office/spreadsheetml/2009/9/main" objectType="CheckBox" fmlaLink="$W$297" lockText="1" noThreeD="1"/>
</file>

<file path=xl/ctrlProps/ctrlProp486.xml><?xml version="1.0" encoding="utf-8"?>
<formControlPr xmlns="http://schemas.microsoft.com/office/spreadsheetml/2009/9/main" objectType="CheckBox" fmlaLink="$W$298" lockText="1" noThreeD="1"/>
</file>

<file path=xl/ctrlProps/ctrlProp487.xml><?xml version="1.0" encoding="utf-8"?>
<formControlPr xmlns="http://schemas.microsoft.com/office/spreadsheetml/2009/9/main" objectType="CheckBox" fmlaLink="$W$299" lockText="1" noThreeD="1"/>
</file>

<file path=xl/ctrlProps/ctrlProp488.xml><?xml version="1.0" encoding="utf-8"?>
<formControlPr xmlns="http://schemas.microsoft.com/office/spreadsheetml/2009/9/main" objectType="CheckBox" checked="Checked" fmlaLink="$W$305" lockText="1" noThreeD="1"/>
</file>

<file path=xl/ctrlProps/ctrlProp489.xml><?xml version="1.0" encoding="utf-8"?>
<formControlPr xmlns="http://schemas.microsoft.com/office/spreadsheetml/2009/9/main" objectType="CheckBox" fmlaLink="$W$306" lockText="1" noThreeD="1"/>
</file>

<file path=xl/ctrlProps/ctrlProp49.xml><?xml version="1.0" encoding="utf-8"?>
<formControlPr xmlns="http://schemas.microsoft.com/office/spreadsheetml/2009/9/main" objectType="CheckBox" checked="Checked" fmlaLink="$W$194" lockText="1" noThreeD="1"/>
</file>

<file path=xl/ctrlProps/ctrlProp490.xml><?xml version="1.0" encoding="utf-8"?>
<formControlPr xmlns="http://schemas.microsoft.com/office/spreadsheetml/2009/9/main" objectType="CheckBox" fmlaLink="$W$307" lockText="1" noThreeD="1"/>
</file>

<file path=xl/ctrlProps/ctrlProp491.xml><?xml version="1.0" encoding="utf-8"?>
<formControlPr xmlns="http://schemas.microsoft.com/office/spreadsheetml/2009/9/main" objectType="CheckBox" fmlaLink="$W$308" lockText="1" noThreeD="1"/>
</file>

<file path=xl/ctrlProps/ctrlProp492.xml><?xml version="1.0" encoding="utf-8"?>
<formControlPr xmlns="http://schemas.microsoft.com/office/spreadsheetml/2009/9/main" objectType="CheckBox" fmlaLink="$W$309" lockText="1" noThreeD="1"/>
</file>

<file path=xl/ctrlProps/ctrlProp493.xml><?xml version="1.0" encoding="utf-8"?>
<formControlPr xmlns="http://schemas.microsoft.com/office/spreadsheetml/2009/9/main" objectType="CheckBox" fmlaLink="$W$333" lockText="1" noThreeD="1"/>
</file>

<file path=xl/ctrlProps/ctrlProp494.xml><?xml version="1.0" encoding="utf-8"?>
<formControlPr xmlns="http://schemas.microsoft.com/office/spreadsheetml/2009/9/main" objectType="CheckBox" fmlaLink="$W$341" lockText="1" noThreeD="1"/>
</file>

<file path=xl/ctrlProps/ctrlProp495.xml><?xml version="1.0" encoding="utf-8"?>
<formControlPr xmlns="http://schemas.microsoft.com/office/spreadsheetml/2009/9/main" objectType="CheckBox" fmlaLink="$W$355" lockText="1" noThreeD="1"/>
</file>

<file path=xl/ctrlProps/ctrlProp496.xml><?xml version="1.0" encoding="utf-8"?>
<formControlPr xmlns="http://schemas.microsoft.com/office/spreadsheetml/2009/9/main" objectType="CheckBox" fmlaLink="$W$359" lockText="1" noThreeD="1"/>
</file>

<file path=xl/ctrlProps/ctrlProp497.xml><?xml version="1.0" encoding="utf-8"?>
<formControlPr xmlns="http://schemas.microsoft.com/office/spreadsheetml/2009/9/main" objectType="CheckBox" fmlaLink="$W$360" lockText="1" noThreeD="1"/>
</file>

<file path=xl/ctrlProps/ctrlProp498.xml><?xml version="1.0" encoding="utf-8"?>
<formControlPr xmlns="http://schemas.microsoft.com/office/spreadsheetml/2009/9/main" objectType="CheckBox" fmlaLink="$W$362" lockText="1" noThreeD="1"/>
</file>

<file path=xl/ctrlProps/ctrlProp499.xml><?xml version="1.0" encoding="utf-8"?>
<formControlPr xmlns="http://schemas.microsoft.com/office/spreadsheetml/2009/9/main" objectType="CheckBox" checked="Checked" fmlaLink="$W$364" lockText="1" noThreeD="1"/>
</file>

<file path=xl/ctrlProps/ctrlProp5.xml><?xml version="1.0" encoding="utf-8"?>
<formControlPr xmlns="http://schemas.microsoft.com/office/spreadsheetml/2009/9/main" objectType="CheckBox" fmlaLink="$W$19" lockText="1" noThreeD="1"/>
</file>

<file path=xl/ctrlProps/ctrlProp50.xml><?xml version="1.0" encoding="utf-8"?>
<formControlPr xmlns="http://schemas.microsoft.com/office/spreadsheetml/2009/9/main" objectType="CheckBox" checked="Checked" fmlaLink="$W$196" lockText="1" noThreeD="1"/>
</file>

<file path=xl/ctrlProps/ctrlProp500.xml><?xml version="1.0" encoding="utf-8"?>
<formControlPr xmlns="http://schemas.microsoft.com/office/spreadsheetml/2009/9/main" objectType="CheckBox" fmlaLink="$W$370" lockText="1" noThreeD="1"/>
</file>

<file path=xl/ctrlProps/ctrlProp501.xml><?xml version="1.0" encoding="utf-8"?>
<formControlPr xmlns="http://schemas.microsoft.com/office/spreadsheetml/2009/9/main" objectType="CheckBox" fmlaLink="$W$376" lockText="1" noThreeD="1"/>
</file>

<file path=xl/ctrlProps/ctrlProp502.xml><?xml version="1.0" encoding="utf-8"?>
<formControlPr xmlns="http://schemas.microsoft.com/office/spreadsheetml/2009/9/main" objectType="CheckBox" fmlaLink="$W$382" lockText="1" noThreeD="1"/>
</file>

<file path=xl/ctrlProps/ctrlProp503.xml><?xml version="1.0" encoding="utf-8"?>
<formControlPr xmlns="http://schemas.microsoft.com/office/spreadsheetml/2009/9/main" objectType="CheckBox" fmlaLink="$W$384" lockText="1" noThreeD="1"/>
</file>

<file path=xl/ctrlProps/ctrlProp504.xml><?xml version="1.0" encoding="utf-8"?>
<formControlPr xmlns="http://schemas.microsoft.com/office/spreadsheetml/2009/9/main" objectType="CheckBox" fmlaLink="$W$390" lockText="1" noThreeD="1"/>
</file>

<file path=xl/ctrlProps/ctrlProp505.xml><?xml version="1.0" encoding="utf-8"?>
<formControlPr xmlns="http://schemas.microsoft.com/office/spreadsheetml/2009/9/main" objectType="CheckBox" fmlaLink="$W$394" lockText="1" noThreeD="1"/>
</file>

<file path=xl/ctrlProps/ctrlProp506.xml><?xml version="1.0" encoding="utf-8"?>
<formControlPr xmlns="http://schemas.microsoft.com/office/spreadsheetml/2009/9/main" objectType="CheckBox" fmlaLink="$W$398" lockText="1" noThreeD="1"/>
</file>

<file path=xl/ctrlProps/ctrlProp507.xml><?xml version="1.0" encoding="utf-8"?>
<formControlPr xmlns="http://schemas.microsoft.com/office/spreadsheetml/2009/9/main" objectType="CheckBox" checked="Checked" fmlaLink="$W$403" lockText="1" noThreeD="1"/>
</file>

<file path=xl/ctrlProps/ctrlProp508.xml><?xml version="1.0" encoding="utf-8"?>
<formControlPr xmlns="http://schemas.microsoft.com/office/spreadsheetml/2009/9/main" objectType="CheckBox" fmlaLink="$W$408" lockText="1" noThreeD="1"/>
</file>

<file path=xl/ctrlProps/ctrlProp509.xml><?xml version="1.0" encoding="utf-8"?>
<formControlPr xmlns="http://schemas.microsoft.com/office/spreadsheetml/2009/9/main" objectType="CheckBox" fmlaLink="$W$410" lockText="1" noThreeD="1"/>
</file>

<file path=xl/ctrlProps/ctrlProp51.xml><?xml version="1.0" encoding="utf-8"?>
<formControlPr xmlns="http://schemas.microsoft.com/office/spreadsheetml/2009/9/main" objectType="CheckBox" fmlaLink="$W$197" lockText="1" noThreeD="1"/>
</file>

<file path=xl/ctrlProps/ctrlProp510.xml><?xml version="1.0" encoding="utf-8"?>
<formControlPr xmlns="http://schemas.microsoft.com/office/spreadsheetml/2009/9/main" objectType="CheckBox" fmlaLink="$W$412" lockText="1" noThreeD="1"/>
</file>

<file path=xl/ctrlProps/ctrlProp511.xml><?xml version="1.0" encoding="utf-8"?>
<formControlPr xmlns="http://schemas.microsoft.com/office/spreadsheetml/2009/9/main" objectType="CheckBox" checked="Checked" fmlaLink="$W$424" lockText="1" noThreeD="1"/>
</file>

<file path=xl/ctrlProps/ctrlProp512.xml><?xml version="1.0" encoding="utf-8"?>
<formControlPr xmlns="http://schemas.microsoft.com/office/spreadsheetml/2009/9/main" objectType="CheckBox" checked="Checked" fmlaLink="$W$434" lockText="1" noThreeD="1"/>
</file>

<file path=xl/ctrlProps/ctrlProp513.xml><?xml version="1.0" encoding="utf-8"?>
<formControlPr xmlns="http://schemas.microsoft.com/office/spreadsheetml/2009/9/main" objectType="CheckBox" fmlaLink="$W$437" lockText="1" noThreeD="1"/>
</file>

<file path=xl/ctrlProps/ctrlProp514.xml><?xml version="1.0" encoding="utf-8"?>
<formControlPr xmlns="http://schemas.microsoft.com/office/spreadsheetml/2009/9/main" objectType="CheckBox" fmlaLink="$W$438" lockText="1" noThreeD="1"/>
</file>

<file path=xl/ctrlProps/ctrlProp515.xml><?xml version="1.0" encoding="utf-8"?>
<formControlPr xmlns="http://schemas.microsoft.com/office/spreadsheetml/2009/9/main" objectType="CheckBox" fmlaLink="$W$448" lockText="1" noThreeD="1"/>
</file>

<file path=xl/ctrlProps/ctrlProp516.xml><?xml version="1.0" encoding="utf-8"?>
<formControlPr xmlns="http://schemas.microsoft.com/office/spreadsheetml/2009/9/main" objectType="CheckBox" fmlaLink="$W$450" lockText="1" noThreeD="1"/>
</file>

<file path=xl/ctrlProps/ctrlProp517.xml><?xml version="1.0" encoding="utf-8"?>
<formControlPr xmlns="http://schemas.microsoft.com/office/spreadsheetml/2009/9/main" objectType="CheckBox" fmlaLink="$W$466" lockText="1" noThreeD="1"/>
</file>

<file path=xl/ctrlProps/ctrlProp518.xml><?xml version="1.0" encoding="utf-8"?>
<formControlPr xmlns="http://schemas.microsoft.com/office/spreadsheetml/2009/9/main" objectType="CheckBox" checked="Checked" fmlaLink="$W$477" lockText="1" noThreeD="1"/>
</file>

<file path=xl/ctrlProps/ctrlProp519.xml><?xml version="1.0" encoding="utf-8"?>
<formControlPr xmlns="http://schemas.microsoft.com/office/spreadsheetml/2009/9/main" objectType="CheckBox" checked="Checked" fmlaLink="$W$478" lockText="1" noThreeD="1"/>
</file>

<file path=xl/ctrlProps/ctrlProp52.xml><?xml version="1.0" encoding="utf-8"?>
<formControlPr xmlns="http://schemas.microsoft.com/office/spreadsheetml/2009/9/main" objectType="CheckBox" fmlaLink="$W$199" lockText="1" noThreeD="1"/>
</file>

<file path=xl/ctrlProps/ctrlProp520.xml><?xml version="1.0" encoding="utf-8"?>
<formControlPr xmlns="http://schemas.microsoft.com/office/spreadsheetml/2009/9/main" objectType="CheckBox" fmlaLink="$W$483" lockText="1" noThreeD="1"/>
</file>

<file path=xl/ctrlProps/ctrlProp521.xml><?xml version="1.0" encoding="utf-8"?>
<formControlPr xmlns="http://schemas.microsoft.com/office/spreadsheetml/2009/9/main" objectType="CheckBox" fmlaLink="$W$485" lockText="1" noThreeD="1"/>
</file>

<file path=xl/ctrlProps/ctrlProp522.xml><?xml version="1.0" encoding="utf-8"?>
<formControlPr xmlns="http://schemas.microsoft.com/office/spreadsheetml/2009/9/main" objectType="CheckBox" fmlaLink="$W$486" lockText="1" noThreeD="1"/>
</file>

<file path=xl/ctrlProps/ctrlProp523.xml><?xml version="1.0" encoding="utf-8"?>
<formControlPr xmlns="http://schemas.microsoft.com/office/spreadsheetml/2009/9/main" objectType="CheckBox" fmlaLink="$W$489" lockText="1" noThreeD="1"/>
</file>

<file path=xl/ctrlProps/ctrlProp524.xml><?xml version="1.0" encoding="utf-8"?>
<formControlPr xmlns="http://schemas.microsoft.com/office/spreadsheetml/2009/9/main" objectType="CheckBox" checked="Checked" fmlaLink="$W$493" lockText="1" noThreeD="1"/>
</file>

<file path=xl/ctrlProps/ctrlProp525.xml><?xml version="1.0" encoding="utf-8"?>
<formControlPr xmlns="http://schemas.microsoft.com/office/spreadsheetml/2009/9/main" objectType="CheckBox" fmlaLink="$W$498" lockText="1" noThreeD="1"/>
</file>

<file path=xl/ctrlProps/ctrlProp526.xml><?xml version="1.0" encoding="utf-8"?>
<formControlPr xmlns="http://schemas.microsoft.com/office/spreadsheetml/2009/9/main" objectType="CheckBox" fmlaLink="$W$500" lockText="1" noThreeD="1"/>
</file>

<file path=xl/ctrlProps/ctrlProp527.xml><?xml version="1.0" encoding="utf-8"?>
<formControlPr xmlns="http://schemas.microsoft.com/office/spreadsheetml/2009/9/main" objectType="CheckBox" fmlaLink="$W$517" lockText="1" noThreeD="1"/>
</file>

<file path=xl/ctrlProps/ctrlProp528.xml><?xml version="1.0" encoding="utf-8"?>
<formControlPr xmlns="http://schemas.microsoft.com/office/spreadsheetml/2009/9/main" objectType="CheckBox" fmlaLink="$W$533" lockText="1" noThreeD="1"/>
</file>

<file path=xl/ctrlProps/ctrlProp529.xml><?xml version="1.0" encoding="utf-8"?>
<formControlPr xmlns="http://schemas.microsoft.com/office/spreadsheetml/2009/9/main" objectType="CheckBox" fmlaLink="$W$546" lockText="1" noThreeD="1"/>
</file>

<file path=xl/ctrlProps/ctrlProp53.xml><?xml version="1.0" encoding="utf-8"?>
<formControlPr xmlns="http://schemas.microsoft.com/office/spreadsheetml/2009/9/main" objectType="CheckBox" fmlaLink="$W$201" lockText="1" noThreeD="1"/>
</file>

<file path=xl/ctrlProps/ctrlProp530.xml><?xml version="1.0" encoding="utf-8"?>
<formControlPr xmlns="http://schemas.microsoft.com/office/spreadsheetml/2009/9/main" objectType="CheckBox" fmlaLink="$W$548" lockText="1" noThreeD="1"/>
</file>

<file path=xl/ctrlProps/ctrlProp531.xml><?xml version="1.0" encoding="utf-8"?>
<formControlPr xmlns="http://schemas.microsoft.com/office/spreadsheetml/2009/9/main" objectType="CheckBox" checked="Checked" fmlaLink="$W$561" lockText="1" noThreeD="1"/>
</file>

<file path=xl/ctrlProps/ctrlProp532.xml><?xml version="1.0" encoding="utf-8"?>
<formControlPr xmlns="http://schemas.microsoft.com/office/spreadsheetml/2009/9/main" objectType="CheckBox" checked="Checked" fmlaLink="$W$562" lockText="1" noThreeD="1"/>
</file>

<file path=xl/ctrlProps/ctrlProp533.xml><?xml version="1.0" encoding="utf-8"?>
<formControlPr xmlns="http://schemas.microsoft.com/office/spreadsheetml/2009/9/main" objectType="CheckBox" checked="Checked" fmlaLink="$W$563" lockText="1" noThreeD="1"/>
</file>

<file path=xl/ctrlProps/ctrlProp534.xml><?xml version="1.0" encoding="utf-8"?>
<formControlPr xmlns="http://schemas.microsoft.com/office/spreadsheetml/2009/9/main" objectType="CheckBox" fmlaLink="$W$564" lockText="1" noThreeD="1"/>
</file>

<file path=xl/ctrlProps/ctrlProp535.xml><?xml version="1.0" encoding="utf-8"?>
<formControlPr xmlns="http://schemas.microsoft.com/office/spreadsheetml/2009/9/main" objectType="CheckBox" fmlaLink="$W$565" lockText="1" noThreeD="1"/>
</file>

<file path=xl/ctrlProps/ctrlProp536.xml><?xml version="1.0" encoding="utf-8"?>
<formControlPr xmlns="http://schemas.microsoft.com/office/spreadsheetml/2009/9/main" objectType="CheckBox" fmlaLink="$W$566" lockText="1" noThreeD="1"/>
</file>

<file path=xl/ctrlProps/ctrlProp537.xml><?xml version="1.0" encoding="utf-8"?>
<formControlPr xmlns="http://schemas.microsoft.com/office/spreadsheetml/2009/9/main" objectType="CheckBox" fmlaLink="$W$567" lockText="1" noThreeD="1"/>
</file>

<file path=xl/ctrlProps/ctrlProp538.xml><?xml version="1.0" encoding="utf-8"?>
<formControlPr xmlns="http://schemas.microsoft.com/office/spreadsheetml/2009/9/main" objectType="CheckBox" fmlaLink="$W$568" lockText="1" noThreeD="1"/>
</file>

<file path=xl/ctrlProps/ctrlProp539.xml><?xml version="1.0" encoding="utf-8"?>
<formControlPr xmlns="http://schemas.microsoft.com/office/spreadsheetml/2009/9/main" objectType="CheckBox" fmlaLink="$W$569" lockText="1" noThreeD="1"/>
</file>

<file path=xl/ctrlProps/ctrlProp54.xml><?xml version="1.0" encoding="utf-8"?>
<formControlPr xmlns="http://schemas.microsoft.com/office/spreadsheetml/2009/9/main" objectType="CheckBox" fmlaLink="$W$205" lockText="1" noThreeD="1"/>
</file>

<file path=xl/ctrlProps/ctrlProp540.xml><?xml version="1.0" encoding="utf-8"?>
<formControlPr xmlns="http://schemas.microsoft.com/office/spreadsheetml/2009/9/main" objectType="CheckBox" fmlaLink="$W$616" lockText="1" noThreeD="1"/>
</file>

<file path=xl/ctrlProps/ctrlProp541.xml><?xml version="1.0" encoding="utf-8"?>
<formControlPr xmlns="http://schemas.microsoft.com/office/spreadsheetml/2009/9/main" objectType="CheckBox" fmlaLink="$W$618" lockText="1" noThreeD="1"/>
</file>

<file path=xl/ctrlProps/ctrlProp542.xml><?xml version="1.0" encoding="utf-8"?>
<formControlPr xmlns="http://schemas.microsoft.com/office/spreadsheetml/2009/9/main" objectType="CheckBox" fmlaLink="$W$619" lockText="1" noThreeD="1"/>
</file>

<file path=xl/ctrlProps/ctrlProp543.xml><?xml version="1.0" encoding="utf-8"?>
<formControlPr xmlns="http://schemas.microsoft.com/office/spreadsheetml/2009/9/main" objectType="CheckBox" fmlaLink="$W$647" lockText="1" noThreeD="1"/>
</file>

<file path=xl/ctrlProps/ctrlProp544.xml><?xml version="1.0" encoding="utf-8"?>
<formControlPr xmlns="http://schemas.microsoft.com/office/spreadsheetml/2009/9/main" objectType="CheckBox" fmlaLink="$W$656" lockText="1" noThreeD="1"/>
</file>

<file path=xl/ctrlProps/ctrlProp545.xml><?xml version="1.0" encoding="utf-8"?>
<formControlPr xmlns="http://schemas.microsoft.com/office/spreadsheetml/2009/9/main" objectType="CheckBox" fmlaLink="$W$663" lockText="1" noThreeD="1"/>
</file>

<file path=xl/ctrlProps/ctrlProp546.xml><?xml version="1.0" encoding="utf-8"?>
<formControlPr xmlns="http://schemas.microsoft.com/office/spreadsheetml/2009/9/main" objectType="CheckBox" fmlaLink="$W$719" lockText="1" noThreeD="1"/>
</file>

<file path=xl/ctrlProps/ctrlProp547.xml><?xml version="1.0" encoding="utf-8"?>
<formControlPr xmlns="http://schemas.microsoft.com/office/spreadsheetml/2009/9/main" objectType="CheckBox" fmlaLink="$W$720" lockText="1" noThreeD="1"/>
</file>

<file path=xl/ctrlProps/ctrlProp548.xml><?xml version="1.0" encoding="utf-8"?>
<formControlPr xmlns="http://schemas.microsoft.com/office/spreadsheetml/2009/9/main" objectType="CheckBox" fmlaLink="$W$722" lockText="1" noThreeD="1"/>
</file>

<file path=xl/ctrlProps/ctrlProp549.xml><?xml version="1.0" encoding="utf-8"?>
<formControlPr xmlns="http://schemas.microsoft.com/office/spreadsheetml/2009/9/main" objectType="CheckBox" fmlaLink="$W$721" lockText="1" noThreeD="1"/>
</file>

<file path=xl/ctrlProps/ctrlProp55.xml><?xml version="1.0" encoding="utf-8"?>
<formControlPr xmlns="http://schemas.microsoft.com/office/spreadsheetml/2009/9/main" objectType="CheckBox" fmlaLink="$W$208" lockText="1" noThreeD="1"/>
</file>

<file path=xl/ctrlProps/ctrlProp550.xml><?xml version="1.0" encoding="utf-8"?>
<formControlPr xmlns="http://schemas.microsoft.com/office/spreadsheetml/2009/9/main" objectType="CheckBox" fmlaLink="$W$723" lockText="1" noThreeD="1"/>
</file>

<file path=xl/ctrlProps/ctrlProp551.xml><?xml version="1.0" encoding="utf-8"?>
<formControlPr xmlns="http://schemas.microsoft.com/office/spreadsheetml/2009/9/main" objectType="CheckBox" fmlaLink="$W$724" lockText="1" noThreeD="1"/>
</file>

<file path=xl/ctrlProps/ctrlProp552.xml><?xml version="1.0" encoding="utf-8"?>
<formControlPr xmlns="http://schemas.microsoft.com/office/spreadsheetml/2009/9/main" objectType="CheckBox" fmlaLink="$W$725" lockText="1" noThreeD="1"/>
</file>

<file path=xl/ctrlProps/ctrlProp553.xml><?xml version="1.0" encoding="utf-8"?>
<formControlPr xmlns="http://schemas.microsoft.com/office/spreadsheetml/2009/9/main" objectType="CheckBox" fmlaLink="$W$729" lockText="1" noThreeD="1"/>
</file>

<file path=xl/ctrlProps/ctrlProp554.xml><?xml version="1.0" encoding="utf-8"?>
<formControlPr xmlns="http://schemas.microsoft.com/office/spreadsheetml/2009/9/main" objectType="CheckBox" fmlaLink="$W$734" lockText="1" noThreeD="1"/>
</file>

<file path=xl/ctrlProps/ctrlProp555.xml><?xml version="1.0" encoding="utf-8"?>
<formControlPr xmlns="http://schemas.microsoft.com/office/spreadsheetml/2009/9/main" objectType="CheckBox" fmlaLink="$W$738" lockText="1" noThreeD="1"/>
</file>

<file path=xl/ctrlProps/ctrlProp556.xml><?xml version="1.0" encoding="utf-8"?>
<formControlPr xmlns="http://schemas.microsoft.com/office/spreadsheetml/2009/9/main" objectType="CheckBox" fmlaLink="$W$740" lockText="1" noThreeD="1"/>
</file>

<file path=xl/ctrlProps/ctrlProp557.xml><?xml version="1.0" encoding="utf-8"?>
<formControlPr xmlns="http://schemas.microsoft.com/office/spreadsheetml/2009/9/main" objectType="CheckBox" fmlaLink="$W$742" lockText="1" noThreeD="1"/>
</file>

<file path=xl/ctrlProps/ctrlProp558.xml><?xml version="1.0" encoding="utf-8"?>
<formControlPr xmlns="http://schemas.microsoft.com/office/spreadsheetml/2009/9/main" objectType="CheckBox" fmlaLink="$W$743" lockText="1" noThreeD="1"/>
</file>

<file path=xl/ctrlProps/ctrlProp559.xml><?xml version="1.0" encoding="utf-8"?>
<formControlPr xmlns="http://schemas.microsoft.com/office/spreadsheetml/2009/9/main" objectType="CheckBox" fmlaLink="$W$744" lockText="1" noThreeD="1"/>
</file>

<file path=xl/ctrlProps/ctrlProp56.xml><?xml version="1.0" encoding="utf-8"?>
<formControlPr xmlns="http://schemas.microsoft.com/office/spreadsheetml/2009/9/main" objectType="CheckBox" fmlaLink="$W$210" lockText="1" noThreeD="1"/>
</file>

<file path=xl/ctrlProps/ctrlProp560.xml><?xml version="1.0" encoding="utf-8"?>
<formControlPr xmlns="http://schemas.microsoft.com/office/spreadsheetml/2009/9/main" objectType="CheckBox" fmlaLink="$W$748" lockText="1" noThreeD="1"/>
</file>

<file path=xl/ctrlProps/ctrlProp561.xml><?xml version="1.0" encoding="utf-8"?>
<formControlPr xmlns="http://schemas.microsoft.com/office/spreadsheetml/2009/9/main" objectType="CheckBox" checked="Checked" fmlaLink="$W$750" lockText="1" noThreeD="1"/>
</file>

<file path=xl/ctrlProps/ctrlProp562.xml><?xml version="1.0" encoding="utf-8"?>
<formControlPr xmlns="http://schemas.microsoft.com/office/spreadsheetml/2009/9/main" objectType="CheckBox" checked="Checked" fmlaLink="$W$799" lockText="1" noThreeD="1"/>
</file>

<file path=xl/ctrlProps/ctrlProp563.xml><?xml version="1.0" encoding="utf-8"?>
<formControlPr xmlns="http://schemas.microsoft.com/office/spreadsheetml/2009/9/main" objectType="CheckBox" checked="Checked" fmlaLink="$W$804" lockText="1" noThreeD="1"/>
</file>

<file path=xl/ctrlProps/ctrlProp564.xml><?xml version="1.0" encoding="utf-8"?>
<formControlPr xmlns="http://schemas.microsoft.com/office/spreadsheetml/2009/9/main" objectType="CheckBox" checked="Checked" fmlaLink="$W$813" lockText="1" noThreeD="1"/>
</file>

<file path=xl/ctrlProps/ctrlProp565.xml><?xml version="1.0" encoding="utf-8"?>
<formControlPr xmlns="http://schemas.microsoft.com/office/spreadsheetml/2009/9/main" objectType="CheckBox" checked="Checked" fmlaLink="$W$816" lockText="1" noThreeD="1"/>
</file>

<file path=xl/ctrlProps/ctrlProp566.xml><?xml version="1.0" encoding="utf-8"?>
<formControlPr xmlns="http://schemas.microsoft.com/office/spreadsheetml/2009/9/main" objectType="CheckBox" checked="Checked" fmlaLink="$W$817" lockText="1" noThreeD="1"/>
</file>

<file path=xl/ctrlProps/ctrlProp567.xml><?xml version="1.0" encoding="utf-8"?>
<formControlPr xmlns="http://schemas.microsoft.com/office/spreadsheetml/2009/9/main" objectType="CheckBox" fmlaLink="$W$821" lockText="1" noThreeD="1"/>
</file>

<file path=xl/ctrlProps/ctrlProp568.xml><?xml version="1.0" encoding="utf-8"?>
<formControlPr xmlns="http://schemas.microsoft.com/office/spreadsheetml/2009/9/main" objectType="CheckBox" checked="Checked" fmlaLink="$W$823" lockText="1" noThreeD="1"/>
</file>

<file path=xl/ctrlProps/ctrlProp569.xml><?xml version="1.0" encoding="utf-8"?>
<formControlPr xmlns="http://schemas.microsoft.com/office/spreadsheetml/2009/9/main" objectType="CheckBox" checked="Checked" fmlaLink="$W$855" lockText="1" noThreeD="1"/>
</file>

<file path=xl/ctrlProps/ctrlProp57.xml><?xml version="1.0" encoding="utf-8"?>
<formControlPr xmlns="http://schemas.microsoft.com/office/spreadsheetml/2009/9/main" objectType="CheckBox" fmlaLink="$W$211" lockText="1" noThreeD="1"/>
</file>

<file path=xl/ctrlProps/ctrlProp570.xml><?xml version="1.0" encoding="utf-8"?>
<formControlPr xmlns="http://schemas.microsoft.com/office/spreadsheetml/2009/9/main" objectType="CheckBox" checked="Checked" fmlaLink="$W$858" lockText="1" noThreeD="1"/>
</file>

<file path=xl/ctrlProps/ctrlProp571.xml><?xml version="1.0" encoding="utf-8"?>
<formControlPr xmlns="http://schemas.microsoft.com/office/spreadsheetml/2009/9/main" objectType="CheckBox" checked="Checked" fmlaLink="$W$885" lockText="1" noThreeD="1"/>
</file>

<file path=xl/ctrlProps/ctrlProp572.xml><?xml version="1.0" encoding="utf-8"?>
<formControlPr xmlns="http://schemas.microsoft.com/office/spreadsheetml/2009/9/main" objectType="CheckBox" checked="Checked" fmlaLink="$W$899" lockText="1" noThreeD="1"/>
</file>

<file path=xl/ctrlProps/ctrlProp573.xml><?xml version="1.0" encoding="utf-8"?>
<formControlPr xmlns="http://schemas.microsoft.com/office/spreadsheetml/2009/9/main" objectType="CheckBox" fmlaLink="$W$901" lockText="1" noThreeD="1"/>
</file>

<file path=xl/ctrlProps/ctrlProp574.xml><?xml version="1.0" encoding="utf-8"?>
<formControlPr xmlns="http://schemas.microsoft.com/office/spreadsheetml/2009/9/main" objectType="CheckBox" fmlaLink="$W$902" lockText="1" noThreeD="1"/>
</file>

<file path=xl/ctrlProps/ctrlProp575.xml><?xml version="1.0" encoding="utf-8"?>
<formControlPr xmlns="http://schemas.microsoft.com/office/spreadsheetml/2009/9/main" objectType="CheckBox" fmlaLink="$W$907" lockText="1" noThreeD="1"/>
</file>

<file path=xl/ctrlProps/ctrlProp576.xml><?xml version="1.0" encoding="utf-8"?>
<formControlPr xmlns="http://schemas.microsoft.com/office/spreadsheetml/2009/9/main" objectType="CheckBox" fmlaLink="$W$924" lockText="1" noThreeD="1"/>
</file>

<file path=xl/ctrlProps/ctrlProp577.xml><?xml version="1.0" encoding="utf-8"?>
<formControlPr xmlns="http://schemas.microsoft.com/office/spreadsheetml/2009/9/main" objectType="CheckBox" fmlaLink="$W$937" lockText="1" noThreeD="1"/>
</file>

<file path=xl/ctrlProps/ctrlProp578.xml><?xml version="1.0" encoding="utf-8"?>
<formControlPr xmlns="http://schemas.microsoft.com/office/spreadsheetml/2009/9/main" objectType="CheckBox" fmlaLink="$W$946" lockText="1" noThreeD="1"/>
</file>

<file path=xl/ctrlProps/ctrlProp579.xml><?xml version="1.0" encoding="utf-8"?>
<formControlPr xmlns="http://schemas.microsoft.com/office/spreadsheetml/2009/9/main" objectType="CheckBox" fmlaLink="$W$955" lockText="1" noThreeD="1"/>
</file>

<file path=xl/ctrlProps/ctrlProp58.xml><?xml version="1.0" encoding="utf-8"?>
<formControlPr xmlns="http://schemas.microsoft.com/office/spreadsheetml/2009/9/main" objectType="CheckBox" fmlaLink="$W$212" lockText="1" noThreeD="1"/>
</file>

<file path=xl/ctrlProps/ctrlProp580.xml><?xml version="1.0" encoding="utf-8"?>
<formControlPr xmlns="http://schemas.microsoft.com/office/spreadsheetml/2009/9/main" objectType="CheckBox" fmlaLink="$W$1007" lockText="1" noThreeD="1"/>
</file>

<file path=xl/ctrlProps/ctrlProp581.xml><?xml version="1.0" encoding="utf-8"?>
<formControlPr xmlns="http://schemas.microsoft.com/office/spreadsheetml/2009/9/main" objectType="CheckBox" fmlaLink="$W$1048" lockText="1" noThreeD="1"/>
</file>

<file path=xl/ctrlProps/ctrlProp582.xml><?xml version="1.0" encoding="utf-8"?>
<formControlPr xmlns="http://schemas.microsoft.com/office/spreadsheetml/2009/9/main" objectType="CheckBox" fmlaLink="$W$1051" lockText="1" noThreeD="1"/>
</file>

<file path=xl/ctrlProps/ctrlProp583.xml><?xml version="1.0" encoding="utf-8"?>
<formControlPr xmlns="http://schemas.microsoft.com/office/spreadsheetml/2009/9/main" objectType="CheckBox" fmlaLink="$W$1061" lockText="1" noThreeD="1"/>
</file>

<file path=xl/ctrlProps/ctrlProp584.xml><?xml version="1.0" encoding="utf-8"?>
<formControlPr xmlns="http://schemas.microsoft.com/office/spreadsheetml/2009/9/main" objectType="CheckBox" fmlaLink="$W$1068" lockText="1" noThreeD="1"/>
</file>

<file path=xl/ctrlProps/ctrlProp585.xml><?xml version="1.0" encoding="utf-8"?>
<formControlPr xmlns="http://schemas.microsoft.com/office/spreadsheetml/2009/9/main" objectType="CheckBox" fmlaLink="$W$1074" lockText="1" noThreeD="1"/>
</file>

<file path=xl/ctrlProps/ctrlProp586.xml><?xml version="1.0" encoding="utf-8"?>
<formControlPr xmlns="http://schemas.microsoft.com/office/spreadsheetml/2009/9/main" objectType="CheckBox" fmlaLink="$W$1076" lockText="1" noThreeD="1"/>
</file>

<file path=xl/ctrlProps/ctrlProp587.xml><?xml version="1.0" encoding="utf-8"?>
<formControlPr xmlns="http://schemas.microsoft.com/office/spreadsheetml/2009/9/main" objectType="CheckBox" fmlaLink="$W$1079" lockText="1" noThreeD="1"/>
</file>

<file path=xl/ctrlProps/ctrlProp588.xml><?xml version="1.0" encoding="utf-8"?>
<formControlPr xmlns="http://schemas.microsoft.com/office/spreadsheetml/2009/9/main" objectType="CheckBox" fmlaLink="$W$1080" lockText="1" noThreeD="1"/>
</file>

<file path=xl/ctrlProps/ctrlProp589.xml><?xml version="1.0" encoding="utf-8"?>
<formControlPr xmlns="http://schemas.microsoft.com/office/spreadsheetml/2009/9/main" objectType="CheckBox" fmlaLink="$W$1082" lockText="1" noThreeD="1"/>
</file>

<file path=xl/ctrlProps/ctrlProp59.xml><?xml version="1.0" encoding="utf-8"?>
<formControlPr xmlns="http://schemas.microsoft.com/office/spreadsheetml/2009/9/main" objectType="CheckBox" fmlaLink="$W$213" lockText="1" noThreeD="1"/>
</file>

<file path=xl/ctrlProps/ctrlProp590.xml><?xml version="1.0" encoding="utf-8"?>
<formControlPr xmlns="http://schemas.microsoft.com/office/spreadsheetml/2009/9/main" objectType="CheckBox" fmlaLink="$W$1112" lockText="1" noThreeD="1"/>
</file>

<file path=xl/ctrlProps/ctrlProp591.xml><?xml version="1.0" encoding="utf-8"?>
<formControlPr xmlns="http://schemas.microsoft.com/office/spreadsheetml/2009/9/main" objectType="CheckBox" fmlaLink="$W$1114" lockText="1" noThreeD="1"/>
</file>

<file path=xl/ctrlProps/ctrlProp592.xml><?xml version="1.0" encoding="utf-8"?>
<formControlPr xmlns="http://schemas.microsoft.com/office/spreadsheetml/2009/9/main" objectType="CheckBox" fmlaLink="$W$1116" lockText="1" noThreeD="1"/>
</file>

<file path=xl/ctrlProps/ctrlProp593.xml><?xml version="1.0" encoding="utf-8"?>
<formControlPr xmlns="http://schemas.microsoft.com/office/spreadsheetml/2009/9/main" objectType="CheckBox" fmlaLink="$W$1128" lockText="1" noThreeD="1"/>
</file>

<file path=xl/ctrlProps/ctrlProp594.xml><?xml version="1.0" encoding="utf-8"?>
<formControlPr xmlns="http://schemas.microsoft.com/office/spreadsheetml/2009/9/main" objectType="CheckBox" fmlaLink="$W$1130" lockText="1" noThreeD="1"/>
</file>

<file path=xl/ctrlProps/ctrlProp595.xml><?xml version="1.0" encoding="utf-8"?>
<formControlPr xmlns="http://schemas.microsoft.com/office/spreadsheetml/2009/9/main" objectType="CheckBox" fmlaLink="$W$1132" lockText="1" noThreeD="1"/>
</file>

<file path=xl/ctrlProps/ctrlProp596.xml><?xml version="1.0" encoding="utf-8"?>
<formControlPr xmlns="http://schemas.microsoft.com/office/spreadsheetml/2009/9/main" objectType="CheckBox" fmlaLink="$W$1135" lockText="1" noThreeD="1"/>
</file>

<file path=xl/ctrlProps/ctrlProp597.xml><?xml version="1.0" encoding="utf-8"?>
<formControlPr xmlns="http://schemas.microsoft.com/office/spreadsheetml/2009/9/main" objectType="CheckBox" fmlaLink="$W$1136" lockText="1" noThreeD="1"/>
</file>

<file path=xl/ctrlProps/ctrlProp598.xml><?xml version="1.0" encoding="utf-8"?>
<formControlPr xmlns="http://schemas.microsoft.com/office/spreadsheetml/2009/9/main" objectType="CheckBox" fmlaLink="$W$1137" lockText="1" noThreeD="1"/>
</file>

<file path=xl/ctrlProps/ctrlProp599.xml><?xml version="1.0" encoding="utf-8"?>
<formControlPr xmlns="http://schemas.microsoft.com/office/spreadsheetml/2009/9/main" objectType="CheckBox" fmlaLink="$W$1140" lockText="1" noThreeD="1"/>
</file>

<file path=xl/ctrlProps/ctrlProp6.xml><?xml version="1.0" encoding="utf-8"?>
<formControlPr xmlns="http://schemas.microsoft.com/office/spreadsheetml/2009/9/main" objectType="CheckBox" fmlaLink="$W$22" lockText="1" noThreeD="1"/>
</file>

<file path=xl/ctrlProps/ctrlProp60.xml><?xml version="1.0" encoding="utf-8"?>
<formControlPr xmlns="http://schemas.microsoft.com/office/spreadsheetml/2009/9/main" objectType="CheckBox" fmlaLink="$W$214" lockText="1" noThreeD="1"/>
</file>

<file path=xl/ctrlProps/ctrlProp600.xml><?xml version="1.0" encoding="utf-8"?>
<formControlPr xmlns="http://schemas.microsoft.com/office/spreadsheetml/2009/9/main" objectType="CheckBox" fmlaLink="$W$1168" lockText="1" noThreeD="1"/>
</file>

<file path=xl/ctrlProps/ctrlProp601.xml><?xml version="1.0" encoding="utf-8"?>
<formControlPr xmlns="http://schemas.microsoft.com/office/spreadsheetml/2009/9/main" objectType="CheckBox" fmlaLink="$W$1176" lockText="1" noThreeD="1"/>
</file>

<file path=xl/ctrlProps/ctrlProp602.xml><?xml version="1.0" encoding="utf-8"?>
<formControlPr xmlns="http://schemas.microsoft.com/office/spreadsheetml/2009/9/main" objectType="CheckBox" fmlaLink="$W$1178" lockText="1" noThreeD="1"/>
</file>

<file path=xl/ctrlProps/ctrlProp603.xml><?xml version="1.0" encoding="utf-8"?>
<formControlPr xmlns="http://schemas.microsoft.com/office/spreadsheetml/2009/9/main" objectType="CheckBox" fmlaLink="$W$1179" lockText="1" noThreeD="1"/>
</file>

<file path=xl/ctrlProps/ctrlProp604.xml><?xml version="1.0" encoding="utf-8"?>
<formControlPr xmlns="http://schemas.microsoft.com/office/spreadsheetml/2009/9/main" objectType="CheckBox" fmlaLink="$W$1180" lockText="1" noThreeD="1"/>
</file>

<file path=xl/ctrlProps/ctrlProp605.xml><?xml version="1.0" encoding="utf-8"?>
<formControlPr xmlns="http://schemas.microsoft.com/office/spreadsheetml/2009/9/main" objectType="CheckBox" fmlaLink="$W$1182" lockText="1" noThreeD="1"/>
</file>

<file path=xl/ctrlProps/ctrlProp606.xml><?xml version="1.0" encoding="utf-8"?>
<formControlPr xmlns="http://schemas.microsoft.com/office/spreadsheetml/2009/9/main" objectType="CheckBox" fmlaLink="$W$1185" lockText="1" noThreeD="1"/>
</file>

<file path=xl/ctrlProps/ctrlProp607.xml><?xml version="1.0" encoding="utf-8"?>
<formControlPr xmlns="http://schemas.microsoft.com/office/spreadsheetml/2009/9/main" objectType="CheckBox" fmlaLink="$W$1186" lockText="1" noThreeD="1"/>
</file>

<file path=xl/ctrlProps/ctrlProp608.xml><?xml version="1.0" encoding="utf-8"?>
<formControlPr xmlns="http://schemas.microsoft.com/office/spreadsheetml/2009/9/main" objectType="CheckBox" fmlaLink="$W$1191" lockText="1" noThreeD="1"/>
</file>

<file path=xl/ctrlProps/ctrlProp609.xml><?xml version="1.0" encoding="utf-8"?>
<formControlPr xmlns="http://schemas.microsoft.com/office/spreadsheetml/2009/9/main" objectType="CheckBox" fmlaLink="$W$1193" lockText="1" noThreeD="1"/>
</file>

<file path=xl/ctrlProps/ctrlProp61.xml><?xml version="1.0" encoding="utf-8"?>
<formControlPr xmlns="http://schemas.microsoft.com/office/spreadsheetml/2009/9/main" objectType="CheckBox" fmlaLink="$W$215" lockText="1" noThreeD="1"/>
</file>

<file path=xl/ctrlProps/ctrlProp610.xml><?xml version="1.0" encoding="utf-8"?>
<formControlPr xmlns="http://schemas.microsoft.com/office/spreadsheetml/2009/9/main" objectType="CheckBox" fmlaLink="$W$1195" lockText="1" noThreeD="1"/>
</file>

<file path=xl/ctrlProps/ctrlProp611.xml><?xml version="1.0" encoding="utf-8"?>
<formControlPr xmlns="http://schemas.microsoft.com/office/spreadsheetml/2009/9/main" objectType="CheckBox" fmlaLink="$W$1197" lockText="1" noThreeD="1"/>
</file>

<file path=xl/ctrlProps/ctrlProp612.xml><?xml version="1.0" encoding="utf-8"?>
<formControlPr xmlns="http://schemas.microsoft.com/office/spreadsheetml/2009/9/main" objectType="CheckBox" fmlaLink="$W$1238" lockText="1" noThreeD="1"/>
</file>

<file path=xl/ctrlProps/ctrlProp613.xml><?xml version="1.0" encoding="utf-8"?>
<formControlPr xmlns="http://schemas.microsoft.com/office/spreadsheetml/2009/9/main" objectType="CheckBox" fmlaLink="$W$1255" lockText="1" noThreeD="1"/>
</file>

<file path=xl/ctrlProps/ctrlProp614.xml><?xml version="1.0" encoding="utf-8"?>
<formControlPr xmlns="http://schemas.microsoft.com/office/spreadsheetml/2009/9/main" objectType="CheckBox" fmlaLink="$W$1258" lockText="1" noThreeD="1"/>
</file>

<file path=xl/ctrlProps/ctrlProp615.xml><?xml version="1.0" encoding="utf-8"?>
<formControlPr xmlns="http://schemas.microsoft.com/office/spreadsheetml/2009/9/main" objectType="CheckBox" fmlaLink="$W$1263" lockText="1" noThreeD="1"/>
</file>

<file path=xl/ctrlProps/ctrlProp616.xml><?xml version="1.0" encoding="utf-8"?>
<formControlPr xmlns="http://schemas.microsoft.com/office/spreadsheetml/2009/9/main" objectType="CheckBox" checked="Checked" fmlaLink="$W$1264" lockText="1" noThreeD="1"/>
</file>

<file path=xl/ctrlProps/ctrlProp617.xml><?xml version="1.0" encoding="utf-8"?>
<formControlPr xmlns="http://schemas.microsoft.com/office/spreadsheetml/2009/9/main" objectType="CheckBox" checked="Checked" fmlaLink="$W$1268" lockText="1" noThreeD="1"/>
</file>

<file path=xl/ctrlProps/ctrlProp618.xml><?xml version="1.0" encoding="utf-8"?>
<formControlPr xmlns="http://schemas.microsoft.com/office/spreadsheetml/2009/9/main" objectType="CheckBox" checked="Checked" fmlaLink="$W$1273" lockText="1" noThreeD="1"/>
</file>

<file path=xl/ctrlProps/ctrlProp619.xml><?xml version="1.0" encoding="utf-8"?>
<formControlPr xmlns="http://schemas.microsoft.com/office/spreadsheetml/2009/9/main" objectType="CheckBox" fmlaLink="$W$1298" lockText="1" noThreeD="1"/>
</file>

<file path=xl/ctrlProps/ctrlProp62.xml><?xml version="1.0" encoding="utf-8"?>
<formControlPr xmlns="http://schemas.microsoft.com/office/spreadsheetml/2009/9/main" objectType="CheckBox" checked="Checked" fmlaLink="$W$217" lockText="1" noThreeD="1"/>
</file>

<file path=xl/ctrlProps/ctrlProp620.xml><?xml version="1.0" encoding="utf-8"?>
<formControlPr xmlns="http://schemas.microsoft.com/office/spreadsheetml/2009/9/main" objectType="CheckBox" fmlaLink="$W$1301" lockText="1" noThreeD="1"/>
</file>

<file path=xl/ctrlProps/ctrlProp621.xml><?xml version="1.0" encoding="utf-8"?>
<formControlPr xmlns="http://schemas.microsoft.com/office/spreadsheetml/2009/9/main" objectType="CheckBox" fmlaLink="$W$1315" lockText="1" noThreeD="1"/>
</file>

<file path=xl/ctrlProps/ctrlProp622.xml><?xml version="1.0" encoding="utf-8"?>
<formControlPr xmlns="http://schemas.microsoft.com/office/spreadsheetml/2009/9/main" objectType="CheckBox" fmlaLink="$W$1327" lockText="1" noThreeD="1"/>
</file>

<file path=xl/ctrlProps/ctrlProp623.xml><?xml version="1.0" encoding="utf-8"?>
<formControlPr xmlns="http://schemas.microsoft.com/office/spreadsheetml/2009/9/main" objectType="CheckBox" fmlaLink="$W$1329" lockText="1" noThreeD="1"/>
</file>

<file path=xl/ctrlProps/ctrlProp624.xml><?xml version="1.0" encoding="utf-8"?>
<formControlPr xmlns="http://schemas.microsoft.com/office/spreadsheetml/2009/9/main" objectType="CheckBox" fmlaLink="$W$1331" lockText="1" noThreeD="1"/>
</file>

<file path=xl/ctrlProps/ctrlProp625.xml><?xml version="1.0" encoding="utf-8"?>
<formControlPr xmlns="http://schemas.microsoft.com/office/spreadsheetml/2009/9/main" objectType="CheckBox" checked="Checked" fmlaLink="$W$1338" lockText="1" noThreeD="1"/>
</file>

<file path=xl/ctrlProps/ctrlProp626.xml><?xml version="1.0" encoding="utf-8"?>
<formControlPr xmlns="http://schemas.microsoft.com/office/spreadsheetml/2009/9/main" objectType="CheckBox" fmlaLink="$W$1339" lockText="1" noThreeD="1"/>
</file>

<file path=xl/ctrlProps/ctrlProp627.xml><?xml version="1.0" encoding="utf-8"?>
<formControlPr xmlns="http://schemas.microsoft.com/office/spreadsheetml/2009/9/main" objectType="CheckBox" fmlaLink="$W$1340" lockText="1" noThreeD="1"/>
</file>

<file path=xl/ctrlProps/ctrlProp628.xml><?xml version="1.0" encoding="utf-8"?>
<formControlPr xmlns="http://schemas.microsoft.com/office/spreadsheetml/2009/9/main" objectType="CheckBox" fmlaLink="$W$1341" lockText="1" noThreeD="1"/>
</file>

<file path=xl/ctrlProps/ctrlProp629.xml><?xml version="1.0" encoding="utf-8"?>
<formControlPr xmlns="http://schemas.microsoft.com/office/spreadsheetml/2009/9/main" objectType="CheckBox" fmlaLink="$W$1343" lockText="1" noThreeD="1"/>
</file>

<file path=xl/ctrlProps/ctrlProp63.xml><?xml version="1.0" encoding="utf-8"?>
<formControlPr xmlns="http://schemas.microsoft.com/office/spreadsheetml/2009/9/main" objectType="CheckBox" fmlaLink="$W$224" lockText="1" noThreeD="1"/>
</file>

<file path=xl/ctrlProps/ctrlProp630.xml><?xml version="1.0" encoding="utf-8"?>
<formControlPr xmlns="http://schemas.microsoft.com/office/spreadsheetml/2009/9/main" objectType="CheckBox" fmlaLink="$W$1346" lockText="1" noThreeD="1"/>
</file>

<file path=xl/ctrlProps/ctrlProp631.xml><?xml version="1.0" encoding="utf-8"?>
<formControlPr xmlns="http://schemas.microsoft.com/office/spreadsheetml/2009/9/main" objectType="CheckBox" fmlaLink="$W$1364" lockText="1" noThreeD="1"/>
</file>

<file path=xl/ctrlProps/ctrlProp632.xml><?xml version="1.0" encoding="utf-8"?>
<formControlPr xmlns="http://schemas.microsoft.com/office/spreadsheetml/2009/9/main" objectType="CheckBox" fmlaLink="$W$1365" lockText="1" noThreeD="1"/>
</file>

<file path=xl/ctrlProps/ctrlProp633.xml><?xml version="1.0" encoding="utf-8"?>
<formControlPr xmlns="http://schemas.microsoft.com/office/spreadsheetml/2009/9/main" objectType="CheckBox" fmlaLink="$W$1366" lockText="1" noThreeD="1"/>
</file>

<file path=xl/ctrlProps/ctrlProp634.xml><?xml version="1.0" encoding="utf-8"?>
<formControlPr xmlns="http://schemas.microsoft.com/office/spreadsheetml/2009/9/main" objectType="CheckBox" fmlaLink="$W$1367" lockText="1" noThreeD="1"/>
</file>

<file path=xl/ctrlProps/ctrlProp635.xml><?xml version="1.0" encoding="utf-8"?>
<formControlPr xmlns="http://schemas.microsoft.com/office/spreadsheetml/2009/9/main" objectType="CheckBox" fmlaLink="$W$1368" lockText="1" noThreeD="1"/>
</file>

<file path=xl/ctrlProps/ctrlProp636.xml><?xml version="1.0" encoding="utf-8"?>
<formControlPr xmlns="http://schemas.microsoft.com/office/spreadsheetml/2009/9/main" objectType="CheckBox" fmlaLink="$W$1369" lockText="1" noThreeD="1"/>
</file>

<file path=xl/ctrlProps/ctrlProp637.xml><?xml version="1.0" encoding="utf-8"?>
<formControlPr xmlns="http://schemas.microsoft.com/office/spreadsheetml/2009/9/main" objectType="CheckBox" fmlaLink="$W$1370" lockText="1" noThreeD="1"/>
</file>

<file path=xl/ctrlProps/ctrlProp638.xml><?xml version="1.0" encoding="utf-8"?>
<formControlPr xmlns="http://schemas.microsoft.com/office/spreadsheetml/2009/9/main" objectType="CheckBox" fmlaLink="$W$1371" lockText="1" noThreeD="1"/>
</file>

<file path=xl/ctrlProps/ctrlProp639.xml><?xml version="1.0" encoding="utf-8"?>
<formControlPr xmlns="http://schemas.microsoft.com/office/spreadsheetml/2009/9/main" objectType="CheckBox" fmlaLink="$W$1374" lockText="1" noThreeD="1"/>
</file>

<file path=xl/ctrlProps/ctrlProp64.xml><?xml version="1.0" encoding="utf-8"?>
<formControlPr xmlns="http://schemas.microsoft.com/office/spreadsheetml/2009/9/main" objectType="CheckBox" fmlaLink="$W$226" lockText="1" noThreeD="1"/>
</file>

<file path=xl/ctrlProps/ctrlProp640.xml><?xml version="1.0" encoding="utf-8"?>
<formControlPr xmlns="http://schemas.microsoft.com/office/spreadsheetml/2009/9/main" objectType="CheckBox" fmlaLink="$W$1376" lockText="1" noThreeD="1"/>
</file>

<file path=xl/ctrlProps/ctrlProp641.xml><?xml version="1.0" encoding="utf-8"?>
<formControlPr xmlns="http://schemas.microsoft.com/office/spreadsheetml/2009/9/main" objectType="CheckBox" fmlaLink="$W$1378" lockText="1" noThreeD="1"/>
</file>

<file path=xl/ctrlProps/ctrlProp642.xml><?xml version="1.0" encoding="utf-8"?>
<formControlPr xmlns="http://schemas.microsoft.com/office/spreadsheetml/2009/9/main" objectType="CheckBox" fmlaLink="$W$1389" lockText="1" noThreeD="1"/>
</file>

<file path=xl/ctrlProps/ctrlProp643.xml><?xml version="1.0" encoding="utf-8"?>
<formControlPr xmlns="http://schemas.microsoft.com/office/spreadsheetml/2009/9/main" objectType="CheckBox" fmlaLink="$W$1393" lockText="1" noThreeD="1"/>
</file>

<file path=xl/ctrlProps/ctrlProp644.xml><?xml version="1.0" encoding="utf-8"?>
<formControlPr xmlns="http://schemas.microsoft.com/office/spreadsheetml/2009/9/main" objectType="CheckBox" fmlaLink="$W$1394" lockText="1" noThreeD="1"/>
</file>

<file path=xl/ctrlProps/ctrlProp645.xml><?xml version="1.0" encoding="utf-8"?>
<formControlPr xmlns="http://schemas.microsoft.com/office/spreadsheetml/2009/9/main" objectType="CheckBox" fmlaLink="$W$1397" lockText="1" noThreeD="1"/>
</file>

<file path=xl/ctrlProps/ctrlProp646.xml><?xml version="1.0" encoding="utf-8"?>
<formControlPr xmlns="http://schemas.microsoft.com/office/spreadsheetml/2009/9/main" objectType="CheckBox" fmlaLink="$W$1400" lockText="1" noThreeD="1"/>
</file>

<file path=xl/ctrlProps/ctrlProp647.xml><?xml version="1.0" encoding="utf-8"?>
<formControlPr xmlns="http://schemas.microsoft.com/office/spreadsheetml/2009/9/main" objectType="CheckBox" fmlaLink="$W$1437" lockText="1" noThreeD="1"/>
</file>

<file path=xl/ctrlProps/ctrlProp648.xml><?xml version="1.0" encoding="utf-8"?>
<formControlPr xmlns="http://schemas.microsoft.com/office/spreadsheetml/2009/9/main" objectType="CheckBox" checked="Checked" fmlaLink="$W$1442" lockText="1" noThreeD="1"/>
</file>

<file path=xl/ctrlProps/ctrlProp649.xml><?xml version="1.0" encoding="utf-8"?>
<formControlPr xmlns="http://schemas.microsoft.com/office/spreadsheetml/2009/9/main" objectType="CheckBox" checked="Checked" fmlaLink="$W$1473" lockText="1" noThreeD="1"/>
</file>

<file path=xl/ctrlProps/ctrlProp65.xml><?xml version="1.0" encoding="utf-8"?>
<formControlPr xmlns="http://schemas.microsoft.com/office/spreadsheetml/2009/9/main" objectType="CheckBox" fmlaLink="$W$239" lockText="1" noThreeD="1"/>
</file>

<file path=xl/ctrlProps/ctrlProp650.xml><?xml version="1.0" encoding="utf-8"?>
<formControlPr xmlns="http://schemas.microsoft.com/office/spreadsheetml/2009/9/main" objectType="CheckBox" checked="Checked" fmlaLink="$W$1487" lockText="1" noThreeD="1"/>
</file>

<file path=xl/ctrlProps/ctrlProp651.xml><?xml version="1.0" encoding="utf-8"?>
<formControlPr xmlns="http://schemas.microsoft.com/office/spreadsheetml/2009/9/main" objectType="CheckBox" fmlaLink="$W$1494" lockText="1" noThreeD="1"/>
</file>

<file path=xl/ctrlProps/ctrlProp652.xml><?xml version="1.0" encoding="utf-8"?>
<formControlPr xmlns="http://schemas.microsoft.com/office/spreadsheetml/2009/9/main" objectType="CheckBox" fmlaLink="$W$1496" lockText="1" noThreeD="1"/>
</file>

<file path=xl/ctrlProps/ctrlProp653.xml><?xml version="1.0" encoding="utf-8"?>
<formControlPr xmlns="http://schemas.microsoft.com/office/spreadsheetml/2009/9/main" objectType="CheckBox" fmlaLink="$W$1498" lockText="1" noThreeD="1"/>
</file>

<file path=xl/ctrlProps/ctrlProp654.xml><?xml version="1.0" encoding="utf-8"?>
<formControlPr xmlns="http://schemas.microsoft.com/office/spreadsheetml/2009/9/main" objectType="CheckBox" fmlaLink="$W$1502" lockText="1" noThreeD="1"/>
</file>

<file path=xl/ctrlProps/ctrlProp655.xml><?xml version="1.0" encoding="utf-8"?>
<formControlPr xmlns="http://schemas.microsoft.com/office/spreadsheetml/2009/9/main" objectType="CheckBox" fmlaLink="$W$1503" lockText="1" noThreeD="1"/>
</file>

<file path=xl/ctrlProps/ctrlProp656.xml><?xml version="1.0" encoding="utf-8"?>
<formControlPr xmlns="http://schemas.microsoft.com/office/spreadsheetml/2009/9/main" objectType="CheckBox" fmlaLink="$W$1504" lockText="1" noThreeD="1"/>
</file>

<file path=xl/ctrlProps/ctrlProp657.xml><?xml version="1.0" encoding="utf-8"?>
<formControlPr xmlns="http://schemas.microsoft.com/office/spreadsheetml/2009/9/main" objectType="CheckBox" fmlaLink="$W$1512" lockText="1" noThreeD="1"/>
</file>

<file path=xl/ctrlProps/ctrlProp658.xml><?xml version="1.0" encoding="utf-8"?>
<formControlPr xmlns="http://schemas.microsoft.com/office/spreadsheetml/2009/9/main" objectType="CheckBox" fmlaLink="$W$1514" lockText="1" noThreeD="1"/>
</file>

<file path=xl/ctrlProps/ctrlProp659.xml><?xml version="1.0" encoding="utf-8"?>
<formControlPr xmlns="http://schemas.microsoft.com/office/spreadsheetml/2009/9/main" objectType="CheckBox" fmlaLink="$W$1515" lockText="1" noThreeD="1"/>
</file>

<file path=xl/ctrlProps/ctrlProp66.xml><?xml version="1.0" encoding="utf-8"?>
<formControlPr xmlns="http://schemas.microsoft.com/office/spreadsheetml/2009/9/main" objectType="CheckBox" checked="Checked" fmlaLink="$W$242" lockText="1" noThreeD="1"/>
</file>

<file path=xl/ctrlProps/ctrlProp660.xml><?xml version="1.0" encoding="utf-8"?>
<formControlPr xmlns="http://schemas.microsoft.com/office/spreadsheetml/2009/9/main" objectType="CheckBox" fmlaLink="$W$1519" lockText="1" noThreeD="1"/>
</file>

<file path=xl/ctrlProps/ctrlProp661.xml><?xml version="1.0" encoding="utf-8"?>
<formControlPr xmlns="http://schemas.microsoft.com/office/spreadsheetml/2009/9/main" objectType="CheckBox" fmlaLink="$W$1539" lockText="1" noThreeD="1"/>
</file>

<file path=xl/ctrlProps/ctrlProp662.xml><?xml version="1.0" encoding="utf-8"?>
<formControlPr xmlns="http://schemas.microsoft.com/office/spreadsheetml/2009/9/main" objectType="CheckBox" fmlaLink="$W$1540" lockText="1" noThreeD="1"/>
</file>

<file path=xl/ctrlProps/ctrlProp663.xml><?xml version="1.0" encoding="utf-8"?>
<formControlPr xmlns="http://schemas.microsoft.com/office/spreadsheetml/2009/9/main" objectType="CheckBox" fmlaLink="$W$1549" lockText="1" noThreeD="1"/>
</file>

<file path=xl/ctrlProps/ctrlProp664.xml><?xml version="1.0" encoding="utf-8"?>
<formControlPr xmlns="http://schemas.microsoft.com/office/spreadsheetml/2009/9/main" objectType="CheckBox" fmlaLink="$W$1556" lockText="1" noThreeD="1"/>
</file>

<file path=xl/ctrlProps/ctrlProp665.xml><?xml version="1.0" encoding="utf-8"?>
<formControlPr xmlns="http://schemas.microsoft.com/office/spreadsheetml/2009/9/main" objectType="CheckBox" fmlaLink="$W$1557" lockText="1" noThreeD="1"/>
</file>

<file path=xl/ctrlProps/ctrlProp666.xml><?xml version="1.0" encoding="utf-8"?>
<formControlPr xmlns="http://schemas.microsoft.com/office/spreadsheetml/2009/9/main" objectType="CheckBox" fmlaLink="$W$1558" lockText="1" noThreeD="1"/>
</file>

<file path=xl/ctrlProps/ctrlProp667.xml><?xml version="1.0" encoding="utf-8"?>
<formControlPr xmlns="http://schemas.microsoft.com/office/spreadsheetml/2009/9/main" objectType="CheckBox" fmlaLink="$W$1561" lockText="1" noThreeD="1"/>
</file>

<file path=xl/ctrlProps/ctrlProp668.xml><?xml version="1.0" encoding="utf-8"?>
<formControlPr xmlns="http://schemas.microsoft.com/office/spreadsheetml/2009/9/main" objectType="CheckBox" fmlaLink="$W$1563" lockText="1" noThreeD="1"/>
</file>

<file path=xl/ctrlProps/ctrlProp669.xml><?xml version="1.0" encoding="utf-8"?>
<formControlPr xmlns="http://schemas.microsoft.com/office/spreadsheetml/2009/9/main" objectType="CheckBox" fmlaLink="$W$1569" lockText="1" noThreeD="1"/>
</file>

<file path=xl/ctrlProps/ctrlProp67.xml><?xml version="1.0" encoding="utf-8"?>
<formControlPr xmlns="http://schemas.microsoft.com/office/spreadsheetml/2009/9/main" objectType="CheckBox" fmlaLink="$W$246" lockText="1" noThreeD="1"/>
</file>

<file path=xl/ctrlProps/ctrlProp670.xml><?xml version="1.0" encoding="utf-8"?>
<formControlPr xmlns="http://schemas.microsoft.com/office/spreadsheetml/2009/9/main" objectType="CheckBox" checked="Checked" fmlaLink="$W$1575" lockText="1" noThreeD="1"/>
</file>

<file path=xl/ctrlProps/ctrlProp671.xml><?xml version="1.0" encoding="utf-8"?>
<formControlPr xmlns="http://schemas.microsoft.com/office/spreadsheetml/2009/9/main" objectType="CheckBox" checked="Checked" fmlaLink="$W$1590" lockText="1" noThreeD="1"/>
</file>

<file path=xl/ctrlProps/ctrlProp672.xml><?xml version="1.0" encoding="utf-8"?>
<formControlPr xmlns="http://schemas.microsoft.com/office/spreadsheetml/2009/9/main" objectType="CheckBox" fmlaLink="$W$1618" lockText="1" noThreeD="1"/>
</file>

<file path=xl/ctrlProps/ctrlProp673.xml><?xml version="1.0" encoding="utf-8"?>
<formControlPr xmlns="http://schemas.microsoft.com/office/spreadsheetml/2009/9/main" objectType="CheckBox" checked="Checked" fmlaLink="$W$1624" lockText="1" noThreeD="1"/>
</file>

<file path=xl/ctrlProps/ctrlProp674.xml><?xml version="1.0" encoding="utf-8"?>
<formControlPr xmlns="http://schemas.microsoft.com/office/spreadsheetml/2009/9/main" objectType="CheckBox" fmlaLink="$W$1647" lockText="1" noThreeD="1"/>
</file>

<file path=xl/ctrlProps/ctrlProp675.xml><?xml version="1.0" encoding="utf-8"?>
<formControlPr xmlns="http://schemas.microsoft.com/office/spreadsheetml/2009/9/main" objectType="CheckBox" fmlaLink="$W$1649" lockText="1" noThreeD="1"/>
</file>

<file path=xl/ctrlProps/ctrlProp676.xml><?xml version="1.0" encoding="utf-8"?>
<formControlPr xmlns="http://schemas.microsoft.com/office/spreadsheetml/2009/9/main" objectType="CheckBox" checked="Checked" fmlaLink="$W$1652" lockText="1" noThreeD="1"/>
</file>

<file path=xl/ctrlProps/ctrlProp677.xml><?xml version="1.0" encoding="utf-8"?>
<formControlPr xmlns="http://schemas.microsoft.com/office/spreadsheetml/2009/9/main" objectType="CheckBox" fmlaLink="$W$1675" lockText="1" noThreeD="1"/>
</file>

<file path=xl/ctrlProps/ctrlProp678.xml><?xml version="1.0" encoding="utf-8"?>
<formControlPr xmlns="http://schemas.microsoft.com/office/spreadsheetml/2009/9/main" objectType="CheckBox" fmlaLink="$W$1686" lockText="1" noThreeD="1"/>
</file>

<file path=xl/ctrlProps/ctrlProp679.xml><?xml version="1.0" encoding="utf-8"?>
<formControlPr xmlns="http://schemas.microsoft.com/office/spreadsheetml/2009/9/main" objectType="CheckBox" fmlaLink="$W$1688" lockText="1" noThreeD="1"/>
</file>

<file path=xl/ctrlProps/ctrlProp68.xml><?xml version="1.0" encoding="utf-8"?>
<formControlPr xmlns="http://schemas.microsoft.com/office/spreadsheetml/2009/9/main" objectType="CheckBox" fmlaLink="$W$247" lockText="1" noThreeD="1"/>
</file>

<file path=xl/ctrlProps/ctrlProp680.xml><?xml version="1.0" encoding="utf-8"?>
<formControlPr xmlns="http://schemas.microsoft.com/office/spreadsheetml/2009/9/main" objectType="CheckBox" fmlaLink="$W$1689" lockText="1" noThreeD="1"/>
</file>

<file path=xl/ctrlProps/ctrlProp681.xml><?xml version="1.0" encoding="utf-8"?>
<formControlPr xmlns="http://schemas.microsoft.com/office/spreadsheetml/2009/9/main" objectType="CheckBox" fmlaLink="$W$1691" lockText="1" noThreeD="1"/>
</file>

<file path=xl/ctrlProps/ctrlProp682.xml><?xml version="1.0" encoding="utf-8"?>
<formControlPr xmlns="http://schemas.microsoft.com/office/spreadsheetml/2009/9/main" objectType="CheckBox" fmlaLink="$W$1696" lockText="1" noThreeD="1"/>
</file>

<file path=xl/ctrlProps/ctrlProp683.xml><?xml version="1.0" encoding="utf-8"?>
<formControlPr xmlns="http://schemas.microsoft.com/office/spreadsheetml/2009/9/main" objectType="CheckBox" fmlaLink="$W$1705" lockText="1" noThreeD="1"/>
</file>

<file path=xl/ctrlProps/ctrlProp684.xml><?xml version="1.0" encoding="utf-8"?>
<formControlPr xmlns="http://schemas.microsoft.com/office/spreadsheetml/2009/9/main" objectType="CheckBox" fmlaLink="$W$1710" lockText="1" noThreeD="1"/>
</file>

<file path=xl/ctrlProps/ctrlProp685.xml><?xml version="1.0" encoding="utf-8"?>
<formControlPr xmlns="http://schemas.microsoft.com/office/spreadsheetml/2009/9/main" objectType="CheckBox" fmlaLink="$W$1711" lockText="1" noThreeD="1"/>
</file>

<file path=xl/ctrlProps/ctrlProp686.xml><?xml version="1.0" encoding="utf-8"?>
<formControlPr xmlns="http://schemas.microsoft.com/office/spreadsheetml/2009/9/main" objectType="CheckBox" fmlaLink="$W$1715" lockText="1" noThreeD="1"/>
</file>

<file path=xl/ctrlProps/ctrlProp687.xml><?xml version="1.0" encoding="utf-8"?>
<formControlPr xmlns="http://schemas.microsoft.com/office/spreadsheetml/2009/9/main" objectType="CheckBox" fmlaLink="$W$1724" lockText="1" noThreeD="1"/>
</file>

<file path=xl/ctrlProps/ctrlProp688.xml><?xml version="1.0" encoding="utf-8"?>
<formControlPr xmlns="http://schemas.microsoft.com/office/spreadsheetml/2009/9/main" objectType="CheckBox" fmlaLink="$W$1725" lockText="1" noThreeD="1"/>
</file>

<file path=xl/ctrlProps/ctrlProp689.xml><?xml version="1.0" encoding="utf-8"?>
<formControlPr xmlns="http://schemas.microsoft.com/office/spreadsheetml/2009/9/main" objectType="CheckBox" fmlaLink="$W$1728" lockText="1" noThreeD="1"/>
</file>

<file path=xl/ctrlProps/ctrlProp69.xml><?xml version="1.0" encoding="utf-8"?>
<formControlPr xmlns="http://schemas.microsoft.com/office/spreadsheetml/2009/9/main" objectType="CheckBox" fmlaLink="$W$256" lockText="1" noThreeD="1"/>
</file>

<file path=xl/ctrlProps/ctrlProp690.xml><?xml version="1.0" encoding="utf-8"?>
<formControlPr xmlns="http://schemas.microsoft.com/office/spreadsheetml/2009/9/main" objectType="CheckBox" fmlaLink="$W$1730" lockText="1" noThreeD="1"/>
</file>

<file path=xl/ctrlProps/ctrlProp691.xml><?xml version="1.0" encoding="utf-8"?>
<formControlPr xmlns="http://schemas.microsoft.com/office/spreadsheetml/2009/9/main" objectType="CheckBox" checked="Checked" fmlaLink="$W$1736" lockText="1" noThreeD="1"/>
</file>

<file path=xl/ctrlProps/ctrlProp692.xml><?xml version="1.0" encoding="utf-8"?>
<formControlPr xmlns="http://schemas.microsoft.com/office/spreadsheetml/2009/9/main" objectType="CheckBox" fmlaLink="$W$1738" lockText="1" noThreeD="1"/>
</file>

<file path=xl/ctrlProps/ctrlProp693.xml><?xml version="1.0" encoding="utf-8"?>
<formControlPr xmlns="http://schemas.microsoft.com/office/spreadsheetml/2009/9/main" objectType="CheckBox" checked="Checked" fmlaLink="$W$1742" lockText="1" noThreeD="1"/>
</file>

<file path=xl/ctrlProps/ctrlProp694.xml><?xml version="1.0" encoding="utf-8"?>
<formControlPr xmlns="http://schemas.microsoft.com/office/spreadsheetml/2009/9/main" objectType="CheckBox" checked="Checked" fmlaLink="$W$1749" lockText="1" noThreeD="1"/>
</file>

<file path=xl/ctrlProps/ctrlProp695.xml><?xml version="1.0" encoding="utf-8"?>
<formControlPr xmlns="http://schemas.microsoft.com/office/spreadsheetml/2009/9/main" objectType="CheckBox" fmlaLink="$W$1760" lockText="1" noThreeD="1"/>
</file>

<file path=xl/ctrlProps/ctrlProp696.xml><?xml version="1.0" encoding="utf-8"?>
<formControlPr xmlns="http://schemas.microsoft.com/office/spreadsheetml/2009/9/main" objectType="CheckBox" fmlaLink="$W$1762" lockText="1" noThreeD="1"/>
</file>

<file path=xl/ctrlProps/ctrlProp697.xml><?xml version="1.0" encoding="utf-8"?>
<formControlPr xmlns="http://schemas.microsoft.com/office/spreadsheetml/2009/9/main" objectType="CheckBox" fmlaLink="$W$1764" lockText="1" noThreeD="1"/>
</file>

<file path=xl/ctrlProps/ctrlProp698.xml><?xml version="1.0" encoding="utf-8"?>
<formControlPr xmlns="http://schemas.microsoft.com/office/spreadsheetml/2009/9/main" objectType="CheckBox" fmlaLink="$W$1777" lockText="1" noThreeD="1"/>
</file>

<file path=xl/ctrlProps/ctrlProp699.xml><?xml version="1.0" encoding="utf-8"?>
<formControlPr xmlns="http://schemas.microsoft.com/office/spreadsheetml/2009/9/main" objectType="CheckBox" checked="Checked" fmlaLink="$W$1779" lockText="1" noThreeD="1"/>
</file>

<file path=xl/ctrlProps/ctrlProp7.xml><?xml version="1.0" encoding="utf-8"?>
<formControlPr xmlns="http://schemas.microsoft.com/office/spreadsheetml/2009/9/main" objectType="CheckBox" fmlaLink="$W$24" lockText="1" noThreeD="1"/>
</file>

<file path=xl/ctrlProps/ctrlProp70.xml><?xml version="1.0" encoding="utf-8"?>
<formControlPr xmlns="http://schemas.microsoft.com/office/spreadsheetml/2009/9/main" objectType="CheckBox" fmlaLink="$W$257" lockText="1" noThreeD="1"/>
</file>

<file path=xl/ctrlProps/ctrlProp700.xml><?xml version="1.0" encoding="utf-8"?>
<formControlPr xmlns="http://schemas.microsoft.com/office/spreadsheetml/2009/9/main" objectType="CheckBox" fmlaLink="$W$1782" lockText="1" noThreeD="1"/>
</file>

<file path=xl/ctrlProps/ctrlProp701.xml><?xml version="1.0" encoding="utf-8"?>
<formControlPr xmlns="http://schemas.microsoft.com/office/spreadsheetml/2009/9/main" objectType="CheckBox" fmlaLink="$W$1791" lockText="1" noThreeD="1"/>
</file>

<file path=xl/ctrlProps/ctrlProp702.xml><?xml version="1.0" encoding="utf-8"?>
<formControlPr xmlns="http://schemas.microsoft.com/office/spreadsheetml/2009/9/main" objectType="CheckBox" fmlaLink="$W$1794" lockText="1" noThreeD="1"/>
</file>

<file path=xl/ctrlProps/ctrlProp703.xml><?xml version="1.0" encoding="utf-8"?>
<formControlPr xmlns="http://schemas.microsoft.com/office/spreadsheetml/2009/9/main" objectType="CheckBox" fmlaLink="$W$1796" lockText="1" noThreeD="1"/>
</file>

<file path=xl/ctrlProps/ctrlProp704.xml><?xml version="1.0" encoding="utf-8"?>
<formControlPr xmlns="http://schemas.microsoft.com/office/spreadsheetml/2009/9/main" objectType="CheckBox" fmlaLink="$W$1799" lockText="1" noThreeD="1"/>
</file>

<file path=xl/ctrlProps/ctrlProp705.xml><?xml version="1.0" encoding="utf-8"?>
<formControlPr xmlns="http://schemas.microsoft.com/office/spreadsheetml/2009/9/main" objectType="CheckBox" checked="Checked" fmlaLink="$W$1801" lockText="1" noThreeD="1"/>
</file>

<file path=xl/ctrlProps/ctrlProp706.xml><?xml version="1.0" encoding="utf-8"?>
<formControlPr xmlns="http://schemas.microsoft.com/office/spreadsheetml/2009/9/main" objectType="CheckBox" fmlaLink="$W$1815" lockText="1" noThreeD="1"/>
</file>

<file path=xl/ctrlProps/ctrlProp707.xml><?xml version="1.0" encoding="utf-8"?>
<formControlPr xmlns="http://schemas.microsoft.com/office/spreadsheetml/2009/9/main" objectType="CheckBox" fmlaLink="$W$1816" lockText="1" noThreeD="1"/>
</file>

<file path=xl/ctrlProps/ctrlProp708.xml><?xml version="1.0" encoding="utf-8"?>
<formControlPr xmlns="http://schemas.microsoft.com/office/spreadsheetml/2009/9/main" objectType="CheckBox" fmlaLink="$W$1821" lockText="1" noThreeD="1"/>
</file>

<file path=xl/ctrlProps/ctrlProp709.xml><?xml version="1.0" encoding="utf-8"?>
<formControlPr xmlns="http://schemas.microsoft.com/office/spreadsheetml/2009/9/main" objectType="CheckBox" fmlaLink="$W$1826" lockText="1" noThreeD="1"/>
</file>

<file path=xl/ctrlProps/ctrlProp71.xml><?xml version="1.0" encoding="utf-8"?>
<formControlPr xmlns="http://schemas.microsoft.com/office/spreadsheetml/2009/9/main" objectType="CheckBox" fmlaLink="$W$259" lockText="1" noThreeD="1"/>
</file>

<file path=xl/ctrlProps/ctrlProp710.xml><?xml version="1.0" encoding="utf-8"?>
<formControlPr xmlns="http://schemas.microsoft.com/office/spreadsheetml/2009/9/main" objectType="CheckBox" fmlaLink="$W$1830" lockText="1" noThreeD="1"/>
</file>

<file path=xl/ctrlProps/ctrlProp711.xml><?xml version="1.0" encoding="utf-8"?>
<formControlPr xmlns="http://schemas.microsoft.com/office/spreadsheetml/2009/9/main" objectType="CheckBox" fmlaLink="$W$1835" lockText="1" noThreeD="1"/>
</file>

<file path=xl/ctrlProps/ctrlProp712.xml><?xml version="1.0" encoding="utf-8"?>
<formControlPr xmlns="http://schemas.microsoft.com/office/spreadsheetml/2009/9/main" objectType="CheckBox" checked="Checked" fmlaLink="$W$1843" lockText="1" noThreeD="1"/>
</file>

<file path=xl/ctrlProps/ctrlProp713.xml><?xml version="1.0" encoding="utf-8"?>
<formControlPr xmlns="http://schemas.microsoft.com/office/spreadsheetml/2009/9/main" objectType="CheckBox" checked="Checked" fmlaLink="$W$1844" lockText="1" noThreeD="1"/>
</file>

<file path=xl/ctrlProps/ctrlProp714.xml><?xml version="1.0" encoding="utf-8"?>
<formControlPr xmlns="http://schemas.microsoft.com/office/spreadsheetml/2009/9/main" objectType="CheckBox" checked="Checked" fmlaLink="$W$1845" lockText="1" noThreeD="1"/>
</file>

<file path=xl/ctrlProps/ctrlProp715.xml><?xml version="1.0" encoding="utf-8"?>
<formControlPr xmlns="http://schemas.microsoft.com/office/spreadsheetml/2009/9/main" objectType="CheckBox" checked="Checked" fmlaLink="$W$1849" lockText="1" noThreeD="1"/>
</file>

<file path=xl/ctrlProps/ctrlProp716.xml><?xml version="1.0" encoding="utf-8"?>
<formControlPr xmlns="http://schemas.microsoft.com/office/spreadsheetml/2009/9/main" objectType="CheckBox" checked="Checked" fmlaLink="$W$1850" lockText="1" noThreeD="1"/>
</file>

<file path=xl/ctrlProps/ctrlProp717.xml><?xml version="1.0" encoding="utf-8"?>
<formControlPr xmlns="http://schemas.microsoft.com/office/spreadsheetml/2009/9/main" objectType="CheckBox" checked="Checked" fmlaLink="$W$1851" lockText="1" noThreeD="1"/>
</file>

<file path=xl/ctrlProps/ctrlProp718.xml><?xml version="1.0" encoding="utf-8"?>
<formControlPr xmlns="http://schemas.microsoft.com/office/spreadsheetml/2009/9/main" objectType="CheckBox" checked="Checked" fmlaLink="$W$1853" lockText="1" noThreeD="1"/>
</file>

<file path=xl/ctrlProps/ctrlProp719.xml><?xml version="1.0" encoding="utf-8"?>
<formControlPr xmlns="http://schemas.microsoft.com/office/spreadsheetml/2009/9/main" objectType="CheckBox" checked="Checked" fmlaLink="$W$1855" lockText="1" noThreeD="1"/>
</file>

<file path=xl/ctrlProps/ctrlProp72.xml><?xml version="1.0" encoding="utf-8"?>
<formControlPr xmlns="http://schemas.microsoft.com/office/spreadsheetml/2009/9/main" objectType="CheckBox" checked="Checked" fmlaLink="$W$29" lockText="1" noThreeD="1"/>
</file>

<file path=xl/ctrlProps/ctrlProp720.xml><?xml version="1.0" encoding="utf-8"?>
<formControlPr xmlns="http://schemas.microsoft.com/office/spreadsheetml/2009/9/main" objectType="CheckBox" checked="Checked" fmlaLink="$W$1856" lockText="1" noThreeD="1"/>
</file>

<file path=xl/ctrlProps/ctrlProp721.xml><?xml version="1.0" encoding="utf-8"?>
<formControlPr xmlns="http://schemas.microsoft.com/office/spreadsheetml/2009/9/main" objectType="CheckBox" checked="Checked" fmlaLink="$W$1858" lockText="1" noThreeD="1"/>
</file>

<file path=xl/ctrlProps/ctrlProp722.xml><?xml version="1.0" encoding="utf-8"?>
<formControlPr xmlns="http://schemas.microsoft.com/office/spreadsheetml/2009/9/main" objectType="CheckBox" checked="Checked" fmlaLink="$W$1859" lockText="1" noThreeD="1"/>
</file>

<file path=xl/ctrlProps/ctrlProp723.xml><?xml version="1.0" encoding="utf-8"?>
<formControlPr xmlns="http://schemas.microsoft.com/office/spreadsheetml/2009/9/main" objectType="CheckBox" fmlaLink="$W$1860" lockText="1" noThreeD="1"/>
</file>

<file path=xl/ctrlProps/ctrlProp724.xml><?xml version="1.0" encoding="utf-8"?>
<formControlPr xmlns="http://schemas.microsoft.com/office/spreadsheetml/2009/9/main" objectType="CheckBox" checked="Checked" fmlaLink="$W$1866" lockText="1" noThreeD="1"/>
</file>

<file path=xl/ctrlProps/ctrlProp725.xml><?xml version="1.0" encoding="utf-8"?>
<formControlPr xmlns="http://schemas.microsoft.com/office/spreadsheetml/2009/9/main" objectType="CheckBox" fmlaLink="$W$1870" lockText="1" noThreeD="1"/>
</file>

<file path=xl/ctrlProps/ctrlProp726.xml><?xml version="1.0" encoding="utf-8"?>
<formControlPr xmlns="http://schemas.microsoft.com/office/spreadsheetml/2009/9/main" objectType="CheckBox" checked="Checked" fmlaLink="$W$1872" lockText="1" noThreeD="1"/>
</file>

<file path=xl/ctrlProps/ctrlProp727.xml><?xml version="1.0" encoding="utf-8"?>
<formControlPr xmlns="http://schemas.microsoft.com/office/spreadsheetml/2009/9/main" objectType="CheckBox" checked="Checked" fmlaLink="$W$1874" lockText="1" noThreeD="1"/>
</file>

<file path=xl/ctrlProps/ctrlProp728.xml><?xml version="1.0" encoding="utf-8"?>
<formControlPr xmlns="http://schemas.microsoft.com/office/spreadsheetml/2009/9/main" objectType="CheckBox" checked="Checked" fmlaLink="$W$1875" lockText="1" noThreeD="1"/>
</file>

<file path=xl/ctrlProps/ctrlProp729.xml><?xml version="1.0" encoding="utf-8"?>
<formControlPr xmlns="http://schemas.microsoft.com/office/spreadsheetml/2009/9/main" objectType="CheckBox" checked="Checked" fmlaLink="$W$1877" lockText="1" noThreeD="1"/>
</file>

<file path=xl/ctrlProps/ctrlProp73.xml><?xml version="1.0" encoding="utf-8"?>
<formControlPr xmlns="http://schemas.microsoft.com/office/spreadsheetml/2009/9/main" objectType="CheckBox" fmlaLink="$W$32" lockText="1" noThreeD="1"/>
</file>

<file path=xl/ctrlProps/ctrlProp730.xml><?xml version="1.0" encoding="utf-8"?>
<formControlPr xmlns="http://schemas.microsoft.com/office/spreadsheetml/2009/9/main" objectType="CheckBox" checked="Checked" fmlaLink="$W$1879" lockText="1" noThreeD="1"/>
</file>

<file path=xl/ctrlProps/ctrlProp731.xml><?xml version="1.0" encoding="utf-8"?>
<formControlPr xmlns="http://schemas.microsoft.com/office/spreadsheetml/2009/9/main" objectType="CheckBox" checked="Checked" fmlaLink="$W$1880" lockText="1" noThreeD="1"/>
</file>

<file path=xl/ctrlProps/ctrlProp732.xml><?xml version="1.0" encoding="utf-8"?>
<formControlPr xmlns="http://schemas.microsoft.com/office/spreadsheetml/2009/9/main" objectType="CheckBox" checked="Checked" fmlaLink="$W$1882" lockText="1" noThreeD="1"/>
</file>

<file path=xl/ctrlProps/ctrlProp733.xml><?xml version="1.0" encoding="utf-8"?>
<formControlPr xmlns="http://schemas.microsoft.com/office/spreadsheetml/2009/9/main" objectType="CheckBox" fmlaLink="$W$1884" lockText="1" noThreeD="1"/>
</file>

<file path=xl/ctrlProps/ctrlProp734.xml><?xml version="1.0" encoding="utf-8"?>
<formControlPr xmlns="http://schemas.microsoft.com/office/spreadsheetml/2009/9/main" objectType="CheckBox" checked="Checked" fmlaLink="$W$1886" lockText="1" noThreeD="1"/>
</file>

<file path=xl/ctrlProps/ctrlProp735.xml><?xml version="1.0" encoding="utf-8"?>
<formControlPr xmlns="http://schemas.microsoft.com/office/spreadsheetml/2009/9/main" objectType="CheckBox" fmlaLink="$W$1887" lockText="1" noThreeD="1"/>
</file>

<file path=xl/ctrlProps/ctrlProp736.xml><?xml version="1.0" encoding="utf-8"?>
<formControlPr xmlns="http://schemas.microsoft.com/office/spreadsheetml/2009/9/main" objectType="CheckBox" checked="Checked" fmlaLink="$W$1888" lockText="1" noThreeD="1"/>
</file>

<file path=xl/ctrlProps/ctrlProp737.xml><?xml version="1.0" encoding="utf-8"?>
<formControlPr xmlns="http://schemas.microsoft.com/office/spreadsheetml/2009/9/main" objectType="CheckBox" fmlaLink="$W$1909" lockText="1" noThreeD="1"/>
</file>

<file path=xl/ctrlProps/ctrlProp738.xml><?xml version="1.0" encoding="utf-8"?>
<formControlPr xmlns="http://schemas.microsoft.com/office/spreadsheetml/2009/9/main" objectType="CheckBox" fmlaLink="$W$1912" lockText="1" noThreeD="1"/>
</file>

<file path=xl/ctrlProps/ctrlProp739.xml><?xml version="1.0" encoding="utf-8"?>
<formControlPr xmlns="http://schemas.microsoft.com/office/spreadsheetml/2009/9/main" objectType="CheckBox" fmlaLink="$W$1915" lockText="1" noThreeD="1"/>
</file>

<file path=xl/ctrlProps/ctrlProp74.xml><?xml version="1.0" encoding="utf-8"?>
<formControlPr xmlns="http://schemas.microsoft.com/office/spreadsheetml/2009/9/main" objectType="CheckBox" fmlaLink="$W$35" lockText="1" noThreeD="1"/>
</file>

<file path=xl/ctrlProps/ctrlProp740.xml><?xml version="1.0" encoding="utf-8"?>
<formControlPr xmlns="http://schemas.microsoft.com/office/spreadsheetml/2009/9/main" objectType="CheckBox" fmlaLink="$W$1917" lockText="1" noThreeD="1"/>
</file>

<file path=xl/ctrlProps/ctrlProp741.xml><?xml version="1.0" encoding="utf-8"?>
<formControlPr xmlns="http://schemas.microsoft.com/office/spreadsheetml/2009/9/main" objectType="CheckBox" fmlaLink="$W$1918" lockText="1" noThreeD="1"/>
</file>

<file path=xl/ctrlProps/ctrlProp742.xml><?xml version="1.0" encoding="utf-8"?>
<formControlPr xmlns="http://schemas.microsoft.com/office/spreadsheetml/2009/9/main" objectType="CheckBox" fmlaLink="$W$1920" lockText="1" noThreeD="1"/>
</file>

<file path=xl/ctrlProps/ctrlProp743.xml><?xml version="1.0" encoding="utf-8"?>
<formControlPr xmlns="http://schemas.microsoft.com/office/spreadsheetml/2009/9/main" objectType="CheckBox" fmlaLink="$W$1921" lockText="1" noThreeD="1"/>
</file>

<file path=xl/ctrlProps/ctrlProp744.xml><?xml version="1.0" encoding="utf-8"?>
<formControlPr xmlns="http://schemas.microsoft.com/office/spreadsheetml/2009/9/main" objectType="CheckBox" fmlaLink="$W$1922" lockText="1" noThreeD="1"/>
</file>

<file path=xl/ctrlProps/ctrlProp745.xml><?xml version="1.0" encoding="utf-8"?>
<formControlPr xmlns="http://schemas.microsoft.com/office/spreadsheetml/2009/9/main" objectType="CheckBox" fmlaLink="$W$1928" lockText="1" noThreeD="1"/>
</file>

<file path=xl/ctrlProps/ctrlProp746.xml><?xml version="1.0" encoding="utf-8"?>
<formControlPr xmlns="http://schemas.microsoft.com/office/spreadsheetml/2009/9/main" objectType="CheckBox" fmlaLink="$W$1930" lockText="1" noThreeD="1"/>
</file>

<file path=xl/ctrlProps/ctrlProp747.xml><?xml version="1.0" encoding="utf-8"?>
<formControlPr xmlns="http://schemas.microsoft.com/office/spreadsheetml/2009/9/main" objectType="CheckBox" fmlaLink="$W$1933" lockText="1" noThreeD="1"/>
</file>

<file path=xl/ctrlProps/ctrlProp748.xml><?xml version="1.0" encoding="utf-8"?>
<formControlPr xmlns="http://schemas.microsoft.com/office/spreadsheetml/2009/9/main" objectType="CheckBox" fmlaLink="$W$1935" lockText="1" noThreeD="1"/>
</file>

<file path=xl/ctrlProps/ctrlProp749.xml><?xml version="1.0" encoding="utf-8"?>
<formControlPr xmlns="http://schemas.microsoft.com/office/spreadsheetml/2009/9/main" objectType="CheckBox" fmlaLink="$W$1938" lockText="1" noThreeD="1"/>
</file>

<file path=xl/ctrlProps/ctrlProp75.xml><?xml version="1.0" encoding="utf-8"?>
<formControlPr xmlns="http://schemas.microsoft.com/office/spreadsheetml/2009/9/main" objectType="CheckBox" fmlaLink="$W$39" lockText="1" noThreeD="1"/>
</file>

<file path=xl/ctrlProps/ctrlProp750.xml><?xml version="1.0" encoding="utf-8"?>
<formControlPr xmlns="http://schemas.microsoft.com/office/spreadsheetml/2009/9/main" objectType="CheckBox" fmlaLink="$W$1940" lockText="1" noThreeD="1"/>
</file>

<file path=xl/ctrlProps/ctrlProp751.xml><?xml version="1.0" encoding="utf-8"?>
<formControlPr xmlns="http://schemas.microsoft.com/office/spreadsheetml/2009/9/main" objectType="CheckBox" fmlaLink="$W$1941" lockText="1" noThreeD="1"/>
</file>

<file path=xl/ctrlProps/ctrlProp752.xml><?xml version="1.0" encoding="utf-8"?>
<formControlPr xmlns="http://schemas.microsoft.com/office/spreadsheetml/2009/9/main" objectType="CheckBox" fmlaLink="$W$1943" lockText="1" noThreeD="1"/>
</file>

<file path=xl/ctrlProps/ctrlProp753.xml><?xml version="1.0" encoding="utf-8"?>
<formControlPr xmlns="http://schemas.microsoft.com/office/spreadsheetml/2009/9/main" objectType="CheckBox" fmlaLink="$W$1945" lockText="1" noThreeD="1"/>
</file>

<file path=xl/ctrlProps/ctrlProp754.xml><?xml version="1.0" encoding="utf-8"?>
<formControlPr xmlns="http://schemas.microsoft.com/office/spreadsheetml/2009/9/main" objectType="CheckBox" fmlaLink="$W$1946" lockText="1" noThreeD="1"/>
</file>

<file path=xl/ctrlProps/ctrlProp755.xml><?xml version="1.0" encoding="utf-8"?>
<formControlPr xmlns="http://schemas.microsoft.com/office/spreadsheetml/2009/9/main" objectType="CheckBox" fmlaLink="$W$1949" lockText="1" noThreeD="1"/>
</file>

<file path=xl/ctrlProps/ctrlProp756.xml><?xml version="1.0" encoding="utf-8"?>
<formControlPr xmlns="http://schemas.microsoft.com/office/spreadsheetml/2009/9/main" objectType="CheckBox" fmlaLink="$W$1955" lockText="1" noThreeD="1"/>
</file>

<file path=xl/ctrlProps/ctrlProp757.xml><?xml version="1.0" encoding="utf-8"?>
<formControlPr xmlns="http://schemas.microsoft.com/office/spreadsheetml/2009/9/main" objectType="CheckBox" fmlaLink="$W$1957" lockText="1" noThreeD="1"/>
</file>

<file path=xl/ctrlProps/ctrlProp758.xml><?xml version="1.0" encoding="utf-8"?>
<formControlPr xmlns="http://schemas.microsoft.com/office/spreadsheetml/2009/9/main" objectType="CheckBox" fmlaLink="$W$1961" lockText="1" noThreeD="1"/>
</file>

<file path=xl/ctrlProps/ctrlProp759.xml><?xml version="1.0" encoding="utf-8"?>
<formControlPr xmlns="http://schemas.microsoft.com/office/spreadsheetml/2009/9/main" objectType="CheckBox" fmlaLink="$W$1968" lockText="1" noThreeD="1"/>
</file>

<file path=xl/ctrlProps/ctrlProp76.xml><?xml version="1.0" encoding="utf-8"?>
<formControlPr xmlns="http://schemas.microsoft.com/office/spreadsheetml/2009/9/main" objectType="CheckBox" fmlaLink="$W$40" lockText="1" noThreeD="1"/>
</file>

<file path=xl/ctrlProps/ctrlProp760.xml><?xml version="1.0" encoding="utf-8"?>
<formControlPr xmlns="http://schemas.microsoft.com/office/spreadsheetml/2009/9/main" objectType="CheckBox" fmlaLink="$W$1970" lockText="1" noThreeD="1"/>
</file>

<file path=xl/ctrlProps/ctrlProp761.xml><?xml version="1.0" encoding="utf-8"?>
<formControlPr xmlns="http://schemas.microsoft.com/office/spreadsheetml/2009/9/main" objectType="CheckBox" fmlaLink="$W$1971" lockText="1" noThreeD="1"/>
</file>

<file path=xl/ctrlProps/ctrlProp762.xml><?xml version="1.0" encoding="utf-8"?>
<formControlPr xmlns="http://schemas.microsoft.com/office/spreadsheetml/2009/9/main" objectType="CheckBox" fmlaLink="$W$1973" lockText="1" noThreeD="1"/>
</file>

<file path=xl/ctrlProps/ctrlProp763.xml><?xml version="1.0" encoding="utf-8"?>
<formControlPr xmlns="http://schemas.microsoft.com/office/spreadsheetml/2009/9/main" objectType="CheckBox" fmlaLink="$W$1974" lockText="1" noThreeD="1"/>
</file>

<file path=xl/ctrlProps/ctrlProp764.xml><?xml version="1.0" encoding="utf-8"?>
<formControlPr xmlns="http://schemas.microsoft.com/office/spreadsheetml/2009/9/main" objectType="CheckBox" fmlaLink="$W$1975" lockText="1" noThreeD="1"/>
</file>

<file path=xl/ctrlProps/ctrlProp765.xml><?xml version="1.0" encoding="utf-8"?>
<formControlPr xmlns="http://schemas.microsoft.com/office/spreadsheetml/2009/9/main" objectType="CheckBox" fmlaLink="$W$1976" lockText="1" noThreeD="1"/>
</file>

<file path=xl/ctrlProps/ctrlProp766.xml><?xml version="1.0" encoding="utf-8"?>
<formControlPr xmlns="http://schemas.microsoft.com/office/spreadsheetml/2009/9/main" objectType="CheckBox" fmlaLink="$W$1977" lockText="1" noThreeD="1"/>
</file>

<file path=xl/ctrlProps/ctrlProp767.xml><?xml version="1.0" encoding="utf-8"?>
<formControlPr xmlns="http://schemas.microsoft.com/office/spreadsheetml/2009/9/main" objectType="CheckBox" fmlaLink="$W$1994" lockText="1" noThreeD="1"/>
</file>

<file path=xl/ctrlProps/ctrlProp768.xml><?xml version="1.0" encoding="utf-8"?>
<formControlPr xmlns="http://schemas.microsoft.com/office/spreadsheetml/2009/9/main" objectType="CheckBox" fmlaLink="$W$1996" lockText="1" noThreeD="1"/>
</file>

<file path=xl/ctrlProps/ctrlProp769.xml><?xml version="1.0" encoding="utf-8"?>
<formControlPr xmlns="http://schemas.microsoft.com/office/spreadsheetml/2009/9/main" objectType="CheckBox" fmlaLink="$W$1999" lockText="1" noThreeD="1"/>
</file>

<file path=xl/ctrlProps/ctrlProp77.xml><?xml version="1.0" encoding="utf-8"?>
<formControlPr xmlns="http://schemas.microsoft.com/office/spreadsheetml/2009/9/main" objectType="CheckBox" fmlaLink="$W$41" lockText="1" noThreeD="1"/>
</file>

<file path=xl/ctrlProps/ctrlProp770.xml><?xml version="1.0" encoding="utf-8"?>
<formControlPr xmlns="http://schemas.microsoft.com/office/spreadsheetml/2009/9/main" objectType="CheckBox" fmlaLink="$W$2012" lockText="1" noThreeD="1"/>
</file>

<file path=xl/ctrlProps/ctrlProp771.xml><?xml version="1.0" encoding="utf-8"?>
<formControlPr xmlns="http://schemas.microsoft.com/office/spreadsheetml/2009/9/main" objectType="CheckBox" fmlaLink="$W$2014" lockText="1" noThreeD="1"/>
</file>

<file path=xl/ctrlProps/ctrlProp772.xml><?xml version="1.0" encoding="utf-8"?>
<formControlPr xmlns="http://schemas.microsoft.com/office/spreadsheetml/2009/9/main" objectType="CheckBox" fmlaLink="$W$1611" lockText="1" noThreeD="1"/>
</file>

<file path=xl/ctrlProps/ctrlProp773.xml><?xml version="1.0" encoding="utf-8"?>
<formControlPr xmlns="http://schemas.microsoft.com/office/spreadsheetml/2009/9/main" objectType="CheckBox" fmlaLink="$W$1317" lockText="1" noThreeD="1"/>
</file>

<file path=xl/ctrlProps/ctrlProp78.xml><?xml version="1.0" encoding="utf-8"?>
<formControlPr xmlns="http://schemas.microsoft.com/office/spreadsheetml/2009/9/main" objectType="CheckBox" fmlaLink="$W$42" lockText="1" noThreeD="1"/>
</file>

<file path=xl/ctrlProps/ctrlProp79.xml><?xml version="1.0" encoding="utf-8"?>
<formControlPr xmlns="http://schemas.microsoft.com/office/spreadsheetml/2009/9/main" objectType="CheckBox" fmlaLink="$W$43" lockText="1" noThreeD="1"/>
</file>

<file path=xl/ctrlProps/ctrlProp8.xml><?xml version="1.0" encoding="utf-8"?>
<formControlPr xmlns="http://schemas.microsoft.com/office/spreadsheetml/2009/9/main" objectType="CheckBox" checked="Checked" fmlaLink="$W$26" lockText="1" noThreeD="1"/>
</file>

<file path=xl/ctrlProps/ctrlProp80.xml><?xml version="1.0" encoding="utf-8"?>
<formControlPr xmlns="http://schemas.microsoft.com/office/spreadsheetml/2009/9/main" objectType="CheckBox" checked="Checked" fmlaLink="$W$44" lockText="1" noThreeD="1"/>
</file>

<file path=xl/ctrlProps/ctrlProp81.xml><?xml version="1.0" encoding="utf-8"?>
<formControlPr xmlns="http://schemas.microsoft.com/office/spreadsheetml/2009/9/main" objectType="CheckBox" checked="Checked" fmlaLink="$W$50" lockText="1" noThreeD="1"/>
</file>

<file path=xl/ctrlProps/ctrlProp82.xml><?xml version="1.0" encoding="utf-8"?>
<formControlPr xmlns="http://schemas.microsoft.com/office/spreadsheetml/2009/9/main" objectType="CheckBox" fmlaLink="$W$51" lockText="1" noThreeD="1"/>
</file>

<file path=xl/ctrlProps/ctrlProp83.xml><?xml version="1.0" encoding="utf-8"?>
<formControlPr xmlns="http://schemas.microsoft.com/office/spreadsheetml/2009/9/main" objectType="CheckBox" fmlaLink="$W$52" lockText="1" noThreeD="1"/>
</file>

<file path=xl/ctrlProps/ctrlProp84.xml><?xml version="1.0" encoding="utf-8"?>
<formControlPr xmlns="http://schemas.microsoft.com/office/spreadsheetml/2009/9/main" objectType="CheckBox" fmlaLink="$W$53" lockText="1" noThreeD="1"/>
</file>

<file path=xl/ctrlProps/ctrlProp85.xml><?xml version="1.0" encoding="utf-8"?>
<formControlPr xmlns="http://schemas.microsoft.com/office/spreadsheetml/2009/9/main" objectType="CheckBox" fmlaLink="$W$54" lockText="1" noThreeD="1"/>
</file>

<file path=xl/ctrlProps/ctrlProp86.xml><?xml version="1.0" encoding="utf-8"?>
<formControlPr xmlns="http://schemas.microsoft.com/office/spreadsheetml/2009/9/main" objectType="CheckBox" fmlaLink="$W$78" lockText="1" noThreeD="1"/>
</file>

<file path=xl/ctrlProps/ctrlProp87.xml><?xml version="1.0" encoding="utf-8"?>
<formControlPr xmlns="http://schemas.microsoft.com/office/spreadsheetml/2009/9/main" objectType="CheckBox" fmlaLink="$W$86" lockText="1" noThreeD="1"/>
</file>

<file path=xl/ctrlProps/ctrlProp88.xml><?xml version="1.0" encoding="utf-8"?>
<formControlPr xmlns="http://schemas.microsoft.com/office/spreadsheetml/2009/9/main" objectType="CheckBox" fmlaLink="$W$100" lockText="1" noThreeD="1"/>
</file>

<file path=xl/ctrlProps/ctrlProp89.xml><?xml version="1.0" encoding="utf-8"?>
<formControlPr xmlns="http://schemas.microsoft.com/office/spreadsheetml/2009/9/main" objectType="CheckBox" checked="Checked" fmlaLink="$W$104" lockText="1" noThreeD="1"/>
</file>

<file path=xl/ctrlProps/ctrlProp9.xml><?xml version="1.0" encoding="utf-8"?>
<formControlPr xmlns="http://schemas.microsoft.com/office/spreadsheetml/2009/9/main" objectType="CheckBox" checked="Checked" fmlaLink="$W$28" lockText="1" noThreeD="1"/>
</file>

<file path=xl/ctrlProps/ctrlProp90.xml><?xml version="1.0" encoding="utf-8"?>
<formControlPr xmlns="http://schemas.microsoft.com/office/spreadsheetml/2009/9/main" objectType="CheckBox" fmlaLink="$W$105" lockText="1" noThreeD="1"/>
</file>

<file path=xl/ctrlProps/ctrlProp91.xml><?xml version="1.0" encoding="utf-8"?>
<formControlPr xmlns="http://schemas.microsoft.com/office/spreadsheetml/2009/9/main" objectType="CheckBox" fmlaLink="$W$107" lockText="1" noThreeD="1"/>
</file>

<file path=xl/ctrlProps/ctrlProp92.xml><?xml version="1.0" encoding="utf-8"?>
<formControlPr xmlns="http://schemas.microsoft.com/office/spreadsheetml/2009/9/main" objectType="CheckBox" checked="Checked" fmlaLink="$W$109" lockText="1" noThreeD="1"/>
</file>

<file path=xl/ctrlProps/ctrlProp93.xml><?xml version="1.0" encoding="utf-8"?>
<formControlPr xmlns="http://schemas.microsoft.com/office/spreadsheetml/2009/9/main" objectType="CheckBox" fmlaLink="$W$115" lockText="1" noThreeD="1"/>
</file>

<file path=xl/ctrlProps/ctrlProp94.xml><?xml version="1.0" encoding="utf-8"?>
<formControlPr xmlns="http://schemas.microsoft.com/office/spreadsheetml/2009/9/main" objectType="CheckBox" fmlaLink="$W$121" lockText="1" noThreeD="1"/>
</file>

<file path=xl/ctrlProps/ctrlProp95.xml><?xml version="1.0" encoding="utf-8"?>
<formControlPr xmlns="http://schemas.microsoft.com/office/spreadsheetml/2009/9/main" objectType="CheckBox" fmlaLink="$W$127" lockText="1" noThreeD="1"/>
</file>

<file path=xl/ctrlProps/ctrlProp96.xml><?xml version="1.0" encoding="utf-8"?>
<formControlPr xmlns="http://schemas.microsoft.com/office/spreadsheetml/2009/9/main" objectType="CheckBox" fmlaLink="$W$129" lockText="1" noThreeD="1"/>
</file>

<file path=xl/ctrlProps/ctrlProp97.xml><?xml version="1.0" encoding="utf-8"?>
<formControlPr xmlns="http://schemas.microsoft.com/office/spreadsheetml/2009/9/main" objectType="CheckBox" fmlaLink="$W$135" lockText="1" noThreeD="1"/>
</file>

<file path=xl/ctrlProps/ctrlProp98.xml><?xml version="1.0" encoding="utf-8"?>
<formControlPr xmlns="http://schemas.microsoft.com/office/spreadsheetml/2009/9/main" objectType="CheckBox" fmlaLink="$W$139" lockText="1" noThreeD="1"/>
</file>

<file path=xl/ctrlProps/ctrlProp99.xml><?xml version="1.0" encoding="utf-8"?>
<formControlPr xmlns="http://schemas.microsoft.com/office/spreadsheetml/2009/9/main" objectType="CheckBox" fmlaLink="$W$14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gif"/></Relationships>
</file>

<file path=xl/drawings/_rels/drawing17.xml.rels><?xml version="1.0" encoding="UTF-8" standalone="yes"?>
<Relationships xmlns="http://schemas.openxmlformats.org/package/2006/relationships"><Relationship Id="rId1" Type="http://schemas.openxmlformats.org/officeDocument/2006/relationships/image" Target="../media/image2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3</xdr:col>
      <xdr:colOff>0</xdr:colOff>
      <xdr:row>5</xdr:row>
      <xdr:rowOff>141103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828800" cy="9888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1019175</xdr:colOff>
      <xdr:row>0</xdr:row>
      <xdr:rowOff>0</xdr:rowOff>
    </xdr:from>
    <xdr:to>
      <xdr:col>2</xdr:col>
      <xdr:colOff>2847975</xdr:colOff>
      <xdr:row>4</xdr:row>
      <xdr:rowOff>141767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8775" y="0"/>
          <a:ext cx="1828800" cy="903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141767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7</xdr:row>
          <xdr:rowOff>0</xdr:rowOff>
        </xdr:from>
        <xdr:to>
          <xdr:col>8</xdr:col>
          <xdr:colOff>184150</xdr:colOff>
          <xdr:row>7</xdr:row>
          <xdr:rowOff>184150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0E00-00002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8</xdr:col>
          <xdr:colOff>184150</xdr:colOff>
          <xdr:row>8</xdr:row>
          <xdr:rowOff>184150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0E00-00002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184150</xdr:colOff>
          <xdr:row>9</xdr:row>
          <xdr:rowOff>184150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0E00-00002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8</xdr:col>
          <xdr:colOff>184150</xdr:colOff>
          <xdr:row>10</xdr:row>
          <xdr:rowOff>184150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0E00-00002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184150</xdr:colOff>
          <xdr:row>11</xdr:row>
          <xdr:rowOff>184150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0E00-00003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184150</xdr:colOff>
          <xdr:row>12</xdr:row>
          <xdr:rowOff>184150</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0E00-00003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8</xdr:col>
          <xdr:colOff>184150</xdr:colOff>
          <xdr:row>13</xdr:row>
          <xdr:rowOff>184150</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0E00-00003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8</xdr:col>
          <xdr:colOff>184150</xdr:colOff>
          <xdr:row>15</xdr:row>
          <xdr:rowOff>184150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E00-00003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8</xdr:col>
          <xdr:colOff>184150</xdr:colOff>
          <xdr:row>16</xdr:row>
          <xdr:rowOff>184150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0E00-00003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8</xdr:col>
          <xdr:colOff>184150</xdr:colOff>
          <xdr:row>17</xdr:row>
          <xdr:rowOff>184150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0E00-00003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8</xdr:col>
          <xdr:colOff>184150</xdr:colOff>
          <xdr:row>19</xdr:row>
          <xdr:rowOff>184150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0E00-00003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8</xdr:col>
          <xdr:colOff>184150</xdr:colOff>
          <xdr:row>20</xdr:row>
          <xdr:rowOff>184150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E00-00003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8</xdr:col>
          <xdr:colOff>184150</xdr:colOff>
          <xdr:row>23</xdr:row>
          <xdr:rowOff>184150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E00-00003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8</xdr:col>
          <xdr:colOff>184150</xdr:colOff>
          <xdr:row>25</xdr:row>
          <xdr:rowOff>184150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E00-000039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8</xdr:col>
          <xdr:colOff>184150</xdr:colOff>
          <xdr:row>26</xdr:row>
          <xdr:rowOff>184150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E00-00003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8</xdr:col>
          <xdr:colOff>184150</xdr:colOff>
          <xdr:row>28</xdr:row>
          <xdr:rowOff>184150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E00-00003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8</xdr:col>
          <xdr:colOff>184150</xdr:colOff>
          <xdr:row>29</xdr:row>
          <xdr:rowOff>184150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E00-00003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8</xdr:col>
          <xdr:colOff>184150</xdr:colOff>
          <xdr:row>30</xdr:row>
          <xdr:rowOff>184150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E00-00003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8</xdr:col>
          <xdr:colOff>184150</xdr:colOff>
          <xdr:row>31</xdr:row>
          <xdr:rowOff>184150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E00-00003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8</xdr:col>
          <xdr:colOff>184150</xdr:colOff>
          <xdr:row>42</xdr:row>
          <xdr:rowOff>184150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E00-00003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8</xdr:col>
          <xdr:colOff>184150</xdr:colOff>
          <xdr:row>43</xdr:row>
          <xdr:rowOff>184150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E00-00004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8</xdr:col>
          <xdr:colOff>184150</xdr:colOff>
          <xdr:row>44</xdr:row>
          <xdr:rowOff>184150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E00-00004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8</xdr:col>
          <xdr:colOff>184150</xdr:colOff>
          <xdr:row>45</xdr:row>
          <xdr:rowOff>184150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E00-00004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8</xdr:col>
          <xdr:colOff>184150</xdr:colOff>
          <xdr:row>46</xdr:row>
          <xdr:rowOff>184150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E00-00004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8</xdr:col>
          <xdr:colOff>184150</xdr:colOff>
          <xdr:row>49</xdr:row>
          <xdr:rowOff>184150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E00-00004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8</xdr:col>
          <xdr:colOff>184150</xdr:colOff>
          <xdr:row>50</xdr:row>
          <xdr:rowOff>184150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E00-00004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8</xdr:col>
          <xdr:colOff>184150</xdr:colOff>
          <xdr:row>51</xdr:row>
          <xdr:rowOff>184150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E00-00004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8</xdr:col>
          <xdr:colOff>184150</xdr:colOff>
          <xdr:row>52</xdr:row>
          <xdr:rowOff>184150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E00-00004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8</xdr:col>
          <xdr:colOff>184150</xdr:colOff>
          <xdr:row>53</xdr:row>
          <xdr:rowOff>184150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E00-00004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8</xdr:col>
          <xdr:colOff>184150</xdr:colOff>
          <xdr:row>55</xdr:row>
          <xdr:rowOff>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E00-000049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8</xdr:col>
          <xdr:colOff>184150</xdr:colOff>
          <xdr:row>56</xdr:row>
          <xdr:rowOff>184150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E00-00004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8</xdr:col>
          <xdr:colOff>184150</xdr:colOff>
          <xdr:row>57</xdr:row>
          <xdr:rowOff>184150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0E00-00004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8</xdr:col>
          <xdr:colOff>184150</xdr:colOff>
          <xdr:row>21</xdr:row>
          <xdr:rowOff>184150</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0E00-00004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8</xdr:col>
          <xdr:colOff>184150</xdr:colOff>
          <xdr:row>32</xdr:row>
          <xdr:rowOff>184150</xdr:rowOff>
        </xdr:to>
        <xdr:sp macro="" textlink="">
          <xdr:nvSpPr>
            <xdr:cNvPr id="27727" name="Check Box 79" hidden="1">
              <a:extLst>
                <a:ext uri="{63B3BB69-23CF-44E3-9099-C40C66FF867C}">
                  <a14:compatExt spid="_x0000_s27727"/>
                </a:ext>
                <a:ext uri="{FF2B5EF4-FFF2-40B4-BE49-F238E27FC236}">
                  <a16:creationId xmlns:a16="http://schemas.microsoft.com/office/drawing/2014/main" id="{00000000-0008-0000-0E00-00004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8</xdr:col>
          <xdr:colOff>184150</xdr:colOff>
          <xdr:row>33</xdr:row>
          <xdr:rowOff>184150</xdr:rowOff>
        </xdr:to>
        <xdr:sp macro="" textlink="">
          <xdr:nvSpPr>
            <xdr:cNvPr id="27728" name="Check Box 80" hidden="1">
              <a:extLst>
                <a:ext uri="{63B3BB69-23CF-44E3-9099-C40C66FF867C}">
                  <a14:compatExt spid="_x0000_s27728"/>
                </a:ext>
                <a:ext uri="{FF2B5EF4-FFF2-40B4-BE49-F238E27FC236}">
                  <a16:creationId xmlns:a16="http://schemas.microsoft.com/office/drawing/2014/main" id="{00000000-0008-0000-0E00-00005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8</xdr:col>
          <xdr:colOff>184150</xdr:colOff>
          <xdr:row>34</xdr:row>
          <xdr:rowOff>184150</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0E00-00005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8</xdr:col>
          <xdr:colOff>184150</xdr:colOff>
          <xdr:row>35</xdr:row>
          <xdr:rowOff>184150</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0E00-00005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8</xdr:col>
          <xdr:colOff>184150</xdr:colOff>
          <xdr:row>36</xdr:row>
          <xdr:rowOff>184150</xdr:rowOff>
        </xdr:to>
        <xdr:sp macro="" textlink="">
          <xdr:nvSpPr>
            <xdr:cNvPr id="27731" name="Check Box 83" hidden="1">
              <a:extLst>
                <a:ext uri="{63B3BB69-23CF-44E3-9099-C40C66FF867C}">
                  <a14:compatExt spid="_x0000_s27731"/>
                </a:ext>
                <a:ext uri="{FF2B5EF4-FFF2-40B4-BE49-F238E27FC236}">
                  <a16:creationId xmlns:a16="http://schemas.microsoft.com/office/drawing/2014/main" id="{00000000-0008-0000-0E00-00005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8</xdr:col>
          <xdr:colOff>184150</xdr:colOff>
          <xdr:row>38</xdr:row>
          <xdr:rowOff>184150</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0E00-00005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8</xdr:col>
          <xdr:colOff>184150</xdr:colOff>
          <xdr:row>39</xdr:row>
          <xdr:rowOff>184150</xdr:rowOff>
        </xdr:to>
        <xdr:sp macro="" textlink="">
          <xdr:nvSpPr>
            <xdr:cNvPr id="27734" name="Check Box 86" hidden="1">
              <a:extLst>
                <a:ext uri="{63B3BB69-23CF-44E3-9099-C40C66FF867C}">
                  <a14:compatExt spid="_x0000_s27734"/>
                </a:ext>
                <a:ext uri="{FF2B5EF4-FFF2-40B4-BE49-F238E27FC236}">
                  <a16:creationId xmlns:a16="http://schemas.microsoft.com/office/drawing/2014/main" id="{00000000-0008-0000-0E00-00005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8</xdr:col>
          <xdr:colOff>184150</xdr:colOff>
          <xdr:row>40</xdr:row>
          <xdr:rowOff>184150</xdr:rowOff>
        </xdr:to>
        <xdr:sp macro="" textlink="">
          <xdr:nvSpPr>
            <xdr:cNvPr id="27735" name="Check Box 87" hidden="1">
              <a:extLst>
                <a:ext uri="{63B3BB69-23CF-44E3-9099-C40C66FF867C}">
                  <a14:compatExt spid="_x0000_s27735"/>
                </a:ext>
                <a:ext uri="{FF2B5EF4-FFF2-40B4-BE49-F238E27FC236}">
                  <a16:creationId xmlns:a16="http://schemas.microsoft.com/office/drawing/2014/main" id="{00000000-0008-0000-0E00-00005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8</xdr:col>
          <xdr:colOff>184150</xdr:colOff>
          <xdr:row>41</xdr:row>
          <xdr:rowOff>184150</xdr:rowOff>
        </xdr:to>
        <xdr:sp macro="" textlink="">
          <xdr:nvSpPr>
            <xdr:cNvPr id="27736" name="Check Box 88" hidden="1">
              <a:extLst>
                <a:ext uri="{63B3BB69-23CF-44E3-9099-C40C66FF867C}">
                  <a14:compatExt spid="_x0000_s27736"/>
                </a:ext>
                <a:ext uri="{FF2B5EF4-FFF2-40B4-BE49-F238E27FC236}">
                  <a16:creationId xmlns:a16="http://schemas.microsoft.com/office/drawing/2014/main" id="{00000000-0008-0000-0E00-00005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12</xdr:col>
      <xdr:colOff>38100</xdr:colOff>
      <xdr:row>0</xdr:row>
      <xdr:rowOff>0</xdr:rowOff>
    </xdr:from>
    <xdr:to>
      <xdr:col>14</xdr:col>
      <xdr:colOff>444500</xdr:colOff>
      <xdr:row>4</xdr:row>
      <xdr:rowOff>144942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13</xdr:row>
          <xdr:rowOff>0</xdr:rowOff>
        </xdr:from>
        <xdr:to>
          <xdr:col>22</xdr:col>
          <xdr:colOff>184150</xdr:colOff>
          <xdr:row>13</xdr:row>
          <xdr:rowOff>184150</xdr:rowOff>
        </xdr:to>
        <xdr:sp macro="" textlink="">
          <xdr:nvSpPr>
            <xdr:cNvPr id="15560" name="Check Box 200" hidden="1">
              <a:extLst>
                <a:ext uri="{63B3BB69-23CF-44E3-9099-C40C66FF867C}">
                  <a14:compatExt spid="_x0000_s15560"/>
                </a:ext>
                <a:ext uri="{FF2B5EF4-FFF2-40B4-BE49-F238E27FC236}">
                  <a16:creationId xmlns:a16="http://schemas.microsoft.com/office/drawing/2014/main" id="{00000000-0008-0000-0F00-0000C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184150</xdr:colOff>
          <xdr:row>15</xdr:row>
          <xdr:rowOff>184150</xdr:rowOff>
        </xdr:to>
        <xdr:sp macro="" textlink="">
          <xdr:nvSpPr>
            <xdr:cNvPr id="15561" name="Check Box 201" hidden="1">
              <a:extLst>
                <a:ext uri="{63B3BB69-23CF-44E3-9099-C40C66FF867C}">
                  <a14:compatExt spid="_x0000_s15561"/>
                </a:ext>
                <a:ext uri="{FF2B5EF4-FFF2-40B4-BE49-F238E27FC236}">
                  <a16:creationId xmlns:a16="http://schemas.microsoft.com/office/drawing/2014/main" id="{00000000-0008-0000-0F00-0000C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184150</xdr:colOff>
          <xdr:row>16</xdr:row>
          <xdr:rowOff>184150</xdr:rowOff>
        </xdr:to>
        <xdr:sp macro="" textlink="">
          <xdr:nvSpPr>
            <xdr:cNvPr id="15562" name="Check Box 202" hidden="1">
              <a:extLst>
                <a:ext uri="{63B3BB69-23CF-44E3-9099-C40C66FF867C}">
                  <a14:compatExt spid="_x0000_s15562"/>
                </a:ext>
                <a:ext uri="{FF2B5EF4-FFF2-40B4-BE49-F238E27FC236}">
                  <a16:creationId xmlns:a16="http://schemas.microsoft.com/office/drawing/2014/main" id="{00000000-0008-0000-0F00-0000C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184150</xdr:colOff>
          <xdr:row>17</xdr:row>
          <xdr:rowOff>184150</xdr:rowOff>
        </xdr:to>
        <xdr:sp macro="" textlink="">
          <xdr:nvSpPr>
            <xdr:cNvPr id="15563" name="Check Box 203" hidden="1">
              <a:extLst>
                <a:ext uri="{63B3BB69-23CF-44E3-9099-C40C66FF867C}">
                  <a14:compatExt spid="_x0000_s15563"/>
                </a:ext>
                <a:ext uri="{FF2B5EF4-FFF2-40B4-BE49-F238E27FC236}">
                  <a16:creationId xmlns:a16="http://schemas.microsoft.com/office/drawing/2014/main" id="{00000000-0008-0000-0F00-0000C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184150</xdr:colOff>
          <xdr:row>20</xdr:row>
          <xdr:rowOff>184150</xdr:rowOff>
        </xdr:to>
        <xdr:sp macro="" textlink="">
          <xdr:nvSpPr>
            <xdr:cNvPr id="15564" name="Check Box 204" hidden="1">
              <a:extLst>
                <a:ext uri="{63B3BB69-23CF-44E3-9099-C40C66FF867C}">
                  <a14:compatExt spid="_x0000_s15564"/>
                </a:ext>
                <a:ext uri="{FF2B5EF4-FFF2-40B4-BE49-F238E27FC236}">
                  <a16:creationId xmlns:a16="http://schemas.microsoft.com/office/drawing/2014/main" id="{00000000-0008-0000-0F00-0000C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184150</xdr:colOff>
          <xdr:row>22</xdr:row>
          <xdr:rowOff>184150</xdr:rowOff>
        </xdr:to>
        <xdr:sp macro="" textlink="">
          <xdr:nvSpPr>
            <xdr:cNvPr id="15565" name="Check Box 205" hidden="1">
              <a:extLst>
                <a:ext uri="{63B3BB69-23CF-44E3-9099-C40C66FF867C}">
                  <a14:compatExt spid="_x0000_s15565"/>
                </a:ext>
                <a:ext uri="{FF2B5EF4-FFF2-40B4-BE49-F238E27FC236}">
                  <a16:creationId xmlns:a16="http://schemas.microsoft.com/office/drawing/2014/main" id="{00000000-0008-0000-0F00-0000C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184150</xdr:colOff>
          <xdr:row>24</xdr:row>
          <xdr:rowOff>184150</xdr:rowOff>
        </xdr:to>
        <xdr:sp macro="" textlink="">
          <xdr:nvSpPr>
            <xdr:cNvPr id="15566" name="Check Box 206" hidden="1">
              <a:extLst>
                <a:ext uri="{63B3BB69-23CF-44E3-9099-C40C66FF867C}">
                  <a14:compatExt spid="_x0000_s15566"/>
                </a:ext>
                <a:ext uri="{FF2B5EF4-FFF2-40B4-BE49-F238E27FC236}">
                  <a16:creationId xmlns:a16="http://schemas.microsoft.com/office/drawing/2014/main" id="{00000000-0008-0000-0F00-0000C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184150</xdr:colOff>
          <xdr:row>26</xdr:row>
          <xdr:rowOff>184150</xdr:rowOff>
        </xdr:to>
        <xdr:sp macro="" textlink="">
          <xdr:nvSpPr>
            <xdr:cNvPr id="15567" name="Check Box 207" hidden="1">
              <a:extLst>
                <a:ext uri="{63B3BB69-23CF-44E3-9099-C40C66FF867C}">
                  <a14:compatExt spid="_x0000_s15567"/>
                </a:ext>
                <a:ext uri="{FF2B5EF4-FFF2-40B4-BE49-F238E27FC236}">
                  <a16:creationId xmlns:a16="http://schemas.microsoft.com/office/drawing/2014/main" id="{00000000-0008-0000-0F00-0000C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xdr:row>
          <xdr:rowOff>0</xdr:rowOff>
        </xdr:from>
        <xdr:to>
          <xdr:col>22</xdr:col>
          <xdr:colOff>184150</xdr:colOff>
          <xdr:row>35</xdr:row>
          <xdr:rowOff>184150</xdr:rowOff>
        </xdr:to>
        <xdr:sp macro="" textlink="">
          <xdr:nvSpPr>
            <xdr:cNvPr id="15568" name="Check Box 208" hidden="1">
              <a:extLst>
                <a:ext uri="{63B3BB69-23CF-44E3-9099-C40C66FF867C}">
                  <a14:compatExt spid="_x0000_s15568"/>
                </a:ext>
                <a:ext uri="{FF2B5EF4-FFF2-40B4-BE49-F238E27FC236}">
                  <a16:creationId xmlns:a16="http://schemas.microsoft.com/office/drawing/2014/main" id="{00000000-0008-0000-0F00-0000D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xdr:row>
          <xdr:rowOff>0</xdr:rowOff>
        </xdr:from>
        <xdr:to>
          <xdr:col>22</xdr:col>
          <xdr:colOff>184150</xdr:colOff>
          <xdr:row>44</xdr:row>
          <xdr:rowOff>184150</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F00-0000D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184150</xdr:colOff>
          <xdr:row>55</xdr:row>
          <xdr:rowOff>184150</xdr:rowOff>
        </xdr:to>
        <xdr:sp macro="" textlink="">
          <xdr:nvSpPr>
            <xdr:cNvPr id="15570" name="Check Box 210" hidden="1">
              <a:extLst>
                <a:ext uri="{63B3BB69-23CF-44E3-9099-C40C66FF867C}">
                  <a14:compatExt spid="_x0000_s15570"/>
                </a:ext>
                <a:ext uri="{FF2B5EF4-FFF2-40B4-BE49-F238E27FC236}">
                  <a16:creationId xmlns:a16="http://schemas.microsoft.com/office/drawing/2014/main" id="{00000000-0008-0000-0F00-0000D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xdr:row>
          <xdr:rowOff>0</xdr:rowOff>
        </xdr:from>
        <xdr:to>
          <xdr:col>22</xdr:col>
          <xdr:colOff>184150</xdr:colOff>
          <xdr:row>56</xdr:row>
          <xdr:rowOff>184150</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F00-0000D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184150</xdr:colOff>
          <xdr:row>58</xdr:row>
          <xdr:rowOff>184150</xdr:rowOff>
        </xdr:to>
        <xdr:sp macro="" textlink="">
          <xdr:nvSpPr>
            <xdr:cNvPr id="15572" name="Check Box 212" hidden="1">
              <a:extLst>
                <a:ext uri="{63B3BB69-23CF-44E3-9099-C40C66FF867C}">
                  <a14:compatExt spid="_x0000_s15572"/>
                </a:ext>
                <a:ext uri="{FF2B5EF4-FFF2-40B4-BE49-F238E27FC236}">
                  <a16:creationId xmlns:a16="http://schemas.microsoft.com/office/drawing/2014/main" id="{00000000-0008-0000-0F00-0000D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xdr:row>
          <xdr:rowOff>0</xdr:rowOff>
        </xdr:from>
        <xdr:to>
          <xdr:col>22</xdr:col>
          <xdr:colOff>184150</xdr:colOff>
          <xdr:row>60</xdr:row>
          <xdr:rowOff>184150</xdr:rowOff>
        </xdr:to>
        <xdr:sp macro="" textlink="">
          <xdr:nvSpPr>
            <xdr:cNvPr id="15573" name="Check Box 213" hidden="1">
              <a:extLst>
                <a:ext uri="{63B3BB69-23CF-44E3-9099-C40C66FF867C}">
                  <a14:compatExt spid="_x0000_s15573"/>
                </a:ext>
                <a:ext uri="{FF2B5EF4-FFF2-40B4-BE49-F238E27FC236}">
                  <a16:creationId xmlns:a16="http://schemas.microsoft.com/office/drawing/2014/main" id="{00000000-0008-0000-0F00-0000D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xdr:row>
          <xdr:rowOff>0</xdr:rowOff>
        </xdr:from>
        <xdr:to>
          <xdr:col>22</xdr:col>
          <xdr:colOff>184150</xdr:colOff>
          <xdr:row>61</xdr:row>
          <xdr:rowOff>184150</xdr:rowOff>
        </xdr:to>
        <xdr:sp macro="" textlink="">
          <xdr:nvSpPr>
            <xdr:cNvPr id="15574" name="Check Box 214" hidden="1">
              <a:extLst>
                <a:ext uri="{63B3BB69-23CF-44E3-9099-C40C66FF867C}">
                  <a14:compatExt spid="_x0000_s15574"/>
                </a:ext>
                <a:ext uri="{FF2B5EF4-FFF2-40B4-BE49-F238E27FC236}">
                  <a16:creationId xmlns:a16="http://schemas.microsoft.com/office/drawing/2014/main" id="{00000000-0008-0000-0F00-0000D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xdr:row>
          <xdr:rowOff>0</xdr:rowOff>
        </xdr:from>
        <xdr:to>
          <xdr:col>22</xdr:col>
          <xdr:colOff>184150</xdr:colOff>
          <xdr:row>62</xdr:row>
          <xdr:rowOff>184150</xdr:rowOff>
        </xdr:to>
        <xdr:sp macro="" textlink="">
          <xdr:nvSpPr>
            <xdr:cNvPr id="15575" name="Check Box 215" hidden="1">
              <a:extLst>
                <a:ext uri="{63B3BB69-23CF-44E3-9099-C40C66FF867C}">
                  <a14:compatExt spid="_x0000_s15575"/>
                </a:ext>
                <a:ext uri="{FF2B5EF4-FFF2-40B4-BE49-F238E27FC236}">
                  <a16:creationId xmlns:a16="http://schemas.microsoft.com/office/drawing/2014/main" id="{00000000-0008-0000-0F00-0000D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xdr:row>
          <xdr:rowOff>0</xdr:rowOff>
        </xdr:from>
        <xdr:to>
          <xdr:col>22</xdr:col>
          <xdr:colOff>184150</xdr:colOff>
          <xdr:row>64</xdr:row>
          <xdr:rowOff>184150</xdr:rowOff>
        </xdr:to>
        <xdr:sp macro="" textlink="">
          <xdr:nvSpPr>
            <xdr:cNvPr id="15576" name="Check Box 216" hidden="1">
              <a:extLst>
                <a:ext uri="{63B3BB69-23CF-44E3-9099-C40C66FF867C}">
                  <a14:compatExt spid="_x0000_s15576"/>
                </a:ext>
                <a:ext uri="{FF2B5EF4-FFF2-40B4-BE49-F238E27FC236}">
                  <a16:creationId xmlns:a16="http://schemas.microsoft.com/office/drawing/2014/main" id="{00000000-0008-0000-0F00-0000D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xdr:row>
          <xdr:rowOff>0</xdr:rowOff>
        </xdr:from>
        <xdr:to>
          <xdr:col>22</xdr:col>
          <xdr:colOff>184150</xdr:colOff>
          <xdr:row>68</xdr:row>
          <xdr:rowOff>184150</xdr:rowOff>
        </xdr:to>
        <xdr:sp macro="" textlink="">
          <xdr:nvSpPr>
            <xdr:cNvPr id="15577" name="Check Box 217" hidden="1">
              <a:extLst>
                <a:ext uri="{63B3BB69-23CF-44E3-9099-C40C66FF867C}">
                  <a14:compatExt spid="_x0000_s15577"/>
                </a:ext>
                <a:ext uri="{FF2B5EF4-FFF2-40B4-BE49-F238E27FC236}">
                  <a16:creationId xmlns:a16="http://schemas.microsoft.com/office/drawing/2014/main" id="{00000000-0008-0000-0F00-0000D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xdr:row>
          <xdr:rowOff>0</xdr:rowOff>
        </xdr:from>
        <xdr:to>
          <xdr:col>22</xdr:col>
          <xdr:colOff>184150</xdr:colOff>
          <xdr:row>69</xdr:row>
          <xdr:rowOff>184150</xdr:rowOff>
        </xdr:to>
        <xdr:sp macro="" textlink="">
          <xdr:nvSpPr>
            <xdr:cNvPr id="15578" name="Check Box 218" hidden="1">
              <a:extLst>
                <a:ext uri="{63B3BB69-23CF-44E3-9099-C40C66FF867C}">
                  <a14:compatExt spid="_x0000_s15578"/>
                </a:ext>
                <a:ext uri="{FF2B5EF4-FFF2-40B4-BE49-F238E27FC236}">
                  <a16:creationId xmlns:a16="http://schemas.microsoft.com/office/drawing/2014/main" id="{00000000-0008-0000-0F00-0000D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184150</xdr:colOff>
          <xdr:row>76</xdr:row>
          <xdr:rowOff>184150</xdr:rowOff>
        </xdr:to>
        <xdr:sp macro="" textlink="">
          <xdr:nvSpPr>
            <xdr:cNvPr id="15579" name="Check Box 219" hidden="1">
              <a:extLst>
                <a:ext uri="{63B3BB69-23CF-44E3-9099-C40C66FF867C}">
                  <a14:compatExt spid="_x0000_s15579"/>
                </a:ext>
                <a:ext uri="{FF2B5EF4-FFF2-40B4-BE49-F238E27FC236}">
                  <a16:creationId xmlns:a16="http://schemas.microsoft.com/office/drawing/2014/main" id="{00000000-0008-0000-0F00-0000D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78</xdr:row>
          <xdr:rowOff>0</xdr:rowOff>
        </xdr:from>
        <xdr:to>
          <xdr:col>22</xdr:col>
          <xdr:colOff>184150</xdr:colOff>
          <xdr:row>78</xdr:row>
          <xdr:rowOff>184150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F00-0000D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xdr:row>
          <xdr:rowOff>0</xdr:rowOff>
        </xdr:from>
        <xdr:to>
          <xdr:col>22</xdr:col>
          <xdr:colOff>184150</xdr:colOff>
          <xdr:row>82</xdr:row>
          <xdr:rowOff>184150</xdr:rowOff>
        </xdr:to>
        <xdr:sp macro="" textlink="">
          <xdr:nvSpPr>
            <xdr:cNvPr id="15581" name="Check Box 221" hidden="1">
              <a:extLst>
                <a:ext uri="{63B3BB69-23CF-44E3-9099-C40C66FF867C}">
                  <a14:compatExt spid="_x0000_s15581"/>
                </a:ext>
                <a:ext uri="{FF2B5EF4-FFF2-40B4-BE49-F238E27FC236}">
                  <a16:creationId xmlns:a16="http://schemas.microsoft.com/office/drawing/2014/main" id="{00000000-0008-0000-0F00-0000D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86</xdr:row>
          <xdr:rowOff>0</xdr:rowOff>
        </xdr:from>
        <xdr:to>
          <xdr:col>22</xdr:col>
          <xdr:colOff>184150</xdr:colOff>
          <xdr:row>86</xdr:row>
          <xdr:rowOff>184150</xdr:rowOff>
        </xdr:to>
        <xdr:sp macro="" textlink="">
          <xdr:nvSpPr>
            <xdr:cNvPr id="15582" name="Check Box 222" hidden="1">
              <a:extLst>
                <a:ext uri="{63B3BB69-23CF-44E3-9099-C40C66FF867C}">
                  <a14:compatExt spid="_x0000_s15582"/>
                </a:ext>
                <a:ext uri="{FF2B5EF4-FFF2-40B4-BE49-F238E27FC236}">
                  <a16:creationId xmlns:a16="http://schemas.microsoft.com/office/drawing/2014/main" id="{00000000-0008-0000-0F00-0000D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87</xdr:row>
          <xdr:rowOff>0</xdr:rowOff>
        </xdr:from>
        <xdr:to>
          <xdr:col>22</xdr:col>
          <xdr:colOff>184150</xdr:colOff>
          <xdr:row>87</xdr:row>
          <xdr:rowOff>184150</xdr:rowOff>
        </xdr:to>
        <xdr:sp macro="" textlink="">
          <xdr:nvSpPr>
            <xdr:cNvPr id="15583" name="Check Box 223" hidden="1">
              <a:extLst>
                <a:ext uri="{63B3BB69-23CF-44E3-9099-C40C66FF867C}">
                  <a14:compatExt spid="_x0000_s15583"/>
                </a:ext>
                <a:ext uri="{FF2B5EF4-FFF2-40B4-BE49-F238E27FC236}">
                  <a16:creationId xmlns:a16="http://schemas.microsoft.com/office/drawing/2014/main" id="{00000000-0008-0000-0F00-0000D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184150</xdr:colOff>
          <xdr:row>89</xdr:row>
          <xdr:rowOff>184150</xdr:rowOff>
        </xdr:to>
        <xdr:sp macro="" textlink="">
          <xdr:nvSpPr>
            <xdr:cNvPr id="15584" name="Check Box 224" hidden="1">
              <a:extLst>
                <a:ext uri="{63B3BB69-23CF-44E3-9099-C40C66FF867C}">
                  <a14:compatExt spid="_x0000_s15584"/>
                </a:ext>
                <a:ext uri="{FF2B5EF4-FFF2-40B4-BE49-F238E27FC236}">
                  <a16:creationId xmlns:a16="http://schemas.microsoft.com/office/drawing/2014/main" id="{00000000-0008-0000-0F00-0000E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15585" name="Check Box 225" hidden="1">
              <a:extLst>
                <a:ext uri="{63B3BB69-23CF-44E3-9099-C40C66FF867C}">
                  <a14:compatExt spid="_x0000_s15585"/>
                </a:ext>
                <a:ext uri="{FF2B5EF4-FFF2-40B4-BE49-F238E27FC236}">
                  <a16:creationId xmlns:a16="http://schemas.microsoft.com/office/drawing/2014/main" id="{00000000-0008-0000-0F00-0000E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184150</xdr:colOff>
          <xdr:row>91</xdr:row>
          <xdr:rowOff>184150</xdr:rowOff>
        </xdr:to>
        <xdr:sp macro="" textlink="">
          <xdr:nvSpPr>
            <xdr:cNvPr id="15586" name="Check Box 226" hidden="1">
              <a:extLst>
                <a:ext uri="{63B3BB69-23CF-44E3-9099-C40C66FF867C}">
                  <a14:compatExt spid="_x0000_s15586"/>
                </a:ext>
                <a:ext uri="{FF2B5EF4-FFF2-40B4-BE49-F238E27FC236}">
                  <a16:creationId xmlns:a16="http://schemas.microsoft.com/office/drawing/2014/main" id="{00000000-0008-0000-0F00-0000E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184150</xdr:colOff>
          <xdr:row>99</xdr:row>
          <xdr:rowOff>184150</xdr:rowOff>
        </xdr:to>
        <xdr:sp macro="" textlink="">
          <xdr:nvSpPr>
            <xdr:cNvPr id="15587" name="Check Box 227" hidden="1">
              <a:extLst>
                <a:ext uri="{63B3BB69-23CF-44E3-9099-C40C66FF867C}">
                  <a14:compatExt spid="_x0000_s15587"/>
                </a:ext>
                <a:ext uri="{FF2B5EF4-FFF2-40B4-BE49-F238E27FC236}">
                  <a16:creationId xmlns:a16="http://schemas.microsoft.com/office/drawing/2014/main" id="{00000000-0008-0000-0F00-0000E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102</xdr:row>
          <xdr:rowOff>0</xdr:rowOff>
        </xdr:from>
        <xdr:to>
          <xdr:col>22</xdr:col>
          <xdr:colOff>184150</xdr:colOff>
          <xdr:row>102</xdr:row>
          <xdr:rowOff>184150</xdr:rowOff>
        </xdr:to>
        <xdr:sp macro="" textlink="">
          <xdr:nvSpPr>
            <xdr:cNvPr id="15588" name="Check Box 228" hidden="1">
              <a:extLst>
                <a:ext uri="{63B3BB69-23CF-44E3-9099-C40C66FF867C}">
                  <a14:compatExt spid="_x0000_s15588"/>
                </a:ext>
                <a:ext uri="{FF2B5EF4-FFF2-40B4-BE49-F238E27FC236}">
                  <a16:creationId xmlns:a16="http://schemas.microsoft.com/office/drawing/2014/main" id="{00000000-0008-0000-0F00-0000E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184150</xdr:colOff>
          <xdr:row>128</xdr:row>
          <xdr:rowOff>184150</xdr:rowOff>
        </xdr:to>
        <xdr:sp macro="" textlink="">
          <xdr:nvSpPr>
            <xdr:cNvPr id="15589" name="Check Box 229" hidden="1">
              <a:extLst>
                <a:ext uri="{63B3BB69-23CF-44E3-9099-C40C66FF867C}">
                  <a14:compatExt spid="_x0000_s15589"/>
                </a:ext>
                <a:ext uri="{FF2B5EF4-FFF2-40B4-BE49-F238E27FC236}">
                  <a16:creationId xmlns:a16="http://schemas.microsoft.com/office/drawing/2014/main" id="{00000000-0008-0000-0F00-0000E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184150</xdr:colOff>
          <xdr:row>130</xdr:row>
          <xdr:rowOff>184150</xdr:rowOff>
        </xdr:to>
        <xdr:sp macro="" textlink="">
          <xdr:nvSpPr>
            <xdr:cNvPr id="15590" name="Check Box 230" hidden="1">
              <a:extLst>
                <a:ext uri="{63B3BB69-23CF-44E3-9099-C40C66FF867C}">
                  <a14:compatExt spid="_x0000_s15590"/>
                </a:ext>
                <a:ext uri="{FF2B5EF4-FFF2-40B4-BE49-F238E27FC236}">
                  <a16:creationId xmlns:a16="http://schemas.microsoft.com/office/drawing/2014/main" id="{00000000-0008-0000-0F00-0000E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xdr:row>
          <xdr:rowOff>0</xdr:rowOff>
        </xdr:from>
        <xdr:to>
          <xdr:col>22</xdr:col>
          <xdr:colOff>184150</xdr:colOff>
          <xdr:row>132</xdr:row>
          <xdr:rowOff>184150</xdr:rowOff>
        </xdr:to>
        <xdr:sp macro="" textlink="">
          <xdr:nvSpPr>
            <xdr:cNvPr id="15591" name="Check Box 231" hidden="1">
              <a:extLst>
                <a:ext uri="{63B3BB69-23CF-44E3-9099-C40C66FF867C}">
                  <a14:compatExt spid="_x0000_s15591"/>
                </a:ext>
                <a:ext uri="{FF2B5EF4-FFF2-40B4-BE49-F238E27FC236}">
                  <a16:creationId xmlns:a16="http://schemas.microsoft.com/office/drawing/2014/main" id="{00000000-0008-0000-0F00-0000E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184150</xdr:colOff>
          <xdr:row>139</xdr:row>
          <xdr:rowOff>184150</xdr:rowOff>
        </xdr:to>
        <xdr:sp macro="" textlink="">
          <xdr:nvSpPr>
            <xdr:cNvPr id="15592" name="Check Box 232" hidden="1">
              <a:extLst>
                <a:ext uri="{63B3BB69-23CF-44E3-9099-C40C66FF867C}">
                  <a14:compatExt spid="_x0000_s15592"/>
                </a:ext>
                <a:ext uri="{FF2B5EF4-FFF2-40B4-BE49-F238E27FC236}">
                  <a16:creationId xmlns:a16="http://schemas.microsoft.com/office/drawing/2014/main" id="{00000000-0008-0000-0F00-0000E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140</xdr:row>
          <xdr:rowOff>0</xdr:rowOff>
        </xdr:from>
        <xdr:to>
          <xdr:col>22</xdr:col>
          <xdr:colOff>184150</xdr:colOff>
          <xdr:row>140</xdr:row>
          <xdr:rowOff>184150</xdr:rowOff>
        </xdr:to>
        <xdr:sp macro="" textlink="">
          <xdr:nvSpPr>
            <xdr:cNvPr id="15593" name="Check Box 233" hidden="1">
              <a:extLst>
                <a:ext uri="{63B3BB69-23CF-44E3-9099-C40C66FF867C}">
                  <a14:compatExt spid="_x0000_s15593"/>
                </a:ext>
                <a:ext uri="{FF2B5EF4-FFF2-40B4-BE49-F238E27FC236}">
                  <a16:creationId xmlns:a16="http://schemas.microsoft.com/office/drawing/2014/main" id="{00000000-0008-0000-0F00-0000E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xdr:row>
          <xdr:rowOff>0</xdr:rowOff>
        </xdr:from>
        <xdr:to>
          <xdr:col>22</xdr:col>
          <xdr:colOff>184150</xdr:colOff>
          <xdr:row>145</xdr:row>
          <xdr:rowOff>184150</xdr:rowOff>
        </xdr:to>
        <xdr:sp macro="" textlink="">
          <xdr:nvSpPr>
            <xdr:cNvPr id="15594" name="Check Box 234" hidden="1">
              <a:extLst>
                <a:ext uri="{63B3BB69-23CF-44E3-9099-C40C66FF867C}">
                  <a14:compatExt spid="_x0000_s15594"/>
                </a:ext>
                <a:ext uri="{FF2B5EF4-FFF2-40B4-BE49-F238E27FC236}">
                  <a16:creationId xmlns:a16="http://schemas.microsoft.com/office/drawing/2014/main" id="{00000000-0008-0000-0F00-0000E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184150</xdr:colOff>
          <xdr:row>147</xdr:row>
          <xdr:rowOff>184150</xdr:rowOff>
        </xdr:to>
        <xdr:sp macro="" textlink="">
          <xdr:nvSpPr>
            <xdr:cNvPr id="15595" name="Check Box 235" hidden="1">
              <a:extLst>
                <a:ext uri="{63B3BB69-23CF-44E3-9099-C40C66FF867C}">
                  <a14:compatExt spid="_x0000_s15595"/>
                </a:ext>
                <a:ext uri="{FF2B5EF4-FFF2-40B4-BE49-F238E27FC236}">
                  <a16:creationId xmlns:a16="http://schemas.microsoft.com/office/drawing/2014/main" id="{00000000-0008-0000-0F00-0000E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xdr:row>
          <xdr:rowOff>0</xdr:rowOff>
        </xdr:from>
        <xdr:to>
          <xdr:col>22</xdr:col>
          <xdr:colOff>184150</xdr:colOff>
          <xdr:row>150</xdr:row>
          <xdr:rowOff>184150</xdr:rowOff>
        </xdr:to>
        <xdr:sp macro="" textlink="">
          <xdr:nvSpPr>
            <xdr:cNvPr id="15596" name="Check Box 236" hidden="1">
              <a:extLst>
                <a:ext uri="{63B3BB69-23CF-44E3-9099-C40C66FF867C}">
                  <a14:compatExt spid="_x0000_s15596"/>
                </a:ext>
                <a:ext uri="{FF2B5EF4-FFF2-40B4-BE49-F238E27FC236}">
                  <a16:creationId xmlns:a16="http://schemas.microsoft.com/office/drawing/2014/main" id="{00000000-0008-0000-0F00-0000E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184150</xdr:colOff>
          <xdr:row>152</xdr:row>
          <xdr:rowOff>184150</xdr:rowOff>
        </xdr:to>
        <xdr:sp macro="" textlink="">
          <xdr:nvSpPr>
            <xdr:cNvPr id="15597" name="Check Box 237" hidden="1">
              <a:extLst>
                <a:ext uri="{63B3BB69-23CF-44E3-9099-C40C66FF867C}">
                  <a14:compatExt spid="_x0000_s15597"/>
                </a:ext>
                <a:ext uri="{FF2B5EF4-FFF2-40B4-BE49-F238E27FC236}">
                  <a16:creationId xmlns:a16="http://schemas.microsoft.com/office/drawing/2014/main" id="{00000000-0008-0000-0F00-0000E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184150</xdr:colOff>
          <xdr:row>154</xdr:row>
          <xdr:rowOff>184150</xdr:rowOff>
        </xdr:to>
        <xdr:sp macro="" textlink="">
          <xdr:nvSpPr>
            <xdr:cNvPr id="15598" name="Check Box 238" hidden="1">
              <a:extLst>
                <a:ext uri="{63B3BB69-23CF-44E3-9099-C40C66FF867C}">
                  <a14:compatExt spid="_x0000_s15598"/>
                </a:ext>
                <a:ext uri="{FF2B5EF4-FFF2-40B4-BE49-F238E27FC236}">
                  <a16:creationId xmlns:a16="http://schemas.microsoft.com/office/drawing/2014/main" id="{00000000-0008-0000-0F00-0000E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xdr:row>
          <xdr:rowOff>0</xdr:rowOff>
        </xdr:from>
        <xdr:to>
          <xdr:col>22</xdr:col>
          <xdr:colOff>184150</xdr:colOff>
          <xdr:row>158</xdr:row>
          <xdr:rowOff>184150</xdr:rowOff>
        </xdr:to>
        <xdr:sp macro="" textlink="">
          <xdr:nvSpPr>
            <xdr:cNvPr id="15599" name="Check Box 239" hidden="1">
              <a:extLst>
                <a:ext uri="{63B3BB69-23CF-44E3-9099-C40C66FF867C}">
                  <a14:compatExt spid="_x0000_s15599"/>
                </a:ext>
                <a:ext uri="{FF2B5EF4-FFF2-40B4-BE49-F238E27FC236}">
                  <a16:creationId xmlns:a16="http://schemas.microsoft.com/office/drawing/2014/main" id="{00000000-0008-0000-0F00-0000E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184150</xdr:colOff>
          <xdr:row>159</xdr:row>
          <xdr:rowOff>184150</xdr:rowOff>
        </xdr:to>
        <xdr:sp macro="" textlink="">
          <xdr:nvSpPr>
            <xdr:cNvPr id="15600" name="Check Box 240" hidden="1">
              <a:extLst>
                <a:ext uri="{63B3BB69-23CF-44E3-9099-C40C66FF867C}">
                  <a14:compatExt spid="_x0000_s15600"/>
                </a:ext>
                <a:ext uri="{FF2B5EF4-FFF2-40B4-BE49-F238E27FC236}">
                  <a16:creationId xmlns:a16="http://schemas.microsoft.com/office/drawing/2014/main" id="{00000000-0008-0000-0F00-0000F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xdr:row>
          <xdr:rowOff>0</xdr:rowOff>
        </xdr:from>
        <xdr:to>
          <xdr:col>22</xdr:col>
          <xdr:colOff>184150</xdr:colOff>
          <xdr:row>160</xdr:row>
          <xdr:rowOff>184150</xdr:rowOff>
        </xdr:to>
        <xdr:sp macro="" textlink="">
          <xdr:nvSpPr>
            <xdr:cNvPr id="15601" name="Check Box 241" hidden="1">
              <a:extLst>
                <a:ext uri="{63B3BB69-23CF-44E3-9099-C40C66FF867C}">
                  <a14:compatExt spid="_x0000_s15601"/>
                </a:ext>
                <a:ext uri="{FF2B5EF4-FFF2-40B4-BE49-F238E27FC236}">
                  <a16:creationId xmlns:a16="http://schemas.microsoft.com/office/drawing/2014/main" id="{00000000-0008-0000-0F00-0000F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162</xdr:row>
          <xdr:rowOff>0</xdr:rowOff>
        </xdr:from>
        <xdr:to>
          <xdr:col>22</xdr:col>
          <xdr:colOff>184150</xdr:colOff>
          <xdr:row>162</xdr:row>
          <xdr:rowOff>184150</xdr:rowOff>
        </xdr:to>
        <xdr:sp macro="" textlink="">
          <xdr:nvSpPr>
            <xdr:cNvPr id="15602" name="Check Box 242" hidden="1">
              <a:extLst>
                <a:ext uri="{63B3BB69-23CF-44E3-9099-C40C66FF867C}">
                  <a14:compatExt spid="_x0000_s15602"/>
                </a:ext>
                <a:ext uri="{FF2B5EF4-FFF2-40B4-BE49-F238E27FC236}">
                  <a16:creationId xmlns:a16="http://schemas.microsoft.com/office/drawing/2014/main" id="{00000000-0008-0000-0F00-0000F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184150</xdr:colOff>
          <xdr:row>177</xdr:row>
          <xdr:rowOff>184150</xdr:rowOff>
        </xdr:to>
        <xdr:sp macro="" textlink="">
          <xdr:nvSpPr>
            <xdr:cNvPr id="15605" name="Check Box 245" hidden="1">
              <a:extLst>
                <a:ext uri="{63B3BB69-23CF-44E3-9099-C40C66FF867C}">
                  <a14:compatExt spid="_x0000_s15605"/>
                </a:ext>
                <a:ext uri="{FF2B5EF4-FFF2-40B4-BE49-F238E27FC236}">
                  <a16:creationId xmlns:a16="http://schemas.microsoft.com/office/drawing/2014/main" id="{00000000-0008-0000-0F00-0000F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184150</xdr:colOff>
          <xdr:row>184</xdr:row>
          <xdr:rowOff>184150</xdr:rowOff>
        </xdr:to>
        <xdr:sp macro="" textlink="">
          <xdr:nvSpPr>
            <xdr:cNvPr id="15606" name="Check Box 246" hidden="1">
              <a:extLst>
                <a:ext uri="{63B3BB69-23CF-44E3-9099-C40C66FF867C}">
                  <a14:compatExt spid="_x0000_s15606"/>
                </a:ext>
                <a:ext uri="{FF2B5EF4-FFF2-40B4-BE49-F238E27FC236}">
                  <a16:creationId xmlns:a16="http://schemas.microsoft.com/office/drawing/2014/main" id="{00000000-0008-0000-0F00-0000F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184150</xdr:colOff>
          <xdr:row>185</xdr:row>
          <xdr:rowOff>184150</xdr:rowOff>
        </xdr:to>
        <xdr:sp macro="" textlink="">
          <xdr:nvSpPr>
            <xdr:cNvPr id="15607" name="Check Box 247" hidden="1">
              <a:extLst>
                <a:ext uri="{63B3BB69-23CF-44E3-9099-C40C66FF867C}">
                  <a14:compatExt spid="_x0000_s15607"/>
                </a:ext>
                <a:ext uri="{FF2B5EF4-FFF2-40B4-BE49-F238E27FC236}">
                  <a16:creationId xmlns:a16="http://schemas.microsoft.com/office/drawing/2014/main" id="{00000000-0008-0000-0F00-0000F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xdr:row>
          <xdr:rowOff>0</xdr:rowOff>
        </xdr:from>
        <xdr:to>
          <xdr:col>22</xdr:col>
          <xdr:colOff>184150</xdr:colOff>
          <xdr:row>187</xdr:row>
          <xdr:rowOff>184150</xdr:rowOff>
        </xdr:to>
        <xdr:sp macro="" textlink="">
          <xdr:nvSpPr>
            <xdr:cNvPr id="15608" name="Check Box 248" hidden="1">
              <a:extLst>
                <a:ext uri="{63B3BB69-23CF-44E3-9099-C40C66FF867C}">
                  <a14:compatExt spid="_x0000_s15608"/>
                </a:ext>
                <a:ext uri="{FF2B5EF4-FFF2-40B4-BE49-F238E27FC236}">
                  <a16:creationId xmlns:a16="http://schemas.microsoft.com/office/drawing/2014/main" id="{00000000-0008-0000-0F00-0000F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184150</xdr:colOff>
          <xdr:row>192</xdr:row>
          <xdr:rowOff>184150</xdr:rowOff>
        </xdr:to>
        <xdr:sp macro="" textlink="">
          <xdr:nvSpPr>
            <xdr:cNvPr id="15609" name="Check Box 249" hidden="1">
              <a:extLst>
                <a:ext uri="{63B3BB69-23CF-44E3-9099-C40C66FF867C}">
                  <a14:compatExt spid="_x0000_s15609"/>
                </a:ext>
                <a:ext uri="{FF2B5EF4-FFF2-40B4-BE49-F238E27FC236}">
                  <a16:creationId xmlns:a16="http://schemas.microsoft.com/office/drawing/2014/main" id="{00000000-0008-0000-0F00-0000F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xdr:row>
          <xdr:rowOff>0</xdr:rowOff>
        </xdr:from>
        <xdr:to>
          <xdr:col>22</xdr:col>
          <xdr:colOff>184150</xdr:colOff>
          <xdr:row>194</xdr:row>
          <xdr:rowOff>184150</xdr:rowOff>
        </xdr:to>
        <xdr:sp macro="" textlink="">
          <xdr:nvSpPr>
            <xdr:cNvPr id="15610" name="Check Box 250" hidden="1">
              <a:extLst>
                <a:ext uri="{63B3BB69-23CF-44E3-9099-C40C66FF867C}">
                  <a14:compatExt spid="_x0000_s15610"/>
                </a:ext>
                <a:ext uri="{FF2B5EF4-FFF2-40B4-BE49-F238E27FC236}">
                  <a16:creationId xmlns:a16="http://schemas.microsoft.com/office/drawing/2014/main" id="{00000000-0008-0000-0F00-0000F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xdr:row>
          <xdr:rowOff>0</xdr:rowOff>
        </xdr:from>
        <xdr:to>
          <xdr:col>22</xdr:col>
          <xdr:colOff>184150</xdr:colOff>
          <xdr:row>195</xdr:row>
          <xdr:rowOff>184150</xdr:rowOff>
        </xdr:to>
        <xdr:sp macro="" textlink="">
          <xdr:nvSpPr>
            <xdr:cNvPr id="15611" name="Check Box 251" hidden="1">
              <a:extLst>
                <a:ext uri="{63B3BB69-23CF-44E3-9099-C40C66FF867C}">
                  <a14:compatExt spid="_x0000_s15611"/>
                </a:ext>
                <a:ext uri="{FF2B5EF4-FFF2-40B4-BE49-F238E27FC236}">
                  <a16:creationId xmlns:a16="http://schemas.microsoft.com/office/drawing/2014/main" id="{00000000-0008-0000-0F00-0000F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xdr:row>
          <xdr:rowOff>0</xdr:rowOff>
        </xdr:from>
        <xdr:to>
          <xdr:col>22</xdr:col>
          <xdr:colOff>184150</xdr:colOff>
          <xdr:row>197</xdr:row>
          <xdr:rowOff>184150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F00-0000F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xdr:row>
          <xdr:rowOff>0</xdr:rowOff>
        </xdr:from>
        <xdr:to>
          <xdr:col>22</xdr:col>
          <xdr:colOff>184150</xdr:colOff>
          <xdr:row>199</xdr:row>
          <xdr:rowOff>184150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F00-0000F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203</xdr:row>
          <xdr:rowOff>0</xdr:rowOff>
        </xdr:from>
        <xdr:to>
          <xdr:col>22</xdr:col>
          <xdr:colOff>184150</xdr:colOff>
          <xdr:row>203</xdr:row>
          <xdr:rowOff>184150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F00-0000F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xdr:row>
          <xdr:rowOff>0</xdr:rowOff>
        </xdr:from>
        <xdr:to>
          <xdr:col>22</xdr:col>
          <xdr:colOff>184150</xdr:colOff>
          <xdr:row>206</xdr:row>
          <xdr:rowOff>184150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F00-0000F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208</xdr:row>
          <xdr:rowOff>0</xdr:rowOff>
        </xdr:from>
        <xdr:to>
          <xdr:col>22</xdr:col>
          <xdr:colOff>184150</xdr:colOff>
          <xdr:row>208</xdr:row>
          <xdr:rowOff>184150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F00-00000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xdr:row>
          <xdr:rowOff>0</xdr:rowOff>
        </xdr:from>
        <xdr:to>
          <xdr:col>22</xdr:col>
          <xdr:colOff>184150</xdr:colOff>
          <xdr:row>209</xdr:row>
          <xdr:rowOff>184150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F00-00000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184150</xdr:colOff>
          <xdr:row>210</xdr:row>
          <xdr:rowOff>184150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F00-00000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211</xdr:row>
          <xdr:rowOff>0</xdr:rowOff>
        </xdr:from>
        <xdr:to>
          <xdr:col>22</xdr:col>
          <xdr:colOff>184150</xdr:colOff>
          <xdr:row>211</xdr:row>
          <xdr:rowOff>184150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F00-00000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212</xdr:row>
          <xdr:rowOff>0</xdr:rowOff>
        </xdr:from>
        <xdr:to>
          <xdr:col>22</xdr:col>
          <xdr:colOff>184150</xdr:colOff>
          <xdr:row>212</xdr:row>
          <xdr:rowOff>184150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F00-00000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213</xdr:row>
          <xdr:rowOff>0</xdr:rowOff>
        </xdr:from>
        <xdr:to>
          <xdr:col>22</xdr:col>
          <xdr:colOff>184150</xdr:colOff>
          <xdr:row>213</xdr:row>
          <xdr:rowOff>184150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F00-00000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xdr:row>
          <xdr:rowOff>0</xdr:rowOff>
        </xdr:from>
        <xdr:to>
          <xdr:col>22</xdr:col>
          <xdr:colOff>184150</xdr:colOff>
          <xdr:row>215</xdr:row>
          <xdr:rowOff>184150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F00-00000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xdr:row>
          <xdr:rowOff>0</xdr:rowOff>
        </xdr:from>
        <xdr:to>
          <xdr:col>22</xdr:col>
          <xdr:colOff>184150</xdr:colOff>
          <xdr:row>222</xdr:row>
          <xdr:rowOff>184150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F00-00000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xdr:row>
          <xdr:rowOff>0</xdr:rowOff>
        </xdr:from>
        <xdr:to>
          <xdr:col>22</xdr:col>
          <xdr:colOff>184150</xdr:colOff>
          <xdr:row>224</xdr:row>
          <xdr:rowOff>184150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F00-00000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xdr:row>
          <xdr:rowOff>0</xdr:rowOff>
        </xdr:from>
        <xdr:to>
          <xdr:col>22</xdr:col>
          <xdr:colOff>184150</xdr:colOff>
          <xdr:row>237</xdr:row>
          <xdr:rowOff>184150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F00-00000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xdr:row>
          <xdr:rowOff>0</xdr:rowOff>
        </xdr:from>
        <xdr:to>
          <xdr:col>22</xdr:col>
          <xdr:colOff>184150</xdr:colOff>
          <xdr:row>240</xdr:row>
          <xdr:rowOff>184150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F00-00000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xdr:row>
          <xdr:rowOff>0</xdr:rowOff>
        </xdr:from>
        <xdr:to>
          <xdr:col>22</xdr:col>
          <xdr:colOff>184150</xdr:colOff>
          <xdr:row>244</xdr:row>
          <xdr:rowOff>184150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F00-00000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xdr:row>
          <xdr:rowOff>0</xdr:rowOff>
        </xdr:from>
        <xdr:to>
          <xdr:col>22</xdr:col>
          <xdr:colOff>184150</xdr:colOff>
          <xdr:row>245</xdr:row>
          <xdr:rowOff>184150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F00-00000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254</xdr:row>
          <xdr:rowOff>0</xdr:rowOff>
        </xdr:from>
        <xdr:to>
          <xdr:col>22</xdr:col>
          <xdr:colOff>184150</xdr:colOff>
          <xdr:row>254</xdr:row>
          <xdr:rowOff>184150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F00-00000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255</xdr:row>
          <xdr:rowOff>0</xdr:rowOff>
        </xdr:from>
        <xdr:to>
          <xdr:col>22</xdr:col>
          <xdr:colOff>184150</xdr:colOff>
          <xdr:row>255</xdr:row>
          <xdr:rowOff>184150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F00-00000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257</xdr:row>
          <xdr:rowOff>0</xdr:rowOff>
        </xdr:from>
        <xdr:to>
          <xdr:col>22</xdr:col>
          <xdr:colOff>184150</xdr:colOff>
          <xdr:row>257</xdr:row>
          <xdr:rowOff>184150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F00-00000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283</xdr:row>
          <xdr:rowOff>0</xdr:rowOff>
        </xdr:from>
        <xdr:to>
          <xdr:col>22</xdr:col>
          <xdr:colOff>184150</xdr:colOff>
          <xdr:row>283</xdr:row>
          <xdr:rowOff>184150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F00-00001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286</xdr:row>
          <xdr:rowOff>0</xdr:rowOff>
        </xdr:from>
        <xdr:to>
          <xdr:col>22</xdr:col>
          <xdr:colOff>184150</xdr:colOff>
          <xdr:row>286</xdr:row>
          <xdr:rowOff>184150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F00-00001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289</xdr:row>
          <xdr:rowOff>0</xdr:rowOff>
        </xdr:from>
        <xdr:to>
          <xdr:col>22</xdr:col>
          <xdr:colOff>184150</xdr:colOff>
          <xdr:row>289</xdr:row>
          <xdr:rowOff>184150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F00-00001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293</xdr:row>
          <xdr:rowOff>0</xdr:rowOff>
        </xdr:from>
        <xdr:to>
          <xdr:col>22</xdr:col>
          <xdr:colOff>184150</xdr:colOff>
          <xdr:row>293</xdr:row>
          <xdr:rowOff>184150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F00-00001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294</xdr:row>
          <xdr:rowOff>0</xdr:rowOff>
        </xdr:from>
        <xdr:to>
          <xdr:col>22</xdr:col>
          <xdr:colOff>184150</xdr:colOff>
          <xdr:row>294</xdr:row>
          <xdr:rowOff>184150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F00-00001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295</xdr:row>
          <xdr:rowOff>0</xdr:rowOff>
        </xdr:from>
        <xdr:to>
          <xdr:col>22</xdr:col>
          <xdr:colOff>184150</xdr:colOff>
          <xdr:row>295</xdr:row>
          <xdr:rowOff>184150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F00-00001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296</xdr:row>
          <xdr:rowOff>0</xdr:rowOff>
        </xdr:from>
        <xdr:to>
          <xdr:col>22</xdr:col>
          <xdr:colOff>184150</xdr:colOff>
          <xdr:row>296</xdr:row>
          <xdr:rowOff>184150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F00-00001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297</xdr:row>
          <xdr:rowOff>0</xdr:rowOff>
        </xdr:from>
        <xdr:to>
          <xdr:col>22</xdr:col>
          <xdr:colOff>184150</xdr:colOff>
          <xdr:row>297</xdr:row>
          <xdr:rowOff>184150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F00-00001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298</xdr:row>
          <xdr:rowOff>0</xdr:rowOff>
        </xdr:from>
        <xdr:to>
          <xdr:col>22</xdr:col>
          <xdr:colOff>184150</xdr:colOff>
          <xdr:row>298</xdr:row>
          <xdr:rowOff>184150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F00-00001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304</xdr:row>
          <xdr:rowOff>0</xdr:rowOff>
        </xdr:from>
        <xdr:to>
          <xdr:col>22</xdr:col>
          <xdr:colOff>184150</xdr:colOff>
          <xdr:row>304</xdr:row>
          <xdr:rowOff>184150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F00-00001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184150</xdr:colOff>
          <xdr:row>305</xdr:row>
          <xdr:rowOff>184150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F00-00001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306</xdr:row>
          <xdr:rowOff>0</xdr:rowOff>
        </xdr:from>
        <xdr:to>
          <xdr:col>22</xdr:col>
          <xdr:colOff>184150</xdr:colOff>
          <xdr:row>306</xdr:row>
          <xdr:rowOff>184150</xdr:rowOff>
        </xdr:to>
        <xdr:sp macro="" textlink="">
          <xdr:nvSpPr>
            <xdr:cNvPr id="15643" name="Check Box 283" hidden="1">
              <a:extLst>
                <a:ext uri="{63B3BB69-23CF-44E3-9099-C40C66FF867C}">
                  <a14:compatExt spid="_x0000_s15643"/>
                </a:ext>
                <a:ext uri="{FF2B5EF4-FFF2-40B4-BE49-F238E27FC236}">
                  <a16:creationId xmlns:a16="http://schemas.microsoft.com/office/drawing/2014/main" id="{00000000-0008-0000-0F00-00001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307</xdr:row>
          <xdr:rowOff>0</xdr:rowOff>
        </xdr:from>
        <xdr:to>
          <xdr:col>22</xdr:col>
          <xdr:colOff>184150</xdr:colOff>
          <xdr:row>307</xdr:row>
          <xdr:rowOff>184150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F00-00001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184150</xdr:colOff>
          <xdr:row>308</xdr:row>
          <xdr:rowOff>184150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F00-00001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332</xdr:row>
          <xdr:rowOff>0</xdr:rowOff>
        </xdr:from>
        <xdr:to>
          <xdr:col>22</xdr:col>
          <xdr:colOff>184150</xdr:colOff>
          <xdr:row>332</xdr:row>
          <xdr:rowOff>184150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F00-00001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340</xdr:row>
          <xdr:rowOff>0</xdr:rowOff>
        </xdr:from>
        <xdr:to>
          <xdr:col>22</xdr:col>
          <xdr:colOff>184150</xdr:colOff>
          <xdr:row>340</xdr:row>
          <xdr:rowOff>184150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F00-00001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354</xdr:row>
          <xdr:rowOff>0</xdr:rowOff>
        </xdr:from>
        <xdr:to>
          <xdr:col>22</xdr:col>
          <xdr:colOff>184150</xdr:colOff>
          <xdr:row>354</xdr:row>
          <xdr:rowOff>184150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F00-00002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358</xdr:row>
          <xdr:rowOff>0</xdr:rowOff>
        </xdr:from>
        <xdr:to>
          <xdr:col>22</xdr:col>
          <xdr:colOff>184150</xdr:colOff>
          <xdr:row>358</xdr:row>
          <xdr:rowOff>184150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F00-00002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359</xdr:row>
          <xdr:rowOff>0</xdr:rowOff>
        </xdr:from>
        <xdr:to>
          <xdr:col>22</xdr:col>
          <xdr:colOff>184150</xdr:colOff>
          <xdr:row>359</xdr:row>
          <xdr:rowOff>184150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F00-00002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361</xdr:row>
          <xdr:rowOff>0</xdr:rowOff>
        </xdr:from>
        <xdr:to>
          <xdr:col>22</xdr:col>
          <xdr:colOff>184150</xdr:colOff>
          <xdr:row>361</xdr:row>
          <xdr:rowOff>184150</xdr:rowOff>
        </xdr:to>
        <xdr:sp macro="" textlink="">
          <xdr:nvSpPr>
            <xdr:cNvPr id="15652" name="Check Box 292" hidden="1">
              <a:extLst>
                <a:ext uri="{63B3BB69-23CF-44E3-9099-C40C66FF867C}">
                  <a14:compatExt spid="_x0000_s15652"/>
                </a:ext>
                <a:ext uri="{FF2B5EF4-FFF2-40B4-BE49-F238E27FC236}">
                  <a16:creationId xmlns:a16="http://schemas.microsoft.com/office/drawing/2014/main" id="{00000000-0008-0000-0F00-00002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363</xdr:row>
          <xdr:rowOff>0</xdr:rowOff>
        </xdr:from>
        <xdr:to>
          <xdr:col>22</xdr:col>
          <xdr:colOff>184150</xdr:colOff>
          <xdr:row>363</xdr:row>
          <xdr:rowOff>184150</xdr:rowOff>
        </xdr:to>
        <xdr:sp macro="" textlink="">
          <xdr:nvSpPr>
            <xdr:cNvPr id="15653" name="Check Box 293" hidden="1">
              <a:extLst>
                <a:ext uri="{63B3BB69-23CF-44E3-9099-C40C66FF867C}">
                  <a14:compatExt spid="_x0000_s15653"/>
                </a:ext>
                <a:ext uri="{FF2B5EF4-FFF2-40B4-BE49-F238E27FC236}">
                  <a16:creationId xmlns:a16="http://schemas.microsoft.com/office/drawing/2014/main" id="{00000000-0008-0000-0F00-00002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369</xdr:row>
          <xdr:rowOff>0</xdr:rowOff>
        </xdr:from>
        <xdr:to>
          <xdr:col>22</xdr:col>
          <xdr:colOff>184150</xdr:colOff>
          <xdr:row>369</xdr:row>
          <xdr:rowOff>184150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F00-00002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375</xdr:row>
          <xdr:rowOff>0</xdr:rowOff>
        </xdr:from>
        <xdr:to>
          <xdr:col>22</xdr:col>
          <xdr:colOff>184150</xdr:colOff>
          <xdr:row>375</xdr:row>
          <xdr:rowOff>184150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F00-00002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381</xdr:row>
          <xdr:rowOff>0</xdr:rowOff>
        </xdr:from>
        <xdr:to>
          <xdr:col>22</xdr:col>
          <xdr:colOff>184150</xdr:colOff>
          <xdr:row>381</xdr:row>
          <xdr:rowOff>184150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F00-00002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383</xdr:row>
          <xdr:rowOff>0</xdr:rowOff>
        </xdr:from>
        <xdr:to>
          <xdr:col>22</xdr:col>
          <xdr:colOff>184150</xdr:colOff>
          <xdr:row>383</xdr:row>
          <xdr:rowOff>184150</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0F00-00002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389</xdr:row>
          <xdr:rowOff>0</xdr:rowOff>
        </xdr:from>
        <xdr:to>
          <xdr:col>22</xdr:col>
          <xdr:colOff>184150</xdr:colOff>
          <xdr:row>389</xdr:row>
          <xdr:rowOff>184150</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0F00-00002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393</xdr:row>
          <xdr:rowOff>0</xdr:rowOff>
        </xdr:from>
        <xdr:to>
          <xdr:col>22</xdr:col>
          <xdr:colOff>184150</xdr:colOff>
          <xdr:row>393</xdr:row>
          <xdr:rowOff>184150</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0F00-00002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397</xdr:row>
          <xdr:rowOff>0</xdr:rowOff>
        </xdr:from>
        <xdr:to>
          <xdr:col>22</xdr:col>
          <xdr:colOff>184150</xdr:colOff>
          <xdr:row>397</xdr:row>
          <xdr:rowOff>184150</xdr:rowOff>
        </xdr:to>
        <xdr:sp macro="" textlink="">
          <xdr:nvSpPr>
            <xdr:cNvPr id="15660" name="Check Box 300" hidden="1">
              <a:extLst>
                <a:ext uri="{63B3BB69-23CF-44E3-9099-C40C66FF867C}">
                  <a14:compatExt spid="_x0000_s15660"/>
                </a:ext>
                <a:ext uri="{FF2B5EF4-FFF2-40B4-BE49-F238E27FC236}">
                  <a16:creationId xmlns:a16="http://schemas.microsoft.com/office/drawing/2014/main" id="{00000000-0008-0000-0F00-00002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402</xdr:row>
          <xdr:rowOff>0</xdr:rowOff>
        </xdr:from>
        <xdr:to>
          <xdr:col>22</xdr:col>
          <xdr:colOff>184150</xdr:colOff>
          <xdr:row>402</xdr:row>
          <xdr:rowOff>184150</xdr:rowOff>
        </xdr:to>
        <xdr:sp macro="" textlink="">
          <xdr:nvSpPr>
            <xdr:cNvPr id="15661" name="Check Box 301" hidden="1">
              <a:extLst>
                <a:ext uri="{63B3BB69-23CF-44E3-9099-C40C66FF867C}">
                  <a14:compatExt spid="_x0000_s15661"/>
                </a:ext>
                <a:ext uri="{FF2B5EF4-FFF2-40B4-BE49-F238E27FC236}">
                  <a16:creationId xmlns:a16="http://schemas.microsoft.com/office/drawing/2014/main" id="{00000000-0008-0000-0F00-00002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407</xdr:row>
          <xdr:rowOff>0</xdr:rowOff>
        </xdr:from>
        <xdr:to>
          <xdr:col>22</xdr:col>
          <xdr:colOff>184150</xdr:colOff>
          <xdr:row>407</xdr:row>
          <xdr:rowOff>184150</xdr:rowOff>
        </xdr:to>
        <xdr:sp macro="" textlink="">
          <xdr:nvSpPr>
            <xdr:cNvPr id="15662" name="Check Box 302" hidden="1">
              <a:extLst>
                <a:ext uri="{63B3BB69-23CF-44E3-9099-C40C66FF867C}">
                  <a14:compatExt spid="_x0000_s15662"/>
                </a:ext>
                <a:ext uri="{FF2B5EF4-FFF2-40B4-BE49-F238E27FC236}">
                  <a16:creationId xmlns:a16="http://schemas.microsoft.com/office/drawing/2014/main" id="{00000000-0008-0000-0F00-00002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409</xdr:row>
          <xdr:rowOff>0</xdr:rowOff>
        </xdr:from>
        <xdr:to>
          <xdr:col>22</xdr:col>
          <xdr:colOff>184150</xdr:colOff>
          <xdr:row>409</xdr:row>
          <xdr:rowOff>184150</xdr:rowOff>
        </xdr:to>
        <xdr:sp macro="" textlink="">
          <xdr:nvSpPr>
            <xdr:cNvPr id="15663" name="Check Box 303" hidden="1">
              <a:extLst>
                <a:ext uri="{63B3BB69-23CF-44E3-9099-C40C66FF867C}">
                  <a14:compatExt spid="_x0000_s15663"/>
                </a:ext>
                <a:ext uri="{FF2B5EF4-FFF2-40B4-BE49-F238E27FC236}">
                  <a16:creationId xmlns:a16="http://schemas.microsoft.com/office/drawing/2014/main" id="{00000000-0008-0000-0F00-00002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411</xdr:row>
          <xdr:rowOff>0</xdr:rowOff>
        </xdr:from>
        <xdr:to>
          <xdr:col>22</xdr:col>
          <xdr:colOff>184150</xdr:colOff>
          <xdr:row>411</xdr:row>
          <xdr:rowOff>184150</xdr:rowOff>
        </xdr:to>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0F00-00003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423</xdr:row>
          <xdr:rowOff>0</xdr:rowOff>
        </xdr:from>
        <xdr:to>
          <xdr:col>22</xdr:col>
          <xdr:colOff>184150</xdr:colOff>
          <xdr:row>423</xdr:row>
          <xdr:rowOff>184150</xdr:rowOff>
        </xdr:to>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0F00-00003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433</xdr:row>
          <xdr:rowOff>0</xdr:rowOff>
        </xdr:from>
        <xdr:to>
          <xdr:col>22</xdr:col>
          <xdr:colOff>184150</xdr:colOff>
          <xdr:row>433</xdr:row>
          <xdr:rowOff>184150</xdr:rowOff>
        </xdr:to>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0F00-00003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436</xdr:row>
          <xdr:rowOff>0</xdr:rowOff>
        </xdr:from>
        <xdr:to>
          <xdr:col>22</xdr:col>
          <xdr:colOff>184150</xdr:colOff>
          <xdr:row>436</xdr:row>
          <xdr:rowOff>184150</xdr:rowOff>
        </xdr:to>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0F00-00003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437</xdr:row>
          <xdr:rowOff>0</xdr:rowOff>
        </xdr:from>
        <xdr:to>
          <xdr:col>22</xdr:col>
          <xdr:colOff>184150</xdr:colOff>
          <xdr:row>437</xdr:row>
          <xdr:rowOff>184150</xdr:rowOff>
        </xdr:to>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0F00-00003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447</xdr:row>
          <xdr:rowOff>0</xdr:rowOff>
        </xdr:from>
        <xdr:to>
          <xdr:col>22</xdr:col>
          <xdr:colOff>184150</xdr:colOff>
          <xdr:row>447</xdr:row>
          <xdr:rowOff>184150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F00-00003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449</xdr:row>
          <xdr:rowOff>0</xdr:rowOff>
        </xdr:from>
        <xdr:to>
          <xdr:col>22</xdr:col>
          <xdr:colOff>184150</xdr:colOff>
          <xdr:row>449</xdr:row>
          <xdr:rowOff>184150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F00-00003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465</xdr:row>
          <xdr:rowOff>0</xdr:rowOff>
        </xdr:from>
        <xdr:to>
          <xdr:col>22</xdr:col>
          <xdr:colOff>184150</xdr:colOff>
          <xdr:row>465</xdr:row>
          <xdr:rowOff>184150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F00-00003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476</xdr:row>
          <xdr:rowOff>0</xdr:rowOff>
        </xdr:from>
        <xdr:to>
          <xdr:col>22</xdr:col>
          <xdr:colOff>184150</xdr:colOff>
          <xdr:row>476</xdr:row>
          <xdr:rowOff>184150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F00-00003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477</xdr:row>
          <xdr:rowOff>0</xdr:rowOff>
        </xdr:from>
        <xdr:to>
          <xdr:col>22</xdr:col>
          <xdr:colOff>184150</xdr:colOff>
          <xdr:row>477</xdr:row>
          <xdr:rowOff>184150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F00-00003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482</xdr:row>
          <xdr:rowOff>0</xdr:rowOff>
        </xdr:from>
        <xdr:to>
          <xdr:col>22</xdr:col>
          <xdr:colOff>184150</xdr:colOff>
          <xdr:row>482</xdr:row>
          <xdr:rowOff>184150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F00-00003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484</xdr:row>
          <xdr:rowOff>0</xdr:rowOff>
        </xdr:from>
        <xdr:to>
          <xdr:col>22</xdr:col>
          <xdr:colOff>184150</xdr:colOff>
          <xdr:row>484</xdr:row>
          <xdr:rowOff>184150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F00-00003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485</xdr:row>
          <xdr:rowOff>0</xdr:rowOff>
        </xdr:from>
        <xdr:to>
          <xdr:col>22</xdr:col>
          <xdr:colOff>184150</xdr:colOff>
          <xdr:row>485</xdr:row>
          <xdr:rowOff>184150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F00-00003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488</xdr:row>
          <xdr:rowOff>0</xdr:rowOff>
        </xdr:from>
        <xdr:to>
          <xdr:col>22</xdr:col>
          <xdr:colOff>184150</xdr:colOff>
          <xdr:row>488</xdr:row>
          <xdr:rowOff>184150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F00-00003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492</xdr:row>
          <xdr:rowOff>0</xdr:rowOff>
        </xdr:from>
        <xdr:to>
          <xdr:col>22</xdr:col>
          <xdr:colOff>184150</xdr:colOff>
          <xdr:row>492</xdr:row>
          <xdr:rowOff>184150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F00-00003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497</xdr:row>
          <xdr:rowOff>0</xdr:rowOff>
        </xdr:from>
        <xdr:to>
          <xdr:col>22</xdr:col>
          <xdr:colOff>184150</xdr:colOff>
          <xdr:row>497</xdr:row>
          <xdr:rowOff>184150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F00-00003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499</xdr:row>
          <xdr:rowOff>0</xdr:rowOff>
        </xdr:from>
        <xdr:to>
          <xdr:col>22</xdr:col>
          <xdr:colOff>184150</xdr:colOff>
          <xdr:row>499</xdr:row>
          <xdr:rowOff>184150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F00-00004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516</xdr:row>
          <xdr:rowOff>0</xdr:rowOff>
        </xdr:from>
        <xdr:to>
          <xdr:col>22</xdr:col>
          <xdr:colOff>184150</xdr:colOff>
          <xdr:row>516</xdr:row>
          <xdr:rowOff>184150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F00-00004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532</xdr:row>
          <xdr:rowOff>0</xdr:rowOff>
        </xdr:from>
        <xdr:to>
          <xdr:col>22</xdr:col>
          <xdr:colOff>184150</xdr:colOff>
          <xdr:row>532</xdr:row>
          <xdr:rowOff>184150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F00-00004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545</xdr:row>
          <xdr:rowOff>0</xdr:rowOff>
        </xdr:from>
        <xdr:to>
          <xdr:col>22</xdr:col>
          <xdr:colOff>184150</xdr:colOff>
          <xdr:row>545</xdr:row>
          <xdr:rowOff>184150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F00-00004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547</xdr:row>
          <xdr:rowOff>0</xdr:rowOff>
        </xdr:from>
        <xdr:to>
          <xdr:col>22</xdr:col>
          <xdr:colOff>184150</xdr:colOff>
          <xdr:row>547</xdr:row>
          <xdr:rowOff>184150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F00-00004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0</xdr:rowOff>
        </xdr:from>
        <xdr:to>
          <xdr:col>22</xdr:col>
          <xdr:colOff>184150</xdr:colOff>
          <xdr:row>560</xdr:row>
          <xdr:rowOff>184150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F00-00004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561</xdr:row>
          <xdr:rowOff>0</xdr:rowOff>
        </xdr:from>
        <xdr:to>
          <xdr:col>22</xdr:col>
          <xdr:colOff>184150</xdr:colOff>
          <xdr:row>561</xdr:row>
          <xdr:rowOff>184150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F00-00004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562</xdr:row>
          <xdr:rowOff>0</xdr:rowOff>
        </xdr:from>
        <xdr:to>
          <xdr:col>22</xdr:col>
          <xdr:colOff>184150</xdr:colOff>
          <xdr:row>562</xdr:row>
          <xdr:rowOff>184150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F00-00004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563</xdr:row>
          <xdr:rowOff>0</xdr:rowOff>
        </xdr:from>
        <xdr:to>
          <xdr:col>22</xdr:col>
          <xdr:colOff>184150</xdr:colOff>
          <xdr:row>563</xdr:row>
          <xdr:rowOff>184150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F00-00004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564</xdr:row>
          <xdr:rowOff>0</xdr:rowOff>
        </xdr:from>
        <xdr:to>
          <xdr:col>22</xdr:col>
          <xdr:colOff>184150</xdr:colOff>
          <xdr:row>564</xdr:row>
          <xdr:rowOff>184150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F00-00004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565</xdr:row>
          <xdr:rowOff>0</xdr:rowOff>
        </xdr:from>
        <xdr:to>
          <xdr:col>22</xdr:col>
          <xdr:colOff>184150</xdr:colOff>
          <xdr:row>565</xdr:row>
          <xdr:rowOff>184150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F00-00004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566</xdr:row>
          <xdr:rowOff>0</xdr:rowOff>
        </xdr:from>
        <xdr:to>
          <xdr:col>22</xdr:col>
          <xdr:colOff>184150</xdr:colOff>
          <xdr:row>566</xdr:row>
          <xdr:rowOff>184150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F00-00004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567</xdr:row>
          <xdr:rowOff>0</xdr:rowOff>
        </xdr:from>
        <xdr:to>
          <xdr:col>22</xdr:col>
          <xdr:colOff>184150</xdr:colOff>
          <xdr:row>567</xdr:row>
          <xdr:rowOff>184150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F00-00004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568</xdr:row>
          <xdr:rowOff>0</xdr:rowOff>
        </xdr:from>
        <xdr:to>
          <xdr:col>22</xdr:col>
          <xdr:colOff>184150</xdr:colOff>
          <xdr:row>568</xdr:row>
          <xdr:rowOff>184150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F00-00004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615</xdr:row>
          <xdr:rowOff>0</xdr:rowOff>
        </xdr:from>
        <xdr:to>
          <xdr:col>22</xdr:col>
          <xdr:colOff>184150</xdr:colOff>
          <xdr:row>615</xdr:row>
          <xdr:rowOff>184150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F00-00004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617</xdr:row>
          <xdr:rowOff>0</xdr:rowOff>
        </xdr:from>
        <xdr:to>
          <xdr:col>22</xdr:col>
          <xdr:colOff>184150</xdr:colOff>
          <xdr:row>617</xdr:row>
          <xdr:rowOff>184150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F00-00004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618</xdr:row>
          <xdr:rowOff>0</xdr:rowOff>
        </xdr:from>
        <xdr:to>
          <xdr:col>22</xdr:col>
          <xdr:colOff>184150</xdr:colOff>
          <xdr:row>618</xdr:row>
          <xdr:rowOff>184150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F00-00005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646</xdr:row>
          <xdr:rowOff>0</xdr:rowOff>
        </xdr:from>
        <xdr:to>
          <xdr:col>22</xdr:col>
          <xdr:colOff>184150</xdr:colOff>
          <xdr:row>646</xdr:row>
          <xdr:rowOff>184150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F00-00005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655</xdr:row>
          <xdr:rowOff>0</xdr:rowOff>
        </xdr:from>
        <xdr:to>
          <xdr:col>22</xdr:col>
          <xdr:colOff>184150</xdr:colOff>
          <xdr:row>655</xdr:row>
          <xdr:rowOff>184150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F00-00005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662</xdr:row>
          <xdr:rowOff>0</xdr:rowOff>
        </xdr:from>
        <xdr:to>
          <xdr:col>22</xdr:col>
          <xdr:colOff>184150</xdr:colOff>
          <xdr:row>662</xdr:row>
          <xdr:rowOff>184150</xdr:rowOff>
        </xdr:to>
        <xdr:sp macro="" textlink="">
          <xdr:nvSpPr>
            <xdr:cNvPr id="15699" name="Check Box 339" hidden="1">
              <a:extLst>
                <a:ext uri="{63B3BB69-23CF-44E3-9099-C40C66FF867C}">
                  <a14:compatExt spid="_x0000_s15699"/>
                </a:ext>
                <a:ext uri="{FF2B5EF4-FFF2-40B4-BE49-F238E27FC236}">
                  <a16:creationId xmlns:a16="http://schemas.microsoft.com/office/drawing/2014/main" id="{00000000-0008-0000-0F00-00005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718</xdr:row>
          <xdr:rowOff>0</xdr:rowOff>
        </xdr:from>
        <xdr:to>
          <xdr:col>22</xdr:col>
          <xdr:colOff>184150</xdr:colOff>
          <xdr:row>718</xdr:row>
          <xdr:rowOff>184150</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F00-00005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719</xdr:row>
          <xdr:rowOff>0</xdr:rowOff>
        </xdr:from>
        <xdr:to>
          <xdr:col>22</xdr:col>
          <xdr:colOff>184150</xdr:colOff>
          <xdr:row>719</xdr:row>
          <xdr:rowOff>184150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F00-00005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721</xdr:row>
          <xdr:rowOff>0</xdr:rowOff>
        </xdr:from>
        <xdr:to>
          <xdr:col>22</xdr:col>
          <xdr:colOff>184150</xdr:colOff>
          <xdr:row>721</xdr:row>
          <xdr:rowOff>184150</xdr:rowOff>
        </xdr:to>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0F00-00005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720</xdr:row>
          <xdr:rowOff>0</xdr:rowOff>
        </xdr:from>
        <xdr:to>
          <xdr:col>22</xdr:col>
          <xdr:colOff>184150</xdr:colOff>
          <xdr:row>720</xdr:row>
          <xdr:rowOff>184150</xdr:rowOff>
        </xdr:to>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0F00-00005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722</xdr:row>
          <xdr:rowOff>0</xdr:rowOff>
        </xdr:from>
        <xdr:to>
          <xdr:col>22</xdr:col>
          <xdr:colOff>184150</xdr:colOff>
          <xdr:row>722</xdr:row>
          <xdr:rowOff>184150</xdr:rowOff>
        </xdr:to>
        <xdr:sp macro="" textlink="">
          <xdr:nvSpPr>
            <xdr:cNvPr id="15704" name="Check Box 344" hidden="1">
              <a:extLst>
                <a:ext uri="{63B3BB69-23CF-44E3-9099-C40C66FF867C}">
                  <a14:compatExt spid="_x0000_s15704"/>
                </a:ext>
                <a:ext uri="{FF2B5EF4-FFF2-40B4-BE49-F238E27FC236}">
                  <a16:creationId xmlns:a16="http://schemas.microsoft.com/office/drawing/2014/main" id="{00000000-0008-0000-0F00-00005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723</xdr:row>
          <xdr:rowOff>0</xdr:rowOff>
        </xdr:from>
        <xdr:to>
          <xdr:col>22</xdr:col>
          <xdr:colOff>184150</xdr:colOff>
          <xdr:row>723</xdr:row>
          <xdr:rowOff>184150</xdr:rowOff>
        </xdr:to>
        <xdr:sp macro="" textlink="">
          <xdr:nvSpPr>
            <xdr:cNvPr id="15705" name="Check Box 345" hidden="1">
              <a:extLst>
                <a:ext uri="{63B3BB69-23CF-44E3-9099-C40C66FF867C}">
                  <a14:compatExt spid="_x0000_s15705"/>
                </a:ext>
                <a:ext uri="{FF2B5EF4-FFF2-40B4-BE49-F238E27FC236}">
                  <a16:creationId xmlns:a16="http://schemas.microsoft.com/office/drawing/2014/main" id="{00000000-0008-0000-0F00-00005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724</xdr:row>
          <xdr:rowOff>0</xdr:rowOff>
        </xdr:from>
        <xdr:to>
          <xdr:col>22</xdr:col>
          <xdr:colOff>184150</xdr:colOff>
          <xdr:row>724</xdr:row>
          <xdr:rowOff>184150</xdr:rowOff>
        </xdr:to>
        <xdr:sp macro="" textlink="">
          <xdr:nvSpPr>
            <xdr:cNvPr id="15706" name="Check Box 346" hidden="1">
              <a:extLst>
                <a:ext uri="{63B3BB69-23CF-44E3-9099-C40C66FF867C}">
                  <a14:compatExt spid="_x0000_s15706"/>
                </a:ext>
                <a:ext uri="{FF2B5EF4-FFF2-40B4-BE49-F238E27FC236}">
                  <a16:creationId xmlns:a16="http://schemas.microsoft.com/office/drawing/2014/main" id="{00000000-0008-0000-0F00-00005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728</xdr:row>
          <xdr:rowOff>0</xdr:rowOff>
        </xdr:from>
        <xdr:to>
          <xdr:col>22</xdr:col>
          <xdr:colOff>184150</xdr:colOff>
          <xdr:row>728</xdr:row>
          <xdr:rowOff>184150</xdr:rowOff>
        </xdr:to>
        <xdr:sp macro="" textlink="">
          <xdr:nvSpPr>
            <xdr:cNvPr id="15707" name="Check Box 347" hidden="1">
              <a:extLst>
                <a:ext uri="{63B3BB69-23CF-44E3-9099-C40C66FF867C}">
                  <a14:compatExt spid="_x0000_s15707"/>
                </a:ext>
                <a:ext uri="{FF2B5EF4-FFF2-40B4-BE49-F238E27FC236}">
                  <a16:creationId xmlns:a16="http://schemas.microsoft.com/office/drawing/2014/main" id="{00000000-0008-0000-0F00-00005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733</xdr:row>
          <xdr:rowOff>0</xdr:rowOff>
        </xdr:from>
        <xdr:to>
          <xdr:col>22</xdr:col>
          <xdr:colOff>184150</xdr:colOff>
          <xdr:row>733</xdr:row>
          <xdr:rowOff>184150</xdr:rowOff>
        </xdr:to>
        <xdr:sp macro="" textlink="">
          <xdr:nvSpPr>
            <xdr:cNvPr id="15708" name="Check Box 348" hidden="1">
              <a:extLst>
                <a:ext uri="{63B3BB69-23CF-44E3-9099-C40C66FF867C}">
                  <a14:compatExt spid="_x0000_s15708"/>
                </a:ext>
                <a:ext uri="{FF2B5EF4-FFF2-40B4-BE49-F238E27FC236}">
                  <a16:creationId xmlns:a16="http://schemas.microsoft.com/office/drawing/2014/main" id="{00000000-0008-0000-0F00-00005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737</xdr:row>
          <xdr:rowOff>0</xdr:rowOff>
        </xdr:from>
        <xdr:to>
          <xdr:col>22</xdr:col>
          <xdr:colOff>184150</xdr:colOff>
          <xdr:row>737</xdr:row>
          <xdr:rowOff>184150</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F00-00005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739</xdr:row>
          <xdr:rowOff>0</xdr:rowOff>
        </xdr:from>
        <xdr:to>
          <xdr:col>22</xdr:col>
          <xdr:colOff>184150</xdr:colOff>
          <xdr:row>739</xdr:row>
          <xdr:rowOff>184150</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F00-00005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741</xdr:row>
          <xdr:rowOff>0</xdr:rowOff>
        </xdr:from>
        <xdr:to>
          <xdr:col>22</xdr:col>
          <xdr:colOff>184150</xdr:colOff>
          <xdr:row>741</xdr:row>
          <xdr:rowOff>184150</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F00-00005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742</xdr:row>
          <xdr:rowOff>0</xdr:rowOff>
        </xdr:from>
        <xdr:to>
          <xdr:col>22</xdr:col>
          <xdr:colOff>184150</xdr:colOff>
          <xdr:row>742</xdr:row>
          <xdr:rowOff>184150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F00-00006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743</xdr:row>
          <xdr:rowOff>0</xdr:rowOff>
        </xdr:from>
        <xdr:to>
          <xdr:col>22</xdr:col>
          <xdr:colOff>184150</xdr:colOff>
          <xdr:row>743</xdr:row>
          <xdr:rowOff>184150</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F00-00006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747</xdr:row>
          <xdr:rowOff>0</xdr:rowOff>
        </xdr:from>
        <xdr:to>
          <xdr:col>22</xdr:col>
          <xdr:colOff>184150</xdr:colOff>
          <xdr:row>747</xdr:row>
          <xdr:rowOff>184150</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F00-00006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749</xdr:row>
          <xdr:rowOff>0</xdr:rowOff>
        </xdr:from>
        <xdr:to>
          <xdr:col>22</xdr:col>
          <xdr:colOff>184150</xdr:colOff>
          <xdr:row>749</xdr:row>
          <xdr:rowOff>184150</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F00-00006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798</xdr:row>
          <xdr:rowOff>0</xdr:rowOff>
        </xdr:from>
        <xdr:to>
          <xdr:col>22</xdr:col>
          <xdr:colOff>184150</xdr:colOff>
          <xdr:row>798</xdr:row>
          <xdr:rowOff>184150</xdr:rowOff>
        </xdr:to>
        <xdr:sp macro="" textlink="">
          <xdr:nvSpPr>
            <xdr:cNvPr id="15804" name="Check Box 444" hidden="1">
              <a:extLst>
                <a:ext uri="{63B3BB69-23CF-44E3-9099-C40C66FF867C}">
                  <a14:compatExt spid="_x0000_s15804"/>
                </a:ext>
                <a:ext uri="{FF2B5EF4-FFF2-40B4-BE49-F238E27FC236}">
                  <a16:creationId xmlns:a16="http://schemas.microsoft.com/office/drawing/2014/main" id="{00000000-0008-0000-0F00-0000B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803</xdr:row>
          <xdr:rowOff>0</xdr:rowOff>
        </xdr:from>
        <xdr:to>
          <xdr:col>22</xdr:col>
          <xdr:colOff>184150</xdr:colOff>
          <xdr:row>803</xdr:row>
          <xdr:rowOff>184150</xdr:rowOff>
        </xdr:to>
        <xdr:sp macro="" textlink="">
          <xdr:nvSpPr>
            <xdr:cNvPr id="15805" name="Check Box 445" hidden="1">
              <a:extLst>
                <a:ext uri="{63B3BB69-23CF-44E3-9099-C40C66FF867C}">
                  <a14:compatExt spid="_x0000_s15805"/>
                </a:ext>
                <a:ext uri="{FF2B5EF4-FFF2-40B4-BE49-F238E27FC236}">
                  <a16:creationId xmlns:a16="http://schemas.microsoft.com/office/drawing/2014/main" id="{00000000-0008-0000-0F00-0000B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812</xdr:row>
          <xdr:rowOff>0</xdr:rowOff>
        </xdr:from>
        <xdr:to>
          <xdr:col>22</xdr:col>
          <xdr:colOff>184150</xdr:colOff>
          <xdr:row>812</xdr:row>
          <xdr:rowOff>184150</xdr:rowOff>
        </xdr:to>
        <xdr:sp macro="" textlink="">
          <xdr:nvSpPr>
            <xdr:cNvPr id="15806" name="Check Box 446" hidden="1">
              <a:extLst>
                <a:ext uri="{63B3BB69-23CF-44E3-9099-C40C66FF867C}">
                  <a14:compatExt spid="_x0000_s15806"/>
                </a:ext>
                <a:ext uri="{FF2B5EF4-FFF2-40B4-BE49-F238E27FC236}">
                  <a16:creationId xmlns:a16="http://schemas.microsoft.com/office/drawing/2014/main" id="{00000000-0008-0000-0F00-0000B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815</xdr:row>
          <xdr:rowOff>0</xdr:rowOff>
        </xdr:from>
        <xdr:to>
          <xdr:col>22</xdr:col>
          <xdr:colOff>184150</xdr:colOff>
          <xdr:row>815</xdr:row>
          <xdr:rowOff>184150</xdr:rowOff>
        </xdr:to>
        <xdr:sp macro="" textlink="">
          <xdr:nvSpPr>
            <xdr:cNvPr id="15807" name="Check Box 447" hidden="1">
              <a:extLst>
                <a:ext uri="{63B3BB69-23CF-44E3-9099-C40C66FF867C}">
                  <a14:compatExt spid="_x0000_s15807"/>
                </a:ext>
                <a:ext uri="{FF2B5EF4-FFF2-40B4-BE49-F238E27FC236}">
                  <a16:creationId xmlns:a16="http://schemas.microsoft.com/office/drawing/2014/main" id="{00000000-0008-0000-0F00-0000B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816</xdr:row>
          <xdr:rowOff>0</xdr:rowOff>
        </xdr:from>
        <xdr:to>
          <xdr:col>22</xdr:col>
          <xdr:colOff>184150</xdr:colOff>
          <xdr:row>816</xdr:row>
          <xdr:rowOff>184150</xdr:rowOff>
        </xdr:to>
        <xdr:sp macro="" textlink="">
          <xdr:nvSpPr>
            <xdr:cNvPr id="15808" name="Check Box 448" hidden="1">
              <a:extLst>
                <a:ext uri="{63B3BB69-23CF-44E3-9099-C40C66FF867C}">
                  <a14:compatExt spid="_x0000_s15808"/>
                </a:ext>
                <a:ext uri="{FF2B5EF4-FFF2-40B4-BE49-F238E27FC236}">
                  <a16:creationId xmlns:a16="http://schemas.microsoft.com/office/drawing/2014/main" id="{00000000-0008-0000-0F00-0000C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820</xdr:row>
          <xdr:rowOff>0</xdr:rowOff>
        </xdr:from>
        <xdr:to>
          <xdr:col>22</xdr:col>
          <xdr:colOff>184150</xdr:colOff>
          <xdr:row>820</xdr:row>
          <xdr:rowOff>184150</xdr:rowOff>
        </xdr:to>
        <xdr:sp macro="" textlink="">
          <xdr:nvSpPr>
            <xdr:cNvPr id="15809" name="Check Box 449" hidden="1">
              <a:extLst>
                <a:ext uri="{63B3BB69-23CF-44E3-9099-C40C66FF867C}">
                  <a14:compatExt spid="_x0000_s15809"/>
                </a:ext>
                <a:ext uri="{FF2B5EF4-FFF2-40B4-BE49-F238E27FC236}">
                  <a16:creationId xmlns:a16="http://schemas.microsoft.com/office/drawing/2014/main" id="{00000000-0008-0000-0F00-0000C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822</xdr:row>
          <xdr:rowOff>0</xdr:rowOff>
        </xdr:from>
        <xdr:to>
          <xdr:col>22</xdr:col>
          <xdr:colOff>184150</xdr:colOff>
          <xdr:row>822</xdr:row>
          <xdr:rowOff>184150</xdr:rowOff>
        </xdr:to>
        <xdr:sp macro="" textlink="">
          <xdr:nvSpPr>
            <xdr:cNvPr id="15810" name="Check Box 450" hidden="1">
              <a:extLst>
                <a:ext uri="{63B3BB69-23CF-44E3-9099-C40C66FF867C}">
                  <a14:compatExt spid="_x0000_s15810"/>
                </a:ext>
                <a:ext uri="{FF2B5EF4-FFF2-40B4-BE49-F238E27FC236}">
                  <a16:creationId xmlns:a16="http://schemas.microsoft.com/office/drawing/2014/main" id="{00000000-0008-0000-0F00-0000C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854</xdr:row>
          <xdr:rowOff>0</xdr:rowOff>
        </xdr:from>
        <xdr:to>
          <xdr:col>22</xdr:col>
          <xdr:colOff>184150</xdr:colOff>
          <xdr:row>854</xdr:row>
          <xdr:rowOff>184150</xdr:rowOff>
        </xdr:to>
        <xdr:sp macro="" textlink="">
          <xdr:nvSpPr>
            <xdr:cNvPr id="15811" name="Check Box 451" hidden="1">
              <a:extLst>
                <a:ext uri="{63B3BB69-23CF-44E3-9099-C40C66FF867C}">
                  <a14:compatExt spid="_x0000_s15811"/>
                </a:ext>
                <a:ext uri="{FF2B5EF4-FFF2-40B4-BE49-F238E27FC236}">
                  <a16:creationId xmlns:a16="http://schemas.microsoft.com/office/drawing/2014/main" id="{00000000-0008-0000-0F00-0000C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857</xdr:row>
          <xdr:rowOff>0</xdr:rowOff>
        </xdr:from>
        <xdr:to>
          <xdr:col>22</xdr:col>
          <xdr:colOff>184150</xdr:colOff>
          <xdr:row>857</xdr:row>
          <xdr:rowOff>184150</xdr:rowOff>
        </xdr:to>
        <xdr:sp macro="" textlink="">
          <xdr:nvSpPr>
            <xdr:cNvPr id="15812" name="Check Box 452" hidden="1">
              <a:extLst>
                <a:ext uri="{63B3BB69-23CF-44E3-9099-C40C66FF867C}">
                  <a14:compatExt spid="_x0000_s15812"/>
                </a:ext>
                <a:ext uri="{FF2B5EF4-FFF2-40B4-BE49-F238E27FC236}">
                  <a16:creationId xmlns:a16="http://schemas.microsoft.com/office/drawing/2014/main" id="{00000000-0008-0000-0F00-0000C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884</xdr:row>
          <xdr:rowOff>0</xdr:rowOff>
        </xdr:from>
        <xdr:to>
          <xdr:col>22</xdr:col>
          <xdr:colOff>184150</xdr:colOff>
          <xdr:row>884</xdr:row>
          <xdr:rowOff>184150</xdr:rowOff>
        </xdr:to>
        <xdr:sp macro="" textlink="">
          <xdr:nvSpPr>
            <xdr:cNvPr id="15813" name="Check Box 453" hidden="1">
              <a:extLst>
                <a:ext uri="{63B3BB69-23CF-44E3-9099-C40C66FF867C}">
                  <a14:compatExt spid="_x0000_s15813"/>
                </a:ext>
                <a:ext uri="{FF2B5EF4-FFF2-40B4-BE49-F238E27FC236}">
                  <a16:creationId xmlns:a16="http://schemas.microsoft.com/office/drawing/2014/main" id="{00000000-0008-0000-0F00-0000C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898</xdr:row>
          <xdr:rowOff>0</xdr:rowOff>
        </xdr:from>
        <xdr:to>
          <xdr:col>22</xdr:col>
          <xdr:colOff>184150</xdr:colOff>
          <xdr:row>898</xdr:row>
          <xdr:rowOff>184150</xdr:rowOff>
        </xdr:to>
        <xdr:sp macro="" textlink="">
          <xdr:nvSpPr>
            <xdr:cNvPr id="15814" name="Check Box 454" hidden="1">
              <a:extLst>
                <a:ext uri="{63B3BB69-23CF-44E3-9099-C40C66FF867C}">
                  <a14:compatExt spid="_x0000_s15814"/>
                </a:ext>
                <a:ext uri="{FF2B5EF4-FFF2-40B4-BE49-F238E27FC236}">
                  <a16:creationId xmlns:a16="http://schemas.microsoft.com/office/drawing/2014/main" id="{00000000-0008-0000-0F00-0000C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900</xdr:row>
          <xdr:rowOff>0</xdr:rowOff>
        </xdr:from>
        <xdr:to>
          <xdr:col>22</xdr:col>
          <xdr:colOff>184150</xdr:colOff>
          <xdr:row>900</xdr:row>
          <xdr:rowOff>184150</xdr:rowOff>
        </xdr:to>
        <xdr:sp macro="" textlink="">
          <xdr:nvSpPr>
            <xdr:cNvPr id="15815" name="Check Box 455" hidden="1">
              <a:extLst>
                <a:ext uri="{63B3BB69-23CF-44E3-9099-C40C66FF867C}">
                  <a14:compatExt spid="_x0000_s15815"/>
                </a:ext>
                <a:ext uri="{FF2B5EF4-FFF2-40B4-BE49-F238E27FC236}">
                  <a16:creationId xmlns:a16="http://schemas.microsoft.com/office/drawing/2014/main" id="{00000000-0008-0000-0F00-0000C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901</xdr:row>
          <xdr:rowOff>0</xdr:rowOff>
        </xdr:from>
        <xdr:to>
          <xdr:col>22</xdr:col>
          <xdr:colOff>184150</xdr:colOff>
          <xdr:row>901</xdr:row>
          <xdr:rowOff>184150</xdr:rowOff>
        </xdr:to>
        <xdr:sp macro="" textlink="">
          <xdr:nvSpPr>
            <xdr:cNvPr id="15816" name="Check Box 456" hidden="1">
              <a:extLst>
                <a:ext uri="{63B3BB69-23CF-44E3-9099-C40C66FF867C}">
                  <a14:compatExt spid="_x0000_s15816"/>
                </a:ext>
                <a:ext uri="{FF2B5EF4-FFF2-40B4-BE49-F238E27FC236}">
                  <a16:creationId xmlns:a16="http://schemas.microsoft.com/office/drawing/2014/main" id="{00000000-0008-0000-0F00-0000C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906</xdr:row>
          <xdr:rowOff>0</xdr:rowOff>
        </xdr:from>
        <xdr:to>
          <xdr:col>22</xdr:col>
          <xdr:colOff>184150</xdr:colOff>
          <xdr:row>906</xdr:row>
          <xdr:rowOff>184150</xdr:rowOff>
        </xdr:to>
        <xdr:sp macro="" textlink="">
          <xdr:nvSpPr>
            <xdr:cNvPr id="15817" name="Check Box 457" hidden="1">
              <a:extLst>
                <a:ext uri="{63B3BB69-23CF-44E3-9099-C40C66FF867C}">
                  <a14:compatExt spid="_x0000_s15817"/>
                </a:ext>
                <a:ext uri="{FF2B5EF4-FFF2-40B4-BE49-F238E27FC236}">
                  <a16:creationId xmlns:a16="http://schemas.microsoft.com/office/drawing/2014/main" id="{00000000-0008-0000-0F00-0000C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923</xdr:row>
          <xdr:rowOff>0</xdr:rowOff>
        </xdr:from>
        <xdr:to>
          <xdr:col>22</xdr:col>
          <xdr:colOff>184150</xdr:colOff>
          <xdr:row>923</xdr:row>
          <xdr:rowOff>184150</xdr:rowOff>
        </xdr:to>
        <xdr:sp macro="" textlink="">
          <xdr:nvSpPr>
            <xdr:cNvPr id="15818" name="Check Box 458" hidden="1">
              <a:extLst>
                <a:ext uri="{63B3BB69-23CF-44E3-9099-C40C66FF867C}">
                  <a14:compatExt spid="_x0000_s15818"/>
                </a:ext>
                <a:ext uri="{FF2B5EF4-FFF2-40B4-BE49-F238E27FC236}">
                  <a16:creationId xmlns:a16="http://schemas.microsoft.com/office/drawing/2014/main" id="{00000000-0008-0000-0F00-0000C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936</xdr:row>
          <xdr:rowOff>0</xdr:rowOff>
        </xdr:from>
        <xdr:to>
          <xdr:col>22</xdr:col>
          <xdr:colOff>184150</xdr:colOff>
          <xdr:row>936</xdr:row>
          <xdr:rowOff>184150</xdr:rowOff>
        </xdr:to>
        <xdr:sp macro="" textlink="">
          <xdr:nvSpPr>
            <xdr:cNvPr id="15819" name="Check Box 459" hidden="1">
              <a:extLst>
                <a:ext uri="{63B3BB69-23CF-44E3-9099-C40C66FF867C}">
                  <a14:compatExt spid="_x0000_s15819"/>
                </a:ext>
                <a:ext uri="{FF2B5EF4-FFF2-40B4-BE49-F238E27FC236}">
                  <a16:creationId xmlns:a16="http://schemas.microsoft.com/office/drawing/2014/main" id="{00000000-0008-0000-0F00-0000C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945</xdr:row>
          <xdr:rowOff>0</xdr:rowOff>
        </xdr:from>
        <xdr:to>
          <xdr:col>22</xdr:col>
          <xdr:colOff>184150</xdr:colOff>
          <xdr:row>945</xdr:row>
          <xdr:rowOff>184150</xdr:rowOff>
        </xdr:to>
        <xdr:sp macro="" textlink="">
          <xdr:nvSpPr>
            <xdr:cNvPr id="15821" name="Check Box 461" hidden="1">
              <a:extLst>
                <a:ext uri="{63B3BB69-23CF-44E3-9099-C40C66FF867C}">
                  <a14:compatExt spid="_x0000_s15821"/>
                </a:ext>
                <a:ext uri="{FF2B5EF4-FFF2-40B4-BE49-F238E27FC236}">
                  <a16:creationId xmlns:a16="http://schemas.microsoft.com/office/drawing/2014/main" id="{00000000-0008-0000-0F00-0000C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954</xdr:row>
          <xdr:rowOff>0</xdr:rowOff>
        </xdr:from>
        <xdr:to>
          <xdr:col>22</xdr:col>
          <xdr:colOff>184150</xdr:colOff>
          <xdr:row>954</xdr:row>
          <xdr:rowOff>184150</xdr:rowOff>
        </xdr:to>
        <xdr:sp macro="" textlink="">
          <xdr:nvSpPr>
            <xdr:cNvPr id="15822" name="Check Box 462" hidden="1">
              <a:extLst>
                <a:ext uri="{63B3BB69-23CF-44E3-9099-C40C66FF867C}">
                  <a14:compatExt spid="_x0000_s15822"/>
                </a:ext>
                <a:ext uri="{FF2B5EF4-FFF2-40B4-BE49-F238E27FC236}">
                  <a16:creationId xmlns:a16="http://schemas.microsoft.com/office/drawing/2014/main" id="{00000000-0008-0000-0F00-0000C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1006</xdr:row>
          <xdr:rowOff>0</xdr:rowOff>
        </xdr:from>
        <xdr:to>
          <xdr:col>22</xdr:col>
          <xdr:colOff>184150</xdr:colOff>
          <xdr:row>1006</xdr:row>
          <xdr:rowOff>184150</xdr:rowOff>
        </xdr:to>
        <xdr:sp macro="" textlink="">
          <xdr:nvSpPr>
            <xdr:cNvPr id="15824" name="Check Box 464" hidden="1">
              <a:extLst>
                <a:ext uri="{63B3BB69-23CF-44E3-9099-C40C66FF867C}">
                  <a14:compatExt spid="_x0000_s15824"/>
                </a:ext>
                <a:ext uri="{FF2B5EF4-FFF2-40B4-BE49-F238E27FC236}">
                  <a16:creationId xmlns:a16="http://schemas.microsoft.com/office/drawing/2014/main" id="{00000000-0008-0000-0F00-0000D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1047</xdr:row>
          <xdr:rowOff>0</xdr:rowOff>
        </xdr:from>
        <xdr:to>
          <xdr:col>22</xdr:col>
          <xdr:colOff>184150</xdr:colOff>
          <xdr:row>1047</xdr:row>
          <xdr:rowOff>184150</xdr:rowOff>
        </xdr:to>
        <xdr:sp macro="" textlink="">
          <xdr:nvSpPr>
            <xdr:cNvPr id="15825" name="Check Box 465" hidden="1">
              <a:extLst>
                <a:ext uri="{63B3BB69-23CF-44E3-9099-C40C66FF867C}">
                  <a14:compatExt spid="_x0000_s15825"/>
                </a:ext>
                <a:ext uri="{FF2B5EF4-FFF2-40B4-BE49-F238E27FC236}">
                  <a16:creationId xmlns:a16="http://schemas.microsoft.com/office/drawing/2014/main" id="{00000000-0008-0000-0F00-0000D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1050</xdr:row>
          <xdr:rowOff>0</xdr:rowOff>
        </xdr:from>
        <xdr:to>
          <xdr:col>22</xdr:col>
          <xdr:colOff>184150</xdr:colOff>
          <xdr:row>1050</xdr:row>
          <xdr:rowOff>184150</xdr:rowOff>
        </xdr:to>
        <xdr:sp macro="" textlink="">
          <xdr:nvSpPr>
            <xdr:cNvPr id="15826" name="Check Box 466" hidden="1">
              <a:extLst>
                <a:ext uri="{63B3BB69-23CF-44E3-9099-C40C66FF867C}">
                  <a14:compatExt spid="_x0000_s15826"/>
                </a:ext>
                <a:ext uri="{FF2B5EF4-FFF2-40B4-BE49-F238E27FC236}">
                  <a16:creationId xmlns:a16="http://schemas.microsoft.com/office/drawing/2014/main" id="{00000000-0008-0000-0F00-0000D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1060</xdr:row>
          <xdr:rowOff>0</xdr:rowOff>
        </xdr:from>
        <xdr:to>
          <xdr:col>22</xdr:col>
          <xdr:colOff>184150</xdr:colOff>
          <xdr:row>1060</xdr:row>
          <xdr:rowOff>184150</xdr:rowOff>
        </xdr:to>
        <xdr:sp macro="" textlink="">
          <xdr:nvSpPr>
            <xdr:cNvPr id="15827" name="Check Box 467" hidden="1">
              <a:extLst>
                <a:ext uri="{63B3BB69-23CF-44E3-9099-C40C66FF867C}">
                  <a14:compatExt spid="_x0000_s15827"/>
                </a:ext>
                <a:ext uri="{FF2B5EF4-FFF2-40B4-BE49-F238E27FC236}">
                  <a16:creationId xmlns:a16="http://schemas.microsoft.com/office/drawing/2014/main" id="{00000000-0008-0000-0F00-0000D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1067</xdr:row>
          <xdr:rowOff>0</xdr:rowOff>
        </xdr:from>
        <xdr:to>
          <xdr:col>22</xdr:col>
          <xdr:colOff>184150</xdr:colOff>
          <xdr:row>1067</xdr:row>
          <xdr:rowOff>184150</xdr:rowOff>
        </xdr:to>
        <xdr:sp macro="" textlink="">
          <xdr:nvSpPr>
            <xdr:cNvPr id="15828" name="Check Box 468" hidden="1">
              <a:extLst>
                <a:ext uri="{63B3BB69-23CF-44E3-9099-C40C66FF867C}">
                  <a14:compatExt spid="_x0000_s15828"/>
                </a:ext>
                <a:ext uri="{FF2B5EF4-FFF2-40B4-BE49-F238E27FC236}">
                  <a16:creationId xmlns:a16="http://schemas.microsoft.com/office/drawing/2014/main" id="{00000000-0008-0000-0F00-0000D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1073</xdr:row>
          <xdr:rowOff>0</xdr:rowOff>
        </xdr:from>
        <xdr:to>
          <xdr:col>22</xdr:col>
          <xdr:colOff>184150</xdr:colOff>
          <xdr:row>1073</xdr:row>
          <xdr:rowOff>184150</xdr:rowOff>
        </xdr:to>
        <xdr:sp macro="" textlink="">
          <xdr:nvSpPr>
            <xdr:cNvPr id="15829" name="Check Box 469" hidden="1">
              <a:extLst>
                <a:ext uri="{63B3BB69-23CF-44E3-9099-C40C66FF867C}">
                  <a14:compatExt spid="_x0000_s15829"/>
                </a:ext>
                <a:ext uri="{FF2B5EF4-FFF2-40B4-BE49-F238E27FC236}">
                  <a16:creationId xmlns:a16="http://schemas.microsoft.com/office/drawing/2014/main" id="{00000000-0008-0000-0F00-0000D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1075</xdr:row>
          <xdr:rowOff>0</xdr:rowOff>
        </xdr:from>
        <xdr:to>
          <xdr:col>22</xdr:col>
          <xdr:colOff>184150</xdr:colOff>
          <xdr:row>1075</xdr:row>
          <xdr:rowOff>184150</xdr:rowOff>
        </xdr:to>
        <xdr:sp macro="" textlink="">
          <xdr:nvSpPr>
            <xdr:cNvPr id="15830" name="Check Box 470" hidden="1">
              <a:extLst>
                <a:ext uri="{63B3BB69-23CF-44E3-9099-C40C66FF867C}">
                  <a14:compatExt spid="_x0000_s15830"/>
                </a:ext>
                <a:ext uri="{FF2B5EF4-FFF2-40B4-BE49-F238E27FC236}">
                  <a16:creationId xmlns:a16="http://schemas.microsoft.com/office/drawing/2014/main" id="{00000000-0008-0000-0F00-0000D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1078</xdr:row>
          <xdr:rowOff>0</xdr:rowOff>
        </xdr:from>
        <xdr:to>
          <xdr:col>22</xdr:col>
          <xdr:colOff>184150</xdr:colOff>
          <xdr:row>1078</xdr:row>
          <xdr:rowOff>184150</xdr:rowOff>
        </xdr:to>
        <xdr:sp macro="" textlink="">
          <xdr:nvSpPr>
            <xdr:cNvPr id="15831" name="Check Box 471" hidden="1">
              <a:extLst>
                <a:ext uri="{63B3BB69-23CF-44E3-9099-C40C66FF867C}">
                  <a14:compatExt spid="_x0000_s15831"/>
                </a:ext>
                <a:ext uri="{FF2B5EF4-FFF2-40B4-BE49-F238E27FC236}">
                  <a16:creationId xmlns:a16="http://schemas.microsoft.com/office/drawing/2014/main" id="{00000000-0008-0000-0F00-0000D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1079</xdr:row>
          <xdr:rowOff>0</xdr:rowOff>
        </xdr:from>
        <xdr:to>
          <xdr:col>22</xdr:col>
          <xdr:colOff>184150</xdr:colOff>
          <xdr:row>1079</xdr:row>
          <xdr:rowOff>184150</xdr:rowOff>
        </xdr:to>
        <xdr:sp macro="" textlink="">
          <xdr:nvSpPr>
            <xdr:cNvPr id="15832" name="Check Box 472" hidden="1">
              <a:extLst>
                <a:ext uri="{63B3BB69-23CF-44E3-9099-C40C66FF867C}">
                  <a14:compatExt spid="_x0000_s15832"/>
                </a:ext>
                <a:ext uri="{FF2B5EF4-FFF2-40B4-BE49-F238E27FC236}">
                  <a16:creationId xmlns:a16="http://schemas.microsoft.com/office/drawing/2014/main" id="{00000000-0008-0000-0F00-0000D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1081</xdr:row>
          <xdr:rowOff>0</xdr:rowOff>
        </xdr:from>
        <xdr:to>
          <xdr:col>22</xdr:col>
          <xdr:colOff>184150</xdr:colOff>
          <xdr:row>1081</xdr:row>
          <xdr:rowOff>184150</xdr:rowOff>
        </xdr:to>
        <xdr:sp macro="" textlink="">
          <xdr:nvSpPr>
            <xdr:cNvPr id="15833" name="Check Box 473" hidden="1">
              <a:extLst>
                <a:ext uri="{63B3BB69-23CF-44E3-9099-C40C66FF867C}">
                  <a14:compatExt spid="_x0000_s15833"/>
                </a:ext>
                <a:ext uri="{FF2B5EF4-FFF2-40B4-BE49-F238E27FC236}">
                  <a16:creationId xmlns:a16="http://schemas.microsoft.com/office/drawing/2014/main" id="{00000000-0008-0000-0F00-0000D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1111</xdr:row>
          <xdr:rowOff>0</xdr:rowOff>
        </xdr:from>
        <xdr:to>
          <xdr:col>22</xdr:col>
          <xdr:colOff>184150</xdr:colOff>
          <xdr:row>1111</xdr:row>
          <xdr:rowOff>184150</xdr:rowOff>
        </xdr:to>
        <xdr:sp macro="" textlink="">
          <xdr:nvSpPr>
            <xdr:cNvPr id="15834" name="Check Box 474" hidden="1">
              <a:extLst>
                <a:ext uri="{63B3BB69-23CF-44E3-9099-C40C66FF867C}">
                  <a14:compatExt spid="_x0000_s15834"/>
                </a:ext>
                <a:ext uri="{FF2B5EF4-FFF2-40B4-BE49-F238E27FC236}">
                  <a16:creationId xmlns:a16="http://schemas.microsoft.com/office/drawing/2014/main" id="{00000000-0008-0000-0F00-0000D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1113</xdr:row>
          <xdr:rowOff>0</xdr:rowOff>
        </xdr:from>
        <xdr:to>
          <xdr:col>22</xdr:col>
          <xdr:colOff>184150</xdr:colOff>
          <xdr:row>1113</xdr:row>
          <xdr:rowOff>184150</xdr:rowOff>
        </xdr:to>
        <xdr:sp macro="" textlink="">
          <xdr:nvSpPr>
            <xdr:cNvPr id="15835" name="Check Box 475" hidden="1">
              <a:extLst>
                <a:ext uri="{63B3BB69-23CF-44E3-9099-C40C66FF867C}">
                  <a14:compatExt spid="_x0000_s15835"/>
                </a:ext>
                <a:ext uri="{FF2B5EF4-FFF2-40B4-BE49-F238E27FC236}">
                  <a16:creationId xmlns:a16="http://schemas.microsoft.com/office/drawing/2014/main" id="{00000000-0008-0000-0F00-0000D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1115</xdr:row>
          <xdr:rowOff>0</xdr:rowOff>
        </xdr:from>
        <xdr:to>
          <xdr:col>22</xdr:col>
          <xdr:colOff>184150</xdr:colOff>
          <xdr:row>1115</xdr:row>
          <xdr:rowOff>184150</xdr:rowOff>
        </xdr:to>
        <xdr:sp macro="" textlink="">
          <xdr:nvSpPr>
            <xdr:cNvPr id="15836" name="Check Box 476" hidden="1">
              <a:extLst>
                <a:ext uri="{63B3BB69-23CF-44E3-9099-C40C66FF867C}">
                  <a14:compatExt spid="_x0000_s15836"/>
                </a:ext>
                <a:ext uri="{FF2B5EF4-FFF2-40B4-BE49-F238E27FC236}">
                  <a16:creationId xmlns:a16="http://schemas.microsoft.com/office/drawing/2014/main" id="{00000000-0008-0000-0F00-0000D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1127</xdr:row>
          <xdr:rowOff>0</xdr:rowOff>
        </xdr:from>
        <xdr:to>
          <xdr:col>22</xdr:col>
          <xdr:colOff>184150</xdr:colOff>
          <xdr:row>1127</xdr:row>
          <xdr:rowOff>184150</xdr:rowOff>
        </xdr:to>
        <xdr:sp macro="" textlink="">
          <xdr:nvSpPr>
            <xdr:cNvPr id="15837" name="Check Box 477" hidden="1">
              <a:extLst>
                <a:ext uri="{63B3BB69-23CF-44E3-9099-C40C66FF867C}">
                  <a14:compatExt spid="_x0000_s15837"/>
                </a:ext>
                <a:ext uri="{FF2B5EF4-FFF2-40B4-BE49-F238E27FC236}">
                  <a16:creationId xmlns:a16="http://schemas.microsoft.com/office/drawing/2014/main" id="{00000000-0008-0000-0F00-0000D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1129</xdr:row>
          <xdr:rowOff>0</xdr:rowOff>
        </xdr:from>
        <xdr:to>
          <xdr:col>22</xdr:col>
          <xdr:colOff>184150</xdr:colOff>
          <xdr:row>1129</xdr:row>
          <xdr:rowOff>184150</xdr:rowOff>
        </xdr:to>
        <xdr:sp macro="" textlink="">
          <xdr:nvSpPr>
            <xdr:cNvPr id="15838" name="Check Box 478" hidden="1">
              <a:extLst>
                <a:ext uri="{63B3BB69-23CF-44E3-9099-C40C66FF867C}">
                  <a14:compatExt spid="_x0000_s15838"/>
                </a:ext>
                <a:ext uri="{FF2B5EF4-FFF2-40B4-BE49-F238E27FC236}">
                  <a16:creationId xmlns:a16="http://schemas.microsoft.com/office/drawing/2014/main" id="{00000000-0008-0000-0F00-0000D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1131</xdr:row>
          <xdr:rowOff>0</xdr:rowOff>
        </xdr:from>
        <xdr:to>
          <xdr:col>22</xdr:col>
          <xdr:colOff>184150</xdr:colOff>
          <xdr:row>1131</xdr:row>
          <xdr:rowOff>184150</xdr:rowOff>
        </xdr:to>
        <xdr:sp macro="" textlink="">
          <xdr:nvSpPr>
            <xdr:cNvPr id="15839" name="Check Box 479" hidden="1">
              <a:extLst>
                <a:ext uri="{63B3BB69-23CF-44E3-9099-C40C66FF867C}">
                  <a14:compatExt spid="_x0000_s15839"/>
                </a:ext>
                <a:ext uri="{FF2B5EF4-FFF2-40B4-BE49-F238E27FC236}">
                  <a16:creationId xmlns:a16="http://schemas.microsoft.com/office/drawing/2014/main" id="{00000000-0008-0000-0F00-0000D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1134</xdr:row>
          <xdr:rowOff>0</xdr:rowOff>
        </xdr:from>
        <xdr:to>
          <xdr:col>22</xdr:col>
          <xdr:colOff>184150</xdr:colOff>
          <xdr:row>1134</xdr:row>
          <xdr:rowOff>184150</xdr:rowOff>
        </xdr:to>
        <xdr:sp macro="" textlink="">
          <xdr:nvSpPr>
            <xdr:cNvPr id="15840" name="Check Box 480" hidden="1">
              <a:extLst>
                <a:ext uri="{63B3BB69-23CF-44E3-9099-C40C66FF867C}">
                  <a14:compatExt spid="_x0000_s15840"/>
                </a:ext>
                <a:ext uri="{FF2B5EF4-FFF2-40B4-BE49-F238E27FC236}">
                  <a16:creationId xmlns:a16="http://schemas.microsoft.com/office/drawing/2014/main" id="{00000000-0008-0000-0F00-0000E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1135</xdr:row>
          <xdr:rowOff>0</xdr:rowOff>
        </xdr:from>
        <xdr:to>
          <xdr:col>22</xdr:col>
          <xdr:colOff>184150</xdr:colOff>
          <xdr:row>1135</xdr:row>
          <xdr:rowOff>184150</xdr:rowOff>
        </xdr:to>
        <xdr:sp macro="" textlink="">
          <xdr:nvSpPr>
            <xdr:cNvPr id="15841" name="Check Box 481" hidden="1">
              <a:extLst>
                <a:ext uri="{63B3BB69-23CF-44E3-9099-C40C66FF867C}">
                  <a14:compatExt spid="_x0000_s15841"/>
                </a:ext>
                <a:ext uri="{FF2B5EF4-FFF2-40B4-BE49-F238E27FC236}">
                  <a16:creationId xmlns:a16="http://schemas.microsoft.com/office/drawing/2014/main" id="{00000000-0008-0000-0F00-0000E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1136</xdr:row>
          <xdr:rowOff>0</xdr:rowOff>
        </xdr:from>
        <xdr:to>
          <xdr:col>22</xdr:col>
          <xdr:colOff>184150</xdr:colOff>
          <xdr:row>1136</xdr:row>
          <xdr:rowOff>184150</xdr:rowOff>
        </xdr:to>
        <xdr:sp macro="" textlink="">
          <xdr:nvSpPr>
            <xdr:cNvPr id="15842" name="Check Box 482" hidden="1">
              <a:extLst>
                <a:ext uri="{63B3BB69-23CF-44E3-9099-C40C66FF867C}">
                  <a14:compatExt spid="_x0000_s15842"/>
                </a:ext>
                <a:ext uri="{FF2B5EF4-FFF2-40B4-BE49-F238E27FC236}">
                  <a16:creationId xmlns:a16="http://schemas.microsoft.com/office/drawing/2014/main" id="{00000000-0008-0000-0F00-0000E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1139</xdr:row>
          <xdr:rowOff>0</xdr:rowOff>
        </xdr:from>
        <xdr:to>
          <xdr:col>22</xdr:col>
          <xdr:colOff>184150</xdr:colOff>
          <xdr:row>1139</xdr:row>
          <xdr:rowOff>184150</xdr:rowOff>
        </xdr:to>
        <xdr:sp macro="" textlink="">
          <xdr:nvSpPr>
            <xdr:cNvPr id="15843" name="Check Box 483" hidden="1">
              <a:extLst>
                <a:ext uri="{63B3BB69-23CF-44E3-9099-C40C66FF867C}">
                  <a14:compatExt spid="_x0000_s15843"/>
                </a:ext>
                <a:ext uri="{FF2B5EF4-FFF2-40B4-BE49-F238E27FC236}">
                  <a16:creationId xmlns:a16="http://schemas.microsoft.com/office/drawing/2014/main" id="{00000000-0008-0000-0F00-0000E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1167</xdr:row>
          <xdr:rowOff>0</xdr:rowOff>
        </xdr:from>
        <xdr:to>
          <xdr:col>22</xdr:col>
          <xdr:colOff>184150</xdr:colOff>
          <xdr:row>1167</xdr:row>
          <xdr:rowOff>184150</xdr:rowOff>
        </xdr:to>
        <xdr:sp macro="" textlink="">
          <xdr:nvSpPr>
            <xdr:cNvPr id="15844" name="Check Box 484" hidden="1">
              <a:extLst>
                <a:ext uri="{63B3BB69-23CF-44E3-9099-C40C66FF867C}">
                  <a14:compatExt spid="_x0000_s15844"/>
                </a:ext>
                <a:ext uri="{FF2B5EF4-FFF2-40B4-BE49-F238E27FC236}">
                  <a16:creationId xmlns:a16="http://schemas.microsoft.com/office/drawing/2014/main" id="{00000000-0008-0000-0F00-0000E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1175</xdr:row>
          <xdr:rowOff>0</xdr:rowOff>
        </xdr:from>
        <xdr:to>
          <xdr:col>22</xdr:col>
          <xdr:colOff>184150</xdr:colOff>
          <xdr:row>1175</xdr:row>
          <xdr:rowOff>184150</xdr:rowOff>
        </xdr:to>
        <xdr:sp macro="" textlink="">
          <xdr:nvSpPr>
            <xdr:cNvPr id="15845" name="Check Box 485" hidden="1">
              <a:extLst>
                <a:ext uri="{63B3BB69-23CF-44E3-9099-C40C66FF867C}">
                  <a14:compatExt spid="_x0000_s15845"/>
                </a:ext>
                <a:ext uri="{FF2B5EF4-FFF2-40B4-BE49-F238E27FC236}">
                  <a16:creationId xmlns:a16="http://schemas.microsoft.com/office/drawing/2014/main" id="{00000000-0008-0000-0F00-0000E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1177</xdr:row>
          <xdr:rowOff>0</xdr:rowOff>
        </xdr:from>
        <xdr:to>
          <xdr:col>22</xdr:col>
          <xdr:colOff>184150</xdr:colOff>
          <xdr:row>1177</xdr:row>
          <xdr:rowOff>184150</xdr:rowOff>
        </xdr:to>
        <xdr:sp macro="" textlink="">
          <xdr:nvSpPr>
            <xdr:cNvPr id="15846" name="Check Box 486" hidden="1">
              <a:extLst>
                <a:ext uri="{63B3BB69-23CF-44E3-9099-C40C66FF867C}">
                  <a14:compatExt spid="_x0000_s15846"/>
                </a:ext>
                <a:ext uri="{FF2B5EF4-FFF2-40B4-BE49-F238E27FC236}">
                  <a16:creationId xmlns:a16="http://schemas.microsoft.com/office/drawing/2014/main" id="{00000000-0008-0000-0F00-0000E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1178</xdr:row>
          <xdr:rowOff>0</xdr:rowOff>
        </xdr:from>
        <xdr:to>
          <xdr:col>22</xdr:col>
          <xdr:colOff>184150</xdr:colOff>
          <xdr:row>1178</xdr:row>
          <xdr:rowOff>184150</xdr:rowOff>
        </xdr:to>
        <xdr:sp macro="" textlink="">
          <xdr:nvSpPr>
            <xdr:cNvPr id="15847" name="Check Box 487" hidden="1">
              <a:extLst>
                <a:ext uri="{63B3BB69-23CF-44E3-9099-C40C66FF867C}">
                  <a14:compatExt spid="_x0000_s15847"/>
                </a:ext>
                <a:ext uri="{FF2B5EF4-FFF2-40B4-BE49-F238E27FC236}">
                  <a16:creationId xmlns:a16="http://schemas.microsoft.com/office/drawing/2014/main" id="{00000000-0008-0000-0F00-0000E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1179</xdr:row>
          <xdr:rowOff>0</xdr:rowOff>
        </xdr:from>
        <xdr:to>
          <xdr:col>22</xdr:col>
          <xdr:colOff>184150</xdr:colOff>
          <xdr:row>1179</xdr:row>
          <xdr:rowOff>184150</xdr:rowOff>
        </xdr:to>
        <xdr:sp macro="" textlink="">
          <xdr:nvSpPr>
            <xdr:cNvPr id="15848" name="Check Box 488" hidden="1">
              <a:extLst>
                <a:ext uri="{63B3BB69-23CF-44E3-9099-C40C66FF867C}">
                  <a14:compatExt spid="_x0000_s15848"/>
                </a:ext>
                <a:ext uri="{FF2B5EF4-FFF2-40B4-BE49-F238E27FC236}">
                  <a16:creationId xmlns:a16="http://schemas.microsoft.com/office/drawing/2014/main" id="{00000000-0008-0000-0F00-0000E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1181</xdr:row>
          <xdr:rowOff>0</xdr:rowOff>
        </xdr:from>
        <xdr:to>
          <xdr:col>22</xdr:col>
          <xdr:colOff>184150</xdr:colOff>
          <xdr:row>1181</xdr:row>
          <xdr:rowOff>184150</xdr:rowOff>
        </xdr:to>
        <xdr:sp macro="" textlink="">
          <xdr:nvSpPr>
            <xdr:cNvPr id="15849" name="Check Box 489" hidden="1">
              <a:extLst>
                <a:ext uri="{63B3BB69-23CF-44E3-9099-C40C66FF867C}">
                  <a14:compatExt spid="_x0000_s15849"/>
                </a:ext>
                <a:ext uri="{FF2B5EF4-FFF2-40B4-BE49-F238E27FC236}">
                  <a16:creationId xmlns:a16="http://schemas.microsoft.com/office/drawing/2014/main" id="{00000000-0008-0000-0F00-0000E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1184</xdr:row>
          <xdr:rowOff>0</xdr:rowOff>
        </xdr:from>
        <xdr:to>
          <xdr:col>22</xdr:col>
          <xdr:colOff>184150</xdr:colOff>
          <xdr:row>1184</xdr:row>
          <xdr:rowOff>184150</xdr:rowOff>
        </xdr:to>
        <xdr:sp macro="" textlink="">
          <xdr:nvSpPr>
            <xdr:cNvPr id="15850" name="Check Box 490" hidden="1">
              <a:extLst>
                <a:ext uri="{63B3BB69-23CF-44E3-9099-C40C66FF867C}">
                  <a14:compatExt spid="_x0000_s15850"/>
                </a:ext>
                <a:ext uri="{FF2B5EF4-FFF2-40B4-BE49-F238E27FC236}">
                  <a16:creationId xmlns:a16="http://schemas.microsoft.com/office/drawing/2014/main" id="{00000000-0008-0000-0F00-0000E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1185</xdr:row>
          <xdr:rowOff>0</xdr:rowOff>
        </xdr:from>
        <xdr:to>
          <xdr:col>22</xdr:col>
          <xdr:colOff>184150</xdr:colOff>
          <xdr:row>1185</xdr:row>
          <xdr:rowOff>184150</xdr:rowOff>
        </xdr:to>
        <xdr:sp macro="" textlink="">
          <xdr:nvSpPr>
            <xdr:cNvPr id="15851" name="Check Box 491" hidden="1">
              <a:extLst>
                <a:ext uri="{63B3BB69-23CF-44E3-9099-C40C66FF867C}">
                  <a14:compatExt spid="_x0000_s15851"/>
                </a:ext>
                <a:ext uri="{FF2B5EF4-FFF2-40B4-BE49-F238E27FC236}">
                  <a16:creationId xmlns:a16="http://schemas.microsoft.com/office/drawing/2014/main" id="{00000000-0008-0000-0F00-0000E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1190</xdr:row>
          <xdr:rowOff>0</xdr:rowOff>
        </xdr:from>
        <xdr:to>
          <xdr:col>22</xdr:col>
          <xdr:colOff>184150</xdr:colOff>
          <xdr:row>1190</xdr:row>
          <xdr:rowOff>184150</xdr:rowOff>
        </xdr:to>
        <xdr:sp macro="" textlink="">
          <xdr:nvSpPr>
            <xdr:cNvPr id="15852" name="Check Box 492" hidden="1">
              <a:extLst>
                <a:ext uri="{63B3BB69-23CF-44E3-9099-C40C66FF867C}">
                  <a14:compatExt spid="_x0000_s15852"/>
                </a:ext>
                <a:ext uri="{FF2B5EF4-FFF2-40B4-BE49-F238E27FC236}">
                  <a16:creationId xmlns:a16="http://schemas.microsoft.com/office/drawing/2014/main" id="{00000000-0008-0000-0F00-0000E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1192</xdr:row>
          <xdr:rowOff>0</xdr:rowOff>
        </xdr:from>
        <xdr:to>
          <xdr:col>22</xdr:col>
          <xdr:colOff>184150</xdr:colOff>
          <xdr:row>1192</xdr:row>
          <xdr:rowOff>184150</xdr:rowOff>
        </xdr:to>
        <xdr:sp macro="" textlink="">
          <xdr:nvSpPr>
            <xdr:cNvPr id="15853" name="Check Box 493" hidden="1">
              <a:extLst>
                <a:ext uri="{63B3BB69-23CF-44E3-9099-C40C66FF867C}">
                  <a14:compatExt spid="_x0000_s15853"/>
                </a:ext>
                <a:ext uri="{FF2B5EF4-FFF2-40B4-BE49-F238E27FC236}">
                  <a16:creationId xmlns:a16="http://schemas.microsoft.com/office/drawing/2014/main" id="{00000000-0008-0000-0F00-0000E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1194</xdr:row>
          <xdr:rowOff>0</xdr:rowOff>
        </xdr:from>
        <xdr:to>
          <xdr:col>22</xdr:col>
          <xdr:colOff>184150</xdr:colOff>
          <xdr:row>1194</xdr:row>
          <xdr:rowOff>184150</xdr:rowOff>
        </xdr:to>
        <xdr:sp macro="" textlink="">
          <xdr:nvSpPr>
            <xdr:cNvPr id="15854" name="Check Box 494" hidden="1">
              <a:extLst>
                <a:ext uri="{63B3BB69-23CF-44E3-9099-C40C66FF867C}">
                  <a14:compatExt spid="_x0000_s15854"/>
                </a:ext>
                <a:ext uri="{FF2B5EF4-FFF2-40B4-BE49-F238E27FC236}">
                  <a16:creationId xmlns:a16="http://schemas.microsoft.com/office/drawing/2014/main" id="{00000000-0008-0000-0F00-0000E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1196</xdr:row>
          <xdr:rowOff>0</xdr:rowOff>
        </xdr:from>
        <xdr:to>
          <xdr:col>22</xdr:col>
          <xdr:colOff>184150</xdr:colOff>
          <xdr:row>1196</xdr:row>
          <xdr:rowOff>184150</xdr:rowOff>
        </xdr:to>
        <xdr:sp macro="" textlink="">
          <xdr:nvSpPr>
            <xdr:cNvPr id="15855" name="Check Box 495" hidden="1">
              <a:extLst>
                <a:ext uri="{63B3BB69-23CF-44E3-9099-C40C66FF867C}">
                  <a14:compatExt spid="_x0000_s15855"/>
                </a:ext>
                <a:ext uri="{FF2B5EF4-FFF2-40B4-BE49-F238E27FC236}">
                  <a16:creationId xmlns:a16="http://schemas.microsoft.com/office/drawing/2014/main" id="{00000000-0008-0000-0F00-0000E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1237</xdr:row>
          <xdr:rowOff>0</xdr:rowOff>
        </xdr:from>
        <xdr:to>
          <xdr:col>22</xdr:col>
          <xdr:colOff>184150</xdr:colOff>
          <xdr:row>1237</xdr:row>
          <xdr:rowOff>184150</xdr:rowOff>
        </xdr:to>
        <xdr:sp macro="" textlink="">
          <xdr:nvSpPr>
            <xdr:cNvPr id="15856" name="Check Box 496" hidden="1">
              <a:extLst>
                <a:ext uri="{63B3BB69-23CF-44E3-9099-C40C66FF867C}">
                  <a14:compatExt spid="_x0000_s15856"/>
                </a:ext>
                <a:ext uri="{FF2B5EF4-FFF2-40B4-BE49-F238E27FC236}">
                  <a16:creationId xmlns:a16="http://schemas.microsoft.com/office/drawing/2014/main" id="{00000000-0008-0000-0F00-0000F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1254</xdr:row>
          <xdr:rowOff>0</xdr:rowOff>
        </xdr:from>
        <xdr:to>
          <xdr:col>22</xdr:col>
          <xdr:colOff>184150</xdr:colOff>
          <xdr:row>1254</xdr:row>
          <xdr:rowOff>184150</xdr:rowOff>
        </xdr:to>
        <xdr:sp macro="" textlink="">
          <xdr:nvSpPr>
            <xdr:cNvPr id="15857" name="Check Box 497" hidden="1">
              <a:extLst>
                <a:ext uri="{63B3BB69-23CF-44E3-9099-C40C66FF867C}">
                  <a14:compatExt spid="_x0000_s15857"/>
                </a:ext>
                <a:ext uri="{FF2B5EF4-FFF2-40B4-BE49-F238E27FC236}">
                  <a16:creationId xmlns:a16="http://schemas.microsoft.com/office/drawing/2014/main" id="{00000000-0008-0000-0F00-0000F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1257</xdr:row>
          <xdr:rowOff>0</xdr:rowOff>
        </xdr:from>
        <xdr:to>
          <xdr:col>22</xdr:col>
          <xdr:colOff>184150</xdr:colOff>
          <xdr:row>1257</xdr:row>
          <xdr:rowOff>184150</xdr:rowOff>
        </xdr:to>
        <xdr:sp macro="" textlink="">
          <xdr:nvSpPr>
            <xdr:cNvPr id="15858" name="Check Box 498" hidden="1">
              <a:extLst>
                <a:ext uri="{63B3BB69-23CF-44E3-9099-C40C66FF867C}">
                  <a14:compatExt spid="_x0000_s15858"/>
                </a:ext>
                <a:ext uri="{FF2B5EF4-FFF2-40B4-BE49-F238E27FC236}">
                  <a16:creationId xmlns:a16="http://schemas.microsoft.com/office/drawing/2014/main" id="{00000000-0008-0000-0F00-0000F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1262</xdr:row>
          <xdr:rowOff>0</xdr:rowOff>
        </xdr:from>
        <xdr:to>
          <xdr:col>22</xdr:col>
          <xdr:colOff>184150</xdr:colOff>
          <xdr:row>1262</xdr:row>
          <xdr:rowOff>184150</xdr:rowOff>
        </xdr:to>
        <xdr:sp macro="" textlink="">
          <xdr:nvSpPr>
            <xdr:cNvPr id="15859" name="Check Box 499" hidden="1">
              <a:extLst>
                <a:ext uri="{63B3BB69-23CF-44E3-9099-C40C66FF867C}">
                  <a14:compatExt spid="_x0000_s15859"/>
                </a:ext>
                <a:ext uri="{FF2B5EF4-FFF2-40B4-BE49-F238E27FC236}">
                  <a16:creationId xmlns:a16="http://schemas.microsoft.com/office/drawing/2014/main" id="{00000000-0008-0000-0F00-0000F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1263</xdr:row>
          <xdr:rowOff>0</xdr:rowOff>
        </xdr:from>
        <xdr:to>
          <xdr:col>22</xdr:col>
          <xdr:colOff>184150</xdr:colOff>
          <xdr:row>1263</xdr:row>
          <xdr:rowOff>184150</xdr:rowOff>
        </xdr:to>
        <xdr:sp macro="" textlink="">
          <xdr:nvSpPr>
            <xdr:cNvPr id="15860" name="Check Box 500" hidden="1">
              <a:extLst>
                <a:ext uri="{63B3BB69-23CF-44E3-9099-C40C66FF867C}">
                  <a14:compatExt spid="_x0000_s15860"/>
                </a:ext>
                <a:ext uri="{FF2B5EF4-FFF2-40B4-BE49-F238E27FC236}">
                  <a16:creationId xmlns:a16="http://schemas.microsoft.com/office/drawing/2014/main" id="{00000000-0008-0000-0F00-0000F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1267</xdr:row>
          <xdr:rowOff>0</xdr:rowOff>
        </xdr:from>
        <xdr:to>
          <xdr:col>22</xdr:col>
          <xdr:colOff>184150</xdr:colOff>
          <xdr:row>1267</xdr:row>
          <xdr:rowOff>184150</xdr:rowOff>
        </xdr:to>
        <xdr:sp macro="" textlink="">
          <xdr:nvSpPr>
            <xdr:cNvPr id="15861" name="Check Box 501" hidden="1">
              <a:extLst>
                <a:ext uri="{63B3BB69-23CF-44E3-9099-C40C66FF867C}">
                  <a14:compatExt spid="_x0000_s15861"/>
                </a:ext>
                <a:ext uri="{FF2B5EF4-FFF2-40B4-BE49-F238E27FC236}">
                  <a16:creationId xmlns:a16="http://schemas.microsoft.com/office/drawing/2014/main" id="{00000000-0008-0000-0F00-0000F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1272</xdr:row>
          <xdr:rowOff>0</xdr:rowOff>
        </xdr:from>
        <xdr:to>
          <xdr:col>22</xdr:col>
          <xdr:colOff>184150</xdr:colOff>
          <xdr:row>1272</xdr:row>
          <xdr:rowOff>184150</xdr:rowOff>
        </xdr:to>
        <xdr:sp macro="" textlink="">
          <xdr:nvSpPr>
            <xdr:cNvPr id="15862" name="Check Box 502" hidden="1">
              <a:extLst>
                <a:ext uri="{63B3BB69-23CF-44E3-9099-C40C66FF867C}">
                  <a14:compatExt spid="_x0000_s15862"/>
                </a:ext>
                <a:ext uri="{FF2B5EF4-FFF2-40B4-BE49-F238E27FC236}">
                  <a16:creationId xmlns:a16="http://schemas.microsoft.com/office/drawing/2014/main" id="{00000000-0008-0000-0F00-0000F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1297</xdr:row>
          <xdr:rowOff>0</xdr:rowOff>
        </xdr:from>
        <xdr:to>
          <xdr:col>22</xdr:col>
          <xdr:colOff>184150</xdr:colOff>
          <xdr:row>1297</xdr:row>
          <xdr:rowOff>184150</xdr:rowOff>
        </xdr:to>
        <xdr:sp macro="" textlink="">
          <xdr:nvSpPr>
            <xdr:cNvPr id="15863" name="Check Box 503" hidden="1">
              <a:extLst>
                <a:ext uri="{63B3BB69-23CF-44E3-9099-C40C66FF867C}">
                  <a14:compatExt spid="_x0000_s15863"/>
                </a:ext>
                <a:ext uri="{FF2B5EF4-FFF2-40B4-BE49-F238E27FC236}">
                  <a16:creationId xmlns:a16="http://schemas.microsoft.com/office/drawing/2014/main" id="{00000000-0008-0000-0F00-0000F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1300</xdr:row>
          <xdr:rowOff>0</xdr:rowOff>
        </xdr:from>
        <xdr:to>
          <xdr:col>22</xdr:col>
          <xdr:colOff>184150</xdr:colOff>
          <xdr:row>1300</xdr:row>
          <xdr:rowOff>184150</xdr:rowOff>
        </xdr:to>
        <xdr:sp macro="" textlink="">
          <xdr:nvSpPr>
            <xdr:cNvPr id="15864" name="Check Box 504" hidden="1">
              <a:extLst>
                <a:ext uri="{63B3BB69-23CF-44E3-9099-C40C66FF867C}">
                  <a14:compatExt spid="_x0000_s15864"/>
                </a:ext>
                <a:ext uri="{FF2B5EF4-FFF2-40B4-BE49-F238E27FC236}">
                  <a16:creationId xmlns:a16="http://schemas.microsoft.com/office/drawing/2014/main" id="{00000000-0008-0000-0F00-0000F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1314</xdr:row>
          <xdr:rowOff>0</xdr:rowOff>
        </xdr:from>
        <xdr:to>
          <xdr:col>22</xdr:col>
          <xdr:colOff>184150</xdr:colOff>
          <xdr:row>1314</xdr:row>
          <xdr:rowOff>184150</xdr:rowOff>
        </xdr:to>
        <xdr:sp macro="" textlink="">
          <xdr:nvSpPr>
            <xdr:cNvPr id="15865" name="Check Box 505" hidden="1">
              <a:extLst>
                <a:ext uri="{63B3BB69-23CF-44E3-9099-C40C66FF867C}">
                  <a14:compatExt spid="_x0000_s15865"/>
                </a:ext>
                <a:ext uri="{FF2B5EF4-FFF2-40B4-BE49-F238E27FC236}">
                  <a16:creationId xmlns:a16="http://schemas.microsoft.com/office/drawing/2014/main" id="{00000000-0008-0000-0F00-0000F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1326</xdr:row>
          <xdr:rowOff>0</xdr:rowOff>
        </xdr:from>
        <xdr:to>
          <xdr:col>22</xdr:col>
          <xdr:colOff>184150</xdr:colOff>
          <xdr:row>1326</xdr:row>
          <xdr:rowOff>184150</xdr:rowOff>
        </xdr:to>
        <xdr:sp macro="" textlink="">
          <xdr:nvSpPr>
            <xdr:cNvPr id="15866" name="Check Box 506" hidden="1">
              <a:extLst>
                <a:ext uri="{63B3BB69-23CF-44E3-9099-C40C66FF867C}">
                  <a14:compatExt spid="_x0000_s15866"/>
                </a:ext>
                <a:ext uri="{FF2B5EF4-FFF2-40B4-BE49-F238E27FC236}">
                  <a16:creationId xmlns:a16="http://schemas.microsoft.com/office/drawing/2014/main" id="{00000000-0008-0000-0F00-0000F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1328</xdr:row>
          <xdr:rowOff>0</xdr:rowOff>
        </xdr:from>
        <xdr:to>
          <xdr:col>22</xdr:col>
          <xdr:colOff>184150</xdr:colOff>
          <xdr:row>1328</xdr:row>
          <xdr:rowOff>184150</xdr:rowOff>
        </xdr:to>
        <xdr:sp macro="" textlink="">
          <xdr:nvSpPr>
            <xdr:cNvPr id="15867" name="Check Box 507" hidden="1">
              <a:extLst>
                <a:ext uri="{63B3BB69-23CF-44E3-9099-C40C66FF867C}">
                  <a14:compatExt spid="_x0000_s15867"/>
                </a:ext>
                <a:ext uri="{FF2B5EF4-FFF2-40B4-BE49-F238E27FC236}">
                  <a16:creationId xmlns:a16="http://schemas.microsoft.com/office/drawing/2014/main" id="{00000000-0008-0000-0F00-0000F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1330</xdr:row>
          <xdr:rowOff>0</xdr:rowOff>
        </xdr:from>
        <xdr:to>
          <xdr:col>22</xdr:col>
          <xdr:colOff>184150</xdr:colOff>
          <xdr:row>1330</xdr:row>
          <xdr:rowOff>184150</xdr:rowOff>
        </xdr:to>
        <xdr:sp macro="" textlink="">
          <xdr:nvSpPr>
            <xdr:cNvPr id="15868" name="Check Box 508" hidden="1">
              <a:extLst>
                <a:ext uri="{63B3BB69-23CF-44E3-9099-C40C66FF867C}">
                  <a14:compatExt spid="_x0000_s15868"/>
                </a:ext>
                <a:ext uri="{FF2B5EF4-FFF2-40B4-BE49-F238E27FC236}">
                  <a16:creationId xmlns:a16="http://schemas.microsoft.com/office/drawing/2014/main" id="{00000000-0008-0000-0F00-0000F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1337</xdr:row>
          <xdr:rowOff>0</xdr:rowOff>
        </xdr:from>
        <xdr:to>
          <xdr:col>22</xdr:col>
          <xdr:colOff>184150</xdr:colOff>
          <xdr:row>1337</xdr:row>
          <xdr:rowOff>184150</xdr:rowOff>
        </xdr:to>
        <xdr:sp macro="" textlink="">
          <xdr:nvSpPr>
            <xdr:cNvPr id="15869" name="Check Box 509" hidden="1">
              <a:extLst>
                <a:ext uri="{63B3BB69-23CF-44E3-9099-C40C66FF867C}">
                  <a14:compatExt spid="_x0000_s15869"/>
                </a:ext>
                <a:ext uri="{FF2B5EF4-FFF2-40B4-BE49-F238E27FC236}">
                  <a16:creationId xmlns:a16="http://schemas.microsoft.com/office/drawing/2014/main" id="{00000000-0008-0000-0F00-0000F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1338</xdr:row>
          <xdr:rowOff>0</xdr:rowOff>
        </xdr:from>
        <xdr:to>
          <xdr:col>22</xdr:col>
          <xdr:colOff>184150</xdr:colOff>
          <xdr:row>1338</xdr:row>
          <xdr:rowOff>184150</xdr:rowOff>
        </xdr:to>
        <xdr:sp macro="" textlink="">
          <xdr:nvSpPr>
            <xdr:cNvPr id="15870" name="Check Box 510" hidden="1">
              <a:extLst>
                <a:ext uri="{63B3BB69-23CF-44E3-9099-C40C66FF867C}">
                  <a14:compatExt spid="_x0000_s15870"/>
                </a:ext>
                <a:ext uri="{FF2B5EF4-FFF2-40B4-BE49-F238E27FC236}">
                  <a16:creationId xmlns:a16="http://schemas.microsoft.com/office/drawing/2014/main" id="{00000000-0008-0000-0F00-0000F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1339</xdr:row>
          <xdr:rowOff>0</xdr:rowOff>
        </xdr:from>
        <xdr:to>
          <xdr:col>22</xdr:col>
          <xdr:colOff>184150</xdr:colOff>
          <xdr:row>1339</xdr:row>
          <xdr:rowOff>184150</xdr:rowOff>
        </xdr:to>
        <xdr:sp macro="" textlink="">
          <xdr:nvSpPr>
            <xdr:cNvPr id="15871" name="Check Box 511" hidden="1">
              <a:extLst>
                <a:ext uri="{63B3BB69-23CF-44E3-9099-C40C66FF867C}">
                  <a14:compatExt spid="_x0000_s15871"/>
                </a:ext>
                <a:ext uri="{FF2B5EF4-FFF2-40B4-BE49-F238E27FC236}">
                  <a16:creationId xmlns:a16="http://schemas.microsoft.com/office/drawing/2014/main" id="{00000000-0008-0000-0F00-0000F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1340</xdr:row>
          <xdr:rowOff>0</xdr:rowOff>
        </xdr:from>
        <xdr:to>
          <xdr:col>22</xdr:col>
          <xdr:colOff>184150</xdr:colOff>
          <xdr:row>1340</xdr:row>
          <xdr:rowOff>184150</xdr:rowOff>
        </xdr:to>
        <xdr:sp macro="" textlink="">
          <xdr:nvSpPr>
            <xdr:cNvPr id="15872" name="Check Box 512" hidden="1">
              <a:extLst>
                <a:ext uri="{63B3BB69-23CF-44E3-9099-C40C66FF867C}">
                  <a14:compatExt spid="_x0000_s15872"/>
                </a:ext>
                <a:ext uri="{FF2B5EF4-FFF2-40B4-BE49-F238E27FC236}">
                  <a16:creationId xmlns:a16="http://schemas.microsoft.com/office/drawing/2014/main" id="{00000000-0008-0000-0F00-00000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1342</xdr:row>
          <xdr:rowOff>0</xdr:rowOff>
        </xdr:from>
        <xdr:to>
          <xdr:col>22</xdr:col>
          <xdr:colOff>184150</xdr:colOff>
          <xdr:row>1342</xdr:row>
          <xdr:rowOff>184150</xdr:rowOff>
        </xdr:to>
        <xdr:sp macro="" textlink="">
          <xdr:nvSpPr>
            <xdr:cNvPr id="15873" name="Check Box 513" hidden="1">
              <a:extLst>
                <a:ext uri="{63B3BB69-23CF-44E3-9099-C40C66FF867C}">
                  <a14:compatExt spid="_x0000_s15873"/>
                </a:ext>
                <a:ext uri="{FF2B5EF4-FFF2-40B4-BE49-F238E27FC236}">
                  <a16:creationId xmlns:a16="http://schemas.microsoft.com/office/drawing/2014/main" id="{00000000-0008-0000-0F00-00000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1345</xdr:row>
          <xdr:rowOff>0</xdr:rowOff>
        </xdr:from>
        <xdr:to>
          <xdr:col>22</xdr:col>
          <xdr:colOff>184150</xdr:colOff>
          <xdr:row>1345</xdr:row>
          <xdr:rowOff>184150</xdr:rowOff>
        </xdr:to>
        <xdr:sp macro="" textlink="">
          <xdr:nvSpPr>
            <xdr:cNvPr id="15874" name="Check Box 514" hidden="1">
              <a:extLst>
                <a:ext uri="{63B3BB69-23CF-44E3-9099-C40C66FF867C}">
                  <a14:compatExt spid="_x0000_s15874"/>
                </a:ext>
                <a:ext uri="{FF2B5EF4-FFF2-40B4-BE49-F238E27FC236}">
                  <a16:creationId xmlns:a16="http://schemas.microsoft.com/office/drawing/2014/main" id="{00000000-0008-0000-0F00-00000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1363</xdr:row>
          <xdr:rowOff>0</xdr:rowOff>
        </xdr:from>
        <xdr:to>
          <xdr:col>22</xdr:col>
          <xdr:colOff>184150</xdr:colOff>
          <xdr:row>1363</xdr:row>
          <xdr:rowOff>184150</xdr:rowOff>
        </xdr:to>
        <xdr:sp macro="" textlink="">
          <xdr:nvSpPr>
            <xdr:cNvPr id="15875" name="Check Box 515" hidden="1">
              <a:extLst>
                <a:ext uri="{63B3BB69-23CF-44E3-9099-C40C66FF867C}">
                  <a14:compatExt spid="_x0000_s15875"/>
                </a:ext>
                <a:ext uri="{FF2B5EF4-FFF2-40B4-BE49-F238E27FC236}">
                  <a16:creationId xmlns:a16="http://schemas.microsoft.com/office/drawing/2014/main" id="{00000000-0008-0000-0F00-00000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1364</xdr:row>
          <xdr:rowOff>0</xdr:rowOff>
        </xdr:from>
        <xdr:to>
          <xdr:col>22</xdr:col>
          <xdr:colOff>184150</xdr:colOff>
          <xdr:row>1364</xdr:row>
          <xdr:rowOff>184150</xdr:rowOff>
        </xdr:to>
        <xdr:sp macro="" textlink="">
          <xdr:nvSpPr>
            <xdr:cNvPr id="15876" name="Check Box 516" hidden="1">
              <a:extLst>
                <a:ext uri="{63B3BB69-23CF-44E3-9099-C40C66FF867C}">
                  <a14:compatExt spid="_x0000_s15876"/>
                </a:ext>
                <a:ext uri="{FF2B5EF4-FFF2-40B4-BE49-F238E27FC236}">
                  <a16:creationId xmlns:a16="http://schemas.microsoft.com/office/drawing/2014/main" id="{00000000-0008-0000-0F00-00000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1365</xdr:row>
          <xdr:rowOff>0</xdr:rowOff>
        </xdr:from>
        <xdr:to>
          <xdr:col>22</xdr:col>
          <xdr:colOff>184150</xdr:colOff>
          <xdr:row>1365</xdr:row>
          <xdr:rowOff>184150</xdr:rowOff>
        </xdr:to>
        <xdr:sp macro="" textlink="">
          <xdr:nvSpPr>
            <xdr:cNvPr id="15877" name="Check Box 517" hidden="1">
              <a:extLst>
                <a:ext uri="{63B3BB69-23CF-44E3-9099-C40C66FF867C}">
                  <a14:compatExt spid="_x0000_s15877"/>
                </a:ext>
                <a:ext uri="{FF2B5EF4-FFF2-40B4-BE49-F238E27FC236}">
                  <a16:creationId xmlns:a16="http://schemas.microsoft.com/office/drawing/2014/main" id="{00000000-0008-0000-0F00-00000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1366</xdr:row>
          <xdr:rowOff>0</xdr:rowOff>
        </xdr:from>
        <xdr:to>
          <xdr:col>22</xdr:col>
          <xdr:colOff>184150</xdr:colOff>
          <xdr:row>1366</xdr:row>
          <xdr:rowOff>184150</xdr:rowOff>
        </xdr:to>
        <xdr:sp macro="" textlink="">
          <xdr:nvSpPr>
            <xdr:cNvPr id="15878" name="Check Box 518" hidden="1">
              <a:extLst>
                <a:ext uri="{63B3BB69-23CF-44E3-9099-C40C66FF867C}">
                  <a14:compatExt spid="_x0000_s15878"/>
                </a:ext>
                <a:ext uri="{FF2B5EF4-FFF2-40B4-BE49-F238E27FC236}">
                  <a16:creationId xmlns:a16="http://schemas.microsoft.com/office/drawing/2014/main" id="{00000000-0008-0000-0F00-00000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1367</xdr:row>
          <xdr:rowOff>0</xdr:rowOff>
        </xdr:from>
        <xdr:to>
          <xdr:col>22</xdr:col>
          <xdr:colOff>184150</xdr:colOff>
          <xdr:row>1367</xdr:row>
          <xdr:rowOff>184150</xdr:rowOff>
        </xdr:to>
        <xdr:sp macro="" textlink="">
          <xdr:nvSpPr>
            <xdr:cNvPr id="15879" name="Check Box 519" hidden="1">
              <a:extLst>
                <a:ext uri="{63B3BB69-23CF-44E3-9099-C40C66FF867C}">
                  <a14:compatExt spid="_x0000_s15879"/>
                </a:ext>
                <a:ext uri="{FF2B5EF4-FFF2-40B4-BE49-F238E27FC236}">
                  <a16:creationId xmlns:a16="http://schemas.microsoft.com/office/drawing/2014/main" id="{00000000-0008-0000-0F00-00000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1368</xdr:row>
          <xdr:rowOff>0</xdr:rowOff>
        </xdr:from>
        <xdr:to>
          <xdr:col>22</xdr:col>
          <xdr:colOff>184150</xdr:colOff>
          <xdr:row>1368</xdr:row>
          <xdr:rowOff>184150</xdr:rowOff>
        </xdr:to>
        <xdr:sp macro="" textlink="">
          <xdr:nvSpPr>
            <xdr:cNvPr id="15880" name="Check Box 520" hidden="1">
              <a:extLst>
                <a:ext uri="{63B3BB69-23CF-44E3-9099-C40C66FF867C}">
                  <a14:compatExt spid="_x0000_s15880"/>
                </a:ext>
                <a:ext uri="{FF2B5EF4-FFF2-40B4-BE49-F238E27FC236}">
                  <a16:creationId xmlns:a16="http://schemas.microsoft.com/office/drawing/2014/main" id="{00000000-0008-0000-0F00-00000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1369</xdr:row>
          <xdr:rowOff>0</xdr:rowOff>
        </xdr:from>
        <xdr:to>
          <xdr:col>22</xdr:col>
          <xdr:colOff>184150</xdr:colOff>
          <xdr:row>1369</xdr:row>
          <xdr:rowOff>184150</xdr:rowOff>
        </xdr:to>
        <xdr:sp macro="" textlink="">
          <xdr:nvSpPr>
            <xdr:cNvPr id="15881" name="Check Box 521" hidden="1">
              <a:extLst>
                <a:ext uri="{63B3BB69-23CF-44E3-9099-C40C66FF867C}">
                  <a14:compatExt spid="_x0000_s15881"/>
                </a:ext>
                <a:ext uri="{FF2B5EF4-FFF2-40B4-BE49-F238E27FC236}">
                  <a16:creationId xmlns:a16="http://schemas.microsoft.com/office/drawing/2014/main" id="{00000000-0008-0000-0F00-00000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1370</xdr:row>
          <xdr:rowOff>0</xdr:rowOff>
        </xdr:from>
        <xdr:to>
          <xdr:col>22</xdr:col>
          <xdr:colOff>184150</xdr:colOff>
          <xdr:row>1370</xdr:row>
          <xdr:rowOff>184150</xdr:rowOff>
        </xdr:to>
        <xdr:sp macro="" textlink="">
          <xdr:nvSpPr>
            <xdr:cNvPr id="15882" name="Check Box 522" hidden="1">
              <a:extLst>
                <a:ext uri="{63B3BB69-23CF-44E3-9099-C40C66FF867C}">
                  <a14:compatExt spid="_x0000_s15882"/>
                </a:ext>
                <a:ext uri="{FF2B5EF4-FFF2-40B4-BE49-F238E27FC236}">
                  <a16:creationId xmlns:a16="http://schemas.microsoft.com/office/drawing/2014/main" id="{00000000-0008-0000-0F00-00000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1373</xdr:row>
          <xdr:rowOff>0</xdr:rowOff>
        </xdr:from>
        <xdr:to>
          <xdr:col>22</xdr:col>
          <xdr:colOff>184150</xdr:colOff>
          <xdr:row>1373</xdr:row>
          <xdr:rowOff>184150</xdr:rowOff>
        </xdr:to>
        <xdr:sp macro="" textlink="">
          <xdr:nvSpPr>
            <xdr:cNvPr id="15883" name="Check Box 523" hidden="1">
              <a:extLst>
                <a:ext uri="{63B3BB69-23CF-44E3-9099-C40C66FF867C}">
                  <a14:compatExt spid="_x0000_s15883"/>
                </a:ext>
                <a:ext uri="{FF2B5EF4-FFF2-40B4-BE49-F238E27FC236}">
                  <a16:creationId xmlns:a16="http://schemas.microsoft.com/office/drawing/2014/main" id="{00000000-0008-0000-0F00-00000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1375</xdr:row>
          <xdr:rowOff>0</xdr:rowOff>
        </xdr:from>
        <xdr:to>
          <xdr:col>22</xdr:col>
          <xdr:colOff>184150</xdr:colOff>
          <xdr:row>1375</xdr:row>
          <xdr:rowOff>184150</xdr:rowOff>
        </xdr:to>
        <xdr:sp macro="" textlink="">
          <xdr:nvSpPr>
            <xdr:cNvPr id="15884" name="Check Box 524" hidden="1">
              <a:extLst>
                <a:ext uri="{63B3BB69-23CF-44E3-9099-C40C66FF867C}">
                  <a14:compatExt spid="_x0000_s15884"/>
                </a:ext>
                <a:ext uri="{FF2B5EF4-FFF2-40B4-BE49-F238E27FC236}">
                  <a16:creationId xmlns:a16="http://schemas.microsoft.com/office/drawing/2014/main" id="{00000000-0008-0000-0F00-00000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1377</xdr:row>
          <xdr:rowOff>0</xdr:rowOff>
        </xdr:from>
        <xdr:to>
          <xdr:col>22</xdr:col>
          <xdr:colOff>184150</xdr:colOff>
          <xdr:row>1377</xdr:row>
          <xdr:rowOff>184150</xdr:rowOff>
        </xdr:to>
        <xdr:sp macro="" textlink="">
          <xdr:nvSpPr>
            <xdr:cNvPr id="15885" name="Check Box 525" hidden="1">
              <a:extLst>
                <a:ext uri="{63B3BB69-23CF-44E3-9099-C40C66FF867C}">
                  <a14:compatExt spid="_x0000_s15885"/>
                </a:ext>
                <a:ext uri="{FF2B5EF4-FFF2-40B4-BE49-F238E27FC236}">
                  <a16:creationId xmlns:a16="http://schemas.microsoft.com/office/drawing/2014/main" id="{00000000-0008-0000-0F00-00000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1388</xdr:row>
          <xdr:rowOff>0</xdr:rowOff>
        </xdr:from>
        <xdr:to>
          <xdr:col>22</xdr:col>
          <xdr:colOff>184150</xdr:colOff>
          <xdr:row>1388</xdr:row>
          <xdr:rowOff>184150</xdr:rowOff>
        </xdr:to>
        <xdr:sp macro="" textlink="">
          <xdr:nvSpPr>
            <xdr:cNvPr id="15886" name="Check Box 526" hidden="1">
              <a:extLst>
                <a:ext uri="{63B3BB69-23CF-44E3-9099-C40C66FF867C}">
                  <a14:compatExt spid="_x0000_s15886"/>
                </a:ext>
                <a:ext uri="{FF2B5EF4-FFF2-40B4-BE49-F238E27FC236}">
                  <a16:creationId xmlns:a16="http://schemas.microsoft.com/office/drawing/2014/main" id="{00000000-0008-0000-0F00-00000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1392</xdr:row>
          <xdr:rowOff>0</xdr:rowOff>
        </xdr:from>
        <xdr:to>
          <xdr:col>22</xdr:col>
          <xdr:colOff>184150</xdr:colOff>
          <xdr:row>1392</xdr:row>
          <xdr:rowOff>184150</xdr:rowOff>
        </xdr:to>
        <xdr:sp macro="" textlink="">
          <xdr:nvSpPr>
            <xdr:cNvPr id="15887" name="Check Box 527" hidden="1">
              <a:extLst>
                <a:ext uri="{63B3BB69-23CF-44E3-9099-C40C66FF867C}">
                  <a14:compatExt spid="_x0000_s15887"/>
                </a:ext>
                <a:ext uri="{FF2B5EF4-FFF2-40B4-BE49-F238E27FC236}">
                  <a16:creationId xmlns:a16="http://schemas.microsoft.com/office/drawing/2014/main" id="{00000000-0008-0000-0F00-00000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1393</xdr:row>
          <xdr:rowOff>0</xdr:rowOff>
        </xdr:from>
        <xdr:to>
          <xdr:col>22</xdr:col>
          <xdr:colOff>184150</xdr:colOff>
          <xdr:row>1393</xdr:row>
          <xdr:rowOff>184150</xdr:rowOff>
        </xdr:to>
        <xdr:sp macro="" textlink="">
          <xdr:nvSpPr>
            <xdr:cNvPr id="15888" name="Check Box 528" hidden="1">
              <a:extLst>
                <a:ext uri="{63B3BB69-23CF-44E3-9099-C40C66FF867C}">
                  <a14:compatExt spid="_x0000_s15888"/>
                </a:ext>
                <a:ext uri="{FF2B5EF4-FFF2-40B4-BE49-F238E27FC236}">
                  <a16:creationId xmlns:a16="http://schemas.microsoft.com/office/drawing/2014/main" id="{00000000-0008-0000-0F00-00001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1396</xdr:row>
          <xdr:rowOff>0</xdr:rowOff>
        </xdr:from>
        <xdr:to>
          <xdr:col>22</xdr:col>
          <xdr:colOff>184150</xdr:colOff>
          <xdr:row>1396</xdr:row>
          <xdr:rowOff>184150</xdr:rowOff>
        </xdr:to>
        <xdr:sp macro="" textlink="">
          <xdr:nvSpPr>
            <xdr:cNvPr id="15889" name="Check Box 529" hidden="1">
              <a:extLst>
                <a:ext uri="{63B3BB69-23CF-44E3-9099-C40C66FF867C}">
                  <a14:compatExt spid="_x0000_s15889"/>
                </a:ext>
                <a:ext uri="{FF2B5EF4-FFF2-40B4-BE49-F238E27FC236}">
                  <a16:creationId xmlns:a16="http://schemas.microsoft.com/office/drawing/2014/main" id="{00000000-0008-0000-0F00-00001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1399</xdr:row>
          <xdr:rowOff>0</xdr:rowOff>
        </xdr:from>
        <xdr:to>
          <xdr:col>22</xdr:col>
          <xdr:colOff>184150</xdr:colOff>
          <xdr:row>1399</xdr:row>
          <xdr:rowOff>184150</xdr:rowOff>
        </xdr:to>
        <xdr:sp macro="" textlink="">
          <xdr:nvSpPr>
            <xdr:cNvPr id="15890" name="Check Box 530" hidden="1">
              <a:extLst>
                <a:ext uri="{63B3BB69-23CF-44E3-9099-C40C66FF867C}">
                  <a14:compatExt spid="_x0000_s15890"/>
                </a:ext>
                <a:ext uri="{FF2B5EF4-FFF2-40B4-BE49-F238E27FC236}">
                  <a16:creationId xmlns:a16="http://schemas.microsoft.com/office/drawing/2014/main" id="{00000000-0008-0000-0F00-00001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1436</xdr:row>
          <xdr:rowOff>0</xdr:rowOff>
        </xdr:from>
        <xdr:to>
          <xdr:col>22</xdr:col>
          <xdr:colOff>184150</xdr:colOff>
          <xdr:row>1436</xdr:row>
          <xdr:rowOff>184150</xdr:rowOff>
        </xdr:to>
        <xdr:sp macro="" textlink="">
          <xdr:nvSpPr>
            <xdr:cNvPr id="15915" name="Check Box 555" hidden="1">
              <a:extLst>
                <a:ext uri="{63B3BB69-23CF-44E3-9099-C40C66FF867C}">
                  <a14:compatExt spid="_x0000_s15915"/>
                </a:ext>
                <a:ext uri="{FF2B5EF4-FFF2-40B4-BE49-F238E27FC236}">
                  <a16:creationId xmlns:a16="http://schemas.microsoft.com/office/drawing/2014/main" id="{00000000-0008-0000-0F00-00002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1441</xdr:row>
          <xdr:rowOff>0</xdr:rowOff>
        </xdr:from>
        <xdr:to>
          <xdr:col>22</xdr:col>
          <xdr:colOff>184150</xdr:colOff>
          <xdr:row>1441</xdr:row>
          <xdr:rowOff>184150</xdr:rowOff>
        </xdr:to>
        <xdr:sp macro="" textlink="">
          <xdr:nvSpPr>
            <xdr:cNvPr id="15916" name="Check Box 556" hidden="1">
              <a:extLst>
                <a:ext uri="{63B3BB69-23CF-44E3-9099-C40C66FF867C}">
                  <a14:compatExt spid="_x0000_s15916"/>
                </a:ext>
                <a:ext uri="{FF2B5EF4-FFF2-40B4-BE49-F238E27FC236}">
                  <a16:creationId xmlns:a16="http://schemas.microsoft.com/office/drawing/2014/main" id="{00000000-0008-0000-0F00-00002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1472</xdr:row>
          <xdr:rowOff>0</xdr:rowOff>
        </xdr:from>
        <xdr:to>
          <xdr:col>22</xdr:col>
          <xdr:colOff>184150</xdr:colOff>
          <xdr:row>1472</xdr:row>
          <xdr:rowOff>184150</xdr:rowOff>
        </xdr:to>
        <xdr:sp macro="" textlink="">
          <xdr:nvSpPr>
            <xdr:cNvPr id="15917" name="Check Box 557" hidden="1">
              <a:extLst>
                <a:ext uri="{63B3BB69-23CF-44E3-9099-C40C66FF867C}">
                  <a14:compatExt spid="_x0000_s15917"/>
                </a:ext>
                <a:ext uri="{FF2B5EF4-FFF2-40B4-BE49-F238E27FC236}">
                  <a16:creationId xmlns:a16="http://schemas.microsoft.com/office/drawing/2014/main" id="{00000000-0008-0000-0F00-00002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1486</xdr:row>
          <xdr:rowOff>0</xdr:rowOff>
        </xdr:from>
        <xdr:to>
          <xdr:col>22</xdr:col>
          <xdr:colOff>184150</xdr:colOff>
          <xdr:row>1486</xdr:row>
          <xdr:rowOff>184150</xdr:rowOff>
        </xdr:to>
        <xdr:sp macro="" textlink="">
          <xdr:nvSpPr>
            <xdr:cNvPr id="15918" name="Check Box 558" hidden="1">
              <a:extLst>
                <a:ext uri="{63B3BB69-23CF-44E3-9099-C40C66FF867C}">
                  <a14:compatExt spid="_x0000_s15918"/>
                </a:ext>
                <a:ext uri="{FF2B5EF4-FFF2-40B4-BE49-F238E27FC236}">
                  <a16:creationId xmlns:a16="http://schemas.microsoft.com/office/drawing/2014/main" id="{00000000-0008-0000-0F00-00002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1493</xdr:row>
          <xdr:rowOff>0</xdr:rowOff>
        </xdr:from>
        <xdr:to>
          <xdr:col>22</xdr:col>
          <xdr:colOff>184150</xdr:colOff>
          <xdr:row>1493</xdr:row>
          <xdr:rowOff>184150</xdr:rowOff>
        </xdr:to>
        <xdr:sp macro="" textlink="">
          <xdr:nvSpPr>
            <xdr:cNvPr id="15919" name="Check Box 559" hidden="1">
              <a:extLst>
                <a:ext uri="{63B3BB69-23CF-44E3-9099-C40C66FF867C}">
                  <a14:compatExt spid="_x0000_s15919"/>
                </a:ext>
                <a:ext uri="{FF2B5EF4-FFF2-40B4-BE49-F238E27FC236}">
                  <a16:creationId xmlns:a16="http://schemas.microsoft.com/office/drawing/2014/main" id="{00000000-0008-0000-0F00-00002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1495</xdr:row>
          <xdr:rowOff>0</xdr:rowOff>
        </xdr:from>
        <xdr:to>
          <xdr:col>22</xdr:col>
          <xdr:colOff>184150</xdr:colOff>
          <xdr:row>1495</xdr:row>
          <xdr:rowOff>184150</xdr:rowOff>
        </xdr:to>
        <xdr:sp macro="" textlink="">
          <xdr:nvSpPr>
            <xdr:cNvPr id="15920" name="Check Box 560" hidden="1">
              <a:extLst>
                <a:ext uri="{63B3BB69-23CF-44E3-9099-C40C66FF867C}">
                  <a14:compatExt spid="_x0000_s15920"/>
                </a:ext>
                <a:ext uri="{FF2B5EF4-FFF2-40B4-BE49-F238E27FC236}">
                  <a16:creationId xmlns:a16="http://schemas.microsoft.com/office/drawing/2014/main" id="{00000000-0008-0000-0F00-00003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1497</xdr:row>
          <xdr:rowOff>0</xdr:rowOff>
        </xdr:from>
        <xdr:to>
          <xdr:col>22</xdr:col>
          <xdr:colOff>184150</xdr:colOff>
          <xdr:row>1497</xdr:row>
          <xdr:rowOff>184150</xdr:rowOff>
        </xdr:to>
        <xdr:sp macro="" textlink="">
          <xdr:nvSpPr>
            <xdr:cNvPr id="15921" name="Check Box 561" hidden="1">
              <a:extLst>
                <a:ext uri="{63B3BB69-23CF-44E3-9099-C40C66FF867C}">
                  <a14:compatExt spid="_x0000_s15921"/>
                </a:ext>
                <a:ext uri="{FF2B5EF4-FFF2-40B4-BE49-F238E27FC236}">
                  <a16:creationId xmlns:a16="http://schemas.microsoft.com/office/drawing/2014/main" id="{00000000-0008-0000-0F00-00003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1501</xdr:row>
          <xdr:rowOff>0</xdr:rowOff>
        </xdr:from>
        <xdr:to>
          <xdr:col>22</xdr:col>
          <xdr:colOff>184150</xdr:colOff>
          <xdr:row>1501</xdr:row>
          <xdr:rowOff>184150</xdr:rowOff>
        </xdr:to>
        <xdr:sp macro="" textlink="">
          <xdr:nvSpPr>
            <xdr:cNvPr id="15922" name="Check Box 562" hidden="1">
              <a:extLst>
                <a:ext uri="{63B3BB69-23CF-44E3-9099-C40C66FF867C}">
                  <a14:compatExt spid="_x0000_s15922"/>
                </a:ext>
                <a:ext uri="{FF2B5EF4-FFF2-40B4-BE49-F238E27FC236}">
                  <a16:creationId xmlns:a16="http://schemas.microsoft.com/office/drawing/2014/main" id="{00000000-0008-0000-0F00-00003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1502</xdr:row>
          <xdr:rowOff>0</xdr:rowOff>
        </xdr:from>
        <xdr:to>
          <xdr:col>22</xdr:col>
          <xdr:colOff>184150</xdr:colOff>
          <xdr:row>1502</xdr:row>
          <xdr:rowOff>184150</xdr:rowOff>
        </xdr:to>
        <xdr:sp macro="" textlink="">
          <xdr:nvSpPr>
            <xdr:cNvPr id="15923" name="Check Box 563" hidden="1">
              <a:extLst>
                <a:ext uri="{63B3BB69-23CF-44E3-9099-C40C66FF867C}">
                  <a14:compatExt spid="_x0000_s15923"/>
                </a:ext>
                <a:ext uri="{FF2B5EF4-FFF2-40B4-BE49-F238E27FC236}">
                  <a16:creationId xmlns:a16="http://schemas.microsoft.com/office/drawing/2014/main" id="{00000000-0008-0000-0F00-00003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1503</xdr:row>
          <xdr:rowOff>0</xdr:rowOff>
        </xdr:from>
        <xdr:to>
          <xdr:col>22</xdr:col>
          <xdr:colOff>184150</xdr:colOff>
          <xdr:row>1503</xdr:row>
          <xdr:rowOff>184150</xdr:rowOff>
        </xdr:to>
        <xdr:sp macro="" textlink="">
          <xdr:nvSpPr>
            <xdr:cNvPr id="15924" name="Check Box 564" hidden="1">
              <a:extLst>
                <a:ext uri="{63B3BB69-23CF-44E3-9099-C40C66FF867C}">
                  <a14:compatExt spid="_x0000_s15924"/>
                </a:ext>
                <a:ext uri="{FF2B5EF4-FFF2-40B4-BE49-F238E27FC236}">
                  <a16:creationId xmlns:a16="http://schemas.microsoft.com/office/drawing/2014/main" id="{00000000-0008-0000-0F00-00003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1511</xdr:row>
          <xdr:rowOff>0</xdr:rowOff>
        </xdr:from>
        <xdr:to>
          <xdr:col>22</xdr:col>
          <xdr:colOff>184150</xdr:colOff>
          <xdr:row>1511</xdr:row>
          <xdr:rowOff>184150</xdr:rowOff>
        </xdr:to>
        <xdr:sp macro="" textlink="">
          <xdr:nvSpPr>
            <xdr:cNvPr id="15926" name="Check Box 566" hidden="1">
              <a:extLst>
                <a:ext uri="{63B3BB69-23CF-44E3-9099-C40C66FF867C}">
                  <a14:compatExt spid="_x0000_s15926"/>
                </a:ext>
                <a:ext uri="{FF2B5EF4-FFF2-40B4-BE49-F238E27FC236}">
                  <a16:creationId xmlns:a16="http://schemas.microsoft.com/office/drawing/2014/main" id="{00000000-0008-0000-0F00-00003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1513</xdr:row>
          <xdr:rowOff>0</xdr:rowOff>
        </xdr:from>
        <xdr:to>
          <xdr:col>22</xdr:col>
          <xdr:colOff>184150</xdr:colOff>
          <xdr:row>1513</xdr:row>
          <xdr:rowOff>184150</xdr:rowOff>
        </xdr:to>
        <xdr:sp macro="" textlink="">
          <xdr:nvSpPr>
            <xdr:cNvPr id="15927" name="Check Box 567" hidden="1">
              <a:extLst>
                <a:ext uri="{63B3BB69-23CF-44E3-9099-C40C66FF867C}">
                  <a14:compatExt spid="_x0000_s15927"/>
                </a:ext>
                <a:ext uri="{FF2B5EF4-FFF2-40B4-BE49-F238E27FC236}">
                  <a16:creationId xmlns:a16="http://schemas.microsoft.com/office/drawing/2014/main" id="{00000000-0008-0000-0F00-00003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1514</xdr:row>
          <xdr:rowOff>0</xdr:rowOff>
        </xdr:from>
        <xdr:to>
          <xdr:col>22</xdr:col>
          <xdr:colOff>184150</xdr:colOff>
          <xdr:row>1514</xdr:row>
          <xdr:rowOff>184150</xdr:rowOff>
        </xdr:to>
        <xdr:sp macro="" textlink="">
          <xdr:nvSpPr>
            <xdr:cNvPr id="15928" name="Check Box 568" hidden="1">
              <a:extLst>
                <a:ext uri="{63B3BB69-23CF-44E3-9099-C40C66FF867C}">
                  <a14:compatExt spid="_x0000_s15928"/>
                </a:ext>
                <a:ext uri="{FF2B5EF4-FFF2-40B4-BE49-F238E27FC236}">
                  <a16:creationId xmlns:a16="http://schemas.microsoft.com/office/drawing/2014/main" id="{00000000-0008-0000-0F00-00003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1518</xdr:row>
          <xdr:rowOff>0</xdr:rowOff>
        </xdr:from>
        <xdr:to>
          <xdr:col>22</xdr:col>
          <xdr:colOff>184150</xdr:colOff>
          <xdr:row>1518</xdr:row>
          <xdr:rowOff>184150</xdr:rowOff>
        </xdr:to>
        <xdr:sp macro="" textlink="">
          <xdr:nvSpPr>
            <xdr:cNvPr id="15929" name="Check Box 569" hidden="1">
              <a:extLst>
                <a:ext uri="{63B3BB69-23CF-44E3-9099-C40C66FF867C}">
                  <a14:compatExt spid="_x0000_s15929"/>
                </a:ext>
                <a:ext uri="{FF2B5EF4-FFF2-40B4-BE49-F238E27FC236}">
                  <a16:creationId xmlns:a16="http://schemas.microsoft.com/office/drawing/2014/main" id="{00000000-0008-0000-0F00-00003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1538</xdr:row>
          <xdr:rowOff>0</xdr:rowOff>
        </xdr:from>
        <xdr:to>
          <xdr:col>22</xdr:col>
          <xdr:colOff>184150</xdr:colOff>
          <xdr:row>1538</xdr:row>
          <xdr:rowOff>184150</xdr:rowOff>
        </xdr:to>
        <xdr:sp macro="" textlink="">
          <xdr:nvSpPr>
            <xdr:cNvPr id="15930" name="Check Box 570" hidden="1">
              <a:extLst>
                <a:ext uri="{63B3BB69-23CF-44E3-9099-C40C66FF867C}">
                  <a14:compatExt spid="_x0000_s15930"/>
                </a:ext>
                <a:ext uri="{FF2B5EF4-FFF2-40B4-BE49-F238E27FC236}">
                  <a16:creationId xmlns:a16="http://schemas.microsoft.com/office/drawing/2014/main" id="{00000000-0008-0000-0F00-00003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1539</xdr:row>
          <xdr:rowOff>0</xdr:rowOff>
        </xdr:from>
        <xdr:to>
          <xdr:col>22</xdr:col>
          <xdr:colOff>184150</xdr:colOff>
          <xdr:row>1539</xdr:row>
          <xdr:rowOff>184150</xdr:rowOff>
        </xdr:to>
        <xdr:sp macro="" textlink="">
          <xdr:nvSpPr>
            <xdr:cNvPr id="15931" name="Check Box 571" hidden="1">
              <a:extLst>
                <a:ext uri="{63B3BB69-23CF-44E3-9099-C40C66FF867C}">
                  <a14:compatExt spid="_x0000_s15931"/>
                </a:ext>
                <a:ext uri="{FF2B5EF4-FFF2-40B4-BE49-F238E27FC236}">
                  <a16:creationId xmlns:a16="http://schemas.microsoft.com/office/drawing/2014/main" id="{00000000-0008-0000-0F00-00003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1548</xdr:row>
          <xdr:rowOff>0</xdr:rowOff>
        </xdr:from>
        <xdr:to>
          <xdr:col>22</xdr:col>
          <xdr:colOff>184150</xdr:colOff>
          <xdr:row>1548</xdr:row>
          <xdr:rowOff>184150</xdr:rowOff>
        </xdr:to>
        <xdr:sp macro="" textlink="">
          <xdr:nvSpPr>
            <xdr:cNvPr id="15932" name="Check Box 572" hidden="1">
              <a:extLst>
                <a:ext uri="{63B3BB69-23CF-44E3-9099-C40C66FF867C}">
                  <a14:compatExt spid="_x0000_s15932"/>
                </a:ext>
                <a:ext uri="{FF2B5EF4-FFF2-40B4-BE49-F238E27FC236}">
                  <a16:creationId xmlns:a16="http://schemas.microsoft.com/office/drawing/2014/main" id="{00000000-0008-0000-0F00-00003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1555</xdr:row>
          <xdr:rowOff>0</xdr:rowOff>
        </xdr:from>
        <xdr:to>
          <xdr:col>22</xdr:col>
          <xdr:colOff>184150</xdr:colOff>
          <xdr:row>1555</xdr:row>
          <xdr:rowOff>184150</xdr:rowOff>
        </xdr:to>
        <xdr:sp macro="" textlink="">
          <xdr:nvSpPr>
            <xdr:cNvPr id="15933" name="Check Box 573" hidden="1">
              <a:extLst>
                <a:ext uri="{63B3BB69-23CF-44E3-9099-C40C66FF867C}">
                  <a14:compatExt spid="_x0000_s15933"/>
                </a:ext>
                <a:ext uri="{FF2B5EF4-FFF2-40B4-BE49-F238E27FC236}">
                  <a16:creationId xmlns:a16="http://schemas.microsoft.com/office/drawing/2014/main" id="{00000000-0008-0000-0F00-00003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1556</xdr:row>
          <xdr:rowOff>0</xdr:rowOff>
        </xdr:from>
        <xdr:to>
          <xdr:col>22</xdr:col>
          <xdr:colOff>184150</xdr:colOff>
          <xdr:row>1556</xdr:row>
          <xdr:rowOff>184150</xdr:rowOff>
        </xdr:to>
        <xdr:sp macro="" textlink="">
          <xdr:nvSpPr>
            <xdr:cNvPr id="15934" name="Check Box 574" hidden="1">
              <a:extLst>
                <a:ext uri="{63B3BB69-23CF-44E3-9099-C40C66FF867C}">
                  <a14:compatExt spid="_x0000_s15934"/>
                </a:ext>
                <a:ext uri="{FF2B5EF4-FFF2-40B4-BE49-F238E27FC236}">
                  <a16:creationId xmlns:a16="http://schemas.microsoft.com/office/drawing/2014/main" id="{00000000-0008-0000-0F00-00003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1557</xdr:row>
          <xdr:rowOff>0</xdr:rowOff>
        </xdr:from>
        <xdr:to>
          <xdr:col>22</xdr:col>
          <xdr:colOff>184150</xdr:colOff>
          <xdr:row>1557</xdr:row>
          <xdr:rowOff>184150</xdr:rowOff>
        </xdr:to>
        <xdr:sp macro="" textlink="">
          <xdr:nvSpPr>
            <xdr:cNvPr id="15935" name="Check Box 575" hidden="1">
              <a:extLst>
                <a:ext uri="{63B3BB69-23CF-44E3-9099-C40C66FF867C}">
                  <a14:compatExt spid="_x0000_s15935"/>
                </a:ext>
                <a:ext uri="{FF2B5EF4-FFF2-40B4-BE49-F238E27FC236}">
                  <a16:creationId xmlns:a16="http://schemas.microsoft.com/office/drawing/2014/main" id="{00000000-0008-0000-0F00-00003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1560</xdr:row>
          <xdr:rowOff>0</xdr:rowOff>
        </xdr:from>
        <xdr:to>
          <xdr:col>22</xdr:col>
          <xdr:colOff>184150</xdr:colOff>
          <xdr:row>1560</xdr:row>
          <xdr:rowOff>184150</xdr:rowOff>
        </xdr:to>
        <xdr:sp macro="" textlink="">
          <xdr:nvSpPr>
            <xdr:cNvPr id="15936" name="Check Box 576" hidden="1">
              <a:extLst>
                <a:ext uri="{63B3BB69-23CF-44E3-9099-C40C66FF867C}">
                  <a14:compatExt spid="_x0000_s15936"/>
                </a:ext>
                <a:ext uri="{FF2B5EF4-FFF2-40B4-BE49-F238E27FC236}">
                  <a16:creationId xmlns:a16="http://schemas.microsoft.com/office/drawing/2014/main" id="{00000000-0008-0000-0F00-00004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1562</xdr:row>
          <xdr:rowOff>0</xdr:rowOff>
        </xdr:from>
        <xdr:to>
          <xdr:col>22</xdr:col>
          <xdr:colOff>184150</xdr:colOff>
          <xdr:row>1562</xdr:row>
          <xdr:rowOff>184150</xdr:rowOff>
        </xdr:to>
        <xdr:sp macro="" textlink="">
          <xdr:nvSpPr>
            <xdr:cNvPr id="15937" name="Check Box 577" hidden="1">
              <a:extLst>
                <a:ext uri="{63B3BB69-23CF-44E3-9099-C40C66FF867C}">
                  <a14:compatExt spid="_x0000_s15937"/>
                </a:ext>
                <a:ext uri="{FF2B5EF4-FFF2-40B4-BE49-F238E27FC236}">
                  <a16:creationId xmlns:a16="http://schemas.microsoft.com/office/drawing/2014/main" id="{00000000-0008-0000-0F00-00004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1568</xdr:row>
          <xdr:rowOff>0</xdr:rowOff>
        </xdr:from>
        <xdr:to>
          <xdr:col>22</xdr:col>
          <xdr:colOff>184150</xdr:colOff>
          <xdr:row>1568</xdr:row>
          <xdr:rowOff>184150</xdr:rowOff>
        </xdr:to>
        <xdr:sp macro="" textlink="">
          <xdr:nvSpPr>
            <xdr:cNvPr id="15982" name="Check Box 622" hidden="1">
              <a:extLst>
                <a:ext uri="{63B3BB69-23CF-44E3-9099-C40C66FF867C}">
                  <a14:compatExt spid="_x0000_s15982"/>
                </a:ext>
                <a:ext uri="{FF2B5EF4-FFF2-40B4-BE49-F238E27FC236}">
                  <a16:creationId xmlns:a16="http://schemas.microsoft.com/office/drawing/2014/main" id="{00000000-0008-0000-0F00-00006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1574</xdr:row>
          <xdr:rowOff>0</xdr:rowOff>
        </xdr:from>
        <xdr:to>
          <xdr:col>22</xdr:col>
          <xdr:colOff>184150</xdr:colOff>
          <xdr:row>1574</xdr:row>
          <xdr:rowOff>184150</xdr:rowOff>
        </xdr:to>
        <xdr:sp macro="" textlink="">
          <xdr:nvSpPr>
            <xdr:cNvPr id="15983" name="Check Box 623" hidden="1">
              <a:extLst>
                <a:ext uri="{63B3BB69-23CF-44E3-9099-C40C66FF867C}">
                  <a14:compatExt spid="_x0000_s15983"/>
                </a:ext>
                <a:ext uri="{FF2B5EF4-FFF2-40B4-BE49-F238E27FC236}">
                  <a16:creationId xmlns:a16="http://schemas.microsoft.com/office/drawing/2014/main" id="{00000000-0008-0000-0F00-00006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1589</xdr:row>
          <xdr:rowOff>0</xdr:rowOff>
        </xdr:from>
        <xdr:to>
          <xdr:col>22</xdr:col>
          <xdr:colOff>184150</xdr:colOff>
          <xdr:row>1589</xdr:row>
          <xdr:rowOff>184150</xdr:rowOff>
        </xdr:to>
        <xdr:sp macro="" textlink="">
          <xdr:nvSpPr>
            <xdr:cNvPr id="15984" name="Check Box 624" hidden="1">
              <a:extLst>
                <a:ext uri="{63B3BB69-23CF-44E3-9099-C40C66FF867C}">
                  <a14:compatExt spid="_x0000_s15984"/>
                </a:ext>
                <a:ext uri="{FF2B5EF4-FFF2-40B4-BE49-F238E27FC236}">
                  <a16:creationId xmlns:a16="http://schemas.microsoft.com/office/drawing/2014/main" id="{00000000-0008-0000-0F00-00007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1617</xdr:row>
          <xdr:rowOff>0</xdr:rowOff>
        </xdr:from>
        <xdr:to>
          <xdr:col>22</xdr:col>
          <xdr:colOff>184150</xdr:colOff>
          <xdr:row>1617</xdr:row>
          <xdr:rowOff>184150</xdr:rowOff>
        </xdr:to>
        <xdr:sp macro="" textlink="">
          <xdr:nvSpPr>
            <xdr:cNvPr id="15985" name="Check Box 625" hidden="1">
              <a:extLst>
                <a:ext uri="{63B3BB69-23CF-44E3-9099-C40C66FF867C}">
                  <a14:compatExt spid="_x0000_s15985"/>
                </a:ext>
                <a:ext uri="{FF2B5EF4-FFF2-40B4-BE49-F238E27FC236}">
                  <a16:creationId xmlns:a16="http://schemas.microsoft.com/office/drawing/2014/main" id="{00000000-0008-0000-0F00-00007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1623</xdr:row>
          <xdr:rowOff>0</xdr:rowOff>
        </xdr:from>
        <xdr:to>
          <xdr:col>22</xdr:col>
          <xdr:colOff>184150</xdr:colOff>
          <xdr:row>1623</xdr:row>
          <xdr:rowOff>184150</xdr:rowOff>
        </xdr:to>
        <xdr:sp macro="" textlink="">
          <xdr:nvSpPr>
            <xdr:cNvPr id="15986" name="Check Box 626" hidden="1">
              <a:extLst>
                <a:ext uri="{63B3BB69-23CF-44E3-9099-C40C66FF867C}">
                  <a14:compatExt spid="_x0000_s15986"/>
                </a:ext>
                <a:ext uri="{FF2B5EF4-FFF2-40B4-BE49-F238E27FC236}">
                  <a16:creationId xmlns:a16="http://schemas.microsoft.com/office/drawing/2014/main" id="{00000000-0008-0000-0F00-00007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1646</xdr:row>
          <xdr:rowOff>0</xdr:rowOff>
        </xdr:from>
        <xdr:to>
          <xdr:col>22</xdr:col>
          <xdr:colOff>184150</xdr:colOff>
          <xdr:row>1646</xdr:row>
          <xdr:rowOff>184150</xdr:rowOff>
        </xdr:to>
        <xdr:sp macro="" textlink="">
          <xdr:nvSpPr>
            <xdr:cNvPr id="15987" name="Check Box 627" hidden="1">
              <a:extLst>
                <a:ext uri="{63B3BB69-23CF-44E3-9099-C40C66FF867C}">
                  <a14:compatExt spid="_x0000_s15987"/>
                </a:ext>
                <a:ext uri="{FF2B5EF4-FFF2-40B4-BE49-F238E27FC236}">
                  <a16:creationId xmlns:a16="http://schemas.microsoft.com/office/drawing/2014/main" id="{00000000-0008-0000-0F00-00007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1648</xdr:row>
          <xdr:rowOff>0</xdr:rowOff>
        </xdr:from>
        <xdr:to>
          <xdr:col>22</xdr:col>
          <xdr:colOff>184150</xdr:colOff>
          <xdr:row>1648</xdr:row>
          <xdr:rowOff>184150</xdr:rowOff>
        </xdr:to>
        <xdr:sp macro="" textlink="">
          <xdr:nvSpPr>
            <xdr:cNvPr id="15988" name="Check Box 628" hidden="1">
              <a:extLst>
                <a:ext uri="{63B3BB69-23CF-44E3-9099-C40C66FF867C}">
                  <a14:compatExt spid="_x0000_s15988"/>
                </a:ext>
                <a:ext uri="{FF2B5EF4-FFF2-40B4-BE49-F238E27FC236}">
                  <a16:creationId xmlns:a16="http://schemas.microsoft.com/office/drawing/2014/main" id="{00000000-0008-0000-0F00-00007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1651</xdr:row>
          <xdr:rowOff>0</xdr:rowOff>
        </xdr:from>
        <xdr:to>
          <xdr:col>22</xdr:col>
          <xdr:colOff>184150</xdr:colOff>
          <xdr:row>1651</xdr:row>
          <xdr:rowOff>184150</xdr:rowOff>
        </xdr:to>
        <xdr:sp macro="" textlink="">
          <xdr:nvSpPr>
            <xdr:cNvPr id="15989" name="Check Box 629" hidden="1">
              <a:extLst>
                <a:ext uri="{63B3BB69-23CF-44E3-9099-C40C66FF867C}">
                  <a14:compatExt spid="_x0000_s15989"/>
                </a:ext>
                <a:ext uri="{FF2B5EF4-FFF2-40B4-BE49-F238E27FC236}">
                  <a16:creationId xmlns:a16="http://schemas.microsoft.com/office/drawing/2014/main" id="{00000000-0008-0000-0F00-00007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1674</xdr:row>
          <xdr:rowOff>0</xdr:rowOff>
        </xdr:from>
        <xdr:to>
          <xdr:col>22</xdr:col>
          <xdr:colOff>184150</xdr:colOff>
          <xdr:row>1674</xdr:row>
          <xdr:rowOff>184150</xdr:rowOff>
        </xdr:to>
        <xdr:sp macro="" textlink="">
          <xdr:nvSpPr>
            <xdr:cNvPr id="15990" name="Check Box 630" hidden="1">
              <a:extLst>
                <a:ext uri="{63B3BB69-23CF-44E3-9099-C40C66FF867C}">
                  <a14:compatExt spid="_x0000_s15990"/>
                </a:ext>
                <a:ext uri="{FF2B5EF4-FFF2-40B4-BE49-F238E27FC236}">
                  <a16:creationId xmlns:a16="http://schemas.microsoft.com/office/drawing/2014/main" id="{00000000-0008-0000-0F00-00007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1685</xdr:row>
          <xdr:rowOff>0</xdr:rowOff>
        </xdr:from>
        <xdr:to>
          <xdr:col>22</xdr:col>
          <xdr:colOff>184150</xdr:colOff>
          <xdr:row>1685</xdr:row>
          <xdr:rowOff>184150</xdr:rowOff>
        </xdr:to>
        <xdr:sp macro="" textlink="">
          <xdr:nvSpPr>
            <xdr:cNvPr id="15991" name="Check Box 631" hidden="1">
              <a:extLst>
                <a:ext uri="{63B3BB69-23CF-44E3-9099-C40C66FF867C}">
                  <a14:compatExt spid="_x0000_s15991"/>
                </a:ext>
                <a:ext uri="{FF2B5EF4-FFF2-40B4-BE49-F238E27FC236}">
                  <a16:creationId xmlns:a16="http://schemas.microsoft.com/office/drawing/2014/main" id="{00000000-0008-0000-0F00-00007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1687</xdr:row>
          <xdr:rowOff>0</xdr:rowOff>
        </xdr:from>
        <xdr:to>
          <xdr:col>22</xdr:col>
          <xdr:colOff>184150</xdr:colOff>
          <xdr:row>1687</xdr:row>
          <xdr:rowOff>184150</xdr:rowOff>
        </xdr:to>
        <xdr:sp macro="" textlink="">
          <xdr:nvSpPr>
            <xdr:cNvPr id="15992" name="Check Box 632" hidden="1">
              <a:extLst>
                <a:ext uri="{63B3BB69-23CF-44E3-9099-C40C66FF867C}">
                  <a14:compatExt spid="_x0000_s15992"/>
                </a:ext>
                <a:ext uri="{FF2B5EF4-FFF2-40B4-BE49-F238E27FC236}">
                  <a16:creationId xmlns:a16="http://schemas.microsoft.com/office/drawing/2014/main" id="{00000000-0008-0000-0F00-00007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1688</xdr:row>
          <xdr:rowOff>0</xdr:rowOff>
        </xdr:from>
        <xdr:to>
          <xdr:col>22</xdr:col>
          <xdr:colOff>184150</xdr:colOff>
          <xdr:row>1688</xdr:row>
          <xdr:rowOff>184150</xdr:rowOff>
        </xdr:to>
        <xdr:sp macro="" textlink="">
          <xdr:nvSpPr>
            <xdr:cNvPr id="15993" name="Check Box 633" hidden="1">
              <a:extLst>
                <a:ext uri="{63B3BB69-23CF-44E3-9099-C40C66FF867C}">
                  <a14:compatExt spid="_x0000_s15993"/>
                </a:ext>
                <a:ext uri="{FF2B5EF4-FFF2-40B4-BE49-F238E27FC236}">
                  <a16:creationId xmlns:a16="http://schemas.microsoft.com/office/drawing/2014/main" id="{00000000-0008-0000-0F00-00007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1690</xdr:row>
          <xdr:rowOff>0</xdr:rowOff>
        </xdr:from>
        <xdr:to>
          <xdr:col>22</xdr:col>
          <xdr:colOff>184150</xdr:colOff>
          <xdr:row>1690</xdr:row>
          <xdr:rowOff>184150</xdr:rowOff>
        </xdr:to>
        <xdr:sp macro="" textlink="">
          <xdr:nvSpPr>
            <xdr:cNvPr id="15994" name="Check Box 634" hidden="1">
              <a:extLst>
                <a:ext uri="{63B3BB69-23CF-44E3-9099-C40C66FF867C}">
                  <a14:compatExt spid="_x0000_s15994"/>
                </a:ext>
                <a:ext uri="{FF2B5EF4-FFF2-40B4-BE49-F238E27FC236}">
                  <a16:creationId xmlns:a16="http://schemas.microsoft.com/office/drawing/2014/main" id="{00000000-0008-0000-0F00-00007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1695</xdr:row>
          <xdr:rowOff>0</xdr:rowOff>
        </xdr:from>
        <xdr:to>
          <xdr:col>22</xdr:col>
          <xdr:colOff>184150</xdr:colOff>
          <xdr:row>1695</xdr:row>
          <xdr:rowOff>184150</xdr:rowOff>
        </xdr:to>
        <xdr:sp macro="" textlink="">
          <xdr:nvSpPr>
            <xdr:cNvPr id="15995" name="Check Box 635" hidden="1">
              <a:extLst>
                <a:ext uri="{63B3BB69-23CF-44E3-9099-C40C66FF867C}">
                  <a14:compatExt spid="_x0000_s15995"/>
                </a:ext>
                <a:ext uri="{FF2B5EF4-FFF2-40B4-BE49-F238E27FC236}">
                  <a16:creationId xmlns:a16="http://schemas.microsoft.com/office/drawing/2014/main" id="{00000000-0008-0000-0F00-00007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1704</xdr:row>
          <xdr:rowOff>0</xdr:rowOff>
        </xdr:from>
        <xdr:to>
          <xdr:col>22</xdr:col>
          <xdr:colOff>184150</xdr:colOff>
          <xdr:row>1704</xdr:row>
          <xdr:rowOff>184150</xdr:rowOff>
        </xdr:to>
        <xdr:sp macro="" textlink="">
          <xdr:nvSpPr>
            <xdr:cNvPr id="15996" name="Check Box 636" hidden="1">
              <a:extLst>
                <a:ext uri="{63B3BB69-23CF-44E3-9099-C40C66FF867C}">
                  <a14:compatExt spid="_x0000_s15996"/>
                </a:ext>
                <a:ext uri="{FF2B5EF4-FFF2-40B4-BE49-F238E27FC236}">
                  <a16:creationId xmlns:a16="http://schemas.microsoft.com/office/drawing/2014/main" id="{00000000-0008-0000-0F00-00007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1709</xdr:row>
          <xdr:rowOff>0</xdr:rowOff>
        </xdr:from>
        <xdr:to>
          <xdr:col>22</xdr:col>
          <xdr:colOff>184150</xdr:colOff>
          <xdr:row>1709</xdr:row>
          <xdr:rowOff>184150</xdr:rowOff>
        </xdr:to>
        <xdr:sp macro="" textlink="">
          <xdr:nvSpPr>
            <xdr:cNvPr id="15997" name="Check Box 637" hidden="1">
              <a:extLst>
                <a:ext uri="{63B3BB69-23CF-44E3-9099-C40C66FF867C}">
                  <a14:compatExt spid="_x0000_s15997"/>
                </a:ext>
                <a:ext uri="{FF2B5EF4-FFF2-40B4-BE49-F238E27FC236}">
                  <a16:creationId xmlns:a16="http://schemas.microsoft.com/office/drawing/2014/main" id="{00000000-0008-0000-0F00-00007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1710</xdr:row>
          <xdr:rowOff>0</xdr:rowOff>
        </xdr:from>
        <xdr:to>
          <xdr:col>22</xdr:col>
          <xdr:colOff>184150</xdr:colOff>
          <xdr:row>1710</xdr:row>
          <xdr:rowOff>184150</xdr:rowOff>
        </xdr:to>
        <xdr:sp macro="" textlink="">
          <xdr:nvSpPr>
            <xdr:cNvPr id="15998" name="Check Box 638" hidden="1">
              <a:extLst>
                <a:ext uri="{63B3BB69-23CF-44E3-9099-C40C66FF867C}">
                  <a14:compatExt spid="_x0000_s15998"/>
                </a:ext>
                <a:ext uri="{FF2B5EF4-FFF2-40B4-BE49-F238E27FC236}">
                  <a16:creationId xmlns:a16="http://schemas.microsoft.com/office/drawing/2014/main" id="{00000000-0008-0000-0F00-00007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1714</xdr:row>
          <xdr:rowOff>0</xdr:rowOff>
        </xdr:from>
        <xdr:to>
          <xdr:col>22</xdr:col>
          <xdr:colOff>184150</xdr:colOff>
          <xdr:row>1714</xdr:row>
          <xdr:rowOff>184150</xdr:rowOff>
        </xdr:to>
        <xdr:sp macro="" textlink="">
          <xdr:nvSpPr>
            <xdr:cNvPr id="15999" name="Check Box 639" hidden="1">
              <a:extLst>
                <a:ext uri="{63B3BB69-23CF-44E3-9099-C40C66FF867C}">
                  <a14:compatExt spid="_x0000_s15999"/>
                </a:ext>
                <a:ext uri="{FF2B5EF4-FFF2-40B4-BE49-F238E27FC236}">
                  <a16:creationId xmlns:a16="http://schemas.microsoft.com/office/drawing/2014/main" id="{00000000-0008-0000-0F00-00007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1723</xdr:row>
          <xdr:rowOff>0</xdr:rowOff>
        </xdr:from>
        <xdr:to>
          <xdr:col>22</xdr:col>
          <xdr:colOff>184150</xdr:colOff>
          <xdr:row>1723</xdr:row>
          <xdr:rowOff>184150</xdr:rowOff>
        </xdr:to>
        <xdr:sp macro="" textlink="">
          <xdr:nvSpPr>
            <xdr:cNvPr id="16000" name="Check Box 640" hidden="1">
              <a:extLst>
                <a:ext uri="{63B3BB69-23CF-44E3-9099-C40C66FF867C}">
                  <a14:compatExt spid="_x0000_s16000"/>
                </a:ext>
                <a:ext uri="{FF2B5EF4-FFF2-40B4-BE49-F238E27FC236}">
                  <a16:creationId xmlns:a16="http://schemas.microsoft.com/office/drawing/2014/main" id="{00000000-0008-0000-0F00-00008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1724</xdr:row>
          <xdr:rowOff>0</xdr:rowOff>
        </xdr:from>
        <xdr:to>
          <xdr:col>22</xdr:col>
          <xdr:colOff>184150</xdr:colOff>
          <xdr:row>1724</xdr:row>
          <xdr:rowOff>184150</xdr:rowOff>
        </xdr:to>
        <xdr:sp macro="" textlink="">
          <xdr:nvSpPr>
            <xdr:cNvPr id="16001" name="Check Box 641" hidden="1">
              <a:extLst>
                <a:ext uri="{63B3BB69-23CF-44E3-9099-C40C66FF867C}">
                  <a14:compatExt spid="_x0000_s16001"/>
                </a:ext>
                <a:ext uri="{FF2B5EF4-FFF2-40B4-BE49-F238E27FC236}">
                  <a16:creationId xmlns:a16="http://schemas.microsoft.com/office/drawing/2014/main" id="{00000000-0008-0000-0F00-00008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1727</xdr:row>
          <xdr:rowOff>0</xdr:rowOff>
        </xdr:from>
        <xdr:to>
          <xdr:col>22</xdr:col>
          <xdr:colOff>184150</xdr:colOff>
          <xdr:row>1727</xdr:row>
          <xdr:rowOff>184150</xdr:rowOff>
        </xdr:to>
        <xdr:sp macro="" textlink="">
          <xdr:nvSpPr>
            <xdr:cNvPr id="16002" name="Check Box 642" hidden="1">
              <a:extLst>
                <a:ext uri="{63B3BB69-23CF-44E3-9099-C40C66FF867C}">
                  <a14:compatExt spid="_x0000_s16002"/>
                </a:ext>
                <a:ext uri="{FF2B5EF4-FFF2-40B4-BE49-F238E27FC236}">
                  <a16:creationId xmlns:a16="http://schemas.microsoft.com/office/drawing/2014/main" id="{00000000-0008-0000-0F00-00008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1729</xdr:row>
          <xdr:rowOff>0</xdr:rowOff>
        </xdr:from>
        <xdr:to>
          <xdr:col>22</xdr:col>
          <xdr:colOff>184150</xdr:colOff>
          <xdr:row>1729</xdr:row>
          <xdr:rowOff>184150</xdr:rowOff>
        </xdr:to>
        <xdr:sp macro="" textlink="">
          <xdr:nvSpPr>
            <xdr:cNvPr id="16003" name="Check Box 643" hidden="1">
              <a:extLst>
                <a:ext uri="{63B3BB69-23CF-44E3-9099-C40C66FF867C}">
                  <a14:compatExt spid="_x0000_s16003"/>
                </a:ext>
                <a:ext uri="{FF2B5EF4-FFF2-40B4-BE49-F238E27FC236}">
                  <a16:creationId xmlns:a16="http://schemas.microsoft.com/office/drawing/2014/main" id="{00000000-0008-0000-0F00-00008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1735</xdr:row>
          <xdr:rowOff>0</xdr:rowOff>
        </xdr:from>
        <xdr:to>
          <xdr:col>22</xdr:col>
          <xdr:colOff>184150</xdr:colOff>
          <xdr:row>1735</xdr:row>
          <xdr:rowOff>184150</xdr:rowOff>
        </xdr:to>
        <xdr:sp macro="" textlink="">
          <xdr:nvSpPr>
            <xdr:cNvPr id="16004" name="Check Box 644" hidden="1">
              <a:extLst>
                <a:ext uri="{63B3BB69-23CF-44E3-9099-C40C66FF867C}">
                  <a14:compatExt spid="_x0000_s16004"/>
                </a:ext>
                <a:ext uri="{FF2B5EF4-FFF2-40B4-BE49-F238E27FC236}">
                  <a16:creationId xmlns:a16="http://schemas.microsoft.com/office/drawing/2014/main" id="{00000000-0008-0000-0F00-00008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1737</xdr:row>
          <xdr:rowOff>0</xdr:rowOff>
        </xdr:from>
        <xdr:to>
          <xdr:col>22</xdr:col>
          <xdr:colOff>184150</xdr:colOff>
          <xdr:row>1737</xdr:row>
          <xdr:rowOff>184150</xdr:rowOff>
        </xdr:to>
        <xdr:sp macro="" textlink="">
          <xdr:nvSpPr>
            <xdr:cNvPr id="16005" name="Check Box 645" hidden="1">
              <a:extLst>
                <a:ext uri="{63B3BB69-23CF-44E3-9099-C40C66FF867C}">
                  <a14:compatExt spid="_x0000_s16005"/>
                </a:ext>
                <a:ext uri="{FF2B5EF4-FFF2-40B4-BE49-F238E27FC236}">
                  <a16:creationId xmlns:a16="http://schemas.microsoft.com/office/drawing/2014/main" id="{00000000-0008-0000-0F00-00008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1741</xdr:row>
          <xdr:rowOff>0</xdr:rowOff>
        </xdr:from>
        <xdr:to>
          <xdr:col>22</xdr:col>
          <xdr:colOff>184150</xdr:colOff>
          <xdr:row>1741</xdr:row>
          <xdr:rowOff>184150</xdr:rowOff>
        </xdr:to>
        <xdr:sp macro="" textlink="">
          <xdr:nvSpPr>
            <xdr:cNvPr id="16006" name="Check Box 646" hidden="1">
              <a:extLst>
                <a:ext uri="{63B3BB69-23CF-44E3-9099-C40C66FF867C}">
                  <a14:compatExt spid="_x0000_s16006"/>
                </a:ext>
                <a:ext uri="{FF2B5EF4-FFF2-40B4-BE49-F238E27FC236}">
                  <a16:creationId xmlns:a16="http://schemas.microsoft.com/office/drawing/2014/main" id="{00000000-0008-0000-0F00-00008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1748</xdr:row>
          <xdr:rowOff>0</xdr:rowOff>
        </xdr:from>
        <xdr:to>
          <xdr:col>22</xdr:col>
          <xdr:colOff>184150</xdr:colOff>
          <xdr:row>1748</xdr:row>
          <xdr:rowOff>184150</xdr:rowOff>
        </xdr:to>
        <xdr:sp macro="" textlink="">
          <xdr:nvSpPr>
            <xdr:cNvPr id="16007" name="Check Box 647" hidden="1">
              <a:extLst>
                <a:ext uri="{63B3BB69-23CF-44E3-9099-C40C66FF867C}">
                  <a14:compatExt spid="_x0000_s16007"/>
                </a:ext>
                <a:ext uri="{FF2B5EF4-FFF2-40B4-BE49-F238E27FC236}">
                  <a16:creationId xmlns:a16="http://schemas.microsoft.com/office/drawing/2014/main" id="{00000000-0008-0000-0F00-00008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1759</xdr:row>
          <xdr:rowOff>0</xdr:rowOff>
        </xdr:from>
        <xdr:to>
          <xdr:col>22</xdr:col>
          <xdr:colOff>184150</xdr:colOff>
          <xdr:row>1759</xdr:row>
          <xdr:rowOff>184150</xdr:rowOff>
        </xdr:to>
        <xdr:sp macro="" textlink="">
          <xdr:nvSpPr>
            <xdr:cNvPr id="16008" name="Check Box 648" hidden="1">
              <a:extLst>
                <a:ext uri="{63B3BB69-23CF-44E3-9099-C40C66FF867C}">
                  <a14:compatExt spid="_x0000_s16008"/>
                </a:ext>
                <a:ext uri="{FF2B5EF4-FFF2-40B4-BE49-F238E27FC236}">
                  <a16:creationId xmlns:a16="http://schemas.microsoft.com/office/drawing/2014/main" id="{00000000-0008-0000-0F00-00008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1761</xdr:row>
          <xdr:rowOff>0</xdr:rowOff>
        </xdr:from>
        <xdr:to>
          <xdr:col>22</xdr:col>
          <xdr:colOff>184150</xdr:colOff>
          <xdr:row>1761</xdr:row>
          <xdr:rowOff>184150</xdr:rowOff>
        </xdr:to>
        <xdr:sp macro="" textlink="">
          <xdr:nvSpPr>
            <xdr:cNvPr id="16009" name="Check Box 649" hidden="1">
              <a:extLst>
                <a:ext uri="{63B3BB69-23CF-44E3-9099-C40C66FF867C}">
                  <a14:compatExt spid="_x0000_s16009"/>
                </a:ext>
                <a:ext uri="{FF2B5EF4-FFF2-40B4-BE49-F238E27FC236}">
                  <a16:creationId xmlns:a16="http://schemas.microsoft.com/office/drawing/2014/main" id="{00000000-0008-0000-0F00-00008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1763</xdr:row>
          <xdr:rowOff>0</xdr:rowOff>
        </xdr:from>
        <xdr:to>
          <xdr:col>22</xdr:col>
          <xdr:colOff>184150</xdr:colOff>
          <xdr:row>1763</xdr:row>
          <xdr:rowOff>184150</xdr:rowOff>
        </xdr:to>
        <xdr:sp macro="" textlink="">
          <xdr:nvSpPr>
            <xdr:cNvPr id="16010" name="Check Box 650" hidden="1">
              <a:extLst>
                <a:ext uri="{63B3BB69-23CF-44E3-9099-C40C66FF867C}">
                  <a14:compatExt spid="_x0000_s16010"/>
                </a:ext>
                <a:ext uri="{FF2B5EF4-FFF2-40B4-BE49-F238E27FC236}">
                  <a16:creationId xmlns:a16="http://schemas.microsoft.com/office/drawing/2014/main" id="{00000000-0008-0000-0F00-00008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1776</xdr:row>
          <xdr:rowOff>0</xdr:rowOff>
        </xdr:from>
        <xdr:to>
          <xdr:col>22</xdr:col>
          <xdr:colOff>184150</xdr:colOff>
          <xdr:row>1776</xdr:row>
          <xdr:rowOff>184150</xdr:rowOff>
        </xdr:to>
        <xdr:sp macro="" textlink="">
          <xdr:nvSpPr>
            <xdr:cNvPr id="16011" name="Check Box 651" hidden="1">
              <a:extLst>
                <a:ext uri="{63B3BB69-23CF-44E3-9099-C40C66FF867C}">
                  <a14:compatExt spid="_x0000_s16011"/>
                </a:ext>
                <a:ext uri="{FF2B5EF4-FFF2-40B4-BE49-F238E27FC236}">
                  <a16:creationId xmlns:a16="http://schemas.microsoft.com/office/drawing/2014/main" id="{00000000-0008-0000-0F00-00008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1778</xdr:row>
          <xdr:rowOff>0</xdr:rowOff>
        </xdr:from>
        <xdr:to>
          <xdr:col>22</xdr:col>
          <xdr:colOff>184150</xdr:colOff>
          <xdr:row>1778</xdr:row>
          <xdr:rowOff>184150</xdr:rowOff>
        </xdr:to>
        <xdr:sp macro="" textlink="">
          <xdr:nvSpPr>
            <xdr:cNvPr id="16012" name="Check Box 652" hidden="1">
              <a:extLst>
                <a:ext uri="{63B3BB69-23CF-44E3-9099-C40C66FF867C}">
                  <a14:compatExt spid="_x0000_s16012"/>
                </a:ext>
                <a:ext uri="{FF2B5EF4-FFF2-40B4-BE49-F238E27FC236}">
                  <a16:creationId xmlns:a16="http://schemas.microsoft.com/office/drawing/2014/main" id="{00000000-0008-0000-0F00-00008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1781</xdr:row>
          <xdr:rowOff>0</xdr:rowOff>
        </xdr:from>
        <xdr:to>
          <xdr:col>22</xdr:col>
          <xdr:colOff>184150</xdr:colOff>
          <xdr:row>1781</xdr:row>
          <xdr:rowOff>184150</xdr:rowOff>
        </xdr:to>
        <xdr:sp macro="" textlink="">
          <xdr:nvSpPr>
            <xdr:cNvPr id="16013" name="Check Box 653" hidden="1">
              <a:extLst>
                <a:ext uri="{63B3BB69-23CF-44E3-9099-C40C66FF867C}">
                  <a14:compatExt spid="_x0000_s16013"/>
                </a:ext>
                <a:ext uri="{FF2B5EF4-FFF2-40B4-BE49-F238E27FC236}">
                  <a16:creationId xmlns:a16="http://schemas.microsoft.com/office/drawing/2014/main" id="{00000000-0008-0000-0F00-00008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1790</xdr:row>
          <xdr:rowOff>0</xdr:rowOff>
        </xdr:from>
        <xdr:to>
          <xdr:col>22</xdr:col>
          <xdr:colOff>184150</xdr:colOff>
          <xdr:row>1790</xdr:row>
          <xdr:rowOff>184150</xdr:rowOff>
        </xdr:to>
        <xdr:sp macro="" textlink="">
          <xdr:nvSpPr>
            <xdr:cNvPr id="16014" name="Check Box 654" hidden="1">
              <a:extLst>
                <a:ext uri="{63B3BB69-23CF-44E3-9099-C40C66FF867C}">
                  <a14:compatExt spid="_x0000_s16014"/>
                </a:ext>
                <a:ext uri="{FF2B5EF4-FFF2-40B4-BE49-F238E27FC236}">
                  <a16:creationId xmlns:a16="http://schemas.microsoft.com/office/drawing/2014/main" id="{00000000-0008-0000-0F00-00008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1793</xdr:row>
          <xdr:rowOff>0</xdr:rowOff>
        </xdr:from>
        <xdr:to>
          <xdr:col>22</xdr:col>
          <xdr:colOff>184150</xdr:colOff>
          <xdr:row>1793</xdr:row>
          <xdr:rowOff>184150</xdr:rowOff>
        </xdr:to>
        <xdr:sp macro="" textlink="">
          <xdr:nvSpPr>
            <xdr:cNvPr id="16015" name="Check Box 655" hidden="1">
              <a:extLst>
                <a:ext uri="{63B3BB69-23CF-44E3-9099-C40C66FF867C}">
                  <a14:compatExt spid="_x0000_s16015"/>
                </a:ext>
                <a:ext uri="{FF2B5EF4-FFF2-40B4-BE49-F238E27FC236}">
                  <a16:creationId xmlns:a16="http://schemas.microsoft.com/office/drawing/2014/main" id="{00000000-0008-0000-0F00-00008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1795</xdr:row>
          <xdr:rowOff>0</xdr:rowOff>
        </xdr:from>
        <xdr:to>
          <xdr:col>22</xdr:col>
          <xdr:colOff>184150</xdr:colOff>
          <xdr:row>1795</xdr:row>
          <xdr:rowOff>184150</xdr:rowOff>
        </xdr:to>
        <xdr:sp macro="" textlink="">
          <xdr:nvSpPr>
            <xdr:cNvPr id="16016" name="Check Box 656" hidden="1">
              <a:extLst>
                <a:ext uri="{63B3BB69-23CF-44E3-9099-C40C66FF867C}">
                  <a14:compatExt spid="_x0000_s16016"/>
                </a:ext>
                <a:ext uri="{FF2B5EF4-FFF2-40B4-BE49-F238E27FC236}">
                  <a16:creationId xmlns:a16="http://schemas.microsoft.com/office/drawing/2014/main" id="{00000000-0008-0000-0F00-00009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1798</xdr:row>
          <xdr:rowOff>0</xdr:rowOff>
        </xdr:from>
        <xdr:to>
          <xdr:col>22</xdr:col>
          <xdr:colOff>184150</xdr:colOff>
          <xdr:row>1798</xdr:row>
          <xdr:rowOff>184150</xdr:rowOff>
        </xdr:to>
        <xdr:sp macro="" textlink="">
          <xdr:nvSpPr>
            <xdr:cNvPr id="16017" name="Check Box 657" hidden="1">
              <a:extLst>
                <a:ext uri="{63B3BB69-23CF-44E3-9099-C40C66FF867C}">
                  <a14:compatExt spid="_x0000_s16017"/>
                </a:ext>
                <a:ext uri="{FF2B5EF4-FFF2-40B4-BE49-F238E27FC236}">
                  <a16:creationId xmlns:a16="http://schemas.microsoft.com/office/drawing/2014/main" id="{00000000-0008-0000-0F00-00009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1800</xdr:row>
          <xdr:rowOff>0</xdr:rowOff>
        </xdr:from>
        <xdr:to>
          <xdr:col>22</xdr:col>
          <xdr:colOff>184150</xdr:colOff>
          <xdr:row>1800</xdr:row>
          <xdr:rowOff>184150</xdr:rowOff>
        </xdr:to>
        <xdr:sp macro="" textlink="">
          <xdr:nvSpPr>
            <xdr:cNvPr id="16018" name="Check Box 658" hidden="1">
              <a:extLst>
                <a:ext uri="{63B3BB69-23CF-44E3-9099-C40C66FF867C}">
                  <a14:compatExt spid="_x0000_s16018"/>
                </a:ext>
                <a:ext uri="{FF2B5EF4-FFF2-40B4-BE49-F238E27FC236}">
                  <a16:creationId xmlns:a16="http://schemas.microsoft.com/office/drawing/2014/main" id="{00000000-0008-0000-0F00-00009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1814</xdr:row>
          <xdr:rowOff>0</xdr:rowOff>
        </xdr:from>
        <xdr:to>
          <xdr:col>22</xdr:col>
          <xdr:colOff>184150</xdr:colOff>
          <xdr:row>1814</xdr:row>
          <xdr:rowOff>184150</xdr:rowOff>
        </xdr:to>
        <xdr:sp macro="" textlink="">
          <xdr:nvSpPr>
            <xdr:cNvPr id="16019" name="Check Box 659" hidden="1">
              <a:extLst>
                <a:ext uri="{63B3BB69-23CF-44E3-9099-C40C66FF867C}">
                  <a14:compatExt spid="_x0000_s16019"/>
                </a:ext>
                <a:ext uri="{FF2B5EF4-FFF2-40B4-BE49-F238E27FC236}">
                  <a16:creationId xmlns:a16="http://schemas.microsoft.com/office/drawing/2014/main" id="{00000000-0008-0000-0F00-00009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1815</xdr:row>
          <xdr:rowOff>0</xdr:rowOff>
        </xdr:from>
        <xdr:to>
          <xdr:col>22</xdr:col>
          <xdr:colOff>184150</xdr:colOff>
          <xdr:row>1815</xdr:row>
          <xdr:rowOff>184150</xdr:rowOff>
        </xdr:to>
        <xdr:sp macro="" textlink="">
          <xdr:nvSpPr>
            <xdr:cNvPr id="16020" name="Check Box 660" hidden="1">
              <a:extLst>
                <a:ext uri="{63B3BB69-23CF-44E3-9099-C40C66FF867C}">
                  <a14:compatExt spid="_x0000_s16020"/>
                </a:ext>
                <a:ext uri="{FF2B5EF4-FFF2-40B4-BE49-F238E27FC236}">
                  <a16:creationId xmlns:a16="http://schemas.microsoft.com/office/drawing/2014/main" id="{00000000-0008-0000-0F00-00009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1820</xdr:row>
          <xdr:rowOff>0</xdr:rowOff>
        </xdr:from>
        <xdr:to>
          <xdr:col>22</xdr:col>
          <xdr:colOff>184150</xdr:colOff>
          <xdr:row>1820</xdr:row>
          <xdr:rowOff>184150</xdr:rowOff>
        </xdr:to>
        <xdr:sp macro="" textlink="">
          <xdr:nvSpPr>
            <xdr:cNvPr id="16021" name="Check Box 661" hidden="1">
              <a:extLst>
                <a:ext uri="{63B3BB69-23CF-44E3-9099-C40C66FF867C}">
                  <a14:compatExt spid="_x0000_s16021"/>
                </a:ext>
                <a:ext uri="{FF2B5EF4-FFF2-40B4-BE49-F238E27FC236}">
                  <a16:creationId xmlns:a16="http://schemas.microsoft.com/office/drawing/2014/main" id="{00000000-0008-0000-0F00-00009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1825</xdr:row>
          <xdr:rowOff>0</xdr:rowOff>
        </xdr:from>
        <xdr:to>
          <xdr:col>22</xdr:col>
          <xdr:colOff>184150</xdr:colOff>
          <xdr:row>1825</xdr:row>
          <xdr:rowOff>184150</xdr:rowOff>
        </xdr:to>
        <xdr:sp macro="" textlink="">
          <xdr:nvSpPr>
            <xdr:cNvPr id="16022" name="Check Box 662" hidden="1">
              <a:extLst>
                <a:ext uri="{63B3BB69-23CF-44E3-9099-C40C66FF867C}">
                  <a14:compatExt spid="_x0000_s16022"/>
                </a:ext>
                <a:ext uri="{FF2B5EF4-FFF2-40B4-BE49-F238E27FC236}">
                  <a16:creationId xmlns:a16="http://schemas.microsoft.com/office/drawing/2014/main" id="{00000000-0008-0000-0F00-00009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1829</xdr:row>
          <xdr:rowOff>0</xdr:rowOff>
        </xdr:from>
        <xdr:to>
          <xdr:col>22</xdr:col>
          <xdr:colOff>184150</xdr:colOff>
          <xdr:row>1829</xdr:row>
          <xdr:rowOff>184150</xdr:rowOff>
        </xdr:to>
        <xdr:sp macro="" textlink="">
          <xdr:nvSpPr>
            <xdr:cNvPr id="16023" name="Check Box 663" hidden="1">
              <a:extLst>
                <a:ext uri="{63B3BB69-23CF-44E3-9099-C40C66FF867C}">
                  <a14:compatExt spid="_x0000_s16023"/>
                </a:ext>
                <a:ext uri="{FF2B5EF4-FFF2-40B4-BE49-F238E27FC236}">
                  <a16:creationId xmlns:a16="http://schemas.microsoft.com/office/drawing/2014/main" id="{00000000-0008-0000-0F00-00009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1834</xdr:row>
          <xdr:rowOff>0</xdr:rowOff>
        </xdr:from>
        <xdr:to>
          <xdr:col>22</xdr:col>
          <xdr:colOff>184150</xdr:colOff>
          <xdr:row>1834</xdr:row>
          <xdr:rowOff>184150</xdr:rowOff>
        </xdr:to>
        <xdr:sp macro="" textlink="">
          <xdr:nvSpPr>
            <xdr:cNvPr id="16024" name="Check Box 664" hidden="1">
              <a:extLst>
                <a:ext uri="{63B3BB69-23CF-44E3-9099-C40C66FF867C}">
                  <a14:compatExt spid="_x0000_s16024"/>
                </a:ext>
                <a:ext uri="{FF2B5EF4-FFF2-40B4-BE49-F238E27FC236}">
                  <a16:creationId xmlns:a16="http://schemas.microsoft.com/office/drawing/2014/main" id="{00000000-0008-0000-0F00-00009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1842</xdr:row>
          <xdr:rowOff>0</xdr:rowOff>
        </xdr:from>
        <xdr:to>
          <xdr:col>22</xdr:col>
          <xdr:colOff>184150</xdr:colOff>
          <xdr:row>1842</xdr:row>
          <xdr:rowOff>184150</xdr:rowOff>
        </xdr:to>
        <xdr:sp macro="" textlink="">
          <xdr:nvSpPr>
            <xdr:cNvPr id="16086" name="Check Box 726" hidden="1">
              <a:extLst>
                <a:ext uri="{63B3BB69-23CF-44E3-9099-C40C66FF867C}">
                  <a14:compatExt spid="_x0000_s16086"/>
                </a:ext>
                <a:ext uri="{FF2B5EF4-FFF2-40B4-BE49-F238E27FC236}">
                  <a16:creationId xmlns:a16="http://schemas.microsoft.com/office/drawing/2014/main" id="{00000000-0008-0000-0F00-0000D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1843</xdr:row>
          <xdr:rowOff>0</xdr:rowOff>
        </xdr:from>
        <xdr:to>
          <xdr:col>22</xdr:col>
          <xdr:colOff>184150</xdr:colOff>
          <xdr:row>1843</xdr:row>
          <xdr:rowOff>184150</xdr:rowOff>
        </xdr:to>
        <xdr:sp macro="" textlink="">
          <xdr:nvSpPr>
            <xdr:cNvPr id="16087" name="Check Box 727" hidden="1">
              <a:extLst>
                <a:ext uri="{63B3BB69-23CF-44E3-9099-C40C66FF867C}">
                  <a14:compatExt spid="_x0000_s16087"/>
                </a:ext>
                <a:ext uri="{FF2B5EF4-FFF2-40B4-BE49-F238E27FC236}">
                  <a16:creationId xmlns:a16="http://schemas.microsoft.com/office/drawing/2014/main" id="{00000000-0008-0000-0F00-0000D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1844</xdr:row>
          <xdr:rowOff>0</xdr:rowOff>
        </xdr:from>
        <xdr:to>
          <xdr:col>22</xdr:col>
          <xdr:colOff>184150</xdr:colOff>
          <xdr:row>1844</xdr:row>
          <xdr:rowOff>184150</xdr:rowOff>
        </xdr:to>
        <xdr:sp macro="" textlink="">
          <xdr:nvSpPr>
            <xdr:cNvPr id="16088" name="Check Box 728" hidden="1">
              <a:extLst>
                <a:ext uri="{63B3BB69-23CF-44E3-9099-C40C66FF867C}">
                  <a14:compatExt spid="_x0000_s16088"/>
                </a:ext>
                <a:ext uri="{FF2B5EF4-FFF2-40B4-BE49-F238E27FC236}">
                  <a16:creationId xmlns:a16="http://schemas.microsoft.com/office/drawing/2014/main" id="{00000000-0008-0000-0F00-0000D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1848</xdr:row>
          <xdr:rowOff>0</xdr:rowOff>
        </xdr:from>
        <xdr:to>
          <xdr:col>22</xdr:col>
          <xdr:colOff>184150</xdr:colOff>
          <xdr:row>1848</xdr:row>
          <xdr:rowOff>184150</xdr:rowOff>
        </xdr:to>
        <xdr:sp macro="" textlink="">
          <xdr:nvSpPr>
            <xdr:cNvPr id="16089" name="Check Box 729" hidden="1">
              <a:extLst>
                <a:ext uri="{63B3BB69-23CF-44E3-9099-C40C66FF867C}">
                  <a14:compatExt spid="_x0000_s16089"/>
                </a:ext>
                <a:ext uri="{FF2B5EF4-FFF2-40B4-BE49-F238E27FC236}">
                  <a16:creationId xmlns:a16="http://schemas.microsoft.com/office/drawing/2014/main" id="{00000000-0008-0000-0F00-0000D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1849</xdr:row>
          <xdr:rowOff>0</xdr:rowOff>
        </xdr:from>
        <xdr:to>
          <xdr:col>22</xdr:col>
          <xdr:colOff>184150</xdr:colOff>
          <xdr:row>1849</xdr:row>
          <xdr:rowOff>184150</xdr:rowOff>
        </xdr:to>
        <xdr:sp macro="" textlink="">
          <xdr:nvSpPr>
            <xdr:cNvPr id="16090" name="Check Box 730" hidden="1">
              <a:extLst>
                <a:ext uri="{63B3BB69-23CF-44E3-9099-C40C66FF867C}">
                  <a14:compatExt spid="_x0000_s16090"/>
                </a:ext>
                <a:ext uri="{FF2B5EF4-FFF2-40B4-BE49-F238E27FC236}">
                  <a16:creationId xmlns:a16="http://schemas.microsoft.com/office/drawing/2014/main" id="{00000000-0008-0000-0F00-0000D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1850</xdr:row>
          <xdr:rowOff>0</xdr:rowOff>
        </xdr:from>
        <xdr:to>
          <xdr:col>22</xdr:col>
          <xdr:colOff>184150</xdr:colOff>
          <xdr:row>1850</xdr:row>
          <xdr:rowOff>184150</xdr:rowOff>
        </xdr:to>
        <xdr:sp macro="" textlink="">
          <xdr:nvSpPr>
            <xdr:cNvPr id="16091" name="Check Box 731" hidden="1">
              <a:extLst>
                <a:ext uri="{63B3BB69-23CF-44E3-9099-C40C66FF867C}">
                  <a14:compatExt spid="_x0000_s16091"/>
                </a:ext>
                <a:ext uri="{FF2B5EF4-FFF2-40B4-BE49-F238E27FC236}">
                  <a16:creationId xmlns:a16="http://schemas.microsoft.com/office/drawing/2014/main" id="{00000000-0008-0000-0F00-0000D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1852</xdr:row>
          <xdr:rowOff>0</xdr:rowOff>
        </xdr:from>
        <xdr:to>
          <xdr:col>22</xdr:col>
          <xdr:colOff>184150</xdr:colOff>
          <xdr:row>1852</xdr:row>
          <xdr:rowOff>184150</xdr:rowOff>
        </xdr:to>
        <xdr:sp macro="" textlink="">
          <xdr:nvSpPr>
            <xdr:cNvPr id="16092" name="Check Box 732" hidden="1">
              <a:extLst>
                <a:ext uri="{63B3BB69-23CF-44E3-9099-C40C66FF867C}">
                  <a14:compatExt spid="_x0000_s16092"/>
                </a:ext>
                <a:ext uri="{FF2B5EF4-FFF2-40B4-BE49-F238E27FC236}">
                  <a16:creationId xmlns:a16="http://schemas.microsoft.com/office/drawing/2014/main" id="{00000000-0008-0000-0F00-0000D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1854</xdr:row>
          <xdr:rowOff>0</xdr:rowOff>
        </xdr:from>
        <xdr:to>
          <xdr:col>22</xdr:col>
          <xdr:colOff>184150</xdr:colOff>
          <xdr:row>1854</xdr:row>
          <xdr:rowOff>184150</xdr:rowOff>
        </xdr:to>
        <xdr:sp macro="" textlink="">
          <xdr:nvSpPr>
            <xdr:cNvPr id="16093" name="Check Box 733" hidden="1">
              <a:extLst>
                <a:ext uri="{63B3BB69-23CF-44E3-9099-C40C66FF867C}">
                  <a14:compatExt spid="_x0000_s16093"/>
                </a:ext>
                <a:ext uri="{FF2B5EF4-FFF2-40B4-BE49-F238E27FC236}">
                  <a16:creationId xmlns:a16="http://schemas.microsoft.com/office/drawing/2014/main" id="{00000000-0008-0000-0F00-0000D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1855</xdr:row>
          <xdr:rowOff>0</xdr:rowOff>
        </xdr:from>
        <xdr:to>
          <xdr:col>22</xdr:col>
          <xdr:colOff>184150</xdr:colOff>
          <xdr:row>1855</xdr:row>
          <xdr:rowOff>184150</xdr:rowOff>
        </xdr:to>
        <xdr:sp macro="" textlink="">
          <xdr:nvSpPr>
            <xdr:cNvPr id="16094" name="Check Box 734" hidden="1">
              <a:extLst>
                <a:ext uri="{63B3BB69-23CF-44E3-9099-C40C66FF867C}">
                  <a14:compatExt spid="_x0000_s16094"/>
                </a:ext>
                <a:ext uri="{FF2B5EF4-FFF2-40B4-BE49-F238E27FC236}">
                  <a16:creationId xmlns:a16="http://schemas.microsoft.com/office/drawing/2014/main" id="{00000000-0008-0000-0F00-0000D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1857</xdr:row>
          <xdr:rowOff>0</xdr:rowOff>
        </xdr:from>
        <xdr:to>
          <xdr:col>22</xdr:col>
          <xdr:colOff>184150</xdr:colOff>
          <xdr:row>1857</xdr:row>
          <xdr:rowOff>184150</xdr:rowOff>
        </xdr:to>
        <xdr:sp macro="" textlink="">
          <xdr:nvSpPr>
            <xdr:cNvPr id="16095" name="Check Box 735" hidden="1">
              <a:extLst>
                <a:ext uri="{63B3BB69-23CF-44E3-9099-C40C66FF867C}">
                  <a14:compatExt spid="_x0000_s16095"/>
                </a:ext>
                <a:ext uri="{FF2B5EF4-FFF2-40B4-BE49-F238E27FC236}">
                  <a16:creationId xmlns:a16="http://schemas.microsoft.com/office/drawing/2014/main" id="{00000000-0008-0000-0F00-0000D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1858</xdr:row>
          <xdr:rowOff>0</xdr:rowOff>
        </xdr:from>
        <xdr:to>
          <xdr:col>22</xdr:col>
          <xdr:colOff>184150</xdr:colOff>
          <xdr:row>1858</xdr:row>
          <xdr:rowOff>184150</xdr:rowOff>
        </xdr:to>
        <xdr:sp macro="" textlink="">
          <xdr:nvSpPr>
            <xdr:cNvPr id="16096" name="Check Box 736" hidden="1">
              <a:extLst>
                <a:ext uri="{63B3BB69-23CF-44E3-9099-C40C66FF867C}">
                  <a14:compatExt spid="_x0000_s16096"/>
                </a:ext>
                <a:ext uri="{FF2B5EF4-FFF2-40B4-BE49-F238E27FC236}">
                  <a16:creationId xmlns:a16="http://schemas.microsoft.com/office/drawing/2014/main" id="{00000000-0008-0000-0F00-0000E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1859</xdr:row>
          <xdr:rowOff>0</xdr:rowOff>
        </xdr:from>
        <xdr:to>
          <xdr:col>22</xdr:col>
          <xdr:colOff>184150</xdr:colOff>
          <xdr:row>1859</xdr:row>
          <xdr:rowOff>184150</xdr:rowOff>
        </xdr:to>
        <xdr:sp macro="" textlink="">
          <xdr:nvSpPr>
            <xdr:cNvPr id="16097" name="Check Box 737" hidden="1">
              <a:extLst>
                <a:ext uri="{63B3BB69-23CF-44E3-9099-C40C66FF867C}">
                  <a14:compatExt spid="_x0000_s16097"/>
                </a:ext>
                <a:ext uri="{FF2B5EF4-FFF2-40B4-BE49-F238E27FC236}">
                  <a16:creationId xmlns:a16="http://schemas.microsoft.com/office/drawing/2014/main" id="{00000000-0008-0000-0F00-0000E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1865</xdr:row>
          <xdr:rowOff>0</xdr:rowOff>
        </xdr:from>
        <xdr:to>
          <xdr:col>22</xdr:col>
          <xdr:colOff>184150</xdr:colOff>
          <xdr:row>1865</xdr:row>
          <xdr:rowOff>184150</xdr:rowOff>
        </xdr:to>
        <xdr:sp macro="" textlink="">
          <xdr:nvSpPr>
            <xdr:cNvPr id="16098" name="Check Box 738" hidden="1">
              <a:extLst>
                <a:ext uri="{63B3BB69-23CF-44E3-9099-C40C66FF867C}">
                  <a14:compatExt spid="_x0000_s16098"/>
                </a:ext>
                <a:ext uri="{FF2B5EF4-FFF2-40B4-BE49-F238E27FC236}">
                  <a16:creationId xmlns:a16="http://schemas.microsoft.com/office/drawing/2014/main" id="{00000000-0008-0000-0F00-0000E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1869</xdr:row>
          <xdr:rowOff>0</xdr:rowOff>
        </xdr:from>
        <xdr:to>
          <xdr:col>22</xdr:col>
          <xdr:colOff>184150</xdr:colOff>
          <xdr:row>1869</xdr:row>
          <xdr:rowOff>184150</xdr:rowOff>
        </xdr:to>
        <xdr:sp macro="" textlink="">
          <xdr:nvSpPr>
            <xdr:cNvPr id="16099" name="Check Box 739" hidden="1">
              <a:extLst>
                <a:ext uri="{63B3BB69-23CF-44E3-9099-C40C66FF867C}">
                  <a14:compatExt spid="_x0000_s16099"/>
                </a:ext>
                <a:ext uri="{FF2B5EF4-FFF2-40B4-BE49-F238E27FC236}">
                  <a16:creationId xmlns:a16="http://schemas.microsoft.com/office/drawing/2014/main" id="{00000000-0008-0000-0F00-0000E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1871</xdr:row>
          <xdr:rowOff>0</xdr:rowOff>
        </xdr:from>
        <xdr:to>
          <xdr:col>22</xdr:col>
          <xdr:colOff>184150</xdr:colOff>
          <xdr:row>1871</xdr:row>
          <xdr:rowOff>184150</xdr:rowOff>
        </xdr:to>
        <xdr:sp macro="" textlink="">
          <xdr:nvSpPr>
            <xdr:cNvPr id="16100" name="Check Box 740" hidden="1">
              <a:extLst>
                <a:ext uri="{63B3BB69-23CF-44E3-9099-C40C66FF867C}">
                  <a14:compatExt spid="_x0000_s16100"/>
                </a:ext>
                <a:ext uri="{FF2B5EF4-FFF2-40B4-BE49-F238E27FC236}">
                  <a16:creationId xmlns:a16="http://schemas.microsoft.com/office/drawing/2014/main" id="{00000000-0008-0000-0F00-0000E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1873</xdr:row>
          <xdr:rowOff>0</xdr:rowOff>
        </xdr:from>
        <xdr:to>
          <xdr:col>22</xdr:col>
          <xdr:colOff>184150</xdr:colOff>
          <xdr:row>1873</xdr:row>
          <xdr:rowOff>184150</xdr:rowOff>
        </xdr:to>
        <xdr:sp macro="" textlink="">
          <xdr:nvSpPr>
            <xdr:cNvPr id="16101" name="Check Box 741" hidden="1">
              <a:extLst>
                <a:ext uri="{63B3BB69-23CF-44E3-9099-C40C66FF867C}">
                  <a14:compatExt spid="_x0000_s16101"/>
                </a:ext>
                <a:ext uri="{FF2B5EF4-FFF2-40B4-BE49-F238E27FC236}">
                  <a16:creationId xmlns:a16="http://schemas.microsoft.com/office/drawing/2014/main" id="{00000000-0008-0000-0F00-0000E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1874</xdr:row>
          <xdr:rowOff>0</xdr:rowOff>
        </xdr:from>
        <xdr:to>
          <xdr:col>22</xdr:col>
          <xdr:colOff>184150</xdr:colOff>
          <xdr:row>1874</xdr:row>
          <xdr:rowOff>184150</xdr:rowOff>
        </xdr:to>
        <xdr:sp macro="" textlink="">
          <xdr:nvSpPr>
            <xdr:cNvPr id="16102" name="Check Box 742" hidden="1">
              <a:extLst>
                <a:ext uri="{63B3BB69-23CF-44E3-9099-C40C66FF867C}">
                  <a14:compatExt spid="_x0000_s16102"/>
                </a:ext>
                <a:ext uri="{FF2B5EF4-FFF2-40B4-BE49-F238E27FC236}">
                  <a16:creationId xmlns:a16="http://schemas.microsoft.com/office/drawing/2014/main" id="{00000000-0008-0000-0F00-0000E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1876</xdr:row>
          <xdr:rowOff>0</xdr:rowOff>
        </xdr:from>
        <xdr:to>
          <xdr:col>22</xdr:col>
          <xdr:colOff>184150</xdr:colOff>
          <xdr:row>1876</xdr:row>
          <xdr:rowOff>184150</xdr:rowOff>
        </xdr:to>
        <xdr:sp macro="" textlink="">
          <xdr:nvSpPr>
            <xdr:cNvPr id="16103" name="Check Box 743" hidden="1">
              <a:extLst>
                <a:ext uri="{63B3BB69-23CF-44E3-9099-C40C66FF867C}">
                  <a14:compatExt spid="_x0000_s16103"/>
                </a:ext>
                <a:ext uri="{FF2B5EF4-FFF2-40B4-BE49-F238E27FC236}">
                  <a16:creationId xmlns:a16="http://schemas.microsoft.com/office/drawing/2014/main" id="{00000000-0008-0000-0F00-0000E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1878</xdr:row>
          <xdr:rowOff>0</xdr:rowOff>
        </xdr:from>
        <xdr:to>
          <xdr:col>22</xdr:col>
          <xdr:colOff>184150</xdr:colOff>
          <xdr:row>1878</xdr:row>
          <xdr:rowOff>184150</xdr:rowOff>
        </xdr:to>
        <xdr:sp macro="" textlink="">
          <xdr:nvSpPr>
            <xdr:cNvPr id="16104" name="Check Box 744" hidden="1">
              <a:extLst>
                <a:ext uri="{63B3BB69-23CF-44E3-9099-C40C66FF867C}">
                  <a14:compatExt spid="_x0000_s16104"/>
                </a:ext>
                <a:ext uri="{FF2B5EF4-FFF2-40B4-BE49-F238E27FC236}">
                  <a16:creationId xmlns:a16="http://schemas.microsoft.com/office/drawing/2014/main" id="{00000000-0008-0000-0F00-0000E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1879</xdr:row>
          <xdr:rowOff>0</xdr:rowOff>
        </xdr:from>
        <xdr:to>
          <xdr:col>22</xdr:col>
          <xdr:colOff>184150</xdr:colOff>
          <xdr:row>1879</xdr:row>
          <xdr:rowOff>184150</xdr:rowOff>
        </xdr:to>
        <xdr:sp macro="" textlink="">
          <xdr:nvSpPr>
            <xdr:cNvPr id="16105" name="Check Box 745" hidden="1">
              <a:extLst>
                <a:ext uri="{63B3BB69-23CF-44E3-9099-C40C66FF867C}">
                  <a14:compatExt spid="_x0000_s16105"/>
                </a:ext>
                <a:ext uri="{FF2B5EF4-FFF2-40B4-BE49-F238E27FC236}">
                  <a16:creationId xmlns:a16="http://schemas.microsoft.com/office/drawing/2014/main" id="{00000000-0008-0000-0F00-0000E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1881</xdr:row>
          <xdr:rowOff>0</xdr:rowOff>
        </xdr:from>
        <xdr:to>
          <xdr:col>22</xdr:col>
          <xdr:colOff>184150</xdr:colOff>
          <xdr:row>1881</xdr:row>
          <xdr:rowOff>184150</xdr:rowOff>
        </xdr:to>
        <xdr:sp macro="" textlink="">
          <xdr:nvSpPr>
            <xdr:cNvPr id="16106" name="Check Box 746" hidden="1">
              <a:extLst>
                <a:ext uri="{63B3BB69-23CF-44E3-9099-C40C66FF867C}">
                  <a14:compatExt spid="_x0000_s16106"/>
                </a:ext>
                <a:ext uri="{FF2B5EF4-FFF2-40B4-BE49-F238E27FC236}">
                  <a16:creationId xmlns:a16="http://schemas.microsoft.com/office/drawing/2014/main" id="{00000000-0008-0000-0F00-0000E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1883</xdr:row>
          <xdr:rowOff>0</xdr:rowOff>
        </xdr:from>
        <xdr:to>
          <xdr:col>22</xdr:col>
          <xdr:colOff>184150</xdr:colOff>
          <xdr:row>1883</xdr:row>
          <xdr:rowOff>184150</xdr:rowOff>
        </xdr:to>
        <xdr:sp macro="" textlink="">
          <xdr:nvSpPr>
            <xdr:cNvPr id="16107" name="Check Box 747" hidden="1">
              <a:extLst>
                <a:ext uri="{63B3BB69-23CF-44E3-9099-C40C66FF867C}">
                  <a14:compatExt spid="_x0000_s16107"/>
                </a:ext>
                <a:ext uri="{FF2B5EF4-FFF2-40B4-BE49-F238E27FC236}">
                  <a16:creationId xmlns:a16="http://schemas.microsoft.com/office/drawing/2014/main" id="{00000000-0008-0000-0F00-0000E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1885</xdr:row>
          <xdr:rowOff>0</xdr:rowOff>
        </xdr:from>
        <xdr:to>
          <xdr:col>22</xdr:col>
          <xdr:colOff>184150</xdr:colOff>
          <xdr:row>1885</xdr:row>
          <xdr:rowOff>184150</xdr:rowOff>
        </xdr:to>
        <xdr:sp macro="" textlink="">
          <xdr:nvSpPr>
            <xdr:cNvPr id="16108" name="Check Box 748" hidden="1">
              <a:extLst>
                <a:ext uri="{63B3BB69-23CF-44E3-9099-C40C66FF867C}">
                  <a14:compatExt spid="_x0000_s16108"/>
                </a:ext>
                <a:ext uri="{FF2B5EF4-FFF2-40B4-BE49-F238E27FC236}">
                  <a16:creationId xmlns:a16="http://schemas.microsoft.com/office/drawing/2014/main" id="{00000000-0008-0000-0F00-0000E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1886</xdr:row>
          <xdr:rowOff>0</xdr:rowOff>
        </xdr:from>
        <xdr:to>
          <xdr:col>22</xdr:col>
          <xdr:colOff>184150</xdr:colOff>
          <xdr:row>1886</xdr:row>
          <xdr:rowOff>184150</xdr:rowOff>
        </xdr:to>
        <xdr:sp macro="" textlink="">
          <xdr:nvSpPr>
            <xdr:cNvPr id="16109" name="Check Box 749" hidden="1">
              <a:extLst>
                <a:ext uri="{63B3BB69-23CF-44E3-9099-C40C66FF867C}">
                  <a14:compatExt spid="_x0000_s16109"/>
                </a:ext>
                <a:ext uri="{FF2B5EF4-FFF2-40B4-BE49-F238E27FC236}">
                  <a16:creationId xmlns:a16="http://schemas.microsoft.com/office/drawing/2014/main" id="{00000000-0008-0000-0F00-0000E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1887</xdr:row>
          <xdr:rowOff>0</xdr:rowOff>
        </xdr:from>
        <xdr:to>
          <xdr:col>22</xdr:col>
          <xdr:colOff>184150</xdr:colOff>
          <xdr:row>1887</xdr:row>
          <xdr:rowOff>184150</xdr:rowOff>
        </xdr:to>
        <xdr:sp macro="" textlink="">
          <xdr:nvSpPr>
            <xdr:cNvPr id="16110" name="Check Box 750" hidden="1">
              <a:extLst>
                <a:ext uri="{63B3BB69-23CF-44E3-9099-C40C66FF867C}">
                  <a14:compatExt spid="_x0000_s16110"/>
                </a:ext>
                <a:ext uri="{FF2B5EF4-FFF2-40B4-BE49-F238E27FC236}">
                  <a16:creationId xmlns:a16="http://schemas.microsoft.com/office/drawing/2014/main" id="{00000000-0008-0000-0F00-0000E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1908</xdr:row>
          <xdr:rowOff>0</xdr:rowOff>
        </xdr:from>
        <xdr:to>
          <xdr:col>22</xdr:col>
          <xdr:colOff>184150</xdr:colOff>
          <xdr:row>1908</xdr:row>
          <xdr:rowOff>184150</xdr:rowOff>
        </xdr:to>
        <xdr:sp macro="" textlink="">
          <xdr:nvSpPr>
            <xdr:cNvPr id="16111" name="Check Box 751" hidden="1">
              <a:extLst>
                <a:ext uri="{63B3BB69-23CF-44E3-9099-C40C66FF867C}">
                  <a14:compatExt spid="_x0000_s16111"/>
                </a:ext>
                <a:ext uri="{FF2B5EF4-FFF2-40B4-BE49-F238E27FC236}">
                  <a16:creationId xmlns:a16="http://schemas.microsoft.com/office/drawing/2014/main" id="{00000000-0008-0000-0F00-0000E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1911</xdr:row>
          <xdr:rowOff>0</xdr:rowOff>
        </xdr:from>
        <xdr:to>
          <xdr:col>22</xdr:col>
          <xdr:colOff>184150</xdr:colOff>
          <xdr:row>1911</xdr:row>
          <xdr:rowOff>184150</xdr:rowOff>
        </xdr:to>
        <xdr:sp macro="" textlink="">
          <xdr:nvSpPr>
            <xdr:cNvPr id="16112" name="Check Box 752" hidden="1">
              <a:extLst>
                <a:ext uri="{63B3BB69-23CF-44E3-9099-C40C66FF867C}">
                  <a14:compatExt spid="_x0000_s16112"/>
                </a:ext>
                <a:ext uri="{FF2B5EF4-FFF2-40B4-BE49-F238E27FC236}">
                  <a16:creationId xmlns:a16="http://schemas.microsoft.com/office/drawing/2014/main" id="{00000000-0008-0000-0F00-0000F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1914</xdr:row>
          <xdr:rowOff>0</xdr:rowOff>
        </xdr:from>
        <xdr:to>
          <xdr:col>22</xdr:col>
          <xdr:colOff>184150</xdr:colOff>
          <xdr:row>1914</xdr:row>
          <xdr:rowOff>184150</xdr:rowOff>
        </xdr:to>
        <xdr:sp macro="" textlink="">
          <xdr:nvSpPr>
            <xdr:cNvPr id="16113" name="Check Box 753" hidden="1">
              <a:extLst>
                <a:ext uri="{63B3BB69-23CF-44E3-9099-C40C66FF867C}">
                  <a14:compatExt spid="_x0000_s16113"/>
                </a:ext>
                <a:ext uri="{FF2B5EF4-FFF2-40B4-BE49-F238E27FC236}">
                  <a16:creationId xmlns:a16="http://schemas.microsoft.com/office/drawing/2014/main" id="{00000000-0008-0000-0F00-0000F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1916</xdr:row>
          <xdr:rowOff>0</xdr:rowOff>
        </xdr:from>
        <xdr:to>
          <xdr:col>22</xdr:col>
          <xdr:colOff>184150</xdr:colOff>
          <xdr:row>1916</xdr:row>
          <xdr:rowOff>184150</xdr:rowOff>
        </xdr:to>
        <xdr:sp macro="" textlink="">
          <xdr:nvSpPr>
            <xdr:cNvPr id="16114" name="Check Box 754" hidden="1">
              <a:extLst>
                <a:ext uri="{63B3BB69-23CF-44E3-9099-C40C66FF867C}">
                  <a14:compatExt spid="_x0000_s16114"/>
                </a:ext>
                <a:ext uri="{FF2B5EF4-FFF2-40B4-BE49-F238E27FC236}">
                  <a16:creationId xmlns:a16="http://schemas.microsoft.com/office/drawing/2014/main" id="{00000000-0008-0000-0F00-0000F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1917</xdr:row>
          <xdr:rowOff>0</xdr:rowOff>
        </xdr:from>
        <xdr:to>
          <xdr:col>22</xdr:col>
          <xdr:colOff>184150</xdr:colOff>
          <xdr:row>1917</xdr:row>
          <xdr:rowOff>184150</xdr:rowOff>
        </xdr:to>
        <xdr:sp macro="" textlink="">
          <xdr:nvSpPr>
            <xdr:cNvPr id="16115" name="Check Box 755" hidden="1">
              <a:extLst>
                <a:ext uri="{63B3BB69-23CF-44E3-9099-C40C66FF867C}">
                  <a14:compatExt spid="_x0000_s16115"/>
                </a:ext>
                <a:ext uri="{FF2B5EF4-FFF2-40B4-BE49-F238E27FC236}">
                  <a16:creationId xmlns:a16="http://schemas.microsoft.com/office/drawing/2014/main" id="{00000000-0008-0000-0F00-0000F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1919</xdr:row>
          <xdr:rowOff>0</xdr:rowOff>
        </xdr:from>
        <xdr:to>
          <xdr:col>22</xdr:col>
          <xdr:colOff>184150</xdr:colOff>
          <xdr:row>1919</xdr:row>
          <xdr:rowOff>184150</xdr:rowOff>
        </xdr:to>
        <xdr:sp macro="" textlink="">
          <xdr:nvSpPr>
            <xdr:cNvPr id="16116" name="Check Box 756" hidden="1">
              <a:extLst>
                <a:ext uri="{63B3BB69-23CF-44E3-9099-C40C66FF867C}">
                  <a14:compatExt spid="_x0000_s16116"/>
                </a:ext>
                <a:ext uri="{FF2B5EF4-FFF2-40B4-BE49-F238E27FC236}">
                  <a16:creationId xmlns:a16="http://schemas.microsoft.com/office/drawing/2014/main" id="{00000000-0008-0000-0F00-0000F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1920</xdr:row>
          <xdr:rowOff>0</xdr:rowOff>
        </xdr:from>
        <xdr:to>
          <xdr:col>22</xdr:col>
          <xdr:colOff>184150</xdr:colOff>
          <xdr:row>1920</xdr:row>
          <xdr:rowOff>184150</xdr:rowOff>
        </xdr:to>
        <xdr:sp macro="" textlink="">
          <xdr:nvSpPr>
            <xdr:cNvPr id="16117" name="Check Box 757" hidden="1">
              <a:extLst>
                <a:ext uri="{63B3BB69-23CF-44E3-9099-C40C66FF867C}">
                  <a14:compatExt spid="_x0000_s16117"/>
                </a:ext>
                <a:ext uri="{FF2B5EF4-FFF2-40B4-BE49-F238E27FC236}">
                  <a16:creationId xmlns:a16="http://schemas.microsoft.com/office/drawing/2014/main" id="{00000000-0008-0000-0F00-0000F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1921</xdr:row>
          <xdr:rowOff>0</xdr:rowOff>
        </xdr:from>
        <xdr:to>
          <xdr:col>22</xdr:col>
          <xdr:colOff>184150</xdr:colOff>
          <xdr:row>1921</xdr:row>
          <xdr:rowOff>184150</xdr:rowOff>
        </xdr:to>
        <xdr:sp macro="" textlink="">
          <xdr:nvSpPr>
            <xdr:cNvPr id="16118" name="Check Box 758" hidden="1">
              <a:extLst>
                <a:ext uri="{63B3BB69-23CF-44E3-9099-C40C66FF867C}">
                  <a14:compatExt spid="_x0000_s16118"/>
                </a:ext>
                <a:ext uri="{FF2B5EF4-FFF2-40B4-BE49-F238E27FC236}">
                  <a16:creationId xmlns:a16="http://schemas.microsoft.com/office/drawing/2014/main" id="{00000000-0008-0000-0F00-0000F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1927</xdr:row>
          <xdr:rowOff>0</xdr:rowOff>
        </xdr:from>
        <xdr:to>
          <xdr:col>22</xdr:col>
          <xdr:colOff>184150</xdr:colOff>
          <xdr:row>1927</xdr:row>
          <xdr:rowOff>184150</xdr:rowOff>
        </xdr:to>
        <xdr:sp macro="" textlink="">
          <xdr:nvSpPr>
            <xdr:cNvPr id="16119" name="Check Box 759" hidden="1">
              <a:extLst>
                <a:ext uri="{63B3BB69-23CF-44E3-9099-C40C66FF867C}">
                  <a14:compatExt spid="_x0000_s16119"/>
                </a:ext>
                <a:ext uri="{FF2B5EF4-FFF2-40B4-BE49-F238E27FC236}">
                  <a16:creationId xmlns:a16="http://schemas.microsoft.com/office/drawing/2014/main" id="{00000000-0008-0000-0F00-0000F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1929</xdr:row>
          <xdr:rowOff>0</xdr:rowOff>
        </xdr:from>
        <xdr:to>
          <xdr:col>22</xdr:col>
          <xdr:colOff>184150</xdr:colOff>
          <xdr:row>1929</xdr:row>
          <xdr:rowOff>184150</xdr:rowOff>
        </xdr:to>
        <xdr:sp macro="" textlink="">
          <xdr:nvSpPr>
            <xdr:cNvPr id="16120" name="Check Box 760" hidden="1">
              <a:extLst>
                <a:ext uri="{63B3BB69-23CF-44E3-9099-C40C66FF867C}">
                  <a14:compatExt spid="_x0000_s16120"/>
                </a:ext>
                <a:ext uri="{FF2B5EF4-FFF2-40B4-BE49-F238E27FC236}">
                  <a16:creationId xmlns:a16="http://schemas.microsoft.com/office/drawing/2014/main" id="{00000000-0008-0000-0F00-0000F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1932</xdr:row>
          <xdr:rowOff>0</xdr:rowOff>
        </xdr:from>
        <xdr:to>
          <xdr:col>22</xdr:col>
          <xdr:colOff>184150</xdr:colOff>
          <xdr:row>1932</xdr:row>
          <xdr:rowOff>184150</xdr:rowOff>
        </xdr:to>
        <xdr:sp macro="" textlink="">
          <xdr:nvSpPr>
            <xdr:cNvPr id="16121" name="Check Box 761" hidden="1">
              <a:extLst>
                <a:ext uri="{63B3BB69-23CF-44E3-9099-C40C66FF867C}">
                  <a14:compatExt spid="_x0000_s16121"/>
                </a:ext>
                <a:ext uri="{FF2B5EF4-FFF2-40B4-BE49-F238E27FC236}">
                  <a16:creationId xmlns:a16="http://schemas.microsoft.com/office/drawing/2014/main" id="{00000000-0008-0000-0F00-0000F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1934</xdr:row>
          <xdr:rowOff>0</xdr:rowOff>
        </xdr:from>
        <xdr:to>
          <xdr:col>22</xdr:col>
          <xdr:colOff>184150</xdr:colOff>
          <xdr:row>1934</xdr:row>
          <xdr:rowOff>184150</xdr:rowOff>
        </xdr:to>
        <xdr:sp macro="" textlink="">
          <xdr:nvSpPr>
            <xdr:cNvPr id="16122" name="Check Box 762" hidden="1">
              <a:extLst>
                <a:ext uri="{63B3BB69-23CF-44E3-9099-C40C66FF867C}">
                  <a14:compatExt spid="_x0000_s16122"/>
                </a:ext>
                <a:ext uri="{FF2B5EF4-FFF2-40B4-BE49-F238E27FC236}">
                  <a16:creationId xmlns:a16="http://schemas.microsoft.com/office/drawing/2014/main" id="{00000000-0008-0000-0F00-0000F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1937</xdr:row>
          <xdr:rowOff>0</xdr:rowOff>
        </xdr:from>
        <xdr:to>
          <xdr:col>22</xdr:col>
          <xdr:colOff>184150</xdr:colOff>
          <xdr:row>1937</xdr:row>
          <xdr:rowOff>184150</xdr:rowOff>
        </xdr:to>
        <xdr:sp macro="" textlink="">
          <xdr:nvSpPr>
            <xdr:cNvPr id="16123" name="Check Box 763" hidden="1">
              <a:extLst>
                <a:ext uri="{63B3BB69-23CF-44E3-9099-C40C66FF867C}">
                  <a14:compatExt spid="_x0000_s16123"/>
                </a:ext>
                <a:ext uri="{FF2B5EF4-FFF2-40B4-BE49-F238E27FC236}">
                  <a16:creationId xmlns:a16="http://schemas.microsoft.com/office/drawing/2014/main" id="{00000000-0008-0000-0F00-0000F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1939</xdr:row>
          <xdr:rowOff>0</xdr:rowOff>
        </xdr:from>
        <xdr:to>
          <xdr:col>22</xdr:col>
          <xdr:colOff>184150</xdr:colOff>
          <xdr:row>1939</xdr:row>
          <xdr:rowOff>184150</xdr:rowOff>
        </xdr:to>
        <xdr:sp macro="" textlink="">
          <xdr:nvSpPr>
            <xdr:cNvPr id="16124" name="Check Box 764" hidden="1">
              <a:extLst>
                <a:ext uri="{63B3BB69-23CF-44E3-9099-C40C66FF867C}">
                  <a14:compatExt spid="_x0000_s16124"/>
                </a:ext>
                <a:ext uri="{FF2B5EF4-FFF2-40B4-BE49-F238E27FC236}">
                  <a16:creationId xmlns:a16="http://schemas.microsoft.com/office/drawing/2014/main" id="{00000000-0008-0000-0F00-0000F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1940</xdr:row>
          <xdr:rowOff>0</xdr:rowOff>
        </xdr:from>
        <xdr:to>
          <xdr:col>22</xdr:col>
          <xdr:colOff>184150</xdr:colOff>
          <xdr:row>1940</xdr:row>
          <xdr:rowOff>184150</xdr:rowOff>
        </xdr:to>
        <xdr:sp macro="" textlink="">
          <xdr:nvSpPr>
            <xdr:cNvPr id="16125" name="Check Box 765" hidden="1">
              <a:extLst>
                <a:ext uri="{63B3BB69-23CF-44E3-9099-C40C66FF867C}">
                  <a14:compatExt spid="_x0000_s16125"/>
                </a:ext>
                <a:ext uri="{FF2B5EF4-FFF2-40B4-BE49-F238E27FC236}">
                  <a16:creationId xmlns:a16="http://schemas.microsoft.com/office/drawing/2014/main" id="{00000000-0008-0000-0F00-0000F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1942</xdr:row>
          <xdr:rowOff>0</xdr:rowOff>
        </xdr:from>
        <xdr:to>
          <xdr:col>22</xdr:col>
          <xdr:colOff>184150</xdr:colOff>
          <xdr:row>1942</xdr:row>
          <xdr:rowOff>184150</xdr:rowOff>
        </xdr:to>
        <xdr:sp macro="" textlink="">
          <xdr:nvSpPr>
            <xdr:cNvPr id="16126" name="Check Box 766" hidden="1">
              <a:extLst>
                <a:ext uri="{63B3BB69-23CF-44E3-9099-C40C66FF867C}">
                  <a14:compatExt spid="_x0000_s16126"/>
                </a:ext>
                <a:ext uri="{FF2B5EF4-FFF2-40B4-BE49-F238E27FC236}">
                  <a16:creationId xmlns:a16="http://schemas.microsoft.com/office/drawing/2014/main" id="{00000000-0008-0000-0F00-0000F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1944</xdr:row>
          <xdr:rowOff>0</xdr:rowOff>
        </xdr:from>
        <xdr:to>
          <xdr:col>22</xdr:col>
          <xdr:colOff>184150</xdr:colOff>
          <xdr:row>1944</xdr:row>
          <xdr:rowOff>184150</xdr:rowOff>
        </xdr:to>
        <xdr:sp macro="" textlink="">
          <xdr:nvSpPr>
            <xdr:cNvPr id="16127" name="Check Box 767" hidden="1">
              <a:extLst>
                <a:ext uri="{63B3BB69-23CF-44E3-9099-C40C66FF867C}">
                  <a14:compatExt spid="_x0000_s16127"/>
                </a:ext>
                <a:ext uri="{FF2B5EF4-FFF2-40B4-BE49-F238E27FC236}">
                  <a16:creationId xmlns:a16="http://schemas.microsoft.com/office/drawing/2014/main" id="{00000000-0008-0000-0F00-0000F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1945</xdr:row>
          <xdr:rowOff>0</xdr:rowOff>
        </xdr:from>
        <xdr:to>
          <xdr:col>22</xdr:col>
          <xdr:colOff>184150</xdr:colOff>
          <xdr:row>1945</xdr:row>
          <xdr:rowOff>184150</xdr:rowOff>
        </xdr:to>
        <xdr:sp macro="" textlink="">
          <xdr:nvSpPr>
            <xdr:cNvPr id="16128" name="Check Box 768" hidden="1">
              <a:extLst>
                <a:ext uri="{63B3BB69-23CF-44E3-9099-C40C66FF867C}">
                  <a14:compatExt spid="_x0000_s16128"/>
                </a:ext>
                <a:ext uri="{FF2B5EF4-FFF2-40B4-BE49-F238E27FC236}">
                  <a16:creationId xmlns:a16="http://schemas.microsoft.com/office/drawing/2014/main" id="{00000000-0008-0000-0F00-00000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1948</xdr:row>
          <xdr:rowOff>0</xdr:rowOff>
        </xdr:from>
        <xdr:to>
          <xdr:col>22</xdr:col>
          <xdr:colOff>184150</xdr:colOff>
          <xdr:row>1948</xdr:row>
          <xdr:rowOff>184150</xdr:rowOff>
        </xdr:to>
        <xdr:sp macro="" textlink="">
          <xdr:nvSpPr>
            <xdr:cNvPr id="16129" name="Check Box 769" hidden="1">
              <a:extLst>
                <a:ext uri="{63B3BB69-23CF-44E3-9099-C40C66FF867C}">
                  <a14:compatExt spid="_x0000_s16129"/>
                </a:ext>
                <a:ext uri="{FF2B5EF4-FFF2-40B4-BE49-F238E27FC236}">
                  <a16:creationId xmlns:a16="http://schemas.microsoft.com/office/drawing/2014/main" id="{00000000-0008-0000-0F00-00000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1954</xdr:row>
          <xdr:rowOff>0</xdr:rowOff>
        </xdr:from>
        <xdr:to>
          <xdr:col>22</xdr:col>
          <xdr:colOff>184150</xdr:colOff>
          <xdr:row>1954</xdr:row>
          <xdr:rowOff>184150</xdr:rowOff>
        </xdr:to>
        <xdr:sp macro="" textlink="">
          <xdr:nvSpPr>
            <xdr:cNvPr id="16130" name="Check Box 770" hidden="1">
              <a:extLst>
                <a:ext uri="{63B3BB69-23CF-44E3-9099-C40C66FF867C}">
                  <a14:compatExt spid="_x0000_s16130"/>
                </a:ext>
                <a:ext uri="{FF2B5EF4-FFF2-40B4-BE49-F238E27FC236}">
                  <a16:creationId xmlns:a16="http://schemas.microsoft.com/office/drawing/2014/main" id="{00000000-0008-0000-0F00-00000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1956</xdr:row>
          <xdr:rowOff>0</xdr:rowOff>
        </xdr:from>
        <xdr:to>
          <xdr:col>22</xdr:col>
          <xdr:colOff>184150</xdr:colOff>
          <xdr:row>1956</xdr:row>
          <xdr:rowOff>184150</xdr:rowOff>
        </xdr:to>
        <xdr:sp macro="" textlink="">
          <xdr:nvSpPr>
            <xdr:cNvPr id="16131" name="Check Box 771" hidden="1">
              <a:extLst>
                <a:ext uri="{63B3BB69-23CF-44E3-9099-C40C66FF867C}">
                  <a14:compatExt spid="_x0000_s16131"/>
                </a:ext>
                <a:ext uri="{FF2B5EF4-FFF2-40B4-BE49-F238E27FC236}">
                  <a16:creationId xmlns:a16="http://schemas.microsoft.com/office/drawing/2014/main" id="{00000000-0008-0000-0F00-00000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1960</xdr:row>
          <xdr:rowOff>0</xdr:rowOff>
        </xdr:from>
        <xdr:to>
          <xdr:col>22</xdr:col>
          <xdr:colOff>184150</xdr:colOff>
          <xdr:row>1960</xdr:row>
          <xdr:rowOff>184150</xdr:rowOff>
        </xdr:to>
        <xdr:sp macro="" textlink="">
          <xdr:nvSpPr>
            <xdr:cNvPr id="16132" name="Check Box 772" hidden="1">
              <a:extLst>
                <a:ext uri="{63B3BB69-23CF-44E3-9099-C40C66FF867C}">
                  <a14:compatExt spid="_x0000_s16132"/>
                </a:ext>
                <a:ext uri="{FF2B5EF4-FFF2-40B4-BE49-F238E27FC236}">
                  <a16:creationId xmlns:a16="http://schemas.microsoft.com/office/drawing/2014/main" id="{00000000-0008-0000-0F00-00000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1967</xdr:row>
          <xdr:rowOff>0</xdr:rowOff>
        </xdr:from>
        <xdr:to>
          <xdr:col>22</xdr:col>
          <xdr:colOff>184150</xdr:colOff>
          <xdr:row>1967</xdr:row>
          <xdr:rowOff>184150</xdr:rowOff>
        </xdr:to>
        <xdr:sp macro="" textlink="">
          <xdr:nvSpPr>
            <xdr:cNvPr id="16133" name="Check Box 773" hidden="1">
              <a:extLst>
                <a:ext uri="{63B3BB69-23CF-44E3-9099-C40C66FF867C}">
                  <a14:compatExt spid="_x0000_s16133"/>
                </a:ext>
                <a:ext uri="{FF2B5EF4-FFF2-40B4-BE49-F238E27FC236}">
                  <a16:creationId xmlns:a16="http://schemas.microsoft.com/office/drawing/2014/main" id="{00000000-0008-0000-0F00-00000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1969</xdr:row>
          <xdr:rowOff>0</xdr:rowOff>
        </xdr:from>
        <xdr:to>
          <xdr:col>22</xdr:col>
          <xdr:colOff>184150</xdr:colOff>
          <xdr:row>1969</xdr:row>
          <xdr:rowOff>184150</xdr:rowOff>
        </xdr:to>
        <xdr:sp macro="" textlink="">
          <xdr:nvSpPr>
            <xdr:cNvPr id="16134" name="Check Box 774" hidden="1">
              <a:extLst>
                <a:ext uri="{63B3BB69-23CF-44E3-9099-C40C66FF867C}">
                  <a14:compatExt spid="_x0000_s16134"/>
                </a:ext>
                <a:ext uri="{FF2B5EF4-FFF2-40B4-BE49-F238E27FC236}">
                  <a16:creationId xmlns:a16="http://schemas.microsoft.com/office/drawing/2014/main" id="{00000000-0008-0000-0F00-00000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1970</xdr:row>
          <xdr:rowOff>0</xdr:rowOff>
        </xdr:from>
        <xdr:to>
          <xdr:col>22</xdr:col>
          <xdr:colOff>184150</xdr:colOff>
          <xdr:row>1970</xdr:row>
          <xdr:rowOff>184150</xdr:rowOff>
        </xdr:to>
        <xdr:sp macro="" textlink="">
          <xdr:nvSpPr>
            <xdr:cNvPr id="16135" name="Check Box 775" hidden="1">
              <a:extLst>
                <a:ext uri="{63B3BB69-23CF-44E3-9099-C40C66FF867C}">
                  <a14:compatExt spid="_x0000_s16135"/>
                </a:ext>
                <a:ext uri="{FF2B5EF4-FFF2-40B4-BE49-F238E27FC236}">
                  <a16:creationId xmlns:a16="http://schemas.microsoft.com/office/drawing/2014/main" id="{00000000-0008-0000-0F00-00000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1972</xdr:row>
          <xdr:rowOff>0</xdr:rowOff>
        </xdr:from>
        <xdr:to>
          <xdr:col>22</xdr:col>
          <xdr:colOff>184150</xdr:colOff>
          <xdr:row>1972</xdr:row>
          <xdr:rowOff>184150</xdr:rowOff>
        </xdr:to>
        <xdr:sp macro="" textlink="">
          <xdr:nvSpPr>
            <xdr:cNvPr id="16136" name="Check Box 776" hidden="1">
              <a:extLst>
                <a:ext uri="{63B3BB69-23CF-44E3-9099-C40C66FF867C}">
                  <a14:compatExt spid="_x0000_s16136"/>
                </a:ext>
                <a:ext uri="{FF2B5EF4-FFF2-40B4-BE49-F238E27FC236}">
                  <a16:creationId xmlns:a16="http://schemas.microsoft.com/office/drawing/2014/main" id="{00000000-0008-0000-0F00-00000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1973</xdr:row>
          <xdr:rowOff>0</xdr:rowOff>
        </xdr:from>
        <xdr:to>
          <xdr:col>22</xdr:col>
          <xdr:colOff>184150</xdr:colOff>
          <xdr:row>1973</xdr:row>
          <xdr:rowOff>184150</xdr:rowOff>
        </xdr:to>
        <xdr:sp macro="" textlink="">
          <xdr:nvSpPr>
            <xdr:cNvPr id="16137" name="Check Box 777" hidden="1">
              <a:extLst>
                <a:ext uri="{63B3BB69-23CF-44E3-9099-C40C66FF867C}">
                  <a14:compatExt spid="_x0000_s16137"/>
                </a:ext>
                <a:ext uri="{FF2B5EF4-FFF2-40B4-BE49-F238E27FC236}">
                  <a16:creationId xmlns:a16="http://schemas.microsoft.com/office/drawing/2014/main" id="{00000000-0008-0000-0F00-00000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1974</xdr:row>
          <xdr:rowOff>0</xdr:rowOff>
        </xdr:from>
        <xdr:to>
          <xdr:col>22</xdr:col>
          <xdr:colOff>184150</xdr:colOff>
          <xdr:row>1974</xdr:row>
          <xdr:rowOff>184150</xdr:rowOff>
        </xdr:to>
        <xdr:sp macro="" textlink="">
          <xdr:nvSpPr>
            <xdr:cNvPr id="16138" name="Check Box 778" hidden="1">
              <a:extLst>
                <a:ext uri="{63B3BB69-23CF-44E3-9099-C40C66FF867C}">
                  <a14:compatExt spid="_x0000_s16138"/>
                </a:ext>
                <a:ext uri="{FF2B5EF4-FFF2-40B4-BE49-F238E27FC236}">
                  <a16:creationId xmlns:a16="http://schemas.microsoft.com/office/drawing/2014/main" id="{00000000-0008-0000-0F00-00000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1975</xdr:row>
          <xdr:rowOff>0</xdr:rowOff>
        </xdr:from>
        <xdr:to>
          <xdr:col>22</xdr:col>
          <xdr:colOff>184150</xdr:colOff>
          <xdr:row>1975</xdr:row>
          <xdr:rowOff>184150</xdr:rowOff>
        </xdr:to>
        <xdr:sp macro="" textlink="">
          <xdr:nvSpPr>
            <xdr:cNvPr id="16139" name="Check Box 779" hidden="1">
              <a:extLst>
                <a:ext uri="{63B3BB69-23CF-44E3-9099-C40C66FF867C}">
                  <a14:compatExt spid="_x0000_s16139"/>
                </a:ext>
                <a:ext uri="{FF2B5EF4-FFF2-40B4-BE49-F238E27FC236}">
                  <a16:creationId xmlns:a16="http://schemas.microsoft.com/office/drawing/2014/main" id="{00000000-0008-0000-0F00-00000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1976</xdr:row>
          <xdr:rowOff>0</xdr:rowOff>
        </xdr:from>
        <xdr:to>
          <xdr:col>22</xdr:col>
          <xdr:colOff>184150</xdr:colOff>
          <xdr:row>1976</xdr:row>
          <xdr:rowOff>184150</xdr:rowOff>
        </xdr:to>
        <xdr:sp macro="" textlink="">
          <xdr:nvSpPr>
            <xdr:cNvPr id="16140" name="Check Box 780" hidden="1">
              <a:extLst>
                <a:ext uri="{63B3BB69-23CF-44E3-9099-C40C66FF867C}">
                  <a14:compatExt spid="_x0000_s16140"/>
                </a:ext>
                <a:ext uri="{FF2B5EF4-FFF2-40B4-BE49-F238E27FC236}">
                  <a16:creationId xmlns:a16="http://schemas.microsoft.com/office/drawing/2014/main" id="{00000000-0008-0000-0F00-00000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1993</xdr:row>
          <xdr:rowOff>0</xdr:rowOff>
        </xdr:from>
        <xdr:to>
          <xdr:col>22</xdr:col>
          <xdr:colOff>184150</xdr:colOff>
          <xdr:row>1993</xdr:row>
          <xdr:rowOff>184150</xdr:rowOff>
        </xdr:to>
        <xdr:sp macro="" textlink="">
          <xdr:nvSpPr>
            <xdr:cNvPr id="16141" name="Check Box 781" hidden="1">
              <a:extLst>
                <a:ext uri="{63B3BB69-23CF-44E3-9099-C40C66FF867C}">
                  <a14:compatExt spid="_x0000_s16141"/>
                </a:ext>
                <a:ext uri="{FF2B5EF4-FFF2-40B4-BE49-F238E27FC236}">
                  <a16:creationId xmlns:a16="http://schemas.microsoft.com/office/drawing/2014/main" id="{00000000-0008-0000-0F00-00000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1995</xdr:row>
          <xdr:rowOff>0</xdr:rowOff>
        </xdr:from>
        <xdr:to>
          <xdr:col>22</xdr:col>
          <xdr:colOff>184150</xdr:colOff>
          <xdr:row>1995</xdr:row>
          <xdr:rowOff>184150</xdr:rowOff>
        </xdr:to>
        <xdr:sp macro="" textlink="">
          <xdr:nvSpPr>
            <xdr:cNvPr id="16142" name="Check Box 782" hidden="1">
              <a:extLst>
                <a:ext uri="{63B3BB69-23CF-44E3-9099-C40C66FF867C}">
                  <a14:compatExt spid="_x0000_s16142"/>
                </a:ext>
                <a:ext uri="{FF2B5EF4-FFF2-40B4-BE49-F238E27FC236}">
                  <a16:creationId xmlns:a16="http://schemas.microsoft.com/office/drawing/2014/main" id="{00000000-0008-0000-0F00-00000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1998</xdr:row>
          <xdr:rowOff>0</xdr:rowOff>
        </xdr:from>
        <xdr:to>
          <xdr:col>22</xdr:col>
          <xdr:colOff>184150</xdr:colOff>
          <xdr:row>1998</xdr:row>
          <xdr:rowOff>184150</xdr:rowOff>
        </xdr:to>
        <xdr:sp macro="" textlink="">
          <xdr:nvSpPr>
            <xdr:cNvPr id="16143" name="Check Box 783" hidden="1">
              <a:extLst>
                <a:ext uri="{63B3BB69-23CF-44E3-9099-C40C66FF867C}">
                  <a14:compatExt spid="_x0000_s16143"/>
                </a:ext>
                <a:ext uri="{FF2B5EF4-FFF2-40B4-BE49-F238E27FC236}">
                  <a16:creationId xmlns:a16="http://schemas.microsoft.com/office/drawing/2014/main" id="{00000000-0008-0000-0F00-00000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2011</xdr:row>
          <xdr:rowOff>0</xdr:rowOff>
        </xdr:from>
        <xdr:to>
          <xdr:col>22</xdr:col>
          <xdr:colOff>184150</xdr:colOff>
          <xdr:row>2011</xdr:row>
          <xdr:rowOff>184150</xdr:rowOff>
        </xdr:to>
        <xdr:sp macro="" textlink="">
          <xdr:nvSpPr>
            <xdr:cNvPr id="16144" name="Check Box 784" hidden="1">
              <a:extLst>
                <a:ext uri="{63B3BB69-23CF-44E3-9099-C40C66FF867C}">
                  <a14:compatExt spid="_x0000_s16144"/>
                </a:ext>
                <a:ext uri="{FF2B5EF4-FFF2-40B4-BE49-F238E27FC236}">
                  <a16:creationId xmlns:a16="http://schemas.microsoft.com/office/drawing/2014/main" id="{00000000-0008-0000-0F00-00001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2013</xdr:row>
          <xdr:rowOff>0</xdr:rowOff>
        </xdr:from>
        <xdr:to>
          <xdr:col>22</xdr:col>
          <xdr:colOff>184150</xdr:colOff>
          <xdr:row>2013</xdr:row>
          <xdr:rowOff>184150</xdr:rowOff>
        </xdr:to>
        <xdr:sp macro="" textlink="">
          <xdr:nvSpPr>
            <xdr:cNvPr id="16145" name="Check Box 785" hidden="1">
              <a:extLst>
                <a:ext uri="{63B3BB69-23CF-44E3-9099-C40C66FF867C}">
                  <a14:compatExt spid="_x0000_s16145"/>
                </a:ext>
                <a:ext uri="{FF2B5EF4-FFF2-40B4-BE49-F238E27FC236}">
                  <a16:creationId xmlns:a16="http://schemas.microsoft.com/office/drawing/2014/main" id="{00000000-0008-0000-0F00-00001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1610</xdr:row>
          <xdr:rowOff>0</xdr:rowOff>
        </xdr:from>
        <xdr:to>
          <xdr:col>22</xdr:col>
          <xdr:colOff>184150</xdr:colOff>
          <xdr:row>1610</xdr:row>
          <xdr:rowOff>184150</xdr:rowOff>
        </xdr:to>
        <xdr:sp macro="" textlink="">
          <xdr:nvSpPr>
            <xdr:cNvPr id="16148" name="Check Box 788" hidden="1">
              <a:extLst>
                <a:ext uri="{63B3BB69-23CF-44E3-9099-C40C66FF867C}">
                  <a14:compatExt spid="_x0000_s16148"/>
                </a:ext>
                <a:ext uri="{FF2B5EF4-FFF2-40B4-BE49-F238E27FC236}">
                  <a16:creationId xmlns:a16="http://schemas.microsoft.com/office/drawing/2014/main" id="{00000000-0008-0000-0F00-00001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1316</xdr:row>
          <xdr:rowOff>0</xdr:rowOff>
        </xdr:from>
        <xdr:to>
          <xdr:col>22</xdr:col>
          <xdr:colOff>184150</xdr:colOff>
          <xdr:row>1316</xdr:row>
          <xdr:rowOff>184150</xdr:rowOff>
        </xdr:to>
        <xdr:sp macro="" textlink="">
          <xdr:nvSpPr>
            <xdr:cNvPr id="16150" name="Check Box 790" hidden="1">
              <a:extLst>
                <a:ext uri="{63B3BB69-23CF-44E3-9099-C40C66FF867C}">
                  <a14:compatExt spid="_x0000_s16150"/>
                </a:ext>
                <a:ext uri="{FF2B5EF4-FFF2-40B4-BE49-F238E27FC236}">
                  <a16:creationId xmlns:a16="http://schemas.microsoft.com/office/drawing/2014/main" id="{00000000-0008-0000-0F00-00001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55</xdr:row>
      <xdr:rowOff>0</xdr:rowOff>
    </xdr:from>
    <xdr:to>
      <xdr:col>7</xdr:col>
      <xdr:colOff>9525</xdr:colOff>
      <xdr:row>55</xdr:row>
      <xdr:rowOff>161925</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0477500"/>
          <a:ext cx="1838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57</xdr:row>
      <xdr:rowOff>0</xdr:rowOff>
    </xdr:from>
    <xdr:to>
      <xdr:col>4</xdr:col>
      <xdr:colOff>257175</xdr:colOff>
      <xdr:row>57</xdr:row>
      <xdr:rowOff>161925</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0858500"/>
          <a:ext cx="2571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57</xdr:row>
      <xdr:rowOff>0</xdr:rowOff>
    </xdr:from>
    <xdr:to>
      <xdr:col>5</xdr:col>
      <xdr:colOff>95250</xdr:colOff>
      <xdr:row>57</xdr:row>
      <xdr:rowOff>152400</xdr:rowOff>
    </xdr:to>
    <xdr:pic>
      <xdr:nvPicPr>
        <xdr:cNvPr id="4" name="Pictur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08585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58</xdr:row>
      <xdr:rowOff>0</xdr:rowOff>
    </xdr:from>
    <xdr:to>
      <xdr:col>4</xdr:col>
      <xdr:colOff>314325</xdr:colOff>
      <xdr:row>58</xdr:row>
      <xdr:rowOff>161925</xdr:rowOff>
    </xdr:to>
    <xdr:pic>
      <xdr:nvPicPr>
        <xdr:cNvPr id="5" name="Picture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1049000"/>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58</xdr:row>
      <xdr:rowOff>0</xdr:rowOff>
    </xdr:from>
    <xdr:to>
      <xdr:col>5</xdr:col>
      <xdr:colOff>95250</xdr:colOff>
      <xdr:row>58</xdr:row>
      <xdr:rowOff>152400</xdr:rowOff>
    </xdr:to>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10490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59</xdr:row>
      <xdr:rowOff>0</xdr:rowOff>
    </xdr:from>
    <xdr:to>
      <xdr:col>4</xdr:col>
      <xdr:colOff>190500</xdr:colOff>
      <xdr:row>59</xdr:row>
      <xdr:rowOff>152400</xdr:rowOff>
    </xdr:to>
    <xdr:pic>
      <xdr:nvPicPr>
        <xdr:cNvPr id="7" name="Picture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1239500"/>
          <a:ext cx="1905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59</xdr:row>
      <xdr:rowOff>0</xdr:rowOff>
    </xdr:from>
    <xdr:to>
      <xdr:col>5</xdr:col>
      <xdr:colOff>95250</xdr:colOff>
      <xdr:row>59</xdr:row>
      <xdr:rowOff>152400</xdr:rowOff>
    </xdr:to>
    <xdr:pic>
      <xdr:nvPicPr>
        <xdr:cNvPr id="8" name="Picture 7">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12395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62</xdr:row>
      <xdr:rowOff>0</xdr:rowOff>
    </xdr:from>
    <xdr:to>
      <xdr:col>7</xdr:col>
      <xdr:colOff>9525</xdr:colOff>
      <xdr:row>62</xdr:row>
      <xdr:rowOff>161925</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1811000"/>
          <a:ext cx="1838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64</xdr:row>
      <xdr:rowOff>0</xdr:rowOff>
    </xdr:from>
    <xdr:to>
      <xdr:col>4</xdr:col>
      <xdr:colOff>257175</xdr:colOff>
      <xdr:row>64</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2192000"/>
          <a:ext cx="2571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64</xdr:row>
      <xdr:rowOff>0</xdr:rowOff>
    </xdr:from>
    <xdr:to>
      <xdr:col>5</xdr:col>
      <xdr:colOff>95250</xdr:colOff>
      <xdr:row>64</xdr:row>
      <xdr:rowOff>152400</xdr:rowOff>
    </xdr:to>
    <xdr:pic>
      <xdr:nvPicPr>
        <xdr:cNvPr id="11" name="Picture 10">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21920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65</xdr:row>
      <xdr:rowOff>0</xdr:rowOff>
    </xdr:from>
    <xdr:to>
      <xdr:col>4</xdr:col>
      <xdr:colOff>314325</xdr:colOff>
      <xdr:row>65</xdr:row>
      <xdr:rowOff>161925</xdr:rowOff>
    </xdr:to>
    <xdr:pic>
      <xdr:nvPicPr>
        <xdr:cNvPr id="12" name="Picture 11">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2382500"/>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65</xdr:row>
      <xdr:rowOff>0</xdr:rowOff>
    </xdr:from>
    <xdr:to>
      <xdr:col>5</xdr:col>
      <xdr:colOff>95250</xdr:colOff>
      <xdr:row>65</xdr:row>
      <xdr:rowOff>152400</xdr:rowOff>
    </xdr:to>
    <xdr:pic>
      <xdr:nvPicPr>
        <xdr:cNvPr id="13" name="Picture 1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23825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66</xdr:row>
      <xdr:rowOff>0</xdr:rowOff>
    </xdr:from>
    <xdr:to>
      <xdr:col>4</xdr:col>
      <xdr:colOff>190500</xdr:colOff>
      <xdr:row>66</xdr:row>
      <xdr:rowOff>152400</xdr:rowOff>
    </xdr:to>
    <xdr:pic>
      <xdr:nvPicPr>
        <xdr:cNvPr id="14" name="Picture 13">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2573000"/>
          <a:ext cx="1905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66</xdr:row>
      <xdr:rowOff>0</xdr:rowOff>
    </xdr:from>
    <xdr:to>
      <xdr:col>5</xdr:col>
      <xdr:colOff>95250</xdr:colOff>
      <xdr:row>66</xdr:row>
      <xdr:rowOff>152400</xdr:rowOff>
    </xdr:to>
    <xdr:pic>
      <xdr:nvPicPr>
        <xdr:cNvPr id="15" name="Picture 14">
          <a:extLst>
            <a:ext uri="{FF2B5EF4-FFF2-40B4-BE49-F238E27FC236}">
              <a16:creationId xmlns:a16="http://schemas.microsoft.com/office/drawing/2014/main" id="{00000000-0008-0000-1400-00000F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25730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123</xdr:row>
      <xdr:rowOff>0</xdr:rowOff>
    </xdr:from>
    <xdr:to>
      <xdr:col>3</xdr:col>
      <xdr:colOff>190500</xdr:colOff>
      <xdr:row>123</xdr:row>
      <xdr:rowOff>161925</xdr:rowOff>
    </xdr:to>
    <xdr:pic>
      <xdr:nvPicPr>
        <xdr:cNvPr id="16" name="Picture 15">
          <a:extLst>
            <a:ext uri="{FF2B5EF4-FFF2-40B4-BE49-F238E27FC236}">
              <a16:creationId xmlns:a16="http://schemas.microsoft.com/office/drawing/2014/main" id="{00000000-0008-0000-1400-000010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3431500"/>
          <a:ext cx="8001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125</xdr:row>
      <xdr:rowOff>0</xdr:rowOff>
    </xdr:from>
    <xdr:to>
      <xdr:col>2</xdr:col>
      <xdr:colOff>142875</xdr:colOff>
      <xdr:row>125</xdr:row>
      <xdr:rowOff>161925</xdr:rowOff>
    </xdr:to>
    <xdr:pic>
      <xdr:nvPicPr>
        <xdr:cNvPr id="17" name="Picture 16">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381250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126</xdr:row>
      <xdr:rowOff>0</xdr:rowOff>
    </xdr:from>
    <xdr:to>
      <xdr:col>2</xdr:col>
      <xdr:colOff>133350</xdr:colOff>
      <xdr:row>126</xdr:row>
      <xdr:rowOff>152400</xdr:rowOff>
    </xdr:to>
    <xdr:pic>
      <xdr:nvPicPr>
        <xdr:cNvPr id="18" name="Picture 17">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003000"/>
          <a:ext cx="1333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129</xdr:row>
      <xdr:rowOff>0</xdr:rowOff>
    </xdr:from>
    <xdr:to>
      <xdr:col>2</xdr:col>
      <xdr:colOff>57150</xdr:colOff>
      <xdr:row>129</xdr:row>
      <xdr:rowOff>152400</xdr:rowOff>
    </xdr:to>
    <xdr:pic>
      <xdr:nvPicPr>
        <xdr:cNvPr id="19" name="Picture 18">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574500"/>
          <a:ext cx="571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130</xdr:row>
      <xdr:rowOff>0</xdr:rowOff>
    </xdr:from>
    <xdr:to>
      <xdr:col>2</xdr:col>
      <xdr:colOff>76200</xdr:colOff>
      <xdr:row>130</xdr:row>
      <xdr:rowOff>152400</xdr:rowOff>
    </xdr:to>
    <xdr:pic>
      <xdr:nvPicPr>
        <xdr:cNvPr id="20" name="Picture 19">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765000"/>
          <a:ext cx="762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428625</xdr:colOff>
      <xdr:row>135</xdr:row>
      <xdr:rowOff>161925</xdr:rowOff>
    </xdr:from>
    <xdr:to>
      <xdr:col>3</xdr:col>
      <xdr:colOff>504825</xdr:colOff>
      <xdr:row>136</xdr:row>
      <xdr:rowOff>114300</xdr:rowOff>
    </xdr:to>
    <xdr:pic>
      <xdr:nvPicPr>
        <xdr:cNvPr id="21" name="Picture 20">
          <a:extLst>
            <a:ext uri="{FF2B5EF4-FFF2-40B4-BE49-F238E27FC236}">
              <a16:creationId xmlns:a16="http://schemas.microsoft.com/office/drawing/2014/main" id="{00000000-0008-0000-1400-00001500000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57425" y="25879425"/>
          <a:ext cx="762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5</xdr:row>
      <xdr:rowOff>47625</xdr:rowOff>
    </xdr:from>
    <xdr:to>
      <xdr:col>16</xdr:col>
      <xdr:colOff>433917</xdr:colOff>
      <xdr:row>32</xdr:row>
      <xdr:rowOff>161924</xdr:rowOff>
    </xdr:to>
    <xdr:pic>
      <xdr:nvPicPr>
        <xdr:cNvPr id="8" name="Picture 7" descr="climatezonesbystates.gif">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stretch>
          <a:fillRect/>
        </a:stretch>
      </xdr:blipFill>
      <xdr:spPr>
        <a:xfrm>
          <a:off x="657225" y="1057275"/>
          <a:ext cx="9530292" cy="5257799"/>
        </a:xfrm>
        <a:prstGeom prst="rect">
          <a:avLst/>
        </a:prstGeom>
        <a:effectLst>
          <a:outerShdw blurRad="63500" sx="102000" sy="102000" algn="ctr" rotWithShape="0">
            <a:prstClr val="black">
              <a:alpha val="40000"/>
            </a:prstClr>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247650</xdr:colOff>
      <xdr:row>3</xdr:row>
      <xdr:rowOff>161925</xdr:rowOff>
    </xdr:from>
    <xdr:to>
      <xdr:col>14</xdr:col>
      <xdr:colOff>557742</xdr:colOff>
      <xdr:row>29</xdr:row>
      <xdr:rowOff>85725</xdr:rowOff>
    </xdr:to>
    <xdr:pic>
      <xdr:nvPicPr>
        <xdr:cNvPr id="3" name="Picture 2" descr="Climate Zone Map of the United States">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790575"/>
          <a:ext cx="7625292" cy="4876800"/>
        </a:xfrm>
        <a:prstGeom prst="rect">
          <a:avLst/>
        </a:prstGeom>
        <a:noFill/>
        <a:ln w="9525">
          <a:noFill/>
          <a:miter lim="800000"/>
          <a:headEnd/>
          <a:tailEnd/>
        </a:ln>
        <a:effectLst>
          <a:outerShdw blurRad="63500" sx="102000" sy="102000" algn="ctr" rotWithShape="0">
            <a:prstClr val="black">
              <a:alpha val="40000"/>
            </a:prstClr>
          </a:outerShdw>
        </a:effec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600073</xdr:colOff>
      <xdr:row>6</xdr:row>
      <xdr:rowOff>47622</xdr:rowOff>
    </xdr:from>
    <xdr:ext cx="6816196" cy="8256342"/>
    <xdr:pic>
      <xdr:nvPicPr>
        <xdr:cNvPr id="2" name="Picture 1">
          <a:extLst>
            <a:ext uri="{FF2B5EF4-FFF2-40B4-BE49-F238E27FC236}">
              <a16:creationId xmlns:a16="http://schemas.microsoft.com/office/drawing/2014/main" id="{00000000-0008-0000-1C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13" r="2167"/>
        <a:stretch/>
      </xdr:blipFill>
      <xdr:spPr bwMode="auto">
        <a:xfrm>
          <a:off x="600073" y="809622"/>
          <a:ext cx="6816196" cy="8256342"/>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141767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184150</xdr:colOff>
          <xdr:row>7</xdr:row>
          <xdr:rowOff>184150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882650</xdr:colOff>
      <xdr:row>4</xdr:row>
      <xdr:rowOff>144942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184150</xdr:colOff>
          <xdr:row>14</xdr:row>
          <xdr:rowOff>184150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184150</xdr:colOff>
          <xdr:row>16</xdr:row>
          <xdr:rowOff>184150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184150</xdr:colOff>
          <xdr:row>17</xdr:row>
          <xdr:rowOff>184150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xdr:row>
          <xdr:rowOff>0</xdr:rowOff>
        </xdr:from>
        <xdr:to>
          <xdr:col>22</xdr:col>
          <xdr:colOff>184150</xdr:colOff>
          <xdr:row>18</xdr:row>
          <xdr:rowOff>184150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184150</xdr:colOff>
          <xdr:row>21</xdr:row>
          <xdr:rowOff>184150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xdr:row>
          <xdr:rowOff>0</xdr:rowOff>
        </xdr:from>
        <xdr:to>
          <xdr:col>22</xdr:col>
          <xdr:colOff>184150</xdr:colOff>
          <xdr:row>23</xdr:row>
          <xdr:rowOff>184150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xdr:row>
          <xdr:rowOff>0</xdr:rowOff>
        </xdr:from>
        <xdr:to>
          <xdr:col>22</xdr:col>
          <xdr:colOff>184150</xdr:colOff>
          <xdr:row>25</xdr:row>
          <xdr:rowOff>184150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xdr:row>
          <xdr:rowOff>0</xdr:rowOff>
        </xdr:from>
        <xdr:to>
          <xdr:col>22</xdr:col>
          <xdr:colOff>184150</xdr:colOff>
          <xdr:row>27</xdr:row>
          <xdr:rowOff>184150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xdr:row>
          <xdr:rowOff>0</xdr:rowOff>
        </xdr:from>
        <xdr:to>
          <xdr:col>22</xdr:col>
          <xdr:colOff>184150</xdr:colOff>
          <xdr:row>36</xdr:row>
          <xdr:rowOff>184150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184150</xdr:colOff>
          <xdr:row>45</xdr:row>
          <xdr:rowOff>184150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xdr:row>
          <xdr:rowOff>0</xdr:rowOff>
        </xdr:from>
        <xdr:to>
          <xdr:col>22</xdr:col>
          <xdr:colOff>184150</xdr:colOff>
          <xdr:row>56</xdr:row>
          <xdr:rowOff>184150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184150</xdr:colOff>
          <xdr:row>57</xdr:row>
          <xdr:rowOff>184150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xdr:row>
          <xdr:rowOff>0</xdr:rowOff>
        </xdr:from>
        <xdr:to>
          <xdr:col>22</xdr:col>
          <xdr:colOff>184150</xdr:colOff>
          <xdr:row>59</xdr:row>
          <xdr:rowOff>184150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xdr:row>
          <xdr:rowOff>0</xdr:rowOff>
        </xdr:from>
        <xdr:to>
          <xdr:col>22</xdr:col>
          <xdr:colOff>184150</xdr:colOff>
          <xdr:row>61</xdr:row>
          <xdr:rowOff>184150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xdr:row>
          <xdr:rowOff>0</xdr:rowOff>
        </xdr:from>
        <xdr:to>
          <xdr:col>22</xdr:col>
          <xdr:colOff>184150</xdr:colOff>
          <xdr:row>62</xdr:row>
          <xdr:rowOff>184150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xdr:row>
          <xdr:rowOff>0</xdr:rowOff>
        </xdr:from>
        <xdr:to>
          <xdr:col>22</xdr:col>
          <xdr:colOff>184150</xdr:colOff>
          <xdr:row>63</xdr:row>
          <xdr:rowOff>184150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xdr:row>
          <xdr:rowOff>0</xdr:rowOff>
        </xdr:from>
        <xdr:to>
          <xdr:col>22</xdr:col>
          <xdr:colOff>184150</xdr:colOff>
          <xdr:row>65</xdr:row>
          <xdr:rowOff>184150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xdr:row>
          <xdr:rowOff>0</xdr:rowOff>
        </xdr:from>
        <xdr:to>
          <xdr:col>22</xdr:col>
          <xdr:colOff>184150</xdr:colOff>
          <xdr:row>69</xdr:row>
          <xdr:rowOff>184150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70</xdr:row>
          <xdr:rowOff>0</xdr:rowOff>
        </xdr:from>
        <xdr:to>
          <xdr:col>22</xdr:col>
          <xdr:colOff>184150</xdr:colOff>
          <xdr:row>70</xdr:row>
          <xdr:rowOff>184150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77</xdr:row>
          <xdr:rowOff>0</xdr:rowOff>
        </xdr:from>
        <xdr:to>
          <xdr:col>22</xdr:col>
          <xdr:colOff>184150</xdr:colOff>
          <xdr:row>77</xdr:row>
          <xdr:rowOff>184150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xdr:row>
          <xdr:rowOff>0</xdr:rowOff>
        </xdr:from>
        <xdr:to>
          <xdr:col>22</xdr:col>
          <xdr:colOff>184150</xdr:colOff>
          <xdr:row>79</xdr:row>
          <xdr:rowOff>184150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xdr:row>
          <xdr:rowOff>0</xdr:rowOff>
        </xdr:from>
        <xdr:to>
          <xdr:col>22</xdr:col>
          <xdr:colOff>184150</xdr:colOff>
          <xdr:row>83</xdr:row>
          <xdr:rowOff>184150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87</xdr:row>
          <xdr:rowOff>0</xdr:rowOff>
        </xdr:from>
        <xdr:to>
          <xdr:col>22</xdr:col>
          <xdr:colOff>184150</xdr:colOff>
          <xdr:row>87</xdr:row>
          <xdr:rowOff>184150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88</xdr:row>
          <xdr:rowOff>0</xdr:rowOff>
        </xdr:from>
        <xdr:to>
          <xdr:col>22</xdr:col>
          <xdr:colOff>184150</xdr:colOff>
          <xdr:row>88</xdr:row>
          <xdr:rowOff>184150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184150</xdr:colOff>
          <xdr:row>91</xdr:row>
          <xdr:rowOff>184150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xdr:row>
          <xdr:rowOff>0</xdr:rowOff>
        </xdr:from>
        <xdr:to>
          <xdr:col>22</xdr:col>
          <xdr:colOff>184150</xdr:colOff>
          <xdr:row>92</xdr:row>
          <xdr:rowOff>184150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100</xdr:row>
          <xdr:rowOff>0</xdr:rowOff>
        </xdr:from>
        <xdr:to>
          <xdr:col>22</xdr:col>
          <xdr:colOff>184150</xdr:colOff>
          <xdr:row>100</xdr:row>
          <xdr:rowOff>184150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xdr:row>
          <xdr:rowOff>0</xdr:rowOff>
        </xdr:from>
        <xdr:to>
          <xdr:col>22</xdr:col>
          <xdr:colOff>184150</xdr:colOff>
          <xdr:row>103</xdr:row>
          <xdr:rowOff>184150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xdr:row>
          <xdr:rowOff>0</xdr:rowOff>
        </xdr:from>
        <xdr:to>
          <xdr:col>22</xdr:col>
          <xdr:colOff>184150</xdr:colOff>
          <xdr:row>129</xdr:row>
          <xdr:rowOff>184150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xdr:row>
          <xdr:rowOff>0</xdr:rowOff>
        </xdr:from>
        <xdr:to>
          <xdr:col>22</xdr:col>
          <xdr:colOff>184150</xdr:colOff>
          <xdr:row>131</xdr:row>
          <xdr:rowOff>184150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xdr:row>
          <xdr:rowOff>0</xdr:rowOff>
        </xdr:from>
        <xdr:to>
          <xdr:col>22</xdr:col>
          <xdr:colOff>184150</xdr:colOff>
          <xdr:row>133</xdr:row>
          <xdr:rowOff>184150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140</xdr:row>
          <xdr:rowOff>0</xdr:rowOff>
        </xdr:from>
        <xdr:to>
          <xdr:col>22</xdr:col>
          <xdr:colOff>184150</xdr:colOff>
          <xdr:row>140</xdr:row>
          <xdr:rowOff>184150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141</xdr:row>
          <xdr:rowOff>0</xdr:rowOff>
        </xdr:from>
        <xdr:to>
          <xdr:col>22</xdr:col>
          <xdr:colOff>184150</xdr:colOff>
          <xdr:row>141</xdr:row>
          <xdr:rowOff>184150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xdr:row>
          <xdr:rowOff>0</xdr:rowOff>
        </xdr:from>
        <xdr:to>
          <xdr:col>22</xdr:col>
          <xdr:colOff>184150</xdr:colOff>
          <xdr:row>146</xdr:row>
          <xdr:rowOff>184150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184150</xdr:colOff>
          <xdr:row>148</xdr:row>
          <xdr:rowOff>184150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xdr:row>
          <xdr:rowOff>0</xdr:rowOff>
        </xdr:from>
        <xdr:to>
          <xdr:col>22</xdr:col>
          <xdr:colOff>184150</xdr:colOff>
          <xdr:row>151</xdr:row>
          <xdr:rowOff>184150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xdr:row>
          <xdr:rowOff>0</xdr:rowOff>
        </xdr:from>
        <xdr:to>
          <xdr:col>22</xdr:col>
          <xdr:colOff>184150</xdr:colOff>
          <xdr:row>153</xdr:row>
          <xdr:rowOff>184150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xdr:row>
          <xdr:rowOff>0</xdr:rowOff>
        </xdr:from>
        <xdr:to>
          <xdr:col>22</xdr:col>
          <xdr:colOff>184150</xdr:colOff>
          <xdr:row>155</xdr:row>
          <xdr:rowOff>184150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184150</xdr:colOff>
          <xdr:row>159</xdr:row>
          <xdr:rowOff>184150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xdr:row>
          <xdr:rowOff>0</xdr:rowOff>
        </xdr:from>
        <xdr:to>
          <xdr:col>22</xdr:col>
          <xdr:colOff>184150</xdr:colOff>
          <xdr:row>160</xdr:row>
          <xdr:rowOff>184150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xdr:row>
          <xdr:rowOff>0</xdr:rowOff>
        </xdr:from>
        <xdr:to>
          <xdr:col>22</xdr:col>
          <xdr:colOff>184150</xdr:colOff>
          <xdr:row>161</xdr:row>
          <xdr:rowOff>184150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xdr:row>
          <xdr:rowOff>0</xdr:rowOff>
        </xdr:from>
        <xdr:to>
          <xdr:col>22</xdr:col>
          <xdr:colOff>184150</xdr:colOff>
          <xdr:row>163</xdr:row>
          <xdr:rowOff>184150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184150</xdr:colOff>
          <xdr:row>178</xdr:row>
          <xdr:rowOff>184150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184150</xdr:colOff>
          <xdr:row>185</xdr:row>
          <xdr:rowOff>184150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xdr:row>
          <xdr:rowOff>0</xdr:rowOff>
        </xdr:from>
        <xdr:to>
          <xdr:col>22</xdr:col>
          <xdr:colOff>184150</xdr:colOff>
          <xdr:row>186</xdr:row>
          <xdr:rowOff>184150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188</xdr:row>
          <xdr:rowOff>0</xdr:rowOff>
        </xdr:from>
        <xdr:to>
          <xdr:col>22</xdr:col>
          <xdr:colOff>184150</xdr:colOff>
          <xdr:row>188</xdr:row>
          <xdr:rowOff>184150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xdr:row>
          <xdr:rowOff>0</xdr:rowOff>
        </xdr:from>
        <xdr:to>
          <xdr:col>22</xdr:col>
          <xdr:colOff>184150</xdr:colOff>
          <xdr:row>193</xdr:row>
          <xdr:rowOff>184150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xdr:row>
          <xdr:rowOff>0</xdr:rowOff>
        </xdr:from>
        <xdr:to>
          <xdr:col>22</xdr:col>
          <xdr:colOff>184150</xdr:colOff>
          <xdr:row>195</xdr:row>
          <xdr:rowOff>184150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xdr:row>
          <xdr:rowOff>0</xdr:rowOff>
        </xdr:from>
        <xdr:to>
          <xdr:col>22</xdr:col>
          <xdr:colOff>184150</xdr:colOff>
          <xdr:row>196</xdr:row>
          <xdr:rowOff>184150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198</xdr:row>
          <xdr:rowOff>0</xdr:rowOff>
        </xdr:from>
        <xdr:to>
          <xdr:col>22</xdr:col>
          <xdr:colOff>184150</xdr:colOff>
          <xdr:row>198</xdr:row>
          <xdr:rowOff>184150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200</xdr:row>
          <xdr:rowOff>0</xdr:rowOff>
        </xdr:from>
        <xdr:to>
          <xdr:col>22</xdr:col>
          <xdr:colOff>184150</xdr:colOff>
          <xdr:row>200</xdr:row>
          <xdr:rowOff>184150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xdr:row>
          <xdr:rowOff>0</xdr:rowOff>
        </xdr:from>
        <xdr:to>
          <xdr:col>22</xdr:col>
          <xdr:colOff>184150</xdr:colOff>
          <xdr:row>204</xdr:row>
          <xdr:rowOff>184150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xdr:row>
          <xdr:rowOff>0</xdr:rowOff>
        </xdr:from>
        <xdr:to>
          <xdr:col>22</xdr:col>
          <xdr:colOff>184150</xdr:colOff>
          <xdr:row>207</xdr:row>
          <xdr:rowOff>184150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xdr:row>
          <xdr:rowOff>0</xdr:rowOff>
        </xdr:from>
        <xdr:to>
          <xdr:col>22</xdr:col>
          <xdr:colOff>184150</xdr:colOff>
          <xdr:row>209</xdr:row>
          <xdr:rowOff>184150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184150</xdr:colOff>
          <xdr:row>210</xdr:row>
          <xdr:rowOff>184150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211</xdr:row>
          <xdr:rowOff>0</xdr:rowOff>
        </xdr:from>
        <xdr:to>
          <xdr:col>22</xdr:col>
          <xdr:colOff>184150</xdr:colOff>
          <xdr:row>211</xdr:row>
          <xdr:rowOff>184150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212</xdr:row>
          <xdr:rowOff>0</xdr:rowOff>
        </xdr:from>
        <xdr:to>
          <xdr:col>22</xdr:col>
          <xdr:colOff>184150</xdr:colOff>
          <xdr:row>212</xdr:row>
          <xdr:rowOff>184150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213</xdr:row>
          <xdr:rowOff>0</xdr:rowOff>
        </xdr:from>
        <xdr:to>
          <xdr:col>22</xdr:col>
          <xdr:colOff>184150</xdr:colOff>
          <xdr:row>213</xdr:row>
          <xdr:rowOff>184150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214</xdr:row>
          <xdr:rowOff>0</xdr:rowOff>
        </xdr:from>
        <xdr:to>
          <xdr:col>22</xdr:col>
          <xdr:colOff>184150</xdr:colOff>
          <xdr:row>214</xdr:row>
          <xdr:rowOff>184150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216</xdr:row>
          <xdr:rowOff>0</xdr:rowOff>
        </xdr:from>
        <xdr:to>
          <xdr:col>22</xdr:col>
          <xdr:colOff>184150</xdr:colOff>
          <xdr:row>216</xdr:row>
          <xdr:rowOff>184150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xdr:row>
          <xdr:rowOff>0</xdr:rowOff>
        </xdr:from>
        <xdr:to>
          <xdr:col>22</xdr:col>
          <xdr:colOff>184150</xdr:colOff>
          <xdr:row>223</xdr:row>
          <xdr:rowOff>184150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225</xdr:row>
          <xdr:rowOff>0</xdr:rowOff>
        </xdr:from>
        <xdr:to>
          <xdr:col>22</xdr:col>
          <xdr:colOff>184150</xdr:colOff>
          <xdr:row>225</xdr:row>
          <xdr:rowOff>184150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xdr:row>
          <xdr:rowOff>0</xdr:rowOff>
        </xdr:from>
        <xdr:to>
          <xdr:col>22</xdr:col>
          <xdr:colOff>184150</xdr:colOff>
          <xdr:row>238</xdr:row>
          <xdr:rowOff>184150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184150</xdr:colOff>
          <xdr:row>241</xdr:row>
          <xdr:rowOff>184150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xdr:row>
          <xdr:rowOff>0</xdr:rowOff>
        </xdr:from>
        <xdr:to>
          <xdr:col>22</xdr:col>
          <xdr:colOff>184150</xdr:colOff>
          <xdr:row>245</xdr:row>
          <xdr:rowOff>184150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246</xdr:row>
          <xdr:rowOff>0</xdr:rowOff>
        </xdr:from>
        <xdr:to>
          <xdr:col>22</xdr:col>
          <xdr:colOff>184150</xdr:colOff>
          <xdr:row>246</xdr:row>
          <xdr:rowOff>184150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255</xdr:row>
          <xdr:rowOff>0</xdr:rowOff>
        </xdr:from>
        <xdr:to>
          <xdr:col>22</xdr:col>
          <xdr:colOff>184150</xdr:colOff>
          <xdr:row>255</xdr:row>
          <xdr:rowOff>184150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256</xdr:row>
          <xdr:rowOff>0</xdr:rowOff>
        </xdr:from>
        <xdr:to>
          <xdr:col>22</xdr:col>
          <xdr:colOff>184150</xdr:colOff>
          <xdr:row>256</xdr:row>
          <xdr:rowOff>184150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300-0000E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258</xdr:row>
          <xdr:rowOff>0</xdr:rowOff>
        </xdr:from>
        <xdr:to>
          <xdr:col>22</xdr:col>
          <xdr:colOff>184150</xdr:colOff>
          <xdr:row>258</xdr:row>
          <xdr:rowOff>184150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300-0000E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28</xdr:row>
          <xdr:rowOff>0</xdr:rowOff>
        </xdr:from>
        <xdr:to>
          <xdr:col>22</xdr:col>
          <xdr:colOff>184150</xdr:colOff>
          <xdr:row>28</xdr:row>
          <xdr:rowOff>184150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xdr:row>
          <xdr:rowOff>0</xdr:rowOff>
        </xdr:from>
        <xdr:to>
          <xdr:col>22</xdr:col>
          <xdr:colOff>184150</xdr:colOff>
          <xdr:row>31</xdr:row>
          <xdr:rowOff>184150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xdr:row>
          <xdr:rowOff>0</xdr:rowOff>
        </xdr:from>
        <xdr:to>
          <xdr:col>22</xdr:col>
          <xdr:colOff>184150</xdr:colOff>
          <xdr:row>34</xdr:row>
          <xdr:rowOff>184150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xdr:row>
          <xdr:rowOff>0</xdr:rowOff>
        </xdr:from>
        <xdr:to>
          <xdr:col>22</xdr:col>
          <xdr:colOff>184150</xdr:colOff>
          <xdr:row>38</xdr:row>
          <xdr:rowOff>184150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xdr:row>
          <xdr:rowOff>0</xdr:rowOff>
        </xdr:from>
        <xdr:to>
          <xdr:col>22</xdr:col>
          <xdr:colOff>184150</xdr:colOff>
          <xdr:row>39</xdr:row>
          <xdr:rowOff>184150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184150</xdr:colOff>
          <xdr:row>40</xdr:row>
          <xdr:rowOff>184150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184150</xdr:colOff>
          <xdr:row>41</xdr:row>
          <xdr:rowOff>184150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xdr:row>
          <xdr:rowOff>0</xdr:rowOff>
        </xdr:from>
        <xdr:to>
          <xdr:col>22</xdr:col>
          <xdr:colOff>184150</xdr:colOff>
          <xdr:row>42</xdr:row>
          <xdr:rowOff>184150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184150</xdr:colOff>
          <xdr:row>43</xdr:row>
          <xdr:rowOff>184150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184150</xdr:colOff>
          <xdr:row>49</xdr:row>
          <xdr:rowOff>184150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184150</xdr:colOff>
          <xdr:row>50</xdr:row>
          <xdr:rowOff>184150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184150</xdr:colOff>
          <xdr:row>51</xdr:row>
          <xdr:rowOff>184150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0</xdr:rowOff>
        </xdr:from>
        <xdr:to>
          <xdr:col>22</xdr:col>
          <xdr:colOff>184150</xdr:colOff>
          <xdr:row>52</xdr:row>
          <xdr:rowOff>184150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184150</xdr:colOff>
          <xdr:row>53</xdr:row>
          <xdr:rowOff>184150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77</xdr:row>
          <xdr:rowOff>0</xdr:rowOff>
        </xdr:from>
        <xdr:to>
          <xdr:col>22</xdr:col>
          <xdr:colOff>184150</xdr:colOff>
          <xdr:row>77</xdr:row>
          <xdr:rowOff>184150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xdr:row>
          <xdr:rowOff>0</xdr:rowOff>
        </xdr:from>
        <xdr:to>
          <xdr:col>22</xdr:col>
          <xdr:colOff>184150</xdr:colOff>
          <xdr:row>85</xdr:row>
          <xdr:rowOff>184150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400-00007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184150</xdr:colOff>
          <xdr:row>99</xdr:row>
          <xdr:rowOff>184150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xdr:row>
          <xdr:rowOff>0</xdr:rowOff>
        </xdr:from>
        <xdr:to>
          <xdr:col>22</xdr:col>
          <xdr:colOff>184150</xdr:colOff>
          <xdr:row>103</xdr:row>
          <xdr:rowOff>184150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184150</xdr:colOff>
          <xdr:row>104</xdr:row>
          <xdr:rowOff>184150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xdr:row>
          <xdr:rowOff>0</xdr:rowOff>
        </xdr:from>
        <xdr:to>
          <xdr:col>22</xdr:col>
          <xdr:colOff>184150</xdr:colOff>
          <xdr:row>106</xdr:row>
          <xdr:rowOff>184150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xdr:row>
          <xdr:rowOff>0</xdr:rowOff>
        </xdr:from>
        <xdr:to>
          <xdr:col>22</xdr:col>
          <xdr:colOff>184150</xdr:colOff>
          <xdr:row>108</xdr:row>
          <xdr:rowOff>184150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114</xdr:row>
          <xdr:rowOff>0</xdr:rowOff>
        </xdr:from>
        <xdr:to>
          <xdr:col>22</xdr:col>
          <xdr:colOff>184150</xdr:colOff>
          <xdr:row>114</xdr:row>
          <xdr:rowOff>184150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184150</xdr:colOff>
          <xdr:row>120</xdr:row>
          <xdr:rowOff>184150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xdr:row>
          <xdr:rowOff>0</xdr:rowOff>
        </xdr:from>
        <xdr:to>
          <xdr:col>22</xdr:col>
          <xdr:colOff>184150</xdr:colOff>
          <xdr:row>126</xdr:row>
          <xdr:rowOff>184150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184150</xdr:colOff>
          <xdr:row>128</xdr:row>
          <xdr:rowOff>184150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184150</xdr:colOff>
          <xdr:row>134</xdr:row>
          <xdr:rowOff>184150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xdr:row>
          <xdr:rowOff>0</xdr:rowOff>
        </xdr:from>
        <xdr:to>
          <xdr:col>22</xdr:col>
          <xdr:colOff>184150</xdr:colOff>
          <xdr:row>138</xdr:row>
          <xdr:rowOff>184150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184150</xdr:colOff>
          <xdr:row>142</xdr:row>
          <xdr:rowOff>184150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184150</xdr:colOff>
          <xdr:row>147</xdr:row>
          <xdr:rowOff>184150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184150</xdr:colOff>
          <xdr:row>152</xdr:row>
          <xdr:rowOff>184150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184150</xdr:colOff>
          <xdr:row>154</xdr:row>
          <xdr:rowOff>184150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xdr:row>
          <xdr:rowOff>0</xdr:rowOff>
        </xdr:from>
        <xdr:to>
          <xdr:col>22</xdr:col>
          <xdr:colOff>184150</xdr:colOff>
          <xdr:row>156</xdr:row>
          <xdr:rowOff>184150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xdr:row>
          <xdr:rowOff>0</xdr:rowOff>
        </xdr:from>
        <xdr:to>
          <xdr:col>22</xdr:col>
          <xdr:colOff>184150</xdr:colOff>
          <xdr:row>168</xdr:row>
          <xdr:rowOff>184150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184150</xdr:colOff>
          <xdr:row>178</xdr:row>
          <xdr:rowOff>184150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xdr:row>
          <xdr:rowOff>0</xdr:rowOff>
        </xdr:from>
        <xdr:to>
          <xdr:col>22</xdr:col>
          <xdr:colOff>184150</xdr:colOff>
          <xdr:row>181</xdr:row>
          <xdr:rowOff>184150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xdr:row>
          <xdr:rowOff>0</xdr:rowOff>
        </xdr:from>
        <xdr:to>
          <xdr:col>22</xdr:col>
          <xdr:colOff>184150</xdr:colOff>
          <xdr:row>182</xdr:row>
          <xdr:rowOff>184150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184150</xdr:colOff>
          <xdr:row>192</xdr:row>
          <xdr:rowOff>184150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xdr:row>
          <xdr:rowOff>0</xdr:rowOff>
        </xdr:from>
        <xdr:to>
          <xdr:col>22</xdr:col>
          <xdr:colOff>184150</xdr:colOff>
          <xdr:row>194</xdr:row>
          <xdr:rowOff>184150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184150</xdr:colOff>
          <xdr:row>210</xdr:row>
          <xdr:rowOff>184150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xdr:row>
          <xdr:rowOff>0</xdr:rowOff>
        </xdr:from>
        <xdr:to>
          <xdr:col>22</xdr:col>
          <xdr:colOff>184150</xdr:colOff>
          <xdr:row>221</xdr:row>
          <xdr:rowOff>184150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xdr:row>
          <xdr:rowOff>0</xdr:rowOff>
        </xdr:from>
        <xdr:to>
          <xdr:col>22</xdr:col>
          <xdr:colOff>184150</xdr:colOff>
          <xdr:row>222</xdr:row>
          <xdr:rowOff>184150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xdr:row>
          <xdr:rowOff>0</xdr:rowOff>
        </xdr:from>
        <xdr:to>
          <xdr:col>22</xdr:col>
          <xdr:colOff>184150</xdr:colOff>
          <xdr:row>227</xdr:row>
          <xdr:rowOff>184150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184150</xdr:colOff>
          <xdr:row>229</xdr:row>
          <xdr:rowOff>184150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xdr:row>
          <xdr:rowOff>0</xdr:rowOff>
        </xdr:from>
        <xdr:to>
          <xdr:col>22</xdr:col>
          <xdr:colOff>184150</xdr:colOff>
          <xdr:row>230</xdr:row>
          <xdr:rowOff>184150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xdr:row>
          <xdr:rowOff>0</xdr:rowOff>
        </xdr:from>
        <xdr:to>
          <xdr:col>22</xdr:col>
          <xdr:colOff>184150</xdr:colOff>
          <xdr:row>233</xdr:row>
          <xdr:rowOff>184150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xdr:row>
          <xdr:rowOff>0</xdr:rowOff>
        </xdr:from>
        <xdr:to>
          <xdr:col>22</xdr:col>
          <xdr:colOff>184150</xdr:colOff>
          <xdr:row>237</xdr:row>
          <xdr:rowOff>184150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xdr:row>
          <xdr:rowOff>0</xdr:rowOff>
        </xdr:from>
        <xdr:to>
          <xdr:col>22</xdr:col>
          <xdr:colOff>184150</xdr:colOff>
          <xdr:row>242</xdr:row>
          <xdr:rowOff>184150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xdr:row>
          <xdr:rowOff>0</xdr:rowOff>
        </xdr:from>
        <xdr:to>
          <xdr:col>22</xdr:col>
          <xdr:colOff>184150</xdr:colOff>
          <xdr:row>244</xdr:row>
          <xdr:rowOff>184150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261</xdr:row>
          <xdr:rowOff>0</xdr:rowOff>
        </xdr:from>
        <xdr:to>
          <xdr:col>22</xdr:col>
          <xdr:colOff>184150</xdr:colOff>
          <xdr:row>261</xdr:row>
          <xdr:rowOff>184150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277</xdr:row>
          <xdr:rowOff>0</xdr:rowOff>
        </xdr:from>
        <xdr:to>
          <xdr:col>22</xdr:col>
          <xdr:colOff>184150</xdr:colOff>
          <xdr:row>277</xdr:row>
          <xdr:rowOff>184150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290</xdr:row>
          <xdr:rowOff>0</xdr:rowOff>
        </xdr:from>
        <xdr:to>
          <xdr:col>22</xdr:col>
          <xdr:colOff>184150</xdr:colOff>
          <xdr:row>290</xdr:row>
          <xdr:rowOff>184150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292</xdr:row>
          <xdr:rowOff>0</xdr:rowOff>
        </xdr:from>
        <xdr:to>
          <xdr:col>22</xdr:col>
          <xdr:colOff>184150</xdr:colOff>
          <xdr:row>292</xdr:row>
          <xdr:rowOff>184150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184150</xdr:colOff>
          <xdr:row>305</xdr:row>
          <xdr:rowOff>184150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306</xdr:row>
          <xdr:rowOff>0</xdr:rowOff>
        </xdr:from>
        <xdr:to>
          <xdr:col>22</xdr:col>
          <xdr:colOff>184150</xdr:colOff>
          <xdr:row>306</xdr:row>
          <xdr:rowOff>184150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307</xdr:row>
          <xdr:rowOff>0</xdr:rowOff>
        </xdr:from>
        <xdr:to>
          <xdr:col>22</xdr:col>
          <xdr:colOff>184150</xdr:colOff>
          <xdr:row>307</xdr:row>
          <xdr:rowOff>184150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184150</xdr:colOff>
          <xdr:row>308</xdr:row>
          <xdr:rowOff>184150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309</xdr:row>
          <xdr:rowOff>0</xdr:rowOff>
        </xdr:from>
        <xdr:to>
          <xdr:col>22</xdr:col>
          <xdr:colOff>184150</xdr:colOff>
          <xdr:row>309</xdr:row>
          <xdr:rowOff>184150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310</xdr:row>
          <xdr:rowOff>0</xdr:rowOff>
        </xdr:from>
        <xdr:to>
          <xdr:col>22</xdr:col>
          <xdr:colOff>184150</xdr:colOff>
          <xdr:row>310</xdr:row>
          <xdr:rowOff>184150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311</xdr:row>
          <xdr:rowOff>0</xdr:rowOff>
        </xdr:from>
        <xdr:to>
          <xdr:col>22</xdr:col>
          <xdr:colOff>184150</xdr:colOff>
          <xdr:row>311</xdr:row>
          <xdr:rowOff>184150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312</xdr:row>
          <xdr:rowOff>0</xdr:rowOff>
        </xdr:from>
        <xdr:to>
          <xdr:col>22</xdr:col>
          <xdr:colOff>184150</xdr:colOff>
          <xdr:row>312</xdr:row>
          <xdr:rowOff>184150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313</xdr:row>
          <xdr:rowOff>0</xdr:rowOff>
        </xdr:from>
        <xdr:to>
          <xdr:col>22</xdr:col>
          <xdr:colOff>184150</xdr:colOff>
          <xdr:row>313</xdr:row>
          <xdr:rowOff>184150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360</xdr:row>
          <xdr:rowOff>0</xdr:rowOff>
        </xdr:from>
        <xdr:to>
          <xdr:col>22</xdr:col>
          <xdr:colOff>184150</xdr:colOff>
          <xdr:row>360</xdr:row>
          <xdr:rowOff>184150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362</xdr:row>
          <xdr:rowOff>0</xdr:rowOff>
        </xdr:from>
        <xdr:to>
          <xdr:col>22</xdr:col>
          <xdr:colOff>184150</xdr:colOff>
          <xdr:row>362</xdr:row>
          <xdr:rowOff>184150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363</xdr:row>
          <xdr:rowOff>0</xdr:rowOff>
        </xdr:from>
        <xdr:to>
          <xdr:col>22</xdr:col>
          <xdr:colOff>184150</xdr:colOff>
          <xdr:row>363</xdr:row>
          <xdr:rowOff>184150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391</xdr:row>
          <xdr:rowOff>0</xdr:rowOff>
        </xdr:from>
        <xdr:to>
          <xdr:col>22</xdr:col>
          <xdr:colOff>184150</xdr:colOff>
          <xdr:row>391</xdr:row>
          <xdr:rowOff>184150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400</xdr:row>
          <xdr:rowOff>0</xdr:rowOff>
        </xdr:from>
        <xdr:to>
          <xdr:col>22</xdr:col>
          <xdr:colOff>184150</xdr:colOff>
          <xdr:row>400</xdr:row>
          <xdr:rowOff>184150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407</xdr:row>
          <xdr:rowOff>0</xdr:rowOff>
        </xdr:from>
        <xdr:to>
          <xdr:col>22</xdr:col>
          <xdr:colOff>184150</xdr:colOff>
          <xdr:row>407</xdr:row>
          <xdr:rowOff>184150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463</xdr:row>
          <xdr:rowOff>0</xdr:rowOff>
        </xdr:from>
        <xdr:to>
          <xdr:col>22</xdr:col>
          <xdr:colOff>184150</xdr:colOff>
          <xdr:row>463</xdr:row>
          <xdr:rowOff>184150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464</xdr:row>
          <xdr:rowOff>0</xdr:rowOff>
        </xdr:from>
        <xdr:to>
          <xdr:col>22</xdr:col>
          <xdr:colOff>184150</xdr:colOff>
          <xdr:row>464</xdr:row>
          <xdr:rowOff>184150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465</xdr:row>
          <xdr:rowOff>0</xdr:rowOff>
        </xdr:from>
        <xdr:to>
          <xdr:col>22</xdr:col>
          <xdr:colOff>184150</xdr:colOff>
          <xdr:row>465</xdr:row>
          <xdr:rowOff>184150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466</xdr:row>
          <xdr:rowOff>0</xdr:rowOff>
        </xdr:from>
        <xdr:to>
          <xdr:col>22</xdr:col>
          <xdr:colOff>184150</xdr:colOff>
          <xdr:row>466</xdr:row>
          <xdr:rowOff>184150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467</xdr:row>
          <xdr:rowOff>0</xdr:rowOff>
        </xdr:from>
        <xdr:to>
          <xdr:col>22</xdr:col>
          <xdr:colOff>184150</xdr:colOff>
          <xdr:row>467</xdr:row>
          <xdr:rowOff>184150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0</xdr:rowOff>
        </xdr:from>
        <xdr:to>
          <xdr:col>22</xdr:col>
          <xdr:colOff>184150</xdr:colOff>
          <xdr:row>468</xdr:row>
          <xdr:rowOff>184150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469</xdr:row>
          <xdr:rowOff>0</xdr:rowOff>
        </xdr:from>
        <xdr:to>
          <xdr:col>22</xdr:col>
          <xdr:colOff>184150</xdr:colOff>
          <xdr:row>469</xdr:row>
          <xdr:rowOff>184150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473</xdr:row>
          <xdr:rowOff>0</xdr:rowOff>
        </xdr:from>
        <xdr:to>
          <xdr:col>22</xdr:col>
          <xdr:colOff>184150</xdr:colOff>
          <xdr:row>473</xdr:row>
          <xdr:rowOff>184150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478</xdr:row>
          <xdr:rowOff>0</xdr:rowOff>
        </xdr:from>
        <xdr:to>
          <xdr:col>22</xdr:col>
          <xdr:colOff>184150</xdr:colOff>
          <xdr:row>478</xdr:row>
          <xdr:rowOff>184150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482</xdr:row>
          <xdr:rowOff>0</xdr:rowOff>
        </xdr:from>
        <xdr:to>
          <xdr:col>22</xdr:col>
          <xdr:colOff>184150</xdr:colOff>
          <xdr:row>482</xdr:row>
          <xdr:rowOff>184150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484</xdr:row>
          <xdr:rowOff>0</xdr:rowOff>
        </xdr:from>
        <xdr:to>
          <xdr:col>22</xdr:col>
          <xdr:colOff>184150</xdr:colOff>
          <xdr:row>484</xdr:row>
          <xdr:rowOff>184150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486</xdr:row>
          <xdr:rowOff>0</xdr:rowOff>
        </xdr:from>
        <xdr:to>
          <xdr:col>22</xdr:col>
          <xdr:colOff>184150</xdr:colOff>
          <xdr:row>486</xdr:row>
          <xdr:rowOff>184150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487</xdr:row>
          <xdr:rowOff>0</xdr:rowOff>
        </xdr:from>
        <xdr:to>
          <xdr:col>22</xdr:col>
          <xdr:colOff>184150</xdr:colOff>
          <xdr:row>487</xdr:row>
          <xdr:rowOff>184150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488</xdr:row>
          <xdr:rowOff>0</xdr:rowOff>
        </xdr:from>
        <xdr:to>
          <xdr:col>22</xdr:col>
          <xdr:colOff>184150</xdr:colOff>
          <xdr:row>488</xdr:row>
          <xdr:rowOff>184150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492</xdr:row>
          <xdr:rowOff>0</xdr:rowOff>
        </xdr:from>
        <xdr:to>
          <xdr:col>22</xdr:col>
          <xdr:colOff>184150</xdr:colOff>
          <xdr:row>492</xdr:row>
          <xdr:rowOff>184150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494</xdr:row>
          <xdr:rowOff>0</xdr:rowOff>
        </xdr:from>
        <xdr:to>
          <xdr:col>22</xdr:col>
          <xdr:colOff>184150</xdr:colOff>
          <xdr:row>494</xdr:row>
          <xdr:rowOff>184150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400-0000B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34</xdr:row>
          <xdr:rowOff>0</xdr:rowOff>
        </xdr:from>
        <xdr:to>
          <xdr:col>22</xdr:col>
          <xdr:colOff>184150</xdr:colOff>
          <xdr:row>34</xdr:row>
          <xdr:rowOff>184150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xdr:row>
          <xdr:rowOff>0</xdr:rowOff>
        </xdr:from>
        <xdr:to>
          <xdr:col>22</xdr:col>
          <xdr:colOff>184150</xdr:colOff>
          <xdr:row>39</xdr:row>
          <xdr:rowOff>184150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xdr:row>
          <xdr:rowOff>0</xdr:rowOff>
        </xdr:from>
        <xdr:to>
          <xdr:col>22</xdr:col>
          <xdr:colOff>184150</xdr:colOff>
          <xdr:row>56</xdr:row>
          <xdr:rowOff>184150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184150</xdr:colOff>
          <xdr:row>58</xdr:row>
          <xdr:rowOff>184150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184150</xdr:colOff>
          <xdr:row>120</xdr:row>
          <xdr:rowOff>184150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184150</xdr:colOff>
          <xdr:row>134</xdr:row>
          <xdr:rowOff>184150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xdr:row>
          <xdr:rowOff>0</xdr:rowOff>
        </xdr:from>
        <xdr:to>
          <xdr:col>22</xdr:col>
          <xdr:colOff>184150</xdr:colOff>
          <xdr:row>136</xdr:row>
          <xdr:rowOff>184150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184150</xdr:colOff>
          <xdr:row>142</xdr:row>
          <xdr:rowOff>184150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xdr:row>
          <xdr:rowOff>0</xdr:rowOff>
        </xdr:from>
        <xdr:to>
          <xdr:col>22</xdr:col>
          <xdr:colOff>184150</xdr:colOff>
          <xdr:row>48</xdr:row>
          <xdr:rowOff>184150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184150</xdr:colOff>
          <xdr:row>51</xdr:row>
          <xdr:rowOff>184150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0</xdr:rowOff>
        </xdr:from>
        <xdr:to>
          <xdr:col>22</xdr:col>
          <xdr:colOff>184150</xdr:colOff>
          <xdr:row>52</xdr:row>
          <xdr:rowOff>184150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xdr:row>
          <xdr:rowOff>0</xdr:rowOff>
        </xdr:from>
        <xdr:to>
          <xdr:col>22</xdr:col>
          <xdr:colOff>184150</xdr:colOff>
          <xdr:row>93</xdr:row>
          <xdr:rowOff>184150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xdr:row>
          <xdr:rowOff>0</xdr:rowOff>
        </xdr:from>
        <xdr:to>
          <xdr:col>22</xdr:col>
          <xdr:colOff>184150</xdr:colOff>
          <xdr:row>137</xdr:row>
          <xdr:rowOff>184150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184150</xdr:colOff>
          <xdr:row>159</xdr:row>
          <xdr:rowOff>184150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184150</xdr:colOff>
          <xdr:row>172</xdr:row>
          <xdr:rowOff>184150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xdr:row>
          <xdr:rowOff>0</xdr:rowOff>
        </xdr:from>
        <xdr:to>
          <xdr:col>22</xdr:col>
          <xdr:colOff>184150</xdr:colOff>
          <xdr:row>181</xdr:row>
          <xdr:rowOff>184150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xdr:row>
          <xdr:rowOff>0</xdr:rowOff>
        </xdr:from>
        <xdr:to>
          <xdr:col>22</xdr:col>
          <xdr:colOff>184150</xdr:colOff>
          <xdr:row>190</xdr:row>
          <xdr:rowOff>184150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573</xdr:row>
          <xdr:rowOff>0</xdr:rowOff>
        </xdr:from>
        <xdr:to>
          <xdr:col>22</xdr:col>
          <xdr:colOff>184150</xdr:colOff>
          <xdr:row>573</xdr:row>
          <xdr:rowOff>184150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574</xdr:row>
          <xdr:rowOff>0</xdr:rowOff>
        </xdr:from>
        <xdr:to>
          <xdr:col>22</xdr:col>
          <xdr:colOff>184150</xdr:colOff>
          <xdr:row>574</xdr:row>
          <xdr:rowOff>184150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575</xdr:row>
          <xdr:rowOff>0</xdr:rowOff>
        </xdr:from>
        <xdr:to>
          <xdr:col>22</xdr:col>
          <xdr:colOff>184150</xdr:colOff>
          <xdr:row>575</xdr:row>
          <xdr:rowOff>184150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576</xdr:row>
          <xdr:rowOff>0</xdr:rowOff>
        </xdr:from>
        <xdr:to>
          <xdr:col>22</xdr:col>
          <xdr:colOff>184150</xdr:colOff>
          <xdr:row>576</xdr:row>
          <xdr:rowOff>184150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578</xdr:row>
          <xdr:rowOff>0</xdr:rowOff>
        </xdr:from>
        <xdr:to>
          <xdr:col>22</xdr:col>
          <xdr:colOff>184150</xdr:colOff>
          <xdr:row>578</xdr:row>
          <xdr:rowOff>184150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581</xdr:row>
          <xdr:rowOff>0</xdr:rowOff>
        </xdr:from>
        <xdr:to>
          <xdr:col>22</xdr:col>
          <xdr:colOff>184150</xdr:colOff>
          <xdr:row>581</xdr:row>
          <xdr:rowOff>184150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599</xdr:row>
          <xdr:rowOff>0</xdr:rowOff>
        </xdr:from>
        <xdr:to>
          <xdr:col>22</xdr:col>
          <xdr:colOff>184150</xdr:colOff>
          <xdr:row>599</xdr:row>
          <xdr:rowOff>184150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600</xdr:row>
          <xdr:rowOff>0</xdr:rowOff>
        </xdr:from>
        <xdr:to>
          <xdr:col>22</xdr:col>
          <xdr:colOff>184150</xdr:colOff>
          <xdr:row>600</xdr:row>
          <xdr:rowOff>184150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601</xdr:row>
          <xdr:rowOff>0</xdr:rowOff>
        </xdr:from>
        <xdr:to>
          <xdr:col>22</xdr:col>
          <xdr:colOff>184150</xdr:colOff>
          <xdr:row>601</xdr:row>
          <xdr:rowOff>184150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602</xdr:row>
          <xdr:rowOff>0</xdr:rowOff>
        </xdr:from>
        <xdr:to>
          <xdr:col>22</xdr:col>
          <xdr:colOff>184150</xdr:colOff>
          <xdr:row>602</xdr:row>
          <xdr:rowOff>184150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603</xdr:row>
          <xdr:rowOff>0</xdr:rowOff>
        </xdr:from>
        <xdr:to>
          <xdr:col>22</xdr:col>
          <xdr:colOff>184150</xdr:colOff>
          <xdr:row>603</xdr:row>
          <xdr:rowOff>184150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604</xdr:row>
          <xdr:rowOff>0</xdr:rowOff>
        </xdr:from>
        <xdr:to>
          <xdr:col>22</xdr:col>
          <xdr:colOff>184150</xdr:colOff>
          <xdr:row>604</xdr:row>
          <xdr:rowOff>184150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605</xdr:row>
          <xdr:rowOff>0</xdr:rowOff>
        </xdr:from>
        <xdr:to>
          <xdr:col>22</xdr:col>
          <xdr:colOff>184150</xdr:colOff>
          <xdr:row>605</xdr:row>
          <xdr:rowOff>184150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606</xdr:row>
          <xdr:rowOff>0</xdr:rowOff>
        </xdr:from>
        <xdr:to>
          <xdr:col>22</xdr:col>
          <xdr:colOff>184150</xdr:colOff>
          <xdr:row>606</xdr:row>
          <xdr:rowOff>184150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609</xdr:row>
          <xdr:rowOff>0</xdr:rowOff>
        </xdr:from>
        <xdr:to>
          <xdr:col>22</xdr:col>
          <xdr:colOff>184150</xdr:colOff>
          <xdr:row>609</xdr:row>
          <xdr:rowOff>184150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611</xdr:row>
          <xdr:rowOff>0</xdr:rowOff>
        </xdr:from>
        <xdr:to>
          <xdr:col>22</xdr:col>
          <xdr:colOff>184150</xdr:colOff>
          <xdr:row>611</xdr:row>
          <xdr:rowOff>184150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613</xdr:row>
          <xdr:rowOff>0</xdr:rowOff>
        </xdr:from>
        <xdr:to>
          <xdr:col>22</xdr:col>
          <xdr:colOff>184150</xdr:colOff>
          <xdr:row>613</xdr:row>
          <xdr:rowOff>184150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624</xdr:row>
          <xdr:rowOff>0</xdr:rowOff>
        </xdr:from>
        <xdr:to>
          <xdr:col>22</xdr:col>
          <xdr:colOff>184150</xdr:colOff>
          <xdr:row>624</xdr:row>
          <xdr:rowOff>184150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632</xdr:row>
          <xdr:rowOff>0</xdr:rowOff>
        </xdr:from>
        <xdr:to>
          <xdr:col>22</xdr:col>
          <xdr:colOff>184150</xdr:colOff>
          <xdr:row>632</xdr:row>
          <xdr:rowOff>184150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628</xdr:row>
          <xdr:rowOff>0</xdr:rowOff>
        </xdr:from>
        <xdr:to>
          <xdr:col>22</xdr:col>
          <xdr:colOff>184150</xdr:colOff>
          <xdr:row>628</xdr:row>
          <xdr:rowOff>184150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629</xdr:row>
          <xdr:rowOff>0</xdr:rowOff>
        </xdr:from>
        <xdr:to>
          <xdr:col>22</xdr:col>
          <xdr:colOff>184150</xdr:colOff>
          <xdr:row>629</xdr:row>
          <xdr:rowOff>184150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635</xdr:row>
          <xdr:rowOff>0</xdr:rowOff>
        </xdr:from>
        <xdr:to>
          <xdr:col>22</xdr:col>
          <xdr:colOff>184150</xdr:colOff>
          <xdr:row>635</xdr:row>
          <xdr:rowOff>184150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473</xdr:row>
          <xdr:rowOff>0</xdr:rowOff>
        </xdr:from>
        <xdr:to>
          <xdr:col>22</xdr:col>
          <xdr:colOff>184150</xdr:colOff>
          <xdr:row>473</xdr:row>
          <xdr:rowOff>184150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490</xdr:row>
          <xdr:rowOff>0</xdr:rowOff>
        </xdr:from>
        <xdr:to>
          <xdr:col>22</xdr:col>
          <xdr:colOff>184150</xdr:colOff>
          <xdr:row>490</xdr:row>
          <xdr:rowOff>184150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493</xdr:row>
          <xdr:rowOff>0</xdr:rowOff>
        </xdr:from>
        <xdr:to>
          <xdr:col>22</xdr:col>
          <xdr:colOff>184150</xdr:colOff>
          <xdr:row>493</xdr:row>
          <xdr:rowOff>184150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498</xdr:row>
          <xdr:rowOff>0</xdr:rowOff>
        </xdr:from>
        <xdr:to>
          <xdr:col>22</xdr:col>
          <xdr:colOff>184150</xdr:colOff>
          <xdr:row>498</xdr:row>
          <xdr:rowOff>184150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499</xdr:row>
          <xdr:rowOff>0</xdr:rowOff>
        </xdr:from>
        <xdr:to>
          <xdr:col>22</xdr:col>
          <xdr:colOff>184150</xdr:colOff>
          <xdr:row>499</xdr:row>
          <xdr:rowOff>184150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503</xdr:row>
          <xdr:rowOff>0</xdr:rowOff>
        </xdr:from>
        <xdr:to>
          <xdr:col>22</xdr:col>
          <xdr:colOff>184150</xdr:colOff>
          <xdr:row>503</xdr:row>
          <xdr:rowOff>184150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508</xdr:row>
          <xdr:rowOff>0</xdr:rowOff>
        </xdr:from>
        <xdr:to>
          <xdr:col>22</xdr:col>
          <xdr:colOff>184150</xdr:colOff>
          <xdr:row>508</xdr:row>
          <xdr:rowOff>184150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533</xdr:row>
          <xdr:rowOff>0</xdr:rowOff>
        </xdr:from>
        <xdr:to>
          <xdr:col>22</xdr:col>
          <xdr:colOff>184150</xdr:colOff>
          <xdr:row>533</xdr:row>
          <xdr:rowOff>184150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536</xdr:row>
          <xdr:rowOff>0</xdr:rowOff>
        </xdr:from>
        <xdr:to>
          <xdr:col>22</xdr:col>
          <xdr:colOff>184150</xdr:colOff>
          <xdr:row>536</xdr:row>
          <xdr:rowOff>184150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550</xdr:row>
          <xdr:rowOff>0</xdr:rowOff>
        </xdr:from>
        <xdr:to>
          <xdr:col>22</xdr:col>
          <xdr:colOff>184150</xdr:colOff>
          <xdr:row>550</xdr:row>
          <xdr:rowOff>184150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562</xdr:row>
          <xdr:rowOff>0</xdr:rowOff>
        </xdr:from>
        <xdr:to>
          <xdr:col>22</xdr:col>
          <xdr:colOff>184150</xdr:colOff>
          <xdr:row>562</xdr:row>
          <xdr:rowOff>184150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564</xdr:row>
          <xdr:rowOff>0</xdr:rowOff>
        </xdr:from>
        <xdr:to>
          <xdr:col>22</xdr:col>
          <xdr:colOff>184150</xdr:colOff>
          <xdr:row>564</xdr:row>
          <xdr:rowOff>184150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566</xdr:row>
          <xdr:rowOff>0</xdr:rowOff>
        </xdr:from>
        <xdr:to>
          <xdr:col>22</xdr:col>
          <xdr:colOff>184150</xdr:colOff>
          <xdr:row>566</xdr:row>
          <xdr:rowOff>184150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375</xdr:row>
          <xdr:rowOff>0</xdr:rowOff>
        </xdr:from>
        <xdr:to>
          <xdr:col>22</xdr:col>
          <xdr:colOff>184150</xdr:colOff>
          <xdr:row>375</xdr:row>
          <xdr:rowOff>184150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370</xdr:row>
          <xdr:rowOff>0</xdr:rowOff>
        </xdr:from>
        <xdr:to>
          <xdr:col>22</xdr:col>
          <xdr:colOff>184150</xdr:colOff>
          <xdr:row>370</xdr:row>
          <xdr:rowOff>184150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371</xdr:row>
          <xdr:rowOff>0</xdr:rowOff>
        </xdr:from>
        <xdr:to>
          <xdr:col>22</xdr:col>
          <xdr:colOff>184150</xdr:colOff>
          <xdr:row>371</xdr:row>
          <xdr:rowOff>184150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372</xdr:row>
          <xdr:rowOff>0</xdr:rowOff>
        </xdr:from>
        <xdr:to>
          <xdr:col>22</xdr:col>
          <xdr:colOff>184150</xdr:colOff>
          <xdr:row>372</xdr:row>
          <xdr:rowOff>184150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403</xdr:row>
          <xdr:rowOff>0</xdr:rowOff>
        </xdr:from>
        <xdr:to>
          <xdr:col>22</xdr:col>
          <xdr:colOff>184150</xdr:colOff>
          <xdr:row>403</xdr:row>
          <xdr:rowOff>184150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411</xdr:row>
          <xdr:rowOff>0</xdr:rowOff>
        </xdr:from>
        <xdr:to>
          <xdr:col>22</xdr:col>
          <xdr:colOff>184150</xdr:colOff>
          <xdr:row>411</xdr:row>
          <xdr:rowOff>184150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413</xdr:row>
          <xdr:rowOff>0</xdr:rowOff>
        </xdr:from>
        <xdr:to>
          <xdr:col>22</xdr:col>
          <xdr:colOff>184150</xdr:colOff>
          <xdr:row>413</xdr:row>
          <xdr:rowOff>184150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414</xdr:row>
          <xdr:rowOff>0</xdr:rowOff>
        </xdr:from>
        <xdr:to>
          <xdr:col>22</xdr:col>
          <xdr:colOff>184150</xdr:colOff>
          <xdr:row>414</xdr:row>
          <xdr:rowOff>184150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415</xdr:row>
          <xdr:rowOff>0</xdr:rowOff>
        </xdr:from>
        <xdr:to>
          <xdr:col>22</xdr:col>
          <xdr:colOff>184150</xdr:colOff>
          <xdr:row>415</xdr:row>
          <xdr:rowOff>184150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417</xdr:row>
          <xdr:rowOff>0</xdr:rowOff>
        </xdr:from>
        <xdr:to>
          <xdr:col>22</xdr:col>
          <xdr:colOff>184150</xdr:colOff>
          <xdr:row>417</xdr:row>
          <xdr:rowOff>184150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420</xdr:row>
          <xdr:rowOff>0</xdr:rowOff>
        </xdr:from>
        <xdr:to>
          <xdr:col>22</xdr:col>
          <xdr:colOff>184150</xdr:colOff>
          <xdr:row>420</xdr:row>
          <xdr:rowOff>184150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421</xdr:row>
          <xdr:rowOff>0</xdr:rowOff>
        </xdr:from>
        <xdr:to>
          <xdr:col>22</xdr:col>
          <xdr:colOff>184150</xdr:colOff>
          <xdr:row>421</xdr:row>
          <xdr:rowOff>184150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426</xdr:row>
          <xdr:rowOff>0</xdr:rowOff>
        </xdr:from>
        <xdr:to>
          <xdr:col>22</xdr:col>
          <xdr:colOff>184150</xdr:colOff>
          <xdr:row>426</xdr:row>
          <xdr:rowOff>184150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428</xdr:row>
          <xdr:rowOff>0</xdr:rowOff>
        </xdr:from>
        <xdr:to>
          <xdr:col>22</xdr:col>
          <xdr:colOff>184150</xdr:colOff>
          <xdr:row>428</xdr:row>
          <xdr:rowOff>184150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430</xdr:row>
          <xdr:rowOff>0</xdr:rowOff>
        </xdr:from>
        <xdr:to>
          <xdr:col>22</xdr:col>
          <xdr:colOff>184150</xdr:colOff>
          <xdr:row>430</xdr:row>
          <xdr:rowOff>184150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432</xdr:row>
          <xdr:rowOff>0</xdr:rowOff>
        </xdr:from>
        <xdr:to>
          <xdr:col>22</xdr:col>
          <xdr:colOff>184150</xdr:colOff>
          <xdr:row>432</xdr:row>
          <xdr:rowOff>184150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363</xdr:row>
          <xdr:rowOff>0</xdr:rowOff>
        </xdr:from>
        <xdr:to>
          <xdr:col>22</xdr:col>
          <xdr:colOff>184150</xdr:colOff>
          <xdr:row>363</xdr:row>
          <xdr:rowOff>184150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365</xdr:row>
          <xdr:rowOff>0</xdr:rowOff>
        </xdr:from>
        <xdr:to>
          <xdr:col>22</xdr:col>
          <xdr:colOff>184150</xdr:colOff>
          <xdr:row>365</xdr:row>
          <xdr:rowOff>184150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367</xdr:row>
          <xdr:rowOff>0</xdr:rowOff>
        </xdr:from>
        <xdr:to>
          <xdr:col>22</xdr:col>
          <xdr:colOff>184150</xdr:colOff>
          <xdr:row>367</xdr:row>
          <xdr:rowOff>184150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349</xdr:row>
          <xdr:rowOff>0</xdr:rowOff>
        </xdr:from>
        <xdr:to>
          <xdr:col>22</xdr:col>
          <xdr:colOff>184150</xdr:colOff>
          <xdr:row>349</xdr:row>
          <xdr:rowOff>184150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351</xdr:row>
          <xdr:rowOff>0</xdr:rowOff>
        </xdr:from>
        <xdr:to>
          <xdr:col>22</xdr:col>
          <xdr:colOff>184150</xdr:colOff>
          <xdr:row>351</xdr:row>
          <xdr:rowOff>184150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347</xdr:row>
          <xdr:rowOff>0</xdr:rowOff>
        </xdr:from>
        <xdr:to>
          <xdr:col>22</xdr:col>
          <xdr:colOff>184150</xdr:colOff>
          <xdr:row>347</xdr:row>
          <xdr:rowOff>184150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309</xdr:row>
          <xdr:rowOff>0</xdr:rowOff>
        </xdr:from>
        <xdr:to>
          <xdr:col>22</xdr:col>
          <xdr:colOff>184150</xdr:colOff>
          <xdr:row>309</xdr:row>
          <xdr:rowOff>184150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311</xdr:row>
          <xdr:rowOff>0</xdr:rowOff>
        </xdr:from>
        <xdr:to>
          <xdr:col>22</xdr:col>
          <xdr:colOff>184150</xdr:colOff>
          <xdr:row>311</xdr:row>
          <xdr:rowOff>184150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314</xdr:row>
          <xdr:rowOff>0</xdr:rowOff>
        </xdr:from>
        <xdr:to>
          <xdr:col>22</xdr:col>
          <xdr:colOff>184150</xdr:colOff>
          <xdr:row>314</xdr:row>
          <xdr:rowOff>184150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315</xdr:row>
          <xdr:rowOff>0</xdr:rowOff>
        </xdr:from>
        <xdr:to>
          <xdr:col>22</xdr:col>
          <xdr:colOff>184150</xdr:colOff>
          <xdr:row>315</xdr:row>
          <xdr:rowOff>184150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317</xdr:row>
          <xdr:rowOff>0</xdr:rowOff>
        </xdr:from>
        <xdr:to>
          <xdr:col>22</xdr:col>
          <xdr:colOff>184150</xdr:colOff>
          <xdr:row>317</xdr:row>
          <xdr:rowOff>184150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303</xdr:row>
          <xdr:rowOff>0</xdr:rowOff>
        </xdr:from>
        <xdr:to>
          <xdr:col>22</xdr:col>
          <xdr:colOff>184150</xdr:colOff>
          <xdr:row>303</xdr:row>
          <xdr:rowOff>184150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xdr:row>
          <xdr:rowOff>0</xdr:rowOff>
        </xdr:from>
        <xdr:to>
          <xdr:col>22</xdr:col>
          <xdr:colOff>184150</xdr:colOff>
          <xdr:row>242</xdr:row>
          <xdr:rowOff>184150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283</xdr:row>
          <xdr:rowOff>0</xdr:rowOff>
        </xdr:from>
        <xdr:to>
          <xdr:col>22</xdr:col>
          <xdr:colOff>184150</xdr:colOff>
          <xdr:row>283</xdr:row>
          <xdr:rowOff>184150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286</xdr:row>
          <xdr:rowOff>0</xdr:rowOff>
        </xdr:from>
        <xdr:to>
          <xdr:col>22</xdr:col>
          <xdr:colOff>184150</xdr:colOff>
          <xdr:row>286</xdr:row>
          <xdr:rowOff>184150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296</xdr:row>
          <xdr:rowOff>0</xdr:rowOff>
        </xdr:from>
        <xdr:to>
          <xdr:col>22</xdr:col>
          <xdr:colOff>184150</xdr:colOff>
          <xdr:row>296</xdr:row>
          <xdr:rowOff>184150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552</xdr:row>
          <xdr:rowOff>0</xdr:rowOff>
        </xdr:from>
        <xdr:to>
          <xdr:col>22</xdr:col>
          <xdr:colOff>184150</xdr:colOff>
          <xdr:row>552</xdr:row>
          <xdr:rowOff>184150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155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105</xdr:row>
          <xdr:rowOff>0</xdr:rowOff>
        </xdr:from>
        <xdr:to>
          <xdr:col>22</xdr:col>
          <xdr:colOff>184150</xdr:colOff>
          <xdr:row>105</xdr:row>
          <xdr:rowOff>184150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xdr:row>
          <xdr:rowOff>0</xdr:rowOff>
        </xdr:from>
        <xdr:to>
          <xdr:col>22</xdr:col>
          <xdr:colOff>184150</xdr:colOff>
          <xdr:row>106</xdr:row>
          <xdr:rowOff>184150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xdr:row>
          <xdr:rowOff>0</xdr:rowOff>
        </xdr:from>
        <xdr:to>
          <xdr:col>22</xdr:col>
          <xdr:colOff>184150</xdr:colOff>
          <xdr:row>107</xdr:row>
          <xdr:rowOff>184150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184150</xdr:colOff>
          <xdr:row>45</xdr:row>
          <xdr:rowOff>184150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184150</xdr:colOff>
          <xdr:row>40</xdr:row>
          <xdr:rowOff>184150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184150</xdr:colOff>
          <xdr:row>76</xdr:row>
          <xdr:rowOff>184150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184150</xdr:colOff>
          <xdr:row>90</xdr:row>
          <xdr:rowOff>184150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600-00001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97</xdr:row>
          <xdr:rowOff>0</xdr:rowOff>
        </xdr:from>
        <xdr:to>
          <xdr:col>22</xdr:col>
          <xdr:colOff>184150</xdr:colOff>
          <xdr:row>97</xdr:row>
          <xdr:rowOff>184150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600-00001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184150</xdr:colOff>
          <xdr:row>99</xdr:row>
          <xdr:rowOff>184150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600-00001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101</xdr:row>
          <xdr:rowOff>0</xdr:rowOff>
        </xdr:from>
        <xdr:to>
          <xdr:col>22</xdr:col>
          <xdr:colOff>184150</xdr:colOff>
          <xdr:row>101</xdr:row>
          <xdr:rowOff>184150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115</xdr:row>
          <xdr:rowOff>0</xdr:rowOff>
        </xdr:from>
        <xdr:to>
          <xdr:col>22</xdr:col>
          <xdr:colOff>184150</xdr:colOff>
          <xdr:row>115</xdr:row>
          <xdr:rowOff>184150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184150</xdr:colOff>
          <xdr:row>117</xdr:row>
          <xdr:rowOff>184150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xdr:row>
          <xdr:rowOff>0</xdr:rowOff>
        </xdr:from>
        <xdr:to>
          <xdr:col>22</xdr:col>
          <xdr:colOff>184150</xdr:colOff>
          <xdr:row>118</xdr:row>
          <xdr:rowOff>184150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xdr:row>
          <xdr:rowOff>0</xdr:rowOff>
        </xdr:from>
        <xdr:to>
          <xdr:col>22</xdr:col>
          <xdr:colOff>184150</xdr:colOff>
          <xdr:row>122</xdr:row>
          <xdr:rowOff>184150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xdr:row>
          <xdr:rowOff>0</xdr:rowOff>
        </xdr:from>
        <xdr:to>
          <xdr:col>22</xdr:col>
          <xdr:colOff>184150</xdr:colOff>
          <xdr:row>143</xdr:row>
          <xdr:rowOff>184150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184150</xdr:colOff>
          <xdr:row>142</xdr:row>
          <xdr:rowOff>184150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xdr:row>
          <xdr:rowOff>0</xdr:rowOff>
        </xdr:from>
        <xdr:to>
          <xdr:col>22</xdr:col>
          <xdr:colOff>184150</xdr:colOff>
          <xdr:row>166</xdr:row>
          <xdr:rowOff>184150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xdr:row>
          <xdr:rowOff>0</xdr:rowOff>
        </xdr:from>
        <xdr:to>
          <xdr:col>22</xdr:col>
          <xdr:colOff>184150</xdr:colOff>
          <xdr:row>164</xdr:row>
          <xdr:rowOff>184150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xdr:row>
          <xdr:rowOff>0</xdr:rowOff>
        </xdr:from>
        <xdr:to>
          <xdr:col>22</xdr:col>
          <xdr:colOff>184150</xdr:colOff>
          <xdr:row>161</xdr:row>
          <xdr:rowOff>184150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184150</xdr:colOff>
          <xdr:row>159</xdr:row>
          <xdr:rowOff>184150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xdr:row>
          <xdr:rowOff>0</xdr:rowOff>
        </xdr:from>
        <xdr:to>
          <xdr:col>22</xdr:col>
          <xdr:colOff>184150</xdr:colOff>
          <xdr:row>160</xdr:row>
          <xdr:rowOff>184150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184150</xdr:colOff>
          <xdr:row>152</xdr:row>
          <xdr:rowOff>184150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11</xdr:row>
          <xdr:rowOff>0</xdr:rowOff>
        </xdr:from>
        <xdr:to>
          <xdr:col>22</xdr:col>
          <xdr:colOff>184150</xdr:colOff>
          <xdr:row>11</xdr:row>
          <xdr:rowOff>184150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184150</xdr:colOff>
          <xdr:row>17</xdr:row>
          <xdr:rowOff>184150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xdr:row>
          <xdr:rowOff>0</xdr:rowOff>
        </xdr:from>
        <xdr:to>
          <xdr:col>22</xdr:col>
          <xdr:colOff>184150</xdr:colOff>
          <xdr:row>32</xdr:row>
          <xdr:rowOff>184150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184150</xdr:colOff>
          <xdr:row>53</xdr:row>
          <xdr:rowOff>184150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xdr:row>
          <xdr:rowOff>0</xdr:rowOff>
        </xdr:from>
        <xdr:to>
          <xdr:col>22</xdr:col>
          <xdr:colOff>184150</xdr:colOff>
          <xdr:row>66</xdr:row>
          <xdr:rowOff>184150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xdr:row>
          <xdr:rowOff>0</xdr:rowOff>
        </xdr:from>
        <xdr:to>
          <xdr:col>22</xdr:col>
          <xdr:colOff>184150</xdr:colOff>
          <xdr:row>60</xdr:row>
          <xdr:rowOff>184150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184150</xdr:colOff>
          <xdr:row>89</xdr:row>
          <xdr:rowOff>184150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184150</xdr:colOff>
          <xdr:row>91</xdr:row>
          <xdr:rowOff>184150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xdr:row>
          <xdr:rowOff>0</xdr:rowOff>
        </xdr:from>
        <xdr:to>
          <xdr:col>22</xdr:col>
          <xdr:colOff>184150</xdr:colOff>
          <xdr:row>94</xdr:row>
          <xdr:rowOff>184150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184150</xdr:colOff>
          <xdr:row>117</xdr:row>
          <xdr:rowOff>184150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184150</xdr:colOff>
          <xdr:row>128</xdr:row>
          <xdr:rowOff>184150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184150</xdr:colOff>
          <xdr:row>130</xdr:row>
          <xdr:rowOff>184150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xdr:row>
          <xdr:rowOff>0</xdr:rowOff>
        </xdr:from>
        <xdr:to>
          <xdr:col>22</xdr:col>
          <xdr:colOff>184150</xdr:colOff>
          <xdr:row>131</xdr:row>
          <xdr:rowOff>184150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xdr:row>
          <xdr:rowOff>0</xdr:rowOff>
        </xdr:from>
        <xdr:to>
          <xdr:col>22</xdr:col>
          <xdr:colOff>184150</xdr:colOff>
          <xdr:row>138</xdr:row>
          <xdr:rowOff>184150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184150</xdr:colOff>
          <xdr:row>147</xdr:row>
          <xdr:rowOff>184150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184150</xdr:colOff>
          <xdr:row>152</xdr:row>
          <xdr:rowOff>184150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xdr:row>
          <xdr:rowOff>0</xdr:rowOff>
        </xdr:from>
        <xdr:to>
          <xdr:col>22</xdr:col>
          <xdr:colOff>184150</xdr:colOff>
          <xdr:row>153</xdr:row>
          <xdr:rowOff>184150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xdr:row>
          <xdr:rowOff>0</xdr:rowOff>
        </xdr:from>
        <xdr:to>
          <xdr:col>22</xdr:col>
          <xdr:colOff>184150</xdr:colOff>
          <xdr:row>157</xdr:row>
          <xdr:rowOff>184150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xdr:row>
          <xdr:rowOff>0</xdr:rowOff>
        </xdr:from>
        <xdr:to>
          <xdr:col>22</xdr:col>
          <xdr:colOff>184150</xdr:colOff>
          <xdr:row>166</xdr:row>
          <xdr:rowOff>184150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184150</xdr:colOff>
          <xdr:row>167</xdr:row>
          <xdr:rowOff>184150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184150</xdr:colOff>
          <xdr:row>170</xdr:row>
          <xdr:rowOff>184150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184150</xdr:colOff>
          <xdr:row>172</xdr:row>
          <xdr:rowOff>184150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184150</xdr:colOff>
          <xdr:row>178</xdr:row>
          <xdr:rowOff>184150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xdr:row>
          <xdr:rowOff>0</xdr:rowOff>
        </xdr:from>
        <xdr:to>
          <xdr:col>22</xdr:col>
          <xdr:colOff>184150</xdr:colOff>
          <xdr:row>180</xdr:row>
          <xdr:rowOff>184150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184150</xdr:colOff>
          <xdr:row>184</xdr:row>
          <xdr:rowOff>184150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184150</xdr:colOff>
          <xdr:row>191</xdr:row>
          <xdr:rowOff>184150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xdr:row>
          <xdr:rowOff>0</xdr:rowOff>
        </xdr:from>
        <xdr:to>
          <xdr:col>22</xdr:col>
          <xdr:colOff>184150</xdr:colOff>
          <xdr:row>202</xdr:row>
          <xdr:rowOff>184150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xdr:row>
          <xdr:rowOff>0</xdr:rowOff>
        </xdr:from>
        <xdr:to>
          <xdr:col>22</xdr:col>
          <xdr:colOff>184150</xdr:colOff>
          <xdr:row>204</xdr:row>
          <xdr:rowOff>184150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xdr:row>
          <xdr:rowOff>0</xdr:rowOff>
        </xdr:from>
        <xdr:to>
          <xdr:col>22</xdr:col>
          <xdr:colOff>184150</xdr:colOff>
          <xdr:row>206</xdr:row>
          <xdr:rowOff>184150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184150</xdr:colOff>
          <xdr:row>219</xdr:row>
          <xdr:rowOff>184150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xdr:row>
          <xdr:rowOff>0</xdr:rowOff>
        </xdr:from>
        <xdr:to>
          <xdr:col>22</xdr:col>
          <xdr:colOff>184150</xdr:colOff>
          <xdr:row>221</xdr:row>
          <xdr:rowOff>184150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xdr:row>
          <xdr:rowOff>0</xdr:rowOff>
        </xdr:from>
        <xdr:to>
          <xdr:col>22</xdr:col>
          <xdr:colOff>184150</xdr:colOff>
          <xdr:row>224</xdr:row>
          <xdr:rowOff>184150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xdr:row>
          <xdr:rowOff>0</xdr:rowOff>
        </xdr:from>
        <xdr:to>
          <xdr:col>22</xdr:col>
          <xdr:colOff>184150</xdr:colOff>
          <xdr:row>233</xdr:row>
          <xdr:rowOff>184150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184150</xdr:colOff>
          <xdr:row>236</xdr:row>
          <xdr:rowOff>184150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xdr:row>
          <xdr:rowOff>0</xdr:rowOff>
        </xdr:from>
        <xdr:to>
          <xdr:col>22</xdr:col>
          <xdr:colOff>184150</xdr:colOff>
          <xdr:row>238</xdr:row>
          <xdr:rowOff>184150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184150</xdr:colOff>
          <xdr:row>241</xdr:row>
          <xdr:rowOff>184150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184150</xdr:colOff>
          <xdr:row>243</xdr:row>
          <xdr:rowOff>184150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257</xdr:row>
          <xdr:rowOff>0</xdr:rowOff>
        </xdr:from>
        <xdr:to>
          <xdr:col>22</xdr:col>
          <xdr:colOff>184150</xdr:colOff>
          <xdr:row>257</xdr:row>
          <xdr:rowOff>184150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258</xdr:row>
          <xdr:rowOff>0</xdr:rowOff>
        </xdr:from>
        <xdr:to>
          <xdr:col>22</xdr:col>
          <xdr:colOff>184150</xdr:colOff>
          <xdr:row>258</xdr:row>
          <xdr:rowOff>184150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263</xdr:row>
          <xdr:rowOff>0</xdr:rowOff>
        </xdr:from>
        <xdr:to>
          <xdr:col>22</xdr:col>
          <xdr:colOff>184150</xdr:colOff>
          <xdr:row>263</xdr:row>
          <xdr:rowOff>184150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268</xdr:row>
          <xdr:rowOff>0</xdr:rowOff>
        </xdr:from>
        <xdr:to>
          <xdr:col>22</xdr:col>
          <xdr:colOff>184150</xdr:colOff>
          <xdr:row>268</xdr:row>
          <xdr:rowOff>184150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272</xdr:row>
          <xdr:rowOff>0</xdr:rowOff>
        </xdr:from>
        <xdr:to>
          <xdr:col>22</xdr:col>
          <xdr:colOff>184150</xdr:colOff>
          <xdr:row>272</xdr:row>
          <xdr:rowOff>184150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277</xdr:row>
          <xdr:rowOff>0</xdr:rowOff>
        </xdr:from>
        <xdr:to>
          <xdr:col>22</xdr:col>
          <xdr:colOff>184150</xdr:colOff>
          <xdr:row>277</xdr:row>
          <xdr:rowOff>184150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xdr:row>
          <xdr:rowOff>0</xdr:rowOff>
        </xdr:from>
        <xdr:to>
          <xdr:col>22</xdr:col>
          <xdr:colOff>184150</xdr:colOff>
          <xdr:row>133</xdr:row>
          <xdr:rowOff>184150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12</xdr:col>
      <xdr:colOff>476250</xdr:colOff>
      <xdr:row>0</xdr:row>
      <xdr:rowOff>0</xdr:rowOff>
    </xdr:from>
    <xdr:to>
      <xdr:col>22</xdr:col>
      <xdr:colOff>885825</xdr:colOff>
      <xdr:row>4</xdr:row>
      <xdr:rowOff>141767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184150</xdr:colOff>
          <xdr:row>14</xdr:row>
          <xdr:rowOff>184150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184150</xdr:colOff>
          <xdr:row>15</xdr:row>
          <xdr:rowOff>184150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184150</xdr:colOff>
          <xdr:row>16</xdr:row>
          <xdr:rowOff>184150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184150</xdr:colOff>
          <xdr:row>20</xdr:row>
          <xdr:rowOff>184150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184150</xdr:colOff>
          <xdr:row>21</xdr:row>
          <xdr:rowOff>184150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184150</xdr:colOff>
          <xdr:row>22</xdr:row>
          <xdr:rowOff>184150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184150</xdr:colOff>
          <xdr:row>24</xdr:row>
          <xdr:rowOff>184150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184150</xdr:colOff>
          <xdr:row>26</xdr:row>
          <xdr:rowOff>184150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xdr:row>
          <xdr:rowOff>0</xdr:rowOff>
        </xdr:from>
        <xdr:to>
          <xdr:col>22</xdr:col>
          <xdr:colOff>184150</xdr:colOff>
          <xdr:row>27</xdr:row>
          <xdr:rowOff>184150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xdr:row>
          <xdr:rowOff>0</xdr:rowOff>
        </xdr:from>
        <xdr:to>
          <xdr:col>22</xdr:col>
          <xdr:colOff>184150</xdr:colOff>
          <xdr:row>29</xdr:row>
          <xdr:rowOff>184150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xdr:row>
          <xdr:rowOff>0</xdr:rowOff>
        </xdr:from>
        <xdr:to>
          <xdr:col>22</xdr:col>
          <xdr:colOff>184150</xdr:colOff>
          <xdr:row>30</xdr:row>
          <xdr:rowOff>184150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xdr:row>
          <xdr:rowOff>0</xdr:rowOff>
        </xdr:from>
        <xdr:to>
          <xdr:col>22</xdr:col>
          <xdr:colOff>184150</xdr:colOff>
          <xdr:row>31</xdr:row>
          <xdr:rowOff>184150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xdr:row>
          <xdr:rowOff>0</xdr:rowOff>
        </xdr:from>
        <xdr:to>
          <xdr:col>22</xdr:col>
          <xdr:colOff>184150</xdr:colOff>
          <xdr:row>37</xdr:row>
          <xdr:rowOff>184150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184150</xdr:colOff>
          <xdr:row>41</xdr:row>
          <xdr:rowOff>184150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184150</xdr:colOff>
          <xdr:row>43</xdr:row>
          <xdr:rowOff>184150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184150</xdr:colOff>
          <xdr:row>45</xdr:row>
          <xdr:rowOff>184150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xdr:row>
          <xdr:rowOff>0</xdr:rowOff>
        </xdr:from>
        <xdr:to>
          <xdr:col>22</xdr:col>
          <xdr:colOff>184150</xdr:colOff>
          <xdr:row>46</xdr:row>
          <xdr:rowOff>184150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xdr:row>
          <xdr:rowOff>0</xdr:rowOff>
        </xdr:from>
        <xdr:to>
          <xdr:col>22</xdr:col>
          <xdr:colOff>184150</xdr:colOff>
          <xdr:row>48</xdr:row>
          <xdr:rowOff>184150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184150</xdr:colOff>
          <xdr:row>50</xdr:row>
          <xdr:rowOff>184150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184150</xdr:colOff>
          <xdr:row>51</xdr:row>
          <xdr:rowOff>184150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184150</xdr:colOff>
          <xdr:row>53</xdr:row>
          <xdr:rowOff>184150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184150</xdr:colOff>
          <xdr:row>55</xdr:row>
          <xdr:rowOff>184150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184150</xdr:colOff>
          <xdr:row>57</xdr:row>
          <xdr:rowOff>184150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184150</xdr:colOff>
          <xdr:row>58</xdr:row>
          <xdr:rowOff>184150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xdr:row>
          <xdr:rowOff>0</xdr:rowOff>
        </xdr:from>
        <xdr:to>
          <xdr:col>22</xdr:col>
          <xdr:colOff>184150</xdr:colOff>
          <xdr:row>59</xdr:row>
          <xdr:rowOff>184150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xdr:row>
          <xdr:rowOff>0</xdr:rowOff>
        </xdr:from>
        <xdr:to>
          <xdr:col>22</xdr:col>
          <xdr:colOff>184150</xdr:colOff>
          <xdr:row>80</xdr:row>
          <xdr:rowOff>184150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xdr:row>
          <xdr:rowOff>0</xdr:rowOff>
        </xdr:from>
        <xdr:to>
          <xdr:col>22</xdr:col>
          <xdr:colOff>184150</xdr:colOff>
          <xdr:row>83</xdr:row>
          <xdr:rowOff>184150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86</xdr:row>
          <xdr:rowOff>0</xdr:rowOff>
        </xdr:from>
        <xdr:to>
          <xdr:col>22</xdr:col>
          <xdr:colOff>184150</xdr:colOff>
          <xdr:row>86</xdr:row>
          <xdr:rowOff>184150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88</xdr:row>
          <xdr:rowOff>0</xdr:rowOff>
        </xdr:from>
        <xdr:to>
          <xdr:col>22</xdr:col>
          <xdr:colOff>184150</xdr:colOff>
          <xdr:row>88</xdr:row>
          <xdr:rowOff>184150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184150</xdr:colOff>
          <xdr:row>89</xdr:row>
          <xdr:rowOff>184150</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184150</xdr:colOff>
          <xdr:row>91</xdr:row>
          <xdr:rowOff>184150</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xdr:row>
          <xdr:rowOff>0</xdr:rowOff>
        </xdr:from>
        <xdr:to>
          <xdr:col>22</xdr:col>
          <xdr:colOff>184150</xdr:colOff>
          <xdr:row>92</xdr:row>
          <xdr:rowOff>184150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xdr:row>
          <xdr:rowOff>0</xdr:rowOff>
        </xdr:from>
        <xdr:to>
          <xdr:col>22</xdr:col>
          <xdr:colOff>184150</xdr:colOff>
          <xdr:row>93</xdr:row>
          <xdr:rowOff>184150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184150</xdr:colOff>
          <xdr:row>99</xdr:row>
          <xdr:rowOff>184150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101</xdr:row>
          <xdr:rowOff>0</xdr:rowOff>
        </xdr:from>
        <xdr:to>
          <xdr:col>22</xdr:col>
          <xdr:colOff>184150</xdr:colOff>
          <xdr:row>101</xdr:row>
          <xdr:rowOff>184150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184150</xdr:colOff>
          <xdr:row>104</xdr:row>
          <xdr:rowOff>184150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xdr:row>
          <xdr:rowOff>0</xdr:rowOff>
        </xdr:from>
        <xdr:to>
          <xdr:col>22</xdr:col>
          <xdr:colOff>184150</xdr:colOff>
          <xdr:row>106</xdr:row>
          <xdr:rowOff>184150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109</xdr:row>
          <xdr:rowOff>0</xdr:rowOff>
        </xdr:from>
        <xdr:to>
          <xdr:col>22</xdr:col>
          <xdr:colOff>184150</xdr:colOff>
          <xdr:row>109</xdr:row>
          <xdr:rowOff>184150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xdr:row>
          <xdr:rowOff>0</xdr:rowOff>
        </xdr:from>
        <xdr:to>
          <xdr:col>22</xdr:col>
          <xdr:colOff>184150</xdr:colOff>
          <xdr:row>111</xdr:row>
          <xdr:rowOff>184150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184150</xdr:colOff>
          <xdr:row>112</xdr:row>
          <xdr:rowOff>184150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114</xdr:row>
          <xdr:rowOff>0</xdr:rowOff>
        </xdr:from>
        <xdr:to>
          <xdr:col>22</xdr:col>
          <xdr:colOff>184150</xdr:colOff>
          <xdr:row>114</xdr:row>
          <xdr:rowOff>184150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116</xdr:row>
          <xdr:rowOff>0</xdr:rowOff>
        </xdr:from>
        <xdr:to>
          <xdr:col>22</xdr:col>
          <xdr:colOff>184150</xdr:colOff>
          <xdr:row>116</xdr:row>
          <xdr:rowOff>184150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184150</xdr:colOff>
          <xdr:row>117</xdr:row>
          <xdr:rowOff>184150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184150</xdr:colOff>
          <xdr:row>120</xdr:row>
          <xdr:rowOff>184150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xdr:row>
          <xdr:rowOff>0</xdr:rowOff>
        </xdr:from>
        <xdr:to>
          <xdr:col>22</xdr:col>
          <xdr:colOff>184150</xdr:colOff>
          <xdr:row>126</xdr:row>
          <xdr:rowOff>184150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184150</xdr:colOff>
          <xdr:row>128</xdr:row>
          <xdr:rowOff>184150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xdr:row>
          <xdr:rowOff>0</xdr:rowOff>
        </xdr:from>
        <xdr:to>
          <xdr:col>22</xdr:col>
          <xdr:colOff>184150</xdr:colOff>
          <xdr:row>132</xdr:row>
          <xdr:rowOff>184150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184150</xdr:colOff>
          <xdr:row>139</xdr:row>
          <xdr:rowOff>184150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141</xdr:row>
          <xdr:rowOff>0</xdr:rowOff>
        </xdr:from>
        <xdr:to>
          <xdr:col>22</xdr:col>
          <xdr:colOff>184150</xdr:colOff>
          <xdr:row>141</xdr:row>
          <xdr:rowOff>184150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184150</xdr:colOff>
          <xdr:row>142</xdr:row>
          <xdr:rowOff>184150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xdr:row>
          <xdr:rowOff>0</xdr:rowOff>
        </xdr:from>
        <xdr:to>
          <xdr:col>22</xdr:col>
          <xdr:colOff>184150</xdr:colOff>
          <xdr:row>144</xdr:row>
          <xdr:rowOff>184150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xdr:row>
          <xdr:rowOff>0</xdr:rowOff>
        </xdr:from>
        <xdr:to>
          <xdr:col>22</xdr:col>
          <xdr:colOff>184150</xdr:colOff>
          <xdr:row>145</xdr:row>
          <xdr:rowOff>184150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xdr:row>
          <xdr:rowOff>0</xdr:rowOff>
        </xdr:from>
        <xdr:to>
          <xdr:col>22</xdr:col>
          <xdr:colOff>184150</xdr:colOff>
          <xdr:row>146</xdr:row>
          <xdr:rowOff>184150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184150</xdr:colOff>
          <xdr:row>147</xdr:row>
          <xdr:rowOff>184150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184150</xdr:colOff>
          <xdr:row>148</xdr:row>
          <xdr:rowOff>184150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165</xdr:row>
          <xdr:rowOff>0</xdr:rowOff>
        </xdr:from>
        <xdr:to>
          <xdr:col>22</xdr:col>
          <xdr:colOff>184150</xdr:colOff>
          <xdr:row>165</xdr:row>
          <xdr:rowOff>184150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184150</xdr:colOff>
          <xdr:row>167</xdr:row>
          <xdr:rowOff>184150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184150</xdr:colOff>
          <xdr:row>170</xdr:row>
          <xdr:rowOff>184150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184150</xdr:colOff>
          <xdr:row>183</xdr:row>
          <xdr:rowOff>184150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184150</xdr:colOff>
          <xdr:row>185</xdr:row>
          <xdr:rowOff>184150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6</xdr:col>
      <xdr:colOff>2924175</xdr:colOff>
      <xdr:row>0</xdr:row>
      <xdr:rowOff>0</xdr:rowOff>
    </xdr:from>
    <xdr:to>
      <xdr:col>6</xdr:col>
      <xdr:colOff>4752975</xdr:colOff>
      <xdr:row>4</xdr:row>
      <xdr:rowOff>141767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19600" y="0"/>
          <a:ext cx="1828800" cy="9037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omeinnovation.com/FindNGBSverifier" TargetMode="External"/><Relationship Id="rId1" Type="http://schemas.openxmlformats.org/officeDocument/2006/relationships/hyperlink" Target="http://www.homeinnovation.com/greenscor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ngbs.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76.xml"/><Relationship Id="rId18" Type="http://schemas.openxmlformats.org/officeDocument/2006/relationships/ctrlProp" Target="../ctrlProps/ctrlProp381.xml"/><Relationship Id="rId26" Type="http://schemas.openxmlformats.org/officeDocument/2006/relationships/ctrlProp" Target="../ctrlProps/ctrlProp389.xml"/><Relationship Id="rId39" Type="http://schemas.openxmlformats.org/officeDocument/2006/relationships/ctrlProp" Target="../ctrlProps/ctrlProp402.xml"/><Relationship Id="rId21" Type="http://schemas.openxmlformats.org/officeDocument/2006/relationships/ctrlProp" Target="../ctrlProps/ctrlProp384.xml"/><Relationship Id="rId34" Type="http://schemas.openxmlformats.org/officeDocument/2006/relationships/ctrlProp" Target="../ctrlProps/ctrlProp397.xml"/><Relationship Id="rId42" Type="http://schemas.openxmlformats.org/officeDocument/2006/relationships/ctrlProp" Target="../ctrlProps/ctrlProp405.xml"/><Relationship Id="rId7" Type="http://schemas.openxmlformats.org/officeDocument/2006/relationships/ctrlProp" Target="../ctrlProps/ctrlProp370.xml"/><Relationship Id="rId2" Type="http://schemas.openxmlformats.org/officeDocument/2006/relationships/drawing" Target="../drawings/drawing11.xml"/><Relationship Id="rId16" Type="http://schemas.openxmlformats.org/officeDocument/2006/relationships/ctrlProp" Target="../ctrlProps/ctrlProp379.xml"/><Relationship Id="rId29" Type="http://schemas.openxmlformats.org/officeDocument/2006/relationships/ctrlProp" Target="../ctrlProps/ctrlProp392.xml"/><Relationship Id="rId1" Type="http://schemas.openxmlformats.org/officeDocument/2006/relationships/printerSettings" Target="../printerSettings/printerSettings15.bin"/><Relationship Id="rId6" Type="http://schemas.openxmlformats.org/officeDocument/2006/relationships/ctrlProp" Target="../ctrlProps/ctrlProp369.xml"/><Relationship Id="rId11" Type="http://schemas.openxmlformats.org/officeDocument/2006/relationships/ctrlProp" Target="../ctrlProps/ctrlProp374.xml"/><Relationship Id="rId24" Type="http://schemas.openxmlformats.org/officeDocument/2006/relationships/ctrlProp" Target="../ctrlProps/ctrlProp387.xml"/><Relationship Id="rId32" Type="http://schemas.openxmlformats.org/officeDocument/2006/relationships/ctrlProp" Target="../ctrlProps/ctrlProp395.xml"/><Relationship Id="rId37" Type="http://schemas.openxmlformats.org/officeDocument/2006/relationships/ctrlProp" Target="../ctrlProps/ctrlProp400.xml"/><Relationship Id="rId40" Type="http://schemas.openxmlformats.org/officeDocument/2006/relationships/ctrlProp" Target="../ctrlProps/ctrlProp403.xml"/><Relationship Id="rId45" Type="http://schemas.openxmlformats.org/officeDocument/2006/relationships/ctrlProp" Target="../ctrlProps/ctrlProp408.xml"/><Relationship Id="rId5" Type="http://schemas.openxmlformats.org/officeDocument/2006/relationships/ctrlProp" Target="../ctrlProps/ctrlProp368.xml"/><Relationship Id="rId15" Type="http://schemas.openxmlformats.org/officeDocument/2006/relationships/ctrlProp" Target="../ctrlProps/ctrlProp378.xml"/><Relationship Id="rId23" Type="http://schemas.openxmlformats.org/officeDocument/2006/relationships/ctrlProp" Target="../ctrlProps/ctrlProp386.xml"/><Relationship Id="rId28" Type="http://schemas.openxmlformats.org/officeDocument/2006/relationships/ctrlProp" Target="../ctrlProps/ctrlProp391.xml"/><Relationship Id="rId36" Type="http://schemas.openxmlformats.org/officeDocument/2006/relationships/ctrlProp" Target="../ctrlProps/ctrlProp399.xml"/><Relationship Id="rId10" Type="http://schemas.openxmlformats.org/officeDocument/2006/relationships/ctrlProp" Target="../ctrlProps/ctrlProp373.xml"/><Relationship Id="rId19" Type="http://schemas.openxmlformats.org/officeDocument/2006/relationships/ctrlProp" Target="../ctrlProps/ctrlProp382.xml"/><Relationship Id="rId31" Type="http://schemas.openxmlformats.org/officeDocument/2006/relationships/ctrlProp" Target="../ctrlProps/ctrlProp394.xml"/><Relationship Id="rId44" Type="http://schemas.openxmlformats.org/officeDocument/2006/relationships/ctrlProp" Target="../ctrlProps/ctrlProp407.xml"/><Relationship Id="rId4" Type="http://schemas.openxmlformats.org/officeDocument/2006/relationships/ctrlProp" Target="../ctrlProps/ctrlProp367.xml"/><Relationship Id="rId9" Type="http://schemas.openxmlformats.org/officeDocument/2006/relationships/ctrlProp" Target="../ctrlProps/ctrlProp372.xml"/><Relationship Id="rId14" Type="http://schemas.openxmlformats.org/officeDocument/2006/relationships/ctrlProp" Target="../ctrlProps/ctrlProp377.xml"/><Relationship Id="rId22" Type="http://schemas.openxmlformats.org/officeDocument/2006/relationships/ctrlProp" Target="../ctrlProps/ctrlProp385.xml"/><Relationship Id="rId27" Type="http://schemas.openxmlformats.org/officeDocument/2006/relationships/ctrlProp" Target="../ctrlProps/ctrlProp390.xml"/><Relationship Id="rId30" Type="http://schemas.openxmlformats.org/officeDocument/2006/relationships/ctrlProp" Target="../ctrlProps/ctrlProp393.xml"/><Relationship Id="rId35" Type="http://schemas.openxmlformats.org/officeDocument/2006/relationships/ctrlProp" Target="../ctrlProps/ctrlProp398.xml"/><Relationship Id="rId43" Type="http://schemas.openxmlformats.org/officeDocument/2006/relationships/ctrlProp" Target="../ctrlProps/ctrlProp406.xml"/><Relationship Id="rId8" Type="http://schemas.openxmlformats.org/officeDocument/2006/relationships/ctrlProp" Target="../ctrlProps/ctrlProp371.xml"/><Relationship Id="rId3" Type="http://schemas.openxmlformats.org/officeDocument/2006/relationships/vmlDrawing" Target="../drawings/vmlDrawing8.vml"/><Relationship Id="rId12" Type="http://schemas.openxmlformats.org/officeDocument/2006/relationships/ctrlProp" Target="../ctrlProps/ctrlProp375.xml"/><Relationship Id="rId17" Type="http://schemas.openxmlformats.org/officeDocument/2006/relationships/ctrlProp" Target="../ctrlProps/ctrlProp380.xml"/><Relationship Id="rId25" Type="http://schemas.openxmlformats.org/officeDocument/2006/relationships/ctrlProp" Target="../ctrlProps/ctrlProp388.xml"/><Relationship Id="rId33" Type="http://schemas.openxmlformats.org/officeDocument/2006/relationships/ctrlProp" Target="../ctrlProps/ctrlProp396.xml"/><Relationship Id="rId38" Type="http://schemas.openxmlformats.org/officeDocument/2006/relationships/ctrlProp" Target="../ctrlProps/ctrlProp401.xml"/><Relationship Id="rId20" Type="http://schemas.openxmlformats.org/officeDocument/2006/relationships/ctrlProp" Target="../ctrlProps/ctrlProp383.xml"/><Relationship Id="rId41" Type="http://schemas.openxmlformats.org/officeDocument/2006/relationships/ctrlProp" Target="../ctrlProps/ctrlProp404.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522.xml"/><Relationship Id="rId299" Type="http://schemas.openxmlformats.org/officeDocument/2006/relationships/ctrlProp" Target="../ctrlProps/ctrlProp704.xml"/><Relationship Id="rId21" Type="http://schemas.openxmlformats.org/officeDocument/2006/relationships/ctrlProp" Target="../ctrlProps/ctrlProp426.xml"/><Relationship Id="rId63" Type="http://schemas.openxmlformats.org/officeDocument/2006/relationships/ctrlProp" Target="../ctrlProps/ctrlProp468.xml"/><Relationship Id="rId159" Type="http://schemas.openxmlformats.org/officeDocument/2006/relationships/ctrlProp" Target="../ctrlProps/ctrlProp564.xml"/><Relationship Id="rId324" Type="http://schemas.openxmlformats.org/officeDocument/2006/relationships/ctrlProp" Target="../ctrlProps/ctrlProp729.xml"/><Relationship Id="rId366" Type="http://schemas.openxmlformats.org/officeDocument/2006/relationships/ctrlProp" Target="../ctrlProps/ctrlProp771.xml"/><Relationship Id="rId170" Type="http://schemas.openxmlformats.org/officeDocument/2006/relationships/ctrlProp" Target="../ctrlProps/ctrlProp575.xml"/><Relationship Id="rId226" Type="http://schemas.openxmlformats.org/officeDocument/2006/relationships/ctrlProp" Target="../ctrlProps/ctrlProp631.xml"/><Relationship Id="rId268" Type="http://schemas.openxmlformats.org/officeDocument/2006/relationships/ctrlProp" Target="../ctrlProps/ctrlProp673.xml"/><Relationship Id="rId32" Type="http://schemas.openxmlformats.org/officeDocument/2006/relationships/ctrlProp" Target="../ctrlProps/ctrlProp437.xml"/><Relationship Id="rId74" Type="http://schemas.openxmlformats.org/officeDocument/2006/relationships/ctrlProp" Target="../ctrlProps/ctrlProp479.xml"/><Relationship Id="rId128" Type="http://schemas.openxmlformats.org/officeDocument/2006/relationships/ctrlProp" Target="../ctrlProps/ctrlProp533.xml"/><Relationship Id="rId335" Type="http://schemas.openxmlformats.org/officeDocument/2006/relationships/ctrlProp" Target="../ctrlProps/ctrlProp740.xml"/><Relationship Id="rId5" Type="http://schemas.openxmlformats.org/officeDocument/2006/relationships/ctrlProp" Target="../ctrlProps/ctrlProp410.xml"/><Relationship Id="rId181" Type="http://schemas.openxmlformats.org/officeDocument/2006/relationships/ctrlProp" Target="../ctrlProps/ctrlProp586.xml"/><Relationship Id="rId237" Type="http://schemas.openxmlformats.org/officeDocument/2006/relationships/ctrlProp" Target="../ctrlProps/ctrlProp642.xml"/><Relationship Id="rId279" Type="http://schemas.openxmlformats.org/officeDocument/2006/relationships/ctrlProp" Target="../ctrlProps/ctrlProp684.xml"/><Relationship Id="rId43" Type="http://schemas.openxmlformats.org/officeDocument/2006/relationships/ctrlProp" Target="../ctrlProps/ctrlProp448.xml"/><Relationship Id="rId139" Type="http://schemas.openxmlformats.org/officeDocument/2006/relationships/ctrlProp" Target="../ctrlProps/ctrlProp544.xml"/><Relationship Id="rId290" Type="http://schemas.openxmlformats.org/officeDocument/2006/relationships/ctrlProp" Target="../ctrlProps/ctrlProp695.xml"/><Relationship Id="rId304" Type="http://schemas.openxmlformats.org/officeDocument/2006/relationships/ctrlProp" Target="../ctrlProps/ctrlProp709.xml"/><Relationship Id="rId346" Type="http://schemas.openxmlformats.org/officeDocument/2006/relationships/ctrlProp" Target="../ctrlProps/ctrlProp751.xml"/><Relationship Id="rId85" Type="http://schemas.openxmlformats.org/officeDocument/2006/relationships/ctrlProp" Target="../ctrlProps/ctrlProp490.xml"/><Relationship Id="rId150" Type="http://schemas.openxmlformats.org/officeDocument/2006/relationships/ctrlProp" Target="../ctrlProps/ctrlProp555.xml"/><Relationship Id="rId192" Type="http://schemas.openxmlformats.org/officeDocument/2006/relationships/ctrlProp" Target="../ctrlProps/ctrlProp597.xml"/><Relationship Id="rId206" Type="http://schemas.openxmlformats.org/officeDocument/2006/relationships/ctrlProp" Target="../ctrlProps/ctrlProp611.xml"/><Relationship Id="rId248" Type="http://schemas.openxmlformats.org/officeDocument/2006/relationships/ctrlProp" Target="../ctrlProps/ctrlProp653.xml"/><Relationship Id="rId12" Type="http://schemas.openxmlformats.org/officeDocument/2006/relationships/ctrlProp" Target="../ctrlProps/ctrlProp417.xml"/><Relationship Id="rId108" Type="http://schemas.openxmlformats.org/officeDocument/2006/relationships/ctrlProp" Target="../ctrlProps/ctrlProp513.xml"/><Relationship Id="rId315" Type="http://schemas.openxmlformats.org/officeDocument/2006/relationships/ctrlProp" Target="../ctrlProps/ctrlProp720.xml"/><Relationship Id="rId357" Type="http://schemas.openxmlformats.org/officeDocument/2006/relationships/ctrlProp" Target="../ctrlProps/ctrlProp762.xml"/><Relationship Id="rId54" Type="http://schemas.openxmlformats.org/officeDocument/2006/relationships/ctrlProp" Target="../ctrlProps/ctrlProp459.xml"/><Relationship Id="rId96" Type="http://schemas.openxmlformats.org/officeDocument/2006/relationships/ctrlProp" Target="../ctrlProps/ctrlProp501.xml"/><Relationship Id="rId161" Type="http://schemas.openxmlformats.org/officeDocument/2006/relationships/ctrlProp" Target="../ctrlProps/ctrlProp566.xml"/><Relationship Id="rId217" Type="http://schemas.openxmlformats.org/officeDocument/2006/relationships/ctrlProp" Target="../ctrlProps/ctrlProp622.xml"/><Relationship Id="rId259" Type="http://schemas.openxmlformats.org/officeDocument/2006/relationships/ctrlProp" Target="../ctrlProps/ctrlProp664.xml"/><Relationship Id="rId23" Type="http://schemas.openxmlformats.org/officeDocument/2006/relationships/ctrlProp" Target="../ctrlProps/ctrlProp428.xml"/><Relationship Id="rId119" Type="http://schemas.openxmlformats.org/officeDocument/2006/relationships/ctrlProp" Target="../ctrlProps/ctrlProp524.xml"/><Relationship Id="rId270" Type="http://schemas.openxmlformats.org/officeDocument/2006/relationships/ctrlProp" Target="../ctrlProps/ctrlProp675.xml"/><Relationship Id="rId326" Type="http://schemas.openxmlformats.org/officeDocument/2006/relationships/ctrlProp" Target="../ctrlProps/ctrlProp731.xml"/><Relationship Id="rId65" Type="http://schemas.openxmlformats.org/officeDocument/2006/relationships/ctrlProp" Target="../ctrlProps/ctrlProp470.xml"/><Relationship Id="rId130" Type="http://schemas.openxmlformats.org/officeDocument/2006/relationships/ctrlProp" Target="../ctrlProps/ctrlProp535.xml"/><Relationship Id="rId368" Type="http://schemas.openxmlformats.org/officeDocument/2006/relationships/ctrlProp" Target="../ctrlProps/ctrlProp773.xml"/><Relationship Id="rId172" Type="http://schemas.openxmlformats.org/officeDocument/2006/relationships/ctrlProp" Target="../ctrlProps/ctrlProp577.xml"/><Relationship Id="rId228" Type="http://schemas.openxmlformats.org/officeDocument/2006/relationships/ctrlProp" Target="../ctrlProps/ctrlProp633.xml"/><Relationship Id="rId281" Type="http://schemas.openxmlformats.org/officeDocument/2006/relationships/ctrlProp" Target="../ctrlProps/ctrlProp686.xml"/><Relationship Id="rId337" Type="http://schemas.openxmlformats.org/officeDocument/2006/relationships/ctrlProp" Target="../ctrlProps/ctrlProp742.xml"/><Relationship Id="rId34" Type="http://schemas.openxmlformats.org/officeDocument/2006/relationships/ctrlProp" Target="../ctrlProps/ctrlProp439.xml"/><Relationship Id="rId76" Type="http://schemas.openxmlformats.org/officeDocument/2006/relationships/ctrlProp" Target="../ctrlProps/ctrlProp481.xml"/><Relationship Id="rId141" Type="http://schemas.openxmlformats.org/officeDocument/2006/relationships/ctrlProp" Target="../ctrlProps/ctrlProp546.xml"/><Relationship Id="rId7" Type="http://schemas.openxmlformats.org/officeDocument/2006/relationships/ctrlProp" Target="../ctrlProps/ctrlProp412.xml"/><Relationship Id="rId183" Type="http://schemas.openxmlformats.org/officeDocument/2006/relationships/ctrlProp" Target="../ctrlProps/ctrlProp588.xml"/><Relationship Id="rId239" Type="http://schemas.openxmlformats.org/officeDocument/2006/relationships/ctrlProp" Target="../ctrlProps/ctrlProp644.xml"/><Relationship Id="rId250" Type="http://schemas.openxmlformats.org/officeDocument/2006/relationships/ctrlProp" Target="../ctrlProps/ctrlProp655.xml"/><Relationship Id="rId292" Type="http://schemas.openxmlformats.org/officeDocument/2006/relationships/ctrlProp" Target="../ctrlProps/ctrlProp697.xml"/><Relationship Id="rId306" Type="http://schemas.openxmlformats.org/officeDocument/2006/relationships/ctrlProp" Target="../ctrlProps/ctrlProp711.xml"/><Relationship Id="rId45" Type="http://schemas.openxmlformats.org/officeDocument/2006/relationships/ctrlProp" Target="../ctrlProps/ctrlProp450.xml"/><Relationship Id="rId87" Type="http://schemas.openxmlformats.org/officeDocument/2006/relationships/ctrlProp" Target="../ctrlProps/ctrlProp492.xml"/><Relationship Id="rId110" Type="http://schemas.openxmlformats.org/officeDocument/2006/relationships/ctrlProp" Target="../ctrlProps/ctrlProp515.xml"/><Relationship Id="rId348" Type="http://schemas.openxmlformats.org/officeDocument/2006/relationships/ctrlProp" Target="../ctrlProps/ctrlProp753.xml"/><Relationship Id="rId152" Type="http://schemas.openxmlformats.org/officeDocument/2006/relationships/ctrlProp" Target="../ctrlProps/ctrlProp557.xml"/><Relationship Id="rId194" Type="http://schemas.openxmlformats.org/officeDocument/2006/relationships/ctrlProp" Target="../ctrlProps/ctrlProp599.xml"/><Relationship Id="rId208" Type="http://schemas.openxmlformats.org/officeDocument/2006/relationships/ctrlProp" Target="../ctrlProps/ctrlProp613.xml"/><Relationship Id="rId261" Type="http://schemas.openxmlformats.org/officeDocument/2006/relationships/ctrlProp" Target="../ctrlProps/ctrlProp666.xml"/><Relationship Id="rId14" Type="http://schemas.openxmlformats.org/officeDocument/2006/relationships/ctrlProp" Target="../ctrlProps/ctrlProp419.xml"/><Relationship Id="rId56" Type="http://schemas.openxmlformats.org/officeDocument/2006/relationships/ctrlProp" Target="../ctrlProps/ctrlProp461.xml"/><Relationship Id="rId317" Type="http://schemas.openxmlformats.org/officeDocument/2006/relationships/ctrlProp" Target="../ctrlProps/ctrlProp722.xml"/><Relationship Id="rId359" Type="http://schemas.openxmlformats.org/officeDocument/2006/relationships/ctrlProp" Target="../ctrlProps/ctrlProp764.xml"/><Relationship Id="rId98" Type="http://schemas.openxmlformats.org/officeDocument/2006/relationships/ctrlProp" Target="../ctrlProps/ctrlProp503.xml"/><Relationship Id="rId121" Type="http://schemas.openxmlformats.org/officeDocument/2006/relationships/ctrlProp" Target="../ctrlProps/ctrlProp526.xml"/><Relationship Id="rId163" Type="http://schemas.openxmlformats.org/officeDocument/2006/relationships/ctrlProp" Target="../ctrlProps/ctrlProp568.xml"/><Relationship Id="rId219" Type="http://schemas.openxmlformats.org/officeDocument/2006/relationships/ctrlProp" Target="../ctrlProps/ctrlProp624.xml"/><Relationship Id="rId230" Type="http://schemas.openxmlformats.org/officeDocument/2006/relationships/ctrlProp" Target="../ctrlProps/ctrlProp635.xml"/><Relationship Id="rId25" Type="http://schemas.openxmlformats.org/officeDocument/2006/relationships/ctrlProp" Target="../ctrlProps/ctrlProp430.xml"/><Relationship Id="rId67" Type="http://schemas.openxmlformats.org/officeDocument/2006/relationships/ctrlProp" Target="../ctrlProps/ctrlProp472.xml"/><Relationship Id="rId272" Type="http://schemas.openxmlformats.org/officeDocument/2006/relationships/ctrlProp" Target="../ctrlProps/ctrlProp677.xml"/><Relationship Id="rId328" Type="http://schemas.openxmlformats.org/officeDocument/2006/relationships/ctrlProp" Target="../ctrlProps/ctrlProp733.xml"/><Relationship Id="rId132" Type="http://schemas.openxmlformats.org/officeDocument/2006/relationships/ctrlProp" Target="../ctrlProps/ctrlProp537.xml"/><Relationship Id="rId174" Type="http://schemas.openxmlformats.org/officeDocument/2006/relationships/ctrlProp" Target="../ctrlProps/ctrlProp579.xml"/><Relationship Id="rId220" Type="http://schemas.openxmlformats.org/officeDocument/2006/relationships/ctrlProp" Target="../ctrlProps/ctrlProp625.xml"/><Relationship Id="rId241" Type="http://schemas.openxmlformats.org/officeDocument/2006/relationships/ctrlProp" Target="../ctrlProps/ctrlProp646.xml"/><Relationship Id="rId15" Type="http://schemas.openxmlformats.org/officeDocument/2006/relationships/ctrlProp" Target="../ctrlProps/ctrlProp420.xml"/><Relationship Id="rId36" Type="http://schemas.openxmlformats.org/officeDocument/2006/relationships/ctrlProp" Target="../ctrlProps/ctrlProp441.xml"/><Relationship Id="rId57" Type="http://schemas.openxmlformats.org/officeDocument/2006/relationships/ctrlProp" Target="../ctrlProps/ctrlProp462.xml"/><Relationship Id="rId262" Type="http://schemas.openxmlformats.org/officeDocument/2006/relationships/ctrlProp" Target="../ctrlProps/ctrlProp667.xml"/><Relationship Id="rId283" Type="http://schemas.openxmlformats.org/officeDocument/2006/relationships/ctrlProp" Target="../ctrlProps/ctrlProp688.xml"/><Relationship Id="rId318" Type="http://schemas.openxmlformats.org/officeDocument/2006/relationships/ctrlProp" Target="../ctrlProps/ctrlProp723.xml"/><Relationship Id="rId339" Type="http://schemas.openxmlformats.org/officeDocument/2006/relationships/ctrlProp" Target="../ctrlProps/ctrlProp744.xml"/><Relationship Id="rId78" Type="http://schemas.openxmlformats.org/officeDocument/2006/relationships/ctrlProp" Target="../ctrlProps/ctrlProp483.xml"/><Relationship Id="rId99" Type="http://schemas.openxmlformats.org/officeDocument/2006/relationships/ctrlProp" Target="../ctrlProps/ctrlProp504.xml"/><Relationship Id="rId101" Type="http://schemas.openxmlformats.org/officeDocument/2006/relationships/ctrlProp" Target="../ctrlProps/ctrlProp506.xml"/><Relationship Id="rId122" Type="http://schemas.openxmlformats.org/officeDocument/2006/relationships/ctrlProp" Target="../ctrlProps/ctrlProp527.xml"/><Relationship Id="rId143" Type="http://schemas.openxmlformats.org/officeDocument/2006/relationships/ctrlProp" Target="../ctrlProps/ctrlProp548.xml"/><Relationship Id="rId164" Type="http://schemas.openxmlformats.org/officeDocument/2006/relationships/ctrlProp" Target="../ctrlProps/ctrlProp569.xml"/><Relationship Id="rId185" Type="http://schemas.openxmlformats.org/officeDocument/2006/relationships/ctrlProp" Target="../ctrlProps/ctrlProp590.xml"/><Relationship Id="rId350" Type="http://schemas.openxmlformats.org/officeDocument/2006/relationships/ctrlProp" Target="../ctrlProps/ctrlProp755.xml"/><Relationship Id="rId9" Type="http://schemas.openxmlformats.org/officeDocument/2006/relationships/ctrlProp" Target="../ctrlProps/ctrlProp414.xml"/><Relationship Id="rId210" Type="http://schemas.openxmlformats.org/officeDocument/2006/relationships/ctrlProp" Target="../ctrlProps/ctrlProp615.xml"/><Relationship Id="rId26" Type="http://schemas.openxmlformats.org/officeDocument/2006/relationships/ctrlProp" Target="../ctrlProps/ctrlProp431.xml"/><Relationship Id="rId231" Type="http://schemas.openxmlformats.org/officeDocument/2006/relationships/ctrlProp" Target="../ctrlProps/ctrlProp636.xml"/><Relationship Id="rId252" Type="http://schemas.openxmlformats.org/officeDocument/2006/relationships/ctrlProp" Target="../ctrlProps/ctrlProp657.xml"/><Relationship Id="rId273" Type="http://schemas.openxmlformats.org/officeDocument/2006/relationships/ctrlProp" Target="../ctrlProps/ctrlProp678.xml"/><Relationship Id="rId294" Type="http://schemas.openxmlformats.org/officeDocument/2006/relationships/ctrlProp" Target="../ctrlProps/ctrlProp699.xml"/><Relationship Id="rId308" Type="http://schemas.openxmlformats.org/officeDocument/2006/relationships/ctrlProp" Target="../ctrlProps/ctrlProp713.xml"/><Relationship Id="rId329" Type="http://schemas.openxmlformats.org/officeDocument/2006/relationships/ctrlProp" Target="../ctrlProps/ctrlProp734.xml"/><Relationship Id="rId47" Type="http://schemas.openxmlformats.org/officeDocument/2006/relationships/ctrlProp" Target="../ctrlProps/ctrlProp452.xml"/><Relationship Id="rId68" Type="http://schemas.openxmlformats.org/officeDocument/2006/relationships/ctrlProp" Target="../ctrlProps/ctrlProp473.xml"/><Relationship Id="rId89" Type="http://schemas.openxmlformats.org/officeDocument/2006/relationships/ctrlProp" Target="../ctrlProps/ctrlProp494.xml"/><Relationship Id="rId112" Type="http://schemas.openxmlformats.org/officeDocument/2006/relationships/ctrlProp" Target="../ctrlProps/ctrlProp517.xml"/><Relationship Id="rId133" Type="http://schemas.openxmlformats.org/officeDocument/2006/relationships/ctrlProp" Target="../ctrlProps/ctrlProp538.xml"/><Relationship Id="rId154" Type="http://schemas.openxmlformats.org/officeDocument/2006/relationships/ctrlProp" Target="../ctrlProps/ctrlProp559.xml"/><Relationship Id="rId175" Type="http://schemas.openxmlformats.org/officeDocument/2006/relationships/ctrlProp" Target="../ctrlProps/ctrlProp580.xml"/><Relationship Id="rId340" Type="http://schemas.openxmlformats.org/officeDocument/2006/relationships/ctrlProp" Target="../ctrlProps/ctrlProp745.xml"/><Relationship Id="rId361" Type="http://schemas.openxmlformats.org/officeDocument/2006/relationships/ctrlProp" Target="../ctrlProps/ctrlProp766.xml"/><Relationship Id="rId196" Type="http://schemas.openxmlformats.org/officeDocument/2006/relationships/ctrlProp" Target="../ctrlProps/ctrlProp601.xml"/><Relationship Id="rId200" Type="http://schemas.openxmlformats.org/officeDocument/2006/relationships/ctrlProp" Target="../ctrlProps/ctrlProp605.xml"/><Relationship Id="rId16" Type="http://schemas.openxmlformats.org/officeDocument/2006/relationships/ctrlProp" Target="../ctrlProps/ctrlProp421.xml"/><Relationship Id="rId221" Type="http://schemas.openxmlformats.org/officeDocument/2006/relationships/ctrlProp" Target="../ctrlProps/ctrlProp626.xml"/><Relationship Id="rId242" Type="http://schemas.openxmlformats.org/officeDocument/2006/relationships/ctrlProp" Target="../ctrlProps/ctrlProp647.xml"/><Relationship Id="rId263" Type="http://schemas.openxmlformats.org/officeDocument/2006/relationships/ctrlProp" Target="../ctrlProps/ctrlProp668.xml"/><Relationship Id="rId284" Type="http://schemas.openxmlformats.org/officeDocument/2006/relationships/ctrlProp" Target="../ctrlProps/ctrlProp689.xml"/><Relationship Id="rId319" Type="http://schemas.openxmlformats.org/officeDocument/2006/relationships/ctrlProp" Target="../ctrlProps/ctrlProp724.xml"/><Relationship Id="rId37" Type="http://schemas.openxmlformats.org/officeDocument/2006/relationships/ctrlProp" Target="../ctrlProps/ctrlProp442.xml"/><Relationship Id="rId58" Type="http://schemas.openxmlformats.org/officeDocument/2006/relationships/ctrlProp" Target="../ctrlProps/ctrlProp463.xml"/><Relationship Id="rId79" Type="http://schemas.openxmlformats.org/officeDocument/2006/relationships/ctrlProp" Target="../ctrlProps/ctrlProp484.xml"/><Relationship Id="rId102" Type="http://schemas.openxmlformats.org/officeDocument/2006/relationships/ctrlProp" Target="../ctrlProps/ctrlProp507.xml"/><Relationship Id="rId123" Type="http://schemas.openxmlformats.org/officeDocument/2006/relationships/ctrlProp" Target="../ctrlProps/ctrlProp528.xml"/><Relationship Id="rId144" Type="http://schemas.openxmlformats.org/officeDocument/2006/relationships/ctrlProp" Target="../ctrlProps/ctrlProp549.xml"/><Relationship Id="rId330" Type="http://schemas.openxmlformats.org/officeDocument/2006/relationships/ctrlProp" Target="../ctrlProps/ctrlProp735.xml"/><Relationship Id="rId90" Type="http://schemas.openxmlformats.org/officeDocument/2006/relationships/ctrlProp" Target="../ctrlProps/ctrlProp495.xml"/><Relationship Id="rId165" Type="http://schemas.openxmlformats.org/officeDocument/2006/relationships/ctrlProp" Target="../ctrlProps/ctrlProp570.xml"/><Relationship Id="rId186" Type="http://schemas.openxmlformats.org/officeDocument/2006/relationships/ctrlProp" Target="../ctrlProps/ctrlProp591.xml"/><Relationship Id="rId351" Type="http://schemas.openxmlformats.org/officeDocument/2006/relationships/ctrlProp" Target="../ctrlProps/ctrlProp756.xml"/><Relationship Id="rId211" Type="http://schemas.openxmlformats.org/officeDocument/2006/relationships/ctrlProp" Target="../ctrlProps/ctrlProp616.xml"/><Relationship Id="rId232" Type="http://schemas.openxmlformats.org/officeDocument/2006/relationships/ctrlProp" Target="../ctrlProps/ctrlProp637.xml"/><Relationship Id="rId253" Type="http://schemas.openxmlformats.org/officeDocument/2006/relationships/ctrlProp" Target="../ctrlProps/ctrlProp658.xml"/><Relationship Id="rId274" Type="http://schemas.openxmlformats.org/officeDocument/2006/relationships/ctrlProp" Target="../ctrlProps/ctrlProp679.xml"/><Relationship Id="rId295" Type="http://schemas.openxmlformats.org/officeDocument/2006/relationships/ctrlProp" Target="../ctrlProps/ctrlProp700.xml"/><Relationship Id="rId309" Type="http://schemas.openxmlformats.org/officeDocument/2006/relationships/ctrlProp" Target="../ctrlProps/ctrlProp714.xml"/><Relationship Id="rId27" Type="http://schemas.openxmlformats.org/officeDocument/2006/relationships/ctrlProp" Target="../ctrlProps/ctrlProp432.xml"/><Relationship Id="rId48" Type="http://schemas.openxmlformats.org/officeDocument/2006/relationships/ctrlProp" Target="../ctrlProps/ctrlProp453.xml"/><Relationship Id="rId69" Type="http://schemas.openxmlformats.org/officeDocument/2006/relationships/ctrlProp" Target="../ctrlProps/ctrlProp474.xml"/><Relationship Id="rId113" Type="http://schemas.openxmlformats.org/officeDocument/2006/relationships/ctrlProp" Target="../ctrlProps/ctrlProp518.xml"/><Relationship Id="rId134" Type="http://schemas.openxmlformats.org/officeDocument/2006/relationships/ctrlProp" Target="../ctrlProps/ctrlProp539.xml"/><Relationship Id="rId320" Type="http://schemas.openxmlformats.org/officeDocument/2006/relationships/ctrlProp" Target="../ctrlProps/ctrlProp725.xml"/><Relationship Id="rId80" Type="http://schemas.openxmlformats.org/officeDocument/2006/relationships/ctrlProp" Target="../ctrlProps/ctrlProp485.xml"/><Relationship Id="rId155" Type="http://schemas.openxmlformats.org/officeDocument/2006/relationships/ctrlProp" Target="../ctrlProps/ctrlProp560.xml"/><Relationship Id="rId176" Type="http://schemas.openxmlformats.org/officeDocument/2006/relationships/ctrlProp" Target="../ctrlProps/ctrlProp581.xml"/><Relationship Id="rId197" Type="http://schemas.openxmlformats.org/officeDocument/2006/relationships/ctrlProp" Target="../ctrlProps/ctrlProp602.xml"/><Relationship Id="rId341" Type="http://schemas.openxmlformats.org/officeDocument/2006/relationships/ctrlProp" Target="../ctrlProps/ctrlProp746.xml"/><Relationship Id="rId362" Type="http://schemas.openxmlformats.org/officeDocument/2006/relationships/ctrlProp" Target="../ctrlProps/ctrlProp767.xml"/><Relationship Id="rId201" Type="http://schemas.openxmlformats.org/officeDocument/2006/relationships/ctrlProp" Target="../ctrlProps/ctrlProp606.xml"/><Relationship Id="rId222" Type="http://schemas.openxmlformats.org/officeDocument/2006/relationships/ctrlProp" Target="../ctrlProps/ctrlProp627.xml"/><Relationship Id="rId243" Type="http://schemas.openxmlformats.org/officeDocument/2006/relationships/ctrlProp" Target="../ctrlProps/ctrlProp648.xml"/><Relationship Id="rId264" Type="http://schemas.openxmlformats.org/officeDocument/2006/relationships/ctrlProp" Target="../ctrlProps/ctrlProp669.xml"/><Relationship Id="rId285" Type="http://schemas.openxmlformats.org/officeDocument/2006/relationships/ctrlProp" Target="../ctrlProps/ctrlProp690.xml"/><Relationship Id="rId17" Type="http://schemas.openxmlformats.org/officeDocument/2006/relationships/ctrlProp" Target="../ctrlProps/ctrlProp422.xml"/><Relationship Id="rId38" Type="http://schemas.openxmlformats.org/officeDocument/2006/relationships/ctrlProp" Target="../ctrlProps/ctrlProp443.xml"/><Relationship Id="rId59" Type="http://schemas.openxmlformats.org/officeDocument/2006/relationships/ctrlProp" Target="../ctrlProps/ctrlProp464.xml"/><Relationship Id="rId103" Type="http://schemas.openxmlformats.org/officeDocument/2006/relationships/ctrlProp" Target="../ctrlProps/ctrlProp508.xml"/><Relationship Id="rId124" Type="http://schemas.openxmlformats.org/officeDocument/2006/relationships/ctrlProp" Target="../ctrlProps/ctrlProp529.xml"/><Relationship Id="rId310" Type="http://schemas.openxmlformats.org/officeDocument/2006/relationships/ctrlProp" Target="../ctrlProps/ctrlProp715.xml"/><Relationship Id="rId70" Type="http://schemas.openxmlformats.org/officeDocument/2006/relationships/ctrlProp" Target="../ctrlProps/ctrlProp475.xml"/><Relationship Id="rId91" Type="http://schemas.openxmlformats.org/officeDocument/2006/relationships/ctrlProp" Target="../ctrlProps/ctrlProp496.xml"/><Relationship Id="rId145" Type="http://schemas.openxmlformats.org/officeDocument/2006/relationships/ctrlProp" Target="../ctrlProps/ctrlProp550.xml"/><Relationship Id="rId166" Type="http://schemas.openxmlformats.org/officeDocument/2006/relationships/ctrlProp" Target="../ctrlProps/ctrlProp571.xml"/><Relationship Id="rId187" Type="http://schemas.openxmlformats.org/officeDocument/2006/relationships/ctrlProp" Target="../ctrlProps/ctrlProp592.xml"/><Relationship Id="rId331" Type="http://schemas.openxmlformats.org/officeDocument/2006/relationships/ctrlProp" Target="../ctrlProps/ctrlProp736.xml"/><Relationship Id="rId352" Type="http://schemas.openxmlformats.org/officeDocument/2006/relationships/ctrlProp" Target="../ctrlProps/ctrlProp757.xml"/><Relationship Id="rId1" Type="http://schemas.openxmlformats.org/officeDocument/2006/relationships/printerSettings" Target="../printerSettings/printerSettings16.bin"/><Relationship Id="rId212" Type="http://schemas.openxmlformats.org/officeDocument/2006/relationships/ctrlProp" Target="../ctrlProps/ctrlProp617.xml"/><Relationship Id="rId233" Type="http://schemas.openxmlformats.org/officeDocument/2006/relationships/ctrlProp" Target="../ctrlProps/ctrlProp638.xml"/><Relationship Id="rId254" Type="http://schemas.openxmlformats.org/officeDocument/2006/relationships/ctrlProp" Target="../ctrlProps/ctrlProp659.xml"/><Relationship Id="rId28" Type="http://schemas.openxmlformats.org/officeDocument/2006/relationships/ctrlProp" Target="../ctrlProps/ctrlProp433.xml"/><Relationship Id="rId49" Type="http://schemas.openxmlformats.org/officeDocument/2006/relationships/ctrlProp" Target="../ctrlProps/ctrlProp454.xml"/><Relationship Id="rId114" Type="http://schemas.openxmlformats.org/officeDocument/2006/relationships/ctrlProp" Target="../ctrlProps/ctrlProp519.xml"/><Relationship Id="rId275" Type="http://schemas.openxmlformats.org/officeDocument/2006/relationships/ctrlProp" Target="../ctrlProps/ctrlProp680.xml"/><Relationship Id="rId296" Type="http://schemas.openxmlformats.org/officeDocument/2006/relationships/ctrlProp" Target="../ctrlProps/ctrlProp701.xml"/><Relationship Id="rId300" Type="http://schemas.openxmlformats.org/officeDocument/2006/relationships/ctrlProp" Target="../ctrlProps/ctrlProp705.xml"/><Relationship Id="rId60" Type="http://schemas.openxmlformats.org/officeDocument/2006/relationships/ctrlProp" Target="../ctrlProps/ctrlProp465.xml"/><Relationship Id="rId81" Type="http://schemas.openxmlformats.org/officeDocument/2006/relationships/ctrlProp" Target="../ctrlProps/ctrlProp486.xml"/><Relationship Id="rId135" Type="http://schemas.openxmlformats.org/officeDocument/2006/relationships/ctrlProp" Target="../ctrlProps/ctrlProp540.xml"/><Relationship Id="rId156" Type="http://schemas.openxmlformats.org/officeDocument/2006/relationships/ctrlProp" Target="../ctrlProps/ctrlProp561.xml"/><Relationship Id="rId177" Type="http://schemas.openxmlformats.org/officeDocument/2006/relationships/ctrlProp" Target="../ctrlProps/ctrlProp582.xml"/><Relationship Id="rId198" Type="http://schemas.openxmlformats.org/officeDocument/2006/relationships/ctrlProp" Target="../ctrlProps/ctrlProp603.xml"/><Relationship Id="rId321" Type="http://schemas.openxmlformats.org/officeDocument/2006/relationships/ctrlProp" Target="../ctrlProps/ctrlProp726.xml"/><Relationship Id="rId342" Type="http://schemas.openxmlformats.org/officeDocument/2006/relationships/ctrlProp" Target="../ctrlProps/ctrlProp747.xml"/><Relationship Id="rId363" Type="http://schemas.openxmlformats.org/officeDocument/2006/relationships/ctrlProp" Target="../ctrlProps/ctrlProp768.xml"/><Relationship Id="rId202" Type="http://schemas.openxmlformats.org/officeDocument/2006/relationships/ctrlProp" Target="../ctrlProps/ctrlProp607.xml"/><Relationship Id="rId223" Type="http://schemas.openxmlformats.org/officeDocument/2006/relationships/ctrlProp" Target="../ctrlProps/ctrlProp628.xml"/><Relationship Id="rId244" Type="http://schemas.openxmlformats.org/officeDocument/2006/relationships/ctrlProp" Target="../ctrlProps/ctrlProp649.xml"/><Relationship Id="rId18" Type="http://schemas.openxmlformats.org/officeDocument/2006/relationships/ctrlProp" Target="../ctrlProps/ctrlProp423.xml"/><Relationship Id="rId39" Type="http://schemas.openxmlformats.org/officeDocument/2006/relationships/ctrlProp" Target="../ctrlProps/ctrlProp444.xml"/><Relationship Id="rId265" Type="http://schemas.openxmlformats.org/officeDocument/2006/relationships/ctrlProp" Target="../ctrlProps/ctrlProp670.xml"/><Relationship Id="rId286" Type="http://schemas.openxmlformats.org/officeDocument/2006/relationships/ctrlProp" Target="../ctrlProps/ctrlProp691.xml"/><Relationship Id="rId50" Type="http://schemas.openxmlformats.org/officeDocument/2006/relationships/ctrlProp" Target="../ctrlProps/ctrlProp455.xml"/><Relationship Id="rId104" Type="http://schemas.openxmlformats.org/officeDocument/2006/relationships/ctrlProp" Target="../ctrlProps/ctrlProp509.xml"/><Relationship Id="rId125" Type="http://schemas.openxmlformats.org/officeDocument/2006/relationships/ctrlProp" Target="../ctrlProps/ctrlProp530.xml"/><Relationship Id="rId146" Type="http://schemas.openxmlformats.org/officeDocument/2006/relationships/ctrlProp" Target="../ctrlProps/ctrlProp551.xml"/><Relationship Id="rId167" Type="http://schemas.openxmlformats.org/officeDocument/2006/relationships/ctrlProp" Target="../ctrlProps/ctrlProp572.xml"/><Relationship Id="rId188" Type="http://schemas.openxmlformats.org/officeDocument/2006/relationships/ctrlProp" Target="../ctrlProps/ctrlProp593.xml"/><Relationship Id="rId311" Type="http://schemas.openxmlformats.org/officeDocument/2006/relationships/ctrlProp" Target="../ctrlProps/ctrlProp716.xml"/><Relationship Id="rId332" Type="http://schemas.openxmlformats.org/officeDocument/2006/relationships/ctrlProp" Target="../ctrlProps/ctrlProp737.xml"/><Relationship Id="rId353" Type="http://schemas.openxmlformats.org/officeDocument/2006/relationships/ctrlProp" Target="../ctrlProps/ctrlProp758.xml"/><Relationship Id="rId71" Type="http://schemas.openxmlformats.org/officeDocument/2006/relationships/ctrlProp" Target="../ctrlProps/ctrlProp476.xml"/><Relationship Id="rId92" Type="http://schemas.openxmlformats.org/officeDocument/2006/relationships/ctrlProp" Target="../ctrlProps/ctrlProp497.xml"/><Relationship Id="rId213" Type="http://schemas.openxmlformats.org/officeDocument/2006/relationships/ctrlProp" Target="../ctrlProps/ctrlProp618.xml"/><Relationship Id="rId234" Type="http://schemas.openxmlformats.org/officeDocument/2006/relationships/ctrlProp" Target="../ctrlProps/ctrlProp639.xml"/><Relationship Id="rId2" Type="http://schemas.openxmlformats.org/officeDocument/2006/relationships/drawing" Target="../drawings/drawing12.xml"/><Relationship Id="rId29" Type="http://schemas.openxmlformats.org/officeDocument/2006/relationships/ctrlProp" Target="../ctrlProps/ctrlProp434.xml"/><Relationship Id="rId255" Type="http://schemas.openxmlformats.org/officeDocument/2006/relationships/ctrlProp" Target="../ctrlProps/ctrlProp660.xml"/><Relationship Id="rId276" Type="http://schemas.openxmlformats.org/officeDocument/2006/relationships/ctrlProp" Target="../ctrlProps/ctrlProp681.xml"/><Relationship Id="rId297" Type="http://schemas.openxmlformats.org/officeDocument/2006/relationships/ctrlProp" Target="../ctrlProps/ctrlProp702.xml"/><Relationship Id="rId40" Type="http://schemas.openxmlformats.org/officeDocument/2006/relationships/ctrlProp" Target="../ctrlProps/ctrlProp445.xml"/><Relationship Id="rId115" Type="http://schemas.openxmlformats.org/officeDocument/2006/relationships/ctrlProp" Target="../ctrlProps/ctrlProp520.xml"/><Relationship Id="rId136" Type="http://schemas.openxmlformats.org/officeDocument/2006/relationships/ctrlProp" Target="../ctrlProps/ctrlProp541.xml"/><Relationship Id="rId157" Type="http://schemas.openxmlformats.org/officeDocument/2006/relationships/ctrlProp" Target="../ctrlProps/ctrlProp562.xml"/><Relationship Id="rId178" Type="http://schemas.openxmlformats.org/officeDocument/2006/relationships/ctrlProp" Target="../ctrlProps/ctrlProp583.xml"/><Relationship Id="rId301" Type="http://schemas.openxmlformats.org/officeDocument/2006/relationships/ctrlProp" Target="../ctrlProps/ctrlProp706.xml"/><Relationship Id="rId322" Type="http://schemas.openxmlformats.org/officeDocument/2006/relationships/ctrlProp" Target="../ctrlProps/ctrlProp727.xml"/><Relationship Id="rId343" Type="http://schemas.openxmlformats.org/officeDocument/2006/relationships/ctrlProp" Target="../ctrlProps/ctrlProp748.xml"/><Relationship Id="rId364" Type="http://schemas.openxmlformats.org/officeDocument/2006/relationships/ctrlProp" Target="../ctrlProps/ctrlProp769.xml"/><Relationship Id="rId61" Type="http://schemas.openxmlformats.org/officeDocument/2006/relationships/ctrlProp" Target="../ctrlProps/ctrlProp466.xml"/><Relationship Id="rId82" Type="http://schemas.openxmlformats.org/officeDocument/2006/relationships/ctrlProp" Target="../ctrlProps/ctrlProp487.xml"/><Relationship Id="rId199" Type="http://schemas.openxmlformats.org/officeDocument/2006/relationships/ctrlProp" Target="../ctrlProps/ctrlProp604.xml"/><Relationship Id="rId203" Type="http://schemas.openxmlformats.org/officeDocument/2006/relationships/ctrlProp" Target="../ctrlProps/ctrlProp608.xml"/><Relationship Id="rId19" Type="http://schemas.openxmlformats.org/officeDocument/2006/relationships/ctrlProp" Target="../ctrlProps/ctrlProp424.xml"/><Relationship Id="rId224" Type="http://schemas.openxmlformats.org/officeDocument/2006/relationships/ctrlProp" Target="../ctrlProps/ctrlProp629.xml"/><Relationship Id="rId245" Type="http://schemas.openxmlformats.org/officeDocument/2006/relationships/ctrlProp" Target="../ctrlProps/ctrlProp650.xml"/><Relationship Id="rId266" Type="http://schemas.openxmlformats.org/officeDocument/2006/relationships/ctrlProp" Target="../ctrlProps/ctrlProp671.xml"/><Relationship Id="rId287" Type="http://schemas.openxmlformats.org/officeDocument/2006/relationships/ctrlProp" Target="../ctrlProps/ctrlProp692.xml"/><Relationship Id="rId30" Type="http://schemas.openxmlformats.org/officeDocument/2006/relationships/ctrlProp" Target="../ctrlProps/ctrlProp435.xml"/><Relationship Id="rId105" Type="http://schemas.openxmlformats.org/officeDocument/2006/relationships/ctrlProp" Target="../ctrlProps/ctrlProp510.xml"/><Relationship Id="rId126" Type="http://schemas.openxmlformats.org/officeDocument/2006/relationships/ctrlProp" Target="../ctrlProps/ctrlProp531.xml"/><Relationship Id="rId147" Type="http://schemas.openxmlformats.org/officeDocument/2006/relationships/ctrlProp" Target="../ctrlProps/ctrlProp552.xml"/><Relationship Id="rId168" Type="http://schemas.openxmlformats.org/officeDocument/2006/relationships/ctrlProp" Target="../ctrlProps/ctrlProp573.xml"/><Relationship Id="rId312" Type="http://schemas.openxmlformats.org/officeDocument/2006/relationships/ctrlProp" Target="../ctrlProps/ctrlProp717.xml"/><Relationship Id="rId333" Type="http://schemas.openxmlformats.org/officeDocument/2006/relationships/ctrlProp" Target="../ctrlProps/ctrlProp738.xml"/><Relationship Id="rId354" Type="http://schemas.openxmlformats.org/officeDocument/2006/relationships/ctrlProp" Target="../ctrlProps/ctrlProp759.xml"/><Relationship Id="rId51" Type="http://schemas.openxmlformats.org/officeDocument/2006/relationships/ctrlProp" Target="../ctrlProps/ctrlProp456.xml"/><Relationship Id="rId72" Type="http://schemas.openxmlformats.org/officeDocument/2006/relationships/ctrlProp" Target="../ctrlProps/ctrlProp477.xml"/><Relationship Id="rId93" Type="http://schemas.openxmlformats.org/officeDocument/2006/relationships/ctrlProp" Target="../ctrlProps/ctrlProp498.xml"/><Relationship Id="rId189" Type="http://schemas.openxmlformats.org/officeDocument/2006/relationships/ctrlProp" Target="../ctrlProps/ctrlProp594.xml"/><Relationship Id="rId3" Type="http://schemas.openxmlformats.org/officeDocument/2006/relationships/vmlDrawing" Target="../drawings/vmlDrawing9.vml"/><Relationship Id="rId214" Type="http://schemas.openxmlformats.org/officeDocument/2006/relationships/ctrlProp" Target="../ctrlProps/ctrlProp619.xml"/><Relationship Id="rId235" Type="http://schemas.openxmlformats.org/officeDocument/2006/relationships/ctrlProp" Target="../ctrlProps/ctrlProp640.xml"/><Relationship Id="rId256" Type="http://schemas.openxmlformats.org/officeDocument/2006/relationships/ctrlProp" Target="../ctrlProps/ctrlProp661.xml"/><Relationship Id="rId277" Type="http://schemas.openxmlformats.org/officeDocument/2006/relationships/ctrlProp" Target="../ctrlProps/ctrlProp682.xml"/><Relationship Id="rId298" Type="http://schemas.openxmlformats.org/officeDocument/2006/relationships/ctrlProp" Target="../ctrlProps/ctrlProp703.xml"/><Relationship Id="rId116" Type="http://schemas.openxmlformats.org/officeDocument/2006/relationships/ctrlProp" Target="../ctrlProps/ctrlProp521.xml"/><Relationship Id="rId137" Type="http://schemas.openxmlformats.org/officeDocument/2006/relationships/ctrlProp" Target="../ctrlProps/ctrlProp542.xml"/><Relationship Id="rId158" Type="http://schemas.openxmlformats.org/officeDocument/2006/relationships/ctrlProp" Target="../ctrlProps/ctrlProp563.xml"/><Relationship Id="rId302" Type="http://schemas.openxmlformats.org/officeDocument/2006/relationships/ctrlProp" Target="../ctrlProps/ctrlProp707.xml"/><Relationship Id="rId323" Type="http://schemas.openxmlformats.org/officeDocument/2006/relationships/ctrlProp" Target="../ctrlProps/ctrlProp728.xml"/><Relationship Id="rId344" Type="http://schemas.openxmlformats.org/officeDocument/2006/relationships/ctrlProp" Target="../ctrlProps/ctrlProp749.xml"/><Relationship Id="rId20" Type="http://schemas.openxmlformats.org/officeDocument/2006/relationships/ctrlProp" Target="../ctrlProps/ctrlProp425.xml"/><Relationship Id="rId41" Type="http://schemas.openxmlformats.org/officeDocument/2006/relationships/ctrlProp" Target="../ctrlProps/ctrlProp446.xml"/><Relationship Id="rId62" Type="http://schemas.openxmlformats.org/officeDocument/2006/relationships/ctrlProp" Target="../ctrlProps/ctrlProp467.xml"/><Relationship Id="rId83" Type="http://schemas.openxmlformats.org/officeDocument/2006/relationships/ctrlProp" Target="../ctrlProps/ctrlProp488.xml"/><Relationship Id="rId179" Type="http://schemas.openxmlformats.org/officeDocument/2006/relationships/ctrlProp" Target="../ctrlProps/ctrlProp584.xml"/><Relationship Id="rId365" Type="http://schemas.openxmlformats.org/officeDocument/2006/relationships/ctrlProp" Target="../ctrlProps/ctrlProp770.xml"/><Relationship Id="rId190" Type="http://schemas.openxmlformats.org/officeDocument/2006/relationships/ctrlProp" Target="../ctrlProps/ctrlProp595.xml"/><Relationship Id="rId204" Type="http://schemas.openxmlformats.org/officeDocument/2006/relationships/ctrlProp" Target="../ctrlProps/ctrlProp609.xml"/><Relationship Id="rId225" Type="http://schemas.openxmlformats.org/officeDocument/2006/relationships/ctrlProp" Target="../ctrlProps/ctrlProp630.xml"/><Relationship Id="rId246" Type="http://schemas.openxmlformats.org/officeDocument/2006/relationships/ctrlProp" Target="../ctrlProps/ctrlProp651.xml"/><Relationship Id="rId267" Type="http://schemas.openxmlformats.org/officeDocument/2006/relationships/ctrlProp" Target="../ctrlProps/ctrlProp672.xml"/><Relationship Id="rId288" Type="http://schemas.openxmlformats.org/officeDocument/2006/relationships/ctrlProp" Target="../ctrlProps/ctrlProp693.xml"/><Relationship Id="rId106" Type="http://schemas.openxmlformats.org/officeDocument/2006/relationships/ctrlProp" Target="../ctrlProps/ctrlProp511.xml"/><Relationship Id="rId127" Type="http://schemas.openxmlformats.org/officeDocument/2006/relationships/ctrlProp" Target="../ctrlProps/ctrlProp532.xml"/><Relationship Id="rId313" Type="http://schemas.openxmlformats.org/officeDocument/2006/relationships/ctrlProp" Target="../ctrlProps/ctrlProp718.xml"/><Relationship Id="rId10" Type="http://schemas.openxmlformats.org/officeDocument/2006/relationships/ctrlProp" Target="../ctrlProps/ctrlProp415.xml"/><Relationship Id="rId31" Type="http://schemas.openxmlformats.org/officeDocument/2006/relationships/ctrlProp" Target="../ctrlProps/ctrlProp436.xml"/><Relationship Id="rId52" Type="http://schemas.openxmlformats.org/officeDocument/2006/relationships/ctrlProp" Target="../ctrlProps/ctrlProp457.xml"/><Relationship Id="rId73" Type="http://schemas.openxmlformats.org/officeDocument/2006/relationships/ctrlProp" Target="../ctrlProps/ctrlProp478.xml"/><Relationship Id="rId94" Type="http://schemas.openxmlformats.org/officeDocument/2006/relationships/ctrlProp" Target="../ctrlProps/ctrlProp499.xml"/><Relationship Id="rId148" Type="http://schemas.openxmlformats.org/officeDocument/2006/relationships/ctrlProp" Target="../ctrlProps/ctrlProp553.xml"/><Relationship Id="rId169" Type="http://schemas.openxmlformats.org/officeDocument/2006/relationships/ctrlProp" Target="../ctrlProps/ctrlProp574.xml"/><Relationship Id="rId334" Type="http://schemas.openxmlformats.org/officeDocument/2006/relationships/ctrlProp" Target="../ctrlProps/ctrlProp739.xml"/><Relationship Id="rId355" Type="http://schemas.openxmlformats.org/officeDocument/2006/relationships/ctrlProp" Target="../ctrlProps/ctrlProp760.xml"/><Relationship Id="rId4" Type="http://schemas.openxmlformats.org/officeDocument/2006/relationships/ctrlProp" Target="../ctrlProps/ctrlProp409.xml"/><Relationship Id="rId180" Type="http://schemas.openxmlformats.org/officeDocument/2006/relationships/ctrlProp" Target="../ctrlProps/ctrlProp585.xml"/><Relationship Id="rId215" Type="http://schemas.openxmlformats.org/officeDocument/2006/relationships/ctrlProp" Target="../ctrlProps/ctrlProp620.xml"/><Relationship Id="rId236" Type="http://schemas.openxmlformats.org/officeDocument/2006/relationships/ctrlProp" Target="../ctrlProps/ctrlProp641.xml"/><Relationship Id="rId257" Type="http://schemas.openxmlformats.org/officeDocument/2006/relationships/ctrlProp" Target="../ctrlProps/ctrlProp662.xml"/><Relationship Id="rId278" Type="http://schemas.openxmlformats.org/officeDocument/2006/relationships/ctrlProp" Target="../ctrlProps/ctrlProp683.xml"/><Relationship Id="rId303" Type="http://schemas.openxmlformats.org/officeDocument/2006/relationships/ctrlProp" Target="../ctrlProps/ctrlProp708.xml"/><Relationship Id="rId42" Type="http://schemas.openxmlformats.org/officeDocument/2006/relationships/ctrlProp" Target="../ctrlProps/ctrlProp447.xml"/><Relationship Id="rId84" Type="http://schemas.openxmlformats.org/officeDocument/2006/relationships/ctrlProp" Target="../ctrlProps/ctrlProp489.xml"/><Relationship Id="rId138" Type="http://schemas.openxmlformats.org/officeDocument/2006/relationships/ctrlProp" Target="../ctrlProps/ctrlProp543.xml"/><Relationship Id="rId345" Type="http://schemas.openxmlformats.org/officeDocument/2006/relationships/ctrlProp" Target="../ctrlProps/ctrlProp750.xml"/><Relationship Id="rId191" Type="http://schemas.openxmlformats.org/officeDocument/2006/relationships/ctrlProp" Target="../ctrlProps/ctrlProp596.xml"/><Relationship Id="rId205" Type="http://schemas.openxmlformats.org/officeDocument/2006/relationships/ctrlProp" Target="../ctrlProps/ctrlProp610.xml"/><Relationship Id="rId247" Type="http://schemas.openxmlformats.org/officeDocument/2006/relationships/ctrlProp" Target="../ctrlProps/ctrlProp652.xml"/><Relationship Id="rId107" Type="http://schemas.openxmlformats.org/officeDocument/2006/relationships/ctrlProp" Target="../ctrlProps/ctrlProp512.xml"/><Relationship Id="rId289" Type="http://schemas.openxmlformats.org/officeDocument/2006/relationships/ctrlProp" Target="../ctrlProps/ctrlProp694.xml"/><Relationship Id="rId11" Type="http://schemas.openxmlformats.org/officeDocument/2006/relationships/ctrlProp" Target="../ctrlProps/ctrlProp416.xml"/><Relationship Id="rId53" Type="http://schemas.openxmlformats.org/officeDocument/2006/relationships/ctrlProp" Target="../ctrlProps/ctrlProp458.xml"/><Relationship Id="rId149" Type="http://schemas.openxmlformats.org/officeDocument/2006/relationships/ctrlProp" Target="../ctrlProps/ctrlProp554.xml"/><Relationship Id="rId314" Type="http://schemas.openxmlformats.org/officeDocument/2006/relationships/ctrlProp" Target="../ctrlProps/ctrlProp719.xml"/><Relationship Id="rId356" Type="http://schemas.openxmlformats.org/officeDocument/2006/relationships/ctrlProp" Target="../ctrlProps/ctrlProp761.xml"/><Relationship Id="rId95" Type="http://schemas.openxmlformats.org/officeDocument/2006/relationships/ctrlProp" Target="../ctrlProps/ctrlProp500.xml"/><Relationship Id="rId160" Type="http://schemas.openxmlformats.org/officeDocument/2006/relationships/ctrlProp" Target="../ctrlProps/ctrlProp565.xml"/><Relationship Id="rId216" Type="http://schemas.openxmlformats.org/officeDocument/2006/relationships/ctrlProp" Target="../ctrlProps/ctrlProp621.xml"/><Relationship Id="rId258" Type="http://schemas.openxmlformats.org/officeDocument/2006/relationships/ctrlProp" Target="../ctrlProps/ctrlProp663.xml"/><Relationship Id="rId22" Type="http://schemas.openxmlformats.org/officeDocument/2006/relationships/ctrlProp" Target="../ctrlProps/ctrlProp427.xml"/><Relationship Id="rId64" Type="http://schemas.openxmlformats.org/officeDocument/2006/relationships/ctrlProp" Target="../ctrlProps/ctrlProp469.xml"/><Relationship Id="rId118" Type="http://schemas.openxmlformats.org/officeDocument/2006/relationships/ctrlProp" Target="../ctrlProps/ctrlProp523.xml"/><Relationship Id="rId325" Type="http://schemas.openxmlformats.org/officeDocument/2006/relationships/ctrlProp" Target="../ctrlProps/ctrlProp730.xml"/><Relationship Id="rId367" Type="http://schemas.openxmlformats.org/officeDocument/2006/relationships/ctrlProp" Target="../ctrlProps/ctrlProp772.xml"/><Relationship Id="rId171" Type="http://schemas.openxmlformats.org/officeDocument/2006/relationships/ctrlProp" Target="../ctrlProps/ctrlProp576.xml"/><Relationship Id="rId227" Type="http://schemas.openxmlformats.org/officeDocument/2006/relationships/ctrlProp" Target="../ctrlProps/ctrlProp632.xml"/><Relationship Id="rId269" Type="http://schemas.openxmlformats.org/officeDocument/2006/relationships/ctrlProp" Target="../ctrlProps/ctrlProp674.xml"/><Relationship Id="rId33" Type="http://schemas.openxmlformats.org/officeDocument/2006/relationships/ctrlProp" Target="../ctrlProps/ctrlProp438.xml"/><Relationship Id="rId129" Type="http://schemas.openxmlformats.org/officeDocument/2006/relationships/ctrlProp" Target="../ctrlProps/ctrlProp534.xml"/><Relationship Id="rId280" Type="http://schemas.openxmlformats.org/officeDocument/2006/relationships/ctrlProp" Target="../ctrlProps/ctrlProp685.xml"/><Relationship Id="rId336" Type="http://schemas.openxmlformats.org/officeDocument/2006/relationships/ctrlProp" Target="../ctrlProps/ctrlProp741.xml"/><Relationship Id="rId75" Type="http://schemas.openxmlformats.org/officeDocument/2006/relationships/ctrlProp" Target="../ctrlProps/ctrlProp480.xml"/><Relationship Id="rId140" Type="http://schemas.openxmlformats.org/officeDocument/2006/relationships/ctrlProp" Target="../ctrlProps/ctrlProp545.xml"/><Relationship Id="rId182" Type="http://schemas.openxmlformats.org/officeDocument/2006/relationships/ctrlProp" Target="../ctrlProps/ctrlProp587.xml"/><Relationship Id="rId6" Type="http://schemas.openxmlformats.org/officeDocument/2006/relationships/ctrlProp" Target="../ctrlProps/ctrlProp411.xml"/><Relationship Id="rId238" Type="http://schemas.openxmlformats.org/officeDocument/2006/relationships/ctrlProp" Target="../ctrlProps/ctrlProp643.xml"/><Relationship Id="rId291" Type="http://schemas.openxmlformats.org/officeDocument/2006/relationships/ctrlProp" Target="../ctrlProps/ctrlProp696.xml"/><Relationship Id="rId305" Type="http://schemas.openxmlformats.org/officeDocument/2006/relationships/ctrlProp" Target="../ctrlProps/ctrlProp710.xml"/><Relationship Id="rId347" Type="http://schemas.openxmlformats.org/officeDocument/2006/relationships/ctrlProp" Target="../ctrlProps/ctrlProp752.xml"/><Relationship Id="rId44" Type="http://schemas.openxmlformats.org/officeDocument/2006/relationships/ctrlProp" Target="../ctrlProps/ctrlProp449.xml"/><Relationship Id="rId86" Type="http://schemas.openxmlformats.org/officeDocument/2006/relationships/ctrlProp" Target="../ctrlProps/ctrlProp491.xml"/><Relationship Id="rId151" Type="http://schemas.openxmlformats.org/officeDocument/2006/relationships/ctrlProp" Target="../ctrlProps/ctrlProp556.xml"/><Relationship Id="rId193" Type="http://schemas.openxmlformats.org/officeDocument/2006/relationships/ctrlProp" Target="../ctrlProps/ctrlProp598.xml"/><Relationship Id="rId207" Type="http://schemas.openxmlformats.org/officeDocument/2006/relationships/ctrlProp" Target="../ctrlProps/ctrlProp612.xml"/><Relationship Id="rId249" Type="http://schemas.openxmlformats.org/officeDocument/2006/relationships/ctrlProp" Target="../ctrlProps/ctrlProp654.xml"/><Relationship Id="rId13" Type="http://schemas.openxmlformats.org/officeDocument/2006/relationships/ctrlProp" Target="../ctrlProps/ctrlProp418.xml"/><Relationship Id="rId109" Type="http://schemas.openxmlformats.org/officeDocument/2006/relationships/ctrlProp" Target="../ctrlProps/ctrlProp514.xml"/><Relationship Id="rId260" Type="http://schemas.openxmlformats.org/officeDocument/2006/relationships/ctrlProp" Target="../ctrlProps/ctrlProp665.xml"/><Relationship Id="rId316" Type="http://schemas.openxmlformats.org/officeDocument/2006/relationships/ctrlProp" Target="../ctrlProps/ctrlProp721.xml"/><Relationship Id="rId55" Type="http://schemas.openxmlformats.org/officeDocument/2006/relationships/ctrlProp" Target="../ctrlProps/ctrlProp460.xml"/><Relationship Id="rId97" Type="http://schemas.openxmlformats.org/officeDocument/2006/relationships/ctrlProp" Target="../ctrlProps/ctrlProp502.xml"/><Relationship Id="rId120" Type="http://schemas.openxmlformats.org/officeDocument/2006/relationships/ctrlProp" Target="../ctrlProps/ctrlProp525.xml"/><Relationship Id="rId358" Type="http://schemas.openxmlformats.org/officeDocument/2006/relationships/ctrlProp" Target="../ctrlProps/ctrlProp763.xml"/><Relationship Id="rId162" Type="http://schemas.openxmlformats.org/officeDocument/2006/relationships/ctrlProp" Target="../ctrlProps/ctrlProp567.xml"/><Relationship Id="rId218" Type="http://schemas.openxmlformats.org/officeDocument/2006/relationships/ctrlProp" Target="../ctrlProps/ctrlProp623.xml"/><Relationship Id="rId271" Type="http://schemas.openxmlformats.org/officeDocument/2006/relationships/ctrlProp" Target="../ctrlProps/ctrlProp676.xml"/><Relationship Id="rId24" Type="http://schemas.openxmlformats.org/officeDocument/2006/relationships/ctrlProp" Target="../ctrlProps/ctrlProp429.xml"/><Relationship Id="rId66" Type="http://schemas.openxmlformats.org/officeDocument/2006/relationships/ctrlProp" Target="../ctrlProps/ctrlProp471.xml"/><Relationship Id="rId131" Type="http://schemas.openxmlformats.org/officeDocument/2006/relationships/ctrlProp" Target="../ctrlProps/ctrlProp536.xml"/><Relationship Id="rId327" Type="http://schemas.openxmlformats.org/officeDocument/2006/relationships/ctrlProp" Target="../ctrlProps/ctrlProp732.xml"/><Relationship Id="rId173" Type="http://schemas.openxmlformats.org/officeDocument/2006/relationships/ctrlProp" Target="../ctrlProps/ctrlProp578.xml"/><Relationship Id="rId229" Type="http://schemas.openxmlformats.org/officeDocument/2006/relationships/ctrlProp" Target="../ctrlProps/ctrlProp634.xml"/><Relationship Id="rId240" Type="http://schemas.openxmlformats.org/officeDocument/2006/relationships/ctrlProp" Target="../ctrlProps/ctrlProp645.xml"/><Relationship Id="rId35" Type="http://schemas.openxmlformats.org/officeDocument/2006/relationships/ctrlProp" Target="../ctrlProps/ctrlProp440.xml"/><Relationship Id="rId77" Type="http://schemas.openxmlformats.org/officeDocument/2006/relationships/ctrlProp" Target="../ctrlProps/ctrlProp482.xml"/><Relationship Id="rId100" Type="http://schemas.openxmlformats.org/officeDocument/2006/relationships/ctrlProp" Target="../ctrlProps/ctrlProp505.xml"/><Relationship Id="rId282" Type="http://schemas.openxmlformats.org/officeDocument/2006/relationships/ctrlProp" Target="../ctrlProps/ctrlProp687.xml"/><Relationship Id="rId338" Type="http://schemas.openxmlformats.org/officeDocument/2006/relationships/ctrlProp" Target="../ctrlProps/ctrlProp743.xml"/><Relationship Id="rId8" Type="http://schemas.openxmlformats.org/officeDocument/2006/relationships/ctrlProp" Target="../ctrlProps/ctrlProp413.xml"/><Relationship Id="rId142" Type="http://schemas.openxmlformats.org/officeDocument/2006/relationships/ctrlProp" Target="../ctrlProps/ctrlProp547.xml"/><Relationship Id="rId184" Type="http://schemas.openxmlformats.org/officeDocument/2006/relationships/ctrlProp" Target="../ctrlProps/ctrlProp589.xml"/><Relationship Id="rId251" Type="http://schemas.openxmlformats.org/officeDocument/2006/relationships/ctrlProp" Target="../ctrlProps/ctrlProp656.xml"/><Relationship Id="rId46" Type="http://schemas.openxmlformats.org/officeDocument/2006/relationships/ctrlProp" Target="../ctrlProps/ctrlProp451.xml"/><Relationship Id="rId293" Type="http://schemas.openxmlformats.org/officeDocument/2006/relationships/ctrlProp" Target="../ctrlProps/ctrlProp698.xml"/><Relationship Id="rId307" Type="http://schemas.openxmlformats.org/officeDocument/2006/relationships/ctrlProp" Target="../ctrlProps/ctrlProp712.xml"/><Relationship Id="rId349" Type="http://schemas.openxmlformats.org/officeDocument/2006/relationships/ctrlProp" Target="../ctrlProps/ctrlProp754.xml"/><Relationship Id="rId88" Type="http://schemas.openxmlformats.org/officeDocument/2006/relationships/ctrlProp" Target="../ctrlProps/ctrlProp493.xml"/><Relationship Id="rId111" Type="http://schemas.openxmlformats.org/officeDocument/2006/relationships/ctrlProp" Target="../ctrlProps/ctrlProp516.xml"/><Relationship Id="rId153" Type="http://schemas.openxmlformats.org/officeDocument/2006/relationships/ctrlProp" Target="../ctrlProps/ctrlProp558.xml"/><Relationship Id="rId195" Type="http://schemas.openxmlformats.org/officeDocument/2006/relationships/ctrlProp" Target="../ctrlProps/ctrlProp600.xml"/><Relationship Id="rId209" Type="http://schemas.openxmlformats.org/officeDocument/2006/relationships/ctrlProp" Target="../ctrlProps/ctrlProp614.xml"/><Relationship Id="rId360" Type="http://schemas.openxmlformats.org/officeDocument/2006/relationships/ctrlProp" Target="../ctrlProps/ctrlProp76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www.ul.com/" TargetMode="External"/><Relationship Id="rId7" Type="http://schemas.openxmlformats.org/officeDocument/2006/relationships/hyperlink" Target="http://www.ul.com/" TargetMode="External"/><Relationship Id="rId2" Type="http://schemas.openxmlformats.org/officeDocument/2006/relationships/hyperlink" Target="http://www.carpet-rug.org/" TargetMode="External"/><Relationship Id="rId1" Type="http://schemas.openxmlformats.org/officeDocument/2006/relationships/hyperlink" Target="http://www.kcma.org/" TargetMode="External"/><Relationship Id="rId6" Type="http://schemas.openxmlformats.org/officeDocument/2006/relationships/hyperlink" Target="http://www.greenseal.org/" TargetMode="External"/><Relationship Id="rId5" Type="http://schemas.openxmlformats.org/officeDocument/2006/relationships/hyperlink" Target="http://www.scscertified.com/" TargetMode="External"/><Relationship Id="rId4" Type="http://schemas.openxmlformats.org/officeDocument/2006/relationships/hyperlink" Target="http://www.rfci.com/"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7.bin"/><Relationship Id="rId1" Type="http://schemas.openxmlformats.org/officeDocument/2006/relationships/hyperlink" Target="http://www.nationalatlas.gov/"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8.bin"/><Relationship Id="rId1" Type="http://schemas.openxmlformats.org/officeDocument/2006/relationships/hyperlink" Target="http://www.iccsafe.org/"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2" Type="http://schemas.openxmlformats.org/officeDocument/2006/relationships/drawing" Target="../drawings/drawing3.xml"/><Relationship Id="rId16" Type="http://schemas.openxmlformats.org/officeDocument/2006/relationships/ctrlProp" Target="../ctrlProps/ctrlProp14.xml"/><Relationship Id="rId29" Type="http://schemas.openxmlformats.org/officeDocument/2006/relationships/ctrlProp" Target="../ctrlProps/ctrlProp27.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66" Type="http://schemas.openxmlformats.org/officeDocument/2006/relationships/ctrlProp" Target="../ctrlProps/ctrlProp64.xml"/><Relationship Id="rId5" Type="http://schemas.openxmlformats.org/officeDocument/2006/relationships/ctrlProp" Target="../ctrlProps/ctrlProp3.xml"/><Relationship Id="rId61" Type="http://schemas.openxmlformats.org/officeDocument/2006/relationships/ctrlProp" Target="../ctrlProps/ctrlProp59.xml"/><Relationship Id="rId19" Type="http://schemas.openxmlformats.org/officeDocument/2006/relationships/ctrlProp" Target="../ctrlProps/ctrlProp1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1" Type="http://schemas.openxmlformats.org/officeDocument/2006/relationships/printerSettings" Target="../printerSettings/printerSettings4.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 Type="http://schemas.openxmlformats.org/officeDocument/2006/relationships/ctrlProp" Target="../ctrlProps/ctrlProp5.xml"/><Relationship Id="rId71" Type="http://schemas.openxmlformats.org/officeDocument/2006/relationships/ctrlProp" Target="../ctrlProps/ctrlProp6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94.xml"/><Relationship Id="rId21" Type="http://schemas.openxmlformats.org/officeDocument/2006/relationships/ctrlProp" Target="../ctrlProps/ctrlProp89.xml"/><Relationship Id="rId42" Type="http://schemas.openxmlformats.org/officeDocument/2006/relationships/ctrlProp" Target="../ctrlProps/ctrlProp110.xml"/><Relationship Id="rId47" Type="http://schemas.openxmlformats.org/officeDocument/2006/relationships/ctrlProp" Target="../ctrlProps/ctrlProp115.xml"/><Relationship Id="rId63" Type="http://schemas.openxmlformats.org/officeDocument/2006/relationships/ctrlProp" Target="../ctrlProps/ctrlProp131.xml"/><Relationship Id="rId68" Type="http://schemas.openxmlformats.org/officeDocument/2006/relationships/ctrlProp" Target="../ctrlProps/ctrlProp136.xml"/><Relationship Id="rId84" Type="http://schemas.openxmlformats.org/officeDocument/2006/relationships/ctrlProp" Target="../ctrlProps/ctrlProp152.xml"/><Relationship Id="rId16" Type="http://schemas.openxmlformats.org/officeDocument/2006/relationships/ctrlProp" Target="../ctrlProps/ctrlProp84.xml"/><Relationship Id="rId11" Type="http://schemas.openxmlformats.org/officeDocument/2006/relationships/ctrlProp" Target="../ctrlProps/ctrlProp79.xml"/><Relationship Id="rId32" Type="http://schemas.openxmlformats.org/officeDocument/2006/relationships/ctrlProp" Target="../ctrlProps/ctrlProp100.xml"/><Relationship Id="rId37" Type="http://schemas.openxmlformats.org/officeDocument/2006/relationships/ctrlProp" Target="../ctrlProps/ctrlProp105.xml"/><Relationship Id="rId53" Type="http://schemas.openxmlformats.org/officeDocument/2006/relationships/ctrlProp" Target="../ctrlProps/ctrlProp121.xml"/><Relationship Id="rId58" Type="http://schemas.openxmlformats.org/officeDocument/2006/relationships/ctrlProp" Target="../ctrlProps/ctrlProp126.xml"/><Relationship Id="rId74" Type="http://schemas.openxmlformats.org/officeDocument/2006/relationships/ctrlProp" Target="../ctrlProps/ctrlProp142.xml"/><Relationship Id="rId79" Type="http://schemas.openxmlformats.org/officeDocument/2006/relationships/ctrlProp" Target="../ctrlProps/ctrlProp147.xml"/><Relationship Id="rId5" Type="http://schemas.openxmlformats.org/officeDocument/2006/relationships/ctrlProp" Target="../ctrlProps/ctrlProp73.xml"/><Relationship Id="rId19" Type="http://schemas.openxmlformats.org/officeDocument/2006/relationships/ctrlProp" Target="../ctrlProps/ctrlProp8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69" Type="http://schemas.openxmlformats.org/officeDocument/2006/relationships/ctrlProp" Target="../ctrlProps/ctrlProp137.xml"/><Relationship Id="rId77" Type="http://schemas.openxmlformats.org/officeDocument/2006/relationships/ctrlProp" Target="../ctrlProps/ctrlProp145.xml"/><Relationship Id="rId8" Type="http://schemas.openxmlformats.org/officeDocument/2006/relationships/ctrlProp" Target="../ctrlProps/ctrlProp76.xml"/><Relationship Id="rId51" Type="http://schemas.openxmlformats.org/officeDocument/2006/relationships/ctrlProp" Target="../ctrlProps/ctrlProp119.xml"/><Relationship Id="rId72" Type="http://schemas.openxmlformats.org/officeDocument/2006/relationships/ctrlProp" Target="../ctrlProps/ctrlProp140.xml"/><Relationship Id="rId80" Type="http://schemas.openxmlformats.org/officeDocument/2006/relationships/ctrlProp" Target="../ctrlProps/ctrlProp148.xml"/><Relationship Id="rId85" Type="http://schemas.openxmlformats.org/officeDocument/2006/relationships/ctrlProp" Target="../ctrlProps/ctrlProp153.xml"/><Relationship Id="rId3" Type="http://schemas.openxmlformats.org/officeDocument/2006/relationships/vmlDrawing" Target="../drawings/vmlDrawing3.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 Id="rId70" Type="http://schemas.openxmlformats.org/officeDocument/2006/relationships/ctrlProp" Target="../ctrlProps/ctrlProp138.xml"/><Relationship Id="rId75" Type="http://schemas.openxmlformats.org/officeDocument/2006/relationships/ctrlProp" Target="../ctrlProps/ctrlProp143.xml"/><Relationship Id="rId83" Type="http://schemas.openxmlformats.org/officeDocument/2006/relationships/ctrlProp" Target="../ctrlProps/ctrlProp151.xml"/><Relationship Id="rId1" Type="http://schemas.openxmlformats.org/officeDocument/2006/relationships/printerSettings" Target="../printerSettings/printerSettings5.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73" Type="http://schemas.openxmlformats.org/officeDocument/2006/relationships/ctrlProp" Target="../ctrlProps/ctrlProp141.xml"/><Relationship Id="rId78" Type="http://schemas.openxmlformats.org/officeDocument/2006/relationships/ctrlProp" Target="../ctrlProps/ctrlProp146.xml"/><Relationship Id="rId81" Type="http://schemas.openxmlformats.org/officeDocument/2006/relationships/ctrlProp" Target="../ctrlProps/ctrlProp149.xml"/><Relationship Id="rId86" Type="http://schemas.openxmlformats.org/officeDocument/2006/relationships/ctrlProp" Target="../ctrlProps/ctrlProp154.xml"/><Relationship Id="rId4" Type="http://schemas.openxmlformats.org/officeDocument/2006/relationships/ctrlProp" Target="../ctrlProps/ctrlProp72.xml"/><Relationship Id="rId9" Type="http://schemas.openxmlformats.org/officeDocument/2006/relationships/ctrlProp" Target="../ctrlProps/ctrlProp77.xml"/><Relationship Id="rId13" Type="http://schemas.openxmlformats.org/officeDocument/2006/relationships/ctrlProp" Target="../ctrlProps/ctrlProp81.xml"/><Relationship Id="rId18" Type="http://schemas.openxmlformats.org/officeDocument/2006/relationships/ctrlProp" Target="../ctrlProps/ctrlProp86.xml"/><Relationship Id="rId39" Type="http://schemas.openxmlformats.org/officeDocument/2006/relationships/ctrlProp" Target="../ctrlProps/ctrlProp107.xml"/><Relationship Id="rId34" Type="http://schemas.openxmlformats.org/officeDocument/2006/relationships/ctrlProp" Target="../ctrlProps/ctrlProp102.xml"/><Relationship Id="rId50" Type="http://schemas.openxmlformats.org/officeDocument/2006/relationships/ctrlProp" Target="../ctrlProps/ctrlProp118.xml"/><Relationship Id="rId55" Type="http://schemas.openxmlformats.org/officeDocument/2006/relationships/ctrlProp" Target="../ctrlProps/ctrlProp123.xml"/><Relationship Id="rId76" Type="http://schemas.openxmlformats.org/officeDocument/2006/relationships/ctrlProp" Target="../ctrlProps/ctrlProp144.xml"/><Relationship Id="rId7" Type="http://schemas.openxmlformats.org/officeDocument/2006/relationships/ctrlProp" Target="../ctrlProps/ctrlProp75.xml"/><Relationship Id="rId71" Type="http://schemas.openxmlformats.org/officeDocument/2006/relationships/ctrlProp" Target="../ctrlProps/ctrlProp139.xml"/><Relationship Id="rId2" Type="http://schemas.openxmlformats.org/officeDocument/2006/relationships/drawing" Target="../drawings/drawing4.xml"/><Relationship Id="rId29" Type="http://schemas.openxmlformats.org/officeDocument/2006/relationships/ctrlProp" Target="../ctrlProps/ctrlProp97.xml"/><Relationship Id="rId24" Type="http://schemas.openxmlformats.org/officeDocument/2006/relationships/ctrlProp" Target="../ctrlProps/ctrlProp92.xml"/><Relationship Id="rId40" Type="http://schemas.openxmlformats.org/officeDocument/2006/relationships/ctrlProp" Target="../ctrlProps/ctrlProp108.xml"/><Relationship Id="rId45" Type="http://schemas.openxmlformats.org/officeDocument/2006/relationships/ctrlProp" Target="../ctrlProps/ctrlProp113.xml"/><Relationship Id="rId66" Type="http://schemas.openxmlformats.org/officeDocument/2006/relationships/ctrlProp" Target="../ctrlProps/ctrlProp134.xml"/><Relationship Id="rId61" Type="http://schemas.openxmlformats.org/officeDocument/2006/relationships/ctrlProp" Target="../ctrlProps/ctrlProp129.xml"/><Relationship Id="rId82" Type="http://schemas.openxmlformats.org/officeDocument/2006/relationships/ctrlProp" Target="../ctrlProps/ctrlProp150.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7.xml"/><Relationship Id="rId21" Type="http://schemas.openxmlformats.org/officeDocument/2006/relationships/ctrlProp" Target="../ctrlProps/ctrlProp172.xml"/><Relationship Id="rId42" Type="http://schemas.openxmlformats.org/officeDocument/2006/relationships/ctrlProp" Target="../ctrlProps/ctrlProp193.xml"/><Relationship Id="rId47" Type="http://schemas.openxmlformats.org/officeDocument/2006/relationships/ctrlProp" Target="../ctrlProps/ctrlProp198.xml"/><Relationship Id="rId63" Type="http://schemas.openxmlformats.org/officeDocument/2006/relationships/ctrlProp" Target="../ctrlProps/ctrlProp214.xml"/><Relationship Id="rId68" Type="http://schemas.openxmlformats.org/officeDocument/2006/relationships/ctrlProp" Target="../ctrlProps/ctrlProp219.xml"/><Relationship Id="rId84" Type="http://schemas.openxmlformats.org/officeDocument/2006/relationships/ctrlProp" Target="../ctrlProps/ctrlProp235.xml"/><Relationship Id="rId89" Type="http://schemas.openxmlformats.org/officeDocument/2006/relationships/ctrlProp" Target="../ctrlProps/ctrlProp240.xml"/><Relationship Id="rId16" Type="http://schemas.openxmlformats.org/officeDocument/2006/relationships/ctrlProp" Target="../ctrlProps/ctrlProp167.xml"/><Relationship Id="rId11" Type="http://schemas.openxmlformats.org/officeDocument/2006/relationships/ctrlProp" Target="../ctrlProps/ctrlProp162.xml"/><Relationship Id="rId32" Type="http://schemas.openxmlformats.org/officeDocument/2006/relationships/ctrlProp" Target="../ctrlProps/ctrlProp183.xml"/><Relationship Id="rId37" Type="http://schemas.openxmlformats.org/officeDocument/2006/relationships/ctrlProp" Target="../ctrlProps/ctrlProp188.xml"/><Relationship Id="rId53" Type="http://schemas.openxmlformats.org/officeDocument/2006/relationships/ctrlProp" Target="../ctrlProps/ctrlProp204.xml"/><Relationship Id="rId58" Type="http://schemas.openxmlformats.org/officeDocument/2006/relationships/ctrlProp" Target="../ctrlProps/ctrlProp209.xml"/><Relationship Id="rId74" Type="http://schemas.openxmlformats.org/officeDocument/2006/relationships/ctrlProp" Target="../ctrlProps/ctrlProp225.xml"/><Relationship Id="rId79" Type="http://schemas.openxmlformats.org/officeDocument/2006/relationships/ctrlProp" Target="../ctrlProps/ctrlProp230.xml"/><Relationship Id="rId5" Type="http://schemas.openxmlformats.org/officeDocument/2006/relationships/ctrlProp" Target="../ctrlProps/ctrlProp156.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 Id="rId30" Type="http://schemas.openxmlformats.org/officeDocument/2006/relationships/ctrlProp" Target="../ctrlProps/ctrlProp181.xml"/><Relationship Id="rId35" Type="http://schemas.openxmlformats.org/officeDocument/2006/relationships/ctrlProp" Target="../ctrlProps/ctrlProp186.xml"/><Relationship Id="rId43" Type="http://schemas.openxmlformats.org/officeDocument/2006/relationships/ctrlProp" Target="../ctrlProps/ctrlProp194.xml"/><Relationship Id="rId48" Type="http://schemas.openxmlformats.org/officeDocument/2006/relationships/ctrlProp" Target="../ctrlProps/ctrlProp199.xml"/><Relationship Id="rId56" Type="http://schemas.openxmlformats.org/officeDocument/2006/relationships/ctrlProp" Target="../ctrlProps/ctrlProp207.xml"/><Relationship Id="rId64" Type="http://schemas.openxmlformats.org/officeDocument/2006/relationships/ctrlProp" Target="../ctrlProps/ctrlProp215.xml"/><Relationship Id="rId69" Type="http://schemas.openxmlformats.org/officeDocument/2006/relationships/ctrlProp" Target="../ctrlProps/ctrlProp220.xml"/><Relationship Id="rId77" Type="http://schemas.openxmlformats.org/officeDocument/2006/relationships/ctrlProp" Target="../ctrlProps/ctrlProp228.xml"/><Relationship Id="rId8" Type="http://schemas.openxmlformats.org/officeDocument/2006/relationships/ctrlProp" Target="../ctrlProps/ctrlProp159.xml"/><Relationship Id="rId51" Type="http://schemas.openxmlformats.org/officeDocument/2006/relationships/ctrlProp" Target="../ctrlProps/ctrlProp202.xml"/><Relationship Id="rId72" Type="http://schemas.openxmlformats.org/officeDocument/2006/relationships/ctrlProp" Target="../ctrlProps/ctrlProp223.xml"/><Relationship Id="rId80" Type="http://schemas.openxmlformats.org/officeDocument/2006/relationships/ctrlProp" Target="../ctrlProps/ctrlProp231.xml"/><Relationship Id="rId85" Type="http://schemas.openxmlformats.org/officeDocument/2006/relationships/ctrlProp" Target="../ctrlProps/ctrlProp236.xml"/><Relationship Id="rId3" Type="http://schemas.openxmlformats.org/officeDocument/2006/relationships/vmlDrawing" Target="../drawings/vmlDrawing4.v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33" Type="http://schemas.openxmlformats.org/officeDocument/2006/relationships/ctrlProp" Target="../ctrlProps/ctrlProp184.xml"/><Relationship Id="rId38" Type="http://schemas.openxmlformats.org/officeDocument/2006/relationships/ctrlProp" Target="../ctrlProps/ctrlProp189.xml"/><Relationship Id="rId46" Type="http://schemas.openxmlformats.org/officeDocument/2006/relationships/ctrlProp" Target="../ctrlProps/ctrlProp197.xml"/><Relationship Id="rId59" Type="http://schemas.openxmlformats.org/officeDocument/2006/relationships/ctrlProp" Target="../ctrlProps/ctrlProp210.xml"/><Relationship Id="rId67" Type="http://schemas.openxmlformats.org/officeDocument/2006/relationships/ctrlProp" Target="../ctrlProps/ctrlProp218.xml"/><Relationship Id="rId20" Type="http://schemas.openxmlformats.org/officeDocument/2006/relationships/ctrlProp" Target="../ctrlProps/ctrlProp171.xml"/><Relationship Id="rId41" Type="http://schemas.openxmlformats.org/officeDocument/2006/relationships/ctrlProp" Target="../ctrlProps/ctrlProp192.xml"/><Relationship Id="rId54" Type="http://schemas.openxmlformats.org/officeDocument/2006/relationships/ctrlProp" Target="../ctrlProps/ctrlProp205.xml"/><Relationship Id="rId62" Type="http://schemas.openxmlformats.org/officeDocument/2006/relationships/ctrlProp" Target="../ctrlProps/ctrlProp213.xml"/><Relationship Id="rId70" Type="http://schemas.openxmlformats.org/officeDocument/2006/relationships/ctrlProp" Target="../ctrlProps/ctrlProp221.xml"/><Relationship Id="rId75" Type="http://schemas.openxmlformats.org/officeDocument/2006/relationships/ctrlProp" Target="../ctrlProps/ctrlProp226.xml"/><Relationship Id="rId83" Type="http://schemas.openxmlformats.org/officeDocument/2006/relationships/ctrlProp" Target="../ctrlProps/ctrlProp234.xml"/><Relationship Id="rId88" Type="http://schemas.openxmlformats.org/officeDocument/2006/relationships/ctrlProp" Target="../ctrlProps/ctrlProp239.xml"/><Relationship Id="rId1" Type="http://schemas.openxmlformats.org/officeDocument/2006/relationships/printerSettings" Target="../printerSettings/printerSettings6.bin"/><Relationship Id="rId6" Type="http://schemas.openxmlformats.org/officeDocument/2006/relationships/ctrlProp" Target="../ctrlProps/ctrlProp157.x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trlProp" Target="../ctrlProps/ctrlProp179.xml"/><Relationship Id="rId36" Type="http://schemas.openxmlformats.org/officeDocument/2006/relationships/ctrlProp" Target="../ctrlProps/ctrlProp187.xml"/><Relationship Id="rId49" Type="http://schemas.openxmlformats.org/officeDocument/2006/relationships/ctrlProp" Target="../ctrlProps/ctrlProp200.xml"/><Relationship Id="rId57" Type="http://schemas.openxmlformats.org/officeDocument/2006/relationships/ctrlProp" Target="../ctrlProps/ctrlProp208.xml"/><Relationship Id="rId10" Type="http://schemas.openxmlformats.org/officeDocument/2006/relationships/ctrlProp" Target="../ctrlProps/ctrlProp161.xml"/><Relationship Id="rId31" Type="http://schemas.openxmlformats.org/officeDocument/2006/relationships/ctrlProp" Target="../ctrlProps/ctrlProp182.xml"/><Relationship Id="rId44" Type="http://schemas.openxmlformats.org/officeDocument/2006/relationships/ctrlProp" Target="../ctrlProps/ctrlProp195.xml"/><Relationship Id="rId52" Type="http://schemas.openxmlformats.org/officeDocument/2006/relationships/ctrlProp" Target="../ctrlProps/ctrlProp203.xml"/><Relationship Id="rId60" Type="http://schemas.openxmlformats.org/officeDocument/2006/relationships/ctrlProp" Target="../ctrlProps/ctrlProp211.xml"/><Relationship Id="rId65" Type="http://schemas.openxmlformats.org/officeDocument/2006/relationships/ctrlProp" Target="../ctrlProps/ctrlProp216.xml"/><Relationship Id="rId73" Type="http://schemas.openxmlformats.org/officeDocument/2006/relationships/ctrlProp" Target="../ctrlProps/ctrlProp224.xml"/><Relationship Id="rId78" Type="http://schemas.openxmlformats.org/officeDocument/2006/relationships/ctrlProp" Target="../ctrlProps/ctrlProp229.xml"/><Relationship Id="rId81" Type="http://schemas.openxmlformats.org/officeDocument/2006/relationships/ctrlProp" Target="../ctrlProps/ctrlProp232.xml"/><Relationship Id="rId86" Type="http://schemas.openxmlformats.org/officeDocument/2006/relationships/ctrlProp" Target="../ctrlProps/ctrlProp237.xml"/><Relationship Id="rId4" Type="http://schemas.openxmlformats.org/officeDocument/2006/relationships/ctrlProp" Target="../ctrlProps/ctrlProp155.xml"/><Relationship Id="rId9" Type="http://schemas.openxmlformats.org/officeDocument/2006/relationships/ctrlProp" Target="../ctrlProps/ctrlProp160.xml"/><Relationship Id="rId13" Type="http://schemas.openxmlformats.org/officeDocument/2006/relationships/ctrlProp" Target="../ctrlProps/ctrlProp164.xml"/><Relationship Id="rId18" Type="http://schemas.openxmlformats.org/officeDocument/2006/relationships/ctrlProp" Target="../ctrlProps/ctrlProp169.xml"/><Relationship Id="rId39" Type="http://schemas.openxmlformats.org/officeDocument/2006/relationships/ctrlProp" Target="../ctrlProps/ctrlProp190.xml"/><Relationship Id="rId34" Type="http://schemas.openxmlformats.org/officeDocument/2006/relationships/ctrlProp" Target="../ctrlProps/ctrlProp185.xml"/><Relationship Id="rId50" Type="http://schemas.openxmlformats.org/officeDocument/2006/relationships/ctrlProp" Target="../ctrlProps/ctrlProp201.xml"/><Relationship Id="rId55" Type="http://schemas.openxmlformats.org/officeDocument/2006/relationships/ctrlProp" Target="../ctrlProps/ctrlProp206.xml"/><Relationship Id="rId76" Type="http://schemas.openxmlformats.org/officeDocument/2006/relationships/ctrlProp" Target="../ctrlProps/ctrlProp227.xml"/><Relationship Id="rId7" Type="http://schemas.openxmlformats.org/officeDocument/2006/relationships/ctrlProp" Target="../ctrlProps/ctrlProp158.xml"/><Relationship Id="rId71" Type="http://schemas.openxmlformats.org/officeDocument/2006/relationships/ctrlProp" Target="../ctrlProps/ctrlProp222.xml"/><Relationship Id="rId2" Type="http://schemas.openxmlformats.org/officeDocument/2006/relationships/drawing" Target="../drawings/drawing5.xml"/><Relationship Id="rId29" Type="http://schemas.openxmlformats.org/officeDocument/2006/relationships/ctrlProp" Target="../ctrlProps/ctrlProp180.xml"/><Relationship Id="rId24" Type="http://schemas.openxmlformats.org/officeDocument/2006/relationships/ctrlProp" Target="../ctrlProps/ctrlProp175.xml"/><Relationship Id="rId40" Type="http://schemas.openxmlformats.org/officeDocument/2006/relationships/ctrlProp" Target="../ctrlProps/ctrlProp191.xml"/><Relationship Id="rId45" Type="http://schemas.openxmlformats.org/officeDocument/2006/relationships/ctrlProp" Target="../ctrlProps/ctrlProp196.xml"/><Relationship Id="rId66" Type="http://schemas.openxmlformats.org/officeDocument/2006/relationships/ctrlProp" Target="../ctrlProps/ctrlProp217.xml"/><Relationship Id="rId87" Type="http://schemas.openxmlformats.org/officeDocument/2006/relationships/ctrlProp" Target="../ctrlProps/ctrlProp238.xml"/><Relationship Id="rId61" Type="http://schemas.openxmlformats.org/officeDocument/2006/relationships/ctrlProp" Target="../ctrlProps/ctrlProp212.xml"/><Relationship Id="rId82" Type="http://schemas.openxmlformats.org/officeDocument/2006/relationships/ctrlProp" Target="../ctrlProps/ctrlProp233.xml"/><Relationship Id="rId19" Type="http://schemas.openxmlformats.org/officeDocument/2006/relationships/ctrlProp" Target="../ctrlProps/ctrlProp17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45.xml"/><Relationship Id="rId13" Type="http://schemas.openxmlformats.org/officeDocument/2006/relationships/ctrlProp" Target="../ctrlProps/ctrlProp250.xml"/><Relationship Id="rId18" Type="http://schemas.openxmlformats.org/officeDocument/2006/relationships/ctrlProp" Target="../ctrlProps/ctrlProp255.xml"/><Relationship Id="rId3" Type="http://schemas.openxmlformats.org/officeDocument/2006/relationships/vmlDrawing" Target="../drawings/vmlDrawing5.vml"/><Relationship Id="rId21" Type="http://schemas.openxmlformats.org/officeDocument/2006/relationships/ctrlProp" Target="../ctrlProps/ctrlProp258.xml"/><Relationship Id="rId7" Type="http://schemas.openxmlformats.org/officeDocument/2006/relationships/ctrlProp" Target="../ctrlProps/ctrlProp244.xml"/><Relationship Id="rId12" Type="http://schemas.openxmlformats.org/officeDocument/2006/relationships/ctrlProp" Target="../ctrlProps/ctrlProp249.xml"/><Relationship Id="rId17" Type="http://schemas.openxmlformats.org/officeDocument/2006/relationships/ctrlProp" Target="../ctrlProps/ctrlProp254.xml"/><Relationship Id="rId25" Type="http://schemas.openxmlformats.org/officeDocument/2006/relationships/ctrlProp" Target="../ctrlProps/ctrlProp262.xml"/><Relationship Id="rId2" Type="http://schemas.openxmlformats.org/officeDocument/2006/relationships/drawing" Target="../drawings/drawing6.xml"/><Relationship Id="rId16" Type="http://schemas.openxmlformats.org/officeDocument/2006/relationships/ctrlProp" Target="../ctrlProps/ctrlProp253.xml"/><Relationship Id="rId20" Type="http://schemas.openxmlformats.org/officeDocument/2006/relationships/ctrlProp" Target="../ctrlProps/ctrlProp257.xml"/><Relationship Id="rId1" Type="http://schemas.openxmlformats.org/officeDocument/2006/relationships/printerSettings" Target="../printerSettings/printerSettings7.bin"/><Relationship Id="rId6" Type="http://schemas.openxmlformats.org/officeDocument/2006/relationships/ctrlProp" Target="../ctrlProps/ctrlProp243.xml"/><Relationship Id="rId11" Type="http://schemas.openxmlformats.org/officeDocument/2006/relationships/ctrlProp" Target="../ctrlProps/ctrlProp248.xml"/><Relationship Id="rId24" Type="http://schemas.openxmlformats.org/officeDocument/2006/relationships/ctrlProp" Target="../ctrlProps/ctrlProp261.xml"/><Relationship Id="rId5" Type="http://schemas.openxmlformats.org/officeDocument/2006/relationships/ctrlProp" Target="../ctrlProps/ctrlProp242.xml"/><Relationship Id="rId15" Type="http://schemas.openxmlformats.org/officeDocument/2006/relationships/ctrlProp" Target="../ctrlProps/ctrlProp252.xml"/><Relationship Id="rId23" Type="http://schemas.openxmlformats.org/officeDocument/2006/relationships/ctrlProp" Target="../ctrlProps/ctrlProp260.xml"/><Relationship Id="rId10" Type="http://schemas.openxmlformats.org/officeDocument/2006/relationships/ctrlProp" Target="../ctrlProps/ctrlProp247.xml"/><Relationship Id="rId19" Type="http://schemas.openxmlformats.org/officeDocument/2006/relationships/ctrlProp" Target="../ctrlProps/ctrlProp256.xml"/><Relationship Id="rId4" Type="http://schemas.openxmlformats.org/officeDocument/2006/relationships/ctrlProp" Target="../ctrlProps/ctrlProp241.xml"/><Relationship Id="rId9" Type="http://schemas.openxmlformats.org/officeDocument/2006/relationships/ctrlProp" Target="../ctrlProps/ctrlProp246.xml"/><Relationship Id="rId14" Type="http://schemas.openxmlformats.org/officeDocument/2006/relationships/ctrlProp" Target="../ctrlProps/ctrlProp251.xml"/><Relationship Id="rId22" Type="http://schemas.openxmlformats.org/officeDocument/2006/relationships/ctrlProp" Target="../ctrlProps/ctrlProp259.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2.xml"/><Relationship Id="rId18" Type="http://schemas.openxmlformats.org/officeDocument/2006/relationships/ctrlProp" Target="../ctrlProps/ctrlProp277.xml"/><Relationship Id="rId26" Type="http://schemas.openxmlformats.org/officeDocument/2006/relationships/ctrlProp" Target="../ctrlProps/ctrlProp285.xml"/><Relationship Id="rId39" Type="http://schemas.openxmlformats.org/officeDocument/2006/relationships/ctrlProp" Target="../ctrlProps/ctrlProp298.xml"/><Relationship Id="rId21" Type="http://schemas.openxmlformats.org/officeDocument/2006/relationships/ctrlProp" Target="../ctrlProps/ctrlProp280.xml"/><Relationship Id="rId34" Type="http://schemas.openxmlformats.org/officeDocument/2006/relationships/ctrlProp" Target="../ctrlProps/ctrlProp293.xml"/><Relationship Id="rId42" Type="http://schemas.openxmlformats.org/officeDocument/2006/relationships/ctrlProp" Target="../ctrlProps/ctrlProp301.xml"/><Relationship Id="rId47" Type="http://schemas.openxmlformats.org/officeDocument/2006/relationships/ctrlProp" Target="../ctrlProps/ctrlProp306.xml"/><Relationship Id="rId7" Type="http://schemas.openxmlformats.org/officeDocument/2006/relationships/ctrlProp" Target="../ctrlProps/ctrlProp266.xml"/><Relationship Id="rId2" Type="http://schemas.openxmlformats.org/officeDocument/2006/relationships/drawing" Target="../drawings/drawing7.xml"/><Relationship Id="rId16" Type="http://schemas.openxmlformats.org/officeDocument/2006/relationships/ctrlProp" Target="../ctrlProps/ctrlProp275.xml"/><Relationship Id="rId29" Type="http://schemas.openxmlformats.org/officeDocument/2006/relationships/ctrlProp" Target="../ctrlProps/ctrlProp288.xml"/><Relationship Id="rId1" Type="http://schemas.openxmlformats.org/officeDocument/2006/relationships/printerSettings" Target="../printerSettings/printerSettings8.bin"/><Relationship Id="rId6" Type="http://schemas.openxmlformats.org/officeDocument/2006/relationships/ctrlProp" Target="../ctrlProps/ctrlProp265.xml"/><Relationship Id="rId11" Type="http://schemas.openxmlformats.org/officeDocument/2006/relationships/ctrlProp" Target="../ctrlProps/ctrlProp270.xml"/><Relationship Id="rId24" Type="http://schemas.openxmlformats.org/officeDocument/2006/relationships/ctrlProp" Target="../ctrlProps/ctrlProp283.xml"/><Relationship Id="rId32" Type="http://schemas.openxmlformats.org/officeDocument/2006/relationships/ctrlProp" Target="../ctrlProps/ctrlProp291.xml"/><Relationship Id="rId37" Type="http://schemas.openxmlformats.org/officeDocument/2006/relationships/ctrlProp" Target="../ctrlProps/ctrlProp296.xml"/><Relationship Id="rId40" Type="http://schemas.openxmlformats.org/officeDocument/2006/relationships/ctrlProp" Target="../ctrlProps/ctrlProp299.xml"/><Relationship Id="rId45" Type="http://schemas.openxmlformats.org/officeDocument/2006/relationships/ctrlProp" Target="../ctrlProps/ctrlProp304.xml"/><Relationship Id="rId5" Type="http://schemas.openxmlformats.org/officeDocument/2006/relationships/ctrlProp" Target="../ctrlProps/ctrlProp264.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10" Type="http://schemas.openxmlformats.org/officeDocument/2006/relationships/ctrlProp" Target="../ctrlProps/ctrlProp269.xml"/><Relationship Id="rId19" Type="http://schemas.openxmlformats.org/officeDocument/2006/relationships/ctrlProp" Target="../ctrlProps/ctrlProp278.xml"/><Relationship Id="rId31" Type="http://schemas.openxmlformats.org/officeDocument/2006/relationships/ctrlProp" Target="../ctrlProps/ctrlProp290.xml"/><Relationship Id="rId44" Type="http://schemas.openxmlformats.org/officeDocument/2006/relationships/ctrlProp" Target="../ctrlProps/ctrlProp303.xml"/><Relationship Id="rId4" Type="http://schemas.openxmlformats.org/officeDocument/2006/relationships/ctrlProp" Target="../ctrlProps/ctrlProp263.xml"/><Relationship Id="rId9" Type="http://schemas.openxmlformats.org/officeDocument/2006/relationships/ctrlProp" Target="../ctrlProps/ctrlProp268.xml"/><Relationship Id="rId14" Type="http://schemas.openxmlformats.org/officeDocument/2006/relationships/ctrlProp" Target="../ctrlProps/ctrlProp273.xml"/><Relationship Id="rId22" Type="http://schemas.openxmlformats.org/officeDocument/2006/relationships/ctrlProp" Target="../ctrlProps/ctrlProp281.xml"/><Relationship Id="rId27" Type="http://schemas.openxmlformats.org/officeDocument/2006/relationships/ctrlProp" Target="../ctrlProps/ctrlProp286.xml"/><Relationship Id="rId30" Type="http://schemas.openxmlformats.org/officeDocument/2006/relationships/ctrlProp" Target="../ctrlProps/ctrlProp289.xml"/><Relationship Id="rId35" Type="http://schemas.openxmlformats.org/officeDocument/2006/relationships/ctrlProp" Target="../ctrlProps/ctrlProp294.xml"/><Relationship Id="rId43" Type="http://schemas.openxmlformats.org/officeDocument/2006/relationships/ctrlProp" Target="../ctrlProps/ctrlProp302.xml"/><Relationship Id="rId8" Type="http://schemas.openxmlformats.org/officeDocument/2006/relationships/ctrlProp" Target="../ctrlProps/ctrlProp267.xml"/><Relationship Id="rId3" Type="http://schemas.openxmlformats.org/officeDocument/2006/relationships/vmlDrawing" Target="../drawings/vmlDrawing6.vml"/><Relationship Id="rId12" Type="http://schemas.openxmlformats.org/officeDocument/2006/relationships/ctrlProp" Target="../ctrlProps/ctrlProp271.xml"/><Relationship Id="rId17" Type="http://schemas.openxmlformats.org/officeDocument/2006/relationships/ctrlProp" Target="../ctrlProps/ctrlProp276.xml"/><Relationship Id="rId25" Type="http://schemas.openxmlformats.org/officeDocument/2006/relationships/ctrlProp" Target="../ctrlProps/ctrlProp284.xml"/><Relationship Id="rId33" Type="http://schemas.openxmlformats.org/officeDocument/2006/relationships/ctrlProp" Target="../ctrlProps/ctrlProp292.xml"/><Relationship Id="rId38" Type="http://schemas.openxmlformats.org/officeDocument/2006/relationships/ctrlProp" Target="../ctrlProps/ctrlProp297.xml"/><Relationship Id="rId46" Type="http://schemas.openxmlformats.org/officeDocument/2006/relationships/ctrlProp" Target="../ctrlProps/ctrlProp305.xml"/><Relationship Id="rId20" Type="http://schemas.openxmlformats.org/officeDocument/2006/relationships/ctrlProp" Target="../ctrlProps/ctrlProp279.xml"/><Relationship Id="rId41" Type="http://schemas.openxmlformats.org/officeDocument/2006/relationships/ctrlProp" Target="../ctrlProps/ctrlProp300.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16.xml"/><Relationship Id="rId18" Type="http://schemas.openxmlformats.org/officeDocument/2006/relationships/ctrlProp" Target="../ctrlProps/ctrlProp321.xml"/><Relationship Id="rId26" Type="http://schemas.openxmlformats.org/officeDocument/2006/relationships/ctrlProp" Target="../ctrlProps/ctrlProp329.xml"/><Relationship Id="rId39" Type="http://schemas.openxmlformats.org/officeDocument/2006/relationships/ctrlProp" Target="../ctrlProps/ctrlProp342.xml"/><Relationship Id="rId21" Type="http://schemas.openxmlformats.org/officeDocument/2006/relationships/ctrlProp" Target="../ctrlProps/ctrlProp324.xml"/><Relationship Id="rId34" Type="http://schemas.openxmlformats.org/officeDocument/2006/relationships/ctrlProp" Target="../ctrlProps/ctrlProp337.xml"/><Relationship Id="rId42" Type="http://schemas.openxmlformats.org/officeDocument/2006/relationships/ctrlProp" Target="../ctrlProps/ctrlProp345.xml"/><Relationship Id="rId47" Type="http://schemas.openxmlformats.org/officeDocument/2006/relationships/ctrlProp" Target="../ctrlProps/ctrlProp350.xml"/><Relationship Id="rId50" Type="http://schemas.openxmlformats.org/officeDocument/2006/relationships/ctrlProp" Target="../ctrlProps/ctrlProp353.xml"/><Relationship Id="rId55" Type="http://schemas.openxmlformats.org/officeDocument/2006/relationships/ctrlProp" Target="../ctrlProps/ctrlProp358.xml"/><Relationship Id="rId63" Type="http://schemas.openxmlformats.org/officeDocument/2006/relationships/ctrlProp" Target="../ctrlProps/ctrlProp366.xml"/><Relationship Id="rId7" Type="http://schemas.openxmlformats.org/officeDocument/2006/relationships/ctrlProp" Target="../ctrlProps/ctrlProp310.xml"/><Relationship Id="rId2" Type="http://schemas.openxmlformats.org/officeDocument/2006/relationships/drawing" Target="../drawings/drawing8.xml"/><Relationship Id="rId16" Type="http://schemas.openxmlformats.org/officeDocument/2006/relationships/ctrlProp" Target="../ctrlProps/ctrlProp319.xml"/><Relationship Id="rId29" Type="http://schemas.openxmlformats.org/officeDocument/2006/relationships/ctrlProp" Target="../ctrlProps/ctrlProp332.xml"/><Relationship Id="rId11" Type="http://schemas.openxmlformats.org/officeDocument/2006/relationships/ctrlProp" Target="../ctrlProps/ctrlProp314.xml"/><Relationship Id="rId24" Type="http://schemas.openxmlformats.org/officeDocument/2006/relationships/ctrlProp" Target="../ctrlProps/ctrlProp327.xml"/><Relationship Id="rId32" Type="http://schemas.openxmlformats.org/officeDocument/2006/relationships/ctrlProp" Target="../ctrlProps/ctrlProp335.xml"/><Relationship Id="rId37" Type="http://schemas.openxmlformats.org/officeDocument/2006/relationships/ctrlProp" Target="../ctrlProps/ctrlProp340.xml"/><Relationship Id="rId40" Type="http://schemas.openxmlformats.org/officeDocument/2006/relationships/ctrlProp" Target="../ctrlProps/ctrlProp343.xml"/><Relationship Id="rId45" Type="http://schemas.openxmlformats.org/officeDocument/2006/relationships/ctrlProp" Target="../ctrlProps/ctrlProp348.xml"/><Relationship Id="rId53" Type="http://schemas.openxmlformats.org/officeDocument/2006/relationships/ctrlProp" Target="../ctrlProps/ctrlProp356.xml"/><Relationship Id="rId58" Type="http://schemas.openxmlformats.org/officeDocument/2006/relationships/ctrlProp" Target="../ctrlProps/ctrlProp361.xml"/><Relationship Id="rId5" Type="http://schemas.openxmlformats.org/officeDocument/2006/relationships/ctrlProp" Target="../ctrlProps/ctrlProp308.xml"/><Relationship Id="rId61" Type="http://schemas.openxmlformats.org/officeDocument/2006/relationships/ctrlProp" Target="../ctrlProps/ctrlProp364.xml"/><Relationship Id="rId19" Type="http://schemas.openxmlformats.org/officeDocument/2006/relationships/ctrlProp" Target="../ctrlProps/ctrlProp322.xml"/><Relationship Id="rId14" Type="http://schemas.openxmlformats.org/officeDocument/2006/relationships/ctrlProp" Target="../ctrlProps/ctrlProp317.xml"/><Relationship Id="rId22" Type="http://schemas.openxmlformats.org/officeDocument/2006/relationships/ctrlProp" Target="../ctrlProps/ctrlProp325.xml"/><Relationship Id="rId27" Type="http://schemas.openxmlformats.org/officeDocument/2006/relationships/ctrlProp" Target="../ctrlProps/ctrlProp330.xml"/><Relationship Id="rId30" Type="http://schemas.openxmlformats.org/officeDocument/2006/relationships/ctrlProp" Target="../ctrlProps/ctrlProp333.xml"/><Relationship Id="rId35" Type="http://schemas.openxmlformats.org/officeDocument/2006/relationships/ctrlProp" Target="../ctrlProps/ctrlProp338.xml"/><Relationship Id="rId43" Type="http://schemas.openxmlformats.org/officeDocument/2006/relationships/ctrlProp" Target="../ctrlProps/ctrlProp346.xml"/><Relationship Id="rId48" Type="http://schemas.openxmlformats.org/officeDocument/2006/relationships/ctrlProp" Target="../ctrlProps/ctrlProp351.xml"/><Relationship Id="rId56" Type="http://schemas.openxmlformats.org/officeDocument/2006/relationships/ctrlProp" Target="../ctrlProps/ctrlProp359.xml"/><Relationship Id="rId8" Type="http://schemas.openxmlformats.org/officeDocument/2006/relationships/ctrlProp" Target="../ctrlProps/ctrlProp311.xml"/><Relationship Id="rId51" Type="http://schemas.openxmlformats.org/officeDocument/2006/relationships/ctrlProp" Target="../ctrlProps/ctrlProp354.xml"/><Relationship Id="rId3" Type="http://schemas.openxmlformats.org/officeDocument/2006/relationships/vmlDrawing" Target="../drawings/vmlDrawing7.vml"/><Relationship Id="rId12" Type="http://schemas.openxmlformats.org/officeDocument/2006/relationships/ctrlProp" Target="../ctrlProps/ctrlProp315.xml"/><Relationship Id="rId17" Type="http://schemas.openxmlformats.org/officeDocument/2006/relationships/ctrlProp" Target="../ctrlProps/ctrlProp320.xml"/><Relationship Id="rId25" Type="http://schemas.openxmlformats.org/officeDocument/2006/relationships/ctrlProp" Target="../ctrlProps/ctrlProp328.xml"/><Relationship Id="rId33" Type="http://schemas.openxmlformats.org/officeDocument/2006/relationships/ctrlProp" Target="../ctrlProps/ctrlProp336.xml"/><Relationship Id="rId38" Type="http://schemas.openxmlformats.org/officeDocument/2006/relationships/ctrlProp" Target="../ctrlProps/ctrlProp341.xml"/><Relationship Id="rId46" Type="http://schemas.openxmlformats.org/officeDocument/2006/relationships/ctrlProp" Target="../ctrlProps/ctrlProp349.xml"/><Relationship Id="rId59" Type="http://schemas.openxmlformats.org/officeDocument/2006/relationships/ctrlProp" Target="../ctrlProps/ctrlProp362.xml"/><Relationship Id="rId20" Type="http://schemas.openxmlformats.org/officeDocument/2006/relationships/ctrlProp" Target="../ctrlProps/ctrlProp323.xml"/><Relationship Id="rId41" Type="http://schemas.openxmlformats.org/officeDocument/2006/relationships/ctrlProp" Target="../ctrlProps/ctrlProp344.xml"/><Relationship Id="rId54" Type="http://schemas.openxmlformats.org/officeDocument/2006/relationships/ctrlProp" Target="../ctrlProps/ctrlProp357.xml"/><Relationship Id="rId62" Type="http://schemas.openxmlformats.org/officeDocument/2006/relationships/ctrlProp" Target="../ctrlProps/ctrlProp365.xml"/><Relationship Id="rId1" Type="http://schemas.openxmlformats.org/officeDocument/2006/relationships/printerSettings" Target="../printerSettings/printerSettings9.bin"/><Relationship Id="rId6" Type="http://schemas.openxmlformats.org/officeDocument/2006/relationships/ctrlProp" Target="../ctrlProps/ctrlProp309.xml"/><Relationship Id="rId15" Type="http://schemas.openxmlformats.org/officeDocument/2006/relationships/ctrlProp" Target="../ctrlProps/ctrlProp318.xml"/><Relationship Id="rId23" Type="http://schemas.openxmlformats.org/officeDocument/2006/relationships/ctrlProp" Target="../ctrlProps/ctrlProp326.xml"/><Relationship Id="rId28" Type="http://schemas.openxmlformats.org/officeDocument/2006/relationships/ctrlProp" Target="../ctrlProps/ctrlProp331.xml"/><Relationship Id="rId36" Type="http://schemas.openxmlformats.org/officeDocument/2006/relationships/ctrlProp" Target="../ctrlProps/ctrlProp339.xml"/><Relationship Id="rId49" Type="http://schemas.openxmlformats.org/officeDocument/2006/relationships/ctrlProp" Target="../ctrlProps/ctrlProp352.xml"/><Relationship Id="rId57" Type="http://schemas.openxmlformats.org/officeDocument/2006/relationships/ctrlProp" Target="../ctrlProps/ctrlProp360.xml"/><Relationship Id="rId10" Type="http://schemas.openxmlformats.org/officeDocument/2006/relationships/ctrlProp" Target="../ctrlProps/ctrlProp313.xml"/><Relationship Id="rId31" Type="http://schemas.openxmlformats.org/officeDocument/2006/relationships/ctrlProp" Target="../ctrlProps/ctrlProp334.xml"/><Relationship Id="rId44" Type="http://schemas.openxmlformats.org/officeDocument/2006/relationships/ctrlProp" Target="../ctrlProps/ctrlProp347.xml"/><Relationship Id="rId52" Type="http://schemas.openxmlformats.org/officeDocument/2006/relationships/ctrlProp" Target="../ctrlProps/ctrlProp355.xml"/><Relationship Id="rId60" Type="http://schemas.openxmlformats.org/officeDocument/2006/relationships/ctrlProp" Target="../ctrlProps/ctrlProp363.xml"/><Relationship Id="rId4" Type="http://schemas.openxmlformats.org/officeDocument/2006/relationships/ctrlProp" Target="../ctrlProps/ctrlProp307.xml"/><Relationship Id="rId9" Type="http://schemas.openxmlformats.org/officeDocument/2006/relationships/ctrlProp" Target="../ctrlProps/ctrlProp3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S94"/>
  <sheetViews>
    <sheetView showGridLines="0" tabSelected="1" zoomScaleNormal="100" workbookViewId="0">
      <selection activeCell="B10" sqref="B10:R10"/>
    </sheetView>
  </sheetViews>
  <sheetFormatPr defaultRowHeight="14.5" x14ac:dyDescent="0.35"/>
  <sheetData>
    <row r="1" spans="1:19" ht="14.5" customHeight="1" x14ac:dyDescent="0.35">
      <c r="A1" s="639"/>
      <c r="B1" s="639"/>
      <c r="C1" s="639"/>
      <c r="D1" s="640" t="s">
        <v>4346</v>
      </c>
      <c r="E1" s="640"/>
      <c r="F1" s="640"/>
      <c r="G1" s="640"/>
      <c r="H1" s="640"/>
      <c r="I1" s="640"/>
      <c r="J1" s="640"/>
      <c r="K1" s="640"/>
      <c r="L1" s="640"/>
      <c r="M1" s="640"/>
      <c r="N1" s="640"/>
      <c r="O1" s="640"/>
      <c r="P1" s="640"/>
      <c r="Q1" s="640"/>
      <c r="R1" s="640"/>
      <c r="S1" s="640"/>
    </row>
    <row r="2" spans="1:19" ht="14.5" customHeight="1" x14ac:dyDescent="0.35">
      <c r="A2" s="639"/>
      <c r="B2" s="639"/>
      <c r="C2" s="639"/>
      <c r="D2" s="640"/>
      <c r="E2" s="640"/>
      <c r="F2" s="640"/>
      <c r="G2" s="640"/>
      <c r="H2" s="640"/>
      <c r="I2" s="640"/>
      <c r="J2" s="640"/>
      <c r="K2" s="640"/>
      <c r="L2" s="640"/>
      <c r="M2" s="640"/>
      <c r="N2" s="640"/>
      <c r="O2" s="640"/>
      <c r="P2" s="640"/>
      <c r="Q2" s="640"/>
      <c r="R2" s="640"/>
      <c r="S2" s="640"/>
    </row>
    <row r="3" spans="1:19" ht="14.5" customHeight="1" x14ac:dyDescent="0.35">
      <c r="A3" s="639"/>
      <c r="B3" s="639"/>
      <c r="C3" s="639"/>
      <c r="D3" s="640"/>
      <c r="E3" s="640"/>
      <c r="F3" s="640"/>
      <c r="G3" s="640"/>
      <c r="H3" s="640"/>
      <c r="I3" s="640"/>
      <c r="J3" s="640"/>
      <c r="K3" s="640"/>
      <c r="L3" s="640"/>
      <c r="M3" s="640"/>
      <c r="N3" s="640"/>
      <c r="O3" s="640"/>
      <c r="P3" s="640"/>
      <c r="Q3" s="640"/>
      <c r="R3" s="640"/>
      <c r="S3" s="640"/>
    </row>
    <row r="4" spans="1:19" ht="14.5" customHeight="1" x14ac:dyDescent="0.35">
      <c r="A4" s="639"/>
      <c r="B4" s="639"/>
      <c r="C4" s="639"/>
      <c r="D4" s="641" t="s">
        <v>4628</v>
      </c>
      <c r="E4" s="641"/>
      <c r="F4" s="641"/>
      <c r="G4" s="641"/>
      <c r="H4" s="641"/>
      <c r="I4" s="641"/>
      <c r="J4" s="641"/>
      <c r="K4" s="641"/>
      <c r="L4" s="641"/>
      <c r="M4" s="641"/>
      <c r="N4" s="641"/>
      <c r="O4" s="641"/>
      <c r="P4" s="641"/>
      <c r="Q4" s="641"/>
      <c r="R4" s="641"/>
      <c r="S4" s="641"/>
    </row>
    <row r="5" spans="1:19" x14ac:dyDescent="0.35">
      <c r="A5" s="639"/>
      <c r="B5" s="639"/>
      <c r="C5" s="639"/>
      <c r="D5" s="641"/>
      <c r="E5" s="641"/>
      <c r="F5" s="641"/>
      <c r="G5" s="641"/>
      <c r="H5" s="641"/>
      <c r="I5" s="641"/>
      <c r="J5" s="641"/>
      <c r="K5" s="641"/>
      <c r="L5" s="641"/>
      <c r="M5" s="641"/>
      <c r="N5" s="641"/>
      <c r="O5" s="641"/>
      <c r="P5" s="641"/>
      <c r="Q5" s="641"/>
      <c r="R5" s="641"/>
      <c r="S5" s="641"/>
    </row>
    <row r="6" spans="1:19" x14ac:dyDescent="0.35">
      <c r="A6" s="639"/>
      <c r="B6" s="639"/>
      <c r="C6" s="639"/>
      <c r="D6" s="641"/>
      <c r="E6" s="641"/>
      <c r="F6" s="641"/>
      <c r="G6" s="641"/>
      <c r="H6" s="641"/>
      <c r="I6" s="641"/>
      <c r="J6" s="641"/>
      <c r="K6" s="641"/>
      <c r="L6" s="641"/>
      <c r="M6" s="641"/>
      <c r="N6" s="641"/>
      <c r="O6" s="641"/>
      <c r="P6" s="641"/>
      <c r="Q6" s="641"/>
      <c r="R6" s="641"/>
      <c r="S6" s="641"/>
    </row>
    <row r="7" spans="1:19" ht="18.5" x14ac:dyDescent="0.45">
      <c r="A7" s="11" t="s">
        <v>254</v>
      </c>
      <c r="B7" s="542" t="s">
        <v>4807</v>
      </c>
      <c r="C7" s="643" t="s">
        <v>259</v>
      </c>
      <c r="D7" s="643"/>
      <c r="E7" s="644">
        <v>45072.49978888889</v>
      </c>
      <c r="F7" s="644"/>
      <c r="G7" s="11"/>
      <c r="H7" s="11"/>
      <c r="I7" s="11"/>
      <c r="J7" s="11"/>
      <c r="K7" s="11"/>
      <c r="L7" s="11"/>
      <c r="M7" s="11"/>
      <c r="N7" s="11"/>
      <c r="O7" s="11"/>
      <c r="P7" s="11"/>
      <c r="Q7" s="11"/>
      <c r="R7" s="11"/>
      <c r="S7" s="11"/>
    </row>
    <row r="8" spans="1:19" x14ac:dyDescent="0.35">
      <c r="A8" s="642"/>
      <c r="B8" s="642"/>
      <c r="C8" s="642"/>
      <c r="D8" s="642"/>
      <c r="E8" s="642"/>
      <c r="F8" s="642"/>
      <c r="G8" s="642"/>
      <c r="H8" s="642"/>
      <c r="I8" s="642"/>
      <c r="J8" s="642"/>
      <c r="K8" s="642"/>
      <c r="L8" s="642"/>
      <c r="M8" s="642"/>
      <c r="N8" s="642"/>
      <c r="O8" s="642"/>
      <c r="P8" s="642"/>
      <c r="Q8" s="642"/>
      <c r="R8" s="642"/>
      <c r="S8" s="642"/>
    </row>
    <row r="9" spans="1:19" x14ac:dyDescent="0.35">
      <c r="B9" s="645" t="s">
        <v>4347</v>
      </c>
      <c r="C9" s="645"/>
      <c r="D9" s="645"/>
      <c r="E9" s="645"/>
      <c r="F9" s="645"/>
      <c r="G9" s="645"/>
      <c r="H9" s="645"/>
      <c r="I9" s="645"/>
      <c r="J9" s="645"/>
      <c r="K9" s="645"/>
      <c r="L9" s="645"/>
      <c r="M9" s="645"/>
      <c r="N9" s="645"/>
      <c r="O9" s="645"/>
      <c r="P9" s="645"/>
      <c r="Q9" s="645"/>
      <c r="R9" s="645"/>
    </row>
    <row r="10" spans="1:19" x14ac:dyDescent="0.35">
      <c r="B10" s="646" t="s">
        <v>258</v>
      </c>
      <c r="C10" s="646"/>
      <c r="D10" s="646"/>
      <c r="E10" s="646"/>
      <c r="F10" s="646"/>
      <c r="G10" s="646"/>
      <c r="H10" s="646"/>
      <c r="I10" s="646"/>
      <c r="J10" s="646"/>
      <c r="K10" s="646"/>
      <c r="L10" s="646"/>
      <c r="M10" s="646"/>
      <c r="N10" s="646"/>
      <c r="O10" s="646"/>
      <c r="P10" s="646"/>
      <c r="Q10" s="646"/>
      <c r="R10" s="646"/>
    </row>
    <row r="11" spans="1:19" x14ac:dyDescent="0.35">
      <c r="A11" s="642"/>
      <c r="B11" s="642"/>
      <c r="C11" s="642"/>
      <c r="D11" s="642"/>
      <c r="E11" s="642"/>
      <c r="F11" s="642"/>
      <c r="G11" s="642"/>
      <c r="H11" s="642"/>
      <c r="I11" s="642"/>
      <c r="J11" s="642"/>
      <c r="K11" s="642"/>
      <c r="L11" s="642"/>
      <c r="M11" s="642"/>
      <c r="N11" s="642"/>
      <c r="O11" s="642"/>
      <c r="P11" s="642"/>
      <c r="Q11" s="642"/>
      <c r="R11" s="642"/>
      <c r="S11" s="642"/>
    </row>
    <row r="12" spans="1:19" ht="18.5" x14ac:dyDescent="0.45">
      <c r="A12" s="635" t="s">
        <v>257</v>
      </c>
      <c r="B12" s="635"/>
      <c r="C12" s="635"/>
      <c r="D12" s="635"/>
      <c r="E12" s="635"/>
      <c r="F12" s="635"/>
      <c r="G12" s="635"/>
      <c r="H12" s="635"/>
      <c r="I12" s="635"/>
      <c r="J12" s="635"/>
      <c r="K12" s="635"/>
      <c r="L12" s="635"/>
      <c r="M12" s="635"/>
      <c r="N12" s="635"/>
      <c r="O12" s="635"/>
      <c r="P12" s="635"/>
      <c r="Q12" s="635"/>
      <c r="R12" s="635"/>
      <c r="S12" s="635"/>
    </row>
    <row r="13" spans="1:19" x14ac:dyDescent="0.35">
      <c r="A13" s="642"/>
      <c r="B13" s="642"/>
      <c r="C13" s="642"/>
      <c r="D13" s="642"/>
      <c r="E13" s="642"/>
      <c r="F13" s="642"/>
      <c r="G13" s="642"/>
      <c r="H13" s="642"/>
      <c r="I13" s="642"/>
      <c r="J13" s="642"/>
      <c r="K13" s="642"/>
      <c r="L13" s="642"/>
      <c r="M13" s="642"/>
      <c r="N13" s="642"/>
      <c r="O13" s="642"/>
      <c r="P13" s="642"/>
      <c r="Q13" s="642"/>
      <c r="R13" s="642"/>
      <c r="S13" s="642"/>
    </row>
    <row r="14" spans="1:19" ht="14.5" customHeight="1" x14ac:dyDescent="0.35">
      <c r="B14" s="632" t="s">
        <v>4595</v>
      </c>
      <c r="C14" s="632"/>
      <c r="D14" s="632"/>
      <c r="E14" s="632"/>
      <c r="F14" s="632"/>
      <c r="G14" s="632"/>
      <c r="H14" s="632"/>
      <c r="I14" s="632"/>
      <c r="J14" s="632"/>
      <c r="K14" s="632"/>
      <c r="L14" s="632"/>
      <c r="M14" s="632"/>
      <c r="N14" s="632"/>
      <c r="O14" s="632"/>
      <c r="P14" s="632"/>
      <c r="Q14" s="632"/>
      <c r="R14" s="632"/>
    </row>
    <row r="15" spans="1:19" x14ac:dyDescent="0.35">
      <c r="B15" s="632"/>
      <c r="C15" s="632"/>
      <c r="D15" s="632"/>
      <c r="E15" s="632"/>
      <c r="F15" s="632"/>
      <c r="G15" s="632"/>
      <c r="H15" s="632"/>
      <c r="I15" s="632"/>
      <c r="J15" s="632"/>
      <c r="K15" s="632"/>
      <c r="L15" s="632"/>
      <c r="M15" s="632"/>
      <c r="N15" s="632"/>
      <c r="O15" s="632"/>
      <c r="P15" s="632"/>
      <c r="Q15" s="632"/>
      <c r="R15" s="632"/>
    </row>
    <row r="16" spans="1:19" x14ac:dyDescent="0.35">
      <c r="B16" s="632"/>
      <c r="C16" s="632"/>
      <c r="D16" s="632"/>
      <c r="E16" s="632"/>
      <c r="F16" s="632"/>
      <c r="G16" s="632"/>
      <c r="H16" s="632"/>
      <c r="I16" s="632"/>
      <c r="J16" s="632"/>
      <c r="K16" s="632"/>
      <c r="L16" s="632"/>
      <c r="M16" s="632"/>
      <c r="N16" s="632"/>
      <c r="O16" s="632"/>
      <c r="P16" s="632"/>
      <c r="Q16" s="632"/>
      <c r="R16" s="632"/>
    </row>
    <row r="17" spans="1:19" x14ac:dyDescent="0.35">
      <c r="A17" s="642"/>
      <c r="B17" s="642"/>
      <c r="C17" s="642"/>
      <c r="D17" s="642"/>
      <c r="E17" s="642"/>
      <c r="F17" s="642"/>
      <c r="G17" s="642"/>
      <c r="H17" s="642"/>
      <c r="I17" s="642"/>
      <c r="J17" s="642"/>
      <c r="K17" s="642"/>
      <c r="L17" s="642"/>
      <c r="M17" s="642"/>
      <c r="N17" s="642"/>
      <c r="O17" s="642"/>
      <c r="P17" s="642"/>
      <c r="Q17" s="642"/>
      <c r="R17" s="642"/>
      <c r="S17" s="642"/>
    </row>
    <row r="18" spans="1:19" ht="18.5" x14ac:dyDescent="0.45">
      <c r="A18" s="635" t="s">
        <v>4306</v>
      </c>
      <c r="B18" s="635"/>
      <c r="C18" s="635"/>
      <c r="D18" s="635"/>
      <c r="E18" s="635"/>
      <c r="F18" s="635"/>
      <c r="G18" s="635"/>
      <c r="H18" s="635"/>
      <c r="I18" s="635"/>
      <c r="J18" s="635"/>
      <c r="K18" s="635"/>
      <c r="L18" s="635"/>
      <c r="M18" s="635"/>
      <c r="N18" s="635"/>
      <c r="O18" s="635"/>
      <c r="P18" s="635"/>
      <c r="Q18" s="635"/>
      <c r="R18" s="635"/>
      <c r="S18" s="635"/>
    </row>
    <row r="20" spans="1:19" x14ac:dyDescent="0.35">
      <c r="B20" s="636" t="s">
        <v>3724</v>
      </c>
      <c r="C20" s="636"/>
      <c r="D20" s="636"/>
      <c r="E20" s="636"/>
      <c r="F20" s="636"/>
      <c r="G20" s="636"/>
      <c r="H20" s="636"/>
      <c r="I20" s="636"/>
      <c r="J20" s="636"/>
      <c r="K20" s="636"/>
      <c r="L20" s="636"/>
      <c r="M20" s="636"/>
      <c r="N20" s="636"/>
      <c r="O20" s="636"/>
      <c r="P20" s="636"/>
      <c r="Q20" s="636"/>
      <c r="R20" s="636"/>
    </row>
    <row r="22" spans="1:19" ht="15" customHeight="1" x14ac:dyDescent="0.35">
      <c r="B22" s="637" t="s">
        <v>4348</v>
      </c>
      <c r="C22" s="637"/>
      <c r="D22" s="637"/>
      <c r="E22" s="637"/>
      <c r="F22" s="637"/>
      <c r="G22" s="637"/>
      <c r="H22" s="637"/>
      <c r="I22" s="637"/>
      <c r="J22" s="637"/>
      <c r="K22" s="637"/>
      <c r="L22" s="637"/>
      <c r="M22" s="637"/>
      <c r="N22" s="637"/>
      <c r="O22" s="637"/>
      <c r="P22" s="637"/>
      <c r="Q22" s="637"/>
      <c r="R22" s="637"/>
    </row>
    <row r="23" spans="1:19" x14ac:dyDescent="0.35">
      <c r="B23" s="637"/>
      <c r="C23" s="637"/>
      <c r="D23" s="637"/>
      <c r="E23" s="637"/>
      <c r="F23" s="637"/>
      <c r="G23" s="637"/>
      <c r="H23" s="637"/>
      <c r="I23" s="637"/>
      <c r="J23" s="637"/>
      <c r="K23" s="637"/>
      <c r="L23" s="637"/>
      <c r="M23" s="637"/>
      <c r="N23" s="637"/>
      <c r="O23" s="637"/>
      <c r="P23" s="637"/>
      <c r="Q23" s="637"/>
      <c r="R23" s="637"/>
    </row>
    <row r="25" spans="1:19" ht="18.5" x14ac:dyDescent="0.45">
      <c r="A25" s="635" t="s">
        <v>255</v>
      </c>
      <c r="B25" s="635"/>
      <c r="C25" s="635"/>
      <c r="D25" s="635"/>
      <c r="E25" s="635"/>
      <c r="F25" s="635"/>
      <c r="G25" s="635"/>
      <c r="H25" s="635"/>
      <c r="I25" s="635"/>
      <c r="J25" s="635"/>
      <c r="K25" s="635"/>
      <c r="L25" s="635"/>
      <c r="M25" s="635"/>
      <c r="N25" s="635"/>
      <c r="O25" s="635"/>
      <c r="P25" s="635"/>
      <c r="Q25" s="635"/>
      <c r="R25" s="635"/>
      <c r="S25" s="635"/>
    </row>
    <row r="27" spans="1:19" ht="15" customHeight="1" x14ac:dyDescent="0.35">
      <c r="B27" s="632" t="s">
        <v>4349</v>
      </c>
      <c r="C27" s="632"/>
      <c r="D27" s="632"/>
      <c r="E27" s="632"/>
      <c r="F27" s="632"/>
      <c r="G27" s="632"/>
      <c r="H27" s="632"/>
      <c r="I27" s="632"/>
      <c r="J27" s="632"/>
      <c r="K27" s="632"/>
      <c r="L27" s="632"/>
      <c r="M27" s="632"/>
      <c r="N27" s="632"/>
      <c r="O27" s="632"/>
      <c r="P27" s="632"/>
      <c r="Q27" s="632"/>
      <c r="R27" s="632"/>
    </row>
    <row r="28" spans="1:19" x14ac:dyDescent="0.35">
      <c r="B28" s="632"/>
      <c r="C28" s="632"/>
      <c r="D28" s="632"/>
      <c r="E28" s="632"/>
      <c r="F28" s="632"/>
      <c r="G28" s="632"/>
      <c r="H28" s="632"/>
      <c r="I28" s="632"/>
      <c r="J28" s="632"/>
      <c r="K28" s="632"/>
      <c r="L28" s="632"/>
      <c r="M28" s="632"/>
      <c r="N28" s="632"/>
      <c r="O28" s="632"/>
      <c r="P28" s="632"/>
      <c r="Q28" s="632"/>
      <c r="R28" s="632"/>
    </row>
    <row r="29" spans="1:19" x14ac:dyDescent="0.35">
      <c r="B29" s="632"/>
      <c r="C29" s="632"/>
      <c r="D29" s="632"/>
      <c r="E29" s="632"/>
      <c r="F29" s="632"/>
      <c r="G29" s="632"/>
      <c r="H29" s="632"/>
      <c r="I29" s="632"/>
      <c r="J29" s="632"/>
      <c r="K29" s="632"/>
      <c r="L29" s="632"/>
      <c r="M29" s="632"/>
      <c r="N29" s="632"/>
      <c r="O29" s="632"/>
      <c r="P29" s="632"/>
      <c r="Q29" s="632"/>
      <c r="R29" s="632"/>
    </row>
    <row r="30" spans="1:19" x14ac:dyDescent="0.35">
      <c r="B30" s="437"/>
      <c r="C30" s="437"/>
      <c r="D30" s="437"/>
      <c r="E30" s="437"/>
      <c r="F30" s="437"/>
      <c r="G30" s="437"/>
      <c r="H30" s="437"/>
      <c r="I30" s="437"/>
      <c r="J30" s="437"/>
      <c r="K30" s="437"/>
      <c r="L30" s="437"/>
      <c r="M30" s="437"/>
      <c r="N30" s="437"/>
      <c r="O30" s="437"/>
      <c r="P30" s="437"/>
      <c r="Q30" s="437"/>
      <c r="R30" s="437"/>
    </row>
    <row r="31" spans="1:19" ht="15" customHeight="1" x14ac:dyDescent="0.35">
      <c r="B31" s="638" t="s">
        <v>4308</v>
      </c>
      <c r="C31" s="638"/>
      <c r="D31" s="638"/>
      <c r="E31" s="638"/>
      <c r="F31" s="638"/>
      <c r="G31" s="638"/>
      <c r="H31" s="638"/>
      <c r="I31" s="638"/>
      <c r="J31" s="638"/>
      <c r="K31" s="638"/>
      <c r="L31" s="638"/>
      <c r="M31" s="638"/>
      <c r="N31" s="638"/>
      <c r="O31" s="638"/>
      <c r="P31" s="638"/>
      <c r="Q31" s="638"/>
      <c r="R31" s="638"/>
    </row>
    <row r="32" spans="1:19" x14ac:dyDescent="0.35">
      <c r="B32" s="437"/>
      <c r="C32" s="437"/>
      <c r="D32" s="437"/>
      <c r="E32" s="437"/>
      <c r="F32" s="437"/>
      <c r="G32" s="437"/>
      <c r="H32" s="437"/>
      <c r="I32" s="437"/>
      <c r="J32" s="437"/>
      <c r="K32" s="437"/>
      <c r="L32" s="437"/>
      <c r="M32" s="437"/>
      <c r="N32" s="437"/>
      <c r="O32" s="437"/>
      <c r="P32" s="437"/>
      <c r="Q32" s="437"/>
      <c r="R32" s="437"/>
    </row>
    <row r="33" spans="2:19" ht="15" customHeight="1" x14ac:dyDescent="0.35">
      <c r="B33" s="632" t="s">
        <v>4309</v>
      </c>
      <c r="C33" s="632"/>
      <c r="D33" s="632"/>
      <c r="E33" s="632"/>
      <c r="F33" s="632"/>
      <c r="G33" s="632"/>
      <c r="H33" s="632"/>
      <c r="I33" s="632"/>
      <c r="J33" s="632"/>
      <c r="K33" s="632"/>
      <c r="L33" s="632"/>
      <c r="M33" s="632"/>
      <c r="N33" s="632"/>
      <c r="O33" s="632"/>
      <c r="P33" s="632"/>
      <c r="Q33" s="632"/>
      <c r="R33" s="632"/>
      <c r="S33" s="632"/>
    </row>
    <row r="34" spans="2:19" x14ac:dyDescent="0.35">
      <c r="B34" s="437"/>
      <c r="C34" s="437"/>
      <c r="D34" s="437"/>
      <c r="E34" s="437"/>
      <c r="F34" s="437"/>
      <c r="G34" s="437"/>
      <c r="H34" s="437"/>
      <c r="I34" s="437"/>
      <c r="J34" s="437"/>
      <c r="K34" s="437"/>
      <c r="L34" s="437"/>
      <c r="M34" s="437"/>
      <c r="N34" s="437"/>
      <c r="O34" s="437"/>
      <c r="P34" s="437"/>
      <c r="Q34" s="437"/>
      <c r="R34" s="437"/>
    </row>
    <row r="35" spans="2:19" ht="15" customHeight="1" x14ac:dyDescent="0.35">
      <c r="B35" s="632" t="s">
        <v>4350</v>
      </c>
      <c r="C35" s="632"/>
      <c r="D35" s="632"/>
      <c r="E35" s="632"/>
      <c r="F35" s="632"/>
      <c r="G35" s="632"/>
      <c r="H35" s="632"/>
      <c r="I35" s="632"/>
      <c r="J35" s="632"/>
      <c r="K35" s="632"/>
      <c r="L35" s="632"/>
      <c r="M35" s="632"/>
      <c r="N35" s="632"/>
      <c r="O35" s="632"/>
      <c r="P35" s="632"/>
      <c r="Q35" s="632"/>
      <c r="R35" s="632"/>
    </row>
    <row r="36" spans="2:19" x14ac:dyDescent="0.35">
      <c r="B36" s="632"/>
      <c r="C36" s="632"/>
      <c r="D36" s="632"/>
      <c r="E36" s="632"/>
      <c r="F36" s="632"/>
      <c r="G36" s="632"/>
      <c r="H36" s="632"/>
      <c r="I36" s="632"/>
      <c r="J36" s="632"/>
      <c r="K36" s="632"/>
      <c r="L36" s="632"/>
      <c r="M36" s="632"/>
      <c r="N36" s="632"/>
      <c r="O36" s="632"/>
      <c r="P36" s="632"/>
      <c r="Q36" s="632"/>
      <c r="R36" s="632"/>
    </row>
    <row r="37" spans="2:19" x14ac:dyDescent="0.35">
      <c r="B37" s="437"/>
      <c r="C37" s="437"/>
      <c r="D37" s="437"/>
      <c r="E37" s="437"/>
      <c r="F37" s="437"/>
      <c r="G37" s="437"/>
      <c r="H37" s="437"/>
      <c r="I37" s="437"/>
      <c r="J37" s="437"/>
      <c r="K37" s="437"/>
      <c r="L37" s="437"/>
      <c r="M37" s="437"/>
      <c r="N37" s="437"/>
      <c r="O37" s="437"/>
      <c r="P37" s="437"/>
      <c r="Q37" s="437"/>
      <c r="R37" s="437"/>
    </row>
    <row r="38" spans="2:19" ht="15" customHeight="1" x14ac:dyDescent="0.35">
      <c r="C38" s="632" t="s">
        <v>4561</v>
      </c>
      <c r="D38" s="632"/>
      <c r="E38" s="632"/>
      <c r="F38" s="632"/>
      <c r="G38" s="632"/>
      <c r="H38" s="632"/>
      <c r="I38" s="632"/>
      <c r="J38" s="632"/>
      <c r="K38" s="632"/>
      <c r="L38" s="632"/>
      <c r="M38" s="632"/>
      <c r="N38" s="632"/>
      <c r="O38" s="632"/>
      <c r="P38" s="632"/>
      <c r="Q38" s="632"/>
      <c r="R38" s="632"/>
    </row>
    <row r="39" spans="2:19" x14ac:dyDescent="0.35">
      <c r="B39" s="437"/>
      <c r="C39" s="437"/>
      <c r="D39" s="437"/>
      <c r="E39" s="437"/>
      <c r="F39" s="437"/>
      <c r="G39" s="437"/>
      <c r="H39" s="437"/>
      <c r="I39" s="437"/>
      <c r="J39" s="437"/>
      <c r="K39" s="437"/>
      <c r="L39" s="437"/>
      <c r="M39" s="437"/>
      <c r="N39" s="437"/>
      <c r="O39" s="437"/>
      <c r="P39" s="437"/>
      <c r="Q39" s="437"/>
      <c r="R39" s="437"/>
    </row>
    <row r="40" spans="2:19" ht="15" customHeight="1" x14ac:dyDescent="0.35">
      <c r="C40" s="632" t="s">
        <v>4311</v>
      </c>
      <c r="D40" s="632"/>
      <c r="E40" s="632"/>
      <c r="F40" s="632"/>
      <c r="G40" s="632"/>
      <c r="H40" s="632"/>
      <c r="I40" s="632"/>
      <c r="J40" s="632"/>
      <c r="K40" s="632"/>
      <c r="L40" s="632"/>
      <c r="M40" s="632"/>
      <c r="N40" s="632"/>
      <c r="O40" s="632"/>
      <c r="P40" s="632"/>
      <c r="Q40" s="632"/>
      <c r="R40" s="632"/>
    </row>
    <row r="41" spans="2:19" x14ac:dyDescent="0.35">
      <c r="B41" s="437"/>
      <c r="C41" s="632"/>
      <c r="D41" s="632"/>
      <c r="E41" s="632"/>
      <c r="F41" s="632"/>
      <c r="G41" s="632"/>
      <c r="H41" s="632"/>
      <c r="I41" s="632"/>
      <c r="J41" s="632"/>
      <c r="K41" s="632"/>
      <c r="L41" s="632"/>
      <c r="M41" s="632"/>
      <c r="N41" s="632"/>
      <c r="O41" s="632"/>
      <c r="P41" s="632"/>
      <c r="Q41" s="632"/>
      <c r="R41" s="632"/>
    </row>
    <row r="42" spans="2:19" x14ac:dyDescent="0.35">
      <c r="B42" s="437"/>
      <c r="C42" s="437"/>
      <c r="D42" s="437"/>
      <c r="E42" s="437"/>
      <c r="F42" s="437"/>
      <c r="G42" s="437"/>
      <c r="H42" s="437"/>
      <c r="I42" s="437"/>
      <c r="J42" s="437"/>
      <c r="K42" s="437"/>
      <c r="L42" s="437"/>
      <c r="M42" s="437"/>
      <c r="N42" s="437"/>
      <c r="O42" s="437"/>
      <c r="P42" s="437"/>
      <c r="Q42" s="437"/>
      <c r="R42" s="437"/>
    </row>
    <row r="43" spans="2:19" ht="15" customHeight="1" x14ac:dyDescent="0.35">
      <c r="B43" s="632" t="s">
        <v>4569</v>
      </c>
      <c r="C43" s="632"/>
      <c r="D43" s="632"/>
      <c r="E43" s="632"/>
      <c r="F43" s="632"/>
      <c r="G43" s="632"/>
      <c r="H43" s="632"/>
      <c r="I43" s="632"/>
      <c r="J43" s="632"/>
      <c r="K43" s="632"/>
      <c r="L43" s="632"/>
      <c r="M43" s="632"/>
      <c r="N43" s="632"/>
      <c r="O43" s="632"/>
      <c r="P43" s="632"/>
      <c r="Q43" s="632"/>
      <c r="R43" s="632"/>
      <c r="S43" s="632"/>
    </row>
    <row r="44" spans="2:19" x14ac:dyDescent="0.35">
      <c r="B44" s="437"/>
      <c r="C44" s="437"/>
      <c r="D44" s="437"/>
      <c r="E44" s="437"/>
      <c r="F44" s="437"/>
      <c r="G44" s="437"/>
      <c r="H44" s="437"/>
      <c r="I44" s="437"/>
      <c r="J44" s="437"/>
      <c r="K44" s="437"/>
      <c r="L44" s="437"/>
      <c r="M44" s="437"/>
      <c r="N44" s="437"/>
      <c r="O44" s="437"/>
      <c r="P44" s="437"/>
      <c r="Q44" s="437"/>
      <c r="R44" s="437"/>
    </row>
    <row r="45" spans="2:19" ht="15" customHeight="1" x14ac:dyDescent="0.35">
      <c r="B45" s="632" t="s">
        <v>4314</v>
      </c>
      <c r="C45" s="632"/>
      <c r="D45" s="632"/>
      <c r="E45" s="632"/>
      <c r="F45" s="632"/>
      <c r="G45" s="632"/>
      <c r="H45" s="632"/>
      <c r="I45" s="632"/>
      <c r="J45" s="632"/>
      <c r="K45" s="632"/>
      <c r="L45" s="632"/>
      <c r="M45" s="632"/>
      <c r="N45" s="632"/>
      <c r="O45" s="632"/>
      <c r="P45" s="632"/>
      <c r="Q45" s="632"/>
      <c r="R45" s="632"/>
    </row>
    <row r="46" spans="2:19" x14ac:dyDescent="0.35">
      <c r="B46" s="437"/>
      <c r="C46" s="437"/>
      <c r="D46" s="437"/>
      <c r="E46" s="437"/>
      <c r="F46" s="437"/>
      <c r="G46" s="437"/>
      <c r="H46" s="437"/>
      <c r="I46" s="437"/>
      <c r="J46" s="437"/>
      <c r="K46" s="437"/>
      <c r="L46" s="437"/>
      <c r="M46" s="437"/>
      <c r="N46" s="437"/>
      <c r="O46" s="437"/>
      <c r="P46" s="437"/>
      <c r="Q46" s="437"/>
      <c r="R46" s="437"/>
    </row>
    <row r="47" spans="2:19" ht="15" customHeight="1" x14ac:dyDescent="0.35">
      <c r="B47" s="632" t="s">
        <v>4313</v>
      </c>
      <c r="C47" s="632"/>
      <c r="D47" s="632"/>
      <c r="E47" s="632"/>
      <c r="F47" s="632"/>
      <c r="G47" s="632"/>
      <c r="H47" s="632"/>
      <c r="I47" s="632"/>
      <c r="J47" s="632"/>
      <c r="K47" s="632"/>
      <c r="L47" s="632"/>
      <c r="M47" s="632"/>
      <c r="N47" s="632"/>
      <c r="O47" s="632"/>
      <c r="P47" s="632"/>
      <c r="Q47" s="632"/>
      <c r="R47" s="632"/>
    </row>
    <row r="48" spans="2:19" ht="15" customHeight="1" x14ac:dyDescent="0.35">
      <c r="B48" s="633" t="s">
        <v>4312</v>
      </c>
      <c r="C48" s="633"/>
      <c r="D48" s="633"/>
      <c r="E48" s="633"/>
      <c r="F48" s="633"/>
      <c r="G48" s="633"/>
      <c r="H48" s="633"/>
      <c r="I48" s="633"/>
      <c r="J48" s="633"/>
      <c r="K48" s="633"/>
      <c r="L48" s="633"/>
      <c r="M48" s="633"/>
      <c r="N48" s="633"/>
      <c r="O48" s="633"/>
      <c r="P48" s="633"/>
      <c r="Q48" s="633"/>
      <c r="R48" s="633"/>
    </row>
    <row r="49" spans="2:19" x14ac:dyDescent="0.35">
      <c r="B49" s="437"/>
      <c r="C49" s="437"/>
      <c r="D49" s="437"/>
      <c r="E49" s="437"/>
      <c r="F49" s="437"/>
      <c r="G49" s="437"/>
      <c r="H49" s="437"/>
      <c r="I49" s="437"/>
      <c r="J49" s="437"/>
      <c r="K49" s="437"/>
      <c r="L49" s="437"/>
      <c r="M49" s="437"/>
      <c r="N49" s="437"/>
      <c r="O49" s="437"/>
      <c r="P49" s="437"/>
      <c r="Q49" s="437"/>
      <c r="R49" s="437"/>
    </row>
    <row r="50" spans="2:19" ht="15" customHeight="1" x14ac:dyDescent="0.35">
      <c r="B50" s="638" t="s">
        <v>4310</v>
      </c>
      <c r="C50" s="638"/>
      <c r="D50" s="638"/>
      <c r="E50" s="638"/>
      <c r="F50" s="638"/>
      <c r="G50" s="638"/>
      <c r="H50" s="638"/>
      <c r="I50" s="638"/>
      <c r="J50" s="638"/>
      <c r="K50" s="638"/>
      <c r="L50" s="638"/>
      <c r="M50" s="638"/>
      <c r="N50" s="638"/>
      <c r="O50" s="638"/>
      <c r="P50" s="638"/>
      <c r="Q50" s="638"/>
      <c r="R50" s="638"/>
    </row>
    <row r="52" spans="2:19" ht="15" customHeight="1" x14ac:dyDescent="0.35">
      <c r="B52" s="632" t="s">
        <v>4351</v>
      </c>
      <c r="C52" s="632"/>
      <c r="D52" s="632"/>
      <c r="E52" s="632"/>
      <c r="F52" s="632"/>
      <c r="G52" s="632"/>
      <c r="H52" s="632"/>
      <c r="I52" s="632"/>
      <c r="J52" s="632"/>
      <c r="K52" s="632"/>
      <c r="L52" s="632"/>
      <c r="M52" s="632"/>
      <c r="N52" s="632"/>
      <c r="O52" s="632"/>
      <c r="P52" s="632"/>
      <c r="Q52" s="632"/>
      <c r="R52" s="632"/>
    </row>
    <row r="53" spans="2:19" x14ac:dyDescent="0.35">
      <c r="B53" s="632"/>
      <c r="C53" s="632"/>
      <c r="D53" s="632"/>
      <c r="E53" s="632"/>
      <c r="F53" s="632"/>
      <c r="G53" s="632"/>
      <c r="H53" s="632"/>
      <c r="I53" s="632"/>
      <c r="J53" s="632"/>
      <c r="K53" s="632"/>
      <c r="L53" s="632"/>
      <c r="M53" s="632"/>
      <c r="N53" s="632"/>
      <c r="O53" s="632"/>
      <c r="P53" s="632"/>
      <c r="Q53" s="632"/>
      <c r="R53" s="632"/>
    </row>
    <row r="55" spans="2:19" ht="15" customHeight="1" x14ac:dyDescent="0.35">
      <c r="B55" s="632" t="s">
        <v>4316</v>
      </c>
      <c r="C55" s="632"/>
      <c r="D55" s="632"/>
      <c r="E55" s="632"/>
      <c r="F55" s="632"/>
      <c r="G55" s="632"/>
      <c r="H55" s="632"/>
      <c r="I55" s="632"/>
      <c r="J55" s="632"/>
      <c r="K55" s="632"/>
      <c r="L55" s="632"/>
      <c r="M55" s="632"/>
      <c r="N55" s="632"/>
      <c r="O55" s="632"/>
      <c r="P55" s="632"/>
      <c r="Q55" s="632"/>
      <c r="R55" s="632"/>
    </row>
    <row r="57" spans="2:19" ht="15" customHeight="1" x14ac:dyDescent="0.35">
      <c r="C57" s="632" t="s">
        <v>4317</v>
      </c>
      <c r="D57" s="632"/>
      <c r="E57" s="632"/>
      <c r="F57" s="632"/>
      <c r="G57" s="632"/>
      <c r="H57" s="632"/>
      <c r="I57" s="632"/>
      <c r="J57" s="632"/>
      <c r="K57" s="632"/>
      <c r="L57" s="632"/>
      <c r="M57" s="632"/>
      <c r="N57" s="632"/>
      <c r="O57" s="632"/>
      <c r="P57" s="632"/>
      <c r="Q57" s="632"/>
      <c r="R57" s="632"/>
    </row>
    <row r="59" spans="2:19" ht="15" customHeight="1" x14ac:dyDescent="0.35">
      <c r="C59" s="632" t="s">
        <v>4318</v>
      </c>
      <c r="D59" s="632"/>
      <c r="E59" s="632"/>
      <c r="F59" s="632"/>
      <c r="G59" s="632"/>
      <c r="H59" s="632"/>
      <c r="I59" s="632"/>
      <c r="J59" s="632"/>
      <c r="K59" s="632"/>
      <c r="L59" s="632"/>
      <c r="M59" s="632"/>
      <c r="N59" s="632"/>
      <c r="O59" s="632"/>
      <c r="P59" s="632"/>
      <c r="Q59" s="632"/>
      <c r="R59" s="632"/>
    </row>
    <row r="60" spans="2:19" ht="15" customHeight="1" x14ac:dyDescent="0.35">
      <c r="C60" s="632"/>
      <c r="D60" s="632"/>
      <c r="E60" s="632"/>
      <c r="F60" s="632"/>
      <c r="G60" s="632"/>
      <c r="H60" s="632"/>
      <c r="I60" s="632"/>
      <c r="J60" s="632"/>
      <c r="K60" s="632"/>
      <c r="L60" s="632"/>
      <c r="M60" s="632"/>
      <c r="N60" s="632"/>
      <c r="O60" s="632"/>
      <c r="P60" s="632"/>
      <c r="Q60" s="632"/>
      <c r="R60" s="632"/>
    </row>
    <row r="62" spans="2:19" ht="15" customHeight="1" x14ac:dyDescent="0.35">
      <c r="B62" s="632" t="s">
        <v>4789</v>
      </c>
      <c r="C62" s="632"/>
      <c r="D62" s="632"/>
      <c r="E62" s="632"/>
      <c r="F62" s="632"/>
      <c r="G62" s="632"/>
      <c r="H62" s="632"/>
      <c r="I62" s="632"/>
      <c r="J62" s="632"/>
      <c r="K62" s="632"/>
      <c r="L62" s="632"/>
      <c r="M62" s="632"/>
      <c r="N62" s="632"/>
      <c r="O62" s="632"/>
      <c r="P62" s="632"/>
      <c r="Q62" s="632"/>
      <c r="R62" s="632"/>
      <c r="S62" s="632"/>
    </row>
    <row r="64" spans="2:19" ht="15" customHeight="1" x14ac:dyDescent="0.35">
      <c r="B64" s="632" t="s">
        <v>4790</v>
      </c>
      <c r="C64" s="632"/>
      <c r="D64" s="632"/>
      <c r="E64" s="632"/>
      <c r="F64" s="632"/>
      <c r="G64" s="632"/>
      <c r="H64" s="632"/>
      <c r="I64" s="632"/>
      <c r="J64" s="632"/>
      <c r="K64" s="632"/>
      <c r="L64" s="632"/>
      <c r="M64" s="632"/>
      <c r="N64" s="632"/>
      <c r="O64" s="632"/>
      <c r="P64" s="632"/>
      <c r="Q64" s="632"/>
      <c r="R64" s="632"/>
      <c r="S64" s="632"/>
    </row>
    <row r="66" spans="1:19" ht="18.5" x14ac:dyDescent="0.45">
      <c r="A66" s="635" t="s">
        <v>4555</v>
      </c>
      <c r="B66" s="635"/>
      <c r="C66" s="635"/>
      <c r="D66" s="635"/>
      <c r="E66" s="635"/>
      <c r="F66" s="635"/>
      <c r="G66" s="635"/>
      <c r="H66" s="635"/>
      <c r="I66" s="635"/>
      <c r="J66" s="635"/>
      <c r="K66" s="635"/>
      <c r="L66" s="635"/>
      <c r="M66" s="635"/>
      <c r="N66" s="635"/>
      <c r="O66" s="635"/>
      <c r="P66" s="635"/>
      <c r="Q66" s="635"/>
      <c r="R66" s="635"/>
      <c r="S66" s="635"/>
    </row>
    <row r="68" spans="1:19" x14ac:dyDescent="0.35">
      <c r="B68" s="632" t="s">
        <v>4554</v>
      </c>
      <c r="C68" s="632"/>
      <c r="D68" s="632"/>
      <c r="E68" s="632"/>
      <c r="F68" s="632"/>
      <c r="G68" s="632"/>
      <c r="H68" s="632"/>
      <c r="I68" s="632"/>
      <c r="J68" s="632"/>
      <c r="K68" s="632"/>
      <c r="L68" s="632"/>
      <c r="M68" s="632"/>
      <c r="N68" s="632"/>
      <c r="O68" s="632"/>
      <c r="P68" s="632"/>
      <c r="Q68" s="632"/>
      <c r="R68" s="632"/>
      <c r="S68" s="632"/>
    </row>
    <row r="70" spans="1:19" ht="15" customHeight="1" x14ac:dyDescent="0.35">
      <c r="C70" s="632" t="s">
        <v>4604</v>
      </c>
      <c r="D70" s="632"/>
      <c r="E70" s="632"/>
      <c r="F70" s="632"/>
      <c r="G70" s="632"/>
      <c r="H70" s="632"/>
      <c r="I70" s="632"/>
      <c r="J70" s="632"/>
      <c r="K70" s="632"/>
      <c r="L70" s="632"/>
      <c r="M70" s="632"/>
      <c r="N70" s="632"/>
      <c r="O70" s="632"/>
      <c r="P70" s="632"/>
      <c r="Q70" s="632"/>
      <c r="R70" s="632"/>
      <c r="S70" s="437"/>
    </row>
    <row r="71" spans="1:19" ht="15" customHeight="1" x14ac:dyDescent="0.35">
      <c r="C71" s="632" t="s">
        <v>4592</v>
      </c>
      <c r="D71" s="632"/>
      <c r="E71" s="632"/>
      <c r="F71" s="632"/>
      <c r="G71" s="632"/>
      <c r="H71" s="632"/>
      <c r="I71" s="632"/>
      <c r="J71" s="632"/>
      <c r="K71" s="632"/>
      <c r="L71" s="632"/>
      <c r="M71" s="632"/>
      <c r="N71" s="632"/>
      <c r="O71" s="632"/>
      <c r="P71" s="632"/>
      <c r="Q71" s="632"/>
      <c r="R71" s="632"/>
      <c r="S71" s="437"/>
    </row>
    <row r="73" spans="1:19" ht="15" customHeight="1" x14ac:dyDescent="0.35">
      <c r="C73" s="632" t="s">
        <v>4556</v>
      </c>
      <c r="D73" s="632"/>
      <c r="E73" s="632"/>
      <c r="F73" s="632"/>
      <c r="G73" s="632"/>
      <c r="H73" s="632"/>
      <c r="I73" s="632"/>
      <c r="J73" s="632"/>
      <c r="K73" s="632"/>
      <c r="L73" s="632"/>
      <c r="M73" s="632"/>
      <c r="N73" s="632"/>
      <c r="O73" s="632"/>
      <c r="P73" s="632"/>
      <c r="Q73" s="632"/>
      <c r="R73" s="632"/>
      <c r="S73" s="437"/>
    </row>
    <row r="74" spans="1:19" ht="15" customHeight="1" x14ac:dyDescent="0.35">
      <c r="C74" s="437"/>
      <c r="D74" s="437"/>
      <c r="E74" s="437"/>
      <c r="F74" s="437"/>
      <c r="G74" s="437"/>
      <c r="H74" s="437"/>
      <c r="I74" s="437"/>
      <c r="J74" s="437"/>
      <c r="K74" s="437"/>
      <c r="L74" s="437"/>
      <c r="M74" s="437"/>
      <c r="N74" s="437"/>
      <c r="O74" s="437"/>
      <c r="P74" s="437"/>
      <c r="Q74" s="437"/>
      <c r="R74" s="437"/>
      <c r="S74" s="437"/>
    </row>
    <row r="75" spans="1:19" ht="15" customHeight="1" x14ac:dyDescent="0.35">
      <c r="B75" s="632" t="s">
        <v>4558</v>
      </c>
      <c r="C75" s="632"/>
      <c r="D75" s="632"/>
      <c r="E75" s="632"/>
      <c r="F75" s="632"/>
      <c r="G75" s="632"/>
      <c r="H75" s="632"/>
      <c r="I75" s="632"/>
      <c r="J75" s="632"/>
      <c r="K75" s="632"/>
      <c r="L75" s="632"/>
      <c r="M75" s="632"/>
      <c r="N75" s="632"/>
      <c r="O75" s="632"/>
      <c r="P75" s="632"/>
      <c r="Q75" s="632"/>
      <c r="R75" s="632"/>
      <c r="S75" s="632"/>
    </row>
    <row r="76" spans="1:19" ht="15" customHeight="1" x14ac:dyDescent="0.35">
      <c r="B76" s="632" t="s">
        <v>4557</v>
      </c>
      <c r="C76" s="632"/>
      <c r="D76" s="632"/>
      <c r="E76" s="632"/>
      <c r="F76" s="632"/>
      <c r="G76" s="632"/>
      <c r="H76" s="632"/>
      <c r="I76" s="632"/>
      <c r="J76" s="632"/>
      <c r="K76" s="632"/>
      <c r="L76" s="632"/>
      <c r="M76" s="632"/>
      <c r="N76" s="632"/>
      <c r="O76" s="632"/>
      <c r="P76" s="632"/>
      <c r="Q76" s="632"/>
      <c r="R76" s="632"/>
      <c r="S76" s="632"/>
    </row>
    <row r="77" spans="1:19" ht="15" customHeight="1" x14ac:dyDescent="0.35">
      <c r="B77" s="437"/>
      <c r="C77" s="437"/>
      <c r="D77" s="437"/>
      <c r="E77" s="437"/>
      <c r="F77" s="437"/>
      <c r="G77" s="437"/>
      <c r="H77" s="437"/>
      <c r="I77" s="437"/>
      <c r="J77" s="437"/>
      <c r="K77" s="437"/>
      <c r="L77" s="437"/>
      <c r="M77" s="437"/>
      <c r="N77" s="437"/>
      <c r="O77" s="437"/>
      <c r="P77" s="437"/>
      <c r="Q77" s="437"/>
      <c r="R77" s="437"/>
      <c r="S77" s="437"/>
    </row>
    <row r="78" spans="1:19" ht="15" customHeight="1" x14ac:dyDescent="0.35">
      <c r="B78" s="647" t="s">
        <v>4559</v>
      </c>
      <c r="C78" s="647"/>
      <c r="D78" s="647"/>
      <c r="E78" s="647"/>
      <c r="F78" s="647"/>
      <c r="G78" s="647"/>
      <c r="H78" s="647"/>
      <c r="I78" s="647"/>
      <c r="J78" s="647"/>
      <c r="K78" s="647"/>
      <c r="L78" s="647"/>
      <c r="M78" s="647"/>
      <c r="N78" s="647"/>
      <c r="O78" s="647"/>
      <c r="P78" s="647"/>
      <c r="Q78" s="647"/>
      <c r="R78" s="647"/>
      <c r="S78" s="647"/>
    </row>
    <row r="80" spans="1:19" ht="18.5" x14ac:dyDescent="0.45">
      <c r="A80" s="635" t="s">
        <v>256</v>
      </c>
      <c r="B80" s="635"/>
      <c r="C80" s="635"/>
      <c r="D80" s="635"/>
      <c r="E80" s="635"/>
      <c r="F80" s="635"/>
      <c r="G80" s="635"/>
      <c r="H80" s="635"/>
      <c r="I80" s="635"/>
      <c r="J80" s="635"/>
      <c r="K80" s="635"/>
      <c r="L80" s="635"/>
      <c r="M80" s="635"/>
      <c r="N80" s="635"/>
      <c r="O80" s="635"/>
      <c r="P80" s="635"/>
      <c r="Q80" s="635"/>
      <c r="R80" s="635"/>
      <c r="S80" s="635"/>
    </row>
    <row r="82" spans="1:19" x14ac:dyDescent="0.35">
      <c r="B82" s="425"/>
      <c r="C82" t="s">
        <v>3741</v>
      </c>
    </row>
    <row r="84" spans="1:19" x14ac:dyDescent="0.35">
      <c r="B84" s="426"/>
      <c r="C84" t="s">
        <v>3742</v>
      </c>
    </row>
    <row r="86" spans="1:19" x14ac:dyDescent="0.35">
      <c r="B86" s="427"/>
      <c r="C86" t="s">
        <v>4083</v>
      </c>
    </row>
    <row r="88" spans="1:19" x14ac:dyDescent="0.35">
      <c r="B88" s="428"/>
      <c r="C88" t="s">
        <v>3738</v>
      </c>
    </row>
    <row r="90" spans="1:19" x14ac:dyDescent="0.35">
      <c r="B90" s="429"/>
      <c r="C90" t="s">
        <v>3739</v>
      </c>
    </row>
    <row r="92" spans="1:19" x14ac:dyDescent="0.35">
      <c r="B92" s="430"/>
      <c r="C92" t="s">
        <v>3740</v>
      </c>
    </row>
    <row r="94" spans="1:19" ht="18.75" customHeight="1" x14ac:dyDescent="0.45">
      <c r="A94" s="634" t="s">
        <v>4307</v>
      </c>
      <c r="B94" s="634"/>
      <c r="C94" s="634"/>
      <c r="D94" s="634"/>
      <c r="E94" s="634"/>
      <c r="F94" s="634"/>
      <c r="G94" s="634"/>
      <c r="H94" s="634"/>
      <c r="I94" s="634"/>
      <c r="J94" s="634"/>
      <c r="K94" s="634"/>
      <c r="L94" s="634"/>
      <c r="M94" s="634"/>
      <c r="N94" s="634"/>
      <c r="O94" s="634"/>
      <c r="P94" s="634"/>
      <c r="Q94" s="634"/>
      <c r="R94" s="634"/>
      <c r="S94" s="634"/>
    </row>
  </sheetData>
  <sheetProtection algorithmName="SHA-512" hashValue="pBE6gRO7gLxqNHOR0RLHA07gCA2Usa+aM2Bc2/8fWqxGc0A4oxfBuHYefgmsRzT3ZjXes7ocOuMMzd1reyIfPg==" saltValue="ZNhcP4+/IOsRxA9+yqV8yg==" spinCount="100000" sheet="1" objects="1" scenarios="1" selectLockedCells="1"/>
  <dataConsolidate/>
  <mergeCells count="44">
    <mergeCell ref="B76:S76"/>
    <mergeCell ref="B78:S78"/>
    <mergeCell ref="B75:S75"/>
    <mergeCell ref="A66:S66"/>
    <mergeCell ref="B68:S68"/>
    <mergeCell ref="C71:R71"/>
    <mergeCell ref="C73:R73"/>
    <mergeCell ref="C70:R70"/>
    <mergeCell ref="A1:C6"/>
    <mergeCell ref="D1:S3"/>
    <mergeCell ref="D4:S6"/>
    <mergeCell ref="A17:S17"/>
    <mergeCell ref="C7:D7"/>
    <mergeCell ref="E7:F7"/>
    <mergeCell ref="B14:R16"/>
    <mergeCell ref="A8:S8"/>
    <mergeCell ref="B9:R9"/>
    <mergeCell ref="B10:R10"/>
    <mergeCell ref="A11:S11"/>
    <mergeCell ref="A13:S13"/>
    <mergeCell ref="A94:S94"/>
    <mergeCell ref="A12:S12"/>
    <mergeCell ref="A18:S18"/>
    <mergeCell ref="A25:S25"/>
    <mergeCell ref="A80:S80"/>
    <mergeCell ref="B20:R20"/>
    <mergeCell ref="B22:R23"/>
    <mergeCell ref="B27:R29"/>
    <mergeCell ref="B31:R31"/>
    <mergeCell ref="B33:S33"/>
    <mergeCell ref="B50:R50"/>
    <mergeCell ref="B45:R45"/>
    <mergeCell ref="B35:R36"/>
    <mergeCell ref="C57:R57"/>
    <mergeCell ref="C59:R60"/>
    <mergeCell ref="B62:S62"/>
    <mergeCell ref="B64:S64"/>
    <mergeCell ref="B47:R47"/>
    <mergeCell ref="B48:R48"/>
    <mergeCell ref="C38:R38"/>
    <mergeCell ref="C40:R41"/>
    <mergeCell ref="B52:R53"/>
    <mergeCell ref="B55:R55"/>
    <mergeCell ref="B43:S43"/>
  </mergeCells>
  <hyperlinks>
    <hyperlink ref="A94" location="'Overview (Design)'!A1" display="CLICK HERE TO GET STARTED!" xr:uid="{00000000-0004-0000-0000-000000000000}"/>
    <hyperlink ref="B10:R10" r:id="rId1" display="Go to http://www.homeinnovation.com/greenscoring to download the latest version of the NGBS Scoring for New Construction spreadsheet." xr:uid="{00000000-0004-0000-0000-000001000000}"/>
    <hyperlink ref="B48" r:id="rId2" xr:uid="{00000000-0004-0000-0000-000002000000}"/>
  </hyperlinks>
  <pageMargins left="0.7" right="0.7" top="0.75" bottom="0.75" header="0.3" footer="0.3"/>
  <pageSetup scale="51" fitToHeight="0" orientation="portrait" r:id="rId3"/>
  <rowBreaks count="1" manualBreakCount="1">
    <brk id="65" max="16383"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fitToPage="1"/>
  </sheetPr>
  <dimension ref="A1:J2014"/>
  <sheetViews>
    <sheetView showGridLines="0" zoomScaleNormal="100" workbookViewId="0">
      <pane ySplit="6" topLeftCell="A7" activePane="bottomLeft" state="frozen"/>
      <selection pane="bottomLeft" sqref="A1:A5"/>
    </sheetView>
  </sheetViews>
  <sheetFormatPr defaultRowHeight="14.5" x14ac:dyDescent="0.35"/>
  <cols>
    <col min="1" max="1" width="3.7265625" style="403" bestFit="1" customWidth="1"/>
    <col min="2" max="3" width="3.7265625" customWidth="1"/>
    <col min="4" max="4" width="10.453125" style="3" customWidth="1"/>
    <col min="5" max="6" width="3.81640625" style="3" customWidth="1"/>
    <col min="7" max="7" width="71.7265625" customWidth="1"/>
    <col min="8" max="8" width="19.1796875" style="49" hidden="1" customWidth="1"/>
    <col min="9" max="9" width="3" style="49" hidden="1" customWidth="1"/>
    <col min="10" max="10" width="73.54296875" style="4" customWidth="1"/>
  </cols>
  <sheetData>
    <row r="1" spans="1:10" ht="15" customHeight="1" x14ac:dyDescent="0.35">
      <c r="A1" s="807" t="s">
        <v>3770</v>
      </c>
      <c r="B1" s="830" t="s">
        <v>4600</v>
      </c>
      <c r="C1" s="830" t="s">
        <v>4601</v>
      </c>
      <c r="D1" s="670"/>
      <c r="E1" s="670"/>
      <c r="F1" s="670"/>
      <c r="G1" s="670"/>
      <c r="J1" s="808" t="s">
        <v>4327</v>
      </c>
    </row>
    <row r="2" spans="1:10" x14ac:dyDescent="0.35">
      <c r="A2" s="807"/>
      <c r="B2" s="830"/>
      <c r="C2" s="830"/>
      <c r="D2" s="670"/>
      <c r="E2" s="670"/>
      <c r="F2" s="670"/>
      <c r="G2" s="670"/>
      <c r="J2" s="809"/>
    </row>
    <row r="3" spans="1:10" x14ac:dyDescent="0.35">
      <c r="A3" s="807"/>
      <c r="B3" s="830"/>
      <c r="C3" s="830"/>
      <c r="D3" s="670"/>
      <c r="E3" s="670"/>
      <c r="F3" s="670"/>
      <c r="G3" s="670"/>
      <c r="J3" s="809"/>
    </row>
    <row r="4" spans="1:10" x14ac:dyDescent="0.35">
      <c r="A4" s="807"/>
      <c r="B4" s="830"/>
      <c r="C4" s="830"/>
      <c r="D4" s="670"/>
      <c r="E4" s="670"/>
      <c r="F4" s="670"/>
      <c r="G4" s="670"/>
      <c r="J4" s="809"/>
    </row>
    <row r="5" spans="1:10" x14ac:dyDescent="0.35">
      <c r="A5" s="807"/>
      <c r="B5" s="830"/>
      <c r="C5" s="830"/>
      <c r="D5" s="670"/>
      <c r="E5" s="670"/>
      <c r="F5" s="670"/>
      <c r="G5" s="670"/>
      <c r="J5" s="809"/>
    </row>
    <row r="6" spans="1:10" ht="21" x14ac:dyDescent="0.5">
      <c r="A6" s="599" t="s">
        <v>4560</v>
      </c>
      <c r="G6" s="391" t="s">
        <v>3771</v>
      </c>
    </row>
    <row r="7" spans="1:10" ht="18.5" x14ac:dyDescent="0.45">
      <c r="A7" s="403" t="s">
        <v>4326</v>
      </c>
      <c r="B7" t="str">
        <f>IF(LEN('Ch5'!H9)=0,"",'Ch5'!H9)</f>
        <v/>
      </c>
      <c r="C7" t="str">
        <f>IF(LEN(B7)=0,IF(A7="P","P",""),B7)</f>
        <v>P</v>
      </c>
      <c r="D7" s="42" t="s">
        <v>805</v>
      </c>
      <c r="E7" s="42"/>
      <c r="F7" s="42"/>
      <c r="G7" s="15"/>
      <c r="H7" s="15"/>
      <c r="I7" s="15"/>
      <c r="J7" s="15"/>
    </row>
    <row r="8" spans="1:10" ht="15" customHeight="1" x14ac:dyDescent="0.35">
      <c r="B8" t="str">
        <f>IF(LEN('Ch5'!H10)=0,"",'Ch5'!H10)</f>
        <v/>
      </c>
      <c r="C8" t="str">
        <f t="shared" ref="C8:C72" si="0">IF(LEN(B8)=0,IF(A8="P","P",""),B8)</f>
        <v/>
      </c>
      <c r="D8" s="441" t="s">
        <v>267</v>
      </c>
      <c r="E8" s="441"/>
      <c r="F8" s="441"/>
      <c r="G8" s="706" t="s">
        <v>268</v>
      </c>
      <c r="J8" s="490"/>
    </row>
    <row r="9" spans="1:10" x14ac:dyDescent="0.35">
      <c r="B9" t="str">
        <f>IF(LEN('Ch5'!H11)=0,"",'Ch5'!H11)</f>
        <v/>
      </c>
      <c r="C9" t="str">
        <f t="shared" si="0"/>
        <v/>
      </c>
      <c r="D9" s="441"/>
      <c r="E9" s="441"/>
      <c r="F9" s="441"/>
      <c r="G9" s="706"/>
      <c r="J9" s="490"/>
    </row>
    <row r="10" spans="1:10" x14ac:dyDescent="0.35">
      <c r="B10" t="str">
        <f>IF(LEN('Ch5'!H12)=0,"",'Ch5'!H12)</f>
        <v/>
      </c>
      <c r="C10" t="str">
        <f t="shared" si="0"/>
        <v/>
      </c>
      <c r="D10" s="441"/>
      <c r="E10" s="441"/>
      <c r="F10" s="441"/>
      <c r="G10" s="706"/>
      <c r="J10" s="490"/>
    </row>
    <row r="11" spans="1:10" ht="18.5" x14ac:dyDescent="0.35">
      <c r="A11" s="403" t="s">
        <v>4326</v>
      </c>
      <c r="B11" t="str">
        <f>IF(LEN('Ch5'!H13)=0,"",'Ch5'!H13)</f>
        <v/>
      </c>
      <c r="C11" t="str">
        <f t="shared" si="0"/>
        <v>P</v>
      </c>
      <c r="D11" s="42" t="s">
        <v>804</v>
      </c>
      <c r="E11" s="42"/>
      <c r="F11" s="42"/>
      <c r="G11" s="45"/>
      <c r="H11" s="45"/>
      <c r="I11" s="45"/>
      <c r="J11" s="491"/>
    </row>
    <row r="12" spans="1:10" ht="15" customHeight="1" x14ac:dyDescent="0.35">
      <c r="A12" s="403" t="str">
        <f>IF(I12&gt;0,"P","")</f>
        <v/>
      </c>
      <c r="B12" t="str">
        <f>IF(LEN('Ch5'!H14)=0,"",'Ch5'!H14)</f>
        <v/>
      </c>
      <c r="C12" t="str">
        <f t="shared" si="0"/>
        <v/>
      </c>
      <c r="D12" s="50" t="s">
        <v>269</v>
      </c>
      <c r="E12" s="50"/>
      <c r="F12" s="50"/>
      <c r="G12" s="576" t="s">
        <v>4709</v>
      </c>
      <c r="I12" s="49">
        <f>'Ch5'!O14</f>
        <v>0</v>
      </c>
      <c r="J12" s="485"/>
    </row>
    <row r="13" spans="1:10" x14ac:dyDescent="0.35">
      <c r="A13" s="403" t="str">
        <f>IF(AND(LEN('Ch5'!W15)&gt;0,NOT('Ch5'!W15=FALSE)),"P","")</f>
        <v/>
      </c>
      <c r="B13" t="str">
        <f>IF(LEN('Ch5'!H15)=0,"",'Ch5'!H15)</f>
        <v/>
      </c>
      <c r="C13" t="str">
        <f t="shared" si="0"/>
        <v/>
      </c>
      <c r="D13" s="50"/>
      <c r="E13" s="115" t="s">
        <v>270</v>
      </c>
      <c r="F13" s="115"/>
      <c r="G13" s="578" t="s">
        <v>4710</v>
      </c>
      <c r="H13" s="49">
        <f>'Ch5'!W15</f>
        <v>0</v>
      </c>
      <c r="J13" s="485" t="s">
        <v>4731</v>
      </c>
    </row>
    <row r="14" spans="1:10" x14ac:dyDescent="0.35">
      <c r="A14" s="600" t="str">
        <f>IF(COUNTIF(A15:A17,"P")&gt;0,"P","")</f>
        <v/>
      </c>
      <c r="D14" s="50"/>
      <c r="E14" s="579" t="s">
        <v>272</v>
      </c>
      <c r="F14" s="50"/>
      <c r="G14" s="217" t="s">
        <v>4711</v>
      </c>
      <c r="J14" s="485"/>
    </row>
    <row r="15" spans="1:10" x14ac:dyDescent="0.35">
      <c r="A15" s="403" t="str">
        <f>IF(AND(LEN('Ch5'!W17)&gt;0,NOT('Ch5'!W17=FALSE)),"P","")</f>
        <v/>
      </c>
      <c r="B15" t="str">
        <f>IF(LEN('Ch5'!H17)=0,"",'Ch5'!H17)</f>
        <v/>
      </c>
      <c r="C15" t="str">
        <f t="shared" si="0"/>
        <v/>
      </c>
      <c r="D15" s="50"/>
      <c r="E15" s="50"/>
      <c r="F15" s="50" t="s">
        <v>121</v>
      </c>
      <c r="G15" s="46" t="s">
        <v>271</v>
      </c>
      <c r="H15" s="49">
        <f>'Ch5'!W17</f>
        <v>0</v>
      </c>
      <c r="J15" s="485" t="s">
        <v>4733</v>
      </c>
    </row>
    <row r="16" spans="1:10" x14ac:dyDescent="0.35">
      <c r="A16" s="403" t="str">
        <f>IF(AND(LEN('Ch5'!W18)&gt;0,NOT('Ch5'!W18=FALSE)),"P","")</f>
        <v/>
      </c>
      <c r="B16" t="str">
        <f>IF(LEN('Ch5'!H18)=0,"",'Ch5'!H18)</f>
        <v/>
      </c>
      <c r="C16" t="str">
        <f t="shared" si="0"/>
        <v/>
      </c>
      <c r="D16" s="50"/>
      <c r="E16" s="50"/>
      <c r="F16" s="50" t="s">
        <v>122</v>
      </c>
      <c r="G16" s="46" t="s">
        <v>273</v>
      </c>
      <c r="H16" s="49">
        <f>'Ch5'!W18</f>
        <v>0</v>
      </c>
      <c r="J16" s="485" t="s">
        <v>4734</v>
      </c>
    </row>
    <row r="17" spans="1:10" ht="15" thickBot="1" x14ac:dyDescent="0.4">
      <c r="A17" s="403" t="str">
        <f>IF(AND(LEN('Ch5'!W19)&gt;0,NOT('Ch5'!W19=FALSE)),"P","")</f>
        <v/>
      </c>
      <c r="B17" t="str">
        <f>IF(LEN('Ch5'!H19)=0,"",'Ch5'!H19)</f>
        <v/>
      </c>
      <c r="C17" t="str">
        <f t="shared" si="0"/>
        <v/>
      </c>
      <c r="D17" s="55"/>
      <c r="E17" s="55"/>
      <c r="F17" s="66" t="s">
        <v>123</v>
      </c>
      <c r="G17" s="56" t="s">
        <v>275</v>
      </c>
      <c r="H17" s="49">
        <f>'Ch5'!W19</f>
        <v>0</v>
      </c>
      <c r="J17" s="485" t="s">
        <v>4732</v>
      </c>
    </row>
    <row r="18" spans="1:10" ht="15.75" customHeight="1" thickTop="1" x14ac:dyDescent="0.35">
      <c r="A18" s="600" t="str">
        <f>IF(COUNTIF(A20:A26,"P")&gt;0,"P","")</f>
        <v>P</v>
      </c>
      <c r="B18" t="str">
        <f>IF(LEN('Ch5'!H20)=0,"",'Ch5'!H20)</f>
        <v/>
      </c>
      <c r="C18" t="str">
        <f t="shared" si="0"/>
        <v>P</v>
      </c>
      <c r="D18" s="441" t="s">
        <v>278</v>
      </c>
      <c r="E18" s="441"/>
      <c r="F18" s="441"/>
      <c r="G18" s="706" t="s">
        <v>279</v>
      </c>
      <c r="J18" s="485"/>
    </row>
    <row r="19" spans="1:10" x14ac:dyDescent="0.35">
      <c r="A19" s="403" t="str">
        <f>A18</f>
        <v>P</v>
      </c>
      <c r="B19" t="str">
        <f>IF(LEN('Ch5'!H21)=0,"",'Ch5'!H21)</f>
        <v/>
      </c>
      <c r="C19" t="str">
        <f t="shared" si="0"/>
        <v>P</v>
      </c>
      <c r="D19" s="441"/>
      <c r="E19" s="441"/>
      <c r="F19" s="441"/>
      <c r="G19" s="706"/>
      <c r="J19" s="485"/>
    </row>
    <row r="20" spans="1:10" ht="15" customHeight="1" x14ac:dyDescent="0.35">
      <c r="A20" s="403" t="str">
        <f>IF(AND(LEN('Ch5'!W22)&gt;0,NOT('Ch5'!W22=FALSE)),"P","")</f>
        <v/>
      </c>
      <c r="B20" t="str">
        <f>IF(LEN('Ch5'!H22)=0,"",'Ch5'!H22)</f>
        <v/>
      </c>
      <c r="C20" t="str">
        <f t="shared" si="0"/>
        <v/>
      </c>
      <c r="D20" s="441"/>
      <c r="E20" s="441" t="s">
        <v>270</v>
      </c>
      <c r="F20" s="441"/>
      <c r="G20" s="723" t="s">
        <v>280</v>
      </c>
      <c r="H20" s="49">
        <f>'Ch5'!W22</f>
        <v>0</v>
      </c>
      <c r="I20" s="49">
        <f>'Ch5'!O22</f>
        <v>0</v>
      </c>
      <c r="J20" s="813" t="s">
        <v>4142</v>
      </c>
    </row>
    <row r="21" spans="1:10" x14ac:dyDescent="0.35">
      <c r="A21" s="403" t="str">
        <f>A20</f>
        <v/>
      </c>
      <c r="B21" t="str">
        <f>IF(LEN('Ch5'!H23)=0,"",'Ch5'!H23)</f>
        <v/>
      </c>
      <c r="C21" t="str">
        <f t="shared" si="0"/>
        <v/>
      </c>
      <c r="D21" s="441"/>
      <c r="E21" s="459"/>
      <c r="F21" s="459"/>
      <c r="G21" s="724"/>
      <c r="J21" s="813"/>
    </row>
    <row r="22" spans="1:10" ht="15" customHeight="1" x14ac:dyDescent="0.35">
      <c r="A22" s="403" t="str">
        <f>IF(AND(LEN('Ch5'!W24)&gt;0,NOT('Ch5'!W24=FALSE)),"P","")</f>
        <v/>
      </c>
      <c r="B22" t="str">
        <f>IF(LEN('Ch5'!H24)=0,"",'Ch5'!H24)</f>
        <v/>
      </c>
      <c r="C22" t="str">
        <f t="shared" si="0"/>
        <v/>
      </c>
      <c r="D22" s="441"/>
      <c r="E22" s="441" t="s">
        <v>272</v>
      </c>
      <c r="F22" s="441"/>
      <c r="G22" s="707" t="s">
        <v>281</v>
      </c>
      <c r="H22" s="49">
        <f>'Ch5'!W24</f>
        <v>0</v>
      </c>
      <c r="I22" s="49">
        <f>'Ch5'!O24</f>
        <v>0</v>
      </c>
      <c r="J22" s="814" t="s">
        <v>4735</v>
      </c>
    </row>
    <row r="23" spans="1:10" x14ac:dyDescent="0.35">
      <c r="A23" s="403" t="str">
        <f>A22</f>
        <v/>
      </c>
      <c r="B23" t="str">
        <f>IF(LEN('Ch5'!H25)=0,"",'Ch5'!H25)</f>
        <v/>
      </c>
      <c r="C23" t="str">
        <f t="shared" si="0"/>
        <v/>
      </c>
      <c r="D23" s="441"/>
      <c r="E23" s="459"/>
      <c r="F23" s="459"/>
      <c r="G23" s="709"/>
      <c r="J23" s="814"/>
    </row>
    <row r="24" spans="1:10" ht="15" customHeight="1" x14ac:dyDescent="0.35">
      <c r="A24" s="403" t="str">
        <f>IF(AND(LEN('Ch5'!W26)&gt;0,NOT('Ch5'!W26=FALSE)),"P","")</f>
        <v>P</v>
      </c>
      <c r="B24" t="str">
        <f>IF(LEN('Ch5'!H26)=0,"",'Ch5'!H26)</f>
        <v/>
      </c>
      <c r="C24" t="str">
        <f t="shared" si="0"/>
        <v>P</v>
      </c>
      <c r="D24" s="441"/>
      <c r="E24" s="441" t="s">
        <v>274</v>
      </c>
      <c r="F24" s="441"/>
      <c r="G24" s="723" t="s">
        <v>282</v>
      </c>
      <c r="H24" s="49" t="b">
        <f>'Ch5'!W26</f>
        <v>1</v>
      </c>
      <c r="I24" s="49">
        <f>'Ch5'!O26</f>
        <v>5</v>
      </c>
      <c r="J24" s="804" t="s">
        <v>4736</v>
      </c>
    </row>
    <row r="25" spans="1:10" x14ac:dyDescent="0.35">
      <c r="A25" s="403" t="str">
        <f>A24</f>
        <v>P</v>
      </c>
      <c r="B25" t="str">
        <f>IF(LEN('Ch5'!H27)=0,"",'Ch5'!H27)</f>
        <v/>
      </c>
      <c r="C25" t="str">
        <f t="shared" si="0"/>
        <v>P</v>
      </c>
      <c r="D25" s="441"/>
      <c r="E25" s="459"/>
      <c r="F25" s="459"/>
      <c r="G25" s="724"/>
      <c r="J25" s="806"/>
    </row>
    <row r="26" spans="1:10" ht="15" customHeight="1" x14ac:dyDescent="0.35">
      <c r="A26" s="403" t="str">
        <f>IF(AND(LEN('Ch5'!W28)&gt;0,NOT('Ch5'!W28=FALSE)),"P","")</f>
        <v>P</v>
      </c>
      <c r="B26" t="str">
        <f>IF(LEN('Ch5'!H28)=0,"",'Ch5'!H28)</f>
        <v/>
      </c>
      <c r="C26" t="str">
        <f t="shared" si="0"/>
        <v>P</v>
      </c>
      <c r="D26" s="441"/>
      <c r="E26" s="441" t="s">
        <v>283</v>
      </c>
      <c r="F26" s="441"/>
      <c r="G26" s="707" t="s">
        <v>284</v>
      </c>
      <c r="H26" s="49" t="b">
        <f>'Ch5'!W28</f>
        <v>1</v>
      </c>
      <c r="I26" s="49">
        <f>'Ch5'!O28</f>
        <v>4</v>
      </c>
      <c r="J26" s="804" t="s">
        <v>4737</v>
      </c>
    </row>
    <row r="27" spans="1:10" x14ac:dyDescent="0.35">
      <c r="A27" s="403" t="str">
        <f>A26</f>
        <v>P</v>
      </c>
      <c r="B27" t="str">
        <f>IF(LEN('Ch5'!H29)=0,"",'Ch5'!H29)</f>
        <v/>
      </c>
      <c r="C27" t="str">
        <f t="shared" si="0"/>
        <v>P</v>
      </c>
      <c r="D27" s="441"/>
      <c r="E27" s="441"/>
      <c r="F27" s="441"/>
      <c r="G27" s="707"/>
      <c r="J27" s="805"/>
    </row>
    <row r="28" spans="1:10" x14ac:dyDescent="0.35">
      <c r="A28" s="403" t="str">
        <f>A27</f>
        <v>P</v>
      </c>
      <c r="B28" t="str">
        <f>IF(LEN('Ch5'!H30)=0,"",'Ch5'!H30)</f>
        <v/>
      </c>
      <c r="C28" t="str">
        <f t="shared" si="0"/>
        <v>P</v>
      </c>
      <c r="D28" s="441"/>
      <c r="E28" s="441"/>
      <c r="F28" s="441"/>
      <c r="G28" s="707"/>
      <c r="J28" s="805"/>
    </row>
    <row r="29" spans="1:10" x14ac:dyDescent="0.35">
      <c r="A29" s="403" t="str">
        <f>A28</f>
        <v>P</v>
      </c>
      <c r="B29" t="str">
        <f>IF(LEN('Ch5'!H31)=0,"",'Ch5'!H31)</f>
        <v/>
      </c>
      <c r="C29" t="str">
        <f t="shared" si="0"/>
        <v>P</v>
      </c>
      <c r="D29" s="441"/>
      <c r="E29" s="441"/>
      <c r="F29" s="441"/>
      <c r="G29" s="707"/>
      <c r="J29" s="806"/>
    </row>
    <row r="30" spans="1:10" x14ac:dyDescent="0.35">
      <c r="B30" t="str">
        <f>IF(LEN('Ch5'!H32)=0,"",'Ch5'!H32)</f>
        <v/>
      </c>
      <c r="C30" t="str">
        <f t="shared" si="0"/>
        <v/>
      </c>
      <c r="D30" s="441"/>
      <c r="E30" s="441"/>
      <c r="F30" s="441"/>
      <c r="G30" s="46" t="s">
        <v>285</v>
      </c>
      <c r="J30" s="485"/>
    </row>
    <row r="31" spans="1:10" x14ac:dyDescent="0.35">
      <c r="B31" t="str">
        <f>IF(LEN('Ch5'!H33)=0,"",'Ch5'!H33)</f>
        <v/>
      </c>
      <c r="C31" t="str">
        <f t="shared" si="0"/>
        <v/>
      </c>
      <c r="D31" s="441"/>
      <c r="E31" s="441"/>
      <c r="F31" s="441"/>
      <c r="G31" s="46" t="s">
        <v>286</v>
      </c>
      <c r="J31" s="485"/>
    </row>
    <row r="32" spans="1:10" x14ac:dyDescent="0.35">
      <c r="B32" t="str">
        <f>IF(LEN('Ch5'!H34)=0,"",'Ch5'!H34)</f>
        <v/>
      </c>
      <c r="C32" t="str">
        <f t="shared" si="0"/>
        <v/>
      </c>
      <c r="D32" s="441"/>
      <c r="E32" s="441"/>
      <c r="F32" s="441"/>
      <c r="G32" s="46" t="s">
        <v>287</v>
      </c>
      <c r="J32" s="485"/>
    </row>
    <row r="33" spans="1:10" x14ac:dyDescent="0.35">
      <c r="B33" t="str">
        <f>IF(LEN('Ch5'!H35)=0,"",'Ch5'!H35)</f>
        <v/>
      </c>
      <c r="C33" t="str">
        <f t="shared" si="0"/>
        <v/>
      </c>
      <c r="D33" s="441"/>
      <c r="E33" s="441"/>
      <c r="F33" s="441"/>
      <c r="G33" s="46" t="s">
        <v>288</v>
      </c>
      <c r="J33" s="485"/>
    </row>
    <row r="34" spans="1:10" x14ac:dyDescent="0.35">
      <c r="B34" t="str">
        <f>IF(LEN('Ch5'!H36)=0,"",'Ch5'!H36)</f>
        <v/>
      </c>
      <c r="C34" t="str">
        <f t="shared" si="0"/>
        <v/>
      </c>
      <c r="D34" s="441"/>
      <c r="E34" s="459"/>
      <c r="F34" s="459"/>
      <c r="G34" s="121" t="s">
        <v>302</v>
      </c>
      <c r="J34" s="485"/>
    </row>
    <row r="35" spans="1:10" ht="15" customHeight="1" x14ac:dyDescent="0.35">
      <c r="A35" s="403" t="str">
        <f>IF(AND(LEN('Ch5'!W37)&gt;0,NOT('Ch5'!W37=FALSE)),"P","")</f>
        <v/>
      </c>
      <c r="B35" t="str">
        <f>IF(LEN('Ch5'!H37)=0,"",'Ch5'!H37)</f>
        <v/>
      </c>
      <c r="C35" t="str">
        <f t="shared" si="0"/>
        <v/>
      </c>
      <c r="D35" s="441"/>
      <c r="E35" s="441" t="s">
        <v>289</v>
      </c>
      <c r="F35" s="441"/>
      <c r="G35" s="707" t="s">
        <v>290</v>
      </c>
      <c r="H35" s="49">
        <f>'Ch5'!W37</f>
        <v>0</v>
      </c>
      <c r="I35" s="49">
        <f>'Ch5'!O37</f>
        <v>0</v>
      </c>
      <c r="J35" s="813" t="s">
        <v>4143</v>
      </c>
    </row>
    <row r="36" spans="1:10" x14ac:dyDescent="0.35">
      <c r="A36" s="403" t="str">
        <f>A35</f>
        <v/>
      </c>
      <c r="B36" t="str">
        <f>IF(LEN('Ch5'!H38)=0,"",'Ch5'!H38)</f>
        <v/>
      </c>
      <c r="C36" t="str">
        <f t="shared" si="0"/>
        <v/>
      </c>
      <c r="D36" s="441"/>
      <c r="E36" s="441"/>
      <c r="F36" s="441"/>
      <c r="G36" s="707"/>
      <c r="J36" s="813"/>
    </row>
    <row r="37" spans="1:10" x14ac:dyDescent="0.35">
      <c r="A37" s="403" t="str">
        <f>A36</f>
        <v/>
      </c>
      <c r="B37" t="str">
        <f>IF(LEN('Ch5'!H39)=0,"",'Ch5'!H39)</f>
        <v/>
      </c>
      <c r="C37" t="str">
        <f t="shared" si="0"/>
        <v/>
      </c>
      <c r="D37" s="441"/>
      <c r="E37" s="459"/>
      <c r="F37" s="459"/>
      <c r="G37" s="709"/>
      <c r="J37" s="813"/>
    </row>
    <row r="38" spans="1:10" ht="15" customHeight="1" x14ac:dyDescent="0.35">
      <c r="A38" s="403" t="str">
        <f>IF(AND(LEN('Ch5'!W40)&gt;0,NOT('Ch5'!W40=FALSE)),"P","")</f>
        <v/>
      </c>
      <c r="B38" t="str">
        <f>IF(LEN('Ch5'!H40)=0,"",'Ch5'!H40)</f>
        <v/>
      </c>
      <c r="C38" t="str">
        <f t="shared" si="0"/>
        <v/>
      </c>
      <c r="D38" s="441"/>
      <c r="E38" s="441" t="s">
        <v>291</v>
      </c>
      <c r="F38" s="441"/>
      <c r="G38" s="707" t="s">
        <v>292</v>
      </c>
      <c r="H38" s="49">
        <f>'Ch5'!W40</f>
        <v>0</v>
      </c>
      <c r="I38" s="49">
        <f ca="1">'Ch5'!O40</f>
        <v>0</v>
      </c>
      <c r="J38" s="813" t="s">
        <v>4144</v>
      </c>
    </row>
    <row r="39" spans="1:10" x14ac:dyDescent="0.35">
      <c r="A39" s="403" t="str">
        <f>A38</f>
        <v/>
      </c>
      <c r="B39" t="str">
        <f>IF(LEN('Ch5'!H41)=0,"",'Ch5'!H41)</f>
        <v/>
      </c>
      <c r="C39" t="str">
        <f t="shared" si="0"/>
        <v/>
      </c>
      <c r="D39" s="441"/>
      <c r="E39" s="441"/>
      <c r="F39" s="441"/>
      <c r="G39" s="707"/>
      <c r="J39" s="813"/>
    </row>
    <row r="40" spans="1:10" x14ac:dyDescent="0.35">
      <c r="B40" t="str">
        <f>IF(LEN('Ch5'!H42)=0,"",'Ch5'!H42)</f>
        <v/>
      </c>
      <c r="C40" t="str">
        <f t="shared" si="0"/>
        <v/>
      </c>
      <c r="D40" s="441"/>
      <c r="E40" s="441"/>
      <c r="F40" s="441" t="s">
        <v>121</v>
      </c>
      <c r="G40" s="46" t="s">
        <v>293</v>
      </c>
      <c r="J40" s="485"/>
    </row>
    <row r="41" spans="1:10" x14ac:dyDescent="0.35">
      <c r="B41" t="str">
        <f>IF(LEN('Ch5'!H43)=0,"",'Ch5'!H43)</f>
        <v/>
      </c>
      <c r="C41" t="str">
        <f t="shared" si="0"/>
        <v/>
      </c>
      <c r="D41" s="441"/>
      <c r="E41" s="441"/>
      <c r="F41" s="441" t="s">
        <v>122</v>
      </c>
      <c r="G41" s="46" t="s">
        <v>294</v>
      </c>
      <c r="J41" s="485"/>
    </row>
    <row r="42" spans="1:10" x14ac:dyDescent="0.35">
      <c r="B42" t="str">
        <f>IF(LEN('Ch5'!H44)=0,"",'Ch5'!H44)</f>
        <v/>
      </c>
      <c r="C42" t="str">
        <f t="shared" si="0"/>
        <v/>
      </c>
      <c r="D42" s="441"/>
      <c r="E42" s="441"/>
      <c r="F42" s="460" t="s">
        <v>123</v>
      </c>
      <c r="G42" s="46" t="s">
        <v>295</v>
      </c>
      <c r="J42" s="485"/>
    </row>
    <row r="43" spans="1:10" ht="18.5" x14ac:dyDescent="0.35">
      <c r="A43" s="403" t="s">
        <v>4326</v>
      </c>
      <c r="B43" t="str">
        <f>IF(LEN('Ch5'!H45)=0,"",'Ch5'!H45)</f>
        <v/>
      </c>
      <c r="C43" t="str">
        <f t="shared" si="0"/>
        <v>P</v>
      </c>
      <c r="D43" s="38" t="s">
        <v>387</v>
      </c>
      <c r="E43" s="38"/>
      <c r="F43" s="38"/>
      <c r="G43" s="38"/>
      <c r="H43" s="38"/>
      <c r="I43" s="38"/>
      <c r="J43" s="493"/>
    </row>
    <row r="44" spans="1:10" ht="15" customHeight="1" x14ac:dyDescent="0.35">
      <c r="A44" s="403" t="str">
        <f>IF(AND(LEN('Ch5'!W46)&gt;0,NOT('Ch5'!W46=FALSE)),"P","")</f>
        <v>P</v>
      </c>
      <c r="B44" t="str">
        <f>IF(LEN('Ch5'!H46)=0,"",'Ch5'!H46)</f>
        <v/>
      </c>
      <c r="C44" t="str">
        <f t="shared" si="0"/>
        <v>P</v>
      </c>
      <c r="D44" s="33">
        <v>502.1</v>
      </c>
      <c r="E44" s="452"/>
      <c r="F44" s="452"/>
      <c r="G44" s="706" t="s">
        <v>389</v>
      </c>
      <c r="H44" s="49" t="b">
        <f>'Ch5'!W46</f>
        <v>1</v>
      </c>
      <c r="I44" s="49">
        <f>'Ch5'!O46</f>
        <v>4</v>
      </c>
      <c r="J44" s="819" t="s">
        <v>4189</v>
      </c>
    </row>
    <row r="45" spans="1:10" x14ac:dyDescent="0.35">
      <c r="A45" s="403" t="str">
        <f>A44</f>
        <v>P</v>
      </c>
      <c r="B45" t="str">
        <f>IF(LEN('Ch5'!H47)=0,"",'Ch5'!H47)</f>
        <v/>
      </c>
      <c r="C45" t="str">
        <f t="shared" si="0"/>
        <v>P</v>
      </c>
      <c r="D45" s="452"/>
      <c r="E45" s="452"/>
      <c r="F45" s="452"/>
      <c r="G45" s="706"/>
      <c r="J45" s="819"/>
    </row>
    <row r="46" spans="1:10" x14ac:dyDescent="0.35">
      <c r="A46" s="403" t="str">
        <f>A45</f>
        <v>P</v>
      </c>
      <c r="B46" t="str">
        <f>IF(LEN('Ch5'!H48)=0,"",'Ch5'!H48)</f>
        <v/>
      </c>
      <c r="C46" t="str">
        <f t="shared" si="0"/>
        <v>P</v>
      </c>
      <c r="D46" s="452"/>
      <c r="E46" s="452"/>
      <c r="F46" s="452"/>
      <c r="G46" s="706"/>
      <c r="J46" s="819"/>
    </row>
    <row r="47" spans="1:10" ht="15" customHeight="1" x14ac:dyDescent="0.35">
      <c r="A47" s="403" t="str">
        <f>A46</f>
        <v>P</v>
      </c>
      <c r="B47" t="str">
        <f>IF(LEN('Ch5'!H49)=0,"",'Ch5'!H49)</f>
        <v/>
      </c>
      <c r="C47" t="str">
        <f t="shared" si="0"/>
        <v>P</v>
      </c>
      <c r="D47" s="452"/>
      <c r="E47" s="452"/>
      <c r="F47" s="452"/>
      <c r="G47" s="706"/>
      <c r="J47" s="819"/>
    </row>
    <row r="48" spans="1:10" ht="18.5" x14ac:dyDescent="0.35">
      <c r="A48" s="403" t="s">
        <v>4326</v>
      </c>
      <c r="B48" t="str">
        <f>IF(LEN('Ch5'!H50)=0,"",'Ch5'!H50)</f>
        <v/>
      </c>
      <c r="C48" t="str">
        <f t="shared" si="0"/>
        <v>P</v>
      </c>
      <c r="D48" s="38" t="s">
        <v>391</v>
      </c>
      <c r="E48" s="42"/>
      <c r="F48" s="42"/>
      <c r="G48" s="47"/>
      <c r="H48" s="47"/>
      <c r="I48" s="47"/>
      <c r="J48" s="494"/>
    </row>
    <row r="49" spans="1:10" ht="15" customHeight="1" x14ac:dyDescent="0.35">
      <c r="B49" t="str">
        <f>IF(LEN('Ch5'!H51)=0,"",'Ch5'!H51)</f>
        <v/>
      </c>
      <c r="C49" t="str">
        <f t="shared" si="0"/>
        <v/>
      </c>
      <c r="D49" s="441" t="s">
        <v>392</v>
      </c>
      <c r="E49" s="452"/>
      <c r="F49" s="452"/>
      <c r="G49" s="706" t="s">
        <v>393</v>
      </c>
      <c r="J49" s="485"/>
    </row>
    <row r="50" spans="1:10" x14ac:dyDescent="0.35">
      <c r="B50" t="str">
        <f>IF(LEN('Ch5'!H52)=0,"",'Ch5'!H52)</f>
        <v/>
      </c>
      <c r="C50" t="str">
        <f t="shared" si="0"/>
        <v/>
      </c>
      <c r="D50" s="452"/>
      <c r="E50" s="452"/>
      <c r="F50" s="452"/>
      <c r="G50" s="706"/>
      <c r="J50" s="485"/>
    </row>
    <row r="51" spans="1:10" x14ac:dyDescent="0.35">
      <c r="B51" t="str">
        <f>IF(LEN('Ch5'!H53)=0,"",'Ch5'!H53)</f>
        <v/>
      </c>
      <c r="C51" t="str">
        <f t="shared" si="0"/>
        <v/>
      </c>
      <c r="D51" s="452"/>
      <c r="E51" s="452"/>
      <c r="F51" s="452"/>
      <c r="G51" s="706"/>
      <c r="J51" s="485"/>
    </row>
    <row r="52" spans="1:10" x14ac:dyDescent="0.35">
      <c r="B52" t="str">
        <f>IF(LEN('Ch5'!H54)=0,"",'Ch5'!H54)</f>
        <v/>
      </c>
      <c r="C52" t="str">
        <f t="shared" si="0"/>
        <v/>
      </c>
      <c r="D52" s="452"/>
      <c r="E52" s="452"/>
      <c r="F52" s="452"/>
      <c r="G52" s="706"/>
      <c r="J52" s="485"/>
    </row>
    <row r="53" spans="1:10" ht="15" thickBot="1" x14ac:dyDescent="0.4">
      <c r="B53" t="str">
        <f>IF(LEN('Ch5'!H55)=0,"",'Ch5'!H55)</f>
        <v/>
      </c>
      <c r="C53" t="str">
        <f t="shared" si="0"/>
        <v/>
      </c>
      <c r="D53" s="453"/>
      <c r="E53" s="453"/>
      <c r="F53" s="453"/>
      <c r="G53" s="61" t="s">
        <v>394</v>
      </c>
      <c r="J53" s="485"/>
    </row>
    <row r="54" spans="1:10" ht="15" customHeight="1" thickTop="1" x14ac:dyDescent="0.35">
      <c r="A54" s="600" t="str">
        <f>IF(COUNTIF(A55:A64,"P")&gt;0,"P","")</f>
        <v>P</v>
      </c>
      <c r="B54" t="str">
        <f>IF(LEN('Ch5'!H56)=0,"",'Ch5'!H56)</f>
        <v/>
      </c>
      <c r="C54" t="str">
        <f t="shared" si="0"/>
        <v>P</v>
      </c>
      <c r="D54" s="33">
        <v>503.1</v>
      </c>
      <c r="E54" s="211"/>
      <c r="F54" s="211"/>
      <c r="G54" s="211" t="s">
        <v>396</v>
      </c>
      <c r="J54" s="485" t="s">
        <v>4145</v>
      </c>
    </row>
    <row r="55" spans="1:10" x14ac:dyDescent="0.35">
      <c r="A55" s="403" t="str">
        <f>IF(AND(LEN('Ch5'!W57)&gt;0,NOT('Ch5'!W57=FALSE)),"P","")</f>
        <v/>
      </c>
      <c r="B55" t="str">
        <f>IF(LEN('Ch5'!H57)=0,"",'Ch5'!H57)</f>
        <v/>
      </c>
      <c r="C55" t="str">
        <f t="shared" si="0"/>
        <v/>
      </c>
      <c r="D55" s="452"/>
      <c r="E55" s="459" t="s">
        <v>270</v>
      </c>
      <c r="F55" s="461"/>
      <c r="G55" s="116" t="s">
        <v>397</v>
      </c>
      <c r="H55" s="49">
        <f>'Ch5'!W57</f>
        <v>0</v>
      </c>
      <c r="I55" s="49">
        <f>'Ch5'!O57</f>
        <v>0</v>
      </c>
      <c r="J55" s="492" t="s">
        <v>4190</v>
      </c>
    </row>
    <row r="56" spans="1:10" ht="15" customHeight="1" x14ac:dyDescent="0.35">
      <c r="A56" s="403" t="str">
        <f>IF(AND(LEN('Ch5'!W58)&gt;0,NOT('Ch5'!W58=FALSE)),"P","")</f>
        <v/>
      </c>
      <c r="B56" t="str">
        <f>IF(LEN('Ch5'!H58)=0,"",'Ch5'!H58)</f>
        <v/>
      </c>
      <c r="C56" t="str">
        <f t="shared" si="0"/>
        <v/>
      </c>
      <c r="D56" s="452"/>
      <c r="E56" s="441" t="s">
        <v>272</v>
      </c>
      <c r="F56" s="452"/>
      <c r="G56" s="707" t="s">
        <v>398</v>
      </c>
      <c r="H56" s="49">
        <f>'Ch5'!W58</f>
        <v>0</v>
      </c>
      <c r="I56" s="49">
        <f>'Ch5'!O58</f>
        <v>0</v>
      </c>
      <c r="J56" s="804" t="s">
        <v>4149</v>
      </c>
    </row>
    <row r="57" spans="1:10" x14ac:dyDescent="0.35">
      <c r="A57" s="403" t="str">
        <f>A56</f>
        <v/>
      </c>
      <c r="B57" t="str">
        <f>IF(LEN('Ch5'!H59)=0,"",'Ch5'!H59)</f>
        <v/>
      </c>
      <c r="C57" t="str">
        <f t="shared" si="0"/>
        <v/>
      </c>
      <c r="D57" s="452"/>
      <c r="E57" s="459"/>
      <c r="F57" s="461"/>
      <c r="G57" s="709"/>
      <c r="J57" s="806"/>
    </row>
    <row r="58" spans="1:10" ht="15" customHeight="1" x14ac:dyDescent="0.35">
      <c r="A58" s="403" t="str">
        <f>IF(AND(LEN('Ch5'!W60)&gt;0,NOT('Ch5'!W60=FALSE)),"P","")</f>
        <v/>
      </c>
      <c r="B58" t="str">
        <f>IF(LEN('Ch5'!H60)=0,"",'Ch5'!H60)</f>
        <v/>
      </c>
      <c r="C58" t="str">
        <f t="shared" si="0"/>
        <v/>
      </c>
      <c r="D58" s="452"/>
      <c r="E58" s="441" t="s">
        <v>274</v>
      </c>
      <c r="F58" s="452"/>
      <c r="G58" s="707" t="s">
        <v>399</v>
      </c>
      <c r="H58" s="49">
        <f>'Ch5'!W60</f>
        <v>0</v>
      </c>
      <c r="I58" s="49">
        <f>'Ch5'!O60</f>
        <v>0</v>
      </c>
      <c r="J58" s="804" t="s">
        <v>4738</v>
      </c>
    </row>
    <row r="59" spans="1:10" x14ac:dyDescent="0.35">
      <c r="A59" s="403" t="str">
        <f>A58</f>
        <v/>
      </c>
      <c r="B59" t="str">
        <f>IF(LEN('Ch5'!H61)=0,"",'Ch5'!H61)</f>
        <v/>
      </c>
      <c r="C59" t="str">
        <f t="shared" si="0"/>
        <v/>
      </c>
      <c r="D59" s="452"/>
      <c r="E59" s="459"/>
      <c r="F59" s="461"/>
      <c r="G59" s="709"/>
      <c r="J59" s="806"/>
    </row>
    <row r="60" spans="1:10" x14ac:dyDescent="0.35">
      <c r="A60" s="403" t="str">
        <f>IF(AND(LEN('Ch5'!W62)&gt;0,NOT('Ch5'!W62=FALSE)),"P","")</f>
        <v>P</v>
      </c>
      <c r="B60" t="str">
        <f>IF(LEN('Ch5'!H62)=0,"",'Ch5'!H62)</f>
        <v/>
      </c>
      <c r="C60" t="str">
        <f t="shared" si="0"/>
        <v>P</v>
      </c>
      <c r="D60" s="452"/>
      <c r="E60" s="459" t="s">
        <v>283</v>
      </c>
      <c r="F60" s="461"/>
      <c r="G60" s="116" t="s">
        <v>400</v>
      </c>
      <c r="H60" s="49" t="b">
        <f>'Ch5'!W62</f>
        <v>1</v>
      </c>
      <c r="I60" s="49">
        <f>'Ch5'!O62</f>
        <v>4</v>
      </c>
      <c r="J60" s="485" t="s">
        <v>4146</v>
      </c>
    </row>
    <row r="61" spans="1:10" x14ac:dyDescent="0.35">
      <c r="A61" s="403" t="str">
        <f>IF(AND(LEN('Ch5'!W63)&gt;0,NOT('Ch5'!W63=FALSE)),"P","")</f>
        <v/>
      </c>
      <c r="B61" t="str">
        <f>IF(LEN('Ch5'!H63)=0,"",'Ch5'!H63)</f>
        <v/>
      </c>
      <c r="C61" t="str">
        <f t="shared" si="0"/>
        <v/>
      </c>
      <c r="D61" s="452"/>
      <c r="E61" s="459" t="s">
        <v>289</v>
      </c>
      <c r="F61" s="461"/>
      <c r="G61" s="116" t="s">
        <v>401</v>
      </c>
      <c r="H61" s="49">
        <f>'Ch5'!W63</f>
        <v>0</v>
      </c>
      <c r="I61" s="49">
        <f>'Ch5'!O63</f>
        <v>0</v>
      </c>
      <c r="J61" s="485" t="s">
        <v>4147</v>
      </c>
    </row>
    <row r="62" spans="1:10" ht="15" customHeight="1" x14ac:dyDescent="0.35">
      <c r="A62" s="403" t="str">
        <f>IF(AND(LEN('Ch5'!W64)&gt;0,NOT('Ch5'!W64=FALSE)),"P","")</f>
        <v/>
      </c>
      <c r="B62" t="str">
        <f>IF(LEN('Ch5'!H64)=0,"",'Ch5'!H64)</f>
        <v/>
      </c>
      <c r="C62" t="str">
        <f t="shared" si="0"/>
        <v/>
      </c>
      <c r="D62" s="452"/>
      <c r="E62" s="441" t="s">
        <v>291</v>
      </c>
      <c r="F62" s="452"/>
      <c r="G62" s="707" t="s">
        <v>402</v>
      </c>
      <c r="H62" s="49">
        <f>'Ch5'!W64</f>
        <v>0</v>
      </c>
      <c r="I62" s="49">
        <f>'Ch5'!O64</f>
        <v>0</v>
      </c>
      <c r="J62" s="814" t="s">
        <v>4148</v>
      </c>
    </row>
    <row r="63" spans="1:10" x14ac:dyDescent="0.35">
      <c r="A63" s="403" t="str">
        <f>A62</f>
        <v/>
      </c>
      <c r="B63" t="str">
        <f>IF(LEN('Ch5'!H65)=0,"",'Ch5'!H65)</f>
        <v/>
      </c>
      <c r="C63" t="str">
        <f t="shared" si="0"/>
        <v/>
      </c>
      <c r="D63" s="452"/>
      <c r="E63" s="459"/>
      <c r="F63" s="461"/>
      <c r="G63" s="709"/>
      <c r="J63" s="814"/>
    </row>
    <row r="64" spans="1:10" ht="15" customHeight="1" x14ac:dyDescent="0.35">
      <c r="A64" s="403" t="str">
        <f>IF(AND(LEN('Ch5'!W66)&gt;0,NOT('Ch5'!W66=FALSE)),"P","")</f>
        <v/>
      </c>
      <c r="B64" t="str">
        <f>IF(LEN('Ch5'!H66)=0,"",'Ch5'!H66)</f>
        <v/>
      </c>
      <c r="C64" t="str">
        <f t="shared" si="0"/>
        <v/>
      </c>
      <c r="D64" s="452"/>
      <c r="E64" s="441" t="s">
        <v>403</v>
      </c>
      <c r="F64" s="452"/>
      <c r="G64" s="707" t="s">
        <v>404</v>
      </c>
      <c r="H64" s="49">
        <f>'Ch5'!W66</f>
        <v>0</v>
      </c>
      <c r="I64" s="49">
        <f>'Ch5'!O66</f>
        <v>0</v>
      </c>
      <c r="J64" s="813" t="s">
        <v>4149</v>
      </c>
    </row>
    <row r="65" spans="1:10" ht="15" thickBot="1" x14ac:dyDescent="0.4">
      <c r="A65" s="403" t="str">
        <f>A64</f>
        <v/>
      </c>
      <c r="B65" t="str">
        <f>IF(LEN('Ch5'!H67)=0,"",'Ch5'!H67)</f>
        <v/>
      </c>
      <c r="C65" t="str">
        <f t="shared" si="0"/>
        <v/>
      </c>
      <c r="D65" s="453"/>
      <c r="E65" s="453"/>
      <c r="F65" s="453"/>
      <c r="G65" s="708"/>
      <c r="J65" s="813"/>
    </row>
    <row r="66" spans="1:10" ht="15" thickTop="1" x14ac:dyDescent="0.35">
      <c r="A66" s="600" t="str">
        <f>IF(COUNTIF(A68:A78,"P")&gt;0,"P","")</f>
        <v>P</v>
      </c>
      <c r="B66" t="str">
        <f>IF(LEN('Ch5'!H68)=0,"",'Ch5'!H68)</f>
        <v/>
      </c>
      <c r="C66" t="str">
        <f t="shared" si="0"/>
        <v>P</v>
      </c>
      <c r="D66" s="63">
        <v>503.2</v>
      </c>
      <c r="E66" s="462"/>
      <c r="F66" s="462"/>
      <c r="G66" s="81" t="s">
        <v>406</v>
      </c>
      <c r="J66" s="485"/>
    </row>
    <row r="67" spans="1:10" x14ac:dyDescent="0.35">
      <c r="B67" t="str">
        <f>IF(LEN('Ch5'!H69)=0,"",'Ch5'!H69)</f>
        <v/>
      </c>
      <c r="C67" t="str">
        <f t="shared" si="0"/>
        <v/>
      </c>
      <c r="D67" s="33"/>
      <c r="E67" s="452"/>
      <c r="F67" s="452"/>
      <c r="G67" s="105" t="s">
        <v>3595</v>
      </c>
      <c r="H67" s="49">
        <f>'Ch5'!W69</f>
        <v>0.27</v>
      </c>
      <c r="J67" s="485"/>
    </row>
    <row r="68" spans="1:10" x14ac:dyDescent="0.35">
      <c r="A68" s="403" t="str">
        <f>IF(AND(LEN('Ch5'!W70)&gt;0,NOT('Ch5'!W70=FALSE)),"P","")</f>
        <v/>
      </c>
      <c r="B68" t="str">
        <f>IF(LEN('Ch5'!H70)=0,"",'Ch5'!H70)</f>
        <v/>
      </c>
      <c r="C68" t="str">
        <f t="shared" si="0"/>
        <v/>
      </c>
      <c r="D68" s="452"/>
      <c r="E68" s="459" t="s">
        <v>270</v>
      </c>
      <c r="F68" s="461"/>
      <c r="G68" s="116" t="s">
        <v>407</v>
      </c>
      <c r="H68" s="49">
        <f>'Ch5'!W70</f>
        <v>0</v>
      </c>
      <c r="I68" s="49">
        <f>'Ch5'!O70</f>
        <v>0</v>
      </c>
      <c r="J68" s="485" t="s">
        <v>216</v>
      </c>
    </row>
    <row r="69" spans="1:10" ht="15" customHeight="1" x14ac:dyDescent="0.35">
      <c r="A69" s="403" t="str">
        <f>IF(AND(LEN('Ch5'!W71)&gt;0,NOT('Ch5'!W71=FALSE)),"P","")</f>
        <v/>
      </c>
      <c r="B69" t="str">
        <f>IF(LEN('Ch5'!H71)=0,"",'Ch5'!H71)</f>
        <v/>
      </c>
      <c r="C69" t="str">
        <f t="shared" si="0"/>
        <v/>
      </c>
      <c r="D69" s="452"/>
      <c r="E69" s="441" t="s">
        <v>272</v>
      </c>
      <c r="F69" s="452"/>
      <c r="G69" s="707" t="s">
        <v>408</v>
      </c>
      <c r="H69" s="49">
        <f>'Ch5'!W71</f>
        <v>0</v>
      </c>
      <c r="I69" s="49">
        <f>'Ch5'!O71</f>
        <v>0</v>
      </c>
      <c r="J69" s="819" t="s">
        <v>4191</v>
      </c>
    </row>
    <row r="70" spans="1:10" x14ac:dyDescent="0.35">
      <c r="A70" s="403" t="str">
        <f>A69</f>
        <v/>
      </c>
      <c r="B70" t="str">
        <f>IF(LEN('Ch5'!H72)=0,"",'Ch5'!H72)</f>
        <v/>
      </c>
      <c r="C70" t="str">
        <f t="shared" si="0"/>
        <v/>
      </c>
      <c r="D70" s="452"/>
      <c r="E70" s="461"/>
      <c r="F70" s="461"/>
      <c r="G70" s="709"/>
      <c r="J70" s="819"/>
    </row>
    <row r="71" spans="1:10" ht="15" customHeight="1" x14ac:dyDescent="0.35">
      <c r="A71" s="403" t="str">
        <f>IF(AND(LEN('Ch5'!W73)&gt;0,NOT('Ch5'!W73=FALSE)),"P","")</f>
        <v/>
      </c>
      <c r="B71" t="str">
        <f>IF(LEN('Ch5'!H73)=0,"",'Ch5'!H73)</f>
        <v/>
      </c>
      <c r="C71" t="str">
        <f t="shared" si="0"/>
        <v/>
      </c>
      <c r="D71" s="452"/>
      <c r="E71" s="441" t="s">
        <v>274</v>
      </c>
      <c r="F71" s="452"/>
      <c r="G71" s="707" t="s">
        <v>409</v>
      </c>
      <c r="H71" s="49">
        <f>'Ch5'!W73</f>
        <v>0</v>
      </c>
      <c r="I71" s="49">
        <f ca="1">'Ch5'!O73</f>
        <v>0</v>
      </c>
      <c r="J71" s="813" t="s">
        <v>4150</v>
      </c>
    </row>
    <row r="72" spans="1:10" x14ac:dyDescent="0.35">
      <c r="A72" s="403" t="str">
        <f>A71</f>
        <v/>
      </c>
      <c r="B72" t="str">
        <f>IF(LEN('Ch5'!H74)=0,"",'Ch5'!H74)</f>
        <v/>
      </c>
      <c r="C72" t="str">
        <f t="shared" si="0"/>
        <v/>
      </c>
      <c r="D72" s="452"/>
      <c r="E72" s="452"/>
      <c r="F72" s="452"/>
      <c r="G72" s="707"/>
      <c r="J72" s="813"/>
    </row>
    <row r="73" spans="1:10" x14ac:dyDescent="0.35">
      <c r="B73" t="str">
        <f>IF(LEN('Ch5'!H75)=0,"",'Ch5'!H75)</f>
        <v/>
      </c>
      <c r="C73" t="str">
        <f t="shared" ref="C73:C136" si="1">IF(LEN(B73)=0,IF(A73="P","P",""),B73)</f>
        <v/>
      </c>
      <c r="D73" s="452"/>
      <c r="E73" s="452"/>
      <c r="F73" s="441" t="s">
        <v>121</v>
      </c>
      <c r="G73" s="46" t="s">
        <v>836</v>
      </c>
      <c r="J73" s="485"/>
    </row>
    <row r="74" spans="1:10" x14ac:dyDescent="0.35">
      <c r="B74" t="str">
        <f>IF(LEN('Ch5'!H76)=0,"",'Ch5'!H76)</f>
        <v/>
      </c>
      <c r="C74" t="str">
        <f t="shared" si="1"/>
        <v/>
      </c>
      <c r="D74" s="452"/>
      <c r="E74" s="452"/>
      <c r="F74" s="441" t="s">
        <v>122</v>
      </c>
      <c r="G74" s="46" t="s">
        <v>410</v>
      </c>
      <c r="J74" s="485"/>
    </row>
    <row r="75" spans="1:10" x14ac:dyDescent="0.35">
      <c r="B75" t="str">
        <f>IF(LEN('Ch5'!H77)=0,"",'Ch5'!H77)</f>
        <v/>
      </c>
      <c r="C75" t="str">
        <f t="shared" si="1"/>
        <v/>
      </c>
      <c r="D75" s="452"/>
      <c r="E75" s="461"/>
      <c r="F75" s="463" t="s">
        <v>123</v>
      </c>
      <c r="G75" s="116" t="s">
        <v>411</v>
      </c>
      <c r="J75" s="485"/>
    </row>
    <row r="76" spans="1:10" ht="15" customHeight="1" x14ac:dyDescent="0.35">
      <c r="A76" s="403" t="str">
        <f>IF(AND(LEN('Ch5'!W78)&gt;0,NOT('Ch5'!W78=FALSE)),"P","")</f>
        <v>P</v>
      </c>
      <c r="B76" t="str">
        <f>IF(LEN('Ch5'!H78)=0,"",'Ch5'!H78)</f>
        <v/>
      </c>
      <c r="C76" t="str">
        <f t="shared" si="1"/>
        <v>P</v>
      </c>
      <c r="D76" s="452"/>
      <c r="E76" s="441" t="s">
        <v>283</v>
      </c>
      <c r="F76" s="452"/>
      <c r="G76" s="707" t="s">
        <v>412</v>
      </c>
      <c r="H76" s="49" t="b">
        <f>'Ch5'!W78</f>
        <v>1</v>
      </c>
      <c r="I76" s="49">
        <f>'Ch5'!O78</f>
        <v>6</v>
      </c>
      <c r="J76" s="813" t="s">
        <v>4151</v>
      </c>
    </row>
    <row r="77" spans="1:10" x14ac:dyDescent="0.35">
      <c r="A77" s="403" t="str">
        <f>A76</f>
        <v>P</v>
      </c>
      <c r="B77" t="str">
        <f>IF(LEN('Ch5'!H79)=0,"",'Ch5'!H79)</f>
        <v/>
      </c>
      <c r="C77" t="str">
        <f t="shared" si="1"/>
        <v>P</v>
      </c>
      <c r="D77" s="452"/>
      <c r="E77" s="461"/>
      <c r="F77" s="461"/>
      <c r="G77" s="709"/>
      <c r="J77" s="813"/>
    </row>
    <row r="78" spans="1:10" ht="15" thickBot="1" x14ac:dyDescent="0.4">
      <c r="A78" s="403" t="str">
        <f>IF(AND(LEN('Ch5'!W80)&gt;0,NOT('Ch5'!W80=FALSE)),"P","")</f>
        <v/>
      </c>
      <c r="B78" t="str">
        <f>IF(LEN('Ch5'!H80)=0,"",'Ch5'!H80)</f>
        <v/>
      </c>
      <c r="C78" t="str">
        <f t="shared" si="1"/>
        <v/>
      </c>
      <c r="D78" s="453"/>
      <c r="E78" s="446" t="s">
        <v>289</v>
      </c>
      <c r="F78" s="453"/>
      <c r="G78" s="56" t="s">
        <v>413</v>
      </c>
      <c r="H78" s="49">
        <f>'Ch5'!W80</f>
        <v>0</v>
      </c>
      <c r="I78" s="49">
        <f>'Ch5'!O80</f>
        <v>0</v>
      </c>
      <c r="J78" s="495" t="s">
        <v>4177</v>
      </c>
    </row>
    <row r="79" spans="1:10" ht="15.75" customHeight="1" thickTop="1" x14ac:dyDescent="0.35">
      <c r="A79" s="600" t="str">
        <f>IF(COUNTIF(A82:A91,"P")&gt;0,"P","")</f>
        <v/>
      </c>
      <c r="B79" t="str">
        <f>IF(LEN('Ch5'!H81)=0,"",'Ch5'!H81)</f>
        <v/>
      </c>
      <c r="C79" t="str">
        <f t="shared" si="1"/>
        <v/>
      </c>
      <c r="D79" s="63">
        <v>503.3</v>
      </c>
      <c r="E79" s="462"/>
      <c r="F79" s="462"/>
      <c r="G79" s="711" t="s">
        <v>415</v>
      </c>
      <c r="J79" s="485"/>
    </row>
    <row r="80" spans="1:10" x14ac:dyDescent="0.35">
      <c r="A80" s="403" t="str">
        <f>A79</f>
        <v/>
      </c>
      <c r="B80" t="str">
        <f>IF(LEN('Ch5'!H82)=0,"",'Ch5'!H82)</f>
        <v/>
      </c>
      <c r="C80" t="str">
        <f t="shared" si="1"/>
        <v/>
      </c>
      <c r="D80" s="452"/>
      <c r="E80" s="452"/>
      <c r="F80" s="452"/>
      <c r="G80" s="706"/>
      <c r="J80" s="485"/>
    </row>
    <row r="81" spans="1:10" x14ac:dyDescent="0.35">
      <c r="B81" t="str">
        <f>IF(LEN('Ch5'!H83)=0,"",'Ch5'!H83)</f>
        <v/>
      </c>
      <c r="C81" t="str">
        <f t="shared" si="1"/>
        <v/>
      </c>
      <c r="D81" s="452"/>
      <c r="E81" s="452"/>
      <c r="F81" s="452"/>
      <c r="G81" s="105" t="s">
        <v>837</v>
      </c>
      <c r="J81" s="485"/>
    </row>
    <row r="82" spans="1:10" ht="15" customHeight="1" x14ac:dyDescent="0.35">
      <c r="A82" s="403" t="str">
        <f>IF(AND(LEN('Ch5'!W84)&gt;0,NOT('Ch5'!W84=FALSE)),"P","")</f>
        <v/>
      </c>
      <c r="B82" t="str">
        <f>IF(LEN('Ch5'!H84)=0,"",'Ch5'!H84)</f>
        <v/>
      </c>
      <c r="C82" t="str">
        <f t="shared" si="1"/>
        <v/>
      </c>
      <c r="D82" s="452"/>
      <c r="E82" s="441" t="s">
        <v>270</v>
      </c>
      <c r="F82" s="452"/>
      <c r="G82" s="707" t="s">
        <v>4713</v>
      </c>
      <c r="H82" s="49">
        <f>'Ch5'!W84</f>
        <v>0</v>
      </c>
      <c r="I82" s="49">
        <f>'Ch5'!O84</f>
        <v>0</v>
      </c>
      <c r="J82" s="804" t="s">
        <v>4739</v>
      </c>
    </row>
    <row r="83" spans="1:10" ht="27" customHeight="1" x14ac:dyDescent="0.35">
      <c r="A83" s="403" t="str">
        <f>A82</f>
        <v/>
      </c>
      <c r="B83" t="str">
        <f>IF(LEN('Ch5'!H85)=0,"",'Ch5'!H85)</f>
        <v/>
      </c>
      <c r="C83" t="str">
        <f t="shared" si="1"/>
        <v/>
      </c>
      <c r="D83" s="452"/>
      <c r="E83" s="459"/>
      <c r="F83" s="461"/>
      <c r="G83" s="709"/>
      <c r="J83" s="806"/>
    </row>
    <row r="84" spans="1:10" ht="15" customHeight="1" x14ac:dyDescent="0.35">
      <c r="A84" s="403" t="str">
        <f>IF('Ch5'!O86&gt;0,"P","")</f>
        <v/>
      </c>
      <c r="B84" t="str">
        <f>IF(LEN('Ch5'!H86)=0,"",'Ch5'!H86)</f>
        <v/>
      </c>
      <c r="C84" t="str">
        <f t="shared" si="1"/>
        <v/>
      </c>
      <c r="D84" s="452"/>
      <c r="E84" s="441" t="s">
        <v>272</v>
      </c>
      <c r="F84" s="452"/>
      <c r="G84" s="707" t="s">
        <v>416</v>
      </c>
      <c r="I84" s="49">
        <f>'Ch5'!O86</f>
        <v>0</v>
      </c>
      <c r="J84" s="804" t="s">
        <v>4740</v>
      </c>
    </row>
    <row r="85" spans="1:10" x14ac:dyDescent="0.35">
      <c r="A85" s="403" t="str">
        <f>A84</f>
        <v/>
      </c>
      <c r="B85" t="str">
        <f>IF(LEN('Ch5'!H87)=0,"",'Ch5'!H87)</f>
        <v/>
      </c>
      <c r="C85" t="str">
        <f t="shared" si="1"/>
        <v/>
      </c>
      <c r="D85" s="452"/>
      <c r="E85" s="452"/>
      <c r="F85" s="452"/>
      <c r="G85" s="707"/>
      <c r="J85" s="805"/>
    </row>
    <row r="86" spans="1:10" x14ac:dyDescent="0.35">
      <c r="A86" s="403" t="str">
        <f>IF(AND(LEN('Ch5'!W88)&gt;0,NOT('Ch5'!W88=FALSE)),"P","")</f>
        <v/>
      </c>
      <c r="B86" t="str">
        <f>IF(LEN('Ch5'!H88)=0,"",'Ch5'!H88)</f>
        <v/>
      </c>
      <c r="C86" t="str">
        <f t="shared" si="1"/>
        <v/>
      </c>
      <c r="D86" s="452"/>
      <c r="E86" s="452"/>
      <c r="F86" s="441" t="s">
        <v>121</v>
      </c>
      <c r="G86" s="46" t="s">
        <v>417</v>
      </c>
      <c r="H86" s="49">
        <f>'Ch5'!W88</f>
        <v>0</v>
      </c>
      <c r="J86" s="805"/>
    </row>
    <row r="87" spans="1:10" ht="15" customHeight="1" x14ac:dyDescent="0.35">
      <c r="A87" s="403" t="str">
        <f>IF(AND(LEN('Ch5'!W89)&gt;0,NOT('Ch5'!W89=FALSE)),"P","")</f>
        <v/>
      </c>
      <c r="B87" t="str">
        <f>IF(LEN('Ch5'!H89)=0,"",'Ch5'!H89)</f>
        <v/>
      </c>
      <c r="C87" t="str">
        <f t="shared" si="1"/>
        <v/>
      </c>
      <c r="D87" s="452"/>
      <c r="E87" s="452"/>
      <c r="F87" s="441" t="s">
        <v>122</v>
      </c>
      <c r="G87" s="707" t="s">
        <v>418</v>
      </c>
      <c r="H87" s="49">
        <f>'Ch5'!W89</f>
        <v>0</v>
      </c>
      <c r="J87" s="805"/>
    </row>
    <row r="88" spans="1:10" x14ac:dyDescent="0.35">
      <c r="A88" s="403" t="str">
        <f>A87</f>
        <v/>
      </c>
      <c r="B88" t="str">
        <f>IF(LEN('Ch5'!H90)=0,"",'Ch5'!H90)</f>
        <v/>
      </c>
      <c r="C88" t="str">
        <f t="shared" si="1"/>
        <v/>
      </c>
      <c r="D88" s="452"/>
      <c r="E88" s="452"/>
      <c r="F88" s="452"/>
      <c r="G88" s="707"/>
      <c r="J88" s="805"/>
    </row>
    <row r="89" spans="1:10" x14ac:dyDescent="0.35">
      <c r="A89" s="403" t="str">
        <f>IF(AND(LEN('Ch5'!W91)&gt;0,NOT('Ch5'!W91=FALSE)),"P","")</f>
        <v/>
      </c>
      <c r="B89" t="str">
        <f>IF(LEN('Ch5'!H91)=0,"",'Ch5'!H91)</f>
        <v/>
      </c>
      <c r="C89" t="str">
        <f t="shared" si="1"/>
        <v/>
      </c>
      <c r="D89" s="452"/>
      <c r="E89" s="452"/>
      <c r="F89" s="460" t="s">
        <v>123</v>
      </c>
      <c r="G89" s="46" t="s">
        <v>419</v>
      </c>
      <c r="H89" s="49">
        <f>'Ch5'!W91</f>
        <v>0</v>
      </c>
      <c r="J89" s="805"/>
    </row>
    <row r="90" spans="1:10" x14ac:dyDescent="0.35">
      <c r="A90" s="403" t="str">
        <f>IF(AND(LEN('Ch5'!W92)&gt;0,NOT('Ch5'!W92=FALSE)),"P","")</f>
        <v/>
      </c>
      <c r="B90" t="str">
        <f>IF(LEN('Ch5'!H92)=0,"",'Ch5'!H92)</f>
        <v/>
      </c>
      <c r="C90" t="str">
        <f t="shared" si="1"/>
        <v/>
      </c>
      <c r="D90" s="452"/>
      <c r="E90" s="461"/>
      <c r="F90" s="463" t="s">
        <v>420</v>
      </c>
      <c r="G90" s="116" t="s">
        <v>421</v>
      </c>
      <c r="H90" s="49">
        <f>'Ch5'!W92</f>
        <v>0</v>
      </c>
      <c r="J90" s="806"/>
    </row>
    <row r="91" spans="1:10" ht="15" thickBot="1" x14ac:dyDescent="0.4">
      <c r="A91" s="403" t="str">
        <f>IF(AND(LEN('Ch5'!W93)&gt;0,NOT('Ch5'!W93=FALSE)),"P","")</f>
        <v/>
      </c>
      <c r="B91" t="str">
        <f>IF(LEN('Ch5'!H93)=0,"",'Ch5'!H93)</f>
        <v/>
      </c>
      <c r="C91" t="str">
        <f t="shared" si="1"/>
        <v/>
      </c>
      <c r="D91" s="453"/>
      <c r="E91" s="446" t="s">
        <v>274</v>
      </c>
      <c r="F91" s="453"/>
      <c r="G91" s="56" t="s">
        <v>422</v>
      </c>
      <c r="H91" s="49">
        <f>'Ch5'!W93</f>
        <v>0</v>
      </c>
      <c r="I91" s="49">
        <f>'Ch5'!O93</f>
        <v>0</v>
      </c>
      <c r="J91" s="485" t="s">
        <v>4152</v>
      </c>
    </row>
    <row r="92" spans="1:10" ht="15.75" customHeight="1" thickTop="1" x14ac:dyDescent="0.35">
      <c r="A92" s="600" t="str">
        <f>IF(COUNTIF(A99:A113,"P")&gt;0,"P","")</f>
        <v>P</v>
      </c>
      <c r="B92" t="str">
        <f>IF(LEN('Ch5'!H94)=0,"",'Ch5'!H94)</f>
        <v/>
      </c>
      <c r="C92" t="str">
        <f t="shared" si="1"/>
        <v>P</v>
      </c>
      <c r="D92" s="33">
        <v>503.4</v>
      </c>
      <c r="E92" s="452"/>
      <c r="F92" s="452"/>
      <c r="G92" s="711" t="s">
        <v>424</v>
      </c>
      <c r="J92" s="827" t="s">
        <v>4328</v>
      </c>
    </row>
    <row r="93" spans="1:10" x14ac:dyDescent="0.35">
      <c r="A93" s="403" t="str">
        <f>A92</f>
        <v>P</v>
      </c>
      <c r="B93" t="str">
        <f>IF(LEN('Ch5'!H95)=0,"",'Ch5'!H95)</f>
        <v/>
      </c>
      <c r="C93" t="str">
        <f t="shared" si="1"/>
        <v>P</v>
      </c>
      <c r="D93" s="452"/>
      <c r="E93" s="452"/>
      <c r="F93" s="452"/>
      <c r="G93" s="706"/>
      <c r="J93" s="827"/>
    </row>
    <row r="94" spans="1:10" x14ac:dyDescent="0.35">
      <c r="A94" s="403" t="str">
        <f>A93</f>
        <v>P</v>
      </c>
      <c r="B94" t="str">
        <f>IF(LEN('Ch5'!H96)=0,"",'Ch5'!H96)</f>
        <v/>
      </c>
      <c r="C94" t="str">
        <f t="shared" si="1"/>
        <v>P</v>
      </c>
      <c r="D94" s="452"/>
      <c r="E94" s="452"/>
      <c r="F94" s="452"/>
      <c r="G94" s="706"/>
      <c r="J94" s="827"/>
    </row>
    <row r="95" spans="1:10" x14ac:dyDescent="0.35">
      <c r="A95" s="403" t="str">
        <f>A94</f>
        <v>P</v>
      </c>
      <c r="B95" t="str">
        <f>IF(LEN('Ch5'!H97)=0,"",'Ch5'!H97)</f>
        <v/>
      </c>
      <c r="C95" t="str">
        <f t="shared" si="1"/>
        <v>P</v>
      </c>
      <c r="D95" s="452"/>
      <c r="E95" s="452"/>
      <c r="F95" s="452"/>
      <c r="G95" s="706"/>
      <c r="J95" s="827"/>
    </row>
    <row r="96" spans="1:10" ht="15.75" customHeight="1" x14ac:dyDescent="0.35">
      <c r="B96" t="str">
        <f>IF(LEN('Ch5'!H98)=0,"",'Ch5'!H98)</f>
        <v/>
      </c>
      <c r="C96" t="str">
        <f t="shared" si="1"/>
        <v/>
      </c>
      <c r="D96" s="452"/>
      <c r="E96" s="452"/>
      <c r="F96" s="452"/>
      <c r="G96" s="714" t="s">
        <v>3164</v>
      </c>
      <c r="J96" s="496"/>
    </row>
    <row r="97" spans="1:10" x14ac:dyDescent="0.35">
      <c r="B97" t="str">
        <f>IF(LEN('Ch5'!H99)=0,"",'Ch5'!H99)</f>
        <v/>
      </c>
      <c r="C97" t="str">
        <f t="shared" si="1"/>
        <v/>
      </c>
      <c r="D97" s="452"/>
      <c r="E97" s="452"/>
      <c r="F97" s="452"/>
      <c r="G97" s="714"/>
      <c r="J97" s="496"/>
    </row>
    <row r="98" spans="1:10" x14ac:dyDescent="0.35">
      <c r="B98" t="str">
        <f>IF(LEN('Ch5'!H100)=0,"",'Ch5'!H100)</f>
        <v/>
      </c>
      <c r="C98" t="str">
        <f t="shared" si="1"/>
        <v/>
      </c>
      <c r="D98" s="452"/>
      <c r="E98" s="452"/>
      <c r="F98" s="452"/>
      <c r="G98" s="714"/>
      <c r="J98" s="496"/>
    </row>
    <row r="99" spans="1:10" ht="15" customHeight="1" x14ac:dyDescent="0.35">
      <c r="A99" s="403" t="str">
        <f>IF(AND(LEN('Ch5'!W101)&gt;0,NOT('Ch5'!W101=FALSE)),"P","")</f>
        <v/>
      </c>
      <c r="B99" t="str">
        <f>IF(LEN('Ch5'!H101)=0,"",'Ch5'!H101)</f>
        <v/>
      </c>
      <c r="C99" t="str">
        <f t="shared" si="1"/>
        <v/>
      </c>
      <c r="D99" s="452"/>
      <c r="E99" s="441" t="s">
        <v>270</v>
      </c>
      <c r="F99" s="452"/>
      <c r="G99" s="707" t="s">
        <v>425</v>
      </c>
      <c r="H99" s="49">
        <f>'Ch5'!W101</f>
        <v>0</v>
      </c>
      <c r="I99" s="49">
        <f>'Ch5'!O101</f>
        <v>0</v>
      </c>
      <c r="J99" s="820" t="s">
        <v>4329</v>
      </c>
    </row>
    <row r="100" spans="1:10" x14ac:dyDescent="0.35">
      <c r="A100" s="403" t="str">
        <f>A99</f>
        <v/>
      </c>
      <c r="B100" t="str">
        <f>IF(LEN('Ch5'!H102)=0,"",'Ch5'!H102)</f>
        <v/>
      </c>
      <c r="C100" t="str">
        <f t="shared" si="1"/>
        <v/>
      </c>
      <c r="D100" s="452"/>
      <c r="E100" s="441"/>
      <c r="F100" s="452"/>
      <c r="G100" s="707"/>
      <c r="J100" s="820"/>
    </row>
    <row r="101" spans="1:10" x14ac:dyDescent="0.35">
      <c r="A101" s="403" t="str">
        <f>A100</f>
        <v/>
      </c>
      <c r="B101" t="str">
        <f>IF(LEN('Ch5'!H103)=0,"",'Ch5'!H103)</f>
        <v/>
      </c>
      <c r="C101" t="str">
        <f t="shared" si="1"/>
        <v/>
      </c>
      <c r="D101" s="452"/>
      <c r="E101" s="461"/>
      <c r="F101" s="461"/>
      <c r="G101" s="709"/>
      <c r="J101" s="820"/>
    </row>
    <row r="102" spans="1:10" ht="15" customHeight="1" x14ac:dyDescent="0.35">
      <c r="A102" s="403" t="str">
        <f>IF(AND(LEN('Ch5'!W104)&gt;0,NOT('Ch5'!W104=FALSE)),"P","")</f>
        <v>P</v>
      </c>
      <c r="B102" t="str">
        <f>IF(LEN('Ch5'!H104)=0,"",'Ch5'!H104)</f>
        <v/>
      </c>
      <c r="C102" t="str">
        <f t="shared" si="1"/>
        <v>P</v>
      </c>
      <c r="D102" s="452"/>
      <c r="E102" s="441" t="s">
        <v>272</v>
      </c>
      <c r="F102" s="452"/>
      <c r="G102" s="707" t="s">
        <v>426</v>
      </c>
      <c r="H102" s="49" t="b">
        <f>'Ch5'!W104</f>
        <v>1</v>
      </c>
      <c r="I102" s="49">
        <f>'Ch5'!O104</f>
        <v>10</v>
      </c>
      <c r="J102" s="821" t="s">
        <v>4330</v>
      </c>
    </row>
    <row r="103" spans="1:10" x14ac:dyDescent="0.35">
      <c r="A103" s="403" t="str">
        <f>A102</f>
        <v>P</v>
      </c>
      <c r="B103" t="str">
        <f>IF(LEN('Ch5'!H105)=0,"",'Ch5'!H105)</f>
        <v/>
      </c>
      <c r="C103" t="str">
        <f t="shared" si="1"/>
        <v>P</v>
      </c>
      <c r="D103" s="452"/>
      <c r="E103" s="452"/>
      <c r="F103" s="452"/>
      <c r="G103" s="707"/>
      <c r="J103" s="821"/>
    </row>
    <row r="104" spans="1:10" x14ac:dyDescent="0.35">
      <c r="A104" s="403" t="str">
        <f>A103</f>
        <v>P</v>
      </c>
      <c r="B104" t="str">
        <f>IF(LEN('Ch5'!H106)=0,"",'Ch5'!H106)</f>
        <v/>
      </c>
      <c r="C104" t="str">
        <f t="shared" si="1"/>
        <v>P</v>
      </c>
      <c r="D104" s="452"/>
      <c r="E104" s="452"/>
      <c r="F104" s="452"/>
      <c r="G104" s="707"/>
      <c r="J104" s="821"/>
    </row>
    <row r="105" spans="1:10" x14ac:dyDescent="0.35">
      <c r="A105" s="403" t="str">
        <f>A104</f>
        <v>P</v>
      </c>
      <c r="B105" t="str">
        <f>IF(LEN('Ch5'!H107)=0,"",'Ch5'!H107)</f>
        <v/>
      </c>
      <c r="C105" t="str">
        <f t="shared" si="1"/>
        <v>P</v>
      </c>
      <c r="D105" s="452"/>
      <c r="E105" s="461"/>
      <c r="F105" s="461"/>
      <c r="G105" s="709"/>
      <c r="J105" s="821"/>
    </row>
    <row r="106" spans="1:10" ht="15" customHeight="1" x14ac:dyDescent="0.35">
      <c r="A106" s="403" t="str">
        <f>IF(AND(LEN('Ch5'!W108)&gt;0,NOT('Ch5'!W108=FALSE)),"P","")</f>
        <v/>
      </c>
      <c r="B106" t="str">
        <f>IF(LEN('Ch5'!H108)=0,"",'Ch5'!H108)</f>
        <v/>
      </c>
      <c r="C106" t="str">
        <f t="shared" si="1"/>
        <v/>
      </c>
      <c r="D106" s="452"/>
      <c r="E106" s="441" t="s">
        <v>274</v>
      </c>
      <c r="F106" s="452"/>
      <c r="G106" s="707" t="s">
        <v>427</v>
      </c>
      <c r="H106" s="49">
        <f>'Ch5'!W108</f>
        <v>0</v>
      </c>
      <c r="I106" s="49">
        <f ca="1">'Ch5'!O108</f>
        <v>0</v>
      </c>
      <c r="J106" s="821" t="s">
        <v>4153</v>
      </c>
    </row>
    <row r="107" spans="1:10" x14ac:dyDescent="0.35">
      <c r="A107" s="403" t="str">
        <f>A106</f>
        <v/>
      </c>
      <c r="B107" t="str">
        <f>IF(LEN('Ch5'!H109)=0,"",'Ch5'!H109)</f>
        <v/>
      </c>
      <c r="C107" t="str">
        <f t="shared" si="1"/>
        <v/>
      </c>
      <c r="D107" s="452"/>
      <c r="E107" s="452"/>
      <c r="F107" s="452"/>
      <c r="G107" s="707"/>
      <c r="J107" s="821"/>
    </row>
    <row r="108" spans="1:10" x14ac:dyDescent="0.35">
      <c r="A108" s="403" t="str">
        <f>A107</f>
        <v/>
      </c>
      <c r="B108" t="str">
        <f>IF(LEN('Ch5'!H110)=0,"",'Ch5'!H110)</f>
        <v/>
      </c>
      <c r="C108" t="str">
        <f t="shared" si="1"/>
        <v/>
      </c>
      <c r="D108" s="452"/>
      <c r="E108" s="452"/>
      <c r="F108" s="452"/>
      <c r="G108" s="707"/>
      <c r="J108" s="821"/>
    </row>
    <row r="109" spans="1:10" x14ac:dyDescent="0.35">
      <c r="A109" s="403" t="str">
        <f>A108</f>
        <v/>
      </c>
      <c r="B109" t="str">
        <f>IF(LEN('Ch5'!H111)=0,"",'Ch5'!H111)</f>
        <v/>
      </c>
      <c r="C109" t="str">
        <f t="shared" si="1"/>
        <v/>
      </c>
      <c r="D109" s="452"/>
      <c r="E109" s="452"/>
      <c r="F109" s="452"/>
      <c r="G109" s="707"/>
      <c r="J109" s="821"/>
    </row>
    <row r="110" spans="1:10" x14ac:dyDescent="0.35">
      <c r="B110" t="str">
        <f>IF(LEN('Ch5'!H112)=0,"",'Ch5'!H112)</f>
        <v/>
      </c>
      <c r="C110" t="str">
        <f t="shared" si="1"/>
        <v/>
      </c>
      <c r="D110" s="452"/>
      <c r="E110" s="452"/>
      <c r="F110" s="441" t="s">
        <v>121</v>
      </c>
      <c r="G110" s="46" t="s">
        <v>428</v>
      </c>
      <c r="J110" s="496"/>
    </row>
    <row r="111" spans="1:10" x14ac:dyDescent="0.35">
      <c r="B111" t="str">
        <f>IF(LEN('Ch5'!H113)=0,"",'Ch5'!H113)</f>
        <v/>
      </c>
      <c r="C111" t="str">
        <f t="shared" si="1"/>
        <v/>
      </c>
      <c r="D111" s="452"/>
      <c r="E111" s="452"/>
      <c r="F111" s="441" t="s">
        <v>122</v>
      </c>
      <c r="G111" s="46" t="s">
        <v>429</v>
      </c>
      <c r="J111" s="496"/>
    </row>
    <row r="112" spans="1:10" x14ac:dyDescent="0.35">
      <c r="B112" t="str">
        <f>IF(LEN('Ch5'!H114)=0,"",'Ch5'!H114)</f>
        <v/>
      </c>
      <c r="C112" t="str">
        <f t="shared" si="1"/>
        <v/>
      </c>
      <c r="D112" s="452"/>
      <c r="E112" s="461"/>
      <c r="F112" s="463" t="s">
        <v>123</v>
      </c>
      <c r="G112" s="116" t="s">
        <v>430</v>
      </c>
      <c r="J112" s="496"/>
    </row>
    <row r="113" spans="1:10" ht="15" customHeight="1" x14ac:dyDescent="0.35">
      <c r="A113" s="403" t="str">
        <f>IF(AND(LEN('Ch5'!W115)&gt;0,NOT('Ch5'!W115=FALSE)),"P","")</f>
        <v/>
      </c>
      <c r="B113" t="str">
        <f>IF(LEN('Ch5'!H115)=0,"",'Ch5'!H115)</f>
        <v/>
      </c>
      <c r="C113" t="str">
        <f t="shared" si="1"/>
        <v/>
      </c>
      <c r="D113" s="452"/>
      <c r="E113" s="441" t="s">
        <v>283</v>
      </c>
      <c r="F113" s="460"/>
      <c r="G113" s="707" t="s">
        <v>431</v>
      </c>
      <c r="H113" s="49">
        <f>'Ch5'!W115</f>
        <v>0</v>
      </c>
      <c r="I113" s="49">
        <f ca="1">'Ch5'!O115</f>
        <v>0</v>
      </c>
      <c r="J113" s="821" t="s">
        <v>4154</v>
      </c>
    </row>
    <row r="114" spans="1:10" x14ac:dyDescent="0.35">
      <c r="A114" s="403" t="str">
        <f>A113</f>
        <v/>
      </c>
      <c r="B114" t="str">
        <f>IF(LEN('Ch5'!H116)=0,"",'Ch5'!H116)</f>
        <v/>
      </c>
      <c r="C114" t="str">
        <f t="shared" si="1"/>
        <v/>
      </c>
      <c r="D114" s="452"/>
      <c r="E114" s="452"/>
      <c r="F114" s="452"/>
      <c r="G114" s="707"/>
      <c r="J114" s="821"/>
    </row>
    <row r="115" spans="1:10" x14ac:dyDescent="0.35">
      <c r="B115" t="str">
        <f>IF(LEN('Ch5'!H117)=0,"",'Ch5'!H117)</f>
        <v/>
      </c>
      <c r="C115" t="str">
        <f t="shared" si="1"/>
        <v/>
      </c>
      <c r="D115" s="452"/>
      <c r="E115" s="452"/>
      <c r="F115" s="441" t="s">
        <v>121</v>
      </c>
      <c r="G115" s="46" t="s">
        <v>432</v>
      </c>
      <c r="J115" s="496"/>
    </row>
    <row r="116" spans="1:10" x14ac:dyDescent="0.35">
      <c r="B116" t="str">
        <f>IF(LEN('Ch5'!H118)=0,"",'Ch5'!H118)</f>
        <v/>
      </c>
      <c r="C116" t="str">
        <f t="shared" si="1"/>
        <v/>
      </c>
      <c r="D116" s="452"/>
      <c r="E116" s="452"/>
      <c r="F116" s="441" t="s">
        <v>122</v>
      </c>
      <c r="G116" s="46" t="s">
        <v>433</v>
      </c>
      <c r="J116" s="496"/>
    </row>
    <row r="117" spans="1:10" ht="15" thickBot="1" x14ac:dyDescent="0.4">
      <c r="B117" t="str">
        <f>IF(LEN('Ch5'!H119)=0,"",'Ch5'!H119)</f>
        <v/>
      </c>
      <c r="C117" t="str">
        <f t="shared" si="1"/>
        <v/>
      </c>
      <c r="D117" s="453"/>
      <c r="E117" s="453"/>
      <c r="F117" s="464" t="s">
        <v>123</v>
      </c>
      <c r="G117" s="56" t="s">
        <v>434</v>
      </c>
      <c r="J117" s="496"/>
    </row>
    <row r="118" spans="1:10" ht="15" customHeight="1" thickTop="1" x14ac:dyDescent="0.35">
      <c r="A118" s="600" t="str">
        <f>IF(COUNTIF(A122:A154,"P")&gt;0,"P","")</f>
        <v>P</v>
      </c>
      <c r="B118" t="str">
        <f>IF(LEN('Ch5'!H120)=0,"",'Ch5'!H120)</f>
        <v/>
      </c>
      <c r="C118" t="str">
        <f t="shared" si="1"/>
        <v>P</v>
      </c>
      <c r="D118" s="63">
        <v>503.5</v>
      </c>
      <c r="E118" s="462"/>
      <c r="F118" s="462"/>
      <c r="G118" s="711" t="s">
        <v>436</v>
      </c>
      <c r="J118" s="814" t="s">
        <v>4155</v>
      </c>
    </row>
    <row r="119" spans="1:10" x14ac:dyDescent="0.35">
      <c r="A119" s="403" t="str">
        <f>A118</f>
        <v>P</v>
      </c>
      <c r="B119" t="str">
        <f>IF(LEN('Ch5'!H121)=0,"",'Ch5'!H121)</f>
        <v/>
      </c>
      <c r="C119" t="str">
        <f t="shared" si="1"/>
        <v>P</v>
      </c>
      <c r="D119" s="452"/>
      <c r="E119" s="452"/>
      <c r="F119" s="452"/>
      <c r="G119" s="706"/>
      <c r="J119" s="814"/>
    </row>
    <row r="120" spans="1:10" ht="15" customHeight="1" x14ac:dyDescent="0.35">
      <c r="B120" t="str">
        <f>IF(LEN('Ch5'!H122)=0,"",'Ch5'!H122)</f>
        <v/>
      </c>
      <c r="C120" t="str">
        <f t="shared" si="1"/>
        <v/>
      </c>
      <c r="D120" s="452"/>
      <c r="E120" s="452"/>
      <c r="F120" s="452"/>
      <c r="G120" s="714" t="s">
        <v>437</v>
      </c>
      <c r="H120" s="49" t="str">
        <f>'Ch5'!W122</f>
        <v>full</v>
      </c>
      <c r="J120" s="490"/>
    </row>
    <row r="121" spans="1:10" x14ac:dyDescent="0.35">
      <c r="B121" t="str">
        <f>IF(LEN('Ch5'!H123)=0,"",'Ch5'!H123)</f>
        <v/>
      </c>
      <c r="C121" t="str">
        <f t="shared" si="1"/>
        <v/>
      </c>
      <c r="D121" s="452"/>
      <c r="E121" s="452"/>
      <c r="F121" s="452"/>
      <c r="G121" s="714"/>
      <c r="J121" s="485"/>
    </row>
    <row r="122" spans="1:10" ht="15" customHeight="1" x14ac:dyDescent="0.35">
      <c r="A122" s="403" t="str">
        <f>IF(AND(LEN('Ch5'!W124)&gt;0,NOT('Ch5'!W124=FALSE)),"P","")</f>
        <v/>
      </c>
      <c r="B122" t="str">
        <f>IF(LEN('Ch5'!H124)=0,"",'Ch5'!H124)</f>
        <v/>
      </c>
      <c r="C122" t="str">
        <f t="shared" si="1"/>
        <v/>
      </c>
      <c r="D122" s="452"/>
      <c r="E122" s="441" t="s">
        <v>270</v>
      </c>
      <c r="F122" s="452"/>
      <c r="G122" s="707" t="s">
        <v>438</v>
      </c>
      <c r="H122" s="49">
        <f>'Ch5'!W124</f>
        <v>0</v>
      </c>
      <c r="I122" s="49">
        <f ca="1">'Ch5'!O124</f>
        <v>0</v>
      </c>
      <c r="J122" s="813" t="s">
        <v>4155</v>
      </c>
    </row>
    <row r="123" spans="1:10" x14ac:dyDescent="0.35">
      <c r="A123" s="403" t="str">
        <f>A122</f>
        <v/>
      </c>
      <c r="B123" t="str">
        <f>IF(LEN('Ch5'!H125)=0,"",'Ch5'!H125)</f>
        <v/>
      </c>
      <c r="C123" t="str">
        <f t="shared" si="1"/>
        <v/>
      </c>
      <c r="D123" s="452"/>
      <c r="E123" s="441"/>
      <c r="F123" s="452"/>
      <c r="G123" s="707"/>
      <c r="J123" s="813"/>
    </row>
    <row r="124" spans="1:10" x14ac:dyDescent="0.35">
      <c r="B124" t="str">
        <f>IF(LEN('Ch5'!H126)=0,"",'Ch5'!H126)</f>
        <v/>
      </c>
      <c r="C124" t="str">
        <f t="shared" si="1"/>
        <v/>
      </c>
      <c r="D124" s="452"/>
      <c r="E124" s="452"/>
      <c r="F124" s="441" t="s">
        <v>121</v>
      </c>
      <c r="G124" s="46" t="s">
        <v>439</v>
      </c>
      <c r="J124" s="485"/>
    </row>
    <row r="125" spans="1:10" x14ac:dyDescent="0.35">
      <c r="B125" t="str">
        <f>IF(LEN('Ch5'!H127)=0,"",'Ch5'!H127)</f>
        <v/>
      </c>
      <c r="C125" t="str">
        <f t="shared" si="1"/>
        <v/>
      </c>
      <c r="D125" s="452"/>
      <c r="E125" s="452"/>
      <c r="F125" s="441" t="s">
        <v>122</v>
      </c>
      <c r="G125" s="46" t="s">
        <v>440</v>
      </c>
      <c r="J125" s="485"/>
    </row>
    <row r="126" spans="1:10" x14ac:dyDescent="0.35">
      <c r="B126" t="str">
        <f>IF(LEN('Ch5'!H128)=0,"",'Ch5'!H128)</f>
        <v/>
      </c>
      <c r="C126" t="str">
        <f t="shared" si="1"/>
        <v/>
      </c>
      <c r="D126" s="452"/>
      <c r="E126" s="452"/>
      <c r="F126" s="460" t="s">
        <v>123</v>
      </c>
      <c r="G126" s="46" t="s">
        <v>441</v>
      </c>
      <c r="J126" s="485"/>
    </row>
    <row r="127" spans="1:10" x14ac:dyDescent="0.35">
      <c r="B127" t="str">
        <f>IF(LEN('Ch5'!H129)=0,"",'Ch5'!H129)</f>
        <v/>
      </c>
      <c r="C127" t="str">
        <f t="shared" si="1"/>
        <v/>
      </c>
      <c r="D127" s="452"/>
      <c r="E127" s="461"/>
      <c r="F127" s="463" t="s">
        <v>420</v>
      </c>
      <c r="G127" s="116" t="s">
        <v>442</v>
      </c>
      <c r="J127" s="485"/>
    </row>
    <row r="128" spans="1:10" ht="15" customHeight="1" x14ac:dyDescent="0.35">
      <c r="A128" s="403" t="str">
        <f>IF(AND(LEN('Ch5'!W130)&gt;0,NOT('Ch5'!W130=FALSE)),"P","")</f>
        <v>P</v>
      </c>
      <c r="B128" t="str">
        <f>IF(LEN('Ch5'!H130)=0,"",'Ch5'!H130)</f>
        <v/>
      </c>
      <c r="C128" t="str">
        <f t="shared" si="1"/>
        <v>P</v>
      </c>
      <c r="D128" s="452"/>
      <c r="E128" s="441" t="s">
        <v>272</v>
      </c>
      <c r="F128" s="452"/>
      <c r="G128" s="707" t="s">
        <v>443</v>
      </c>
      <c r="H128" s="49" t="b">
        <f>'Ch5'!W130</f>
        <v>1</v>
      </c>
      <c r="I128" s="49">
        <f ca="1">'Ch5'!O130</f>
        <v>7</v>
      </c>
      <c r="J128" s="814" t="s">
        <v>4156</v>
      </c>
    </row>
    <row r="129" spans="1:10" x14ac:dyDescent="0.35">
      <c r="A129" s="403" t="str">
        <f>A128</f>
        <v>P</v>
      </c>
      <c r="B129" t="str">
        <f>IF(LEN('Ch5'!H131)=0,"",'Ch5'!H131)</f>
        <v/>
      </c>
      <c r="C129" t="str">
        <f t="shared" si="1"/>
        <v>P</v>
      </c>
      <c r="D129" s="452"/>
      <c r="E129" s="461"/>
      <c r="F129" s="461"/>
      <c r="G129" s="709"/>
      <c r="J129" s="814"/>
    </row>
    <row r="130" spans="1:10" ht="15" customHeight="1" x14ac:dyDescent="0.35">
      <c r="A130" s="403" t="str">
        <f>IF(AND(LEN('Ch5'!W132)&gt;0,NOT('Ch5'!W132=FALSE)),"P","")</f>
        <v/>
      </c>
      <c r="B130" t="str">
        <f>IF(LEN('Ch5'!H132)=0,"",'Ch5'!H132)</f>
        <v/>
      </c>
      <c r="C130" t="str">
        <f t="shared" si="1"/>
        <v/>
      </c>
      <c r="D130" s="452"/>
      <c r="E130" s="441" t="s">
        <v>274</v>
      </c>
      <c r="F130" s="452"/>
      <c r="G130" s="707" t="s">
        <v>444</v>
      </c>
      <c r="H130" s="49">
        <f>'Ch5'!W132</f>
        <v>0</v>
      </c>
      <c r="I130" s="49">
        <f ca="1">'Ch5'!O132</f>
        <v>0</v>
      </c>
      <c r="J130" s="814" t="s">
        <v>4157</v>
      </c>
    </row>
    <row r="131" spans="1:10" x14ac:dyDescent="0.35">
      <c r="A131" s="403" t="str">
        <f>A130</f>
        <v/>
      </c>
      <c r="B131" t="str">
        <f>IF(LEN('Ch5'!H133)=0,"",'Ch5'!H133)</f>
        <v/>
      </c>
      <c r="C131" t="str">
        <f t="shared" si="1"/>
        <v/>
      </c>
      <c r="D131" s="452"/>
      <c r="E131" s="461"/>
      <c r="F131" s="461"/>
      <c r="G131" s="709"/>
      <c r="J131" s="814"/>
    </row>
    <row r="132" spans="1:10" ht="15" customHeight="1" x14ac:dyDescent="0.35">
      <c r="A132" s="403" t="str">
        <f>IF(AND(LEN('Ch5'!W134)&gt;0,NOT('Ch5'!W134=FALSE)),"P","")</f>
        <v/>
      </c>
      <c r="B132" t="str">
        <f>IF(LEN('Ch5'!H134)=0,"",'Ch5'!H134)</f>
        <v/>
      </c>
      <c r="C132" t="str">
        <f t="shared" si="1"/>
        <v/>
      </c>
      <c r="D132" s="452"/>
      <c r="E132" s="441" t="s">
        <v>283</v>
      </c>
      <c r="F132" s="452"/>
      <c r="G132" s="707" t="s">
        <v>445</v>
      </c>
      <c r="H132" s="49">
        <f>'Ch5'!W134</f>
        <v>0</v>
      </c>
      <c r="I132" s="49">
        <f ca="1">'Ch5'!O134</f>
        <v>0</v>
      </c>
      <c r="J132" s="813" t="s">
        <v>4158</v>
      </c>
    </row>
    <row r="133" spans="1:10" x14ac:dyDescent="0.35">
      <c r="A133" s="403" t="str">
        <f>A132</f>
        <v/>
      </c>
      <c r="B133" t="str">
        <f>IF(LEN('Ch5'!H135)=0,"",'Ch5'!H135)</f>
        <v/>
      </c>
      <c r="C133" t="str">
        <f t="shared" si="1"/>
        <v/>
      </c>
      <c r="D133" s="452"/>
      <c r="E133" s="461"/>
      <c r="F133" s="461"/>
      <c r="G133" s="709"/>
      <c r="J133" s="813"/>
    </row>
    <row r="134" spans="1:10" ht="26" x14ac:dyDescent="0.35">
      <c r="A134" s="403" t="str">
        <f>IF(AND(LEN('Ch5'!W136)&gt;0,NOT('Ch5'!W136=FALSE)),"P","")</f>
        <v/>
      </c>
      <c r="B134" t="str">
        <f>IF(LEN('Ch5'!H136)=0,"",'Ch5'!H136)</f>
        <v/>
      </c>
      <c r="C134" t="str">
        <f t="shared" si="1"/>
        <v/>
      </c>
      <c r="D134" s="452"/>
      <c r="E134" s="441" t="s">
        <v>289</v>
      </c>
      <c r="F134" s="452"/>
      <c r="G134" s="46" t="s">
        <v>446</v>
      </c>
      <c r="H134" s="49">
        <f>'Ch5'!W136</f>
        <v>0</v>
      </c>
      <c r="I134" s="49">
        <f ca="1">'Ch5'!O136</f>
        <v>0</v>
      </c>
      <c r="J134" s="495" t="s">
        <v>4741</v>
      </c>
    </row>
    <row r="135" spans="1:10" x14ac:dyDescent="0.35">
      <c r="B135" t="str">
        <f>IF(LEN('Ch5'!H137)=0,"",'Ch5'!H137)</f>
        <v/>
      </c>
      <c r="C135" t="str">
        <f t="shared" si="1"/>
        <v/>
      </c>
      <c r="D135" s="452"/>
      <c r="E135" s="452"/>
      <c r="F135" s="441" t="s">
        <v>121</v>
      </c>
      <c r="G135" s="46" t="s">
        <v>447</v>
      </c>
      <c r="J135" s="495"/>
    </row>
    <row r="136" spans="1:10" x14ac:dyDescent="0.35">
      <c r="B136" t="str">
        <f>IF(LEN('Ch5'!H138)=0,"",'Ch5'!H138)</f>
        <v/>
      </c>
      <c r="C136" t="str">
        <f t="shared" si="1"/>
        <v/>
      </c>
      <c r="D136" s="452"/>
      <c r="E136" s="452"/>
      <c r="F136" s="441" t="s">
        <v>122</v>
      </c>
      <c r="G136" s="46" t="s">
        <v>448</v>
      </c>
      <c r="J136" s="495"/>
    </row>
    <row r="137" spans="1:10" x14ac:dyDescent="0.35">
      <c r="B137" t="str">
        <f>IF(LEN('Ch5'!H139)=0,"",'Ch5'!H139)</f>
        <v/>
      </c>
      <c r="C137" t="str">
        <f t="shared" ref="C137:C200" si="2">IF(LEN(B137)=0,IF(A137="P","P",""),B137)</f>
        <v/>
      </c>
      <c r="D137" s="452"/>
      <c r="E137" s="452"/>
      <c r="F137" s="460" t="s">
        <v>123</v>
      </c>
      <c r="G137" s="46" t="s">
        <v>449</v>
      </c>
      <c r="J137" s="495"/>
    </row>
    <row r="138" spans="1:10" x14ac:dyDescent="0.35">
      <c r="B138" t="str">
        <f>IF(LEN('Ch5'!H140)=0,"",'Ch5'!H140)</f>
        <v/>
      </c>
      <c r="C138" t="str">
        <f t="shared" si="2"/>
        <v/>
      </c>
      <c r="D138" s="452"/>
      <c r="E138" s="461"/>
      <c r="F138" s="463" t="s">
        <v>420</v>
      </c>
      <c r="G138" s="116" t="s">
        <v>450</v>
      </c>
      <c r="J138" s="495"/>
    </row>
    <row r="139" spans="1:10" ht="26" x14ac:dyDescent="0.35">
      <c r="A139" s="403" t="str">
        <f>IF(AND(LEN('Ch5'!W141)&gt;0,NOT('Ch5'!W141=FALSE)),"P","")</f>
        <v>P</v>
      </c>
      <c r="B139" t="str">
        <f>IF(LEN('Ch5'!H141)=0,"",'Ch5'!H141)</f>
        <v/>
      </c>
      <c r="C139" t="str">
        <f t="shared" si="2"/>
        <v>P</v>
      </c>
      <c r="D139" s="452"/>
      <c r="E139" s="459" t="s">
        <v>291</v>
      </c>
      <c r="F139" s="461"/>
      <c r="G139" s="116" t="s">
        <v>451</v>
      </c>
      <c r="H139" s="49" t="b">
        <f>'Ch5'!W141</f>
        <v>1</v>
      </c>
      <c r="I139" s="49">
        <f ca="1">'Ch5'!O141</f>
        <v>5</v>
      </c>
      <c r="J139" s="495" t="s">
        <v>4159</v>
      </c>
    </row>
    <row r="140" spans="1:10" ht="15" customHeight="1" x14ac:dyDescent="0.35">
      <c r="A140" s="403" t="str">
        <f>IF(AND(LEN('Ch5'!W142)&gt;0,NOT('Ch5'!W142=FALSE)),"P","")</f>
        <v/>
      </c>
      <c r="B140" t="str">
        <f>IF(LEN('Ch5'!H142)=0,"",'Ch5'!H142)</f>
        <v/>
      </c>
      <c r="C140" t="str">
        <f t="shared" si="2"/>
        <v/>
      </c>
      <c r="D140" s="452"/>
      <c r="E140" s="441" t="s">
        <v>403</v>
      </c>
      <c r="F140" s="452"/>
      <c r="G140" s="707" t="s">
        <v>452</v>
      </c>
      <c r="H140" s="49">
        <f>'Ch5'!W142</f>
        <v>0</v>
      </c>
      <c r="I140" s="49">
        <f ca="1">'Ch5'!O142</f>
        <v>0</v>
      </c>
      <c r="J140" s="813" t="s">
        <v>4160</v>
      </c>
    </row>
    <row r="141" spans="1:10" x14ac:dyDescent="0.35">
      <c r="A141" s="403" t="str">
        <f>A140</f>
        <v/>
      </c>
      <c r="B141" t="str">
        <f>IF(LEN('Ch5'!H143)=0,"",'Ch5'!H143)</f>
        <v/>
      </c>
      <c r="C141" t="str">
        <f t="shared" si="2"/>
        <v/>
      </c>
      <c r="D141" s="452"/>
      <c r="E141" s="452"/>
      <c r="F141" s="452"/>
      <c r="G141" s="707"/>
      <c r="J141" s="813"/>
    </row>
    <row r="142" spans="1:10" x14ac:dyDescent="0.35">
      <c r="A142" s="403" t="str">
        <f>A141</f>
        <v/>
      </c>
      <c r="B142" t="str">
        <f>IF(LEN('Ch5'!H144)=0,"",'Ch5'!H144)</f>
        <v/>
      </c>
      <c r="C142" t="str">
        <f t="shared" si="2"/>
        <v/>
      </c>
      <c r="D142" s="452"/>
      <c r="E142" s="452"/>
      <c r="F142" s="452"/>
      <c r="G142" s="707"/>
      <c r="J142" s="813"/>
    </row>
    <row r="143" spans="1:10" x14ac:dyDescent="0.35">
      <c r="A143" s="403" t="str">
        <f>A142</f>
        <v/>
      </c>
      <c r="B143" t="str">
        <f>IF(LEN('Ch5'!H145)=0,"",'Ch5'!H145)</f>
        <v/>
      </c>
      <c r="C143" t="str">
        <f t="shared" si="2"/>
        <v/>
      </c>
      <c r="D143" s="452"/>
      <c r="E143" s="452"/>
      <c r="F143" s="452"/>
      <c r="G143" s="707"/>
      <c r="J143" s="813"/>
    </row>
    <row r="144" spans="1:10" x14ac:dyDescent="0.35">
      <c r="A144" s="403" t="str">
        <f>A143</f>
        <v/>
      </c>
      <c r="B144" t="str">
        <f>IF(LEN('Ch5'!H146)=0,"",'Ch5'!H146)</f>
        <v/>
      </c>
      <c r="C144" t="str">
        <f t="shared" si="2"/>
        <v/>
      </c>
      <c r="D144" s="452"/>
      <c r="E144" s="461"/>
      <c r="F144" s="461"/>
      <c r="G144" s="709"/>
      <c r="J144" s="813"/>
    </row>
    <row r="145" spans="1:10" ht="15" customHeight="1" x14ac:dyDescent="0.35">
      <c r="A145" s="403" t="str">
        <f>IF(AND(LEN('Ch5'!W147)&gt;0,NOT('Ch5'!W147=FALSE)),"P","")</f>
        <v/>
      </c>
      <c r="B145" t="str">
        <f>IF(LEN('Ch5'!H147)=0,"",'Ch5'!H147)</f>
        <v/>
      </c>
      <c r="C145" t="str">
        <f t="shared" si="2"/>
        <v/>
      </c>
      <c r="D145" s="452"/>
      <c r="E145" s="441" t="s">
        <v>453</v>
      </c>
      <c r="F145" s="452"/>
      <c r="G145" s="707" t="s">
        <v>454</v>
      </c>
      <c r="H145" s="49">
        <f>'Ch5'!W147</f>
        <v>0</v>
      </c>
      <c r="I145" s="49">
        <f ca="1">'Ch5'!O147</f>
        <v>0</v>
      </c>
      <c r="J145" s="813" t="s">
        <v>4158</v>
      </c>
    </row>
    <row r="146" spans="1:10" x14ac:dyDescent="0.35">
      <c r="A146" s="403" t="str">
        <f>A145</f>
        <v/>
      </c>
      <c r="B146" t="str">
        <f>IF(LEN('Ch5'!H148)=0,"",'Ch5'!H148)</f>
        <v/>
      </c>
      <c r="C146" t="str">
        <f t="shared" si="2"/>
        <v/>
      </c>
      <c r="D146" s="452"/>
      <c r="E146" s="461"/>
      <c r="F146" s="461"/>
      <c r="G146" s="709"/>
      <c r="J146" s="813"/>
    </row>
    <row r="147" spans="1:10" ht="15" customHeight="1" x14ac:dyDescent="0.35">
      <c r="A147" s="403" t="str">
        <f>IF(AND(LEN('Ch5'!W149)&gt;0,NOT('Ch5'!W149=FALSE)),"P","")</f>
        <v/>
      </c>
      <c r="B147" t="str">
        <f>IF(LEN('Ch5'!H149)=0,"",'Ch5'!H149)</f>
        <v/>
      </c>
      <c r="C147" t="str">
        <f t="shared" si="2"/>
        <v/>
      </c>
      <c r="D147" s="452"/>
      <c r="E147" s="441" t="s">
        <v>455</v>
      </c>
      <c r="F147" s="452"/>
      <c r="G147" s="707" t="s">
        <v>456</v>
      </c>
      <c r="H147" s="49">
        <f>'Ch5'!W149</f>
        <v>0</v>
      </c>
      <c r="I147" s="49">
        <f>'Ch5'!O149</f>
        <v>0</v>
      </c>
      <c r="J147" s="813" t="s">
        <v>4161</v>
      </c>
    </row>
    <row r="148" spans="1:10" x14ac:dyDescent="0.35">
      <c r="A148" s="403" t="str">
        <f>A147</f>
        <v/>
      </c>
      <c r="B148" t="str">
        <f>IF(LEN('Ch5'!H150)=0,"",'Ch5'!H150)</f>
        <v/>
      </c>
      <c r="C148" t="str">
        <f t="shared" si="2"/>
        <v/>
      </c>
      <c r="D148" s="452"/>
      <c r="E148" s="452"/>
      <c r="F148" s="452"/>
      <c r="G148" s="707"/>
      <c r="J148" s="813"/>
    </row>
    <row r="149" spans="1:10" x14ac:dyDescent="0.35">
      <c r="A149" s="403" t="str">
        <f>A148</f>
        <v/>
      </c>
      <c r="B149" t="str">
        <f>IF(LEN('Ch5'!H151)=0,"",'Ch5'!H151)</f>
        <v/>
      </c>
      <c r="C149" t="str">
        <f t="shared" si="2"/>
        <v/>
      </c>
      <c r="D149" s="452"/>
      <c r="E149" s="461"/>
      <c r="F149" s="461"/>
      <c r="G149" s="709"/>
      <c r="J149" s="813"/>
    </row>
    <row r="150" spans="1:10" ht="15" customHeight="1" x14ac:dyDescent="0.35">
      <c r="A150" s="403" t="str">
        <f>IF(AND(LEN('Ch5'!W152)&gt;0,NOT('Ch5'!W152=FALSE)),"P","")</f>
        <v/>
      </c>
      <c r="B150" t="str">
        <f>IF(LEN('Ch5'!H152)=0,"",'Ch5'!H152)</f>
        <v/>
      </c>
      <c r="C150" t="str">
        <f t="shared" si="2"/>
        <v/>
      </c>
      <c r="D150" s="452"/>
      <c r="E150" s="441" t="s">
        <v>457</v>
      </c>
      <c r="F150" s="452"/>
      <c r="G150" s="707" t="s">
        <v>458</v>
      </c>
      <c r="H150" s="49">
        <f>'Ch5'!W152</f>
        <v>0</v>
      </c>
      <c r="I150" s="49">
        <f>'Ch5'!O152</f>
        <v>0</v>
      </c>
      <c r="J150" s="822" t="s">
        <v>4192</v>
      </c>
    </row>
    <row r="151" spans="1:10" x14ac:dyDescent="0.35">
      <c r="A151" s="403" t="str">
        <f>A150</f>
        <v/>
      </c>
      <c r="B151" t="str">
        <f>IF(LEN('Ch5'!H153)=0,"",'Ch5'!H153)</f>
        <v/>
      </c>
      <c r="C151" t="str">
        <f t="shared" si="2"/>
        <v/>
      </c>
      <c r="D151" s="452"/>
      <c r="E151" s="461"/>
      <c r="F151" s="461"/>
      <c r="G151" s="709"/>
      <c r="J151" s="822"/>
    </row>
    <row r="152" spans="1:10" ht="15" customHeight="1" x14ac:dyDescent="0.35">
      <c r="A152" s="403" t="str">
        <f>IF(AND(LEN('Ch5'!W154)&gt;0,NOT('Ch5'!W154=FALSE)),"P","")</f>
        <v/>
      </c>
      <c r="B152" t="str">
        <f>IF(LEN('Ch5'!H154)=0,"",'Ch5'!H154)</f>
        <v/>
      </c>
      <c r="C152" t="str">
        <f t="shared" si="2"/>
        <v/>
      </c>
      <c r="D152" s="452"/>
      <c r="E152" s="441" t="s">
        <v>459</v>
      </c>
      <c r="F152" s="452"/>
      <c r="G152" s="707" t="s">
        <v>460</v>
      </c>
      <c r="H152" s="49">
        <f>'Ch5'!W154</f>
        <v>0</v>
      </c>
      <c r="I152" s="49">
        <f>'Ch5'!O154</f>
        <v>0</v>
      </c>
      <c r="J152" s="813" t="s">
        <v>4158</v>
      </c>
    </row>
    <row r="153" spans="1:10" x14ac:dyDescent="0.35">
      <c r="A153" s="403" t="str">
        <f>A152</f>
        <v/>
      </c>
      <c r="B153" t="str">
        <f>IF(LEN('Ch5'!H155)=0,"",'Ch5'!H155)</f>
        <v/>
      </c>
      <c r="C153" t="str">
        <f t="shared" si="2"/>
        <v/>
      </c>
      <c r="D153" s="452"/>
      <c r="E153" s="461"/>
      <c r="F153" s="461"/>
      <c r="G153" s="709"/>
      <c r="J153" s="813"/>
    </row>
    <row r="154" spans="1:10" ht="15" customHeight="1" x14ac:dyDescent="0.35">
      <c r="A154" s="403" t="str">
        <f>IF(AND(LEN('Ch5'!W156)&gt;0,NOT('Ch5'!W156=FALSE)),"P","")</f>
        <v/>
      </c>
      <c r="B154" t="str">
        <f>IF(LEN('Ch5'!H156)=0,"",'Ch5'!H156)</f>
        <v/>
      </c>
      <c r="C154" t="str">
        <f t="shared" si="2"/>
        <v/>
      </c>
      <c r="D154" s="452"/>
      <c r="E154" s="441" t="s">
        <v>461</v>
      </c>
      <c r="F154" s="452"/>
      <c r="G154" s="707" t="s">
        <v>462</v>
      </c>
      <c r="H154" s="49">
        <f>'Ch5'!W156</f>
        <v>0</v>
      </c>
      <c r="I154" s="49">
        <f>'Ch5'!O156</f>
        <v>0</v>
      </c>
      <c r="J154" s="813" t="s">
        <v>4158</v>
      </c>
    </row>
    <row r="155" spans="1:10" ht="15" thickBot="1" x14ac:dyDescent="0.4">
      <c r="A155" s="403" t="str">
        <f>A154</f>
        <v/>
      </c>
      <c r="B155" t="str">
        <f>IF(LEN('Ch5'!H157)=0,"",'Ch5'!H157)</f>
        <v/>
      </c>
      <c r="C155" t="str">
        <f t="shared" si="2"/>
        <v/>
      </c>
      <c r="D155" s="453"/>
      <c r="E155" s="453"/>
      <c r="F155" s="453"/>
      <c r="G155" s="708"/>
      <c r="J155" s="813"/>
    </row>
    <row r="156" spans="1:10" ht="15" customHeight="1" thickTop="1" x14ac:dyDescent="0.35">
      <c r="A156" s="403" t="str">
        <f>IF('Ch5'!O158&gt;0,"P","")</f>
        <v>P</v>
      </c>
      <c r="B156" t="str">
        <f>IF(LEN('Ch5'!H158)=0,"",'Ch5'!H158)</f>
        <v/>
      </c>
      <c r="C156" t="str">
        <f t="shared" si="2"/>
        <v>P</v>
      </c>
      <c r="D156" s="33">
        <v>503.6</v>
      </c>
      <c r="E156" s="452"/>
      <c r="F156" s="452"/>
      <c r="G156" s="706" t="s">
        <v>464</v>
      </c>
      <c r="I156" s="49">
        <f>'Ch5'!O158</f>
        <v>6</v>
      </c>
      <c r="J156" s="804" t="s">
        <v>4742</v>
      </c>
    </row>
    <row r="157" spans="1:10" x14ac:dyDescent="0.35">
      <c r="A157" s="403" t="str">
        <f>A156</f>
        <v>P</v>
      </c>
      <c r="B157" t="str">
        <f>IF(LEN('Ch5'!H159)=0,"",'Ch5'!H159)</f>
        <v/>
      </c>
      <c r="C157" t="str">
        <f t="shared" si="2"/>
        <v>P</v>
      </c>
      <c r="D157" s="452"/>
      <c r="E157" s="452"/>
      <c r="F157" s="452"/>
      <c r="G157" s="706"/>
      <c r="J157" s="806"/>
    </row>
    <row r="158" spans="1:10" x14ac:dyDescent="0.35">
      <c r="B158" t="str">
        <f>IF(LEN('Ch5'!H160)=0,"",'Ch5'!H160)</f>
        <v/>
      </c>
      <c r="C158" t="str">
        <f t="shared" si="2"/>
        <v/>
      </c>
      <c r="D158" s="452"/>
      <c r="E158" s="459" t="s">
        <v>270</v>
      </c>
      <c r="F158" s="461"/>
      <c r="G158" s="116" t="s">
        <v>465</v>
      </c>
      <c r="H158" s="49" t="b">
        <f>'Ch5'!W160</f>
        <v>1</v>
      </c>
      <c r="J158" s="495"/>
    </row>
    <row r="159" spans="1:10" x14ac:dyDescent="0.35">
      <c r="B159" t="str">
        <f>IF(LEN('Ch5'!H161)=0,"",'Ch5'!H161)</f>
        <v/>
      </c>
      <c r="C159" t="str">
        <f t="shared" si="2"/>
        <v/>
      </c>
      <c r="D159" s="452"/>
      <c r="E159" s="459" t="s">
        <v>272</v>
      </c>
      <c r="F159" s="461"/>
      <c r="G159" s="116" t="s">
        <v>466</v>
      </c>
      <c r="H159" s="49" t="b">
        <f>'Ch5'!W161</f>
        <v>1</v>
      </c>
      <c r="J159" s="495"/>
    </row>
    <row r="160" spans="1:10" ht="15" customHeight="1" x14ac:dyDescent="0.35">
      <c r="B160" t="str">
        <f>IF(LEN('Ch5'!H162)=0,"",'Ch5'!H162)</f>
        <v/>
      </c>
      <c r="C160" t="str">
        <f t="shared" si="2"/>
        <v/>
      </c>
      <c r="D160" s="452"/>
      <c r="E160" s="441" t="s">
        <v>274</v>
      </c>
      <c r="F160" s="452"/>
      <c r="G160" s="707" t="s">
        <v>467</v>
      </c>
      <c r="H160" s="49">
        <f>'Ch5'!W162</f>
        <v>0</v>
      </c>
      <c r="J160" s="495"/>
    </row>
    <row r="161" spans="1:10" x14ac:dyDescent="0.35">
      <c r="B161" t="str">
        <f>IF(LEN('Ch5'!H163)=0,"",'Ch5'!H163)</f>
        <v/>
      </c>
      <c r="C161" t="str">
        <f t="shared" si="2"/>
        <v/>
      </c>
      <c r="D161" s="452"/>
      <c r="E161" s="461"/>
      <c r="F161" s="461"/>
      <c r="G161" s="709"/>
      <c r="J161" s="495"/>
    </row>
    <row r="162" spans="1:10" ht="15" thickBot="1" x14ac:dyDescent="0.4">
      <c r="B162" t="str">
        <f>IF(LEN('Ch5'!H164)=0,"",'Ch5'!H164)</f>
        <v/>
      </c>
      <c r="C162" t="str">
        <f t="shared" si="2"/>
        <v/>
      </c>
      <c r="D162" s="453"/>
      <c r="E162" s="446" t="s">
        <v>283</v>
      </c>
      <c r="F162" s="453"/>
      <c r="G162" s="56" t="s">
        <v>468</v>
      </c>
      <c r="H162" s="49">
        <f>'Ch5'!W164</f>
        <v>0</v>
      </c>
      <c r="J162" s="495"/>
    </row>
    <row r="163" spans="1:10" ht="15.75" customHeight="1" thickTop="1" x14ac:dyDescent="0.35">
      <c r="A163" s="403" t="str">
        <f>IF('Ch5'!O165&gt;0,"P","")</f>
        <v/>
      </c>
      <c r="B163" t="str">
        <f>IF(LEN('Ch5'!H165)=0,"",'Ch5'!H165)</f>
        <v/>
      </c>
      <c r="C163" t="str">
        <f t="shared" si="2"/>
        <v/>
      </c>
      <c r="D163" s="33">
        <v>503.7</v>
      </c>
      <c r="E163" s="452"/>
      <c r="F163" s="452"/>
      <c r="G163" s="706" t="s">
        <v>470</v>
      </c>
      <c r="H163" s="49">
        <f>'Ch5'!W165</f>
        <v>0</v>
      </c>
      <c r="I163" s="49">
        <f>'Ch5'!O165</f>
        <v>0</v>
      </c>
      <c r="J163" s="485"/>
    </row>
    <row r="164" spans="1:10" x14ac:dyDescent="0.35">
      <c r="A164" s="403" t="str">
        <f>A163</f>
        <v/>
      </c>
      <c r="B164" t="str">
        <f>IF(LEN('Ch5'!H166)=0,"",'Ch5'!H166)</f>
        <v/>
      </c>
      <c r="C164" t="str">
        <f t="shared" si="2"/>
        <v/>
      </c>
      <c r="D164" s="452"/>
      <c r="E164" s="452"/>
      <c r="F164" s="452"/>
      <c r="G164" s="706"/>
      <c r="J164" s="485"/>
    </row>
    <row r="165" spans="1:10" ht="15" customHeight="1" x14ac:dyDescent="0.35">
      <c r="A165" s="403" t="str">
        <f t="shared" ref="A165:A168" si="3">A164</f>
        <v/>
      </c>
      <c r="B165" t="str">
        <f>IF(LEN('Ch5'!H167)=0,"",'Ch5'!H167)</f>
        <v/>
      </c>
      <c r="C165" t="str">
        <f t="shared" si="2"/>
        <v/>
      </c>
      <c r="D165" s="452"/>
      <c r="E165" s="441" t="s">
        <v>270</v>
      </c>
      <c r="F165" s="452"/>
      <c r="G165" s="707" t="s">
        <v>471</v>
      </c>
      <c r="J165" s="814" t="s">
        <v>4162</v>
      </c>
    </row>
    <row r="166" spans="1:10" ht="23.25" customHeight="1" x14ac:dyDescent="0.35">
      <c r="A166" s="403" t="str">
        <f t="shared" si="3"/>
        <v/>
      </c>
      <c r="B166" t="str">
        <f>IF(LEN('Ch5'!H168)=0,"",'Ch5'!H168)</f>
        <v/>
      </c>
      <c r="C166" t="str">
        <f t="shared" si="2"/>
        <v/>
      </c>
      <c r="D166" s="452"/>
      <c r="E166" s="459"/>
      <c r="F166" s="461"/>
      <c r="G166" s="709"/>
      <c r="J166" s="814"/>
    </row>
    <row r="167" spans="1:10" x14ac:dyDescent="0.35">
      <c r="A167" s="403" t="str">
        <f t="shared" si="3"/>
        <v/>
      </c>
      <c r="B167" t="str">
        <f>IF(LEN('Ch5'!H169)=0,"",'Ch5'!H169)</f>
        <v/>
      </c>
      <c r="C167" t="str">
        <f t="shared" si="2"/>
        <v/>
      </c>
      <c r="D167" s="452"/>
      <c r="E167" s="441" t="s">
        <v>272</v>
      </c>
      <c r="F167" s="452"/>
      <c r="G167" s="707" t="s">
        <v>472</v>
      </c>
      <c r="J167" s="814" t="s">
        <v>4163</v>
      </c>
    </row>
    <row r="168" spans="1:10" ht="62.25" customHeight="1" thickBot="1" x14ac:dyDescent="0.4">
      <c r="A168" s="403" t="str">
        <f t="shared" si="3"/>
        <v/>
      </c>
      <c r="B168" t="str">
        <f>IF(LEN('Ch5'!H170)=0,"",'Ch5'!H170)</f>
        <v/>
      </c>
      <c r="C168" t="str">
        <f t="shared" si="2"/>
        <v/>
      </c>
      <c r="D168" s="453"/>
      <c r="E168" s="453"/>
      <c r="F168" s="453"/>
      <c r="G168" s="708"/>
      <c r="J168" s="814"/>
    </row>
    <row r="169" spans="1:10" ht="15.75" customHeight="1" thickTop="1" x14ac:dyDescent="0.35">
      <c r="A169" s="403" t="str">
        <f ca="1">IF('Ch5'!O171&gt;0,"P","")</f>
        <v/>
      </c>
      <c r="B169" t="str">
        <f>IF(LEN('Ch5'!H171)=0,"",'Ch5'!H171)</f>
        <v/>
      </c>
      <c r="C169" t="str">
        <f t="shared" ca="1" si="2"/>
        <v/>
      </c>
      <c r="D169" s="33">
        <v>503.8</v>
      </c>
      <c r="E169" s="452"/>
      <c r="F169" s="452"/>
      <c r="G169" s="706" t="s">
        <v>474</v>
      </c>
      <c r="I169" s="49">
        <f ca="1">'Ch5'!O171</f>
        <v>0</v>
      </c>
      <c r="J169" s="813" t="s">
        <v>4331</v>
      </c>
    </row>
    <row r="170" spans="1:10" x14ac:dyDescent="0.35">
      <c r="A170" s="403" t="str">
        <f ca="1">A169</f>
        <v/>
      </c>
      <c r="B170" t="str">
        <f>IF(LEN('Ch5'!H172)=0,"",'Ch5'!H172)</f>
        <v/>
      </c>
      <c r="C170" t="str">
        <f t="shared" ca="1" si="2"/>
        <v/>
      </c>
      <c r="D170" s="452"/>
      <c r="E170" s="452"/>
      <c r="F170" s="452"/>
      <c r="G170" s="706"/>
      <c r="H170" s="49">
        <f>'Ch5'!W172</f>
        <v>0</v>
      </c>
      <c r="J170" s="813"/>
    </row>
    <row r="171" spans="1:10" x14ac:dyDescent="0.35">
      <c r="A171" s="403" t="str">
        <f ca="1">A170</f>
        <v/>
      </c>
      <c r="B171" t="str">
        <f>IF(LEN('Ch5'!H173)=0,"",'Ch5'!H173)</f>
        <v/>
      </c>
      <c r="C171" t="str">
        <f t="shared" ca="1" si="2"/>
        <v/>
      </c>
      <c r="D171" s="452"/>
      <c r="E171" s="452"/>
      <c r="F171" s="452"/>
      <c r="G171" s="706"/>
      <c r="J171" s="813"/>
    </row>
    <row r="172" spans="1:10" ht="15.75" customHeight="1" x14ac:dyDescent="0.35">
      <c r="B172" t="str">
        <f>IF(LEN('Ch5'!H174)=0,"",'Ch5'!H174)</f>
        <v/>
      </c>
      <c r="C172" t="str">
        <f t="shared" si="2"/>
        <v/>
      </c>
      <c r="D172" s="452"/>
      <c r="E172" s="452"/>
      <c r="F172" s="452"/>
      <c r="G172" s="707" t="s">
        <v>475</v>
      </c>
      <c r="J172" s="485"/>
    </row>
    <row r="173" spans="1:10" x14ac:dyDescent="0.35">
      <c r="B173" t="str">
        <f>IF(LEN('Ch5'!H175)=0,"",'Ch5'!H175)</f>
        <v/>
      </c>
      <c r="C173" t="str">
        <f t="shared" si="2"/>
        <v/>
      </c>
      <c r="D173" s="452"/>
      <c r="E173" s="452"/>
      <c r="F173" s="452"/>
      <c r="G173" s="707"/>
      <c r="J173" s="485"/>
    </row>
    <row r="174" spans="1:10" ht="18.5" x14ac:dyDescent="0.35">
      <c r="A174" s="403" t="s">
        <v>4326</v>
      </c>
      <c r="B174" t="str">
        <f>IF(LEN('Ch5'!H176)=0,"",'Ch5'!H176)</f>
        <v/>
      </c>
      <c r="C174" t="str">
        <f t="shared" si="2"/>
        <v>P</v>
      </c>
      <c r="D174" s="42" t="s">
        <v>477</v>
      </c>
      <c r="E174" s="42"/>
      <c r="F174" s="42"/>
      <c r="G174" s="47"/>
      <c r="H174" s="47"/>
      <c r="I174" s="47"/>
      <c r="J174" s="494"/>
    </row>
    <row r="175" spans="1:10" ht="15.75" customHeight="1" x14ac:dyDescent="0.35">
      <c r="B175" t="str">
        <f>IF(LEN('Ch5'!H177)=0,"",'Ch5'!H177)</f>
        <v/>
      </c>
      <c r="C175" t="str">
        <f t="shared" si="2"/>
        <v/>
      </c>
      <c r="D175" s="441" t="s">
        <v>476</v>
      </c>
      <c r="E175" s="452"/>
      <c r="F175" s="452"/>
      <c r="G175" s="706" t="s">
        <v>478</v>
      </c>
      <c r="J175" s="485"/>
    </row>
    <row r="176" spans="1:10" ht="15" thickBot="1" x14ac:dyDescent="0.4">
      <c r="B176" t="str">
        <f>IF(LEN('Ch5'!H178)=0,"",'Ch5'!H178)</f>
        <v/>
      </c>
      <c r="C176" t="str">
        <f t="shared" si="2"/>
        <v/>
      </c>
      <c r="D176" s="453"/>
      <c r="E176" s="453"/>
      <c r="F176" s="453"/>
      <c r="G176" s="710"/>
      <c r="J176" s="485"/>
    </row>
    <row r="177" spans="1:10" ht="15.75" customHeight="1" thickTop="1" x14ac:dyDescent="0.35">
      <c r="A177" s="403" t="str">
        <f>IF(AND(LEN('Ch5'!W179)&gt;0,NOT('Ch5'!W179=FALSE)),"P","")</f>
        <v/>
      </c>
      <c r="B177" t="str">
        <f>IF(LEN('Ch5'!H179)=0,"",'Ch5'!H179)</f>
        <v/>
      </c>
      <c r="C177" t="str">
        <f t="shared" si="2"/>
        <v/>
      </c>
      <c r="D177" s="454" t="s">
        <v>479</v>
      </c>
      <c r="E177" s="462"/>
      <c r="F177" s="462"/>
      <c r="G177" s="711" t="s">
        <v>480</v>
      </c>
      <c r="H177" s="49">
        <f>'Ch5'!W179</f>
        <v>0</v>
      </c>
      <c r="I177" s="49">
        <f>'Ch5'!O179</f>
        <v>0</v>
      </c>
      <c r="J177" s="804" t="s">
        <v>4743</v>
      </c>
    </row>
    <row r="178" spans="1:10" x14ac:dyDescent="0.35">
      <c r="A178" s="403" t="str">
        <f>A177</f>
        <v/>
      </c>
      <c r="B178" t="str">
        <f>IF(LEN('Ch5'!H180)=0,"",'Ch5'!H180)</f>
        <v/>
      </c>
      <c r="C178" t="str">
        <f t="shared" si="2"/>
        <v/>
      </c>
      <c r="D178" s="452"/>
      <c r="E178" s="452"/>
      <c r="F178" s="452"/>
      <c r="G178" s="706"/>
      <c r="J178" s="805"/>
    </row>
    <row r="179" spans="1:10" x14ac:dyDescent="0.35">
      <c r="A179" s="403" t="str">
        <f>A178</f>
        <v/>
      </c>
      <c r="B179" t="str">
        <f>IF(LEN('Ch5'!H181)=0,"",'Ch5'!H181)</f>
        <v/>
      </c>
      <c r="C179" t="str">
        <f t="shared" si="2"/>
        <v/>
      </c>
      <c r="D179" s="452"/>
      <c r="E179" s="452"/>
      <c r="F179" s="452"/>
      <c r="G179" s="706"/>
      <c r="J179" s="805"/>
    </row>
    <row r="180" spans="1:10" x14ac:dyDescent="0.35">
      <c r="A180" s="403" t="str">
        <f>A179</f>
        <v/>
      </c>
      <c r="B180" t="str">
        <f>IF(LEN('Ch5'!H182)=0,"",'Ch5'!H182)</f>
        <v/>
      </c>
      <c r="C180" t="str">
        <f t="shared" si="2"/>
        <v/>
      </c>
      <c r="D180" s="452"/>
      <c r="E180" s="452"/>
      <c r="F180" s="452"/>
      <c r="G180" s="706"/>
      <c r="J180" s="806"/>
    </row>
    <row r="181" spans="1:10" ht="15" thickBot="1" x14ac:dyDescent="0.4">
      <c r="B181" t="str">
        <f>IF(LEN('Ch5'!H183)=0,"",'Ch5'!H183)</f>
        <v/>
      </c>
      <c r="C181" t="str">
        <f t="shared" si="2"/>
        <v/>
      </c>
      <c r="D181" s="453"/>
      <c r="E181" s="453"/>
      <c r="F181" s="453"/>
      <c r="G181" s="122" t="s">
        <v>838</v>
      </c>
      <c r="J181" s="485"/>
    </row>
    <row r="182" spans="1:10" ht="15" customHeight="1" thickTop="1" x14ac:dyDescent="0.35">
      <c r="A182" s="600" t="str">
        <f>IF(COUNTIF(A184:A187,"P")&gt;0,"P","")</f>
        <v/>
      </c>
      <c r="B182" t="str">
        <f>IF(LEN('Ch5'!H184)=0,"",'Ch5'!H184)</f>
        <v/>
      </c>
      <c r="C182" t="str">
        <f t="shared" si="2"/>
        <v/>
      </c>
      <c r="D182" s="454" t="s">
        <v>481</v>
      </c>
      <c r="E182" s="462"/>
      <c r="F182" s="462"/>
      <c r="G182" s="711" t="s">
        <v>482</v>
      </c>
      <c r="J182" s="485"/>
    </row>
    <row r="183" spans="1:10" x14ac:dyDescent="0.35">
      <c r="A183" s="403" t="str">
        <f>A182</f>
        <v/>
      </c>
      <c r="B183" t="str">
        <f>IF(LEN('Ch5'!H185)=0,"",'Ch5'!H185)</f>
        <v/>
      </c>
      <c r="C183" t="str">
        <f t="shared" si="2"/>
        <v/>
      </c>
      <c r="D183" s="452"/>
      <c r="E183" s="452"/>
      <c r="F183" s="452"/>
      <c r="G183" s="706"/>
      <c r="J183" s="485"/>
    </row>
    <row r="184" spans="1:10" ht="26" x14ac:dyDescent="0.35">
      <c r="A184" s="403" t="str">
        <f>IF(AND(LEN('Ch5'!W186)&gt;0,NOT('Ch5'!W186=FALSE)),"P","")</f>
        <v/>
      </c>
      <c r="B184" t="str">
        <f>IF(LEN('Ch5'!H186)=0,"",'Ch5'!H186)</f>
        <v/>
      </c>
      <c r="C184" t="str">
        <f t="shared" si="2"/>
        <v/>
      </c>
      <c r="D184" s="452"/>
      <c r="E184" s="459" t="s">
        <v>270</v>
      </c>
      <c r="F184" s="461"/>
      <c r="G184" s="116" t="s">
        <v>483</v>
      </c>
      <c r="H184" s="49">
        <f>'Ch5'!W186</f>
        <v>0</v>
      </c>
      <c r="I184" s="49">
        <f>'Ch5'!O186</f>
        <v>0</v>
      </c>
      <c r="J184" s="495" t="s">
        <v>4164</v>
      </c>
    </row>
    <row r="185" spans="1:10" ht="15" customHeight="1" x14ac:dyDescent="0.35">
      <c r="A185" s="403" t="str">
        <f>IF(AND(LEN('Ch5'!W187)&gt;0,NOT('Ch5'!W187=FALSE)),"P","")</f>
        <v/>
      </c>
      <c r="B185" t="str">
        <f>IF(LEN('Ch5'!H187)=0,"",'Ch5'!H187)</f>
        <v/>
      </c>
      <c r="C185" t="str">
        <f t="shared" si="2"/>
        <v/>
      </c>
      <c r="D185" s="452"/>
      <c r="E185" s="441" t="s">
        <v>272</v>
      </c>
      <c r="F185" s="452"/>
      <c r="G185" s="707" t="s">
        <v>484</v>
      </c>
      <c r="H185" s="49">
        <f>'Ch5'!W187</f>
        <v>0</v>
      </c>
      <c r="I185" s="49">
        <f>'Ch5'!O187</f>
        <v>0</v>
      </c>
      <c r="J185" s="814" t="s">
        <v>4165</v>
      </c>
    </row>
    <row r="186" spans="1:10" x14ac:dyDescent="0.35">
      <c r="A186" s="403" t="str">
        <f>A185</f>
        <v/>
      </c>
      <c r="B186" t="str">
        <f>IF(LEN('Ch5'!H188)=0,"",'Ch5'!H188)</f>
        <v/>
      </c>
      <c r="C186" t="str">
        <f t="shared" si="2"/>
        <v/>
      </c>
      <c r="D186" s="452"/>
      <c r="E186" s="459"/>
      <c r="F186" s="461"/>
      <c r="G186" s="709"/>
      <c r="J186" s="814"/>
    </row>
    <row r="187" spans="1:10" ht="15" customHeight="1" x14ac:dyDescent="0.35">
      <c r="A187" s="403" t="str">
        <f>IF(AND(LEN('Ch5'!W189)&gt;0,NOT('Ch5'!W189=FALSE)),"P","")</f>
        <v/>
      </c>
      <c r="B187" t="str">
        <f>IF(LEN('Ch5'!H189)=0,"",'Ch5'!H189)</f>
        <v/>
      </c>
      <c r="C187" t="str">
        <f t="shared" si="2"/>
        <v/>
      </c>
      <c r="D187" s="452"/>
      <c r="E187" s="441" t="s">
        <v>274</v>
      </c>
      <c r="F187" s="452"/>
      <c r="G187" s="707" t="s">
        <v>485</v>
      </c>
      <c r="H187" s="49">
        <f>'Ch5'!W189</f>
        <v>0</v>
      </c>
      <c r="I187" s="49">
        <f>'Ch5'!O189</f>
        <v>0</v>
      </c>
      <c r="J187" s="814" t="s">
        <v>4166</v>
      </c>
    </row>
    <row r="188" spans="1:10" ht="39" customHeight="1" thickBot="1" x14ac:dyDescent="0.4">
      <c r="A188" s="403" t="str">
        <f>A187</f>
        <v/>
      </c>
      <c r="B188" t="str">
        <f>IF(LEN('Ch5'!H190)=0,"",'Ch5'!H190)</f>
        <v/>
      </c>
      <c r="C188" t="str">
        <f t="shared" si="2"/>
        <v/>
      </c>
      <c r="D188" s="453"/>
      <c r="E188" s="453"/>
      <c r="F188" s="453"/>
      <c r="G188" s="708"/>
      <c r="J188" s="814"/>
    </row>
    <row r="189" spans="1:10" ht="15" customHeight="1" thickTop="1" x14ac:dyDescent="0.35">
      <c r="A189" s="600" t="str">
        <f>IF(COUNTIF(A192:A215,"P")&gt;0,"P","")</f>
        <v>P</v>
      </c>
      <c r="B189" t="str">
        <f>IF(LEN('Ch5'!H191)=0,"",'Ch5'!H191)</f>
        <v/>
      </c>
      <c r="C189" t="str">
        <f t="shared" si="2"/>
        <v>P</v>
      </c>
      <c r="D189" s="441" t="s">
        <v>486</v>
      </c>
      <c r="E189" s="452"/>
      <c r="F189" s="452"/>
      <c r="G189" s="706" t="s">
        <v>487</v>
      </c>
      <c r="J189" s="485"/>
    </row>
    <row r="190" spans="1:10" x14ac:dyDescent="0.35">
      <c r="A190" s="403" t="str">
        <f>A189</f>
        <v>P</v>
      </c>
      <c r="B190" t="str">
        <f>IF(LEN('Ch5'!H192)=0,"",'Ch5'!H192)</f>
        <v/>
      </c>
      <c r="C190" t="str">
        <f t="shared" si="2"/>
        <v>P</v>
      </c>
      <c r="D190" s="452"/>
      <c r="E190" s="452"/>
      <c r="F190" s="452"/>
      <c r="G190" s="706"/>
      <c r="J190" s="485"/>
    </row>
    <row r="191" spans="1:10" x14ac:dyDescent="0.35">
      <c r="A191" s="403" t="str">
        <f>A190</f>
        <v>P</v>
      </c>
      <c r="B191" t="str">
        <f>IF(LEN('Ch5'!H193)=0,"",'Ch5'!H193)</f>
        <v/>
      </c>
      <c r="C191" t="str">
        <f t="shared" si="2"/>
        <v>P</v>
      </c>
      <c r="D191" s="452"/>
      <c r="E191" s="452"/>
      <c r="F191" s="452"/>
      <c r="G191" s="706"/>
      <c r="J191" s="485"/>
    </row>
    <row r="192" spans="1:10" ht="15" customHeight="1" x14ac:dyDescent="0.35">
      <c r="A192" s="403" t="str">
        <f>IF(AND(LEN('Ch5'!W194)&gt;0,NOT('Ch5'!W194=FALSE)),"P","")</f>
        <v>P</v>
      </c>
      <c r="B192" t="str">
        <f>IF(LEN('Ch5'!H194)=0,"",'Ch5'!H194)</f>
        <v/>
      </c>
      <c r="C192" t="str">
        <f t="shared" si="2"/>
        <v>P</v>
      </c>
      <c r="D192" s="452"/>
      <c r="E192" s="441" t="s">
        <v>270</v>
      </c>
      <c r="F192" s="452"/>
      <c r="G192" s="707" t="s">
        <v>488</v>
      </c>
      <c r="H192" s="49" t="b">
        <f>'Ch5'!W194</f>
        <v>1</v>
      </c>
      <c r="I192" s="49">
        <f>'Ch5'!O194</f>
        <v>5</v>
      </c>
      <c r="J192" s="813" t="s">
        <v>4167</v>
      </c>
    </row>
    <row r="193" spans="1:10" x14ac:dyDescent="0.35">
      <c r="A193" s="403" t="str">
        <f>A192</f>
        <v>P</v>
      </c>
      <c r="B193" t="str">
        <f>IF(LEN('Ch5'!H195)=0,"",'Ch5'!H195)</f>
        <v/>
      </c>
      <c r="C193" t="str">
        <f t="shared" si="2"/>
        <v>P</v>
      </c>
      <c r="D193" s="452"/>
      <c r="E193" s="459"/>
      <c r="F193" s="461"/>
      <c r="G193" s="709"/>
      <c r="J193" s="813"/>
    </row>
    <row r="194" spans="1:10" ht="26" x14ac:dyDescent="0.35">
      <c r="A194" s="403" t="str">
        <f>IF(AND(LEN('Ch5'!W196)&gt;0,NOT('Ch5'!W196=FALSE)),"P","")</f>
        <v>P</v>
      </c>
      <c r="B194" t="str">
        <f>IF(LEN('Ch5'!H196)=0,"",'Ch5'!H196)</f>
        <v/>
      </c>
      <c r="C194" t="str">
        <f t="shared" si="2"/>
        <v>P</v>
      </c>
      <c r="D194" s="452"/>
      <c r="E194" s="459" t="s">
        <v>272</v>
      </c>
      <c r="F194" s="461"/>
      <c r="G194" s="116" t="s">
        <v>489</v>
      </c>
      <c r="H194" s="49" t="b">
        <f>'Ch5'!W196</f>
        <v>1</v>
      </c>
      <c r="I194" s="49">
        <f>'Ch5'!O196</f>
        <v>5</v>
      </c>
      <c r="J194" s="495" t="s">
        <v>4168</v>
      </c>
    </row>
    <row r="195" spans="1:10" ht="15" customHeight="1" x14ac:dyDescent="0.35">
      <c r="A195" s="403" t="str">
        <f>IF(AND(LEN('Ch5'!W197)&gt;0,NOT('Ch5'!W197=FALSE)),"P","")</f>
        <v/>
      </c>
      <c r="B195" t="str">
        <f>IF(LEN('Ch5'!H197)=0,"",'Ch5'!H197)</f>
        <v/>
      </c>
      <c r="C195" t="str">
        <f t="shared" si="2"/>
        <v/>
      </c>
      <c r="D195" s="452"/>
      <c r="E195" s="441" t="s">
        <v>274</v>
      </c>
      <c r="F195" s="452"/>
      <c r="G195" s="707" t="s">
        <v>490</v>
      </c>
      <c r="H195" s="49">
        <f>'Ch5'!W197</f>
        <v>0</v>
      </c>
      <c r="I195" s="49">
        <f>'Ch5'!O197</f>
        <v>0</v>
      </c>
      <c r="J195" s="814" t="s">
        <v>4169</v>
      </c>
    </row>
    <row r="196" spans="1:10" x14ac:dyDescent="0.35">
      <c r="A196" s="403" t="str">
        <f>A195</f>
        <v/>
      </c>
      <c r="B196" t="str">
        <f>IF(LEN('Ch5'!H198)=0,"",'Ch5'!H198)</f>
        <v/>
      </c>
      <c r="C196" t="str">
        <f t="shared" si="2"/>
        <v/>
      </c>
      <c r="D196" s="452"/>
      <c r="E196" s="461"/>
      <c r="F196" s="461"/>
      <c r="G196" s="709"/>
      <c r="J196" s="814"/>
    </row>
    <row r="197" spans="1:10" ht="15" customHeight="1" x14ac:dyDescent="0.35">
      <c r="A197" s="403" t="str">
        <f>IF(AND(LEN('Ch5'!W199)&gt;0,NOT('Ch5'!W199=FALSE)),"P","")</f>
        <v/>
      </c>
      <c r="B197" t="str">
        <f>IF(LEN('Ch5'!H199)=0,"",'Ch5'!H199)</f>
        <v/>
      </c>
      <c r="C197" t="str">
        <f t="shared" si="2"/>
        <v/>
      </c>
      <c r="D197" s="452"/>
      <c r="E197" s="441" t="s">
        <v>283</v>
      </c>
      <c r="F197" s="452"/>
      <c r="G197" s="707" t="s">
        <v>491</v>
      </c>
      <c r="H197" s="49">
        <f>'Ch5'!W199</f>
        <v>0</v>
      </c>
      <c r="I197" s="49">
        <f>'Ch5'!O199</f>
        <v>0</v>
      </c>
      <c r="J197" s="814" t="s">
        <v>4170</v>
      </c>
    </row>
    <row r="198" spans="1:10" x14ac:dyDescent="0.35">
      <c r="A198" s="403" t="str">
        <f>A197</f>
        <v/>
      </c>
      <c r="B198" t="str">
        <f>IF(LEN('Ch5'!H200)=0,"",'Ch5'!H200)</f>
        <v/>
      </c>
      <c r="C198" t="str">
        <f t="shared" si="2"/>
        <v/>
      </c>
      <c r="D198" s="452"/>
      <c r="E198" s="461"/>
      <c r="F198" s="461"/>
      <c r="G198" s="709"/>
      <c r="J198" s="814"/>
    </row>
    <row r="199" spans="1:10" ht="15" customHeight="1" x14ac:dyDescent="0.35">
      <c r="A199" s="403" t="str">
        <f>IF(AND(LEN('Ch5'!W201)&gt;0,NOT('Ch5'!W201=FALSE)),"P","")</f>
        <v/>
      </c>
      <c r="B199" t="str">
        <f>IF(LEN('Ch5'!H201)=0,"",'Ch5'!H201)</f>
        <v/>
      </c>
      <c r="C199" t="str">
        <f t="shared" si="2"/>
        <v/>
      </c>
      <c r="D199" s="452"/>
      <c r="E199" s="441" t="s">
        <v>289</v>
      </c>
      <c r="F199" s="452"/>
      <c r="G199" s="707" t="s">
        <v>492</v>
      </c>
      <c r="H199" s="49">
        <f>'Ch5'!W201</f>
        <v>0</v>
      </c>
      <c r="I199" s="49">
        <f>'Ch5'!O201</f>
        <v>0</v>
      </c>
      <c r="J199" s="814" t="s">
        <v>4171</v>
      </c>
    </row>
    <row r="200" spans="1:10" x14ac:dyDescent="0.35">
      <c r="A200" s="403" t="str">
        <f>A199</f>
        <v/>
      </c>
      <c r="B200" t="str">
        <f>IF(LEN('Ch5'!H202)=0,"",'Ch5'!H202)</f>
        <v/>
      </c>
      <c r="C200" t="str">
        <f t="shared" si="2"/>
        <v/>
      </c>
      <c r="D200" s="452"/>
      <c r="E200" s="452"/>
      <c r="F200" s="452"/>
      <c r="G200" s="707"/>
      <c r="J200" s="814"/>
    </row>
    <row r="201" spans="1:10" x14ac:dyDescent="0.35">
      <c r="A201" s="403" t="str">
        <f>A200</f>
        <v/>
      </c>
      <c r="B201" t="str">
        <f>IF(LEN('Ch5'!H203)=0,"",'Ch5'!H203)</f>
        <v/>
      </c>
      <c r="C201" t="str">
        <f t="shared" ref="C201:C264" si="4">IF(LEN(B201)=0,IF(A201="P","P",""),B201)</f>
        <v/>
      </c>
      <c r="D201" s="452"/>
      <c r="E201" s="452"/>
      <c r="F201" s="452"/>
      <c r="G201" s="707"/>
      <c r="J201" s="814"/>
    </row>
    <row r="202" spans="1:10" x14ac:dyDescent="0.35">
      <c r="A202" s="403" t="str">
        <f>A201</f>
        <v/>
      </c>
      <c r="B202" t="str">
        <f>IF(LEN('Ch5'!H204)=0,"",'Ch5'!H204)</f>
        <v/>
      </c>
      <c r="C202" t="str">
        <f t="shared" si="4"/>
        <v/>
      </c>
      <c r="D202" s="452"/>
      <c r="E202" s="461"/>
      <c r="F202" s="461"/>
      <c r="G202" s="709"/>
      <c r="J202" s="814"/>
    </row>
    <row r="203" spans="1:10" ht="15" customHeight="1" x14ac:dyDescent="0.35">
      <c r="A203" s="403" t="str">
        <f>IF(AND(LEN('Ch5'!W205)&gt;0,NOT('Ch5'!W205=FALSE)),"P","")</f>
        <v/>
      </c>
      <c r="B203" t="str">
        <f>IF(LEN('Ch5'!H205)=0,"",'Ch5'!H205)</f>
        <v/>
      </c>
      <c r="C203" t="str">
        <f t="shared" si="4"/>
        <v/>
      </c>
      <c r="D203" s="452"/>
      <c r="E203" s="441" t="s">
        <v>291</v>
      </c>
      <c r="F203" s="452"/>
      <c r="G203" s="707" t="s">
        <v>493</v>
      </c>
      <c r="H203" s="49">
        <f>'Ch5'!W205</f>
        <v>0</v>
      </c>
      <c r="I203" s="49">
        <f>'Ch5'!O205</f>
        <v>0</v>
      </c>
      <c r="J203" s="813" t="s">
        <v>4172</v>
      </c>
    </row>
    <row r="204" spans="1:10" x14ac:dyDescent="0.35">
      <c r="A204" s="403" t="str">
        <f>A203</f>
        <v/>
      </c>
      <c r="B204" t="str">
        <f>IF(LEN('Ch5'!H206)=0,"",'Ch5'!H206)</f>
        <v/>
      </c>
      <c r="C204" t="str">
        <f t="shared" si="4"/>
        <v/>
      </c>
      <c r="D204" s="452"/>
      <c r="E204" s="452"/>
      <c r="F204" s="452"/>
      <c r="G204" s="707"/>
      <c r="J204" s="813"/>
    </row>
    <row r="205" spans="1:10" x14ac:dyDescent="0.35">
      <c r="A205" s="403" t="str">
        <f>A204</f>
        <v/>
      </c>
      <c r="B205" t="str">
        <f>IF(LEN('Ch5'!H207)=0,"",'Ch5'!H207)</f>
        <v/>
      </c>
      <c r="C205" t="str">
        <f t="shared" si="4"/>
        <v/>
      </c>
      <c r="D205" s="452"/>
      <c r="E205" s="461"/>
      <c r="F205" s="461"/>
      <c r="G205" s="709"/>
      <c r="J205" s="813"/>
    </row>
    <row r="206" spans="1:10" ht="52" x14ac:dyDescent="0.35">
      <c r="A206" s="403" t="str">
        <f>IF(AND(LEN('Ch5'!W208)&gt;0,NOT('Ch5'!W208=FALSE)),"P","")</f>
        <v/>
      </c>
      <c r="B206" t="str">
        <f>IF(LEN('Ch5'!H208)=0,"",'Ch5'!H208)</f>
        <v/>
      </c>
      <c r="C206" t="str">
        <f t="shared" si="4"/>
        <v/>
      </c>
      <c r="D206" s="452"/>
      <c r="E206" s="459" t="s">
        <v>403</v>
      </c>
      <c r="F206" s="461"/>
      <c r="G206" s="116" t="s">
        <v>494</v>
      </c>
      <c r="H206" s="49">
        <f>'Ch5'!W208</f>
        <v>0</v>
      </c>
      <c r="I206" s="49">
        <f>'Ch5'!O208</f>
        <v>0</v>
      </c>
      <c r="J206" s="495" t="s">
        <v>4173</v>
      </c>
    </row>
    <row r="207" spans="1:10" x14ac:dyDescent="0.35">
      <c r="A207" s="403" t="str">
        <f>IF('Ch5'!O209&gt;0,"P","")</f>
        <v/>
      </c>
      <c r="B207" t="str">
        <f>IF(LEN('Ch5'!H209)=0,"",'Ch5'!H209)</f>
        <v/>
      </c>
      <c r="C207" t="str">
        <f t="shared" si="4"/>
        <v/>
      </c>
      <c r="D207" s="452"/>
      <c r="E207" s="441" t="s">
        <v>453</v>
      </c>
      <c r="F207" s="452"/>
      <c r="G207" s="103" t="s">
        <v>3177</v>
      </c>
      <c r="I207" s="49">
        <f>'Ch5'!O209</f>
        <v>0</v>
      </c>
      <c r="J207" s="814" t="s">
        <v>4174</v>
      </c>
    </row>
    <row r="208" spans="1:10" ht="15" customHeight="1" x14ac:dyDescent="0.35">
      <c r="A208" s="403" t="str">
        <f t="shared" ref="A208:A213" si="5">A207</f>
        <v/>
      </c>
      <c r="B208" t="str">
        <f>IF(LEN('Ch5'!H210)=0,"",'Ch5'!H210)</f>
        <v/>
      </c>
      <c r="C208" t="str">
        <f t="shared" si="4"/>
        <v/>
      </c>
      <c r="D208" s="452"/>
      <c r="E208" s="452"/>
      <c r="F208" s="452"/>
      <c r="G208" s="103" t="s">
        <v>3183</v>
      </c>
      <c r="H208" s="49">
        <f>'Ch5'!W210</f>
        <v>0</v>
      </c>
      <c r="J208" s="814"/>
    </row>
    <row r="209" spans="1:10" x14ac:dyDescent="0.35">
      <c r="A209" s="403" t="str">
        <f t="shared" si="5"/>
        <v/>
      </c>
      <c r="B209" t="str">
        <f>IF(LEN('Ch5'!H211)=0,"",'Ch5'!H211)</f>
        <v/>
      </c>
      <c r="C209" t="str">
        <f t="shared" si="4"/>
        <v/>
      </c>
      <c r="D209" s="452"/>
      <c r="E209" s="452"/>
      <c r="F209" s="452"/>
      <c r="G209" s="103" t="s">
        <v>3182</v>
      </c>
      <c r="H209" s="49">
        <f>'Ch5'!W211</f>
        <v>0</v>
      </c>
      <c r="J209" s="814"/>
    </row>
    <row r="210" spans="1:10" x14ac:dyDescent="0.35">
      <c r="A210" s="403" t="str">
        <f t="shared" si="5"/>
        <v/>
      </c>
      <c r="B210" t="str">
        <f>IF(LEN('Ch5'!H212)=0,"",'Ch5'!H212)</f>
        <v/>
      </c>
      <c r="C210" t="str">
        <f t="shared" si="4"/>
        <v/>
      </c>
      <c r="D210" s="452"/>
      <c r="E210" s="452"/>
      <c r="F210" s="452"/>
      <c r="G210" s="103" t="s">
        <v>3181</v>
      </c>
      <c r="H210" s="49">
        <f>'Ch5'!W212</f>
        <v>0</v>
      </c>
      <c r="J210" s="814"/>
    </row>
    <row r="211" spans="1:10" x14ac:dyDescent="0.35">
      <c r="A211" s="403" t="str">
        <f t="shared" si="5"/>
        <v/>
      </c>
      <c r="B211" t="str">
        <f>IF(LEN('Ch5'!H213)=0,"",'Ch5'!H213)</f>
        <v/>
      </c>
      <c r="C211" t="str">
        <f t="shared" si="4"/>
        <v/>
      </c>
      <c r="D211" s="452"/>
      <c r="E211" s="452"/>
      <c r="F211" s="452"/>
      <c r="G211" s="103" t="s">
        <v>3180</v>
      </c>
      <c r="H211" s="49">
        <f>'Ch5'!W213</f>
        <v>0</v>
      </c>
      <c r="J211" s="814"/>
    </row>
    <row r="212" spans="1:10" x14ac:dyDescent="0.35">
      <c r="A212" s="403" t="str">
        <f t="shared" si="5"/>
        <v/>
      </c>
      <c r="B212" t="str">
        <f>IF(LEN('Ch5'!H214)=0,"",'Ch5'!H214)</f>
        <v/>
      </c>
      <c r="C212" t="str">
        <f t="shared" si="4"/>
        <v/>
      </c>
      <c r="D212" s="452"/>
      <c r="E212" s="452"/>
      <c r="F212" s="452"/>
      <c r="G212" s="103" t="s">
        <v>3179</v>
      </c>
      <c r="H212" s="49">
        <f>'Ch5'!W214</f>
        <v>0</v>
      </c>
      <c r="J212" s="814"/>
    </row>
    <row r="213" spans="1:10" x14ac:dyDescent="0.35">
      <c r="A213" s="403" t="str">
        <f t="shared" si="5"/>
        <v/>
      </c>
      <c r="B213" t="str">
        <f>IF(LEN('Ch5'!H215)=0,"",'Ch5'!H215)</f>
        <v/>
      </c>
      <c r="C213" t="str">
        <f t="shared" si="4"/>
        <v/>
      </c>
      <c r="D213" s="452"/>
      <c r="E213" s="452"/>
      <c r="F213" s="452"/>
      <c r="G213" s="103" t="s">
        <v>3178</v>
      </c>
      <c r="H213" s="49">
        <f>'Ch5'!W215</f>
        <v>0</v>
      </c>
      <c r="J213" s="814"/>
    </row>
    <row r="214" spans="1:10" x14ac:dyDescent="0.35">
      <c r="B214" t="str">
        <f>IF(LEN('Ch5'!H216)=0,"",'Ch5'!H216)</f>
        <v/>
      </c>
      <c r="C214" t="str">
        <f t="shared" si="4"/>
        <v/>
      </c>
      <c r="D214" s="452"/>
      <c r="E214" s="461"/>
      <c r="F214" s="461"/>
      <c r="G214" s="121" t="s">
        <v>3176</v>
      </c>
      <c r="J214" s="485"/>
    </row>
    <row r="215" spans="1:10" ht="26" x14ac:dyDescent="0.35">
      <c r="A215" s="403" t="str">
        <f>IF(AND(LEN('Ch5'!W217)&gt;0,NOT('Ch5'!W217=FALSE)),"P","")</f>
        <v>P</v>
      </c>
      <c r="B215" t="str">
        <f>IF(LEN('Ch5'!H217)=0,"",'Ch5'!H217)</f>
        <v/>
      </c>
      <c r="C215" t="str">
        <f t="shared" si="4"/>
        <v>P</v>
      </c>
      <c r="D215" s="452"/>
      <c r="E215" s="441" t="s">
        <v>455</v>
      </c>
      <c r="F215" s="452"/>
      <c r="G215" s="46" t="s">
        <v>495</v>
      </c>
      <c r="H215" s="49" t="b">
        <f>'Ch5'!W217</f>
        <v>1</v>
      </c>
      <c r="I215" s="49">
        <f>'Ch5'!O217</f>
        <v>3</v>
      </c>
      <c r="J215" s="495" t="s">
        <v>4744</v>
      </c>
    </row>
    <row r="216" spans="1:10" ht="18.5" x14ac:dyDescent="0.35">
      <c r="A216" s="403" t="s">
        <v>4326</v>
      </c>
      <c r="B216" t="str">
        <f>IF(LEN('Ch5'!H218)=0,"",'Ch5'!H218)</f>
        <v/>
      </c>
      <c r="C216" t="str">
        <f t="shared" si="4"/>
        <v>P</v>
      </c>
      <c r="D216" s="38" t="s">
        <v>497</v>
      </c>
      <c r="E216" s="38"/>
      <c r="F216" s="38"/>
      <c r="G216" s="47"/>
      <c r="H216" s="47"/>
      <c r="I216" s="47"/>
      <c r="J216" s="494"/>
    </row>
    <row r="217" spans="1:10" ht="15" customHeight="1" x14ac:dyDescent="0.35">
      <c r="B217" t="str">
        <f>IF(LEN('Ch5'!H219)=0,"",'Ch5'!H219)</f>
        <v/>
      </c>
      <c r="C217" t="str">
        <f t="shared" si="4"/>
        <v/>
      </c>
      <c r="D217" s="452" t="s">
        <v>4356</v>
      </c>
      <c r="E217" s="452"/>
      <c r="F217" s="452"/>
      <c r="G217" s="706" t="s">
        <v>498</v>
      </c>
      <c r="J217" s="485"/>
    </row>
    <row r="218" spans="1:10" x14ac:dyDescent="0.35">
      <c r="B218" t="str">
        <f>IF(LEN('Ch5'!H220)=0,"",'Ch5'!H220)</f>
        <v/>
      </c>
      <c r="C218" t="str">
        <f t="shared" si="4"/>
        <v/>
      </c>
      <c r="D218" s="452"/>
      <c r="E218" s="452"/>
      <c r="F218" s="452"/>
      <c r="G218" s="706"/>
      <c r="J218" s="485"/>
    </row>
    <row r="219" spans="1:10" ht="15" thickBot="1" x14ac:dyDescent="0.4">
      <c r="B219" t="str">
        <f>IF(LEN('Ch5'!H221)=0,"",'Ch5'!H221)</f>
        <v/>
      </c>
      <c r="C219" t="str">
        <f t="shared" si="4"/>
        <v/>
      </c>
      <c r="D219" s="453"/>
      <c r="E219" s="453"/>
      <c r="F219" s="453"/>
      <c r="G219" s="710"/>
      <c r="J219" s="485"/>
    </row>
    <row r="220" spans="1:10" ht="15" customHeight="1" thickTop="1" x14ac:dyDescent="0.35">
      <c r="A220" s="600" t="str">
        <f>IF(COUNTIF(A222:A229,"P")&gt;0,"P","")</f>
        <v/>
      </c>
      <c r="B220" t="str">
        <f>IF(LEN('Ch5'!H222)=0,"",'Ch5'!H222)</f>
        <v/>
      </c>
      <c r="C220" t="str">
        <f t="shared" si="4"/>
        <v/>
      </c>
      <c r="D220" s="441" t="s">
        <v>499</v>
      </c>
      <c r="E220" s="452"/>
      <c r="F220" s="452"/>
      <c r="G220" s="706" t="s">
        <v>500</v>
      </c>
      <c r="J220" s="485"/>
    </row>
    <row r="221" spans="1:10" x14ac:dyDescent="0.35">
      <c r="A221" s="403" t="str">
        <f>A220</f>
        <v/>
      </c>
      <c r="B221" t="str">
        <f>IF(LEN('Ch5'!H223)=0,"",'Ch5'!H223)</f>
        <v/>
      </c>
      <c r="C221" t="str">
        <f t="shared" si="4"/>
        <v/>
      </c>
      <c r="D221" s="452"/>
      <c r="E221" s="452"/>
      <c r="F221" s="452"/>
      <c r="G221" s="706"/>
      <c r="J221" s="485"/>
    </row>
    <row r="222" spans="1:10" ht="15" customHeight="1" x14ac:dyDescent="0.35">
      <c r="A222" s="403" t="str">
        <f>IF(AND(LEN('Ch5'!W224)&gt;0,NOT('Ch5'!W224=FALSE)),"P","")</f>
        <v/>
      </c>
      <c r="B222" t="str">
        <f>IF(LEN('Ch5'!H224)=0,"",'Ch5'!H224)</f>
        <v/>
      </c>
      <c r="C222" t="str">
        <f t="shared" si="4"/>
        <v/>
      </c>
      <c r="D222" s="452"/>
      <c r="E222" s="441" t="s">
        <v>270</v>
      </c>
      <c r="F222" s="452"/>
      <c r="G222" s="707" t="s">
        <v>501</v>
      </c>
      <c r="H222" s="49">
        <f>'Ch5'!W224</f>
        <v>0</v>
      </c>
      <c r="I222" s="49">
        <f>'Ch5'!O224</f>
        <v>0</v>
      </c>
      <c r="J222" s="813" t="s">
        <v>4175</v>
      </c>
    </row>
    <row r="223" spans="1:10" x14ac:dyDescent="0.35">
      <c r="A223" s="403" t="str">
        <f>A222</f>
        <v/>
      </c>
      <c r="B223" t="str">
        <f>IF(LEN('Ch5'!H225)=0,"",'Ch5'!H225)</f>
        <v/>
      </c>
      <c r="C223" t="str">
        <f t="shared" si="4"/>
        <v/>
      </c>
      <c r="D223" s="452"/>
      <c r="E223" s="459"/>
      <c r="F223" s="461"/>
      <c r="G223" s="709"/>
      <c r="J223" s="813"/>
    </row>
    <row r="224" spans="1:10" x14ac:dyDescent="0.35">
      <c r="A224" s="403" t="str">
        <f>IF(AND(LEN('Ch5'!W226)&gt;0,NOT('Ch5'!W226=FALSE)),"P","")</f>
        <v/>
      </c>
      <c r="B224" t="str">
        <f>IF(LEN('Ch5'!H226)=0,"",'Ch5'!H226)</f>
        <v/>
      </c>
      <c r="C224" t="str">
        <f t="shared" si="4"/>
        <v/>
      </c>
      <c r="D224" s="452"/>
      <c r="E224" s="459" t="s">
        <v>272</v>
      </c>
      <c r="F224" s="461"/>
      <c r="G224" s="116" t="s">
        <v>502</v>
      </c>
      <c r="H224" s="49">
        <f>'Ch5'!W226</f>
        <v>0</v>
      </c>
      <c r="I224" s="49">
        <f ca="1">'Ch5'!O226</f>
        <v>0</v>
      </c>
      <c r="J224" s="485" t="s">
        <v>4176</v>
      </c>
    </row>
    <row r="225" spans="1:10" x14ac:dyDescent="0.35">
      <c r="A225" s="403" t="str">
        <f>IF(AND(LEN('Ch5'!W227)&gt;0,NOT('Ch5'!W227=FALSE)),"P","")</f>
        <v/>
      </c>
      <c r="B225" t="str">
        <f>IF(LEN('Ch5'!H227)=0,"",'Ch5'!H227)</f>
        <v/>
      </c>
      <c r="C225" t="str">
        <f t="shared" si="4"/>
        <v/>
      </c>
      <c r="D225" s="452"/>
      <c r="E225" s="441" t="s">
        <v>274</v>
      </c>
      <c r="F225" s="452"/>
      <c r="G225" s="46" t="s">
        <v>503</v>
      </c>
      <c r="H225" s="49">
        <f>'Ch5'!W227</f>
        <v>0</v>
      </c>
      <c r="I225" s="49">
        <f ca="1">'Ch5'!O227</f>
        <v>0</v>
      </c>
      <c r="J225" s="485" t="s">
        <v>4177</v>
      </c>
    </row>
    <row r="226" spans="1:10" x14ac:dyDescent="0.35">
      <c r="B226" t="str">
        <f>IF(LEN('Ch5'!H228)=0,"",'Ch5'!H228)</f>
        <v/>
      </c>
      <c r="C226" t="str">
        <f t="shared" si="4"/>
        <v/>
      </c>
      <c r="E226" s="452"/>
      <c r="F226" s="441" t="s">
        <v>121</v>
      </c>
      <c r="G226" s="46" t="s">
        <v>504</v>
      </c>
      <c r="J226" s="485"/>
    </row>
    <row r="227" spans="1:10" x14ac:dyDescent="0.35">
      <c r="B227" t="str">
        <f>IF(LEN('Ch5'!H229)=0,"",'Ch5'!H229)</f>
        <v/>
      </c>
      <c r="C227" t="str">
        <f t="shared" si="4"/>
        <v/>
      </c>
      <c r="E227" s="452"/>
      <c r="F227" s="441" t="s">
        <v>122</v>
      </c>
      <c r="G227" s="46" t="s">
        <v>505</v>
      </c>
      <c r="J227" s="485"/>
    </row>
    <row r="228" spans="1:10" x14ac:dyDescent="0.35">
      <c r="B228" t="str">
        <f>IF(LEN('Ch5'!H230)=0,"",'Ch5'!H230)</f>
        <v/>
      </c>
      <c r="C228" t="str">
        <f t="shared" si="4"/>
        <v/>
      </c>
      <c r="E228" s="461"/>
      <c r="F228" s="463" t="s">
        <v>123</v>
      </c>
      <c r="G228" s="116" t="s">
        <v>411</v>
      </c>
      <c r="J228" s="485"/>
    </row>
    <row r="229" spans="1:10" ht="15" customHeight="1" x14ac:dyDescent="0.35">
      <c r="A229" s="403" t="str">
        <f>IF(AND(LEN('Ch5'!W231)&gt;0,NOT('Ch5'!W231=FALSE)),"P","")</f>
        <v/>
      </c>
      <c r="B229" t="str">
        <f>IF(LEN('Ch5'!H231)=0,"",'Ch5'!H231)</f>
        <v/>
      </c>
      <c r="C229" t="str">
        <f t="shared" si="4"/>
        <v/>
      </c>
      <c r="D229" s="452"/>
      <c r="E229" s="441" t="s">
        <v>283</v>
      </c>
      <c r="F229" s="452"/>
      <c r="G229" s="707" t="s">
        <v>506</v>
      </c>
      <c r="H229" s="49">
        <f>'Ch5'!W231</f>
        <v>0</v>
      </c>
      <c r="I229" s="49">
        <f ca="1">'Ch5'!O231</f>
        <v>0</v>
      </c>
      <c r="J229" s="813" t="s">
        <v>4178</v>
      </c>
    </row>
    <row r="230" spans="1:10" x14ac:dyDescent="0.35">
      <c r="A230" s="403" t="str">
        <f>A229</f>
        <v/>
      </c>
      <c r="B230" t="str">
        <f>IF(LEN('Ch5'!H232)=0,"",'Ch5'!H232)</f>
        <v/>
      </c>
      <c r="C230" t="str">
        <f t="shared" si="4"/>
        <v/>
      </c>
      <c r="D230" s="452"/>
      <c r="E230" s="452"/>
      <c r="F230" s="452"/>
      <c r="G230" s="707"/>
      <c r="J230" s="813"/>
    </row>
    <row r="231" spans="1:10" x14ac:dyDescent="0.35">
      <c r="B231" t="str">
        <f>IF(LEN('Ch5'!H233)=0,"",'Ch5'!H233)</f>
        <v/>
      </c>
      <c r="C231" t="str">
        <f t="shared" si="4"/>
        <v/>
      </c>
      <c r="E231" s="452"/>
      <c r="F231" s="441" t="s">
        <v>121</v>
      </c>
      <c r="G231" s="46" t="s">
        <v>507</v>
      </c>
      <c r="J231" s="485"/>
    </row>
    <row r="232" spans="1:10" x14ac:dyDescent="0.35">
      <c r="B232" t="str">
        <f>IF(LEN('Ch5'!H234)=0,"",'Ch5'!H234)</f>
        <v/>
      </c>
      <c r="C232" t="str">
        <f t="shared" si="4"/>
        <v/>
      </c>
      <c r="E232" s="452"/>
      <c r="F232" s="441" t="s">
        <v>122</v>
      </c>
      <c r="G232" s="46" t="s">
        <v>410</v>
      </c>
      <c r="J232" s="485"/>
    </row>
    <row r="233" spans="1:10" ht="15" thickBot="1" x14ac:dyDescent="0.4">
      <c r="B233" t="str">
        <f>IF(LEN('Ch5'!H235)=0,"",'Ch5'!H235)</f>
        <v/>
      </c>
      <c r="C233" t="str">
        <f t="shared" si="4"/>
        <v/>
      </c>
      <c r="D233" s="455"/>
      <c r="E233" s="453"/>
      <c r="F233" s="464" t="s">
        <v>123</v>
      </c>
      <c r="G233" s="56" t="s">
        <v>411</v>
      </c>
      <c r="J233" s="485"/>
    </row>
    <row r="234" spans="1:10" ht="15" thickTop="1" x14ac:dyDescent="0.35">
      <c r="A234" s="600" t="str">
        <f>IF(COUNTIF(A235:A245,"P")&gt;0,"P","")</f>
        <v>P</v>
      </c>
      <c r="B234" t="str">
        <f>IF(LEN('Ch5'!H236)=0,"",'Ch5'!H236)</f>
        <v/>
      </c>
      <c r="C234" t="str">
        <f t="shared" si="4"/>
        <v>P</v>
      </c>
      <c r="D234" s="454" t="s">
        <v>509</v>
      </c>
      <c r="E234" s="462"/>
      <c r="F234" s="462"/>
      <c r="G234" s="81" t="s">
        <v>510</v>
      </c>
      <c r="J234" s="485"/>
    </row>
    <row r="235" spans="1:10" ht="15" customHeight="1" x14ac:dyDescent="0.35">
      <c r="A235" s="403" t="str">
        <f>IF('Ch5'!O237&gt;0,"P","")</f>
        <v>P</v>
      </c>
      <c r="B235" t="str">
        <f>IF(LEN('Ch5'!H237)=0,"",'Ch5'!H237)</f>
        <v/>
      </c>
      <c r="C235" t="str">
        <f t="shared" si="4"/>
        <v>P</v>
      </c>
      <c r="D235" s="452"/>
      <c r="E235" s="441" t="s">
        <v>270</v>
      </c>
      <c r="F235" s="452"/>
      <c r="G235" s="707" t="s">
        <v>511</v>
      </c>
      <c r="I235" s="49">
        <f>'Ch5'!O237</f>
        <v>5</v>
      </c>
      <c r="J235" s="814" t="s">
        <v>4745</v>
      </c>
    </row>
    <row r="236" spans="1:10" x14ac:dyDescent="0.35">
      <c r="A236" s="403" t="str">
        <f>A235</f>
        <v>P</v>
      </c>
      <c r="B236" t="str">
        <f>IF(LEN('Ch5'!H238)=0,"",'Ch5'!H238)</f>
        <v/>
      </c>
      <c r="C236" t="str">
        <f t="shared" si="4"/>
        <v>P</v>
      </c>
      <c r="D236" s="452"/>
      <c r="E236" s="452"/>
      <c r="F236" s="452"/>
      <c r="G236" s="707"/>
      <c r="J236" s="814"/>
    </row>
    <row r="237" spans="1:10" ht="15" customHeight="1" x14ac:dyDescent="0.35">
      <c r="B237" t="str">
        <f>IF(LEN('Ch5'!H239)=0,"",'Ch5'!H239)</f>
        <v/>
      </c>
      <c r="C237" t="str">
        <f t="shared" si="4"/>
        <v/>
      </c>
      <c r="E237" s="452"/>
      <c r="F237" s="441" t="s">
        <v>121</v>
      </c>
      <c r="G237" s="707" t="s">
        <v>512</v>
      </c>
      <c r="H237" s="49">
        <f>'Ch5'!W239</f>
        <v>0</v>
      </c>
      <c r="J237" s="490"/>
    </row>
    <row r="238" spans="1:10" x14ac:dyDescent="0.35">
      <c r="B238" t="str">
        <f>IF(LEN('Ch5'!H240)=0,"",'Ch5'!H240)</f>
        <v/>
      </c>
      <c r="C238" t="str">
        <f t="shared" si="4"/>
        <v/>
      </c>
      <c r="E238" s="452"/>
      <c r="F238" s="452"/>
      <c r="G238" s="707"/>
      <c r="J238" s="490"/>
    </row>
    <row r="239" spans="1:10" x14ac:dyDescent="0.35">
      <c r="B239" t="str">
        <f>IF(LEN('Ch5'!H241)=0,"",'Ch5'!H241)</f>
        <v/>
      </c>
      <c r="C239" t="str">
        <f t="shared" si="4"/>
        <v/>
      </c>
      <c r="E239" s="452"/>
      <c r="F239" s="452"/>
      <c r="G239" s="707"/>
      <c r="J239" s="495"/>
    </row>
    <row r="240" spans="1:10" ht="15" customHeight="1" x14ac:dyDescent="0.35">
      <c r="B240" t="str">
        <f>IF(LEN('Ch5'!H242)=0,"",'Ch5'!H242)</f>
        <v/>
      </c>
      <c r="C240" t="str">
        <f t="shared" si="4"/>
        <v/>
      </c>
      <c r="E240" s="452"/>
      <c r="F240" s="441" t="s">
        <v>122</v>
      </c>
      <c r="G240" s="707" t="s">
        <v>513</v>
      </c>
      <c r="H240" s="49" t="b">
        <f>'Ch5'!W242</f>
        <v>1</v>
      </c>
      <c r="J240" s="495"/>
    </row>
    <row r="241" spans="1:10" x14ac:dyDescent="0.35">
      <c r="B241" t="str">
        <f>IF(LEN('Ch5'!H243)=0,"",'Ch5'!H243)</f>
        <v/>
      </c>
      <c r="C241" t="str">
        <f t="shared" si="4"/>
        <v/>
      </c>
      <c r="E241" s="452"/>
      <c r="F241" s="452"/>
      <c r="G241" s="707"/>
      <c r="J241" s="495"/>
    </row>
    <row r="242" spans="1:10" x14ac:dyDescent="0.35">
      <c r="B242" t="str">
        <f>IF(LEN('Ch5'!H244)=0,"",'Ch5'!H244)</f>
        <v/>
      </c>
      <c r="C242" t="str">
        <f t="shared" si="4"/>
        <v/>
      </c>
      <c r="E242" s="452"/>
      <c r="F242" s="452"/>
      <c r="G242" s="707"/>
      <c r="J242" s="495"/>
    </row>
    <row r="243" spans="1:10" x14ac:dyDescent="0.35">
      <c r="B243" t="str">
        <f>IF(LEN('Ch5'!H245)=0,"",'Ch5'!H245)</f>
        <v/>
      </c>
      <c r="C243" t="str">
        <f t="shared" si="4"/>
        <v/>
      </c>
      <c r="E243" s="452"/>
      <c r="F243" s="452"/>
      <c r="G243" s="707"/>
      <c r="J243" s="495"/>
    </row>
    <row r="244" spans="1:10" x14ac:dyDescent="0.35">
      <c r="B244" t="str">
        <f>IF(LEN('Ch5'!H246)=0,"",'Ch5'!H246)</f>
        <v/>
      </c>
      <c r="C244" t="str">
        <f t="shared" si="4"/>
        <v/>
      </c>
      <c r="E244" s="461"/>
      <c r="F244" s="463" t="s">
        <v>123</v>
      </c>
      <c r="G244" s="116" t="s">
        <v>514</v>
      </c>
      <c r="H244" s="49">
        <f>'Ch5'!W246</f>
        <v>0</v>
      </c>
      <c r="J244" s="495"/>
    </row>
    <row r="245" spans="1:10" ht="15" customHeight="1" x14ac:dyDescent="0.35">
      <c r="A245" s="403" t="str">
        <f>IF(AND(LEN('Ch5'!W247)&gt;0,NOT('Ch5'!W247=FALSE)),"P","")</f>
        <v/>
      </c>
      <c r="B245" t="str">
        <f>IF(LEN('Ch5'!H247)=0,"",'Ch5'!H247)</f>
        <v/>
      </c>
      <c r="C245" t="str">
        <f t="shared" si="4"/>
        <v/>
      </c>
      <c r="D245" s="452"/>
      <c r="E245" s="441" t="s">
        <v>272</v>
      </c>
      <c r="F245" s="452"/>
      <c r="G245" s="707" t="s">
        <v>515</v>
      </c>
      <c r="H245" s="49">
        <f>'Ch5'!W247</f>
        <v>0</v>
      </c>
      <c r="I245" s="49">
        <f>'Ch5'!O247</f>
        <v>0</v>
      </c>
      <c r="J245" s="813" t="s">
        <v>4179</v>
      </c>
    </row>
    <row r="246" spans="1:10" x14ac:dyDescent="0.35">
      <c r="A246" s="403" t="str">
        <f>A245</f>
        <v/>
      </c>
      <c r="B246" t="str">
        <f>IF(LEN('Ch5'!H248)=0,"",'Ch5'!H248)</f>
        <v/>
      </c>
      <c r="C246" t="str">
        <f t="shared" si="4"/>
        <v/>
      </c>
      <c r="D246" s="452"/>
      <c r="E246" s="452"/>
      <c r="F246" s="452"/>
      <c r="G246" s="707"/>
      <c r="J246" s="813"/>
    </row>
    <row r="247" spans="1:10" ht="15" thickBot="1" x14ac:dyDescent="0.4">
      <c r="A247" s="403" t="str">
        <f>A246</f>
        <v/>
      </c>
      <c r="B247" t="str">
        <f>IF(LEN('Ch5'!H249)=0,"",'Ch5'!H249)</f>
        <v/>
      </c>
      <c r="C247" t="str">
        <f t="shared" si="4"/>
        <v/>
      </c>
      <c r="D247" s="453"/>
      <c r="E247" s="453"/>
      <c r="F247" s="453"/>
      <c r="G247" s="708"/>
      <c r="J247" s="813"/>
    </row>
    <row r="248" spans="1:10" x14ac:dyDescent="0.35">
      <c r="A248" s="403" t="str">
        <f>IF(AND(LEN('Ch5'!W250)&gt;0,NOT('Ch5'!W250=FALSE)),"P","")</f>
        <v/>
      </c>
      <c r="B248" t="str">
        <f>IF(LEN('Ch5'!H250)=0,"",'Ch5'!H250)</f>
        <v/>
      </c>
      <c r="C248" t="str">
        <f t="shared" si="4"/>
        <v/>
      </c>
      <c r="D248" s="441" t="s">
        <v>516</v>
      </c>
      <c r="E248" s="452"/>
      <c r="F248" s="452"/>
      <c r="G248" s="48" t="s">
        <v>517</v>
      </c>
      <c r="H248" s="49">
        <f>'Ch5'!W250</f>
        <v>0</v>
      </c>
      <c r="I248" s="49">
        <f ca="1">'Ch5'!O250</f>
        <v>0</v>
      </c>
      <c r="J248" s="485" t="s">
        <v>4180</v>
      </c>
    </row>
    <row r="249" spans="1:10" x14ac:dyDescent="0.35">
      <c r="B249" t="str">
        <f>IF(LEN('Ch5'!H251)=0,"",'Ch5'!H251)</f>
        <v/>
      </c>
      <c r="C249" t="str">
        <f t="shared" si="4"/>
        <v/>
      </c>
      <c r="D249" s="452"/>
      <c r="E249" s="459" t="s">
        <v>270</v>
      </c>
      <c r="F249" s="461"/>
      <c r="G249" s="116" t="s">
        <v>518</v>
      </c>
      <c r="J249" s="485"/>
    </row>
    <row r="250" spans="1:10" x14ac:dyDescent="0.35">
      <c r="B250" t="str">
        <f>IF(LEN('Ch5'!H252)=0,"",'Ch5'!H252)</f>
        <v/>
      </c>
      <c r="C250" t="str">
        <f t="shared" si="4"/>
        <v/>
      </c>
      <c r="D250" s="452"/>
      <c r="E250" s="459" t="s">
        <v>272</v>
      </c>
      <c r="F250" s="461"/>
      <c r="G250" s="116" t="s">
        <v>519</v>
      </c>
      <c r="J250" s="485"/>
    </row>
    <row r="251" spans="1:10" x14ac:dyDescent="0.35">
      <c r="B251" t="str">
        <f>IF(LEN('Ch5'!H253)=0,"",'Ch5'!H253)</f>
        <v/>
      </c>
      <c r="C251" t="str">
        <f t="shared" si="4"/>
        <v/>
      </c>
      <c r="D251" s="452"/>
      <c r="E251" s="459" t="s">
        <v>274</v>
      </c>
      <c r="F251" s="461"/>
      <c r="G251" s="116" t="s">
        <v>520</v>
      </c>
      <c r="J251" s="485"/>
    </row>
    <row r="252" spans="1:10" x14ac:dyDescent="0.35">
      <c r="B252" t="str">
        <f>IF(LEN('Ch5'!H254)=0,"",'Ch5'!H254)</f>
        <v/>
      </c>
      <c r="C252" t="str">
        <f t="shared" si="4"/>
        <v/>
      </c>
      <c r="D252" s="452"/>
      <c r="E252" s="459" t="s">
        <v>283</v>
      </c>
      <c r="F252" s="461"/>
      <c r="G252" s="116" t="s">
        <v>521</v>
      </c>
      <c r="J252" s="485"/>
    </row>
    <row r="253" spans="1:10" ht="15" thickBot="1" x14ac:dyDescent="0.4">
      <c r="B253" t="str">
        <f>IF(LEN('Ch5'!H255)=0,"",'Ch5'!H255)</f>
        <v/>
      </c>
      <c r="C253" t="str">
        <f t="shared" si="4"/>
        <v/>
      </c>
      <c r="D253" s="453"/>
      <c r="E253" s="446" t="s">
        <v>289</v>
      </c>
      <c r="F253" s="453"/>
      <c r="G253" s="56" t="s">
        <v>522</v>
      </c>
      <c r="J253" s="485"/>
    </row>
    <row r="254" spans="1:10" ht="27" thickTop="1" thickBot="1" x14ac:dyDescent="0.4">
      <c r="A254" s="403" t="str">
        <f>IF(AND(LEN('Ch5'!W256)&gt;0,NOT('Ch5'!W256=FALSE)),"P","")</f>
        <v/>
      </c>
      <c r="B254" t="str">
        <f>IF(LEN('Ch5'!H256)=0,"",'Ch5'!H256)</f>
        <v/>
      </c>
      <c r="C254" t="str">
        <f t="shared" si="4"/>
        <v/>
      </c>
      <c r="D254" s="456" t="s">
        <v>523</v>
      </c>
      <c r="E254" s="465"/>
      <c r="F254" s="465"/>
      <c r="G254" s="73" t="s">
        <v>524</v>
      </c>
      <c r="H254" s="49">
        <f>'Ch5'!W256</f>
        <v>0</v>
      </c>
      <c r="I254" s="49">
        <f ca="1">'Ch5'!O256</f>
        <v>0</v>
      </c>
      <c r="J254" s="495" t="s">
        <v>4746</v>
      </c>
    </row>
    <row r="255" spans="1:10" ht="15.75" customHeight="1" thickTop="1" x14ac:dyDescent="0.35">
      <c r="A255" s="403" t="str">
        <f>IF(AND(LEN('Ch5'!W257)&gt;0,NOT('Ch5'!W257=FALSE)),"P","")</f>
        <v/>
      </c>
      <c r="B255" t="str">
        <f>IF(LEN('Ch5'!H257)=0,"",'Ch5'!H257)</f>
        <v/>
      </c>
      <c r="C255" t="str">
        <f t="shared" si="4"/>
        <v/>
      </c>
      <c r="D255" s="454" t="s">
        <v>525</v>
      </c>
      <c r="E255" s="462"/>
      <c r="F255" s="462"/>
      <c r="G255" s="711" t="s">
        <v>526</v>
      </c>
      <c r="H255" s="49">
        <f>'Ch5'!W257</f>
        <v>0</v>
      </c>
      <c r="I255" s="49">
        <f>'Ch5'!O257</f>
        <v>0</v>
      </c>
      <c r="J255" s="813" t="s">
        <v>4332</v>
      </c>
    </row>
    <row r="256" spans="1:10" ht="15" thickBot="1" x14ac:dyDescent="0.4">
      <c r="A256" s="403" t="str">
        <f>A255</f>
        <v/>
      </c>
      <c r="B256" t="str">
        <f>IF(LEN('Ch5'!H258)=0,"",'Ch5'!H258)</f>
        <v/>
      </c>
      <c r="C256" t="str">
        <f t="shared" si="4"/>
        <v/>
      </c>
      <c r="D256" s="453"/>
      <c r="E256" s="453"/>
      <c r="F256" s="453"/>
      <c r="G256" s="710"/>
      <c r="J256" s="813"/>
    </row>
    <row r="257" spans="1:10" ht="15.75" customHeight="1" thickTop="1" x14ac:dyDescent="0.35">
      <c r="A257" s="403" t="str">
        <f>IF(AND(LEN('Ch5'!W259)&gt;0,NOT('Ch5'!W259=FALSE)),"P","")</f>
        <v/>
      </c>
      <c r="B257" t="str">
        <f>IF(LEN('Ch5'!H259)=0,"",'Ch5'!H259)</f>
        <v/>
      </c>
      <c r="C257" t="str">
        <f t="shared" si="4"/>
        <v/>
      </c>
      <c r="D257" s="454" t="s">
        <v>527</v>
      </c>
      <c r="E257" s="462"/>
      <c r="F257" s="462"/>
      <c r="G257" s="711" t="s">
        <v>528</v>
      </c>
      <c r="H257" s="49">
        <f>'Ch5'!W259</f>
        <v>0</v>
      </c>
      <c r="I257" s="49">
        <f ca="1">'Ch5'!O259</f>
        <v>0</v>
      </c>
      <c r="J257" s="813" t="s">
        <v>4181</v>
      </c>
    </row>
    <row r="258" spans="1:10" x14ac:dyDescent="0.35">
      <c r="A258" s="403" t="str">
        <f>A257</f>
        <v/>
      </c>
      <c r="B258" t="str">
        <f>IF(LEN('Ch5'!H260)=0,"",'Ch5'!H260)</f>
        <v/>
      </c>
      <c r="C258" t="str">
        <f t="shared" si="4"/>
        <v/>
      </c>
      <c r="D258" s="452"/>
      <c r="E258" s="452"/>
      <c r="F258" s="452"/>
      <c r="G258" s="706"/>
      <c r="J258" s="813"/>
    </row>
    <row r="259" spans="1:10" x14ac:dyDescent="0.35">
      <c r="A259" s="403" t="str">
        <f>A258</f>
        <v/>
      </c>
      <c r="B259" t="str">
        <f>IF(LEN('Ch5'!H261)=0,"",'Ch5'!H261)</f>
        <v/>
      </c>
      <c r="C259" t="str">
        <f t="shared" si="4"/>
        <v/>
      </c>
      <c r="D259" s="452"/>
      <c r="E259" s="452"/>
      <c r="F259" s="452"/>
      <c r="G259" s="706"/>
      <c r="J259" s="813"/>
    </row>
    <row r="260" spans="1:10" x14ac:dyDescent="0.35">
      <c r="A260" s="403" t="str">
        <f>A259</f>
        <v/>
      </c>
      <c r="B260" t="str">
        <f>IF(LEN('Ch5'!H262)=0,"",'Ch5'!H262)</f>
        <v/>
      </c>
      <c r="C260" t="str">
        <f t="shared" si="4"/>
        <v/>
      </c>
      <c r="D260" s="452"/>
      <c r="E260" s="452"/>
      <c r="F260" s="452"/>
      <c r="G260" s="706"/>
      <c r="J260" s="813"/>
    </row>
    <row r="261" spans="1:10" x14ac:dyDescent="0.35">
      <c r="A261" s="403" t="str">
        <f>A260</f>
        <v/>
      </c>
      <c r="B261" t="str">
        <f>IF(LEN('Ch5'!H263)=0,"",'Ch5'!H263)</f>
        <v/>
      </c>
      <c r="C261" t="str">
        <f t="shared" si="4"/>
        <v/>
      </c>
      <c r="D261" s="452"/>
      <c r="E261" s="452"/>
      <c r="F261" s="452"/>
      <c r="G261" s="706"/>
      <c r="J261" s="813"/>
    </row>
    <row r="262" spans="1:10" ht="15" thickBot="1" x14ac:dyDescent="0.4">
      <c r="A262" s="403" t="str">
        <f>A261</f>
        <v/>
      </c>
      <c r="B262" t="str">
        <f>IF(LEN('Ch5'!H264)=0,"",'Ch5'!H264)</f>
        <v/>
      </c>
      <c r="C262" t="str">
        <f t="shared" si="4"/>
        <v/>
      </c>
      <c r="D262" s="453"/>
      <c r="E262" s="453"/>
      <c r="F262" s="453"/>
      <c r="G262" s="710"/>
      <c r="J262" s="813"/>
    </row>
    <row r="263" spans="1:10" ht="19" thickTop="1" x14ac:dyDescent="0.45">
      <c r="A263" s="403" t="s">
        <v>4326</v>
      </c>
      <c r="B263" t="str">
        <f>IF(LEN('Ch6'!H9)=0,"",'Ch6'!H9)</f>
        <v/>
      </c>
      <c r="C263" t="str">
        <f t="shared" si="4"/>
        <v>P</v>
      </c>
      <c r="D263" s="42" t="s">
        <v>533</v>
      </c>
      <c r="E263" s="42"/>
      <c r="F263" s="42"/>
      <c r="G263" s="15"/>
      <c r="H263" s="15"/>
      <c r="I263" s="15"/>
      <c r="J263" s="497"/>
    </row>
    <row r="264" spans="1:10" ht="15" customHeight="1" x14ac:dyDescent="0.35">
      <c r="B264" t="str">
        <f>IF(LEN('Ch6'!H10)=0,"",'Ch6'!H10)</f>
        <v/>
      </c>
      <c r="C264" t="str">
        <f t="shared" si="4"/>
        <v/>
      </c>
      <c r="D264" s="441" t="s">
        <v>534</v>
      </c>
      <c r="E264" s="441"/>
      <c r="F264" s="441"/>
      <c r="G264" s="706" t="s">
        <v>535</v>
      </c>
      <c r="J264" s="485"/>
    </row>
    <row r="265" spans="1:10" x14ac:dyDescent="0.35">
      <c r="B265" t="str">
        <f>IF(LEN('Ch6'!H11)=0,"",'Ch6'!H11)</f>
        <v/>
      </c>
      <c r="C265" t="str">
        <f t="shared" ref="C265:C328" si="6">IF(LEN(B265)=0,IF(A265="P","P",""),B265)</f>
        <v/>
      </c>
      <c r="D265" s="33"/>
      <c r="E265" s="126"/>
      <c r="F265" s="126"/>
      <c r="G265" s="706"/>
      <c r="J265" s="485"/>
    </row>
    <row r="266" spans="1:10" x14ac:dyDescent="0.35">
      <c r="B266" t="str">
        <f>IF(LEN('Ch6'!H12)=0,"",'Ch6'!H12)</f>
        <v/>
      </c>
      <c r="C266" t="str">
        <f t="shared" si="6"/>
        <v/>
      </c>
      <c r="D266" s="33"/>
      <c r="E266" s="126"/>
      <c r="F266" s="126"/>
      <c r="G266" s="706"/>
      <c r="J266" s="485"/>
    </row>
    <row r="267" spans="1:10" ht="15.75" customHeight="1" thickTop="1" x14ac:dyDescent="0.35">
      <c r="A267" s="403" t="str">
        <f>IF('Ch6'!O13&gt;0,"P","")</f>
        <v/>
      </c>
      <c r="B267" t="str">
        <f>IF(LEN('Ch6'!H13)=0,"",'Ch6'!H13)</f>
        <v/>
      </c>
      <c r="C267" t="str">
        <f t="shared" si="6"/>
        <v/>
      </c>
      <c r="D267" s="63">
        <v>601.1</v>
      </c>
      <c r="E267" s="466"/>
      <c r="F267" s="466"/>
      <c r="G267" s="711" t="s">
        <v>536</v>
      </c>
      <c r="I267" s="49">
        <f>'Ch6'!O13</f>
        <v>0</v>
      </c>
      <c r="J267" s="814" t="s">
        <v>4182</v>
      </c>
    </row>
    <row r="268" spans="1:10" x14ac:dyDescent="0.35">
      <c r="A268" s="403" t="str">
        <f>A267</f>
        <v/>
      </c>
      <c r="B268" t="str">
        <f>IF(LEN('Ch6'!H14)=0,"",'Ch6'!H14)</f>
        <v/>
      </c>
      <c r="C268" t="str">
        <f t="shared" si="6"/>
        <v/>
      </c>
      <c r="D268" s="33"/>
      <c r="E268" s="126"/>
      <c r="F268" s="126"/>
      <c r="G268" s="706"/>
      <c r="J268" s="814"/>
    </row>
    <row r="269" spans="1:10" x14ac:dyDescent="0.35">
      <c r="A269" s="403" t="str">
        <f>A268</f>
        <v/>
      </c>
      <c r="B269" t="str">
        <f>IF(LEN('Ch6'!H15)=0,"",'Ch6'!H15)</f>
        <v/>
      </c>
      <c r="C269" t="str">
        <f t="shared" si="6"/>
        <v/>
      </c>
      <c r="D269" s="33"/>
      <c r="E269" s="126"/>
      <c r="F269" s="126"/>
      <c r="G269" s="706"/>
      <c r="J269" s="814"/>
    </row>
    <row r="270" spans="1:10" x14ac:dyDescent="0.35">
      <c r="A270" s="403" t="str">
        <f>A269</f>
        <v/>
      </c>
      <c r="B270" t="str">
        <f>IF(LEN('Ch6'!H16)=0,"",'Ch6'!H16)</f>
        <v/>
      </c>
      <c r="C270" t="str">
        <f t="shared" si="6"/>
        <v/>
      </c>
      <c r="D270" s="33"/>
      <c r="E270" s="126"/>
      <c r="F270" s="126"/>
      <c r="G270" s="706"/>
      <c r="J270" s="814"/>
    </row>
    <row r="271" spans="1:10" x14ac:dyDescent="0.35">
      <c r="B271" t="str">
        <f>IF(LEN('Ch6'!H17)=0,"",'Ch6'!H17)</f>
        <v/>
      </c>
      <c r="C271" t="str">
        <f t="shared" si="6"/>
        <v/>
      </c>
      <c r="D271" s="33"/>
      <c r="E271" s="459" t="s">
        <v>270</v>
      </c>
      <c r="F271" s="149"/>
      <c r="G271" s="193" t="s">
        <v>537</v>
      </c>
      <c r="J271" s="495"/>
    </row>
    <row r="272" spans="1:10" x14ac:dyDescent="0.35">
      <c r="B272" t="str">
        <f>IF(LEN('Ch6'!H18)=0,"",'Ch6'!H18)</f>
        <v/>
      </c>
      <c r="C272" t="str">
        <f t="shared" si="6"/>
        <v/>
      </c>
      <c r="D272" s="33"/>
      <c r="E272" s="467" t="s">
        <v>272</v>
      </c>
      <c r="F272" s="152"/>
      <c r="G272" s="219" t="s">
        <v>538</v>
      </c>
      <c r="J272" s="495"/>
    </row>
    <row r="273" spans="1:10" x14ac:dyDescent="0.35">
      <c r="B273" t="str">
        <f>IF(LEN('Ch6'!H19)=0,"",'Ch6'!H19)</f>
        <v/>
      </c>
      <c r="C273" t="str">
        <f t="shared" si="6"/>
        <v/>
      </c>
      <c r="D273" s="33"/>
      <c r="E273" s="467" t="s">
        <v>274</v>
      </c>
      <c r="F273" s="152"/>
      <c r="G273" s="219" t="s">
        <v>539</v>
      </c>
      <c r="J273" s="495"/>
    </row>
    <row r="274" spans="1:10" x14ac:dyDescent="0.35">
      <c r="B274" t="str">
        <f>IF(LEN('Ch6'!H20)=0,"",'Ch6'!H20)</f>
        <v/>
      </c>
      <c r="C274" t="str">
        <f t="shared" si="6"/>
        <v/>
      </c>
      <c r="D274" s="33"/>
      <c r="E274" s="467" t="s">
        <v>283</v>
      </c>
      <c r="F274" s="152"/>
      <c r="G274" s="219" t="s">
        <v>540</v>
      </c>
      <c r="J274" s="495"/>
    </row>
    <row r="275" spans="1:10" x14ac:dyDescent="0.35">
      <c r="B275" t="str">
        <f>IF(LEN('Ch6'!H21)=0,"",'Ch6'!H21)</f>
        <v/>
      </c>
      <c r="C275" t="str">
        <f t="shared" si="6"/>
        <v/>
      </c>
      <c r="D275" s="33"/>
      <c r="E275" s="467" t="s">
        <v>289</v>
      </c>
      <c r="F275" s="152"/>
      <c r="G275" s="219" t="s">
        <v>541</v>
      </c>
      <c r="J275" s="495"/>
    </row>
    <row r="276" spans="1:10" x14ac:dyDescent="0.35">
      <c r="B276" t="str">
        <f>IF(LEN('Ch6'!H22)=0,"",'Ch6'!H22)</f>
        <v/>
      </c>
      <c r="C276" t="str">
        <f t="shared" si="6"/>
        <v/>
      </c>
      <c r="D276" s="33"/>
      <c r="E276" s="441" t="s">
        <v>291</v>
      </c>
      <c r="F276" s="126"/>
      <c r="G276" s="103" t="s">
        <v>542</v>
      </c>
      <c r="J276" s="495"/>
    </row>
    <row r="277" spans="1:10" ht="15" customHeight="1" x14ac:dyDescent="0.35">
      <c r="B277" t="str">
        <f>IF(LEN('Ch6'!H23)=0,"",'Ch6'!H23)</f>
        <v/>
      </c>
      <c r="C277" t="str">
        <f t="shared" si="6"/>
        <v/>
      </c>
      <c r="D277" s="33"/>
      <c r="E277" s="126"/>
      <c r="F277" s="126"/>
      <c r="G277" s="706" t="s">
        <v>543</v>
      </c>
      <c r="J277" s="495"/>
    </row>
    <row r="278" spans="1:10" x14ac:dyDescent="0.35">
      <c r="B278" t="str">
        <f>IF(LEN('Ch6'!H24)=0,"",'Ch6'!H24)</f>
        <v/>
      </c>
      <c r="C278" t="str">
        <f t="shared" si="6"/>
        <v/>
      </c>
      <c r="D278" s="33"/>
      <c r="E278" s="126"/>
      <c r="F278" s="126"/>
      <c r="G278" s="706"/>
      <c r="J278" s="495"/>
    </row>
    <row r="279" spans="1:10" ht="15" customHeight="1" x14ac:dyDescent="0.35">
      <c r="B279" t="str">
        <f>IF(LEN('Ch6'!H25)=0,"",'Ch6'!H25)</f>
        <v/>
      </c>
      <c r="C279" t="str">
        <f t="shared" si="6"/>
        <v/>
      </c>
      <c r="D279" s="33"/>
      <c r="E279" s="126"/>
      <c r="G279" s="714" t="s">
        <v>4096</v>
      </c>
      <c r="J279" s="485"/>
    </row>
    <row r="280" spans="1:10" x14ac:dyDescent="0.35">
      <c r="B280" t="str">
        <f>IF(LEN('Ch6'!H26)=0,"",'Ch6'!H26)</f>
        <v/>
      </c>
      <c r="C280" t="str">
        <f t="shared" si="6"/>
        <v/>
      </c>
      <c r="D280" s="33"/>
      <c r="E280" s="126"/>
      <c r="F280" s="147"/>
      <c r="G280" s="714"/>
      <c r="J280" s="485"/>
    </row>
    <row r="281" spans="1:10" ht="15.75" customHeight="1" thickTop="1" x14ac:dyDescent="0.35">
      <c r="A281" s="600" t="str">
        <f>IF(COUNTIF(A283:A289,"P")&gt;0,"P","")</f>
        <v>P</v>
      </c>
      <c r="B281" t="str">
        <f>IF(LEN('Ch6'!H27)=0,"",'Ch6'!H27)</f>
        <v/>
      </c>
      <c r="C281" t="str">
        <f t="shared" si="6"/>
        <v>P</v>
      </c>
      <c r="D281" s="63">
        <v>601.20000000000005</v>
      </c>
      <c r="E281" s="466"/>
      <c r="F281" s="466"/>
      <c r="G281" s="711" t="s">
        <v>544</v>
      </c>
      <c r="J281" s="485"/>
    </row>
    <row r="282" spans="1:10" x14ac:dyDescent="0.35">
      <c r="A282" s="403" t="str">
        <f>A281</f>
        <v>P</v>
      </c>
      <c r="B282" t="str">
        <f>IF(LEN('Ch6'!H28)=0,"",'Ch6'!H28)</f>
        <v/>
      </c>
      <c r="C282" t="str">
        <f t="shared" si="6"/>
        <v>P</v>
      </c>
      <c r="D282" s="33"/>
      <c r="E282" s="126"/>
      <c r="F282" s="126"/>
      <c r="G282" s="706"/>
      <c r="J282" s="485"/>
    </row>
    <row r="283" spans="1:10" ht="15" customHeight="1" x14ac:dyDescent="0.35">
      <c r="A283" s="403" t="str">
        <f>IF(AND(LEN('Ch6'!W29)&gt;0,NOT('Ch6'!W29=FALSE)),"P","")</f>
        <v>P</v>
      </c>
      <c r="B283" t="str">
        <f>IF(LEN('Ch6'!H29)=0,"",'Ch6'!H29)</f>
        <v/>
      </c>
      <c r="C283" t="str">
        <f t="shared" si="6"/>
        <v>P</v>
      </c>
      <c r="D283" s="33"/>
      <c r="E283" s="441" t="s">
        <v>270</v>
      </c>
      <c r="F283" s="126"/>
      <c r="G283" s="707" t="s">
        <v>546</v>
      </c>
      <c r="H283" s="49" t="b">
        <f>'Ch6'!W29</f>
        <v>1</v>
      </c>
      <c r="I283" s="49">
        <f>'Ch6'!O29</f>
        <v>3</v>
      </c>
      <c r="J283" s="813" t="s">
        <v>4183</v>
      </c>
    </row>
    <row r="284" spans="1:10" x14ac:dyDescent="0.35">
      <c r="A284" s="403" t="str">
        <f>A283</f>
        <v>P</v>
      </c>
      <c r="B284" t="str">
        <f>IF(LEN('Ch6'!H30)=0,"",'Ch6'!H30)</f>
        <v/>
      </c>
      <c r="C284" t="str">
        <f t="shared" si="6"/>
        <v>P</v>
      </c>
      <c r="D284" s="33"/>
      <c r="E284" s="126"/>
      <c r="F284" s="126"/>
      <c r="G284" s="707"/>
      <c r="J284" s="813"/>
    </row>
    <row r="285" spans="1:10" x14ac:dyDescent="0.35">
      <c r="A285" s="403" t="str">
        <f>A284</f>
        <v>P</v>
      </c>
      <c r="B285" t="str">
        <f>IF(LEN('Ch6'!H31)=0,"",'Ch6'!H31)</f>
        <v/>
      </c>
      <c r="C285" t="str">
        <f t="shared" si="6"/>
        <v>P</v>
      </c>
      <c r="D285" s="33"/>
      <c r="E285" s="149"/>
      <c r="F285" s="149"/>
      <c r="G285" s="709"/>
      <c r="J285" s="813"/>
    </row>
    <row r="286" spans="1:10" ht="15" customHeight="1" x14ac:dyDescent="0.35">
      <c r="A286" s="403" t="str">
        <f>IF(AND(LEN('Ch6'!W32)&gt;0,NOT('Ch6'!W32=FALSE)),"P","")</f>
        <v/>
      </c>
      <c r="B286" t="str">
        <f>IF(LEN('Ch6'!H32)=0,"",'Ch6'!H32)</f>
        <v/>
      </c>
      <c r="C286" t="str">
        <f t="shared" si="6"/>
        <v/>
      </c>
      <c r="D286" s="33"/>
      <c r="E286" s="441" t="s">
        <v>272</v>
      </c>
      <c r="F286" s="126"/>
      <c r="G286" s="707" t="s">
        <v>547</v>
      </c>
      <c r="H286" s="49">
        <f>'Ch6'!W32</f>
        <v>0</v>
      </c>
      <c r="I286" s="49">
        <f>'Ch6'!O32</f>
        <v>0</v>
      </c>
      <c r="J286" s="813" t="s">
        <v>4184</v>
      </c>
    </row>
    <row r="287" spans="1:10" x14ac:dyDescent="0.35">
      <c r="A287" s="403" t="str">
        <f>A286</f>
        <v/>
      </c>
      <c r="B287" t="str">
        <f>IF(LEN('Ch6'!H33)=0,"",'Ch6'!H33)</f>
        <v/>
      </c>
      <c r="C287" t="str">
        <f t="shared" si="6"/>
        <v/>
      </c>
      <c r="D287" s="33"/>
      <c r="E287" s="126"/>
      <c r="F287" s="126"/>
      <c r="G287" s="707"/>
      <c r="J287" s="813"/>
    </row>
    <row r="288" spans="1:10" x14ac:dyDescent="0.35">
      <c r="A288" s="403" t="str">
        <f>A287</f>
        <v/>
      </c>
      <c r="B288" t="str">
        <f>IF(LEN('Ch6'!H34)=0,"",'Ch6'!H34)</f>
        <v/>
      </c>
      <c r="C288" t="str">
        <f t="shared" si="6"/>
        <v/>
      </c>
      <c r="D288" s="33"/>
      <c r="E288" s="149"/>
      <c r="F288" s="149"/>
      <c r="G288" s="709"/>
      <c r="J288" s="813"/>
    </row>
    <row r="289" spans="1:10" ht="26" x14ac:dyDescent="0.35">
      <c r="A289" s="403" t="str">
        <f>IF(AND(LEN('Ch6'!W35)&gt;0,NOT('Ch6'!W35=FALSE)),"P","")</f>
        <v/>
      </c>
      <c r="B289" t="str">
        <f>IF(LEN('Ch6'!H35)=0,"",'Ch6'!H35)</f>
        <v/>
      </c>
      <c r="C289" t="str">
        <f t="shared" si="6"/>
        <v/>
      </c>
      <c r="D289" s="33"/>
      <c r="E289" s="441" t="s">
        <v>274</v>
      </c>
      <c r="F289" s="126"/>
      <c r="G289" s="104" t="s">
        <v>548</v>
      </c>
      <c r="H289" s="49">
        <f>'Ch6'!W35</f>
        <v>0</v>
      </c>
      <c r="I289" s="49">
        <f>'Ch6'!O35</f>
        <v>0</v>
      </c>
      <c r="J289" s="495" t="s">
        <v>4185</v>
      </c>
    </row>
    <row r="290" spans="1:10" ht="15.75" customHeight="1" thickTop="1" x14ac:dyDescent="0.35">
      <c r="A290" s="403" t="str">
        <f>IF(SUM(I293:I297)&gt;0,"P","")</f>
        <v/>
      </c>
      <c r="B290" t="str">
        <f>IF(LEN('Ch6'!H36)=0,"",'Ch6'!H36)</f>
        <v/>
      </c>
      <c r="C290" t="str">
        <f t="shared" si="6"/>
        <v/>
      </c>
      <c r="D290" s="63">
        <v>601.29999999999995</v>
      </c>
      <c r="E290" s="466"/>
      <c r="F290" s="466"/>
      <c r="G290" s="711" t="s">
        <v>549</v>
      </c>
      <c r="J290" s="813" t="s">
        <v>4186</v>
      </c>
    </row>
    <row r="291" spans="1:10" x14ac:dyDescent="0.35">
      <c r="A291" s="403" t="str">
        <f t="shared" ref="A291:A292" si="7">A290</f>
        <v/>
      </c>
      <c r="B291" t="str">
        <f>IF(LEN('Ch6'!H37)=0,"",'Ch6'!H37)</f>
        <v/>
      </c>
      <c r="C291" t="str">
        <f t="shared" si="6"/>
        <v/>
      </c>
      <c r="D291" s="33"/>
      <c r="E291" s="126"/>
      <c r="F291" s="126"/>
      <c r="G291" s="706"/>
      <c r="J291" s="813"/>
    </row>
    <row r="292" spans="1:10" x14ac:dyDescent="0.35">
      <c r="A292" s="403" t="str">
        <f t="shared" si="7"/>
        <v/>
      </c>
      <c r="B292" t="str">
        <f>IF(LEN('Ch6'!H38)=0,"",'Ch6'!H38)</f>
        <v/>
      </c>
      <c r="C292" t="str">
        <f t="shared" si="6"/>
        <v/>
      </c>
      <c r="D292" s="33"/>
      <c r="E292" s="126"/>
      <c r="F292" s="126"/>
      <c r="G292" s="706"/>
      <c r="J292" s="813"/>
    </row>
    <row r="293" spans="1:10" x14ac:dyDescent="0.35">
      <c r="B293" t="str">
        <f>IF(LEN('Ch6'!H39)=0,"",'Ch6'!H39)</f>
        <v/>
      </c>
      <c r="C293" t="str">
        <f t="shared" si="6"/>
        <v/>
      </c>
      <c r="D293" s="33"/>
      <c r="E293" s="459" t="s">
        <v>270</v>
      </c>
      <c r="F293" s="149"/>
      <c r="G293" s="214" t="s">
        <v>550</v>
      </c>
      <c r="H293" s="49">
        <f>'Ch6'!W39</f>
        <v>0</v>
      </c>
      <c r="I293" s="49">
        <f>'Ch6'!O39</f>
        <v>0</v>
      </c>
      <c r="J293" s="490"/>
    </row>
    <row r="294" spans="1:10" x14ac:dyDescent="0.35">
      <c r="B294" t="str">
        <f>IF(LEN('Ch6'!H40)=0,"",'Ch6'!H40)</f>
        <v/>
      </c>
      <c r="C294" t="str">
        <f t="shared" si="6"/>
        <v/>
      </c>
      <c r="D294" s="33"/>
      <c r="E294" s="467" t="s">
        <v>272</v>
      </c>
      <c r="F294" s="152"/>
      <c r="G294" s="220" t="s">
        <v>551</v>
      </c>
      <c r="H294" s="49">
        <f>'Ch6'!W40</f>
        <v>0</v>
      </c>
      <c r="I294" s="49">
        <f>'Ch6'!O40</f>
        <v>0</v>
      </c>
      <c r="J294" s="485"/>
    </row>
    <row r="295" spans="1:10" x14ac:dyDescent="0.35">
      <c r="B295" t="str">
        <f>IF(LEN('Ch6'!H41)=0,"",'Ch6'!H41)</f>
        <v/>
      </c>
      <c r="C295" t="str">
        <f t="shared" si="6"/>
        <v/>
      </c>
      <c r="D295" s="33"/>
      <c r="E295" s="467" t="s">
        <v>274</v>
      </c>
      <c r="F295" s="152"/>
      <c r="G295" s="220" t="s">
        <v>552</v>
      </c>
      <c r="H295" s="49">
        <f>'Ch6'!W41</f>
        <v>0</v>
      </c>
      <c r="I295" s="49">
        <f>'Ch6'!O41</f>
        <v>0</v>
      </c>
      <c r="J295" s="485"/>
    </row>
    <row r="296" spans="1:10" x14ac:dyDescent="0.35">
      <c r="B296" t="str">
        <f>IF(LEN('Ch6'!H42)=0,"",'Ch6'!H42)</f>
        <v/>
      </c>
      <c r="C296" t="str">
        <f t="shared" si="6"/>
        <v/>
      </c>
      <c r="D296" s="33"/>
      <c r="E296" s="467" t="s">
        <v>283</v>
      </c>
      <c r="F296" s="152"/>
      <c r="G296" s="220" t="s">
        <v>553</v>
      </c>
      <c r="H296" s="49">
        <f>'Ch6'!W42</f>
        <v>0</v>
      </c>
      <c r="I296" s="49">
        <f>'Ch6'!O42</f>
        <v>0</v>
      </c>
      <c r="J296" s="485"/>
    </row>
    <row r="297" spans="1:10" x14ac:dyDescent="0.35">
      <c r="B297" t="str">
        <f>IF(LEN('Ch6'!H43)=0,"",'Ch6'!H43)</f>
        <v/>
      </c>
      <c r="C297" t="str">
        <f t="shared" si="6"/>
        <v/>
      </c>
      <c r="D297" s="33"/>
      <c r="E297" s="441" t="s">
        <v>289</v>
      </c>
      <c r="F297" s="126"/>
      <c r="G297" s="104" t="s">
        <v>554</v>
      </c>
      <c r="H297" s="49">
        <f>'Ch6'!W43</f>
        <v>0</v>
      </c>
      <c r="I297" s="49">
        <f>'Ch6'!O43</f>
        <v>0</v>
      </c>
      <c r="J297" s="485"/>
    </row>
    <row r="298" spans="1:10" ht="15.75" customHeight="1" thickTop="1" x14ac:dyDescent="0.35">
      <c r="A298" s="403" t="str">
        <f>IF(AND(LEN('Ch6'!W44)&gt;0,NOT('Ch6'!W44=FALSE)),"P","")</f>
        <v>P</v>
      </c>
      <c r="B298" t="str">
        <f>IF(LEN('Ch6'!H44)=0,"",'Ch6'!H44)</f>
        <v/>
      </c>
      <c r="C298" t="str">
        <f t="shared" si="6"/>
        <v>P</v>
      </c>
      <c r="D298" s="63">
        <v>601.4</v>
      </c>
      <c r="E298" s="466"/>
      <c r="F298" s="466"/>
      <c r="G298" s="711" t="s">
        <v>555</v>
      </c>
      <c r="H298" s="49" t="b">
        <f>'Ch6'!W44</f>
        <v>1</v>
      </c>
      <c r="I298" s="49">
        <f>'Ch6'!O44</f>
        <v>4</v>
      </c>
      <c r="J298" s="822" t="s">
        <v>4193</v>
      </c>
    </row>
    <row r="299" spans="1:10" x14ac:dyDescent="0.35">
      <c r="A299" s="403" t="str">
        <f>A298</f>
        <v>P</v>
      </c>
      <c r="B299" t="str">
        <f>IF(LEN('Ch6'!H45)=0,"",'Ch6'!H45)</f>
        <v/>
      </c>
      <c r="C299" t="str">
        <f t="shared" si="6"/>
        <v>P</v>
      </c>
      <c r="D299" s="33"/>
      <c r="E299" s="126"/>
      <c r="F299" s="126"/>
      <c r="G299" s="706"/>
      <c r="J299" s="822"/>
    </row>
    <row r="300" spans="1:10" x14ac:dyDescent="0.35">
      <c r="A300" s="403" t="str">
        <f>A299</f>
        <v>P</v>
      </c>
      <c r="B300" t="str">
        <f>IF(LEN('Ch6'!H46)=0,"",'Ch6'!H46)</f>
        <v/>
      </c>
      <c r="C300" t="str">
        <f t="shared" si="6"/>
        <v>P</v>
      </c>
      <c r="D300" s="33"/>
      <c r="E300" s="126"/>
      <c r="F300" s="126"/>
      <c r="G300" s="706"/>
      <c r="J300" s="822"/>
    </row>
    <row r="301" spans="1:10" ht="15.75" customHeight="1" thickTop="1" x14ac:dyDescent="0.35">
      <c r="A301" s="600" t="str">
        <f>IF(COUNTIF(A304:A308,"P")&gt;0,"P","")</f>
        <v>P</v>
      </c>
      <c r="B301" t="str">
        <f>IF(LEN('Ch6'!H47)=0,"",'Ch6'!H47)</f>
        <v/>
      </c>
      <c r="C301" t="str">
        <f t="shared" si="6"/>
        <v>P</v>
      </c>
      <c r="D301" s="63">
        <v>601.5</v>
      </c>
      <c r="E301" s="466"/>
      <c r="F301" s="466"/>
      <c r="G301" s="711" t="s">
        <v>556</v>
      </c>
      <c r="J301" s="485"/>
    </row>
    <row r="302" spans="1:10" x14ac:dyDescent="0.35">
      <c r="A302" s="403" t="str">
        <f>A301</f>
        <v>P</v>
      </c>
      <c r="B302" t="str">
        <f>IF(LEN('Ch6'!H48)=0,"",'Ch6'!H48)</f>
        <v/>
      </c>
      <c r="C302" t="str">
        <f t="shared" si="6"/>
        <v>P</v>
      </c>
      <c r="D302" s="33"/>
      <c r="E302" s="126"/>
      <c r="F302" s="126"/>
      <c r="G302" s="706"/>
      <c r="J302" s="485"/>
    </row>
    <row r="303" spans="1:10" x14ac:dyDescent="0.35">
      <c r="A303" s="403" t="str">
        <f>A302</f>
        <v>P</v>
      </c>
      <c r="B303" t="str">
        <f>IF(LEN('Ch6'!H49)=0,"",'Ch6'!H49)</f>
        <v/>
      </c>
      <c r="C303" t="str">
        <f t="shared" si="6"/>
        <v>P</v>
      </c>
      <c r="D303" s="33"/>
      <c r="E303" s="126"/>
      <c r="F303" s="126"/>
      <c r="G303" s="706"/>
      <c r="J303" s="485"/>
    </row>
    <row r="304" spans="1:10" x14ac:dyDescent="0.35">
      <c r="A304" s="403" t="str">
        <f>IF(AND(LEN('Ch6'!W50)&gt;0,NOT('Ch6'!W50=FALSE)),"P","")</f>
        <v>P</v>
      </c>
      <c r="B304" t="str">
        <f>IF(LEN('Ch6'!H50)=0,"",'Ch6'!H50)</f>
        <v/>
      </c>
      <c r="C304" t="str">
        <f t="shared" si="6"/>
        <v>P</v>
      </c>
      <c r="D304" s="33"/>
      <c r="E304" s="459" t="s">
        <v>270</v>
      </c>
      <c r="F304" s="149"/>
      <c r="G304" s="214" t="s">
        <v>558</v>
      </c>
      <c r="H304" s="49" t="b">
        <f>'Ch6'!W50</f>
        <v>1</v>
      </c>
      <c r="I304" s="49">
        <f>'Ch6'!O50</f>
        <v>4</v>
      </c>
      <c r="J304" s="813" t="s">
        <v>4177</v>
      </c>
    </row>
    <row r="305" spans="1:10" x14ac:dyDescent="0.35">
      <c r="A305" s="403" t="str">
        <f>IF(AND(LEN('Ch6'!W51)&gt;0,NOT('Ch6'!W51=FALSE)),"P","")</f>
        <v/>
      </c>
      <c r="B305" t="str">
        <f>IF(LEN('Ch6'!H51)=0,"",'Ch6'!H51)</f>
        <v/>
      </c>
      <c r="C305" t="str">
        <f t="shared" si="6"/>
        <v/>
      </c>
      <c r="D305" s="33"/>
      <c r="E305" s="467" t="s">
        <v>272</v>
      </c>
      <c r="F305" s="152"/>
      <c r="G305" s="220" t="s">
        <v>559</v>
      </c>
      <c r="H305" s="49">
        <f>'Ch6'!W51</f>
        <v>0</v>
      </c>
      <c r="I305" s="49">
        <f>'Ch6'!O51</f>
        <v>0</v>
      </c>
      <c r="J305" s="813"/>
    </row>
    <row r="306" spans="1:10" x14ac:dyDescent="0.35">
      <c r="A306" s="403" t="str">
        <f>IF(AND(LEN('Ch6'!W52)&gt;0,NOT('Ch6'!W52=FALSE)),"P","")</f>
        <v/>
      </c>
      <c r="B306" t="str">
        <f>IF(LEN('Ch6'!H52)=0,"",'Ch6'!H52)</f>
        <v/>
      </c>
      <c r="C306" t="str">
        <f t="shared" si="6"/>
        <v/>
      </c>
      <c r="D306" s="33"/>
      <c r="E306" s="467" t="s">
        <v>274</v>
      </c>
      <c r="F306" s="152"/>
      <c r="G306" s="220" t="s">
        <v>560</v>
      </c>
      <c r="H306" s="49">
        <f>'Ch6'!W52</f>
        <v>0</v>
      </c>
      <c r="I306" s="49">
        <f>'Ch6'!O52</f>
        <v>0</v>
      </c>
      <c r="J306" s="813"/>
    </row>
    <row r="307" spans="1:10" x14ac:dyDescent="0.35">
      <c r="A307" s="403" t="str">
        <f>IF(AND(LEN('Ch6'!W53)&gt;0,NOT('Ch6'!W53=FALSE)),"P","")</f>
        <v/>
      </c>
      <c r="B307" t="str">
        <f>IF(LEN('Ch6'!H53)=0,"",'Ch6'!H53)</f>
        <v/>
      </c>
      <c r="C307" t="str">
        <f t="shared" si="6"/>
        <v/>
      </c>
      <c r="D307" s="33"/>
      <c r="E307" s="467" t="s">
        <v>283</v>
      </c>
      <c r="F307" s="152"/>
      <c r="G307" s="220" t="s">
        <v>561</v>
      </c>
      <c r="H307" s="49">
        <f>'Ch6'!W53</f>
        <v>0</v>
      </c>
      <c r="I307" s="49">
        <f>'Ch6'!O53</f>
        <v>0</v>
      </c>
      <c r="J307" s="813" t="s">
        <v>4187</v>
      </c>
    </row>
    <row r="308" spans="1:10" x14ac:dyDescent="0.35">
      <c r="A308" s="403" t="str">
        <f>IF(AND(LEN('Ch6'!W54)&gt;0,NOT('Ch6'!W54=FALSE)),"P","")</f>
        <v/>
      </c>
      <c r="B308" t="str">
        <f>IF(LEN('Ch6'!H54)=0,"",'Ch6'!H54)</f>
        <v/>
      </c>
      <c r="C308" t="str">
        <f t="shared" si="6"/>
        <v/>
      </c>
      <c r="D308" s="33"/>
      <c r="E308" s="441" t="s">
        <v>289</v>
      </c>
      <c r="F308" s="126"/>
      <c r="G308" s="104" t="s">
        <v>562</v>
      </c>
      <c r="H308" s="49">
        <f>'Ch6'!W54</f>
        <v>0</v>
      </c>
      <c r="I308" s="49">
        <f>'Ch6'!O54</f>
        <v>0</v>
      </c>
      <c r="J308" s="813"/>
    </row>
    <row r="309" spans="1:10" ht="15.75" customHeight="1" thickTop="1" x14ac:dyDescent="0.35">
      <c r="A309" s="403" t="str">
        <f ca="1">IF('Ch6'!O55&gt;0,"P","")</f>
        <v/>
      </c>
      <c r="B309" t="str">
        <f>IF(LEN('Ch6'!H55)=0,"",'Ch6'!H55)</f>
        <v/>
      </c>
      <c r="C309" t="str">
        <f t="shared" ca="1" si="6"/>
        <v/>
      </c>
      <c r="D309" s="63">
        <v>601.6</v>
      </c>
      <c r="E309" s="466"/>
      <c r="F309" s="466"/>
      <c r="G309" s="711" t="s">
        <v>563</v>
      </c>
      <c r="I309" s="49">
        <f ca="1">'Ch6'!O55</f>
        <v>0</v>
      </c>
      <c r="J309" s="813" t="s">
        <v>4177</v>
      </c>
    </row>
    <row r="310" spans="1:10" x14ac:dyDescent="0.35">
      <c r="A310" s="403" t="str">
        <f ca="1">A309</f>
        <v/>
      </c>
      <c r="B310" t="str">
        <f>IF(LEN('Ch6'!H56)=0,"",'Ch6'!H56)</f>
        <v/>
      </c>
      <c r="C310" t="str">
        <f t="shared" ca="1" si="6"/>
        <v/>
      </c>
      <c r="D310" s="33"/>
      <c r="E310" s="126"/>
      <c r="F310" s="126"/>
      <c r="G310" s="706"/>
      <c r="H310" s="49">
        <f>'Ch6'!W56</f>
        <v>0</v>
      </c>
      <c r="J310" s="813"/>
    </row>
    <row r="311" spans="1:10" x14ac:dyDescent="0.35">
      <c r="A311" s="403" t="str">
        <f ca="1">A310</f>
        <v/>
      </c>
      <c r="B311" t="str">
        <f>IF(LEN('Ch6'!H57)=0,"",'Ch6'!H57)</f>
        <v/>
      </c>
      <c r="C311" t="str">
        <f t="shared" ca="1" si="6"/>
        <v/>
      </c>
      <c r="D311" s="33"/>
      <c r="E311" s="126"/>
      <c r="F311" s="126"/>
      <c r="G311" s="706"/>
      <c r="J311" s="813"/>
    </row>
    <row r="312" spans="1:10" x14ac:dyDescent="0.35">
      <c r="B312" t="str">
        <f>IF(LEN('Ch6'!H58)=0,"",'Ch6'!H58)</f>
        <v/>
      </c>
      <c r="C312" t="str">
        <f t="shared" si="6"/>
        <v/>
      </c>
      <c r="D312" s="33"/>
      <c r="E312" s="459" t="s">
        <v>270</v>
      </c>
      <c r="F312" s="149"/>
      <c r="G312" s="214" t="s">
        <v>565</v>
      </c>
      <c r="J312" s="485"/>
    </row>
    <row r="313" spans="1:10" x14ac:dyDescent="0.35">
      <c r="B313" t="str">
        <f>IF(LEN('Ch6'!H59)=0,"",'Ch6'!H59)</f>
        <v/>
      </c>
      <c r="C313" t="str">
        <f t="shared" si="6"/>
        <v/>
      </c>
      <c r="D313" s="33"/>
      <c r="E313" s="441" t="s">
        <v>272</v>
      </c>
      <c r="F313" s="126"/>
      <c r="G313" s="104" t="s">
        <v>566</v>
      </c>
      <c r="J313" s="485"/>
    </row>
    <row r="314" spans="1:10" ht="15.75" customHeight="1" thickTop="1" x14ac:dyDescent="0.35">
      <c r="A314" s="403" t="str">
        <f ca="1">IF('Ch6'!O60&gt;0,"P","")</f>
        <v>P</v>
      </c>
      <c r="B314" t="str">
        <f>IF(LEN('Ch6'!H60)=0,"",'Ch6'!H60)</f>
        <v/>
      </c>
      <c r="C314" t="str">
        <f t="shared" ca="1" si="6"/>
        <v>P</v>
      </c>
      <c r="D314" s="63">
        <v>601.70000000000005</v>
      </c>
      <c r="E314" s="466"/>
      <c r="F314" s="466"/>
      <c r="G314" s="711" t="s">
        <v>567</v>
      </c>
      <c r="I314" s="49">
        <f ca="1">'Ch6'!O60</f>
        <v>5</v>
      </c>
      <c r="J314" s="829" t="s">
        <v>4188</v>
      </c>
    </row>
    <row r="315" spans="1:10" x14ac:dyDescent="0.35">
      <c r="A315" s="403" t="str">
        <f ca="1">A314</f>
        <v>P</v>
      </c>
      <c r="B315" t="str">
        <f>IF(LEN('Ch6'!H61)=0,"",'Ch6'!H61)</f>
        <v/>
      </c>
      <c r="C315" t="str">
        <f t="shared" ca="1" si="6"/>
        <v>P</v>
      </c>
      <c r="D315" s="33"/>
      <c r="E315" s="126"/>
      <c r="F315" s="126"/>
      <c r="G315" s="706"/>
      <c r="J315" s="829"/>
    </row>
    <row r="316" spans="1:10" x14ac:dyDescent="0.35">
      <c r="B316" t="str">
        <f>IF(LEN('Ch6'!H62)=0,"",'Ch6'!H62)</f>
        <v/>
      </c>
      <c r="C316" t="str">
        <f t="shared" si="6"/>
        <v/>
      </c>
      <c r="D316" s="33"/>
      <c r="E316" s="126"/>
      <c r="F316" s="126"/>
      <c r="G316" s="107" t="s">
        <v>578</v>
      </c>
      <c r="J316" s="485"/>
    </row>
    <row r="317" spans="1:10" ht="15" customHeight="1" x14ac:dyDescent="0.35">
      <c r="B317" t="str">
        <f>IF(LEN('Ch6'!H63)=0,"",'Ch6'!H63)</f>
        <v/>
      </c>
      <c r="C317" t="str">
        <f t="shared" si="6"/>
        <v/>
      </c>
      <c r="D317" s="33"/>
      <c r="E317" s="126"/>
      <c r="F317" s="459" t="s">
        <v>121</v>
      </c>
      <c r="G317" s="214" t="s">
        <v>569</v>
      </c>
      <c r="H317" s="49">
        <f>'Ch6'!W63</f>
        <v>0</v>
      </c>
      <c r="J317" s="490"/>
    </row>
    <row r="318" spans="1:10" x14ac:dyDescent="0.35">
      <c r="B318" t="str">
        <f>IF(LEN('Ch6'!H64)=0,"",'Ch6'!H64)</f>
        <v/>
      </c>
      <c r="C318" t="str">
        <f t="shared" si="6"/>
        <v/>
      </c>
      <c r="D318" s="33"/>
      <c r="E318" s="126"/>
      <c r="F318" s="467" t="s">
        <v>122</v>
      </c>
      <c r="G318" s="220" t="s">
        <v>570</v>
      </c>
      <c r="H318" s="49">
        <f>'Ch6'!W64</f>
        <v>0</v>
      </c>
      <c r="J318" s="490"/>
    </row>
    <row r="319" spans="1:10" ht="15" customHeight="1" x14ac:dyDescent="0.35">
      <c r="B319" t="str">
        <f>IF(LEN('Ch6'!H65)=0,"",'Ch6'!H65)</f>
        <v/>
      </c>
      <c r="C319" t="str">
        <f t="shared" si="6"/>
        <v/>
      </c>
      <c r="D319" s="33"/>
      <c r="E319" s="126"/>
      <c r="F319" s="468" t="s">
        <v>123</v>
      </c>
      <c r="G319" s="746" t="s">
        <v>571</v>
      </c>
      <c r="H319" s="49">
        <f>'Ch6'!W65</f>
        <v>0</v>
      </c>
      <c r="J319" s="498"/>
    </row>
    <row r="320" spans="1:10" x14ac:dyDescent="0.35">
      <c r="B320" t="str">
        <f>IF(LEN('Ch6'!H66)=0,"",'Ch6'!H66)</f>
        <v/>
      </c>
      <c r="C320" t="str">
        <f t="shared" si="6"/>
        <v/>
      </c>
      <c r="D320" s="33"/>
      <c r="E320" s="126"/>
      <c r="F320" s="126"/>
      <c r="G320" s="747"/>
      <c r="J320" s="498"/>
    </row>
    <row r="321" spans="1:10" x14ac:dyDescent="0.35">
      <c r="B321" t="str">
        <f>IF(LEN('Ch6'!H67)=0,"",'Ch6'!H67)</f>
        <v/>
      </c>
      <c r="C321" t="str">
        <f t="shared" si="6"/>
        <v/>
      </c>
      <c r="D321" s="33"/>
      <c r="E321" s="126"/>
      <c r="F321" s="126"/>
      <c r="G321" s="221" t="s">
        <v>572</v>
      </c>
      <c r="J321" s="498"/>
    </row>
    <row r="322" spans="1:10" x14ac:dyDescent="0.35">
      <c r="B322" t="str">
        <f>IF(LEN('Ch6'!H68)=0,"",'Ch6'!H68)</f>
        <v/>
      </c>
      <c r="C322" t="str">
        <f t="shared" si="6"/>
        <v/>
      </c>
      <c r="D322" s="33"/>
      <c r="E322" s="126"/>
      <c r="F322" s="149"/>
      <c r="G322" s="193" t="s">
        <v>573</v>
      </c>
      <c r="J322" s="498"/>
    </row>
    <row r="323" spans="1:10" ht="15" customHeight="1" x14ac:dyDescent="0.35">
      <c r="B323" t="str">
        <f>IF(LEN('Ch6'!H69)=0,"",'Ch6'!H69)</f>
        <v/>
      </c>
      <c r="C323" t="str">
        <f t="shared" si="6"/>
        <v/>
      </c>
      <c r="D323" s="33"/>
      <c r="E323" s="126"/>
      <c r="F323" s="444" t="s">
        <v>420</v>
      </c>
      <c r="G323" s="742" t="s">
        <v>574</v>
      </c>
      <c r="H323" s="49">
        <f>'Ch6'!W69</f>
        <v>0</v>
      </c>
      <c r="J323" s="498"/>
    </row>
    <row r="324" spans="1:10" x14ac:dyDescent="0.35">
      <c r="B324" t="str">
        <f>IF(LEN('Ch6'!H70)=0,"",'Ch6'!H70)</f>
        <v/>
      </c>
      <c r="C324" t="str">
        <f t="shared" si="6"/>
        <v/>
      </c>
      <c r="D324" s="33"/>
      <c r="E324" s="126"/>
      <c r="F324" s="149"/>
      <c r="G324" s="709"/>
      <c r="J324" s="498"/>
    </row>
    <row r="325" spans="1:10" ht="15" customHeight="1" x14ac:dyDescent="0.35">
      <c r="B325" t="str">
        <f>IF(LEN('Ch6'!H71)=0,"",'Ch6'!H71)</f>
        <v/>
      </c>
      <c r="C325" t="str">
        <f t="shared" si="6"/>
        <v/>
      </c>
      <c r="D325" s="33"/>
      <c r="E325" s="126"/>
      <c r="F325" s="444" t="s">
        <v>575</v>
      </c>
      <c r="G325" s="742" t="s">
        <v>576</v>
      </c>
      <c r="H325" s="49" t="str">
        <f>'Ch6'!W71</f>
        <v>90% or more</v>
      </c>
      <c r="J325" s="498"/>
    </row>
    <row r="326" spans="1:10" x14ac:dyDescent="0.35">
      <c r="B326" t="str">
        <f>IF(LEN('Ch6'!H72)=0,"",'Ch6'!H72)</f>
        <v/>
      </c>
      <c r="C326" t="str">
        <f t="shared" si="6"/>
        <v/>
      </c>
      <c r="D326" s="33"/>
      <c r="E326" s="126"/>
      <c r="F326" s="149"/>
      <c r="G326" s="709"/>
      <c r="J326" s="498"/>
    </row>
    <row r="327" spans="1:10" x14ac:dyDescent="0.35">
      <c r="B327" t="str">
        <f>IF(LEN('Ch6'!H73)=0,"",'Ch6'!H73)</f>
        <v/>
      </c>
      <c r="C327" t="str">
        <f t="shared" si="6"/>
        <v/>
      </c>
      <c r="D327" s="33"/>
      <c r="E327" s="459" t="s">
        <v>270</v>
      </c>
      <c r="F327" s="126"/>
      <c r="G327" s="214" t="s">
        <v>577</v>
      </c>
      <c r="J327" s="498"/>
    </row>
    <row r="328" spans="1:10" ht="15" customHeight="1" x14ac:dyDescent="0.35">
      <c r="B328" t="str">
        <f>IF(LEN('Ch6'!H74)=0,"",'Ch6'!H74)</f>
        <v/>
      </c>
      <c r="C328" t="str">
        <f t="shared" si="6"/>
        <v/>
      </c>
      <c r="D328" s="33"/>
      <c r="E328" s="441" t="s">
        <v>272</v>
      </c>
      <c r="F328" s="469"/>
      <c r="G328" s="757" t="s">
        <v>579</v>
      </c>
      <c r="J328" s="498"/>
    </row>
    <row r="329" spans="1:10" x14ac:dyDescent="0.35">
      <c r="B329" t="str">
        <f>IF(LEN('Ch6'!H75)=0,"",'Ch6'!H75)</f>
        <v/>
      </c>
      <c r="C329" t="str">
        <f t="shared" ref="C329:C392" si="8">IF(LEN(B329)=0,IF(A329="P","P",""),B329)</f>
        <v/>
      </c>
      <c r="D329" s="33"/>
      <c r="E329" s="458"/>
      <c r="F329" s="149"/>
      <c r="G329" s="724"/>
      <c r="J329" s="498"/>
    </row>
    <row r="330" spans="1:10" ht="15" customHeight="1" x14ac:dyDescent="0.35">
      <c r="B330" t="str">
        <f>IF(LEN('Ch6'!H76)=0,"",'Ch6'!H76)</f>
        <v/>
      </c>
      <c r="C330" t="str">
        <f t="shared" si="8"/>
        <v/>
      </c>
      <c r="D330" s="33"/>
      <c r="E330" s="441" t="s">
        <v>274</v>
      </c>
      <c r="F330" s="126"/>
      <c r="G330" s="723" t="s">
        <v>580</v>
      </c>
      <c r="J330" s="498"/>
    </row>
    <row r="331" spans="1:10" ht="15" thickBot="1" x14ac:dyDescent="0.4">
      <c r="B331" t="str">
        <f>IF(LEN('Ch6'!H77)=0,"",'Ch6'!H77)</f>
        <v/>
      </c>
      <c r="C331" t="str">
        <f t="shared" si="8"/>
        <v/>
      </c>
      <c r="D331" s="33"/>
      <c r="E331" s="441"/>
      <c r="F331" s="126"/>
      <c r="G331" s="762"/>
      <c r="J331" s="498"/>
    </row>
    <row r="332" spans="1:10" ht="15.75" customHeight="1" thickTop="1" x14ac:dyDescent="0.35">
      <c r="A332" s="403" t="str">
        <f>IF(AND(LEN('Ch6'!W78)&gt;0,NOT('Ch6'!W78=FALSE)),"P","")</f>
        <v/>
      </c>
      <c r="B332" t="str">
        <f>IF(LEN('Ch6'!H78)=0,"",'Ch6'!H78)</f>
        <v/>
      </c>
      <c r="C332" t="str">
        <f t="shared" si="8"/>
        <v/>
      </c>
      <c r="D332" s="63">
        <v>601.79999999999995</v>
      </c>
      <c r="E332" s="466"/>
      <c r="F332" s="466"/>
      <c r="G332" s="711" t="s">
        <v>581</v>
      </c>
      <c r="H332" s="49">
        <f>'Ch6'!W78</f>
        <v>0</v>
      </c>
      <c r="I332" s="49">
        <f>'Ch6'!O78</f>
        <v>0</v>
      </c>
      <c r="J332" s="814" t="s">
        <v>4194</v>
      </c>
    </row>
    <row r="333" spans="1:10" x14ac:dyDescent="0.35">
      <c r="A333" s="403" t="str">
        <f>A332</f>
        <v/>
      </c>
      <c r="B333" t="str">
        <f>IF(LEN('Ch6'!H79)=0,"",'Ch6'!H79)</f>
        <v/>
      </c>
      <c r="C333" t="str">
        <f t="shared" si="8"/>
        <v/>
      </c>
      <c r="D333" s="33"/>
      <c r="E333" s="126"/>
      <c r="F333" s="126"/>
      <c r="G333" s="706"/>
      <c r="J333" s="814"/>
    </row>
    <row r="334" spans="1:10" x14ac:dyDescent="0.35">
      <c r="A334" s="403" t="str">
        <f>A333</f>
        <v/>
      </c>
      <c r="B334" t="str">
        <f>IF(LEN('Ch6'!H80)=0,"",'Ch6'!H80)</f>
        <v/>
      </c>
      <c r="C334" t="str">
        <f t="shared" si="8"/>
        <v/>
      </c>
      <c r="D334" s="33"/>
      <c r="E334" s="126"/>
      <c r="F334" s="126"/>
      <c r="G334" s="706"/>
      <c r="J334" s="814"/>
    </row>
    <row r="335" spans="1:10" x14ac:dyDescent="0.35">
      <c r="A335" s="403" t="str">
        <f>A334</f>
        <v/>
      </c>
      <c r="B335" t="str">
        <f>IF(LEN('Ch6'!H81)=0,"",'Ch6'!H81)</f>
        <v/>
      </c>
      <c r="C335" t="str">
        <f t="shared" si="8"/>
        <v/>
      </c>
      <c r="D335" s="33"/>
      <c r="E335" s="126"/>
      <c r="F335" s="126"/>
      <c r="G335" s="706"/>
      <c r="J335" s="814"/>
    </row>
    <row r="336" spans="1:10" x14ac:dyDescent="0.35">
      <c r="A336" s="403" t="str">
        <f>A335</f>
        <v/>
      </c>
      <c r="B336" t="str">
        <f>IF(LEN('Ch6'!H82)=0,"",'Ch6'!H82)</f>
        <v/>
      </c>
      <c r="C336" t="str">
        <f t="shared" si="8"/>
        <v/>
      </c>
      <c r="D336" s="33"/>
      <c r="E336" s="126"/>
      <c r="F336" s="126"/>
      <c r="G336" s="706"/>
      <c r="J336" s="814"/>
    </row>
    <row r="337" spans="1:10" ht="15" customHeight="1" x14ac:dyDescent="0.35">
      <c r="B337" t="str">
        <f>IF(LEN('Ch6'!H83)=0,"",'Ch6'!H83)</f>
        <v/>
      </c>
      <c r="C337" t="str">
        <f t="shared" si="8"/>
        <v/>
      </c>
      <c r="D337" s="33"/>
      <c r="E337" s="126"/>
      <c r="F337" s="126"/>
      <c r="G337" s="714" t="s">
        <v>1299</v>
      </c>
      <c r="J337" s="485"/>
    </row>
    <row r="338" spans="1:10" x14ac:dyDescent="0.35">
      <c r="B338" t="str">
        <f>IF(LEN('Ch6'!H84)=0,"",'Ch6'!H84)</f>
        <v/>
      </c>
      <c r="C338" t="str">
        <f t="shared" si="8"/>
        <v/>
      </c>
      <c r="D338" s="33"/>
      <c r="E338" s="126"/>
      <c r="F338" s="126"/>
      <c r="G338" s="714"/>
      <c r="J338" s="485"/>
    </row>
    <row r="339" spans="1:10" x14ac:dyDescent="0.35">
      <c r="B339" t="str">
        <f>IF(LEN('Ch6'!H85)=0,"",'Ch6'!H85)</f>
        <v/>
      </c>
      <c r="C339" t="str">
        <f t="shared" si="8"/>
        <v/>
      </c>
      <c r="D339" s="33"/>
      <c r="E339" s="126"/>
      <c r="F339" s="126"/>
      <c r="G339" s="744"/>
      <c r="J339" s="485"/>
    </row>
    <row r="340" spans="1:10" ht="15.75" customHeight="1" thickTop="1" x14ac:dyDescent="0.35">
      <c r="A340" s="403" t="str">
        <f>IF(AND(LEN('Ch6'!W86)&gt;0,NOT('Ch6'!W86=FALSE)),"P","")</f>
        <v/>
      </c>
      <c r="B340" t="str">
        <f>IF(LEN('Ch6'!H86)=0,"",'Ch6'!H86)</f>
        <v/>
      </c>
      <c r="C340" t="str">
        <f t="shared" si="8"/>
        <v/>
      </c>
      <c r="D340" s="63">
        <v>601.9</v>
      </c>
      <c r="E340" s="466"/>
      <c r="F340" s="466"/>
      <c r="G340" s="711" t="s">
        <v>582</v>
      </c>
      <c r="H340" s="49">
        <f>'Ch6'!W86</f>
        <v>0</v>
      </c>
      <c r="I340" s="49">
        <f>'Ch6'!O86</f>
        <v>0</v>
      </c>
      <c r="J340" s="813" t="s">
        <v>4177</v>
      </c>
    </row>
    <row r="341" spans="1:10" x14ac:dyDescent="0.35">
      <c r="A341" s="403" t="str">
        <f>A340</f>
        <v/>
      </c>
      <c r="B341" t="str">
        <f>IF(LEN('Ch6'!H87)=0,"",'Ch6'!H87)</f>
        <v/>
      </c>
      <c r="C341" t="str">
        <f t="shared" si="8"/>
        <v/>
      </c>
      <c r="D341" s="33"/>
      <c r="E341" s="126"/>
      <c r="F341" s="126"/>
      <c r="G341" s="706"/>
      <c r="J341" s="813"/>
    </row>
    <row r="342" spans="1:10" x14ac:dyDescent="0.35">
      <c r="A342" s="403" t="str">
        <f>A341</f>
        <v/>
      </c>
      <c r="B342" t="str">
        <f>IF(LEN('Ch6'!H88)=0,"",'Ch6'!H88)</f>
        <v/>
      </c>
      <c r="C342" t="str">
        <f t="shared" si="8"/>
        <v/>
      </c>
      <c r="D342" s="33"/>
      <c r="E342" s="126"/>
      <c r="F342" s="126"/>
      <c r="G342" s="706"/>
      <c r="J342" s="813"/>
    </row>
    <row r="343" spans="1:10" ht="15" customHeight="1" x14ac:dyDescent="0.35">
      <c r="B343" t="str">
        <f>IF(LEN('Ch6'!H89)=0,"",'Ch6'!H89)</f>
        <v/>
      </c>
      <c r="C343" t="str">
        <f t="shared" si="8"/>
        <v/>
      </c>
      <c r="D343" s="33"/>
      <c r="E343" s="126"/>
      <c r="F343" s="126"/>
      <c r="G343" s="714" t="s">
        <v>1299</v>
      </c>
      <c r="J343" s="485"/>
    </row>
    <row r="344" spans="1:10" x14ac:dyDescent="0.35">
      <c r="B344" t="str">
        <f>IF(LEN('Ch6'!H90)=0,"",'Ch6'!H90)</f>
        <v/>
      </c>
      <c r="C344" t="str">
        <f t="shared" si="8"/>
        <v/>
      </c>
      <c r="D344" s="33"/>
      <c r="E344" s="126"/>
      <c r="F344" s="126"/>
      <c r="G344" s="714"/>
      <c r="J344" s="485"/>
    </row>
    <row r="345" spans="1:10" x14ac:dyDescent="0.35">
      <c r="B345" t="str">
        <f>IF(LEN('Ch6'!H91)=0,"",'Ch6'!H91)</f>
        <v/>
      </c>
      <c r="C345" t="str">
        <f t="shared" si="8"/>
        <v/>
      </c>
      <c r="D345" s="33"/>
      <c r="E345" s="126"/>
      <c r="F345" s="126"/>
      <c r="G345" s="714"/>
      <c r="J345" s="485"/>
    </row>
    <row r="346" spans="1:10" ht="18.5" x14ac:dyDescent="0.35">
      <c r="A346" s="403" t="s">
        <v>4326</v>
      </c>
      <c r="B346" t="str">
        <f>IF(LEN('Ch6'!H92)=0,"",'Ch6'!H92)</f>
        <v/>
      </c>
      <c r="C346" t="str">
        <f t="shared" si="8"/>
        <v>P</v>
      </c>
      <c r="D346" s="38" t="s">
        <v>583</v>
      </c>
      <c r="E346" s="38"/>
      <c r="F346" s="38"/>
      <c r="G346" s="174"/>
      <c r="H346" s="174"/>
      <c r="I346" s="174"/>
      <c r="J346" s="499"/>
    </row>
    <row r="347" spans="1:10" ht="15" customHeight="1" x14ac:dyDescent="0.35">
      <c r="B347" t="str">
        <f>IF(LEN('Ch6'!H93)=0,"",'Ch6'!H93)</f>
        <v/>
      </c>
      <c r="C347" t="str">
        <f t="shared" si="8"/>
        <v/>
      </c>
      <c r="D347" s="441" t="s">
        <v>3343</v>
      </c>
      <c r="E347" s="126"/>
      <c r="F347" s="126"/>
      <c r="G347" s="706" t="s">
        <v>584</v>
      </c>
      <c r="J347" s="485"/>
    </row>
    <row r="348" spans="1:10" ht="15" thickBot="1" x14ac:dyDescent="0.4">
      <c r="B348" t="str">
        <f>IF(LEN('Ch6'!H94)=0,"",'Ch6'!H94)</f>
        <v/>
      </c>
      <c r="C348" t="str">
        <f t="shared" si="8"/>
        <v/>
      </c>
      <c r="D348" s="33"/>
      <c r="E348" s="126"/>
      <c r="F348" s="126"/>
      <c r="G348" s="706"/>
      <c r="J348" s="485"/>
    </row>
    <row r="349" spans="1:10" ht="15.5" thickTop="1" thickBot="1" x14ac:dyDescent="0.4">
      <c r="A349" s="600" t="str">
        <f ca="1">IF(COUNTIF(A351:A472,"P")&gt;0,"P","")</f>
        <v>P</v>
      </c>
      <c r="B349" t="str">
        <f>IF(LEN('Ch6'!H95)=0,"",'Ch6'!H95)</f>
        <v/>
      </c>
      <c r="C349" t="str">
        <f t="shared" ca="1" si="8"/>
        <v>P</v>
      </c>
      <c r="D349" s="63">
        <v>602.1</v>
      </c>
      <c r="E349" s="466"/>
      <c r="F349" s="466"/>
      <c r="G349" s="222" t="s">
        <v>585</v>
      </c>
      <c r="J349" s="485"/>
    </row>
    <row r="350" spans="1:10" ht="15" thickTop="1" x14ac:dyDescent="0.35">
      <c r="A350" s="600" t="str">
        <f>IF(COUNTIF(A351:A354,"P")&gt;0,"P","")</f>
        <v/>
      </c>
      <c r="B350" t="str">
        <f>IF(LEN('Ch6'!H96)=0,"",'Ch6'!H96)</f>
        <v/>
      </c>
      <c r="C350" t="str">
        <f t="shared" si="8"/>
        <v/>
      </c>
      <c r="D350" s="63" t="s">
        <v>586</v>
      </c>
      <c r="E350" s="466"/>
      <c r="F350" s="466"/>
      <c r="G350" s="222" t="s">
        <v>587</v>
      </c>
      <c r="J350" s="485"/>
    </row>
    <row r="351" spans="1:10" ht="15" customHeight="1" x14ac:dyDescent="0.35">
      <c r="A351" s="403" t="str">
        <f>IF(AND(LEN('Ch6'!W97)&gt;0,NOT('Ch6'!W97=FALSE)),"P","")</f>
        <v/>
      </c>
      <c r="B351" t="str">
        <f>IF(LEN('Ch6'!H97)=0,"",'Ch6'!H97)</f>
        <v/>
      </c>
      <c r="C351" t="str">
        <f t="shared" si="8"/>
        <v/>
      </c>
      <c r="D351" s="33" t="s">
        <v>588</v>
      </c>
      <c r="E351" s="126"/>
      <c r="F351" s="126"/>
      <c r="G351" s="706" t="s">
        <v>589</v>
      </c>
      <c r="H351" s="49">
        <f>'Ch6'!W97</f>
        <v>0</v>
      </c>
      <c r="J351" s="814" t="s">
        <v>4195</v>
      </c>
    </row>
    <row r="352" spans="1:10" ht="15" thickBot="1" x14ac:dyDescent="0.4">
      <c r="A352" s="403" t="str">
        <f>A351</f>
        <v/>
      </c>
      <c r="B352" t="str">
        <f>IF(LEN('Ch6'!H98)=0,"",'Ch6'!H98)</f>
        <v/>
      </c>
      <c r="C352" t="str">
        <f t="shared" si="8"/>
        <v/>
      </c>
      <c r="D352" s="33"/>
      <c r="E352" s="126"/>
      <c r="F352" s="126"/>
      <c r="G352" s="706"/>
      <c r="J352" s="814"/>
    </row>
    <row r="353" spans="1:10" ht="15" thickBot="1" x14ac:dyDescent="0.4">
      <c r="A353" s="403" t="str">
        <f>A352</f>
        <v/>
      </c>
      <c r="B353" t="str">
        <f>IF(LEN('Ch6'!H99)=0,"",'Ch6'!H99)</f>
        <v/>
      </c>
      <c r="C353" t="str">
        <f t="shared" si="8"/>
        <v/>
      </c>
      <c r="D353" s="442"/>
      <c r="E353" s="149"/>
      <c r="F353" s="149"/>
      <c r="G353" s="739"/>
      <c r="J353" s="814"/>
    </row>
    <row r="354" spans="1:10" ht="15" customHeight="1" x14ac:dyDescent="0.35">
      <c r="A354" s="403" t="str">
        <f>IF(AND(LEN('Ch6'!W100)&gt;0,NOT('Ch6'!W100=FALSE)),"P","")</f>
        <v/>
      </c>
      <c r="B354" t="str">
        <f>IF(LEN('Ch6'!H100)=0,"",'Ch6'!H100)</f>
        <v/>
      </c>
      <c r="C354" t="str">
        <f t="shared" si="8"/>
        <v/>
      </c>
      <c r="D354" s="33" t="s">
        <v>590</v>
      </c>
      <c r="E354" s="126"/>
      <c r="F354" s="126"/>
      <c r="G354" s="706" t="s">
        <v>591</v>
      </c>
      <c r="H354" s="49">
        <f>'Ch6'!W100</f>
        <v>0</v>
      </c>
      <c r="I354" s="49">
        <f>'Ch6'!O100</f>
        <v>0</v>
      </c>
      <c r="J354" s="814" t="s">
        <v>4196</v>
      </c>
    </row>
    <row r="355" spans="1:10" ht="15" thickBot="1" x14ac:dyDescent="0.4">
      <c r="A355" s="403" t="str">
        <f>A354</f>
        <v/>
      </c>
      <c r="B355" t="str">
        <f>IF(LEN('Ch6'!H101)=0,"",'Ch6'!H101)</f>
        <v/>
      </c>
      <c r="C355" t="str">
        <f t="shared" si="8"/>
        <v/>
      </c>
      <c r="D355" s="33"/>
      <c r="E355" s="126"/>
      <c r="F355" s="126"/>
      <c r="G355" s="706"/>
      <c r="J355" s="814"/>
    </row>
    <row r="356" spans="1:10" ht="15.75" customHeight="1" thickTop="1" x14ac:dyDescent="0.35">
      <c r="A356" s="403" t="str">
        <f>IF('Ch6'!O102&gt;0,"P","")</f>
        <v>P</v>
      </c>
      <c r="B356" t="str">
        <f>IF(LEN('Ch6'!H102)=0,"",'Ch6'!H102)</f>
        <v/>
      </c>
      <c r="C356" t="str">
        <f t="shared" si="8"/>
        <v>P</v>
      </c>
      <c r="D356" s="63" t="s">
        <v>3344</v>
      </c>
      <c r="E356" s="466"/>
      <c r="F356" s="466"/>
      <c r="G356" s="711" t="s">
        <v>593</v>
      </c>
      <c r="I356" s="49">
        <f>'Ch6'!O102</f>
        <v>4</v>
      </c>
      <c r="J356" s="814" t="s">
        <v>4197</v>
      </c>
    </row>
    <row r="357" spans="1:10" ht="15" thickBot="1" x14ac:dyDescent="0.4">
      <c r="A357" s="403" t="str">
        <f>A356</f>
        <v>P</v>
      </c>
      <c r="B357" t="str">
        <f>IF(LEN('Ch6'!H103)=0,"",'Ch6'!H103)</f>
        <v/>
      </c>
      <c r="C357" t="str">
        <f t="shared" si="8"/>
        <v>P</v>
      </c>
      <c r="D357" s="33"/>
      <c r="E357" s="126"/>
      <c r="F357" s="126"/>
      <c r="G357" s="706"/>
      <c r="J357" s="814"/>
    </row>
    <row r="358" spans="1:10" ht="15" thickBot="1" x14ac:dyDescent="0.4">
      <c r="B358" t="str">
        <f>IF(LEN('Ch6'!H104)=0,"",'Ch6'!H104)</f>
        <v/>
      </c>
      <c r="C358" t="str">
        <f t="shared" si="8"/>
        <v/>
      </c>
      <c r="D358" s="33"/>
      <c r="E358" s="459" t="s">
        <v>270</v>
      </c>
      <c r="F358" s="149"/>
      <c r="G358" s="214" t="s">
        <v>594</v>
      </c>
      <c r="H358" s="49" t="b">
        <f>'Ch6'!W104</f>
        <v>1</v>
      </c>
      <c r="J358" s="490"/>
    </row>
    <row r="359" spans="1:10" ht="15" thickBot="1" x14ac:dyDescent="0.4">
      <c r="B359" t="str">
        <f>IF(LEN('Ch6'!H105)=0,"",'Ch6'!H105)</f>
        <v/>
      </c>
      <c r="C359" t="str">
        <f t="shared" si="8"/>
        <v/>
      </c>
      <c r="D359" s="443"/>
      <c r="E359" s="446" t="s">
        <v>272</v>
      </c>
      <c r="F359" s="448"/>
      <c r="G359" s="223" t="s">
        <v>595</v>
      </c>
      <c r="H359" s="49">
        <f>'Ch6'!W105</f>
        <v>0</v>
      </c>
      <c r="J359" s="490"/>
    </row>
    <row r="360" spans="1:10" ht="15.5" thickTop="1" thickBot="1" x14ac:dyDescent="0.4">
      <c r="A360" s="600" t="str">
        <f>IF(COUNTIF(A361:A363,"P")&gt;0,"P","")</f>
        <v>P</v>
      </c>
      <c r="B360" t="str">
        <f>IF(LEN('Ch6'!H106)=0,"",'Ch6'!H106)</f>
        <v/>
      </c>
      <c r="C360" t="str">
        <f t="shared" si="8"/>
        <v>P</v>
      </c>
      <c r="D360" s="63" t="s">
        <v>596</v>
      </c>
      <c r="E360" s="466"/>
      <c r="F360" s="466"/>
      <c r="G360" s="222" t="s">
        <v>597</v>
      </c>
      <c r="J360" s="485"/>
    </row>
    <row r="361" spans="1:10" ht="15" customHeight="1" x14ac:dyDescent="0.35">
      <c r="A361" s="403" t="str">
        <f>IF(AND(LEN('Ch6'!W107)&gt;0,NOT('Ch6'!W107=FALSE)),"P","")</f>
        <v/>
      </c>
      <c r="B361" t="str">
        <f>IF(LEN('Ch6'!H107)=0,"",'Ch6'!H107)</f>
        <v/>
      </c>
      <c r="C361" t="str">
        <f t="shared" si="8"/>
        <v/>
      </c>
      <c r="D361" s="33" t="s">
        <v>598</v>
      </c>
      <c r="E361" s="126"/>
      <c r="F361" s="126"/>
      <c r="G361" s="706" t="s">
        <v>599</v>
      </c>
      <c r="H361" s="49">
        <f>'Ch6'!W107</f>
        <v>0</v>
      </c>
      <c r="J361" s="819" t="s">
        <v>4281</v>
      </c>
    </row>
    <row r="362" spans="1:10" ht="15" thickBot="1" x14ac:dyDescent="0.4">
      <c r="A362" s="403" t="str">
        <f>A361</f>
        <v/>
      </c>
      <c r="B362" t="str">
        <f>IF(LEN('Ch6'!H108)=0,"",'Ch6'!H108)</f>
        <v/>
      </c>
      <c r="C362" t="str">
        <f t="shared" si="8"/>
        <v/>
      </c>
      <c r="D362" s="442"/>
      <c r="E362" s="149"/>
      <c r="F362" s="149"/>
      <c r="G362" s="739"/>
      <c r="J362" s="819"/>
    </row>
    <row r="363" spans="1:10" ht="15" customHeight="1" x14ac:dyDescent="0.35">
      <c r="A363" s="403" t="str">
        <f>IF(AND(LEN('Ch6'!W109)&gt;0,NOT('Ch6'!W109=FALSE)),"P","")</f>
        <v>P</v>
      </c>
      <c r="B363" t="str">
        <f>IF(LEN('Ch6'!H109)=0,"",'Ch6'!H109)</f>
        <v/>
      </c>
      <c r="C363" t="str">
        <f t="shared" si="8"/>
        <v>P</v>
      </c>
      <c r="D363" s="33" t="s">
        <v>600</v>
      </c>
      <c r="E363" s="126"/>
      <c r="F363" s="126"/>
      <c r="G363" s="706" t="s">
        <v>601</v>
      </c>
      <c r="H363" s="49" t="b">
        <f>'Ch6'!W109</f>
        <v>1</v>
      </c>
      <c r="I363" s="49">
        <f>'Ch6'!O109</f>
        <v>4</v>
      </c>
      <c r="J363" s="813" t="s">
        <v>4198</v>
      </c>
    </row>
    <row r="364" spans="1:10" ht="15" thickBot="1" x14ac:dyDescent="0.4">
      <c r="A364" s="403" t="str">
        <f>A363</f>
        <v>P</v>
      </c>
      <c r="B364" t="str">
        <f>IF(LEN('Ch6'!H110)=0,"",'Ch6'!H110)</f>
        <v/>
      </c>
      <c r="C364" t="str">
        <f t="shared" si="8"/>
        <v>P</v>
      </c>
      <c r="D364" s="33"/>
      <c r="E364" s="126"/>
      <c r="F364" s="126"/>
      <c r="G364" s="706"/>
      <c r="J364" s="813"/>
    </row>
    <row r="365" spans="1:10" ht="15.5" thickTop="1" thickBot="1" x14ac:dyDescent="0.4">
      <c r="A365" s="600" t="str">
        <f>IF(COUNTIF(A366:A372,"P")&gt;0,"P","")</f>
        <v>P</v>
      </c>
      <c r="B365" t="str">
        <f>IF(LEN('Ch6'!H111)=0,"",'Ch6'!H111)</f>
        <v/>
      </c>
      <c r="C365" t="str">
        <f t="shared" si="8"/>
        <v>P</v>
      </c>
      <c r="D365" s="63" t="s">
        <v>602</v>
      </c>
      <c r="E365" s="466"/>
      <c r="F365" s="466"/>
      <c r="G365" s="222" t="s">
        <v>603</v>
      </c>
      <c r="J365" s="485"/>
    </row>
    <row r="366" spans="1:10" ht="15" customHeight="1" x14ac:dyDescent="0.35">
      <c r="A366" s="403" t="str">
        <f>IF(SUM(I369)&gt;0,"P","")</f>
        <v/>
      </c>
      <c r="B366" t="str">
        <f>IF(LEN('Ch6'!H112)=0,"",'Ch6'!H112)</f>
        <v/>
      </c>
      <c r="C366" t="str">
        <f t="shared" si="8"/>
        <v/>
      </c>
      <c r="D366" s="33" t="s">
        <v>604</v>
      </c>
      <c r="E366" s="126"/>
      <c r="F366" s="126"/>
      <c r="G366" s="706" t="s">
        <v>605</v>
      </c>
      <c r="J366" s="814" t="s">
        <v>4177</v>
      </c>
    </row>
    <row r="367" spans="1:10" ht="15" thickBot="1" x14ac:dyDescent="0.4">
      <c r="A367" s="403" t="str">
        <f>A366</f>
        <v/>
      </c>
      <c r="B367" t="str">
        <f>IF(LEN('Ch6'!H113)=0,"",'Ch6'!H113)</f>
        <v/>
      </c>
      <c r="C367" t="str">
        <f t="shared" si="8"/>
        <v/>
      </c>
      <c r="D367" s="33"/>
      <c r="E367" s="126"/>
      <c r="F367" s="126"/>
      <c r="G367" s="706"/>
      <c r="J367" s="814"/>
    </row>
    <row r="368" spans="1:10" ht="15" thickBot="1" x14ac:dyDescent="0.4">
      <c r="A368" s="403" t="str">
        <f>A367</f>
        <v/>
      </c>
      <c r="B368" t="str">
        <f>IF(LEN('Ch6'!H114)=0,"",'Ch6'!H114)</f>
        <v/>
      </c>
      <c r="C368" t="str">
        <f t="shared" si="8"/>
        <v/>
      </c>
      <c r="D368" s="33"/>
      <c r="E368" s="126"/>
      <c r="F368" s="126"/>
      <c r="G368" s="706"/>
      <c r="J368" s="814"/>
    </row>
    <row r="369" spans="1:10" ht="15" customHeight="1" x14ac:dyDescent="0.35">
      <c r="B369" t="str">
        <f>IF(LEN('Ch6'!H115)=0,"",'Ch6'!H115)</f>
        <v/>
      </c>
      <c r="C369" t="str">
        <f t="shared" si="8"/>
        <v/>
      </c>
      <c r="D369" s="33"/>
      <c r="E369" s="441" t="s">
        <v>270</v>
      </c>
      <c r="F369" s="126"/>
      <c r="G369" s="707" t="s">
        <v>606</v>
      </c>
      <c r="H369" s="49">
        <f>'Ch6'!W115</f>
        <v>0</v>
      </c>
      <c r="I369" s="49">
        <f>'Ch6'!O115</f>
        <v>0</v>
      </c>
      <c r="J369" s="490"/>
    </row>
    <row r="370" spans="1:10" ht="15" thickBot="1" x14ac:dyDescent="0.4">
      <c r="B370" t="str">
        <f>IF(LEN('Ch6'!H116)=0,"",'Ch6'!H116)</f>
        <v/>
      </c>
      <c r="C370" t="str">
        <f t="shared" si="8"/>
        <v/>
      </c>
      <c r="D370" s="33"/>
      <c r="E370" s="149"/>
      <c r="F370" s="149"/>
      <c r="G370" s="709"/>
      <c r="J370" s="495"/>
    </row>
    <row r="371" spans="1:10" ht="15" thickBot="1" x14ac:dyDescent="0.4">
      <c r="B371" t="str">
        <f>IF(LEN('Ch6'!H117)=0,"",'Ch6'!H117)</f>
        <v/>
      </c>
      <c r="C371" t="str">
        <f t="shared" si="8"/>
        <v/>
      </c>
      <c r="D371" s="442"/>
      <c r="E371" s="459" t="s">
        <v>272</v>
      </c>
      <c r="F371" s="149"/>
      <c r="G371" s="214" t="s">
        <v>607</v>
      </c>
      <c r="H371" s="49">
        <f>'Ch6'!W117</f>
        <v>0</v>
      </c>
      <c r="J371" s="495"/>
    </row>
    <row r="372" spans="1:10" ht="15" customHeight="1" x14ac:dyDescent="0.35">
      <c r="A372" s="600" t="str">
        <f>IF(COUNTIF(A375:A377,"P")&gt;0,"P","")</f>
        <v>P</v>
      </c>
      <c r="B372" t="str">
        <f>IF(LEN('Ch6'!H118)=0,"",'Ch6'!H118)</f>
        <v/>
      </c>
      <c r="C372" t="str">
        <f t="shared" si="8"/>
        <v>P</v>
      </c>
      <c r="D372" s="33" t="s">
        <v>608</v>
      </c>
      <c r="E372" s="126"/>
      <c r="F372" s="126"/>
      <c r="G372" s="706" t="s">
        <v>609</v>
      </c>
      <c r="J372" s="485"/>
    </row>
    <row r="373" spans="1:10" ht="15" thickBot="1" x14ac:dyDescent="0.4">
      <c r="A373" s="403" t="str">
        <f>A372</f>
        <v>P</v>
      </c>
      <c r="B373" t="str">
        <f>IF(LEN('Ch6'!H119)=0,"",'Ch6'!H119)</f>
        <v/>
      </c>
      <c r="C373" t="str">
        <f t="shared" si="8"/>
        <v>P</v>
      </c>
      <c r="D373" s="33"/>
      <c r="E373" s="126"/>
      <c r="F373" s="126"/>
      <c r="G373" s="706"/>
      <c r="J373" s="485"/>
    </row>
    <row r="374" spans="1:10" ht="15" thickBot="1" x14ac:dyDescent="0.4">
      <c r="A374" s="403" t="str">
        <f>A373</f>
        <v>P</v>
      </c>
      <c r="B374" t="str">
        <f>IF(LEN('Ch6'!H120)=0,"",'Ch6'!H120)</f>
        <v/>
      </c>
      <c r="C374" t="str">
        <f t="shared" si="8"/>
        <v>P</v>
      </c>
      <c r="D374" s="33"/>
      <c r="E374" s="126"/>
      <c r="F374" s="126"/>
      <c r="G374" s="706"/>
      <c r="J374" s="485"/>
    </row>
    <row r="375" spans="1:10" ht="15" customHeight="1" x14ac:dyDescent="0.35">
      <c r="A375" s="403" t="str">
        <f>IF(AND(LEN('Ch6'!W121)&gt;0,NOT('Ch6'!W121=FALSE)),"P","")</f>
        <v/>
      </c>
      <c r="B375" t="str">
        <f>IF(LEN('Ch6'!H121)=0,"",'Ch6'!H121)</f>
        <v/>
      </c>
      <c r="C375" t="str">
        <f t="shared" si="8"/>
        <v/>
      </c>
      <c r="D375" s="33"/>
      <c r="E375" s="441" t="s">
        <v>270</v>
      </c>
      <c r="F375" s="126"/>
      <c r="G375" s="707" t="s">
        <v>3242</v>
      </c>
      <c r="H375" s="49">
        <f>'Ch6'!W121</f>
        <v>0</v>
      </c>
      <c r="I375" s="49">
        <f>'Ch6'!O121</f>
        <v>0</v>
      </c>
      <c r="J375" s="814" t="s">
        <v>4196</v>
      </c>
    </row>
    <row r="376" spans="1:10" ht="15" thickBot="1" x14ac:dyDescent="0.4">
      <c r="A376" s="403" t="str">
        <f>A375</f>
        <v/>
      </c>
      <c r="B376" t="str">
        <f>IF(LEN('Ch6'!H122)=0,"",'Ch6'!H122)</f>
        <v/>
      </c>
      <c r="C376" t="str">
        <f t="shared" si="8"/>
        <v/>
      </c>
      <c r="D376" s="33"/>
      <c r="E376" s="149"/>
      <c r="F376" s="149"/>
      <c r="G376" s="709"/>
      <c r="J376" s="814"/>
    </row>
    <row r="377" spans="1:10" ht="15" customHeight="1" x14ac:dyDescent="0.35">
      <c r="A377" s="403" t="str">
        <f>IF(AND(LEN('Ch6'!W123)&gt;0,NOT('Ch6'!W123=FALSE)),"P","")</f>
        <v>P</v>
      </c>
      <c r="B377" t="str">
        <f>IF(LEN('Ch6'!H123)=0,"",'Ch6'!H123)</f>
        <v/>
      </c>
      <c r="C377" t="str">
        <f t="shared" si="8"/>
        <v>P</v>
      </c>
      <c r="D377" s="33"/>
      <c r="E377" s="441" t="s">
        <v>272</v>
      </c>
      <c r="F377" s="126"/>
      <c r="G377" s="707" t="s">
        <v>3243</v>
      </c>
      <c r="H377" s="49" t="str">
        <f>'Ch6'!W123</f>
        <v>Met</v>
      </c>
      <c r="J377" s="813" t="s">
        <v>4177</v>
      </c>
    </row>
    <row r="378" spans="1:10" ht="15" thickBot="1" x14ac:dyDescent="0.4">
      <c r="A378" s="403" t="str">
        <f>A377</f>
        <v>P</v>
      </c>
      <c r="B378" t="str">
        <f>IF(LEN('Ch6'!H124)=0,"",'Ch6'!H124)</f>
        <v/>
      </c>
      <c r="C378" t="str">
        <f t="shared" si="8"/>
        <v>P</v>
      </c>
      <c r="D378" s="33"/>
      <c r="E378" s="126"/>
      <c r="F378" s="126"/>
      <c r="G378" s="707"/>
      <c r="J378" s="813"/>
    </row>
    <row r="379" spans="1:10" ht="15.5" thickTop="1" thickBot="1" x14ac:dyDescent="0.4">
      <c r="A379" s="403" t="str">
        <f ca="1">IF(SUM(I381:I383)&gt;0,"P","")</f>
        <v/>
      </c>
      <c r="B379" t="str">
        <f>IF(LEN('Ch6'!H125)=0,"",'Ch6'!H125)</f>
        <v/>
      </c>
      <c r="C379" t="str">
        <f t="shared" ca="1" si="8"/>
        <v/>
      </c>
      <c r="D379" s="63" t="s">
        <v>610</v>
      </c>
      <c r="E379" s="466"/>
      <c r="F379" s="466"/>
      <c r="G379" s="213" t="s">
        <v>611</v>
      </c>
      <c r="J379" s="495" t="s">
        <v>4177</v>
      </c>
    </row>
    <row r="380" spans="1:10" ht="15" thickBot="1" x14ac:dyDescent="0.4">
      <c r="B380" t="str">
        <f>IF(LEN('Ch6'!H126)=0,"",'Ch6'!H126)</f>
        <v/>
      </c>
      <c r="C380" t="str">
        <f t="shared" si="8"/>
        <v/>
      </c>
      <c r="D380" s="33"/>
      <c r="E380" s="126"/>
      <c r="F380" s="126"/>
      <c r="G380" s="207" t="s">
        <v>3234</v>
      </c>
      <c r="H380" s="49">
        <f>'Ch6'!W126</f>
        <v>0</v>
      </c>
      <c r="J380" s="490"/>
    </row>
    <row r="381" spans="1:10" ht="15" customHeight="1" x14ac:dyDescent="0.35">
      <c r="B381" t="str">
        <f>IF(LEN('Ch6'!H127)=0,"",'Ch6'!H127)</f>
        <v/>
      </c>
      <c r="C381" t="str">
        <f t="shared" si="8"/>
        <v/>
      </c>
      <c r="D381" s="33"/>
      <c r="E381" s="441" t="s">
        <v>270</v>
      </c>
      <c r="F381" s="126"/>
      <c r="G381" s="707" t="s">
        <v>612</v>
      </c>
      <c r="H381" s="49">
        <f>'Ch6'!W127</f>
        <v>0</v>
      </c>
      <c r="I381" s="49">
        <f ca="1">'Ch6'!O127</f>
        <v>0</v>
      </c>
      <c r="J381" s="495"/>
    </row>
    <row r="382" spans="1:10" ht="15" thickBot="1" x14ac:dyDescent="0.4">
      <c r="B382" t="str">
        <f>IF(LEN('Ch6'!H128)=0,"",'Ch6'!H128)</f>
        <v/>
      </c>
      <c r="C382" t="str">
        <f t="shared" si="8"/>
        <v/>
      </c>
      <c r="D382" s="33"/>
      <c r="E382" s="149"/>
      <c r="F382" s="149"/>
      <c r="G382" s="709"/>
      <c r="J382" s="495"/>
    </row>
    <row r="383" spans="1:10" ht="15" customHeight="1" x14ac:dyDescent="0.35">
      <c r="B383" t="str">
        <f>IF(LEN('Ch6'!H129)=0,"",'Ch6'!H129)</f>
        <v/>
      </c>
      <c r="C383" t="str">
        <f t="shared" si="8"/>
        <v/>
      </c>
      <c r="D383" s="33"/>
      <c r="E383" s="441" t="s">
        <v>272</v>
      </c>
      <c r="F383" s="126"/>
      <c r="G383" s="707" t="s">
        <v>613</v>
      </c>
      <c r="H383" s="49">
        <f>'Ch6'!W129</f>
        <v>0</v>
      </c>
      <c r="I383" s="49">
        <f ca="1">'Ch6'!O129</f>
        <v>0</v>
      </c>
      <c r="J383" s="495"/>
    </row>
    <row r="384" spans="1:10" ht="15" thickBot="1" x14ac:dyDescent="0.4">
      <c r="B384" t="str">
        <f>IF(LEN('Ch6'!H130)=0,"",'Ch6'!H130)</f>
        <v/>
      </c>
      <c r="C384" t="str">
        <f t="shared" si="8"/>
        <v/>
      </c>
      <c r="D384" s="33"/>
      <c r="E384" s="126"/>
      <c r="F384" s="126"/>
      <c r="G384" s="707"/>
      <c r="J384" s="495"/>
    </row>
    <row r="385" spans="1:10" ht="15" thickBot="1" x14ac:dyDescent="0.4">
      <c r="B385" t="str">
        <f>IF(LEN('Ch6'!H131)=0,"",'Ch6'!H131)</f>
        <v/>
      </c>
      <c r="C385" t="str">
        <f t="shared" si="8"/>
        <v/>
      </c>
      <c r="D385" s="33"/>
      <c r="E385" s="126"/>
      <c r="F385" s="126"/>
      <c r="G385" s="707"/>
      <c r="J385" s="495"/>
    </row>
    <row r="386" spans="1:10" ht="15.75" customHeight="1" thickTop="1" x14ac:dyDescent="0.35">
      <c r="A386" s="403" t="str">
        <f ca="1">IF(SUM(I389:I397)&gt;0,"P","")</f>
        <v/>
      </c>
      <c r="B386" t="str">
        <f>IF(LEN('Ch6'!H132)=0,"",'Ch6'!H132)</f>
        <v/>
      </c>
      <c r="C386" t="str">
        <f t="shared" ca="1" si="8"/>
        <v/>
      </c>
      <c r="D386" s="63" t="s">
        <v>614</v>
      </c>
      <c r="E386" s="466"/>
      <c r="F386" s="466"/>
      <c r="G386" s="711" t="s">
        <v>615</v>
      </c>
      <c r="J386" s="813" t="s">
        <v>4177</v>
      </c>
    </row>
    <row r="387" spans="1:10" ht="15" thickBot="1" x14ac:dyDescent="0.4">
      <c r="A387" s="403" t="str">
        <f ca="1">A386</f>
        <v/>
      </c>
      <c r="B387" t="str">
        <f>IF(LEN('Ch6'!H133)=0,"",'Ch6'!H133)</f>
        <v/>
      </c>
      <c r="C387" t="str">
        <f t="shared" ca="1" si="8"/>
        <v/>
      </c>
      <c r="D387" s="33"/>
      <c r="E387" s="126"/>
      <c r="F387" s="126"/>
      <c r="G387" s="706"/>
      <c r="J387" s="813"/>
    </row>
    <row r="388" spans="1:10" ht="15" thickBot="1" x14ac:dyDescent="0.4">
      <c r="B388" t="str">
        <f>IF(LEN('Ch6'!H134)=0,"",'Ch6'!H134)</f>
        <v/>
      </c>
      <c r="C388" t="str">
        <f t="shared" si="8"/>
        <v/>
      </c>
      <c r="D388" s="33"/>
      <c r="E388" s="126"/>
      <c r="F388" s="126"/>
      <c r="G388" s="207" t="s">
        <v>3234</v>
      </c>
      <c r="J388" s="485"/>
    </row>
    <row r="389" spans="1:10" ht="15" customHeight="1" x14ac:dyDescent="0.35">
      <c r="B389" t="str">
        <f>IF(LEN('Ch6'!H135)=0,"",'Ch6'!H135)</f>
        <v/>
      </c>
      <c r="C389" t="str">
        <f t="shared" si="8"/>
        <v/>
      </c>
      <c r="D389" s="33"/>
      <c r="E389" s="441" t="s">
        <v>270</v>
      </c>
      <c r="F389" s="126"/>
      <c r="G389" s="707" t="s">
        <v>616</v>
      </c>
      <c r="H389" s="49">
        <f>'Ch6'!W135</f>
        <v>0</v>
      </c>
      <c r="I389" s="49">
        <f ca="1">'Ch6'!O135</f>
        <v>0</v>
      </c>
      <c r="J389" s="490"/>
    </row>
    <row r="390" spans="1:10" ht="15" thickBot="1" x14ac:dyDescent="0.4">
      <c r="B390" t="str">
        <f>IF(LEN('Ch6'!H136)=0,"",'Ch6'!H136)</f>
        <v/>
      </c>
      <c r="C390" t="str">
        <f t="shared" si="8"/>
        <v/>
      </c>
      <c r="D390" s="33"/>
      <c r="E390" s="126"/>
      <c r="F390" s="126"/>
      <c r="G390" s="707"/>
      <c r="J390" s="485"/>
    </row>
    <row r="391" spans="1:10" ht="15" thickBot="1" x14ac:dyDescent="0.4">
      <c r="B391" t="str">
        <f>IF(LEN('Ch6'!H137)=0,"",'Ch6'!H137)</f>
        <v/>
      </c>
      <c r="C391" t="str">
        <f t="shared" si="8"/>
        <v/>
      </c>
      <c r="D391" s="33"/>
      <c r="E391" s="126"/>
      <c r="F391" s="126"/>
      <c r="G391" s="707"/>
      <c r="J391" s="485"/>
    </row>
    <row r="392" spans="1:10" ht="15" thickBot="1" x14ac:dyDescent="0.4">
      <c r="B392" t="str">
        <f>IF(LEN('Ch6'!H138)=0,"",'Ch6'!H138)</f>
        <v/>
      </c>
      <c r="C392" t="str">
        <f t="shared" si="8"/>
        <v/>
      </c>
      <c r="D392" s="33"/>
      <c r="E392" s="149"/>
      <c r="F392" s="149"/>
      <c r="G392" s="709"/>
      <c r="J392" s="485"/>
    </row>
    <row r="393" spans="1:10" ht="15" customHeight="1" x14ac:dyDescent="0.35">
      <c r="B393" t="str">
        <f>IF(LEN('Ch6'!H139)=0,"",'Ch6'!H139)</f>
        <v/>
      </c>
      <c r="C393" t="str">
        <f t="shared" ref="C393:C456" si="9">IF(LEN(B393)=0,IF(A393="P","P",""),B393)</f>
        <v/>
      </c>
      <c r="D393" s="33"/>
      <c r="E393" s="470" t="s">
        <v>272</v>
      </c>
      <c r="F393" s="471"/>
      <c r="G393" s="742" t="s">
        <v>617</v>
      </c>
      <c r="H393" s="49">
        <f>'Ch6'!W139</f>
        <v>0</v>
      </c>
      <c r="I393" s="49">
        <f ca="1">'Ch6'!O139</f>
        <v>0</v>
      </c>
      <c r="J393" s="485"/>
    </row>
    <row r="394" spans="1:10" ht="15" thickBot="1" x14ac:dyDescent="0.4">
      <c r="B394" t="str">
        <f>IF(LEN('Ch6'!H140)=0,"",'Ch6'!H140)</f>
        <v/>
      </c>
      <c r="C394" t="str">
        <f t="shared" si="9"/>
        <v/>
      </c>
      <c r="D394" s="33"/>
      <c r="E394" s="126"/>
      <c r="F394" s="126"/>
      <c r="G394" s="707"/>
      <c r="J394" s="485"/>
    </row>
    <row r="395" spans="1:10" ht="15" thickBot="1" x14ac:dyDescent="0.4">
      <c r="B395" t="str">
        <f>IF(LEN('Ch6'!H141)=0,"",'Ch6'!H141)</f>
        <v/>
      </c>
      <c r="C395" t="str">
        <f t="shared" si="9"/>
        <v/>
      </c>
      <c r="D395" s="33"/>
      <c r="E395" s="126"/>
      <c r="F395" s="126"/>
      <c r="G395" s="707"/>
      <c r="J395" s="485"/>
    </row>
    <row r="396" spans="1:10" ht="15" thickBot="1" x14ac:dyDescent="0.4">
      <c r="B396" t="str">
        <f>IF(LEN('Ch6'!H142)=0,"",'Ch6'!H142)</f>
        <v/>
      </c>
      <c r="C396" t="str">
        <f t="shared" si="9"/>
        <v/>
      </c>
      <c r="D396" s="33"/>
      <c r="E396" s="149"/>
      <c r="F396" s="149"/>
      <c r="G396" s="709"/>
      <c r="J396" s="485"/>
    </row>
    <row r="397" spans="1:10" ht="15" customHeight="1" x14ac:dyDescent="0.35">
      <c r="B397" t="str">
        <f>IF(LEN('Ch6'!H143)=0,"",'Ch6'!H143)</f>
        <v/>
      </c>
      <c r="C397" t="str">
        <f t="shared" si="9"/>
        <v/>
      </c>
      <c r="D397" s="33"/>
      <c r="E397" s="441" t="s">
        <v>274</v>
      </c>
      <c r="F397" s="126"/>
      <c r="G397" s="707" t="s">
        <v>618</v>
      </c>
      <c r="H397" s="49">
        <f>'Ch6'!W143</f>
        <v>0</v>
      </c>
      <c r="I397" s="49">
        <f ca="1">'Ch6'!O143</f>
        <v>0</v>
      </c>
      <c r="J397" s="485"/>
    </row>
    <row r="398" spans="1:10" ht="15" thickBot="1" x14ac:dyDescent="0.4">
      <c r="B398" t="str">
        <f>IF(LEN('Ch6'!H144)=0,"",'Ch6'!H144)</f>
        <v/>
      </c>
      <c r="C398" t="str">
        <f t="shared" si="9"/>
        <v/>
      </c>
      <c r="D398" s="33"/>
      <c r="E398" s="126"/>
      <c r="F398" s="126"/>
      <c r="G398" s="707"/>
      <c r="J398" s="485"/>
    </row>
    <row r="399" spans="1:10" ht="15" thickBot="1" x14ac:dyDescent="0.4">
      <c r="B399" t="str">
        <f>IF(LEN('Ch6'!H145)=0,"",'Ch6'!H145)</f>
        <v/>
      </c>
      <c r="C399" t="str">
        <f t="shared" si="9"/>
        <v/>
      </c>
      <c r="D399" s="33"/>
      <c r="E399" s="126"/>
      <c r="F399" s="126"/>
      <c r="G399" s="707"/>
      <c r="J399" s="485"/>
    </row>
    <row r="400" spans="1:10" ht="15.5" thickTop="1" thickBot="1" x14ac:dyDescent="0.4">
      <c r="A400" s="600" t="str">
        <f>IF(COUNTIF(A402:A411,"P")&gt;0,"P","")</f>
        <v>P</v>
      </c>
      <c r="B400" t="str">
        <f>IF(LEN('Ch6'!H146)=0,"",'Ch6'!H146)</f>
        <v/>
      </c>
      <c r="C400" t="str">
        <f t="shared" si="9"/>
        <v>P</v>
      </c>
      <c r="D400" s="63" t="s">
        <v>619</v>
      </c>
      <c r="E400" s="466"/>
      <c r="F400" s="466"/>
      <c r="G400" s="222" t="s">
        <v>620</v>
      </c>
      <c r="J400" s="485"/>
    </row>
    <row r="401" spans="1:10" ht="15" thickBot="1" x14ac:dyDescent="0.4">
      <c r="A401" s="600" t="str">
        <f>IF(COUNTIF(A402:A407,"P")&gt;0,"P","")</f>
        <v>P</v>
      </c>
      <c r="B401" t="str">
        <f>IF(LEN('Ch6'!H147)=0,"",'Ch6'!H147)</f>
        <v/>
      </c>
      <c r="C401" t="str">
        <f t="shared" si="9"/>
        <v>P</v>
      </c>
      <c r="D401" s="33" t="s">
        <v>621</v>
      </c>
      <c r="E401" s="126"/>
      <c r="F401" s="126"/>
      <c r="G401" s="110" t="s">
        <v>622</v>
      </c>
      <c r="J401" s="485"/>
    </row>
    <row r="402" spans="1:10" ht="15" customHeight="1" x14ac:dyDescent="0.35">
      <c r="A402" s="403" t="str">
        <f>IF(AND(LEN('Ch6'!W148)&gt;0,NOT('Ch6'!W148=FALSE)),"P","")</f>
        <v>P</v>
      </c>
      <c r="B402" t="str">
        <f>IF(LEN('Ch6'!H148)=0,"",'Ch6'!H148)</f>
        <v/>
      </c>
      <c r="C402" t="str">
        <f t="shared" si="9"/>
        <v>P</v>
      </c>
      <c r="D402" s="33"/>
      <c r="E402" s="441" t="s">
        <v>270</v>
      </c>
      <c r="F402" s="126"/>
      <c r="G402" s="707" t="s">
        <v>623</v>
      </c>
      <c r="H402" s="49" t="b">
        <f>'Ch6'!W148</f>
        <v>1</v>
      </c>
      <c r="I402" s="49">
        <f>'Ch6'!O148</f>
        <v>2</v>
      </c>
      <c r="J402" s="813" t="s">
        <v>4177</v>
      </c>
    </row>
    <row r="403" spans="1:10" ht="15" thickBot="1" x14ac:dyDescent="0.4">
      <c r="A403" s="403" t="str">
        <f>A402</f>
        <v>P</v>
      </c>
      <c r="B403" t="str">
        <f>IF(LEN('Ch6'!H149)=0,"",'Ch6'!H149)</f>
        <v/>
      </c>
      <c r="C403" t="str">
        <f t="shared" si="9"/>
        <v>P</v>
      </c>
      <c r="D403" s="33"/>
      <c r="E403" s="149"/>
      <c r="F403" s="149"/>
      <c r="G403" s="709"/>
      <c r="J403" s="813"/>
    </row>
    <row r="404" spans="1:10" ht="15" customHeight="1" x14ac:dyDescent="0.35">
      <c r="A404" s="403" t="str">
        <f>IF(AND(LEN('Ch6'!W150)&gt;0,NOT('Ch6'!W150=FALSE)),"P","")</f>
        <v>P</v>
      </c>
      <c r="B404" t="str">
        <f>IF(LEN('Ch6'!H150)=0,"",'Ch6'!H150)</f>
        <v/>
      </c>
      <c r="C404" t="str">
        <f t="shared" si="9"/>
        <v>P</v>
      </c>
      <c r="D404" s="33"/>
      <c r="E404" s="441" t="s">
        <v>272</v>
      </c>
      <c r="F404" s="126"/>
      <c r="G404" s="707" t="s">
        <v>624</v>
      </c>
      <c r="H404" s="49" t="str">
        <f>'Ch6'!W150</f>
        <v>Met</v>
      </c>
      <c r="I404" s="49">
        <f>'Ch6'!O150</f>
        <v>2</v>
      </c>
      <c r="J404" s="813" t="s">
        <v>4199</v>
      </c>
    </row>
    <row r="405" spans="1:10" ht="15" thickBot="1" x14ac:dyDescent="0.4">
      <c r="A405" s="403" t="str">
        <f>A404</f>
        <v>P</v>
      </c>
      <c r="B405" t="str">
        <f>IF(LEN('Ch6'!H151)=0,"",'Ch6'!H151)</f>
        <v/>
      </c>
      <c r="C405" t="str">
        <f t="shared" si="9"/>
        <v>P</v>
      </c>
      <c r="D405" s="33"/>
      <c r="E405" s="126"/>
      <c r="F405" s="126"/>
      <c r="G405" s="707"/>
      <c r="J405" s="813"/>
    </row>
    <row r="406" spans="1:10" ht="15" thickBot="1" x14ac:dyDescent="0.4">
      <c r="B406" t="str">
        <f>IF(LEN('Ch6'!H152)=0,"",'Ch6'!H152)</f>
        <v/>
      </c>
      <c r="C406" t="str">
        <f t="shared" si="9"/>
        <v/>
      </c>
      <c r="D406" s="33"/>
      <c r="E406" s="149"/>
      <c r="F406" s="149"/>
      <c r="G406" s="121" t="s">
        <v>1301</v>
      </c>
      <c r="J406" s="485"/>
    </row>
    <row r="407" spans="1:10" ht="15" customHeight="1" x14ac:dyDescent="0.35">
      <c r="A407" s="403" t="str">
        <f>IF(AND(LEN('Ch6'!W153)&gt;0,NOT('Ch6'!W153=FALSE)),"P","")</f>
        <v/>
      </c>
      <c r="B407" t="str">
        <f>IF(LEN('Ch6'!H153)=0,"",'Ch6'!H153)</f>
        <v/>
      </c>
      <c r="C407" t="str">
        <f t="shared" si="9"/>
        <v/>
      </c>
      <c r="D407" s="33"/>
      <c r="E407" s="441" t="s">
        <v>274</v>
      </c>
      <c r="F407" s="126"/>
      <c r="G407" s="707" t="s">
        <v>625</v>
      </c>
      <c r="H407" s="49">
        <f>'Ch6'!W153</f>
        <v>0</v>
      </c>
      <c r="I407" s="49">
        <f>'Ch6'!O153</f>
        <v>0</v>
      </c>
      <c r="J407" s="813" t="s">
        <v>4299</v>
      </c>
    </row>
    <row r="408" spans="1:10" ht="15" thickBot="1" x14ac:dyDescent="0.4">
      <c r="A408" s="403" t="str">
        <f>A407</f>
        <v/>
      </c>
      <c r="B408" t="str">
        <f>IF(LEN('Ch6'!H154)=0,"",'Ch6'!H154)</f>
        <v/>
      </c>
      <c r="C408" t="str">
        <f t="shared" si="9"/>
        <v/>
      </c>
      <c r="D408" s="442"/>
      <c r="E408" s="149"/>
      <c r="F408" s="149"/>
      <c r="G408" s="709"/>
      <c r="J408" s="813"/>
    </row>
    <row r="409" spans="1:10" ht="15" customHeight="1" x14ac:dyDescent="0.35">
      <c r="A409" s="403" t="str">
        <f>IF(AND(LEN('Ch6'!W155)&gt;0,NOT('Ch6'!W155=FALSE)),"P","")</f>
        <v/>
      </c>
      <c r="B409" t="str">
        <f>IF(LEN('Ch6'!H155)=0,"",'Ch6'!H155)</f>
        <v/>
      </c>
      <c r="C409" t="str">
        <f t="shared" si="9"/>
        <v/>
      </c>
      <c r="D409" s="444" t="s">
        <v>627</v>
      </c>
      <c r="E409" s="471"/>
      <c r="F409" s="471"/>
      <c r="G409" s="753" t="s">
        <v>628</v>
      </c>
      <c r="H409" s="49">
        <f>'Ch6'!W155</f>
        <v>0</v>
      </c>
      <c r="I409" s="49">
        <f>'Ch6'!O155</f>
        <v>0</v>
      </c>
      <c r="J409" s="814" t="s">
        <v>4282</v>
      </c>
    </row>
    <row r="410" spans="1:10" ht="15" thickBot="1" x14ac:dyDescent="0.4">
      <c r="A410" s="403" t="str">
        <f>A409</f>
        <v/>
      </c>
      <c r="B410" t="str">
        <f>IF(LEN('Ch6'!H156)=0,"",'Ch6'!H156)</f>
        <v/>
      </c>
      <c r="C410" t="str">
        <f t="shared" si="9"/>
        <v/>
      </c>
      <c r="D410" s="442"/>
      <c r="E410" s="149"/>
      <c r="F410" s="149"/>
      <c r="G410" s="739"/>
      <c r="J410" s="814"/>
    </row>
    <row r="411" spans="1:10" ht="15" customHeight="1" x14ac:dyDescent="0.35">
      <c r="A411" s="403" t="str">
        <f>IF(AND(LEN('Ch6'!W157)&gt;0,NOT('Ch6'!W157=FALSE)),"P","")</f>
        <v/>
      </c>
      <c r="B411" t="str">
        <f>IF(LEN('Ch6'!H157)=0,"",'Ch6'!H157)</f>
        <v/>
      </c>
      <c r="C411" t="str">
        <f t="shared" si="9"/>
        <v/>
      </c>
      <c r="D411" s="33" t="s">
        <v>630</v>
      </c>
      <c r="E411" s="126"/>
      <c r="F411" s="126"/>
      <c r="G411" s="706" t="s">
        <v>631</v>
      </c>
      <c r="H411" s="49">
        <f>'Ch6'!W157</f>
        <v>0</v>
      </c>
      <c r="I411" s="49">
        <f>'Ch6'!O157</f>
        <v>0</v>
      </c>
      <c r="J411" s="819" t="s">
        <v>4300</v>
      </c>
    </row>
    <row r="412" spans="1:10" ht="15" thickBot="1" x14ac:dyDescent="0.4">
      <c r="A412" s="403" t="str">
        <f>A411</f>
        <v/>
      </c>
      <c r="B412" t="str">
        <f>IF(LEN('Ch6'!H158)=0,"",'Ch6'!H158)</f>
        <v/>
      </c>
      <c r="C412" t="str">
        <f t="shared" si="9"/>
        <v/>
      </c>
      <c r="D412" s="33"/>
      <c r="E412" s="126"/>
      <c r="F412" s="126"/>
      <c r="G412" s="706"/>
      <c r="J412" s="819"/>
    </row>
    <row r="413" spans="1:10" ht="15" thickBot="1" x14ac:dyDescent="0.4">
      <c r="A413" s="403" t="str">
        <f>A412</f>
        <v/>
      </c>
      <c r="B413" t="str">
        <f>IF(LEN('Ch6'!H159)=0,"",'Ch6'!H159)</f>
        <v/>
      </c>
      <c r="C413" t="str">
        <f t="shared" si="9"/>
        <v/>
      </c>
      <c r="D413" s="33"/>
      <c r="E413" s="126"/>
      <c r="F413" s="126"/>
      <c r="G413" s="706"/>
      <c r="J413" s="819"/>
    </row>
    <row r="414" spans="1:10" ht="15" thickBot="1" x14ac:dyDescent="0.4">
      <c r="A414" s="403" t="str">
        <f>A413</f>
        <v/>
      </c>
      <c r="B414" t="str">
        <f>IF(LEN('Ch6'!H160)=0,"",'Ch6'!H160)</f>
        <v/>
      </c>
      <c r="C414" t="str">
        <f t="shared" si="9"/>
        <v/>
      </c>
      <c r="D414" s="33"/>
      <c r="E414" s="126"/>
      <c r="F414" s="126"/>
      <c r="G414" s="706"/>
      <c r="J414" s="819"/>
    </row>
    <row r="415" spans="1:10" ht="15.75" customHeight="1" thickTop="1" x14ac:dyDescent="0.35">
      <c r="A415" s="403" t="str">
        <f>IF(AND(LEN('Ch6'!W161)&gt;0,NOT('Ch6'!W161=FALSE)),"P","")</f>
        <v>P</v>
      </c>
      <c r="B415" t="str">
        <f>IF(LEN('Ch6'!H161)=0,"",'Ch6'!H161)</f>
        <v/>
      </c>
      <c r="C415" t="str">
        <f t="shared" si="9"/>
        <v>P</v>
      </c>
      <c r="D415" s="63" t="s">
        <v>632</v>
      </c>
      <c r="E415" s="466"/>
      <c r="F415" s="466"/>
      <c r="G415" s="711" t="s">
        <v>633</v>
      </c>
      <c r="H415" s="49" t="str">
        <f>'Ch6'!W161</f>
        <v>Met</v>
      </c>
      <c r="J415" s="813" t="s">
        <v>4200</v>
      </c>
    </row>
    <row r="416" spans="1:10" ht="15" thickBot="1" x14ac:dyDescent="0.4">
      <c r="A416" s="403" t="str">
        <f>A415</f>
        <v>P</v>
      </c>
      <c r="B416" t="str">
        <f>IF(LEN('Ch6'!H162)=0,"",'Ch6'!H162)</f>
        <v/>
      </c>
      <c r="C416" t="str">
        <f t="shared" si="9"/>
        <v>P</v>
      </c>
      <c r="D416" s="33"/>
      <c r="E416" s="126"/>
      <c r="F416" s="126"/>
      <c r="G416" s="706"/>
      <c r="J416" s="813"/>
    </row>
    <row r="417" spans="1:10" ht="15" thickBot="1" x14ac:dyDescent="0.4">
      <c r="B417" t="str">
        <f>IF(LEN('Ch6'!H163)=0,"",'Ch6'!H163)</f>
        <v/>
      </c>
      <c r="C417" t="str">
        <f t="shared" si="9"/>
        <v/>
      </c>
      <c r="D417" s="33"/>
      <c r="E417" s="126"/>
      <c r="F417" s="126"/>
      <c r="G417" s="197" t="s">
        <v>1301</v>
      </c>
      <c r="J417" s="485"/>
    </row>
    <row r="418" spans="1:10" ht="15.75" customHeight="1" thickTop="1" x14ac:dyDescent="0.35">
      <c r="A418" s="403" t="s">
        <v>4326</v>
      </c>
      <c r="B418" t="str">
        <f>IF(LEN('Ch6'!H164)=0,"",'Ch6'!H164)</f>
        <v/>
      </c>
      <c r="C418" t="str">
        <f t="shared" si="9"/>
        <v>P</v>
      </c>
      <c r="D418" s="63" t="s">
        <v>634</v>
      </c>
      <c r="E418" s="466"/>
      <c r="F418" s="466"/>
      <c r="G418" s="711" t="s">
        <v>635</v>
      </c>
      <c r="J418" s="814" t="s">
        <v>4361</v>
      </c>
    </row>
    <row r="419" spans="1:10" x14ac:dyDescent="0.35">
      <c r="A419" s="403" t="s">
        <v>4326</v>
      </c>
      <c r="B419" t="str">
        <f>IF(LEN('Ch6'!H165)=0,"",'Ch6'!H165)</f>
        <v/>
      </c>
      <c r="C419" t="str">
        <f t="shared" si="9"/>
        <v>P</v>
      </c>
      <c r="D419" s="33"/>
      <c r="E419" s="126"/>
      <c r="F419" s="126"/>
      <c r="G419" s="706"/>
      <c r="J419" s="814"/>
    </row>
    <row r="420" spans="1:10" x14ac:dyDescent="0.35">
      <c r="A420" s="403" t="s">
        <v>4326</v>
      </c>
      <c r="B420" t="str">
        <f>IF(LEN('Ch6'!H166)=0,"",'Ch6'!H166)</f>
        <v/>
      </c>
      <c r="C420" t="str">
        <f t="shared" si="9"/>
        <v>P</v>
      </c>
      <c r="D420" s="33"/>
      <c r="E420" s="126"/>
      <c r="F420" s="126"/>
      <c r="G420" s="706"/>
      <c r="J420" s="814"/>
    </row>
    <row r="421" spans="1:10" x14ac:dyDescent="0.35">
      <c r="A421" s="403" t="s">
        <v>4326</v>
      </c>
      <c r="B421" t="str">
        <f>IF(LEN('Ch6'!H167)=0,"",'Ch6'!H167)</f>
        <v/>
      </c>
      <c r="C421" t="str">
        <f t="shared" si="9"/>
        <v>P</v>
      </c>
      <c r="D421" s="33"/>
      <c r="E421" s="126"/>
      <c r="F421" s="126"/>
      <c r="G421" s="706"/>
      <c r="J421" s="814"/>
    </row>
    <row r="422" spans="1:10" x14ac:dyDescent="0.35">
      <c r="A422" s="403" t="s">
        <v>4326</v>
      </c>
      <c r="B422" t="str">
        <f>IF(LEN('Ch6'!H168)=0,"",'Ch6'!H168)</f>
        <v/>
      </c>
      <c r="C422" t="str">
        <f t="shared" si="9"/>
        <v>P</v>
      </c>
      <c r="D422" s="33"/>
      <c r="E422" s="126"/>
      <c r="F422" s="126"/>
      <c r="G422" s="706"/>
      <c r="J422" s="814"/>
    </row>
    <row r="423" spans="1:10" ht="15" customHeight="1" x14ac:dyDescent="0.35">
      <c r="B423" t="str">
        <f>IF(LEN('Ch6'!H169)=0,"",'Ch6'!H169)</f>
        <v/>
      </c>
      <c r="C423" t="str">
        <f t="shared" si="9"/>
        <v/>
      </c>
      <c r="D423" s="33"/>
      <c r="E423" s="441" t="s">
        <v>270</v>
      </c>
      <c r="F423" s="126"/>
      <c r="G423" s="104" t="s">
        <v>636</v>
      </c>
      <c r="H423" s="49" t="b">
        <f>'Ch6'!W169</f>
        <v>1</v>
      </c>
      <c r="J423" s="490"/>
    </row>
    <row r="424" spans="1:10" x14ac:dyDescent="0.35">
      <c r="B424" t="str">
        <f>IF(LEN('Ch6'!H170)=0,"",'Ch6'!H170)</f>
        <v/>
      </c>
      <c r="C424" t="str">
        <f t="shared" si="9"/>
        <v/>
      </c>
      <c r="D424" s="33"/>
      <c r="E424" s="126"/>
      <c r="F424" s="441" t="s">
        <v>121</v>
      </c>
      <c r="G424" s="104" t="s">
        <v>637</v>
      </c>
      <c r="J424" s="500"/>
    </row>
    <row r="425" spans="1:10" x14ac:dyDescent="0.35">
      <c r="B425" t="str">
        <f>IF(LEN('Ch6'!H171)=0,"",'Ch6'!H171)</f>
        <v/>
      </c>
      <c r="C425" t="str">
        <f t="shared" si="9"/>
        <v/>
      </c>
      <c r="D425" s="33"/>
      <c r="E425" s="126"/>
      <c r="F425" s="441" t="s">
        <v>122</v>
      </c>
      <c r="G425" s="104" t="s">
        <v>638</v>
      </c>
      <c r="J425" s="500"/>
    </row>
    <row r="426" spans="1:10" x14ac:dyDescent="0.35">
      <c r="B426" t="str">
        <f>IF(LEN('Ch6'!H172)=0,"",'Ch6'!H172)</f>
        <v/>
      </c>
      <c r="C426" t="str">
        <f t="shared" si="9"/>
        <v/>
      </c>
      <c r="D426" s="33"/>
      <c r="E426" s="126"/>
      <c r="F426" s="460" t="s">
        <v>123</v>
      </c>
      <c r="G426" s="104" t="s">
        <v>639</v>
      </c>
      <c r="J426" s="500"/>
    </row>
    <row r="427" spans="1:10" ht="15" customHeight="1" x14ac:dyDescent="0.35">
      <c r="B427" t="str">
        <f>IF(LEN('Ch6'!H173)=0,"",'Ch6'!H173)</f>
        <v/>
      </c>
      <c r="C427" t="str">
        <f t="shared" si="9"/>
        <v/>
      </c>
      <c r="D427" s="33"/>
      <c r="E427" s="126"/>
      <c r="F427" s="33" t="s">
        <v>420</v>
      </c>
      <c r="G427" s="707" t="s">
        <v>640</v>
      </c>
      <c r="J427" s="500"/>
    </row>
    <row r="428" spans="1:10" x14ac:dyDescent="0.35">
      <c r="B428" t="str">
        <f>IF(LEN('Ch6'!H174)=0,"",'Ch6'!H174)</f>
        <v/>
      </c>
      <c r="C428" t="str">
        <f t="shared" si="9"/>
        <v/>
      </c>
      <c r="D428" s="33"/>
      <c r="E428" s="126"/>
      <c r="F428" s="126"/>
      <c r="G428" s="707"/>
      <c r="J428" s="500"/>
    </row>
    <row r="429" spans="1:10" x14ac:dyDescent="0.35">
      <c r="B429" t="str">
        <f>IF(LEN('Ch6'!H175)=0,"",'Ch6'!H175)</f>
        <v/>
      </c>
      <c r="C429" t="str">
        <f t="shared" si="9"/>
        <v/>
      </c>
      <c r="D429" s="33"/>
      <c r="E429" s="126"/>
      <c r="F429" s="33" t="s">
        <v>575</v>
      </c>
      <c r="G429" s="104" t="s">
        <v>641</v>
      </c>
      <c r="J429" s="500"/>
    </row>
    <row r="430" spans="1:10" x14ac:dyDescent="0.35">
      <c r="B430" t="str">
        <f>IF(LEN('Ch6'!H176)=0,"",'Ch6'!H176)</f>
        <v/>
      </c>
      <c r="C430" t="str">
        <f t="shared" si="9"/>
        <v/>
      </c>
      <c r="D430" s="33"/>
      <c r="E430" s="126"/>
      <c r="F430" s="460" t="s">
        <v>642</v>
      </c>
      <c r="G430" s="104" t="s">
        <v>643</v>
      </c>
      <c r="J430" s="500"/>
    </row>
    <row r="431" spans="1:10" x14ac:dyDescent="0.35">
      <c r="B431" t="str">
        <f>IF(LEN('Ch6'!H177)=0,"",'Ch6'!H177)</f>
        <v/>
      </c>
      <c r="C431" t="str">
        <f t="shared" si="9"/>
        <v/>
      </c>
      <c r="D431" s="33"/>
      <c r="E431" s="126"/>
      <c r="F431" s="33" t="s">
        <v>644</v>
      </c>
      <c r="G431" s="104" t="s">
        <v>645</v>
      </c>
      <c r="J431" s="500"/>
    </row>
    <row r="432" spans="1:10" x14ac:dyDescent="0.35">
      <c r="B432" t="str">
        <f>IF(LEN('Ch6'!H178)=0,"",'Ch6'!H178)</f>
        <v/>
      </c>
      <c r="C432" t="str">
        <f t="shared" si="9"/>
        <v/>
      </c>
      <c r="D432" s="33"/>
      <c r="E432" s="149"/>
      <c r="F432" s="442" t="s">
        <v>646</v>
      </c>
      <c r="G432" s="214" t="s">
        <v>647</v>
      </c>
      <c r="J432" s="500"/>
    </row>
    <row r="433" spans="2:10" ht="15" customHeight="1" x14ac:dyDescent="0.35">
      <c r="B433" t="str">
        <f>IF(LEN('Ch6'!H179)=0,"",'Ch6'!H179)</f>
        <v/>
      </c>
      <c r="C433" t="str">
        <f t="shared" si="9"/>
        <v/>
      </c>
      <c r="D433" s="33"/>
      <c r="E433" s="441" t="s">
        <v>272</v>
      </c>
      <c r="F433" s="126"/>
      <c r="G433" s="707" t="s">
        <v>648</v>
      </c>
      <c r="H433" s="49" t="b">
        <f>'Ch6'!W179</f>
        <v>1</v>
      </c>
      <c r="I433" s="49">
        <f>'Ch6'!O179</f>
        <v>2</v>
      </c>
      <c r="J433" s="500"/>
    </row>
    <row r="434" spans="2:10" x14ac:dyDescent="0.35">
      <c r="B434" t="str">
        <f>IF(LEN('Ch6'!H180)=0,"",'Ch6'!H180)</f>
        <v/>
      </c>
      <c r="C434" t="str">
        <f t="shared" si="9"/>
        <v/>
      </c>
      <c r="D434" s="33"/>
      <c r="E434" s="126"/>
      <c r="F434" s="126"/>
      <c r="G434" s="707"/>
      <c r="J434" s="500"/>
    </row>
    <row r="435" spans="2:10" x14ac:dyDescent="0.35">
      <c r="B435" t="str">
        <f>IF(LEN('Ch6'!H181)=0,"",'Ch6'!H181)</f>
        <v/>
      </c>
      <c r="C435" t="str">
        <f t="shared" si="9"/>
        <v/>
      </c>
      <c r="D435" s="33"/>
      <c r="E435" s="149"/>
      <c r="F435" s="149"/>
      <c r="G435" s="709"/>
      <c r="J435" s="500"/>
    </row>
    <row r="436" spans="2:10" x14ac:dyDescent="0.35">
      <c r="B436" t="str">
        <f>IF(LEN('Ch6'!H182)=0,"",'Ch6'!H182)</f>
        <v/>
      </c>
      <c r="C436" t="str">
        <f t="shared" si="9"/>
        <v/>
      </c>
      <c r="D436" s="33"/>
      <c r="E436" s="467" t="s">
        <v>274</v>
      </c>
      <c r="F436" s="152"/>
      <c r="G436" s="220" t="s">
        <v>649</v>
      </c>
      <c r="H436" s="49">
        <f>'Ch6'!W182</f>
        <v>0</v>
      </c>
      <c r="I436" s="49">
        <f>'Ch6'!O182</f>
        <v>0</v>
      </c>
      <c r="J436" s="500"/>
    </row>
    <row r="437" spans="2:10" ht="15" customHeight="1" x14ac:dyDescent="0.35">
      <c r="B437" t="str">
        <f>IF(LEN('Ch6'!H183)=0,"",'Ch6'!H183)</f>
        <v/>
      </c>
      <c r="C437" t="str">
        <f t="shared" si="9"/>
        <v/>
      </c>
      <c r="D437" s="33"/>
      <c r="E437" s="470" t="s">
        <v>283</v>
      </c>
      <c r="F437" s="471"/>
      <c r="G437" s="742" t="s">
        <v>650</v>
      </c>
      <c r="H437" s="49">
        <f>'Ch6'!W183</f>
        <v>0</v>
      </c>
      <c r="I437" s="49">
        <f>'Ch6'!O183</f>
        <v>0</v>
      </c>
      <c r="J437" s="500"/>
    </row>
    <row r="438" spans="2:10" x14ac:dyDescent="0.35">
      <c r="B438" t="str">
        <f>IF(LEN('Ch6'!H184)=0,"",'Ch6'!H184)</f>
        <v/>
      </c>
      <c r="C438" t="str">
        <f t="shared" si="9"/>
        <v/>
      </c>
      <c r="D438" s="33"/>
      <c r="E438" s="126"/>
      <c r="F438" s="126"/>
      <c r="G438" s="707"/>
      <c r="J438" s="500"/>
    </row>
    <row r="439" spans="2:10" x14ac:dyDescent="0.35">
      <c r="B439" t="str">
        <f>IF(LEN('Ch6'!H185)=0,"",'Ch6'!H185)</f>
        <v/>
      </c>
      <c r="C439" t="str">
        <f t="shared" si="9"/>
        <v/>
      </c>
      <c r="D439" s="33"/>
      <c r="E439" s="126"/>
      <c r="F439" s="126"/>
      <c r="G439" s="707"/>
      <c r="J439" s="500"/>
    </row>
    <row r="440" spans="2:10" x14ac:dyDescent="0.35">
      <c r="B440" t="str">
        <f>IF(LEN('Ch6'!H186)=0,"",'Ch6'!H186)</f>
        <v/>
      </c>
      <c r="C440" t="str">
        <f t="shared" si="9"/>
        <v/>
      </c>
      <c r="D440" s="33"/>
      <c r="E440" s="149"/>
      <c r="F440" s="149"/>
      <c r="G440" s="709"/>
      <c r="J440" s="500"/>
    </row>
    <row r="441" spans="2:10" x14ac:dyDescent="0.35">
      <c r="B441" t="str">
        <f>IF(LEN('Ch6'!H187)=0,"",'Ch6'!H187)</f>
        <v/>
      </c>
      <c r="C441" t="str">
        <f t="shared" si="9"/>
        <v/>
      </c>
      <c r="D441" s="33"/>
      <c r="E441" s="441" t="s">
        <v>289</v>
      </c>
      <c r="F441" s="126"/>
      <c r="G441" s="104" t="s">
        <v>651</v>
      </c>
      <c r="H441" s="49">
        <f>'Ch6'!W187</f>
        <v>0</v>
      </c>
      <c r="I441" s="49">
        <f ca="1">'Ch6'!O187</f>
        <v>0</v>
      </c>
      <c r="J441" s="500"/>
    </row>
    <row r="442" spans="2:10" ht="15" customHeight="1" x14ac:dyDescent="0.35">
      <c r="B442" t="str">
        <f>IF(LEN('Ch6'!H188)=0,"",'Ch6'!H188)</f>
        <v/>
      </c>
      <c r="C442" t="str">
        <f t="shared" si="9"/>
        <v/>
      </c>
      <c r="D442" s="33"/>
      <c r="E442" s="126"/>
      <c r="F442" s="441" t="s">
        <v>121</v>
      </c>
      <c r="G442" s="707" t="s">
        <v>652</v>
      </c>
      <c r="J442" s="500"/>
    </row>
    <row r="443" spans="2:10" x14ac:dyDescent="0.35">
      <c r="B443" t="str">
        <f>IF(LEN('Ch6'!H189)=0,"",'Ch6'!H189)</f>
        <v/>
      </c>
      <c r="C443" t="str">
        <f t="shared" si="9"/>
        <v/>
      </c>
      <c r="D443" s="33"/>
      <c r="E443" s="126"/>
      <c r="F443" s="441"/>
      <c r="G443" s="707"/>
      <c r="J443" s="500"/>
    </row>
    <row r="444" spans="2:10" x14ac:dyDescent="0.35">
      <c r="B444" t="str">
        <f>IF(LEN('Ch6'!H190)=0,"",'Ch6'!H190)</f>
        <v/>
      </c>
      <c r="C444" t="str">
        <f t="shared" si="9"/>
        <v/>
      </c>
      <c r="D444" s="33"/>
      <c r="E444" s="126"/>
      <c r="F444" s="459"/>
      <c r="G444" s="709"/>
      <c r="J444" s="500"/>
    </row>
    <row r="445" spans="2:10" ht="15" customHeight="1" x14ac:dyDescent="0.35">
      <c r="B445" t="str">
        <f>IF(LEN('Ch6'!H191)=0,"",'Ch6'!H191)</f>
        <v/>
      </c>
      <c r="C445" t="str">
        <f t="shared" si="9"/>
        <v/>
      </c>
      <c r="D445" s="33"/>
      <c r="E445" s="126"/>
      <c r="F445" s="441" t="s">
        <v>122</v>
      </c>
      <c r="G445" s="707" t="s">
        <v>653</v>
      </c>
      <c r="J445" s="500"/>
    </row>
    <row r="446" spans="2:10" x14ac:dyDescent="0.35">
      <c r="B446" t="str">
        <f>IF(LEN('Ch6'!H192)=0,"",'Ch6'!H192)</f>
        <v/>
      </c>
      <c r="C446" t="str">
        <f t="shared" si="9"/>
        <v/>
      </c>
      <c r="D446" s="33"/>
      <c r="E446" s="149"/>
      <c r="F446" s="149"/>
      <c r="G446" s="709"/>
      <c r="J446" s="500"/>
    </row>
    <row r="447" spans="2:10" ht="15" customHeight="1" x14ac:dyDescent="0.35">
      <c r="B447" t="str">
        <f>IF(LEN('Ch6'!H193)=0,"",'Ch6'!H193)</f>
        <v/>
      </c>
      <c r="C447" t="str">
        <f t="shared" si="9"/>
        <v/>
      </c>
      <c r="D447" s="33"/>
      <c r="E447" s="470" t="s">
        <v>291</v>
      </c>
      <c r="F447" s="471"/>
      <c r="G447" s="742" t="s">
        <v>654</v>
      </c>
      <c r="H447" s="49">
        <f>'Ch6'!W193</f>
        <v>0</v>
      </c>
      <c r="I447" s="49">
        <f>'Ch6'!O193</f>
        <v>0</v>
      </c>
      <c r="J447" s="500"/>
    </row>
    <row r="448" spans="2:10" x14ac:dyDescent="0.35">
      <c r="B448" t="str">
        <f>IF(LEN('Ch6'!H194)=0,"",'Ch6'!H194)</f>
        <v/>
      </c>
      <c r="C448" t="str">
        <f t="shared" si="9"/>
        <v/>
      </c>
      <c r="D448" s="33"/>
      <c r="E448" s="149"/>
      <c r="F448" s="149"/>
      <c r="G448" s="709"/>
      <c r="J448" s="500"/>
    </row>
    <row r="449" spans="1:10" x14ac:dyDescent="0.35">
      <c r="B449" t="str">
        <f>IF(LEN('Ch6'!H195)=0,"",'Ch6'!H195)</f>
        <v/>
      </c>
      <c r="C449" t="str">
        <f t="shared" si="9"/>
        <v/>
      </c>
      <c r="D449" s="33"/>
      <c r="E449" s="441" t="s">
        <v>403</v>
      </c>
      <c r="F449" s="126"/>
      <c r="G449" s="104" t="s">
        <v>655</v>
      </c>
      <c r="H449" s="49">
        <f>'Ch6'!W195</f>
        <v>0</v>
      </c>
      <c r="I449" s="49">
        <f>'Ch6'!O195</f>
        <v>0</v>
      </c>
      <c r="J449" s="500"/>
    </row>
    <row r="450" spans="1:10" ht="15.75" customHeight="1" thickTop="1" x14ac:dyDescent="0.35">
      <c r="A450" s="403" t="str">
        <f ca="1">IF('Ch6'!O196&gt;0,"P","")</f>
        <v>P</v>
      </c>
      <c r="B450" t="str">
        <f>IF(LEN('Ch6'!H196)=0,"",'Ch6'!H196)</f>
        <v/>
      </c>
      <c r="C450" t="str">
        <f t="shared" ca="1" si="9"/>
        <v>P</v>
      </c>
      <c r="D450" s="63" t="s">
        <v>657</v>
      </c>
      <c r="E450" s="466"/>
      <c r="F450" s="466"/>
      <c r="G450" s="711" t="s">
        <v>658</v>
      </c>
      <c r="I450" s="49">
        <f ca="1">'Ch6'!O196</f>
        <v>4</v>
      </c>
      <c r="J450" s="814" t="s">
        <v>4201</v>
      </c>
    </row>
    <row r="451" spans="1:10" x14ac:dyDescent="0.35">
      <c r="A451" s="403" t="str">
        <f ca="1">A450</f>
        <v>P</v>
      </c>
      <c r="B451" t="str">
        <f>IF(LEN('Ch6'!H197)=0,"",'Ch6'!H197)</f>
        <v/>
      </c>
      <c r="C451" t="str">
        <f t="shared" ca="1" si="9"/>
        <v>P</v>
      </c>
      <c r="D451" s="33"/>
      <c r="E451" s="126"/>
      <c r="F451" s="126"/>
      <c r="G451" s="706"/>
      <c r="H451" s="49" t="str">
        <f>'Ch6'!W197</f>
        <v>2 exterior door</v>
      </c>
      <c r="J451" s="814"/>
    </row>
    <row r="452" spans="1:10" x14ac:dyDescent="0.35">
      <c r="A452" s="403" t="str">
        <f ca="1">A451</f>
        <v>P</v>
      </c>
      <c r="B452" t="str">
        <f>IF(LEN('Ch6'!H198)=0,"",'Ch6'!H198)</f>
        <v/>
      </c>
      <c r="C452" t="str">
        <f t="shared" ca="1" si="9"/>
        <v>P</v>
      </c>
      <c r="D452" s="33"/>
      <c r="E452" s="126"/>
      <c r="F452" s="126"/>
      <c r="G452" s="706"/>
      <c r="J452" s="814"/>
    </row>
    <row r="453" spans="1:10" x14ac:dyDescent="0.35">
      <c r="A453" s="403" t="str">
        <f ca="1">A452</f>
        <v>P</v>
      </c>
      <c r="B453" t="str">
        <f>IF(LEN('Ch6'!H199)=0,"",'Ch6'!H199)</f>
        <v/>
      </c>
      <c r="C453" t="str">
        <f t="shared" ca="1" si="9"/>
        <v>P</v>
      </c>
      <c r="D453" s="33"/>
      <c r="E453" s="126"/>
      <c r="F453" s="126"/>
      <c r="G453" s="706"/>
      <c r="J453" s="814"/>
    </row>
    <row r="454" spans="1:10" x14ac:dyDescent="0.35">
      <c r="A454" s="403" t="str">
        <f ca="1">A453</f>
        <v>P</v>
      </c>
      <c r="B454" t="str">
        <f>IF(LEN('Ch6'!H200)=0,"",'Ch6'!H200)</f>
        <v/>
      </c>
      <c r="C454" t="str">
        <f t="shared" ca="1" si="9"/>
        <v>P</v>
      </c>
      <c r="D454" s="33"/>
      <c r="E454" s="126"/>
      <c r="F454" s="126"/>
      <c r="G454" s="706"/>
      <c r="J454" s="814"/>
    </row>
    <row r="455" spans="1:10" x14ac:dyDescent="0.35">
      <c r="A455" s="403" t="str">
        <f ca="1">A454</f>
        <v>P</v>
      </c>
      <c r="B455" t="str">
        <f>IF(LEN('Ch6'!H201)=0,"",'Ch6'!H201)</f>
        <v/>
      </c>
      <c r="C455" t="str">
        <f t="shared" ca="1" si="9"/>
        <v>P</v>
      </c>
      <c r="D455" s="33"/>
      <c r="E455" s="126"/>
      <c r="F455" s="126"/>
      <c r="G455" s="706"/>
      <c r="J455" s="814"/>
    </row>
    <row r="456" spans="1:10" x14ac:dyDescent="0.35">
      <c r="B456" t="str">
        <f>IF(LEN('Ch6'!H202)=0,"",'Ch6'!H202)</f>
        <v/>
      </c>
      <c r="C456" t="str">
        <f t="shared" si="9"/>
        <v/>
      </c>
      <c r="D456" s="33"/>
      <c r="E456" s="126"/>
      <c r="F456" s="126"/>
      <c r="G456" s="105" t="str">
        <f>"This Project's Climate Zone: "&amp;AY270</f>
        <v xml:space="preserve">This Project's Climate Zone: </v>
      </c>
      <c r="J456" s="495"/>
    </row>
    <row r="457" spans="1:10" x14ac:dyDescent="0.35">
      <c r="B457" t="str">
        <f>IF(LEN('Ch6'!H203)=0,"",'Ch6'!H203)</f>
        <v/>
      </c>
      <c r="C457" t="str">
        <f t="shared" ref="C457:C520" si="10">IF(LEN(B457)=0,IF(A457="P","P",""),B457)</f>
        <v/>
      </c>
      <c r="D457" s="33"/>
      <c r="E457" s="126"/>
      <c r="F457" s="441" t="s">
        <v>121</v>
      </c>
      <c r="G457" s="104" t="s">
        <v>659</v>
      </c>
      <c r="J457" s="495"/>
    </row>
    <row r="458" spans="1:10" x14ac:dyDescent="0.35">
      <c r="B458" t="str">
        <f>IF(LEN('Ch6'!H204)=0,"",'Ch6'!H204)</f>
        <v/>
      </c>
      <c r="C458" t="str">
        <f t="shared" si="10"/>
        <v/>
      </c>
      <c r="D458" s="33"/>
      <c r="E458" s="126"/>
      <c r="F458" s="441" t="s">
        <v>122</v>
      </c>
      <c r="G458" s="104" t="s">
        <v>660</v>
      </c>
      <c r="J458" s="495"/>
    </row>
    <row r="459" spans="1:10" x14ac:dyDescent="0.35">
      <c r="B459" t="str">
        <f>IF(LEN('Ch6'!H205)=0,"",'Ch6'!H205)</f>
        <v/>
      </c>
      <c r="C459" t="str">
        <f t="shared" si="10"/>
        <v/>
      </c>
      <c r="D459" s="33"/>
      <c r="E459" s="126"/>
      <c r="F459" s="460" t="s">
        <v>123</v>
      </c>
      <c r="G459" s="104" t="s">
        <v>661</v>
      </c>
      <c r="J459" s="495"/>
    </row>
    <row r="460" spans="1:10" x14ac:dyDescent="0.35">
      <c r="B460" t="str">
        <f>IF(LEN('Ch6'!H206)=0,"",'Ch6'!H206)</f>
        <v/>
      </c>
      <c r="C460" t="str">
        <f t="shared" si="10"/>
        <v/>
      </c>
      <c r="D460" s="33"/>
      <c r="E460" s="126"/>
      <c r="F460" s="33" t="s">
        <v>420</v>
      </c>
      <c r="G460" s="104" t="s">
        <v>662</v>
      </c>
      <c r="J460" s="495"/>
    </row>
    <row r="461" spans="1:10" ht="15" customHeight="1" x14ac:dyDescent="0.35">
      <c r="B461" t="str">
        <f>IF(LEN('Ch6'!H207)=0,"",'Ch6'!H207)</f>
        <v/>
      </c>
      <c r="C461" t="str">
        <f t="shared" si="10"/>
        <v/>
      </c>
      <c r="D461" s="33"/>
      <c r="E461" s="126"/>
      <c r="F461" s="33"/>
      <c r="G461" s="714" t="s">
        <v>3251</v>
      </c>
      <c r="J461" s="485"/>
    </row>
    <row r="462" spans="1:10" x14ac:dyDescent="0.35">
      <c r="B462" t="str">
        <f>IF(LEN('Ch6'!H208)=0,"",'Ch6'!H208)</f>
        <v/>
      </c>
      <c r="C462" t="str">
        <f t="shared" si="10"/>
        <v/>
      </c>
      <c r="D462" s="33"/>
      <c r="E462" s="126"/>
      <c r="F462" s="33"/>
      <c r="G462" s="744"/>
      <c r="J462" s="485"/>
    </row>
    <row r="463" spans="1:10" ht="15.75" customHeight="1" thickTop="1" x14ac:dyDescent="0.35">
      <c r="A463" s="403" t="str">
        <f>IF(AND(LEN('Ch6'!W209)&gt;0,NOT('Ch6'!W209=FALSE)),"P","")</f>
        <v>P</v>
      </c>
      <c r="B463" t="str">
        <f>IF(LEN('Ch6'!H209)=0,"",'Ch6'!H209)</f>
        <v/>
      </c>
      <c r="C463" t="str">
        <f t="shared" si="10"/>
        <v>P</v>
      </c>
      <c r="D463" s="63" t="s">
        <v>664</v>
      </c>
      <c r="E463" s="466"/>
      <c r="F463" s="466"/>
      <c r="G463" s="711" t="s">
        <v>665</v>
      </c>
      <c r="H463" s="49" t="str">
        <f>'Ch6'!W209</f>
        <v>Met</v>
      </c>
      <c r="J463" s="819" t="s">
        <v>4283</v>
      </c>
    </row>
    <row r="464" spans="1:10" x14ac:dyDescent="0.35">
      <c r="A464" s="403" t="str">
        <f>A463</f>
        <v>P</v>
      </c>
      <c r="B464" t="str">
        <f>IF(LEN('Ch6'!H210)=0,"",'Ch6'!H210)</f>
        <v/>
      </c>
      <c r="C464" t="str">
        <f t="shared" si="10"/>
        <v>P</v>
      </c>
      <c r="D464" s="33"/>
      <c r="E464" s="126"/>
      <c r="F464" s="126"/>
      <c r="G464" s="706"/>
      <c r="J464" s="819"/>
    </row>
    <row r="465" spans="1:10" ht="15.75" customHeight="1" thickTop="1" x14ac:dyDescent="0.35">
      <c r="A465" s="403" t="str">
        <f>IF(AND(LEN('Ch6'!W211)&gt;0,NOT('Ch6'!W211=FALSE)),"P","")</f>
        <v/>
      </c>
      <c r="B465" t="str">
        <f>IF(LEN('Ch6'!H211)=0,"",'Ch6'!H211)</f>
        <v/>
      </c>
      <c r="C465" t="str">
        <f t="shared" si="10"/>
        <v/>
      </c>
      <c r="D465" s="63" t="s">
        <v>666</v>
      </c>
      <c r="E465" s="466"/>
      <c r="F465" s="466"/>
      <c r="G465" s="711" t="s">
        <v>667</v>
      </c>
      <c r="H465" s="49">
        <f>'Ch6'!W211</f>
        <v>0</v>
      </c>
      <c r="I465" s="49">
        <f ca="1">'Ch6'!O211</f>
        <v>0</v>
      </c>
      <c r="J465" s="813" t="s">
        <v>4177</v>
      </c>
    </row>
    <row r="466" spans="1:10" x14ac:dyDescent="0.35">
      <c r="A466" s="403" t="str">
        <f>A465</f>
        <v/>
      </c>
      <c r="B466" t="str">
        <f>IF(LEN('Ch6'!H212)=0,"",'Ch6'!H212)</f>
        <v/>
      </c>
      <c r="C466" t="str">
        <f t="shared" si="10"/>
        <v/>
      </c>
      <c r="D466" s="33"/>
      <c r="E466" s="126"/>
      <c r="F466" s="126"/>
      <c r="G466" s="706"/>
      <c r="J466" s="813"/>
    </row>
    <row r="467" spans="1:10" x14ac:dyDescent="0.35">
      <c r="B467" t="str">
        <f>IF(LEN('Ch6'!H213)=0,"",'Ch6'!H213)</f>
        <v/>
      </c>
      <c r="C467" t="str">
        <f t="shared" si="10"/>
        <v/>
      </c>
      <c r="D467" s="33"/>
      <c r="E467" s="126"/>
      <c r="F467" s="126"/>
      <c r="G467" s="208" t="s">
        <v>3236</v>
      </c>
      <c r="J467" s="485"/>
    </row>
    <row r="468" spans="1:10" ht="15.75" customHeight="1" thickTop="1" x14ac:dyDescent="0.35">
      <c r="A468" s="403" t="str">
        <f>IF(AND(LEN('Ch6'!W214)&gt;0,NOT('Ch6'!W214=FALSE)),"P","")</f>
        <v>P</v>
      </c>
      <c r="B468" t="str">
        <f>IF(LEN('Ch6'!H214)=0,"",'Ch6'!H214)</f>
        <v/>
      </c>
      <c r="C468" t="str">
        <f t="shared" si="10"/>
        <v>P</v>
      </c>
      <c r="D468" s="63" t="s">
        <v>669</v>
      </c>
      <c r="E468" s="466"/>
      <c r="F468" s="466"/>
      <c r="G468" s="711" t="s">
        <v>670</v>
      </c>
      <c r="H468" s="49" t="str">
        <f>'Ch6'!W214</f>
        <v>N/A</v>
      </c>
      <c r="J468" s="822" t="s">
        <v>4284</v>
      </c>
    </row>
    <row r="469" spans="1:10" x14ac:dyDescent="0.35">
      <c r="A469" s="403" t="str">
        <f>A468</f>
        <v>P</v>
      </c>
      <c r="B469" t="str">
        <f>IF(LEN('Ch6'!H215)=0,"",'Ch6'!H215)</f>
        <v/>
      </c>
      <c r="C469" t="str">
        <f t="shared" si="10"/>
        <v>P</v>
      </c>
      <c r="D469" s="33"/>
      <c r="E469" s="126"/>
      <c r="F469" s="126"/>
      <c r="G469" s="706"/>
      <c r="J469" s="822"/>
    </row>
    <row r="470" spans="1:10" x14ac:dyDescent="0.35">
      <c r="A470" s="403" t="str">
        <f>A469</f>
        <v>P</v>
      </c>
      <c r="B470" t="str">
        <f>IF(LEN('Ch6'!H216)=0,"",'Ch6'!H216)</f>
        <v/>
      </c>
      <c r="C470" t="str">
        <f t="shared" si="10"/>
        <v>P</v>
      </c>
      <c r="D470" s="33"/>
      <c r="E470" s="126"/>
      <c r="F470" s="126"/>
      <c r="G470" s="706"/>
      <c r="J470" s="822"/>
    </row>
    <row r="471" spans="1:10" ht="15" thickBot="1" x14ac:dyDescent="0.4">
      <c r="A471" s="403" t="str">
        <f>A470</f>
        <v>P</v>
      </c>
      <c r="B471" t="str">
        <f>IF(LEN('Ch6'!H217)=0,"",'Ch6'!H217)</f>
        <v/>
      </c>
      <c r="C471" t="str">
        <f t="shared" si="10"/>
        <v>P</v>
      </c>
      <c r="D471" s="33"/>
      <c r="E471" s="126"/>
      <c r="F471" s="126"/>
      <c r="G471" s="706"/>
      <c r="J471" s="822"/>
    </row>
    <row r="472" spans="1:10" ht="15.75" customHeight="1" thickTop="1" x14ac:dyDescent="0.35">
      <c r="A472" s="403" t="str">
        <f>IF(SUM(I474:I477)&gt;0,"P","")</f>
        <v>P</v>
      </c>
      <c r="B472" t="str">
        <f>IF(LEN('Ch6'!H218)=0,"",'Ch6'!H218)</f>
        <v/>
      </c>
      <c r="C472" t="str">
        <f t="shared" si="10"/>
        <v>P</v>
      </c>
      <c r="D472" s="63" t="s">
        <v>671</v>
      </c>
      <c r="E472" s="466"/>
      <c r="F472" s="466"/>
      <c r="G472" s="711" t="s">
        <v>672</v>
      </c>
      <c r="J472" s="804" t="s">
        <v>4747</v>
      </c>
    </row>
    <row r="473" spans="1:10" x14ac:dyDescent="0.35">
      <c r="A473" s="403" t="str">
        <f>A472</f>
        <v>P</v>
      </c>
      <c r="B473" t="str">
        <f>IF(LEN('Ch6'!H219)=0,"",'Ch6'!H219)</f>
        <v/>
      </c>
      <c r="C473" t="str">
        <f t="shared" si="10"/>
        <v>P</v>
      </c>
      <c r="D473" s="33"/>
      <c r="E473" s="126"/>
      <c r="F473" s="126"/>
      <c r="G473" s="706"/>
      <c r="J473" s="806"/>
    </row>
    <row r="474" spans="1:10" ht="15" customHeight="1" x14ac:dyDescent="0.35">
      <c r="B474" t="str">
        <f>IF(LEN('Ch6'!H220)=0,"",'Ch6'!H220)</f>
        <v/>
      </c>
      <c r="C474" t="str">
        <f t="shared" si="10"/>
        <v/>
      </c>
      <c r="D474" s="33"/>
      <c r="E474" s="441" t="s">
        <v>270</v>
      </c>
      <c r="F474" s="126"/>
      <c r="G474" s="707" t="s">
        <v>673</v>
      </c>
      <c r="H474" s="49" t="str">
        <f>'Ch6'!W220</f>
        <v>Met</v>
      </c>
      <c r="I474" s="49">
        <f>'Ch6'!O220</f>
        <v>1</v>
      </c>
      <c r="J474" s="490"/>
    </row>
    <row r="475" spans="1:10" x14ac:dyDescent="0.35">
      <c r="B475" t="str">
        <f>IF(LEN('Ch6'!H221)=0,"",'Ch6'!H221)</f>
        <v/>
      </c>
      <c r="C475" t="str">
        <f t="shared" si="10"/>
        <v/>
      </c>
      <c r="D475" s="33"/>
      <c r="E475" s="149"/>
      <c r="F475" s="149"/>
      <c r="G475" s="709"/>
      <c r="J475" s="500"/>
    </row>
    <row r="476" spans="1:10" x14ac:dyDescent="0.35">
      <c r="B476" t="str">
        <f>IF(LEN('Ch6'!H222)=0,"",'Ch6'!H222)</f>
        <v/>
      </c>
      <c r="C476" t="str">
        <f t="shared" si="10"/>
        <v/>
      </c>
      <c r="D476" s="33"/>
      <c r="E476" s="467" t="s">
        <v>272</v>
      </c>
      <c r="F476" s="152"/>
      <c r="G476" s="220" t="s">
        <v>674</v>
      </c>
      <c r="H476" s="49">
        <f>'Ch6'!W222</f>
        <v>0</v>
      </c>
      <c r="I476" s="49">
        <f>'Ch6'!O222</f>
        <v>0</v>
      </c>
      <c r="J476" s="500"/>
    </row>
    <row r="477" spans="1:10" ht="15" thickBot="1" x14ac:dyDescent="0.4">
      <c r="B477" t="str">
        <f>IF(LEN('Ch6'!H223)=0,"",'Ch6'!H223)</f>
        <v/>
      </c>
      <c r="C477" t="str">
        <f t="shared" si="10"/>
        <v/>
      </c>
      <c r="D477" s="33"/>
      <c r="E477" s="441" t="s">
        <v>274</v>
      </c>
      <c r="F477" s="126"/>
      <c r="G477" s="104" t="s">
        <v>675</v>
      </c>
      <c r="H477" s="49">
        <f>'Ch6'!W223</f>
        <v>0</v>
      </c>
      <c r="I477" s="49">
        <f>'Ch6'!O223</f>
        <v>0</v>
      </c>
      <c r="J477" s="500"/>
    </row>
    <row r="478" spans="1:10" ht="15.75" customHeight="1" thickTop="1" x14ac:dyDescent="0.35">
      <c r="A478" s="403" t="str">
        <f>IF('Ch6'!O224&gt;0,"P","")</f>
        <v/>
      </c>
      <c r="B478" t="str">
        <f>IF(LEN('Ch6'!H224)=0,"",'Ch6'!H224)</f>
        <v/>
      </c>
      <c r="C478" t="str">
        <f t="shared" si="10"/>
        <v/>
      </c>
      <c r="D478" s="63">
        <v>602.20000000000005</v>
      </c>
      <c r="E478" s="466"/>
      <c r="F478" s="466"/>
      <c r="G478" s="711" t="s">
        <v>676</v>
      </c>
      <c r="I478" s="49">
        <f>'Ch6'!O224</f>
        <v>0</v>
      </c>
      <c r="J478" s="804" t="s">
        <v>4748</v>
      </c>
    </row>
    <row r="479" spans="1:10" x14ac:dyDescent="0.35">
      <c r="A479" s="403" t="str">
        <f>A478</f>
        <v/>
      </c>
      <c r="B479" t="str">
        <f>IF(LEN('Ch6'!H225)=0,"",'Ch6'!H225)</f>
        <v/>
      </c>
      <c r="C479" t="str">
        <f t="shared" si="10"/>
        <v/>
      </c>
      <c r="D479" s="33"/>
      <c r="E479" s="126"/>
      <c r="F479" s="126"/>
      <c r="G479" s="706"/>
      <c r="J479" s="805"/>
    </row>
    <row r="480" spans="1:10" x14ac:dyDescent="0.35">
      <c r="A480" s="403" t="str">
        <f>A479</f>
        <v/>
      </c>
      <c r="B480" t="str">
        <f>IF(LEN('Ch6'!H226)=0,"",'Ch6'!H226)</f>
        <v/>
      </c>
      <c r="C480" t="str">
        <f t="shared" si="10"/>
        <v/>
      </c>
      <c r="D480" s="33"/>
      <c r="E480" s="126"/>
      <c r="F480" s="126"/>
      <c r="G480" s="706"/>
      <c r="J480" s="805"/>
    </row>
    <row r="481" spans="1:10" x14ac:dyDescent="0.35">
      <c r="A481" s="403" t="str">
        <f>A480</f>
        <v/>
      </c>
      <c r="B481" t="str">
        <f>IF(LEN('Ch6'!H227)=0,"",'Ch6'!H227)</f>
        <v/>
      </c>
      <c r="C481" t="str">
        <f t="shared" si="10"/>
        <v/>
      </c>
      <c r="D481" s="33"/>
      <c r="E481" s="126"/>
      <c r="F481" s="126"/>
      <c r="G481" s="706"/>
      <c r="J481" s="806"/>
    </row>
    <row r="482" spans="1:10" ht="15" customHeight="1" x14ac:dyDescent="0.35">
      <c r="B482" t="str">
        <f>IF(LEN('Ch6'!H228)=0,"",'Ch6'!H228)</f>
        <v/>
      </c>
      <c r="C482" t="str">
        <f t="shared" si="10"/>
        <v/>
      </c>
      <c r="D482" s="33"/>
      <c r="E482" s="441" t="s">
        <v>270</v>
      </c>
      <c r="F482" s="126"/>
      <c r="G482" s="723" t="s">
        <v>677</v>
      </c>
      <c r="H482" s="49">
        <f>'Ch6'!W228</f>
        <v>0</v>
      </c>
      <c r="J482" s="490"/>
    </row>
    <row r="483" spans="1:10" x14ac:dyDescent="0.35">
      <c r="B483" t="str">
        <f>IF(LEN('Ch6'!H229)=0,"",'Ch6'!H229)</f>
        <v/>
      </c>
      <c r="C483" t="str">
        <f t="shared" si="10"/>
        <v/>
      </c>
      <c r="D483" s="33"/>
      <c r="E483" s="459"/>
      <c r="F483" s="149"/>
      <c r="G483" s="724"/>
      <c r="J483" s="490"/>
    </row>
    <row r="484" spans="1:10" x14ac:dyDescent="0.35">
      <c r="B484" t="str">
        <f>IF(LEN('Ch6'!H230)=0,"",'Ch6'!H230)</f>
        <v/>
      </c>
      <c r="C484" t="str">
        <f t="shared" si="10"/>
        <v/>
      </c>
      <c r="D484" s="33"/>
      <c r="E484" s="467" t="s">
        <v>272</v>
      </c>
      <c r="F484" s="152"/>
      <c r="G484" s="220" t="s">
        <v>678</v>
      </c>
      <c r="H484" s="49">
        <f>'Ch6'!W230</f>
        <v>0</v>
      </c>
      <c r="J484" s="495"/>
    </row>
    <row r="485" spans="1:10" ht="15" customHeight="1" x14ac:dyDescent="0.35">
      <c r="B485" t="str">
        <f>IF(LEN('Ch6'!H231)=0,"",'Ch6'!H231)</f>
        <v/>
      </c>
      <c r="C485" t="str">
        <f t="shared" si="10"/>
        <v/>
      </c>
      <c r="D485" s="33"/>
      <c r="E485" s="441" t="s">
        <v>274</v>
      </c>
      <c r="F485" s="126"/>
      <c r="G485" s="707" t="s">
        <v>679</v>
      </c>
      <c r="H485" s="49">
        <f>'Ch6'!W231</f>
        <v>0</v>
      </c>
      <c r="J485" s="495"/>
    </row>
    <row r="486" spans="1:10" x14ac:dyDescent="0.35">
      <c r="B486" t="str">
        <f>IF(LEN('Ch6'!H232)=0,"",'Ch6'!H232)</f>
        <v/>
      </c>
      <c r="C486" t="str">
        <f t="shared" si="10"/>
        <v/>
      </c>
      <c r="D486" s="33"/>
      <c r="E486" s="126"/>
      <c r="F486" s="126"/>
      <c r="G486" s="707"/>
      <c r="J486" s="495"/>
    </row>
    <row r="487" spans="1:10" x14ac:dyDescent="0.35">
      <c r="B487" t="str">
        <f>IF(LEN('Ch6'!H233)=0,"",'Ch6'!H233)</f>
        <v/>
      </c>
      <c r="C487" t="str">
        <f t="shared" si="10"/>
        <v/>
      </c>
      <c r="D487" s="33"/>
      <c r="E487" s="126"/>
      <c r="F487" s="126"/>
      <c r="G487" s="707"/>
      <c r="J487" s="495"/>
    </row>
    <row r="488" spans="1:10" ht="15.75" customHeight="1" thickTop="1" x14ac:dyDescent="0.35">
      <c r="A488" s="403" t="str">
        <f>IF(AND(LEN('Ch6'!W234)&gt;0,NOT('Ch6'!W234=FALSE)),"P","")</f>
        <v>P</v>
      </c>
      <c r="B488" t="str">
        <f>IF(LEN('Ch6'!H234)=0,"",'Ch6'!H234)</f>
        <v/>
      </c>
      <c r="C488" t="str">
        <f t="shared" si="10"/>
        <v>P</v>
      </c>
      <c r="D488" s="63">
        <v>602.29999999999995</v>
      </c>
      <c r="E488" s="466"/>
      <c r="F488" s="466"/>
      <c r="G488" s="711" t="s">
        <v>680</v>
      </c>
      <c r="H488" s="49" t="b">
        <f>'Ch6'!W234</f>
        <v>1</v>
      </c>
      <c r="I488" s="49">
        <f>'Ch6'!O234</f>
        <v>4</v>
      </c>
      <c r="J488" s="822" t="s">
        <v>4285</v>
      </c>
    </row>
    <row r="489" spans="1:10" x14ac:dyDescent="0.35">
      <c r="A489" s="403" t="str">
        <f>A488</f>
        <v>P</v>
      </c>
      <c r="B489" t="str">
        <f>IF(LEN('Ch6'!H235)=0,"",'Ch6'!H235)</f>
        <v/>
      </c>
      <c r="C489" t="str">
        <f t="shared" si="10"/>
        <v>P</v>
      </c>
      <c r="D489" s="33"/>
      <c r="E489" s="126"/>
      <c r="F489" s="126"/>
      <c r="G489" s="706"/>
      <c r="J489" s="822"/>
    </row>
    <row r="490" spans="1:10" x14ac:dyDescent="0.35">
      <c r="A490" s="403" t="str">
        <f>A489</f>
        <v>P</v>
      </c>
      <c r="B490" t="str">
        <f>IF(LEN('Ch6'!H236)=0,"",'Ch6'!H236)</f>
        <v/>
      </c>
      <c r="C490" t="str">
        <f t="shared" si="10"/>
        <v>P</v>
      </c>
      <c r="D490" s="33"/>
      <c r="E490" s="126"/>
      <c r="F490" s="126"/>
      <c r="G490" s="706"/>
      <c r="J490" s="822"/>
    </row>
    <row r="491" spans="1:10" ht="15" thickTop="1" x14ac:dyDescent="0.35">
      <c r="A491" s="600" t="str">
        <f>IF(COUNTIF(A492:A499,"P")&gt;0,"P","")</f>
        <v>P</v>
      </c>
      <c r="B491" t="str">
        <f>IF(LEN('Ch6'!H237)=0,"",'Ch6'!H237)</f>
        <v/>
      </c>
      <c r="C491" t="str">
        <f t="shared" si="10"/>
        <v>P</v>
      </c>
      <c r="D491" s="63">
        <v>602.4</v>
      </c>
      <c r="E491" s="466"/>
      <c r="F491" s="466"/>
      <c r="G491" s="222" t="s">
        <v>681</v>
      </c>
      <c r="J491" s="485"/>
    </row>
    <row r="492" spans="1:10" ht="15" customHeight="1" x14ac:dyDescent="0.35">
      <c r="A492" s="403" t="str">
        <f>IF(AND(LEN('Ch6'!W238)&gt;0,NOT('Ch6'!W238=FALSE)),"P","")</f>
        <v>P</v>
      </c>
      <c r="B492" t="str">
        <f>IF(LEN('Ch6'!H238)=0,"",'Ch6'!H238)</f>
        <v/>
      </c>
      <c r="C492" t="str">
        <f t="shared" si="10"/>
        <v>P</v>
      </c>
      <c r="D492" s="33" t="s">
        <v>682</v>
      </c>
      <c r="E492" s="126"/>
      <c r="F492" s="126"/>
      <c r="G492" s="706" t="s">
        <v>683</v>
      </c>
      <c r="H492" s="49" t="b">
        <f>'Ch6'!W238</f>
        <v>1</v>
      </c>
      <c r="J492" s="824" t="s">
        <v>4749</v>
      </c>
    </row>
    <row r="493" spans="1:10" x14ac:dyDescent="0.35">
      <c r="A493" s="403" t="str">
        <f>A492</f>
        <v>P</v>
      </c>
      <c r="B493" t="str">
        <f>IF(LEN('Ch6'!H239)=0,"",'Ch6'!H239)</f>
        <v/>
      </c>
      <c r="C493" t="str">
        <f t="shared" si="10"/>
        <v>P</v>
      </c>
      <c r="D493" s="33"/>
      <c r="E493" s="126"/>
      <c r="F493" s="126"/>
      <c r="G493" s="706"/>
      <c r="J493" s="828"/>
    </row>
    <row r="494" spans="1:10" x14ac:dyDescent="0.35">
      <c r="A494" s="403" t="str">
        <f>A493</f>
        <v>P</v>
      </c>
      <c r="B494" t="str">
        <f>IF(LEN('Ch6'!H240)=0,"",'Ch6'!H240)</f>
        <v/>
      </c>
      <c r="C494" t="str">
        <f t="shared" si="10"/>
        <v>P</v>
      </c>
      <c r="D494" s="33"/>
      <c r="E494" s="126"/>
      <c r="F494" s="126"/>
      <c r="G494" s="706"/>
      <c r="J494" s="828"/>
    </row>
    <row r="495" spans="1:10" x14ac:dyDescent="0.35">
      <c r="A495" s="403" t="str">
        <f>A494</f>
        <v>P</v>
      </c>
      <c r="B495" t="str">
        <f>IF(LEN('Ch6'!H241)=0,"",'Ch6'!H241)</f>
        <v/>
      </c>
      <c r="C495" t="str">
        <f t="shared" si="10"/>
        <v>P</v>
      </c>
      <c r="D495" s="33"/>
      <c r="E495" s="126"/>
      <c r="F495" s="126"/>
      <c r="G495" s="706"/>
      <c r="J495" s="828"/>
    </row>
    <row r="496" spans="1:10" x14ac:dyDescent="0.35">
      <c r="A496" s="403" t="str">
        <f>A495</f>
        <v>P</v>
      </c>
      <c r="B496" t="str">
        <f>IF(LEN('Ch6'!H242)=0,"",'Ch6'!H242)</f>
        <v/>
      </c>
      <c r="C496" t="str">
        <f t="shared" si="10"/>
        <v>P</v>
      </c>
      <c r="D496" s="442"/>
      <c r="E496" s="149"/>
      <c r="F496" s="149"/>
      <c r="G496" s="739"/>
      <c r="J496" s="825"/>
    </row>
    <row r="497" spans="1:10" ht="15" customHeight="1" x14ac:dyDescent="0.35">
      <c r="A497" s="403" t="str">
        <f>IF(AND(LEN('Ch6'!W243)&gt;0,NOT('Ch6'!W243=FALSE)),"P","")</f>
        <v>P</v>
      </c>
      <c r="B497" t="str">
        <f>IF(LEN('Ch6'!H243)=0,"",'Ch6'!H243)</f>
        <v/>
      </c>
      <c r="C497" t="str">
        <f t="shared" si="10"/>
        <v>P</v>
      </c>
      <c r="D497" s="33" t="s">
        <v>684</v>
      </c>
      <c r="E497" s="126"/>
      <c r="F497" s="126"/>
      <c r="G497" s="706" t="s">
        <v>685</v>
      </c>
      <c r="H497" s="49" t="b">
        <f>'Ch6'!W243</f>
        <v>1</v>
      </c>
      <c r="I497" s="49">
        <f>'Ch6'!O243</f>
        <v>1</v>
      </c>
      <c r="J497" s="813" t="s">
        <v>4177</v>
      </c>
    </row>
    <row r="498" spans="1:10" x14ac:dyDescent="0.35">
      <c r="A498" s="403" t="str">
        <f>A497</f>
        <v>P</v>
      </c>
      <c r="B498" t="str">
        <f>IF(LEN('Ch6'!H244)=0,"",'Ch6'!H244)</f>
        <v/>
      </c>
      <c r="C498" t="str">
        <f t="shared" si="10"/>
        <v>P</v>
      </c>
      <c r="D498" s="442"/>
      <c r="E498" s="149"/>
      <c r="F498" s="149"/>
      <c r="G498" s="739"/>
      <c r="J498" s="813"/>
    </row>
    <row r="499" spans="1:10" ht="15" customHeight="1" x14ac:dyDescent="0.35">
      <c r="A499" s="403" t="str">
        <f>IF(AND(LEN('Ch6'!W245)&gt;0,NOT('Ch6'!W245=FALSE)),"P","")</f>
        <v>P</v>
      </c>
      <c r="B499" t="str">
        <f>IF(LEN('Ch6'!H245)=0,"",'Ch6'!H245)</f>
        <v/>
      </c>
      <c r="C499" t="str">
        <f t="shared" si="10"/>
        <v>P</v>
      </c>
      <c r="D499" s="33" t="s">
        <v>686</v>
      </c>
      <c r="E499" s="126"/>
      <c r="F499" s="126"/>
      <c r="G499" s="110" t="s">
        <v>687</v>
      </c>
      <c r="H499" s="49" t="b">
        <f>'Ch6'!W245</f>
        <v>1</v>
      </c>
      <c r="I499" s="49">
        <f>'Ch6'!O245</f>
        <v>1</v>
      </c>
      <c r="J499" s="485" t="s">
        <v>4177</v>
      </c>
    </row>
    <row r="500" spans="1:10" ht="18.5" x14ac:dyDescent="0.35">
      <c r="A500" s="403" t="s">
        <v>4326</v>
      </c>
      <c r="B500" t="str">
        <f>IF(LEN('Ch6'!H246)=0,"",'Ch6'!H246)</f>
        <v/>
      </c>
      <c r="C500" t="str">
        <f t="shared" si="10"/>
        <v>P</v>
      </c>
      <c r="D500" s="38" t="s">
        <v>688</v>
      </c>
      <c r="E500" s="38"/>
      <c r="F500" s="38"/>
      <c r="G500" s="174"/>
      <c r="H500" s="174"/>
      <c r="I500" s="174"/>
      <c r="J500" s="499"/>
    </row>
    <row r="501" spans="1:10" ht="15" customHeight="1" x14ac:dyDescent="0.35">
      <c r="B501" t="str">
        <f>IF(LEN('Ch6'!H247)=0,"",'Ch6'!H247)</f>
        <v/>
      </c>
      <c r="C501" t="str">
        <f t="shared" si="10"/>
        <v/>
      </c>
      <c r="D501" s="441" t="s">
        <v>4355</v>
      </c>
      <c r="E501" s="126"/>
      <c r="F501" s="126"/>
      <c r="G501" s="706" t="s">
        <v>689</v>
      </c>
      <c r="J501" s="485"/>
    </row>
    <row r="502" spans="1:10" x14ac:dyDescent="0.35">
      <c r="B502" t="str">
        <f>IF(LEN('Ch6'!H248)=0,"",'Ch6'!H248)</f>
        <v/>
      </c>
      <c r="C502" t="str">
        <f t="shared" si="10"/>
        <v/>
      </c>
      <c r="D502" s="33"/>
      <c r="E502" s="126"/>
      <c r="F502" s="126"/>
      <c r="G502" s="706"/>
      <c r="J502" s="485"/>
    </row>
    <row r="503" spans="1:10" ht="15.75" customHeight="1" thickTop="1" x14ac:dyDescent="0.35">
      <c r="A503" s="403" t="str">
        <f>IF(AND(LEN('Ch6'!W249)&gt;0,NOT('Ch6'!W249=FALSE)),"P","")</f>
        <v/>
      </c>
      <c r="B503" t="str">
        <f>IF(LEN('Ch6'!H249)=0,"",'Ch6'!H249)</f>
        <v/>
      </c>
      <c r="C503" t="str">
        <f t="shared" si="10"/>
        <v/>
      </c>
      <c r="D503" s="63">
        <v>603.1</v>
      </c>
      <c r="E503" s="466"/>
      <c r="F503" s="466"/>
      <c r="G503" s="711" t="s">
        <v>690</v>
      </c>
      <c r="H503" s="49">
        <f>'Ch6'!W249</f>
        <v>0</v>
      </c>
      <c r="I503" s="49">
        <f>'Ch6'!O249</f>
        <v>0</v>
      </c>
      <c r="J503" s="814" t="s">
        <v>4202</v>
      </c>
    </row>
    <row r="504" spans="1:10" ht="26.25" customHeight="1" x14ac:dyDescent="0.35">
      <c r="A504" s="403" t="str">
        <f>A503</f>
        <v/>
      </c>
      <c r="B504" t="str">
        <f>IF(LEN('Ch6'!H250)=0,"",'Ch6'!H250)</f>
        <v/>
      </c>
      <c r="C504" t="str">
        <f t="shared" si="10"/>
        <v/>
      </c>
      <c r="D504" s="33"/>
      <c r="E504" s="126"/>
      <c r="F504" s="126"/>
      <c r="G504" s="706"/>
      <c r="J504" s="814"/>
    </row>
    <row r="505" spans="1:10" x14ac:dyDescent="0.35">
      <c r="B505" t="str">
        <f>IF(LEN('Ch6'!H251)=0,"",'Ch6'!H251)</f>
        <v/>
      </c>
      <c r="C505" t="str">
        <f t="shared" si="10"/>
        <v/>
      </c>
      <c r="D505" s="33"/>
      <c r="E505" s="126"/>
      <c r="F505" s="126"/>
      <c r="G505" s="107" t="s">
        <v>691</v>
      </c>
      <c r="J505" s="485"/>
    </row>
    <row r="506" spans="1:10" ht="15" customHeight="1" x14ac:dyDescent="0.35">
      <c r="B506" t="str">
        <f>IF(LEN('Ch6'!H252)=0,"",'Ch6'!H252)</f>
        <v/>
      </c>
      <c r="C506" t="str">
        <f t="shared" si="10"/>
        <v/>
      </c>
      <c r="D506" s="33"/>
      <c r="E506" s="126"/>
      <c r="F506" s="126"/>
      <c r="G506" s="744" t="s">
        <v>3255</v>
      </c>
      <c r="J506" s="485"/>
    </row>
    <row r="507" spans="1:10" x14ac:dyDescent="0.35">
      <c r="B507" t="str">
        <f>IF(LEN('Ch6'!H253)=0,"",'Ch6'!H253)</f>
        <v/>
      </c>
      <c r="C507" t="str">
        <f t="shared" si="10"/>
        <v/>
      </c>
      <c r="D507" s="33"/>
      <c r="E507" s="126"/>
      <c r="F507" s="126"/>
      <c r="G507" s="745"/>
      <c r="J507" s="485"/>
    </row>
    <row r="508" spans="1:10" x14ac:dyDescent="0.35">
      <c r="B508" t="str">
        <f>IF(LEN('Ch6'!H254)=0,"",'Ch6'!H254)</f>
        <v/>
      </c>
      <c r="C508" t="str">
        <f t="shared" si="10"/>
        <v/>
      </c>
      <c r="D508" s="33"/>
      <c r="E508" s="126"/>
      <c r="F508" s="126"/>
      <c r="G508" s="745"/>
      <c r="J508" s="485"/>
    </row>
    <row r="509" spans="1:10" ht="15.75" customHeight="1" thickTop="1" x14ac:dyDescent="0.35">
      <c r="A509" s="403" t="str">
        <f>IF(AND(LEN('Ch6'!W255)&gt;0,NOT('Ch6'!W255=FALSE)),"P","")</f>
        <v/>
      </c>
      <c r="B509" t="str">
        <f>IF(LEN('Ch6'!H255)=0,"",'Ch6'!H255)</f>
        <v/>
      </c>
      <c r="C509" t="str">
        <f t="shared" si="10"/>
        <v/>
      </c>
      <c r="D509" s="63">
        <v>603.20000000000005</v>
      </c>
      <c r="E509" s="466"/>
      <c r="F509" s="466"/>
      <c r="G509" s="711" t="s">
        <v>692</v>
      </c>
      <c r="H509" s="49">
        <f>'Ch6'!W255</f>
        <v>0</v>
      </c>
      <c r="I509" s="49">
        <f>'Ch6'!O255</f>
        <v>0</v>
      </c>
      <c r="J509" s="814" t="s">
        <v>4203</v>
      </c>
    </row>
    <row r="510" spans="1:10" x14ac:dyDescent="0.35">
      <c r="A510" s="403" t="str">
        <f>A509</f>
        <v/>
      </c>
      <c r="B510" t="str">
        <f>IF(LEN('Ch6'!H256)=0,"",'Ch6'!H256)</f>
        <v/>
      </c>
      <c r="C510" t="str">
        <f t="shared" si="10"/>
        <v/>
      </c>
      <c r="D510" s="33"/>
      <c r="E510" s="126"/>
      <c r="F510" s="126"/>
      <c r="G510" s="706"/>
      <c r="J510" s="814"/>
    </row>
    <row r="511" spans="1:10" x14ac:dyDescent="0.35">
      <c r="A511" s="403" t="str">
        <f>A510</f>
        <v/>
      </c>
      <c r="B511" t="str">
        <f>IF(LEN('Ch6'!H257)=0,"",'Ch6'!H257)</f>
        <v/>
      </c>
      <c r="C511" t="str">
        <f t="shared" si="10"/>
        <v/>
      </c>
      <c r="D511" s="33"/>
      <c r="E511" s="126"/>
      <c r="F511" s="126"/>
      <c r="G511" s="706"/>
      <c r="J511" s="814"/>
    </row>
    <row r="512" spans="1:10" ht="15" customHeight="1" x14ac:dyDescent="0.35">
      <c r="B512" t="str">
        <f>IF(LEN('Ch6'!H258)=0,"",'Ch6'!H258)</f>
        <v/>
      </c>
      <c r="C512" t="str">
        <f t="shared" si="10"/>
        <v/>
      </c>
      <c r="D512" s="33"/>
      <c r="E512" s="126"/>
      <c r="F512" s="126"/>
      <c r="G512" s="106" t="s">
        <v>3257</v>
      </c>
      <c r="J512" s="485"/>
    </row>
    <row r="513" spans="1:10" ht="15" customHeight="1" x14ac:dyDescent="0.35">
      <c r="B513" t="str">
        <f>IF(LEN('Ch6'!H259)=0,"",'Ch6'!H259)</f>
        <v/>
      </c>
      <c r="C513" t="str">
        <f t="shared" si="10"/>
        <v/>
      </c>
      <c r="D513" s="33"/>
      <c r="E513" s="126"/>
      <c r="F513" s="126"/>
      <c r="G513" s="744" t="s">
        <v>3255</v>
      </c>
      <c r="J513" s="485"/>
    </row>
    <row r="514" spans="1:10" x14ac:dyDescent="0.35">
      <c r="B514" t="str">
        <f>IF(LEN('Ch6'!H260)=0,"",'Ch6'!H260)</f>
        <v/>
      </c>
      <c r="C514" t="str">
        <f t="shared" si="10"/>
        <v/>
      </c>
      <c r="D514" s="33"/>
      <c r="E514" s="126"/>
      <c r="F514" s="126"/>
      <c r="G514" s="745"/>
      <c r="J514" s="485"/>
    </row>
    <row r="515" spans="1:10" x14ac:dyDescent="0.35">
      <c r="B515" t="str">
        <f>IF(LEN('Ch6'!H261)=0,"",'Ch6'!H261)</f>
        <v/>
      </c>
      <c r="C515" t="str">
        <f t="shared" si="10"/>
        <v/>
      </c>
      <c r="D515" s="33"/>
      <c r="E515" s="126"/>
      <c r="F515" s="126"/>
      <c r="G515" s="745"/>
      <c r="J515" s="485"/>
    </row>
    <row r="516" spans="1:10" ht="15.75" customHeight="1" thickTop="1" x14ac:dyDescent="0.35">
      <c r="A516" s="403" t="str">
        <f>IF(AND(LEN('Ch6'!W262)&gt;0,NOT('Ch6'!W262=FALSE)),"P","")</f>
        <v/>
      </c>
      <c r="B516" t="str">
        <f>IF(LEN('Ch6'!H262)=0,"",'Ch6'!H262)</f>
        <v/>
      </c>
      <c r="C516" t="str">
        <f t="shared" si="10"/>
        <v/>
      </c>
      <c r="D516" s="63">
        <v>603.29999999999995</v>
      </c>
      <c r="E516" s="466"/>
      <c r="F516" s="466"/>
      <c r="G516" s="711" t="s">
        <v>693</v>
      </c>
      <c r="H516" s="49">
        <f>'Ch6'!W262</f>
        <v>0</v>
      </c>
      <c r="I516" s="49">
        <f>'Ch6'!O262</f>
        <v>0</v>
      </c>
      <c r="J516" s="813" t="s">
        <v>4177</v>
      </c>
    </row>
    <row r="517" spans="1:10" x14ac:dyDescent="0.35">
      <c r="A517" s="403" t="str">
        <f>A516</f>
        <v/>
      </c>
      <c r="B517" t="str">
        <f>IF(LEN('Ch6'!H263)=0,"",'Ch6'!H263)</f>
        <v/>
      </c>
      <c r="C517" t="str">
        <f t="shared" si="10"/>
        <v/>
      </c>
      <c r="D517" s="33"/>
      <c r="E517" s="126"/>
      <c r="F517" s="126"/>
      <c r="G517" s="706"/>
      <c r="J517" s="813"/>
    </row>
    <row r="518" spans="1:10" ht="15" customHeight="1" x14ac:dyDescent="0.35">
      <c r="B518" t="str">
        <f>IF(LEN('Ch6'!H264)=0,"",'Ch6'!H264)</f>
        <v/>
      </c>
      <c r="C518" t="str">
        <f t="shared" si="10"/>
        <v/>
      </c>
      <c r="D518" s="33"/>
      <c r="E518" s="126"/>
      <c r="F518" s="126"/>
      <c r="G518" s="105" t="s">
        <v>3253</v>
      </c>
      <c r="J518" s="485"/>
    </row>
    <row r="519" spans="1:10" ht="18.5" x14ac:dyDescent="0.35">
      <c r="A519" s="403" t="s">
        <v>4326</v>
      </c>
      <c r="B519" t="str">
        <f>IF(LEN('Ch6'!H265)=0,"",'Ch6'!H265)</f>
        <v/>
      </c>
      <c r="C519" t="str">
        <f t="shared" si="10"/>
        <v>P</v>
      </c>
      <c r="D519" s="38" t="s">
        <v>694</v>
      </c>
      <c r="E519" s="38"/>
      <c r="F519" s="38"/>
      <c r="G519" s="174"/>
      <c r="H519" s="174"/>
      <c r="I519" s="174"/>
      <c r="J519" s="499"/>
    </row>
    <row r="520" spans="1:10" ht="15" customHeight="1" x14ac:dyDescent="0.35">
      <c r="A520" s="403" t="str">
        <f>IF('Ch6'!O266&gt;0,"P","")</f>
        <v/>
      </c>
      <c r="B520" t="str">
        <f>IF(LEN('Ch6'!H266)=0,"",'Ch6'!H266)</f>
        <v/>
      </c>
      <c r="C520" t="str">
        <f t="shared" si="10"/>
        <v/>
      </c>
      <c r="D520" s="33">
        <v>604.1</v>
      </c>
      <c r="E520" s="126"/>
      <c r="F520" s="126"/>
      <c r="G520" s="706" t="s">
        <v>695</v>
      </c>
      <c r="I520" s="49">
        <f>'Ch6'!O266</f>
        <v>0</v>
      </c>
      <c r="J520" s="814" t="s">
        <v>4204</v>
      </c>
    </row>
    <row r="521" spans="1:10" x14ac:dyDescent="0.35">
      <c r="A521" s="403" t="str">
        <f>A520</f>
        <v/>
      </c>
      <c r="B521" t="str">
        <f>IF(LEN('Ch6'!H267)=0,"",'Ch6'!H267)</f>
        <v/>
      </c>
      <c r="C521" t="str">
        <f t="shared" ref="C521:C584" si="11">IF(LEN(B521)=0,IF(A521="P","P",""),B521)</f>
        <v/>
      </c>
      <c r="D521" s="33"/>
      <c r="E521" s="126"/>
      <c r="F521" s="126"/>
      <c r="G521" s="706"/>
      <c r="H521" s="49">
        <f>'Ch6'!W267</f>
        <v>0</v>
      </c>
      <c r="J521" s="814"/>
    </row>
    <row r="522" spans="1:10" x14ac:dyDescent="0.35">
      <c r="B522" t="str">
        <f>IF(LEN('Ch6'!H268)=0,"",'Ch6'!H268)</f>
        <v/>
      </c>
      <c r="C522" t="str">
        <f t="shared" si="11"/>
        <v/>
      </c>
      <c r="D522" s="33"/>
      <c r="E522" s="126"/>
      <c r="F522" s="126"/>
      <c r="G522" s="105" t="s">
        <v>3267</v>
      </c>
      <c r="J522" s="495"/>
    </row>
    <row r="523" spans="1:10" x14ac:dyDescent="0.35">
      <c r="B523" t="str">
        <f>IF(LEN('Ch6'!H269)=0,"",'Ch6'!H269)</f>
        <v/>
      </c>
      <c r="C523" t="str">
        <f t="shared" si="11"/>
        <v/>
      </c>
      <c r="D523" s="33"/>
      <c r="E523" s="126"/>
      <c r="F523" s="126"/>
      <c r="G523" s="209" t="s">
        <v>3264</v>
      </c>
      <c r="H523" s="49">
        <f>'Ch6'!W269</f>
        <v>0</v>
      </c>
      <c r="J523" s="495"/>
    </row>
    <row r="524" spans="1:10" ht="15" customHeight="1" x14ac:dyDescent="0.35">
      <c r="B524" t="str">
        <f>IF(LEN('Ch6'!H270)=0,"",'Ch6'!H270)</f>
        <v/>
      </c>
      <c r="C524" t="str">
        <f t="shared" si="11"/>
        <v/>
      </c>
      <c r="D524" s="33"/>
      <c r="E524" s="126"/>
      <c r="F524" s="126"/>
      <c r="G524" s="714" t="s">
        <v>3266</v>
      </c>
      <c r="J524" s="495"/>
    </row>
    <row r="525" spans="1:10" x14ac:dyDescent="0.35">
      <c r="B525" t="str">
        <f>IF(LEN('Ch6'!H271)=0,"",'Ch6'!H271)</f>
        <v/>
      </c>
      <c r="C525" t="str">
        <f t="shared" si="11"/>
        <v/>
      </c>
      <c r="D525" s="33"/>
      <c r="E525" s="126"/>
      <c r="F525" s="126"/>
      <c r="G525" s="714"/>
      <c r="H525" s="49">
        <f>'Ch6'!W271</f>
        <v>0</v>
      </c>
      <c r="J525" s="495"/>
    </row>
    <row r="526" spans="1:10" x14ac:dyDescent="0.35">
      <c r="B526" t="str">
        <f>IF(LEN('Ch6'!H272)=0,"",'Ch6'!H272)</f>
        <v/>
      </c>
      <c r="C526" t="str">
        <f t="shared" si="11"/>
        <v/>
      </c>
      <c r="D526" s="33"/>
      <c r="E526" s="126"/>
      <c r="F526" s="126"/>
      <c r="G526" s="215"/>
      <c r="J526" s="495"/>
    </row>
    <row r="527" spans="1:10" x14ac:dyDescent="0.35">
      <c r="B527" t="str">
        <f>IF(LEN('Ch6'!H273)=0,"",'Ch6'!H273)</f>
        <v/>
      </c>
      <c r="C527" t="str">
        <f t="shared" si="11"/>
        <v/>
      </c>
      <c r="D527" s="33"/>
      <c r="E527" s="126"/>
      <c r="F527" s="126"/>
      <c r="G527" s="215"/>
      <c r="H527" s="49">
        <f>'Ch6'!W273</f>
        <v>0</v>
      </c>
      <c r="J527" s="495"/>
    </row>
    <row r="528" spans="1:10" ht="18.5" x14ac:dyDescent="0.35">
      <c r="A528" s="403" t="s">
        <v>4326</v>
      </c>
      <c r="B528" t="str">
        <f>IF(LEN('Ch6'!H274)=0,"",'Ch6'!H274)</f>
        <v/>
      </c>
      <c r="C528" t="str">
        <f t="shared" si="11"/>
        <v>P</v>
      </c>
      <c r="D528" s="38" t="s">
        <v>696</v>
      </c>
      <c r="E528" s="38"/>
      <c r="F528" s="38"/>
      <c r="G528" s="173"/>
      <c r="H528" s="173"/>
      <c r="I528" s="173"/>
      <c r="J528" s="501"/>
    </row>
    <row r="529" spans="1:10" ht="15" customHeight="1" x14ac:dyDescent="0.35">
      <c r="B529" t="str">
        <f>IF(LEN('Ch6'!H275)=0,"",'Ch6'!H275)</f>
        <v/>
      </c>
      <c r="C529" t="str">
        <f t="shared" si="11"/>
        <v/>
      </c>
      <c r="D529" s="441" t="s">
        <v>4354</v>
      </c>
      <c r="E529" s="126"/>
      <c r="F529" s="126"/>
      <c r="G529" s="706" t="s">
        <v>697</v>
      </c>
      <c r="J529" s="485"/>
    </row>
    <row r="530" spans="1:10" x14ac:dyDescent="0.35">
      <c r="B530" t="str">
        <f>IF(LEN('Ch6'!H276)=0,"",'Ch6'!H276)</f>
        <v/>
      </c>
      <c r="C530" t="str">
        <f t="shared" si="11"/>
        <v/>
      </c>
      <c r="D530" s="33"/>
      <c r="E530" s="126"/>
      <c r="F530" s="126"/>
      <c r="G530" s="706"/>
      <c r="J530" s="485"/>
    </row>
    <row r="531" spans="1:10" x14ac:dyDescent="0.35">
      <c r="B531" t="str">
        <f>IF(LEN('Ch6'!H277)=0,"",'Ch6'!H277)</f>
        <v/>
      </c>
      <c r="C531" t="str">
        <f t="shared" si="11"/>
        <v/>
      </c>
      <c r="D531" s="33"/>
      <c r="E531" s="126"/>
      <c r="F531" s="126"/>
      <c r="G531" s="107" t="s">
        <v>698</v>
      </c>
      <c r="J531" s="485"/>
    </row>
    <row r="532" spans="1:10" ht="15.75" customHeight="1" thickTop="1" x14ac:dyDescent="0.35">
      <c r="A532" s="403" t="str">
        <f>IF(AND(LEN('Ch6'!W278)&gt;0,NOT('Ch6'!W278=FALSE)),"P","")</f>
        <v/>
      </c>
      <c r="B532" t="str">
        <f>IF(LEN('Ch6'!H278)=0,"",'Ch6'!H278)</f>
        <v/>
      </c>
      <c r="C532" t="str">
        <f t="shared" si="11"/>
        <v/>
      </c>
      <c r="D532" s="63">
        <v>605.1</v>
      </c>
      <c r="E532" s="466"/>
      <c r="F532" s="466"/>
      <c r="G532" s="711" t="s">
        <v>699</v>
      </c>
      <c r="H532" s="49">
        <f>'Ch6'!W278</f>
        <v>0</v>
      </c>
      <c r="I532" s="49">
        <f>'Ch6'!O278</f>
        <v>0</v>
      </c>
      <c r="J532" s="814" t="s">
        <v>4205</v>
      </c>
    </row>
    <row r="533" spans="1:10" x14ac:dyDescent="0.35">
      <c r="A533" s="403" t="str">
        <f>A532</f>
        <v/>
      </c>
      <c r="B533" t="str">
        <f>IF(LEN('Ch6'!H279)=0,"",'Ch6'!H279)</f>
        <v/>
      </c>
      <c r="C533" t="str">
        <f t="shared" si="11"/>
        <v/>
      </c>
      <c r="D533" s="33"/>
      <c r="E533" s="126"/>
      <c r="F533" s="126"/>
      <c r="G533" s="706"/>
      <c r="J533" s="814"/>
    </row>
    <row r="534" spans="1:10" x14ac:dyDescent="0.35">
      <c r="A534" s="403" t="str">
        <f>A533</f>
        <v/>
      </c>
      <c r="B534" t="str">
        <f>IF(LEN('Ch6'!H280)=0,"",'Ch6'!H280)</f>
        <v/>
      </c>
      <c r="C534" t="str">
        <f t="shared" si="11"/>
        <v/>
      </c>
      <c r="D534" s="33"/>
      <c r="E534" s="126"/>
      <c r="F534" s="126"/>
      <c r="G534" s="706"/>
      <c r="J534" s="814"/>
    </row>
    <row r="535" spans="1:10" x14ac:dyDescent="0.35">
      <c r="A535" s="403" t="str">
        <f>A534</f>
        <v/>
      </c>
      <c r="B535" t="str">
        <f>IF(LEN('Ch6'!H281)=0,"",'Ch6'!H281)</f>
        <v/>
      </c>
      <c r="C535" t="str">
        <f t="shared" si="11"/>
        <v/>
      </c>
      <c r="D535" s="33"/>
      <c r="E535" s="126"/>
      <c r="F535" s="126"/>
      <c r="G535" s="706"/>
      <c r="J535" s="814"/>
    </row>
    <row r="536" spans="1:10" x14ac:dyDescent="0.35">
      <c r="A536" s="403" t="str">
        <f>A535</f>
        <v/>
      </c>
      <c r="B536" t="str">
        <f>IF(LEN('Ch6'!H282)=0,"",'Ch6'!H282)</f>
        <v/>
      </c>
      <c r="C536" t="str">
        <f t="shared" si="11"/>
        <v/>
      </c>
      <c r="D536" s="33"/>
      <c r="E536" s="126"/>
      <c r="F536" s="126"/>
      <c r="G536" s="706"/>
      <c r="J536" s="814"/>
    </row>
    <row r="537" spans="1:10" x14ac:dyDescent="0.35">
      <c r="A537" s="403" t="str">
        <f>A536</f>
        <v/>
      </c>
      <c r="B537" t="str">
        <f>IF(LEN('Ch6'!H283)=0,"",'Ch6'!H283)</f>
        <v/>
      </c>
      <c r="C537" t="str">
        <f t="shared" si="11"/>
        <v/>
      </c>
      <c r="D537" s="33"/>
      <c r="E537" s="126"/>
      <c r="F537" s="126"/>
      <c r="G537" s="706"/>
      <c r="J537" s="814"/>
    </row>
    <row r="538" spans="1:10" ht="15" customHeight="1" x14ac:dyDescent="0.35">
      <c r="B538" t="str">
        <f>IF(LEN('Ch6'!H284)=0,"",'Ch6'!H284)</f>
        <v/>
      </c>
      <c r="C538" t="str">
        <f t="shared" si="11"/>
        <v/>
      </c>
      <c r="D538" s="33"/>
      <c r="E538" s="126"/>
      <c r="F538" s="126"/>
      <c r="G538" s="707" t="s">
        <v>700</v>
      </c>
      <c r="J538" s="495"/>
    </row>
    <row r="539" spans="1:10" x14ac:dyDescent="0.35">
      <c r="B539" t="str">
        <f>IF(LEN('Ch6'!H285)=0,"",'Ch6'!H285)</f>
        <v/>
      </c>
      <c r="C539" t="str">
        <f t="shared" si="11"/>
        <v/>
      </c>
      <c r="D539" s="33"/>
      <c r="E539" s="126"/>
      <c r="F539" s="126"/>
      <c r="G539" s="707"/>
      <c r="J539" s="495"/>
    </row>
    <row r="540" spans="1:10" x14ac:dyDescent="0.35">
      <c r="B540" t="str">
        <f>IF(LEN('Ch6'!H286)=0,"",'Ch6'!H286)</f>
        <v/>
      </c>
      <c r="C540" t="str">
        <f t="shared" si="11"/>
        <v/>
      </c>
      <c r="D540" s="33"/>
      <c r="E540" s="126"/>
      <c r="F540" s="126"/>
      <c r="G540" s="707"/>
      <c r="J540" s="495"/>
    </row>
    <row r="541" spans="1:10" x14ac:dyDescent="0.35">
      <c r="B541" t="str">
        <f>IF(LEN('Ch6'!H287)=0,"",'Ch6'!H287)</f>
        <v/>
      </c>
      <c r="C541" t="str">
        <f t="shared" si="11"/>
        <v/>
      </c>
      <c r="D541" s="33"/>
      <c r="E541" s="126"/>
      <c r="F541" s="126"/>
      <c r="G541" s="707"/>
      <c r="J541" s="495"/>
    </row>
    <row r="542" spans="1:10" x14ac:dyDescent="0.35">
      <c r="B542" t="str">
        <f>IF(LEN('Ch6'!H288)=0,"",'Ch6'!H288)</f>
        <v/>
      </c>
      <c r="C542" t="str">
        <f t="shared" si="11"/>
        <v/>
      </c>
      <c r="D542" s="33"/>
      <c r="E542" s="126"/>
      <c r="F542" s="126"/>
      <c r="G542" s="110" t="s">
        <v>701</v>
      </c>
      <c r="J542" s="495"/>
    </row>
    <row r="543" spans="1:10" ht="15" customHeight="1" x14ac:dyDescent="0.35">
      <c r="B543" t="str">
        <f>IF(LEN('Ch6'!H289)=0,"",'Ch6'!H289)</f>
        <v/>
      </c>
      <c r="C543" t="str">
        <f t="shared" si="11"/>
        <v/>
      </c>
      <c r="D543" s="33"/>
      <c r="E543" s="441" t="s">
        <v>270</v>
      </c>
      <c r="F543" s="126"/>
      <c r="G543" s="707" t="s">
        <v>702</v>
      </c>
      <c r="J543" s="495"/>
    </row>
    <row r="544" spans="1:10" x14ac:dyDescent="0.35">
      <c r="B544" t="str">
        <f>IF(LEN('Ch6'!H290)=0,"",'Ch6'!H290)</f>
        <v/>
      </c>
      <c r="C544" t="str">
        <f t="shared" si="11"/>
        <v/>
      </c>
      <c r="D544" s="33"/>
      <c r="E544" s="126"/>
      <c r="F544" s="126"/>
      <c r="G544" s="707"/>
      <c r="J544" s="495"/>
    </row>
    <row r="545" spans="1:10" ht="15" customHeight="1" x14ac:dyDescent="0.35">
      <c r="B545" t="str">
        <f>IF(LEN('Ch6'!H291)=0,"",'Ch6'!H291)</f>
        <v/>
      </c>
      <c r="C545" t="str">
        <f t="shared" si="11"/>
        <v/>
      </c>
      <c r="D545" s="33"/>
      <c r="E545" s="441" t="s">
        <v>272</v>
      </c>
      <c r="F545" s="126"/>
      <c r="G545" s="707" t="s">
        <v>703</v>
      </c>
      <c r="H545" s="49">
        <f>'Ch6'!W291</f>
        <v>0</v>
      </c>
      <c r="J545" s="495"/>
    </row>
    <row r="546" spans="1:10" x14ac:dyDescent="0.35">
      <c r="B546" t="str">
        <f>IF(LEN('Ch6'!H292)=0,"",'Ch6'!H292)</f>
        <v/>
      </c>
      <c r="C546" t="str">
        <f t="shared" si="11"/>
        <v/>
      </c>
      <c r="D546" s="33"/>
      <c r="E546" s="126"/>
      <c r="F546" s="126"/>
      <c r="G546" s="707"/>
      <c r="J546" s="495"/>
    </row>
    <row r="547" spans="1:10" ht="15.75" customHeight="1" thickTop="1" x14ac:dyDescent="0.35">
      <c r="A547" s="403" t="str">
        <f>IF(AND(LEN('Ch6'!W293)&gt;0,NOT('Ch6'!W293=FALSE)),"P","")</f>
        <v/>
      </c>
      <c r="B547" t="str">
        <f>IF(LEN('Ch6'!H293)=0,"",'Ch6'!H293)</f>
        <v/>
      </c>
      <c r="C547" t="str">
        <f t="shared" si="11"/>
        <v/>
      </c>
      <c r="D547" s="63">
        <v>605.20000000000005</v>
      </c>
      <c r="E547" s="466"/>
      <c r="F547" s="466"/>
      <c r="G547" s="711" t="s">
        <v>704</v>
      </c>
      <c r="H547" s="49">
        <f>'Ch6'!W293</f>
        <v>0</v>
      </c>
      <c r="I547" s="49">
        <f>'Ch6'!O293</f>
        <v>0</v>
      </c>
      <c r="J547" s="814" t="s">
        <v>4206</v>
      </c>
    </row>
    <row r="548" spans="1:10" x14ac:dyDescent="0.35">
      <c r="A548" s="403" t="str">
        <f>A547</f>
        <v/>
      </c>
      <c r="B548" t="str">
        <f>IF(LEN('Ch6'!H294)=0,"",'Ch6'!H294)</f>
        <v/>
      </c>
      <c r="C548" t="str">
        <f t="shared" si="11"/>
        <v/>
      </c>
      <c r="D548" s="33"/>
      <c r="E548" s="126"/>
      <c r="F548" s="126"/>
      <c r="G548" s="706"/>
      <c r="J548" s="814"/>
    </row>
    <row r="549" spans="1:10" ht="15" customHeight="1" x14ac:dyDescent="0.35">
      <c r="B549" t="str">
        <f>IF(LEN('Ch6'!H295)=0,"",'Ch6'!H295)</f>
        <v/>
      </c>
      <c r="C549" t="str">
        <f t="shared" si="11"/>
        <v/>
      </c>
      <c r="D549" s="33"/>
      <c r="E549" s="126"/>
      <c r="F549" s="441" t="s">
        <v>121</v>
      </c>
      <c r="G549" s="707" t="s">
        <v>705</v>
      </c>
      <c r="J549" s="495"/>
    </row>
    <row r="550" spans="1:10" x14ac:dyDescent="0.35">
      <c r="B550" t="str">
        <f>IF(LEN('Ch6'!H296)=0,"",'Ch6'!H296)</f>
        <v/>
      </c>
      <c r="C550" t="str">
        <f t="shared" si="11"/>
        <v/>
      </c>
      <c r="D550" s="33"/>
      <c r="E550" s="126"/>
      <c r="F550" s="126"/>
      <c r="G550" s="707"/>
      <c r="J550" s="495"/>
    </row>
    <row r="551" spans="1:10" x14ac:dyDescent="0.35">
      <c r="B551" t="str">
        <f>IF(LEN('Ch6'!H297)=0,"",'Ch6'!H297)</f>
        <v/>
      </c>
      <c r="C551" t="str">
        <f t="shared" si="11"/>
        <v/>
      </c>
      <c r="D551" s="33"/>
      <c r="E551" s="126"/>
      <c r="F551" s="149"/>
      <c r="G551" s="709"/>
      <c r="J551" s="495"/>
    </row>
    <row r="552" spans="1:10" x14ac:dyDescent="0.35">
      <c r="B552" t="str">
        <f>IF(LEN('Ch6'!H298)=0,"",'Ch6'!H298)</f>
        <v/>
      </c>
      <c r="C552" t="str">
        <f t="shared" si="11"/>
        <v/>
      </c>
      <c r="D552" s="33"/>
      <c r="E552" s="126"/>
      <c r="F552" s="467" t="s">
        <v>122</v>
      </c>
      <c r="G552" s="220" t="s">
        <v>706</v>
      </c>
      <c r="J552" s="495"/>
    </row>
    <row r="553" spans="1:10" ht="15" customHeight="1" x14ac:dyDescent="0.35">
      <c r="B553" t="str">
        <f>IF(LEN('Ch6'!H299)=0,"",'Ch6'!H299)</f>
        <v/>
      </c>
      <c r="C553" t="str">
        <f t="shared" si="11"/>
        <v/>
      </c>
      <c r="D553" s="33"/>
      <c r="E553" s="126"/>
      <c r="F553" s="460" t="s">
        <v>123</v>
      </c>
      <c r="G553" s="707" t="s">
        <v>707</v>
      </c>
      <c r="J553" s="495"/>
    </row>
    <row r="554" spans="1:10" x14ac:dyDescent="0.35">
      <c r="B554" t="str">
        <f>IF(LEN('Ch6'!H300)=0,"",'Ch6'!H300)</f>
        <v/>
      </c>
      <c r="C554" t="str">
        <f t="shared" si="11"/>
        <v/>
      </c>
      <c r="D554" s="33"/>
      <c r="E554" s="126"/>
      <c r="F554" s="33"/>
      <c r="G554" s="707"/>
      <c r="J554" s="495"/>
    </row>
    <row r="555" spans="1:10" x14ac:dyDescent="0.35">
      <c r="B555" t="str">
        <f>IF(LEN('Ch6'!H301)=0,"",'Ch6'!H301)</f>
        <v/>
      </c>
      <c r="C555" t="str">
        <f t="shared" si="11"/>
        <v/>
      </c>
      <c r="D555" s="33"/>
      <c r="E555" s="126"/>
      <c r="F555" s="126"/>
      <c r="G555" s="707"/>
      <c r="J555" s="495"/>
    </row>
    <row r="556" spans="1:10" ht="15.75" customHeight="1" thickTop="1" x14ac:dyDescent="0.35">
      <c r="A556" s="403" t="str">
        <f>IF('Ch6'!O302&gt;0,"P","")</f>
        <v>P</v>
      </c>
      <c r="B556" t="str">
        <f>IF(LEN('Ch6'!H302)=0,"",'Ch6'!H302)</f>
        <v/>
      </c>
      <c r="C556" t="str">
        <f t="shared" si="11"/>
        <v>P</v>
      </c>
      <c r="D556" s="63">
        <v>605.29999999999995</v>
      </c>
      <c r="E556" s="466"/>
      <c r="F556" s="466"/>
      <c r="G556" s="711" t="s">
        <v>708</v>
      </c>
      <c r="I556" s="49">
        <f>'Ch6'!O302</f>
        <v>4</v>
      </c>
      <c r="J556" s="814" t="s">
        <v>4207</v>
      </c>
    </row>
    <row r="557" spans="1:10" x14ac:dyDescent="0.35">
      <c r="A557" s="403" t="str">
        <f>A556</f>
        <v>P</v>
      </c>
      <c r="B557" t="str">
        <f>IF(LEN('Ch6'!H303)=0,"",'Ch6'!H303)</f>
        <v/>
      </c>
      <c r="C557" t="str">
        <f t="shared" si="11"/>
        <v>P</v>
      </c>
      <c r="D557" s="33"/>
      <c r="E557" s="126"/>
      <c r="F557" s="126"/>
      <c r="G557" s="706"/>
      <c r="J557" s="814"/>
    </row>
    <row r="558" spans="1:10" x14ac:dyDescent="0.35">
      <c r="B558" t="str">
        <f>IF(LEN('Ch6'!H304)=0,"",'Ch6'!H304)</f>
        <v/>
      </c>
      <c r="C558" t="str">
        <f t="shared" si="11"/>
        <v/>
      </c>
      <c r="D558" s="33"/>
      <c r="E558" s="459" t="s">
        <v>270</v>
      </c>
      <c r="F558" s="149"/>
      <c r="G558" s="214" t="s">
        <v>710</v>
      </c>
      <c r="J558" s="485"/>
    </row>
    <row r="559" spans="1:10" x14ac:dyDescent="0.35">
      <c r="B559" t="str">
        <f>IF(LEN('Ch6'!H305)=0,"",'Ch6'!H305)</f>
        <v/>
      </c>
      <c r="C559" t="str">
        <f t="shared" si="11"/>
        <v/>
      </c>
      <c r="D559" s="33"/>
      <c r="E559" s="441" t="s">
        <v>272</v>
      </c>
      <c r="F559" s="126"/>
      <c r="G559" s="104" t="s">
        <v>711</v>
      </c>
      <c r="J559" s="485"/>
    </row>
    <row r="560" spans="1:10" ht="15" customHeight="1" x14ac:dyDescent="0.35">
      <c r="B560" t="str">
        <f>IF(LEN('Ch6'!H306)=0,"",'Ch6'!H306)</f>
        <v/>
      </c>
      <c r="C560" t="str">
        <f t="shared" si="11"/>
        <v/>
      </c>
      <c r="D560" s="33"/>
      <c r="E560" s="126"/>
      <c r="F560" s="459" t="s">
        <v>121</v>
      </c>
      <c r="G560" s="214" t="s">
        <v>3268</v>
      </c>
      <c r="H560" s="49" t="b">
        <f>'Ch6'!W306</f>
        <v>1</v>
      </c>
      <c r="J560" s="490"/>
    </row>
    <row r="561" spans="1:10" x14ac:dyDescent="0.35">
      <c r="B561" t="str">
        <f>IF(LEN('Ch6'!H307)=0,"",'Ch6'!H307)</f>
        <v/>
      </c>
      <c r="C561" t="str">
        <f t="shared" si="11"/>
        <v/>
      </c>
      <c r="D561" s="33"/>
      <c r="E561" s="126"/>
      <c r="F561" s="467" t="s">
        <v>122</v>
      </c>
      <c r="G561" s="220" t="s">
        <v>3269</v>
      </c>
      <c r="H561" s="49" t="b">
        <f>'Ch6'!W307</f>
        <v>1</v>
      </c>
      <c r="J561" s="490"/>
    </row>
    <row r="562" spans="1:10" x14ac:dyDescent="0.35">
      <c r="B562" t="str">
        <f>IF(LEN('Ch6'!H308)=0,"",'Ch6'!H308)</f>
        <v/>
      </c>
      <c r="C562" t="str">
        <f t="shared" si="11"/>
        <v/>
      </c>
      <c r="D562" s="33"/>
      <c r="E562" s="126"/>
      <c r="F562" s="472" t="s">
        <v>123</v>
      </c>
      <c r="G562" s="220" t="s">
        <v>3270</v>
      </c>
      <c r="H562" s="49" t="b">
        <f>'Ch6'!W308</f>
        <v>1</v>
      </c>
      <c r="J562" s="495"/>
    </row>
    <row r="563" spans="1:10" x14ac:dyDescent="0.35">
      <c r="B563" t="str">
        <f>IF(LEN('Ch6'!H309)=0,"",'Ch6'!H309)</f>
        <v/>
      </c>
      <c r="C563" t="str">
        <f t="shared" si="11"/>
        <v/>
      </c>
      <c r="D563" s="33"/>
      <c r="E563" s="126"/>
      <c r="F563" s="457" t="s">
        <v>420</v>
      </c>
      <c r="G563" s="220" t="s">
        <v>3271</v>
      </c>
      <c r="H563" s="49">
        <f>'Ch6'!W309</f>
        <v>0</v>
      </c>
      <c r="J563" s="495"/>
    </row>
    <row r="564" spans="1:10" x14ac:dyDescent="0.35">
      <c r="B564" t="str">
        <f>IF(LEN('Ch6'!H310)=0,"",'Ch6'!H310)</f>
        <v/>
      </c>
      <c r="C564" t="str">
        <f t="shared" si="11"/>
        <v/>
      </c>
      <c r="D564" s="33"/>
      <c r="E564" s="126"/>
      <c r="F564" s="467" t="s">
        <v>575</v>
      </c>
      <c r="G564" s="220" t="s">
        <v>3272</v>
      </c>
      <c r="H564" s="49">
        <f>'Ch6'!W310</f>
        <v>0</v>
      </c>
      <c r="J564" s="495"/>
    </row>
    <row r="565" spans="1:10" x14ac:dyDescent="0.35">
      <c r="B565" t="str">
        <f>IF(LEN('Ch6'!H311)=0,"",'Ch6'!H311)</f>
        <v/>
      </c>
      <c r="C565" t="str">
        <f t="shared" si="11"/>
        <v/>
      </c>
      <c r="D565" s="33"/>
      <c r="E565" s="126"/>
      <c r="F565" s="467" t="s">
        <v>642</v>
      </c>
      <c r="G565" s="220" t="s">
        <v>3273</v>
      </c>
      <c r="H565" s="49">
        <f>'Ch6'!W311</f>
        <v>0</v>
      </c>
      <c r="J565" s="495"/>
    </row>
    <row r="566" spans="1:10" x14ac:dyDescent="0.35">
      <c r="B566" t="str">
        <f>IF(LEN('Ch6'!H312)=0,"",'Ch6'!H312)</f>
        <v/>
      </c>
      <c r="C566" t="str">
        <f t="shared" si="11"/>
        <v/>
      </c>
      <c r="D566" s="33"/>
      <c r="E566" s="126"/>
      <c r="F566" s="472" t="s">
        <v>644</v>
      </c>
      <c r="G566" s="220" t="s">
        <v>3274</v>
      </c>
      <c r="H566" s="49">
        <f>'Ch6'!W312</f>
        <v>0</v>
      </c>
      <c r="J566" s="495"/>
    </row>
    <row r="567" spans="1:10" x14ac:dyDescent="0.35">
      <c r="B567" t="str">
        <f>IF(LEN('Ch6'!H313)=0,"",'Ch6'!H313)</f>
        <v/>
      </c>
      <c r="C567" t="str">
        <f t="shared" si="11"/>
        <v/>
      </c>
      <c r="D567" s="33"/>
      <c r="F567" s="457" t="s">
        <v>646</v>
      </c>
      <c r="G567" s="220" t="s">
        <v>3275</v>
      </c>
      <c r="H567" s="49">
        <f>'Ch6'!W313</f>
        <v>0</v>
      </c>
      <c r="J567" s="495"/>
    </row>
    <row r="568" spans="1:10" x14ac:dyDescent="0.35">
      <c r="B568" t="str">
        <f>IF(LEN('Ch6'!H314)=0,"",'Ch6'!H314)</f>
        <v/>
      </c>
      <c r="C568" t="str">
        <f t="shared" si="11"/>
        <v/>
      </c>
      <c r="D568" s="33"/>
      <c r="F568" s="33" t="s">
        <v>982</v>
      </c>
      <c r="G568" s="104" t="s">
        <v>3275</v>
      </c>
      <c r="H568" s="49">
        <f>'Ch6'!W314</f>
        <v>0</v>
      </c>
      <c r="J568" s="495"/>
    </row>
    <row r="569" spans="1:10" x14ac:dyDescent="0.35">
      <c r="B569" t="str">
        <f>IF(LEN('Ch6'!H315)=0,"",'Ch6'!H315)</f>
        <v/>
      </c>
      <c r="C569" t="str">
        <f t="shared" si="11"/>
        <v/>
      </c>
      <c r="D569" s="33"/>
      <c r="F569" s="33"/>
      <c r="G569" s="105" t="s">
        <v>3276</v>
      </c>
      <c r="J569" s="485"/>
    </row>
    <row r="570" spans="1:10" ht="18.5" x14ac:dyDescent="0.35">
      <c r="A570" s="403" t="s">
        <v>4326</v>
      </c>
      <c r="B570" t="str">
        <f>IF(LEN('Ch6'!H316)=0,"",'Ch6'!H316)</f>
        <v/>
      </c>
      <c r="C570" t="str">
        <f t="shared" si="11"/>
        <v>P</v>
      </c>
      <c r="D570" s="38" t="s">
        <v>712</v>
      </c>
      <c r="E570" s="38"/>
      <c r="F570" s="38"/>
      <c r="G570" s="174"/>
      <c r="H570" s="174"/>
      <c r="I570" s="174"/>
      <c r="J570" s="499"/>
    </row>
    <row r="571" spans="1:10" ht="15" thickBot="1" x14ac:dyDescent="0.4">
      <c r="B571" t="str">
        <f>IF(LEN('Ch6'!H317)=0,"",'Ch6'!H317)</f>
        <v/>
      </c>
      <c r="C571" t="str">
        <f t="shared" si="11"/>
        <v/>
      </c>
      <c r="D571" s="441" t="s">
        <v>4353</v>
      </c>
      <c r="E571" s="126"/>
      <c r="F571" s="126"/>
      <c r="G571" s="110" t="s">
        <v>713</v>
      </c>
      <c r="J571" s="485"/>
    </row>
    <row r="572" spans="1:10" ht="26.5" thickTop="1" x14ac:dyDescent="0.35">
      <c r="A572" s="403" t="str">
        <f ca="1">IF('Ch6'!O318&gt;0,"P","")</f>
        <v/>
      </c>
      <c r="B572" t="str">
        <f>IF(LEN('Ch6'!H318)=0,"",'Ch6'!H318)</f>
        <v/>
      </c>
      <c r="C572" t="str">
        <f t="shared" ca="1" si="11"/>
        <v/>
      </c>
      <c r="D572" s="63">
        <v>606.1</v>
      </c>
      <c r="E572" s="466"/>
      <c r="F572" s="466"/>
      <c r="G572" s="222" t="s">
        <v>714</v>
      </c>
      <c r="I572" s="49">
        <f ca="1">'Ch6'!O318</f>
        <v>0</v>
      </c>
      <c r="J572" s="495" t="s">
        <v>4208</v>
      </c>
    </row>
    <row r="573" spans="1:10" ht="15" customHeight="1" x14ac:dyDescent="0.35">
      <c r="B573" t="str">
        <f>IF(LEN('Ch6'!H319)=0,"",'Ch6'!H319)</f>
        <v/>
      </c>
      <c r="C573" t="str">
        <f t="shared" si="11"/>
        <v/>
      </c>
      <c r="D573" s="33"/>
      <c r="E573" s="126"/>
      <c r="F573" s="441" t="s">
        <v>121</v>
      </c>
      <c r="G573" s="104" t="s">
        <v>715</v>
      </c>
      <c r="H573" s="49">
        <f>'Ch6'!W319</f>
        <v>0</v>
      </c>
      <c r="J573" s="490"/>
    </row>
    <row r="574" spans="1:10" x14ac:dyDescent="0.35">
      <c r="B574" t="str">
        <f>IF(LEN('Ch6'!H320)=0,"",'Ch6'!H320)</f>
        <v/>
      </c>
      <c r="C574" t="str">
        <f t="shared" si="11"/>
        <v/>
      </c>
      <c r="D574" s="33"/>
      <c r="E574" s="126"/>
      <c r="F574" s="441" t="s">
        <v>122</v>
      </c>
      <c r="G574" s="104" t="s">
        <v>716</v>
      </c>
      <c r="H574" s="49">
        <f>'Ch6'!W320</f>
        <v>0</v>
      </c>
      <c r="J574" s="495"/>
    </row>
    <row r="575" spans="1:10" x14ac:dyDescent="0.35">
      <c r="B575" t="str">
        <f>IF(LEN('Ch6'!H321)=0,"",'Ch6'!H321)</f>
        <v/>
      </c>
      <c r="C575" t="str">
        <f t="shared" si="11"/>
        <v/>
      </c>
      <c r="D575" s="33"/>
      <c r="E575" s="126"/>
      <c r="F575" s="460" t="s">
        <v>123</v>
      </c>
      <c r="G575" s="104" t="s">
        <v>717</v>
      </c>
      <c r="H575" s="49">
        <f>'Ch6'!W321</f>
        <v>0</v>
      </c>
      <c r="J575" s="495"/>
    </row>
    <row r="576" spans="1:10" x14ac:dyDescent="0.35">
      <c r="B576" t="str">
        <f>IF(LEN('Ch6'!H322)=0,"",'Ch6'!H322)</f>
        <v/>
      </c>
      <c r="C576" t="str">
        <f t="shared" si="11"/>
        <v/>
      </c>
      <c r="D576" s="33"/>
      <c r="E576" s="126"/>
      <c r="F576" s="33" t="s">
        <v>420</v>
      </c>
      <c r="G576" s="104" t="s">
        <v>718</v>
      </c>
      <c r="H576" s="49">
        <f>'Ch6'!W322</f>
        <v>0</v>
      </c>
      <c r="J576" s="495"/>
    </row>
    <row r="577" spans="1:10" x14ac:dyDescent="0.35">
      <c r="B577" t="str">
        <f>IF(LEN('Ch6'!H323)=0,"",'Ch6'!H323)</f>
        <v/>
      </c>
      <c r="C577" t="str">
        <f t="shared" si="11"/>
        <v/>
      </c>
      <c r="D577" s="33"/>
      <c r="E577" s="126"/>
      <c r="F577" s="441" t="s">
        <v>575</v>
      </c>
      <c r="G577" s="104" t="s">
        <v>719</v>
      </c>
      <c r="H577" s="49">
        <f>'Ch6'!W323</f>
        <v>0</v>
      </c>
      <c r="J577" s="495"/>
    </row>
    <row r="578" spans="1:10" x14ac:dyDescent="0.35">
      <c r="B578" t="str">
        <f>IF(LEN('Ch6'!H324)=0,"",'Ch6'!H324)</f>
        <v/>
      </c>
      <c r="C578" t="str">
        <f t="shared" si="11"/>
        <v/>
      </c>
      <c r="D578" s="33"/>
      <c r="E578" s="126"/>
      <c r="F578" s="441" t="s">
        <v>642</v>
      </c>
      <c r="G578" s="104" t="s">
        <v>720</v>
      </c>
      <c r="H578" s="49">
        <f>'Ch6'!W324</f>
        <v>0</v>
      </c>
      <c r="J578" s="495"/>
    </row>
    <row r="579" spans="1:10" x14ac:dyDescent="0.35">
      <c r="B579" t="str">
        <f>IF(LEN('Ch6'!H325)=0,"",'Ch6'!H325)</f>
        <v/>
      </c>
      <c r="C579" t="str">
        <f t="shared" si="11"/>
        <v/>
      </c>
      <c r="D579" s="33"/>
      <c r="E579" s="126"/>
      <c r="F579" s="460" t="s">
        <v>644</v>
      </c>
      <c r="G579" s="104" t="s">
        <v>721</v>
      </c>
      <c r="H579" s="49">
        <f>'Ch6'!W325</f>
        <v>0</v>
      </c>
      <c r="J579" s="495"/>
    </row>
    <row r="580" spans="1:10" ht="15" customHeight="1" x14ac:dyDescent="0.35">
      <c r="B580" t="str">
        <f>IF(LEN('Ch6'!H326)=0,"",'Ch6'!H326)</f>
        <v/>
      </c>
      <c r="C580" t="str">
        <f t="shared" si="11"/>
        <v/>
      </c>
      <c r="D580" s="33"/>
      <c r="E580" s="126"/>
      <c r="F580" s="33" t="s">
        <v>646</v>
      </c>
      <c r="G580" s="707" t="s">
        <v>722</v>
      </c>
      <c r="H580" s="49">
        <f>'Ch6'!W326</f>
        <v>0</v>
      </c>
      <c r="J580" s="495"/>
    </row>
    <row r="581" spans="1:10" x14ac:dyDescent="0.35">
      <c r="B581" t="str">
        <f>IF(LEN('Ch6'!H327)=0,"",'Ch6'!H327)</f>
        <v/>
      </c>
      <c r="C581" t="str">
        <f t="shared" si="11"/>
        <v/>
      </c>
      <c r="D581" s="33"/>
      <c r="E581" s="126"/>
      <c r="F581" s="33"/>
      <c r="G581" s="707"/>
      <c r="J581" s="495"/>
    </row>
    <row r="582" spans="1:10" x14ac:dyDescent="0.35">
      <c r="B582" t="str">
        <f>IF(LEN('Ch6'!H328)=0,"",'Ch6'!H328)</f>
        <v/>
      </c>
      <c r="C582" t="str">
        <f t="shared" si="11"/>
        <v/>
      </c>
      <c r="D582" s="33"/>
      <c r="E582" s="126"/>
      <c r="F582" s="33"/>
      <c r="G582" s="105" t="s">
        <v>1302</v>
      </c>
      <c r="J582" s="485"/>
    </row>
    <row r="583" spans="1:10" ht="15" customHeight="1" x14ac:dyDescent="0.35">
      <c r="B583" t="str">
        <f>IF(LEN('Ch6'!H329)=0,"",'Ch6'!H329)</f>
        <v/>
      </c>
      <c r="C583" t="str">
        <f t="shared" si="11"/>
        <v/>
      </c>
      <c r="D583" s="33"/>
      <c r="E583" s="441" t="s">
        <v>270</v>
      </c>
      <c r="F583" s="126"/>
      <c r="G583" s="707" t="s">
        <v>723</v>
      </c>
      <c r="J583" s="485"/>
    </row>
    <row r="584" spans="1:10" x14ac:dyDescent="0.35">
      <c r="B584" t="str">
        <f>IF(LEN('Ch6'!H330)=0,"",'Ch6'!H330)</f>
        <v/>
      </c>
      <c r="C584" t="str">
        <f t="shared" si="11"/>
        <v/>
      </c>
      <c r="D584" s="33"/>
      <c r="E584" s="149"/>
      <c r="F584" s="149"/>
      <c r="G584" s="709"/>
      <c r="J584" s="485"/>
    </row>
    <row r="585" spans="1:10" ht="15" customHeight="1" x14ac:dyDescent="0.35">
      <c r="B585" t="str">
        <f>IF(LEN('Ch6'!H331)=0,"",'Ch6'!H331)</f>
        <v/>
      </c>
      <c r="C585" t="str">
        <f t="shared" ref="C585:C648" si="12">IF(LEN(B585)=0,IF(A585="P","P",""),B585)</f>
        <v/>
      </c>
      <c r="D585" s="33"/>
      <c r="E585" s="470" t="s">
        <v>272</v>
      </c>
      <c r="F585" s="471"/>
      <c r="G585" s="742" t="s">
        <v>724</v>
      </c>
      <c r="J585" s="485"/>
    </row>
    <row r="586" spans="1:10" x14ac:dyDescent="0.35">
      <c r="B586" t="str">
        <f>IF(LEN('Ch6'!H332)=0,"",'Ch6'!H332)</f>
        <v/>
      </c>
      <c r="C586" t="str">
        <f t="shared" si="12"/>
        <v/>
      </c>
      <c r="D586" s="33"/>
      <c r="E586" s="149"/>
      <c r="F586" s="149"/>
      <c r="G586" s="709"/>
      <c r="J586" s="485"/>
    </row>
    <row r="587" spans="1:10" ht="15" customHeight="1" x14ac:dyDescent="0.35">
      <c r="B587" t="str">
        <f>IF(LEN('Ch6'!H333)=0,"",'Ch6'!H333)</f>
        <v/>
      </c>
      <c r="C587" t="str">
        <f t="shared" si="12"/>
        <v/>
      </c>
      <c r="D587" s="33"/>
      <c r="E587" s="441" t="s">
        <v>274</v>
      </c>
      <c r="F587" s="126"/>
      <c r="G587" s="707" t="s">
        <v>725</v>
      </c>
      <c r="J587" s="485"/>
    </row>
    <row r="588" spans="1:10" x14ac:dyDescent="0.35">
      <c r="B588" t="str">
        <f>IF(LEN('Ch6'!H334)=0,"",'Ch6'!H334)</f>
        <v/>
      </c>
      <c r="C588" t="str">
        <f t="shared" si="12"/>
        <v/>
      </c>
      <c r="D588" s="33"/>
      <c r="E588" s="126"/>
      <c r="F588" s="126"/>
      <c r="G588" s="707"/>
      <c r="J588" s="485"/>
    </row>
    <row r="589" spans="1:10" ht="15.75" customHeight="1" thickTop="1" x14ac:dyDescent="0.35">
      <c r="A589" s="403" t="str">
        <f>IF(SUM(I600:I603)&gt;0,"P","")</f>
        <v>P</v>
      </c>
      <c r="B589" t="str">
        <f>IF(LEN('Ch6'!H335)=0,"",'Ch6'!H335)</f>
        <v/>
      </c>
      <c r="C589" t="str">
        <f t="shared" si="12"/>
        <v>P</v>
      </c>
      <c r="D589" s="63">
        <v>606.20000000000005</v>
      </c>
      <c r="E589" s="466"/>
      <c r="F589" s="466"/>
      <c r="G589" s="711" t="s">
        <v>726</v>
      </c>
      <c r="J589" s="814" t="s">
        <v>4209</v>
      </c>
    </row>
    <row r="590" spans="1:10" x14ac:dyDescent="0.35">
      <c r="A590" s="403" t="str">
        <f>A589</f>
        <v>P</v>
      </c>
      <c r="B590" t="str">
        <f>IF(LEN('Ch6'!H336)=0,"",'Ch6'!H336)</f>
        <v/>
      </c>
      <c r="C590" t="str">
        <f t="shared" si="12"/>
        <v>P</v>
      </c>
      <c r="D590" s="33"/>
      <c r="E590" s="126"/>
      <c r="F590" s="126"/>
      <c r="G590" s="706"/>
      <c r="J590" s="814"/>
    </row>
    <row r="591" spans="1:10" x14ac:dyDescent="0.35">
      <c r="B591" t="str">
        <f>IF(LEN('Ch6'!H337)=0,"",'Ch6'!H337)</f>
        <v/>
      </c>
      <c r="C591" t="str">
        <f t="shared" si="12"/>
        <v/>
      </c>
      <c r="D591" s="33"/>
      <c r="E591" s="126"/>
      <c r="F591" s="441" t="s">
        <v>121</v>
      </c>
      <c r="G591" s="104" t="s">
        <v>727</v>
      </c>
      <c r="J591" s="495"/>
    </row>
    <row r="592" spans="1:10" ht="15" customHeight="1" x14ac:dyDescent="0.35">
      <c r="B592" t="str">
        <f>IF(LEN('Ch6'!H338)=0,"",'Ch6'!H338)</f>
        <v/>
      </c>
      <c r="C592" t="str">
        <f t="shared" si="12"/>
        <v/>
      </c>
      <c r="D592" s="33"/>
      <c r="E592" s="126"/>
      <c r="F592" s="441" t="s">
        <v>122</v>
      </c>
      <c r="G592" s="707" t="s">
        <v>728</v>
      </c>
      <c r="J592" s="495"/>
    </row>
    <row r="593" spans="1:10" x14ac:dyDescent="0.35">
      <c r="B593" t="str">
        <f>IF(LEN('Ch6'!H339)=0,"",'Ch6'!H339)</f>
        <v/>
      </c>
      <c r="C593" t="str">
        <f t="shared" si="12"/>
        <v/>
      </c>
      <c r="D593" s="33"/>
      <c r="E593" s="126"/>
      <c r="F593" s="441"/>
      <c r="G593" s="707"/>
      <c r="J593" s="495"/>
    </row>
    <row r="594" spans="1:10" x14ac:dyDescent="0.35">
      <c r="B594" t="str">
        <f>IF(LEN('Ch6'!H340)=0,"",'Ch6'!H340)</f>
        <v/>
      </c>
      <c r="C594" t="str">
        <f t="shared" si="12"/>
        <v/>
      </c>
      <c r="D594" s="33"/>
      <c r="E594" s="126"/>
      <c r="F594" s="441" t="s">
        <v>123</v>
      </c>
      <c r="G594" s="178" t="s">
        <v>729</v>
      </c>
      <c r="J594" s="485"/>
    </row>
    <row r="595" spans="1:10" x14ac:dyDescent="0.35">
      <c r="B595" t="str">
        <f>IF(LEN('Ch6'!H341)=0,"",'Ch6'!H341)</f>
        <v/>
      </c>
      <c r="C595" t="str">
        <f t="shared" si="12"/>
        <v/>
      </c>
      <c r="D595" s="33"/>
      <c r="E595" s="126"/>
      <c r="F595" s="460" t="s">
        <v>420</v>
      </c>
      <c r="G595" s="178" t="s">
        <v>730</v>
      </c>
      <c r="J595" s="485"/>
    </row>
    <row r="596" spans="1:10" x14ac:dyDescent="0.35">
      <c r="B596" t="str">
        <f>IF(LEN('Ch6'!H342)=0,"",'Ch6'!H342)</f>
        <v/>
      </c>
      <c r="C596" t="str">
        <f t="shared" si="12"/>
        <v/>
      </c>
      <c r="D596" s="33"/>
      <c r="E596" s="126"/>
      <c r="F596" s="33" t="s">
        <v>575</v>
      </c>
      <c r="G596" s="178" t="s">
        <v>731</v>
      </c>
      <c r="J596" s="485"/>
    </row>
    <row r="597" spans="1:10" x14ac:dyDescent="0.35">
      <c r="B597" t="str">
        <f>IF(LEN('Ch6'!H343)=0,"",'Ch6'!H343)</f>
        <v/>
      </c>
      <c r="C597" t="str">
        <f t="shared" si="12"/>
        <v/>
      </c>
      <c r="D597" s="33"/>
      <c r="E597" s="126"/>
      <c r="F597" s="441" t="s">
        <v>642</v>
      </c>
      <c r="G597" s="104" t="s">
        <v>732</v>
      </c>
      <c r="J597" s="485"/>
    </row>
    <row r="598" spans="1:10" x14ac:dyDescent="0.35">
      <c r="B598" t="str">
        <f>IF(LEN('Ch6'!H344)=0,"",'Ch6'!H344)</f>
        <v/>
      </c>
      <c r="C598" t="str">
        <f t="shared" si="12"/>
        <v/>
      </c>
      <c r="D598" s="33"/>
      <c r="E598" s="126"/>
      <c r="F598" s="441" t="s">
        <v>644</v>
      </c>
      <c r="G598" s="104" t="s">
        <v>733</v>
      </c>
      <c r="J598" s="485"/>
    </row>
    <row r="599" spans="1:10" x14ac:dyDescent="0.35">
      <c r="B599" t="str">
        <f>IF(LEN('Ch6'!H345)=0,"",'Ch6'!H345)</f>
        <v/>
      </c>
      <c r="C599" t="str">
        <f t="shared" si="12"/>
        <v/>
      </c>
      <c r="D599" s="33"/>
      <c r="E599" s="126"/>
      <c r="F599" s="441" t="s">
        <v>646</v>
      </c>
      <c r="G599" s="104" t="s">
        <v>3280</v>
      </c>
      <c r="J599" s="485"/>
    </row>
    <row r="600" spans="1:10" ht="15" customHeight="1" x14ac:dyDescent="0.35">
      <c r="B600" t="str">
        <f>IF(LEN('Ch6'!H346)=0,"",'Ch6'!H346)</f>
        <v/>
      </c>
      <c r="C600" t="str">
        <f t="shared" si="12"/>
        <v/>
      </c>
      <c r="D600" s="33"/>
      <c r="E600" s="441" t="s">
        <v>270</v>
      </c>
      <c r="F600" s="126"/>
      <c r="G600" s="707" t="s">
        <v>734</v>
      </c>
      <c r="H600" s="49">
        <f>'Ch6'!W346</f>
        <v>0</v>
      </c>
      <c r="I600" s="49">
        <f>'Ch6'!O346</f>
        <v>0</v>
      </c>
      <c r="J600" s="490"/>
    </row>
    <row r="601" spans="1:10" x14ac:dyDescent="0.35">
      <c r="B601" t="str">
        <f>IF(LEN('Ch6'!H347)=0,"",'Ch6'!H347)</f>
        <v/>
      </c>
      <c r="C601" t="str">
        <f t="shared" si="12"/>
        <v/>
      </c>
      <c r="D601" s="33"/>
      <c r="E601" s="441"/>
      <c r="F601" s="126"/>
      <c r="G601" s="707"/>
      <c r="H601" s="49">
        <f>'Ch6'!W347</f>
        <v>0</v>
      </c>
      <c r="J601" s="490"/>
    </row>
    <row r="602" spans="1:10" x14ac:dyDescent="0.35">
      <c r="B602" t="str">
        <f>IF(LEN('Ch6'!H348)=0,"",'Ch6'!H348)</f>
        <v/>
      </c>
      <c r="C602" t="str">
        <f t="shared" si="12"/>
        <v/>
      </c>
      <c r="D602" s="33"/>
      <c r="E602" s="459"/>
      <c r="F602" s="149"/>
      <c r="G602" s="121" t="s">
        <v>3282</v>
      </c>
      <c r="J602" s="490"/>
    </row>
    <row r="603" spans="1:10" ht="15" customHeight="1" x14ac:dyDescent="0.35">
      <c r="B603" t="str">
        <f>IF(LEN('Ch6'!H349)=0,"",'Ch6'!H349)</f>
        <v/>
      </c>
      <c r="C603" t="str">
        <f t="shared" si="12"/>
        <v/>
      </c>
      <c r="D603" s="33"/>
      <c r="E603" s="441" t="s">
        <v>272</v>
      </c>
      <c r="F603" s="126"/>
      <c r="G603" s="707" t="s">
        <v>735</v>
      </c>
      <c r="H603" s="49" t="str">
        <f>'Ch6'!W349</f>
        <v>SFI</v>
      </c>
      <c r="I603" s="49">
        <f>'Ch6'!O349</f>
        <v>4</v>
      </c>
      <c r="J603" s="490"/>
    </row>
    <row r="604" spans="1:10" x14ac:dyDescent="0.35">
      <c r="B604" t="str">
        <f>IF(LEN('Ch6'!H350)=0,"",'Ch6'!H350)</f>
        <v/>
      </c>
      <c r="C604" t="str">
        <f t="shared" si="12"/>
        <v/>
      </c>
      <c r="D604" s="33"/>
      <c r="E604" s="126"/>
      <c r="F604" s="126"/>
      <c r="G604" s="707"/>
      <c r="H604" s="49" t="str">
        <f>'Ch6'!W350</f>
        <v>SFI</v>
      </c>
      <c r="J604" s="490"/>
    </row>
    <row r="605" spans="1:10" x14ac:dyDescent="0.35">
      <c r="B605" t="str">
        <f>IF(LEN('Ch6'!H351)=0,"",'Ch6'!H351)</f>
        <v/>
      </c>
      <c r="C605" t="str">
        <f t="shared" si="12"/>
        <v/>
      </c>
      <c r="D605" s="33"/>
      <c r="E605" s="126"/>
      <c r="F605" s="126"/>
      <c r="G605" s="197" t="s">
        <v>3282</v>
      </c>
      <c r="J605" s="485"/>
    </row>
    <row r="606" spans="1:10" ht="15.75" customHeight="1" thickTop="1" x14ac:dyDescent="0.35">
      <c r="A606" s="403" t="str">
        <f>IF(AND(LEN('Ch6'!W352)&gt;0,NOT('Ch6'!W352=FALSE)),"P","")</f>
        <v>P</v>
      </c>
      <c r="B606" t="str">
        <f>IF(LEN('Ch6'!H352)=0,"",'Ch6'!H352)</f>
        <v/>
      </c>
      <c r="C606" t="str">
        <f t="shared" si="12"/>
        <v>P</v>
      </c>
      <c r="D606" s="63">
        <v>606.29999999999995</v>
      </c>
      <c r="E606" s="466"/>
      <c r="F606" s="466"/>
      <c r="G606" s="711" t="s">
        <v>736</v>
      </c>
      <c r="H606" s="49" t="str">
        <f>'Ch6'!W352</f>
        <v>1 material</v>
      </c>
      <c r="I606" s="49">
        <f ca="1">'Ch6'!O352</f>
        <v>2</v>
      </c>
      <c r="J606" s="814" t="s">
        <v>4210</v>
      </c>
    </row>
    <row r="607" spans="1:10" x14ac:dyDescent="0.35">
      <c r="A607" s="403" t="str">
        <f>A606</f>
        <v>P</v>
      </c>
      <c r="B607" t="str">
        <f>IF(LEN('Ch6'!H353)=0,"",'Ch6'!H353)</f>
        <v/>
      </c>
      <c r="C607" t="str">
        <f t="shared" si="12"/>
        <v>P</v>
      </c>
      <c r="D607" s="33"/>
      <c r="E607" s="126"/>
      <c r="F607" s="126"/>
      <c r="G607" s="706"/>
      <c r="J607" s="814"/>
    </row>
    <row r="608" spans="1:10" x14ac:dyDescent="0.35">
      <c r="A608" s="403" t="str">
        <f>A607</f>
        <v>P</v>
      </c>
      <c r="B608" t="str">
        <f>IF(LEN('Ch6'!H354)=0,"",'Ch6'!H354)</f>
        <v/>
      </c>
      <c r="C608" t="str">
        <f t="shared" si="12"/>
        <v>P</v>
      </c>
      <c r="D608" s="33"/>
      <c r="E608" s="126"/>
      <c r="F608" s="126"/>
      <c r="G608" s="706"/>
      <c r="J608" s="814"/>
    </row>
    <row r="609" spans="1:10" x14ac:dyDescent="0.35">
      <c r="A609" s="403" t="str">
        <f>A608</f>
        <v>P</v>
      </c>
      <c r="B609" t="str">
        <f>IF(LEN('Ch6'!H355)=0,"",'Ch6'!H355)</f>
        <v/>
      </c>
      <c r="C609" t="str">
        <f t="shared" si="12"/>
        <v>P</v>
      </c>
      <c r="D609" s="33"/>
      <c r="E609" s="126"/>
      <c r="F609" s="126"/>
      <c r="G609" s="706"/>
      <c r="J609" s="814"/>
    </row>
    <row r="610" spans="1:10" x14ac:dyDescent="0.35">
      <c r="B610" t="str">
        <f>IF(LEN('Ch6'!H356)=0,"",'Ch6'!H356)</f>
        <v/>
      </c>
      <c r="C610" t="str">
        <f t="shared" si="12"/>
        <v/>
      </c>
      <c r="D610" s="33"/>
      <c r="E610" s="126"/>
      <c r="F610" s="126"/>
      <c r="G610" s="107" t="s">
        <v>737</v>
      </c>
      <c r="J610" s="495"/>
    </row>
    <row r="611" spans="1:10" x14ac:dyDescent="0.35">
      <c r="B611" t="str">
        <f>IF(LEN('Ch6'!H357)=0,"",'Ch6'!H357)</f>
        <v/>
      </c>
      <c r="C611" t="str">
        <f t="shared" si="12"/>
        <v/>
      </c>
      <c r="D611" s="33"/>
      <c r="E611" s="126"/>
      <c r="F611" s="126"/>
      <c r="G611" s="105" t="s">
        <v>3286</v>
      </c>
      <c r="J611" s="485"/>
    </row>
    <row r="612" spans="1:10" ht="18.5" x14ac:dyDescent="0.35">
      <c r="A612" s="403" t="s">
        <v>4326</v>
      </c>
      <c r="B612" t="str">
        <f>IF(LEN('Ch6'!H358)=0,"",'Ch6'!H358)</f>
        <v/>
      </c>
      <c r="C612" t="str">
        <f t="shared" si="12"/>
        <v>P</v>
      </c>
      <c r="D612" s="38" t="s">
        <v>738</v>
      </c>
      <c r="E612" s="38"/>
      <c r="F612" s="38"/>
      <c r="G612" s="174"/>
      <c r="H612" s="174"/>
      <c r="I612" s="174"/>
      <c r="J612" s="499"/>
    </row>
    <row r="613" spans="1:10" ht="15" customHeight="1" x14ac:dyDescent="0.35">
      <c r="A613" s="403" t="str">
        <f>IF(SUM(I615:I617)&gt;0,"P","")</f>
        <v>P</v>
      </c>
      <c r="B613" t="str">
        <f>IF(LEN('Ch6'!H359)=0,"",'Ch6'!H359)</f>
        <v/>
      </c>
      <c r="C613" t="str">
        <f t="shared" si="12"/>
        <v>P</v>
      </c>
      <c r="D613" s="33">
        <v>607.1</v>
      </c>
      <c r="E613" s="126"/>
      <c r="F613" s="126"/>
      <c r="G613" s="706" t="s">
        <v>739</v>
      </c>
      <c r="J613" s="814" t="s">
        <v>4177</v>
      </c>
    </row>
    <row r="614" spans="1:10" x14ac:dyDescent="0.35">
      <c r="A614" s="403" t="str">
        <f>A613</f>
        <v>P</v>
      </c>
      <c r="B614" t="str">
        <f>IF(LEN('Ch6'!H360)=0,"",'Ch6'!H360)</f>
        <v/>
      </c>
      <c r="C614" t="str">
        <f t="shared" si="12"/>
        <v>P</v>
      </c>
      <c r="D614" s="33"/>
      <c r="E614" s="126"/>
      <c r="F614" s="126"/>
      <c r="G614" s="706"/>
      <c r="J614" s="814"/>
    </row>
    <row r="615" spans="1:10" ht="15" customHeight="1" x14ac:dyDescent="0.35">
      <c r="B615" t="str">
        <f>IF(LEN('Ch6'!H361)=0,"",'Ch6'!H361)</f>
        <v/>
      </c>
      <c r="C615" t="str">
        <f t="shared" si="12"/>
        <v/>
      </c>
      <c r="D615" s="33"/>
      <c r="E615" s="441" t="s">
        <v>270</v>
      </c>
      <c r="F615" s="126"/>
      <c r="G615" s="707" t="s">
        <v>740</v>
      </c>
      <c r="H615" s="49" t="b">
        <f>'Ch6'!W361</f>
        <v>1</v>
      </c>
      <c r="I615" s="49">
        <f>'Ch6'!O361</f>
        <v>3</v>
      </c>
      <c r="J615" s="490"/>
    </row>
    <row r="616" spans="1:10" x14ac:dyDescent="0.35">
      <c r="B616" t="str">
        <f>IF(LEN('Ch6'!H362)=0,"",'Ch6'!H362)</f>
        <v/>
      </c>
      <c r="C616" t="str">
        <f t="shared" si="12"/>
        <v/>
      </c>
      <c r="D616" s="33"/>
      <c r="E616" s="459"/>
      <c r="F616" s="149"/>
      <c r="G616" s="709"/>
      <c r="J616" s="495"/>
    </row>
    <row r="617" spans="1:10" x14ac:dyDescent="0.35">
      <c r="B617" t="str">
        <f>IF(LEN('Ch6'!H363)=0,"",'Ch6'!H363)</f>
        <v/>
      </c>
      <c r="C617" t="str">
        <f t="shared" si="12"/>
        <v/>
      </c>
      <c r="D617" s="33"/>
      <c r="E617" s="441" t="s">
        <v>272</v>
      </c>
      <c r="F617" s="126"/>
      <c r="G617" s="104" t="s">
        <v>741</v>
      </c>
      <c r="H617" s="49">
        <f>'Ch6'!W363</f>
        <v>0</v>
      </c>
      <c r="I617" s="49">
        <f>'Ch6'!O363</f>
        <v>0</v>
      </c>
      <c r="J617" s="495"/>
    </row>
    <row r="618" spans="1:10" ht="15.75" customHeight="1" thickTop="1" x14ac:dyDescent="0.35">
      <c r="A618" s="403" t="str">
        <f>IF(AND(LEN('Ch6'!W364)&gt;0,NOT('Ch6'!W364=FALSE)),"P","")</f>
        <v/>
      </c>
      <c r="B618" t="str">
        <f>IF(LEN('Ch6'!H364)=0,"",'Ch6'!H364)</f>
        <v/>
      </c>
      <c r="C618" t="str">
        <f t="shared" si="12"/>
        <v/>
      </c>
      <c r="D618" s="63">
        <v>607.20000000000005</v>
      </c>
      <c r="E618" s="466"/>
      <c r="F618" s="466"/>
      <c r="G618" s="711" t="s">
        <v>742</v>
      </c>
      <c r="H618" s="49">
        <f>'Ch6'!W364</f>
        <v>0</v>
      </c>
      <c r="I618" s="49">
        <f>'Ch6'!O364</f>
        <v>0</v>
      </c>
      <c r="J618" s="813" t="s">
        <v>4177</v>
      </c>
    </row>
    <row r="619" spans="1:10" x14ac:dyDescent="0.35">
      <c r="A619" s="403" t="str">
        <f>A618</f>
        <v/>
      </c>
      <c r="B619" t="str">
        <f>IF(LEN('Ch6'!H365)=0,"",'Ch6'!H365)</f>
        <v/>
      </c>
      <c r="C619" t="str">
        <f t="shared" si="12"/>
        <v/>
      </c>
      <c r="D619" s="33"/>
      <c r="E619" s="126"/>
      <c r="F619" s="126"/>
      <c r="G619" s="706"/>
      <c r="J619" s="813"/>
    </row>
    <row r="620" spans="1:10" ht="18.5" x14ac:dyDescent="0.35">
      <c r="A620" s="403" t="s">
        <v>4326</v>
      </c>
      <c r="B620" t="str">
        <f>IF(LEN('Ch6'!H366)=0,"",'Ch6'!H366)</f>
        <v/>
      </c>
      <c r="C620" t="str">
        <f t="shared" si="12"/>
        <v>P</v>
      </c>
      <c r="D620" s="38" t="s">
        <v>743</v>
      </c>
      <c r="E620" s="38"/>
      <c r="F620" s="38"/>
      <c r="G620" s="174"/>
      <c r="H620" s="174"/>
      <c r="I620" s="174"/>
      <c r="J620" s="499"/>
    </row>
    <row r="621" spans="1:10" ht="15" customHeight="1" x14ac:dyDescent="0.35">
      <c r="A621" s="403" t="str">
        <f>IF(AND(LEN('Ch6'!W367)&gt;0,NOT('Ch6'!W367=FALSE)),"P","")</f>
        <v>P</v>
      </c>
      <c r="B621" t="str">
        <f>IF(LEN('Ch6'!H367)=0,"",'Ch6'!H367)</f>
        <v/>
      </c>
      <c r="C621" t="str">
        <f t="shared" si="12"/>
        <v>P</v>
      </c>
      <c r="D621" s="33">
        <v>608.1</v>
      </c>
      <c r="E621" s="126"/>
      <c r="F621" s="126"/>
      <c r="G621" s="706" t="s">
        <v>744</v>
      </c>
      <c r="H621" s="49" t="str">
        <f>'Ch6'!W367</f>
        <v>2 products</v>
      </c>
      <c r="I621" s="49">
        <f ca="1">'Ch6'!O367</f>
        <v>6</v>
      </c>
      <c r="J621" s="814" t="s">
        <v>4211</v>
      </c>
    </row>
    <row r="622" spans="1:10" x14ac:dyDescent="0.35">
      <c r="A622" s="403" t="str">
        <f>A621</f>
        <v>P</v>
      </c>
      <c r="B622" t="str">
        <f>IF(LEN('Ch6'!H368)=0,"",'Ch6'!H368)</f>
        <v/>
      </c>
      <c r="C622" t="str">
        <f t="shared" si="12"/>
        <v>P</v>
      </c>
      <c r="D622" s="33"/>
      <c r="E622" s="126"/>
      <c r="F622" s="126"/>
      <c r="G622" s="706"/>
      <c r="J622" s="814"/>
    </row>
    <row r="623" spans="1:10" x14ac:dyDescent="0.35">
      <c r="A623" s="403" t="str">
        <f>A622</f>
        <v>P</v>
      </c>
      <c r="B623" t="str">
        <f>IF(LEN('Ch6'!H369)=0,"",'Ch6'!H369)</f>
        <v/>
      </c>
      <c r="C623" t="str">
        <f t="shared" si="12"/>
        <v>P</v>
      </c>
      <c r="D623" s="33"/>
      <c r="E623" s="126"/>
      <c r="F623" s="126"/>
      <c r="G623" s="706"/>
      <c r="J623" s="814"/>
    </row>
    <row r="624" spans="1:10" ht="15" customHeight="1" x14ac:dyDescent="0.35">
      <c r="B624" t="str">
        <f>IF(LEN('Ch6'!H370)=0,"",'Ch6'!H370)</f>
        <v/>
      </c>
      <c r="C624" t="str">
        <f t="shared" si="12"/>
        <v/>
      </c>
      <c r="D624" s="33"/>
      <c r="E624" s="441" t="s">
        <v>270</v>
      </c>
      <c r="F624" s="126"/>
      <c r="G624" s="707" t="s">
        <v>745</v>
      </c>
      <c r="J624" s="495"/>
    </row>
    <row r="625" spans="1:10" x14ac:dyDescent="0.35">
      <c r="B625" t="str">
        <f>IF(LEN('Ch6'!H371)=0,"",'Ch6'!H371)</f>
        <v/>
      </c>
      <c r="C625" t="str">
        <f t="shared" si="12"/>
        <v/>
      </c>
      <c r="D625" s="33"/>
      <c r="E625" s="441"/>
      <c r="F625" s="126"/>
      <c r="G625" s="707"/>
      <c r="J625" s="495"/>
    </row>
    <row r="626" spans="1:10" x14ac:dyDescent="0.35">
      <c r="B626" t="str">
        <f>IF(LEN('Ch6'!H372)=0,"",'Ch6'!H372)</f>
        <v/>
      </c>
      <c r="C626" t="str">
        <f t="shared" si="12"/>
        <v/>
      </c>
      <c r="D626" s="33"/>
      <c r="E626" s="441" t="s">
        <v>272</v>
      </c>
      <c r="F626" s="126"/>
      <c r="G626" s="104" t="s">
        <v>746</v>
      </c>
      <c r="J626" s="495"/>
    </row>
    <row r="627" spans="1:10" x14ac:dyDescent="0.35">
      <c r="B627" t="str">
        <f>IF(LEN('Ch6'!H373)=0,"",'Ch6'!H373)</f>
        <v/>
      </c>
      <c r="C627" t="str">
        <f t="shared" si="12"/>
        <v/>
      </c>
      <c r="D627" s="33"/>
      <c r="E627" s="441" t="s">
        <v>274</v>
      </c>
      <c r="F627" s="126"/>
      <c r="G627" s="104" t="s">
        <v>747</v>
      </c>
      <c r="J627" s="495"/>
    </row>
    <row r="628" spans="1:10" ht="15" customHeight="1" x14ac:dyDescent="0.35">
      <c r="B628" t="str">
        <f>IF(LEN('Ch6'!H374)=0,"",'Ch6'!H374)</f>
        <v/>
      </c>
      <c r="C628" t="str">
        <f t="shared" si="12"/>
        <v/>
      </c>
      <c r="D628" s="33"/>
      <c r="E628" s="441"/>
      <c r="F628" s="126"/>
      <c r="G628" s="105" t="s">
        <v>3291</v>
      </c>
      <c r="J628" s="485"/>
    </row>
    <row r="629" spans="1:10" ht="18.5" x14ac:dyDescent="0.35">
      <c r="A629" s="403" t="s">
        <v>4326</v>
      </c>
      <c r="B629" t="str">
        <f>IF(LEN('Ch6'!H375)=0,"",'Ch6'!H375)</f>
        <v/>
      </c>
      <c r="C629" t="str">
        <f t="shared" si="12"/>
        <v>P</v>
      </c>
      <c r="D629" s="38" t="s">
        <v>748</v>
      </c>
      <c r="E629" s="38"/>
      <c r="F629" s="38"/>
      <c r="G629" s="174"/>
      <c r="H629" s="174"/>
      <c r="I629" s="174"/>
      <c r="J629" s="499"/>
    </row>
    <row r="630" spans="1:10" ht="15" customHeight="1" x14ac:dyDescent="0.35">
      <c r="A630" s="403" t="str">
        <f ca="1">IF('Ch6'!O376&gt;0,"P","")</f>
        <v/>
      </c>
      <c r="B630" t="str">
        <f>IF(LEN('Ch6'!H376)=0,"",'Ch6'!H376)</f>
        <v/>
      </c>
      <c r="C630" t="str">
        <f t="shared" ca="1" si="12"/>
        <v/>
      </c>
      <c r="D630" s="33">
        <v>609.1</v>
      </c>
      <c r="E630" s="126"/>
      <c r="F630" s="126"/>
      <c r="G630" s="706" t="s">
        <v>749</v>
      </c>
      <c r="I630" s="49">
        <f ca="1">'Ch6'!O376</f>
        <v>0</v>
      </c>
      <c r="J630" s="814" t="s">
        <v>4212</v>
      </c>
    </row>
    <row r="631" spans="1:10" ht="15" customHeight="1" x14ac:dyDescent="0.35">
      <c r="A631" s="403" t="str">
        <f ca="1">A630</f>
        <v/>
      </c>
      <c r="B631" t="str">
        <f>IF(LEN('Ch6'!H377)=0,"",'Ch6'!H377)</f>
        <v/>
      </c>
      <c r="C631" t="str">
        <f t="shared" ca="1" si="12"/>
        <v/>
      </c>
      <c r="D631" s="33"/>
      <c r="E631" s="126"/>
      <c r="F631" s="126"/>
      <c r="G631" s="706"/>
      <c r="H631" s="49">
        <f>'Ch6'!W377</f>
        <v>0</v>
      </c>
      <c r="J631" s="814"/>
    </row>
    <row r="632" spans="1:10" ht="15" customHeight="1" x14ac:dyDescent="0.35">
      <c r="B632" t="str">
        <f>IF(LEN('Ch6'!H378)=0,"",'Ch6'!H378)</f>
        <v/>
      </c>
      <c r="C632" t="str">
        <f t="shared" si="12"/>
        <v/>
      </c>
      <c r="D632" s="33"/>
      <c r="E632" s="126"/>
      <c r="F632" s="126"/>
      <c r="G632" s="752" t="s">
        <v>3307</v>
      </c>
      <c r="J632" s="490"/>
    </row>
    <row r="633" spans="1:10" x14ac:dyDescent="0.35">
      <c r="B633" t="str">
        <f>IF(LEN('Ch6'!H379)=0,"",'Ch6'!H379)</f>
        <v/>
      </c>
      <c r="C633" t="str">
        <f t="shared" si="12"/>
        <v/>
      </c>
      <c r="D633" s="33"/>
      <c r="E633" s="126"/>
      <c r="F633" s="126"/>
      <c r="G633" s="752"/>
      <c r="J633" s="490"/>
    </row>
    <row r="634" spans="1:10" x14ac:dyDescent="0.35">
      <c r="B634" t="str">
        <f>IF(LEN('Ch6'!H380)=0,"",'Ch6'!H380)</f>
        <v/>
      </c>
      <c r="C634" t="str">
        <f t="shared" si="12"/>
        <v/>
      </c>
      <c r="D634" s="33"/>
      <c r="E634" s="126"/>
      <c r="F634" s="126"/>
      <c r="G634" s="752"/>
      <c r="H634" s="49">
        <f>'Ch6'!W380</f>
        <v>0</v>
      </c>
      <c r="J634" s="490"/>
    </row>
    <row r="635" spans="1:10" ht="15" customHeight="1" x14ac:dyDescent="0.35">
      <c r="B635" t="str">
        <f>IF(LEN('Ch6'!H381)=0,"",'Ch6'!H381)</f>
        <v/>
      </c>
      <c r="C635" t="str">
        <f t="shared" si="12"/>
        <v/>
      </c>
      <c r="D635" s="33"/>
      <c r="E635" s="126"/>
      <c r="F635" s="126"/>
      <c r="G635" s="744" t="s">
        <v>3306</v>
      </c>
      <c r="J635" s="485"/>
    </row>
    <row r="636" spans="1:10" x14ac:dyDescent="0.35">
      <c r="B636" t="str">
        <f>IF(LEN('Ch6'!H382)=0,"",'Ch6'!H382)</f>
        <v/>
      </c>
      <c r="C636" t="str">
        <f t="shared" si="12"/>
        <v/>
      </c>
      <c r="D636" s="33"/>
      <c r="E636" s="126"/>
      <c r="F636" s="126"/>
      <c r="G636" s="754"/>
      <c r="J636" s="485"/>
    </row>
    <row r="637" spans="1:10" ht="18.5" x14ac:dyDescent="0.35">
      <c r="A637" s="403" t="s">
        <v>4326</v>
      </c>
      <c r="B637" t="str">
        <f>IF(LEN('Ch6'!H383)=0,"",'Ch6'!H383)</f>
        <v/>
      </c>
      <c r="C637" t="str">
        <f t="shared" si="12"/>
        <v>P</v>
      </c>
      <c r="D637" s="38" t="s">
        <v>751</v>
      </c>
      <c r="E637" s="38"/>
      <c r="F637" s="38"/>
      <c r="G637" s="174"/>
      <c r="H637" s="174"/>
      <c r="I637" s="174"/>
      <c r="J637" s="499"/>
    </row>
    <row r="638" spans="1:10" ht="15" customHeight="1" x14ac:dyDescent="0.35">
      <c r="B638" t="str">
        <f>IF(LEN('Ch6'!H384)=0,"",'Ch6'!H384)</f>
        <v/>
      </c>
      <c r="C638" t="str">
        <f t="shared" si="12"/>
        <v/>
      </c>
      <c r="D638" s="33">
        <v>610.1</v>
      </c>
      <c r="E638" s="126"/>
      <c r="F638" s="126"/>
      <c r="G638" s="706" t="s">
        <v>752</v>
      </c>
      <c r="J638" s="804" t="s">
        <v>4750</v>
      </c>
    </row>
    <row r="639" spans="1:10" x14ac:dyDescent="0.35">
      <c r="B639" t="str">
        <f>IF(LEN('Ch6'!H385)=0,"",'Ch6'!H385)</f>
        <v/>
      </c>
      <c r="C639" t="str">
        <f t="shared" si="12"/>
        <v/>
      </c>
      <c r="D639" s="33"/>
      <c r="E639" s="126"/>
      <c r="F639" s="126"/>
      <c r="G639" s="706"/>
      <c r="J639" s="805"/>
    </row>
    <row r="640" spans="1:10" x14ac:dyDescent="0.35">
      <c r="B640" t="str">
        <f>IF(LEN('Ch6'!H386)=0,"",'Ch6'!H386)</f>
        <v/>
      </c>
      <c r="C640" t="str">
        <f t="shared" si="12"/>
        <v/>
      </c>
      <c r="D640" s="33"/>
      <c r="E640" s="126"/>
      <c r="F640" s="126"/>
      <c r="G640" s="706"/>
      <c r="J640" s="805"/>
    </row>
    <row r="641" spans="1:10" x14ac:dyDescent="0.35">
      <c r="B641" t="str">
        <f>IF(LEN('Ch6'!H387)=0,"",'Ch6'!H387)</f>
        <v/>
      </c>
      <c r="C641" t="str">
        <f t="shared" si="12"/>
        <v/>
      </c>
      <c r="D641" s="33"/>
      <c r="E641" s="126"/>
      <c r="F641" s="126"/>
      <c r="G641" s="706"/>
      <c r="J641" s="805"/>
    </row>
    <row r="642" spans="1:10" x14ac:dyDescent="0.35">
      <c r="B642" t="str">
        <f>IF(LEN('Ch6'!H388)=0,"",'Ch6'!H388)</f>
        <v/>
      </c>
      <c r="C642" t="str">
        <f t="shared" si="12"/>
        <v/>
      </c>
      <c r="D642" s="33"/>
      <c r="E642" s="126"/>
      <c r="F642" s="126"/>
      <c r="G642" s="706"/>
      <c r="J642" s="805"/>
    </row>
    <row r="643" spans="1:10" ht="15" thickBot="1" x14ac:dyDescent="0.4">
      <c r="B643" t="str">
        <f>IF(LEN('Ch6'!H389)=0,"",'Ch6'!H389)</f>
        <v/>
      </c>
      <c r="C643" t="str">
        <f t="shared" si="12"/>
        <v/>
      </c>
      <c r="D643" s="33"/>
      <c r="E643" s="126"/>
      <c r="F643" s="126"/>
      <c r="G643" s="706"/>
      <c r="J643" s="806"/>
    </row>
    <row r="644" spans="1:10" ht="15.75" customHeight="1" thickTop="1" x14ac:dyDescent="0.35">
      <c r="A644" s="403" t="str">
        <f>IF(SUM(I646:I662)&gt;0,"P","")</f>
        <v/>
      </c>
      <c r="B644" t="str">
        <f>IF(LEN('Ch6'!H390)=0,"",'Ch6'!H390)</f>
        <v/>
      </c>
      <c r="C644" t="str">
        <f t="shared" si="12"/>
        <v/>
      </c>
      <c r="D644" s="63" t="s">
        <v>753</v>
      </c>
      <c r="E644" s="466"/>
      <c r="F644" s="466"/>
      <c r="G644" s="711" t="s">
        <v>754</v>
      </c>
      <c r="J644" s="804" t="s">
        <v>4751</v>
      </c>
    </row>
    <row r="645" spans="1:10" x14ac:dyDescent="0.35">
      <c r="A645" s="403" t="str">
        <f>A644</f>
        <v/>
      </c>
      <c r="B645" t="str">
        <f>IF(LEN('Ch6'!H391)=0,"",'Ch6'!H391)</f>
        <v/>
      </c>
      <c r="C645" t="str">
        <f t="shared" si="12"/>
        <v/>
      </c>
      <c r="D645" s="33"/>
      <c r="E645" s="126"/>
      <c r="F645" s="126"/>
      <c r="G645" s="706"/>
      <c r="J645" s="806"/>
    </row>
    <row r="646" spans="1:10" ht="15" customHeight="1" x14ac:dyDescent="0.35">
      <c r="B646" t="str">
        <f>IF(LEN('Ch6'!H392)=0,"",'Ch6'!H392)</f>
        <v/>
      </c>
      <c r="C646" t="str">
        <f t="shared" si="12"/>
        <v/>
      </c>
      <c r="D646" s="33"/>
      <c r="E646" s="441" t="s">
        <v>270</v>
      </c>
      <c r="F646" s="126"/>
      <c r="G646" s="707" t="s">
        <v>755</v>
      </c>
      <c r="H646" s="49">
        <f>'Ch6'!W392</f>
        <v>0</v>
      </c>
      <c r="I646" s="49">
        <f>'Ch6'!O392</f>
        <v>0</v>
      </c>
      <c r="J646" s="490"/>
    </row>
    <row r="647" spans="1:10" x14ac:dyDescent="0.35">
      <c r="B647" t="str">
        <f>IF(LEN('Ch6'!H393)=0,"",'Ch6'!H393)</f>
        <v/>
      </c>
      <c r="C647" t="str">
        <f t="shared" si="12"/>
        <v/>
      </c>
      <c r="D647" s="33"/>
      <c r="E647" s="126"/>
      <c r="F647" s="126"/>
      <c r="G647" s="707"/>
      <c r="J647" s="502"/>
    </row>
    <row r="648" spans="1:10" x14ac:dyDescent="0.35">
      <c r="B648" t="str">
        <f>IF(LEN('Ch6'!H394)=0,"",'Ch6'!H394)</f>
        <v/>
      </c>
      <c r="C648" t="str">
        <f t="shared" si="12"/>
        <v/>
      </c>
      <c r="D648" s="33"/>
      <c r="E648" s="126"/>
      <c r="F648" s="126"/>
      <c r="G648" s="707"/>
      <c r="J648" s="502"/>
    </row>
    <row r="649" spans="1:10" x14ac:dyDescent="0.35">
      <c r="B649" t="str">
        <f>IF(LEN('Ch6'!H395)=0,"",'Ch6'!H395)</f>
        <v/>
      </c>
      <c r="C649" t="str">
        <f t="shared" ref="C649:C712" si="13">IF(LEN(B649)=0,IF(A649="P","P",""),B649)</f>
        <v/>
      </c>
      <c r="D649" s="33"/>
      <c r="E649" s="126"/>
      <c r="F649" s="441" t="s">
        <v>121</v>
      </c>
      <c r="G649" s="104" t="s">
        <v>756</v>
      </c>
      <c r="J649" s="502"/>
    </row>
    <row r="650" spans="1:10" x14ac:dyDescent="0.35">
      <c r="B650" t="str">
        <f>IF(LEN('Ch6'!H396)=0,"",'Ch6'!H396)</f>
        <v/>
      </c>
      <c r="C650" t="str">
        <f t="shared" si="13"/>
        <v/>
      </c>
      <c r="D650" s="33"/>
      <c r="E650" s="126"/>
      <c r="F650" s="441" t="s">
        <v>122</v>
      </c>
      <c r="G650" s="104" t="s">
        <v>757</v>
      </c>
      <c r="J650" s="502"/>
    </row>
    <row r="651" spans="1:10" x14ac:dyDescent="0.35">
      <c r="B651" t="str">
        <f>IF(LEN('Ch6'!H397)=0,"",'Ch6'!H397)</f>
        <v/>
      </c>
      <c r="C651" t="str">
        <f t="shared" si="13"/>
        <v/>
      </c>
      <c r="D651" s="33"/>
      <c r="E651" s="126"/>
      <c r="F651" s="441" t="s">
        <v>123</v>
      </c>
      <c r="G651" s="104" t="s">
        <v>758</v>
      </c>
      <c r="J651" s="502"/>
    </row>
    <row r="652" spans="1:10" x14ac:dyDescent="0.35">
      <c r="B652" t="str">
        <f>IF(LEN('Ch6'!H398)=0,"",'Ch6'!H398)</f>
        <v/>
      </c>
      <c r="C652" t="str">
        <f t="shared" si="13"/>
        <v/>
      </c>
      <c r="D652" s="33"/>
      <c r="E652" s="126"/>
      <c r="F652" s="460" t="s">
        <v>420</v>
      </c>
      <c r="G652" s="104" t="s">
        <v>759</v>
      </c>
      <c r="J652" s="502"/>
    </row>
    <row r="653" spans="1:10" x14ac:dyDescent="0.35">
      <c r="B653" t="str">
        <f>IF(LEN('Ch6'!H399)=0,"",'Ch6'!H399)</f>
        <v/>
      </c>
      <c r="C653" t="str">
        <f t="shared" si="13"/>
        <v/>
      </c>
      <c r="D653" s="33"/>
      <c r="E653" s="126"/>
      <c r="F653" s="33" t="s">
        <v>575</v>
      </c>
      <c r="G653" s="104" t="s">
        <v>760</v>
      </c>
      <c r="J653" s="502"/>
    </row>
    <row r="654" spans="1:10" x14ac:dyDescent="0.35">
      <c r="B654" t="str">
        <f>IF(LEN('Ch6'!H400)=0,"",'Ch6'!H400)</f>
        <v/>
      </c>
      <c r="C654" t="str">
        <f t="shared" si="13"/>
        <v/>
      </c>
      <c r="D654" s="33"/>
      <c r="E654" s="149"/>
      <c r="F654" s="459" t="s">
        <v>642</v>
      </c>
      <c r="G654" s="214" t="s">
        <v>761</v>
      </c>
      <c r="J654" s="502"/>
    </row>
    <row r="655" spans="1:10" ht="15" customHeight="1" x14ac:dyDescent="0.35">
      <c r="B655" t="str">
        <f>IF(LEN('Ch6'!H401)=0,"",'Ch6'!H401)</f>
        <v/>
      </c>
      <c r="C655" t="str">
        <f t="shared" si="13"/>
        <v/>
      </c>
      <c r="D655" s="33"/>
      <c r="E655" s="470" t="s">
        <v>272</v>
      </c>
      <c r="F655" s="471"/>
      <c r="G655" s="742" t="s">
        <v>762</v>
      </c>
      <c r="H655" s="49">
        <f>'Ch6'!W401</f>
        <v>0</v>
      </c>
      <c r="I655" s="49">
        <f>'Ch6'!O401</f>
        <v>0</v>
      </c>
      <c r="J655" s="502"/>
    </row>
    <row r="656" spans="1:10" x14ac:dyDescent="0.35">
      <c r="B656" t="str">
        <f>IF(LEN('Ch6'!H402)=0,"",'Ch6'!H402)</f>
        <v/>
      </c>
      <c r="C656" t="str">
        <f t="shared" si="13"/>
        <v/>
      </c>
      <c r="D656" s="33"/>
      <c r="E656" s="126"/>
      <c r="F656" s="126"/>
      <c r="G656" s="707"/>
      <c r="J656" s="502"/>
    </row>
    <row r="657" spans="1:10" x14ac:dyDescent="0.35">
      <c r="B657" t="str">
        <f>IF(LEN('Ch6'!H403)=0,"",'Ch6'!H403)</f>
        <v/>
      </c>
      <c r="C657" t="str">
        <f t="shared" si="13"/>
        <v/>
      </c>
      <c r="D657" s="33"/>
      <c r="E657" s="126"/>
      <c r="F657" s="126"/>
      <c r="G657" s="707"/>
      <c r="J657" s="502"/>
    </row>
    <row r="658" spans="1:10" x14ac:dyDescent="0.35">
      <c r="B658" t="str">
        <f>IF(LEN('Ch6'!H404)=0,"",'Ch6'!H404)</f>
        <v/>
      </c>
      <c r="C658" t="str">
        <f t="shared" si="13"/>
        <v/>
      </c>
      <c r="D658" s="33"/>
      <c r="E658" s="126"/>
      <c r="F658" s="126"/>
      <c r="G658" s="707"/>
      <c r="J658" s="502"/>
    </row>
    <row r="659" spans="1:10" x14ac:dyDescent="0.35">
      <c r="B659" t="str">
        <f>IF(LEN('Ch6'!H405)=0,"",'Ch6'!H405)</f>
        <v/>
      </c>
      <c r="C659" t="str">
        <f t="shared" si="13"/>
        <v/>
      </c>
      <c r="D659" s="33"/>
      <c r="E659" s="126"/>
      <c r="F659" s="126"/>
      <c r="G659" s="707"/>
      <c r="J659" s="502"/>
    </row>
    <row r="660" spans="1:10" x14ac:dyDescent="0.35">
      <c r="B660" t="str">
        <f>IF(LEN('Ch6'!H406)=0,"",'Ch6'!H406)</f>
        <v/>
      </c>
      <c r="C660" t="str">
        <f t="shared" si="13"/>
        <v/>
      </c>
      <c r="D660" s="33"/>
      <c r="E660" s="126"/>
      <c r="F660" s="126"/>
      <c r="G660" s="707"/>
      <c r="J660" s="502"/>
    </row>
    <row r="661" spans="1:10" x14ac:dyDescent="0.35">
      <c r="B661" t="str">
        <f>IF(LEN('Ch6'!H407)=0,"",'Ch6'!H407)</f>
        <v/>
      </c>
      <c r="C661" t="str">
        <f t="shared" si="13"/>
        <v/>
      </c>
      <c r="D661" s="33"/>
      <c r="E661" s="149"/>
      <c r="F661" s="149"/>
      <c r="G661" s="709"/>
      <c r="J661" s="502"/>
    </row>
    <row r="662" spans="1:10" ht="15" customHeight="1" x14ac:dyDescent="0.35">
      <c r="B662" t="str">
        <f>IF(LEN('Ch6'!H408)=0,"",'Ch6'!H408)</f>
        <v/>
      </c>
      <c r="C662" t="str">
        <f t="shared" si="13"/>
        <v/>
      </c>
      <c r="D662" s="33"/>
      <c r="E662" s="441" t="s">
        <v>274</v>
      </c>
      <c r="F662" s="126"/>
      <c r="G662" s="707" t="s">
        <v>763</v>
      </c>
      <c r="H662" s="49">
        <f>'Ch6'!W408</f>
        <v>0</v>
      </c>
      <c r="I662" s="49">
        <f>'Ch6'!O408</f>
        <v>0</v>
      </c>
      <c r="J662" s="502"/>
    </row>
    <row r="663" spans="1:10" x14ac:dyDescent="0.35">
      <c r="B663" t="str">
        <f>IF(LEN('Ch6'!H409)=0,"",'Ch6'!H409)</f>
        <v/>
      </c>
      <c r="C663" t="str">
        <f t="shared" si="13"/>
        <v/>
      </c>
      <c r="D663" s="33"/>
      <c r="E663" s="126"/>
      <c r="F663" s="126"/>
      <c r="G663" s="707"/>
      <c r="J663" s="502"/>
    </row>
    <row r="664" spans="1:10" ht="15.75" customHeight="1" thickTop="1" x14ac:dyDescent="0.35">
      <c r="B664" t="str">
        <f>IF(LEN('Ch6'!H410)=0,"",'Ch6'!H410)</f>
        <v/>
      </c>
      <c r="C664" t="str">
        <f t="shared" si="13"/>
        <v/>
      </c>
      <c r="D664" s="63" t="s">
        <v>764</v>
      </c>
      <c r="E664" s="466"/>
      <c r="F664" s="466"/>
      <c r="G664" s="711" t="s">
        <v>765</v>
      </c>
      <c r="I664" s="49">
        <f ca="1">'Ch6'!O410</f>
        <v>0</v>
      </c>
      <c r="J664" s="485"/>
    </row>
    <row r="665" spans="1:10" x14ac:dyDescent="0.35">
      <c r="B665" t="str">
        <f>IF(LEN('Ch6'!H411)=0,"",'Ch6'!H411)</f>
        <v/>
      </c>
      <c r="C665" t="str">
        <f t="shared" si="13"/>
        <v/>
      </c>
      <c r="D665" s="33"/>
      <c r="E665" s="126"/>
      <c r="F665" s="126"/>
      <c r="G665" s="706"/>
      <c r="J665" s="485"/>
    </row>
    <row r="666" spans="1:10" x14ac:dyDescent="0.35">
      <c r="B666" t="str">
        <f>IF(LEN('Ch6'!H412)=0,"",'Ch6'!H412)</f>
        <v/>
      </c>
      <c r="C666" t="str">
        <f t="shared" si="13"/>
        <v/>
      </c>
      <c r="D666" s="33"/>
      <c r="E666" s="126"/>
      <c r="F666" s="126"/>
      <c r="G666" s="706"/>
      <c r="J666" s="485"/>
    </row>
    <row r="667" spans="1:10" x14ac:dyDescent="0.35">
      <c r="B667" t="str">
        <f>IF(LEN('Ch6'!H413)=0,"",'Ch6'!H413)</f>
        <v/>
      </c>
      <c r="C667" t="str">
        <f t="shared" si="13"/>
        <v/>
      </c>
      <c r="D667" s="442"/>
      <c r="E667" s="149"/>
      <c r="F667" s="149"/>
      <c r="G667" s="739"/>
      <c r="J667" s="485"/>
    </row>
    <row r="668" spans="1:10" ht="15" customHeight="1" x14ac:dyDescent="0.35">
      <c r="A668" s="403" t="str">
        <f>IF(OR(H670&lt;&gt;0,H677&lt;&gt;0),"P","")</f>
        <v/>
      </c>
      <c r="B668" t="str">
        <f>IF(LEN('Ch6'!H414)=0,"",'Ch6'!H414)</f>
        <v/>
      </c>
      <c r="C668" t="str">
        <f t="shared" si="13"/>
        <v/>
      </c>
      <c r="D668" s="444" t="s">
        <v>767</v>
      </c>
      <c r="E668" s="471"/>
      <c r="F668" s="471"/>
      <c r="G668" s="753" t="s">
        <v>768</v>
      </c>
      <c r="J668" s="814" t="s">
        <v>4213</v>
      </c>
    </row>
    <row r="669" spans="1:10" x14ac:dyDescent="0.35">
      <c r="A669" s="403" t="str">
        <f>A668</f>
        <v/>
      </c>
      <c r="B669" t="str">
        <f>IF(LEN('Ch6'!H415)=0,"",'Ch6'!H415)</f>
        <v/>
      </c>
      <c r="C669" t="str">
        <f t="shared" si="13"/>
        <v/>
      </c>
      <c r="D669" s="33"/>
      <c r="E669" s="126"/>
      <c r="F669" s="126"/>
      <c r="G669" s="706"/>
      <c r="J669" s="814"/>
    </row>
    <row r="670" spans="1:10" ht="15" customHeight="1" x14ac:dyDescent="0.35">
      <c r="A670" s="403" t="str">
        <f>A669</f>
        <v/>
      </c>
      <c r="B670" t="str">
        <f>IF(LEN('Ch6'!H416)=0,"",'Ch6'!H416)</f>
        <v/>
      </c>
      <c r="C670" t="str">
        <f t="shared" si="13"/>
        <v/>
      </c>
      <c r="D670" s="33"/>
      <c r="E670" s="126"/>
      <c r="F670" s="126"/>
      <c r="G670" s="706"/>
      <c r="H670" s="49">
        <f>'Ch6'!W416</f>
        <v>0</v>
      </c>
      <c r="J670" s="814"/>
    </row>
    <row r="671" spans="1:10" x14ac:dyDescent="0.35">
      <c r="B671" t="str">
        <f>IF(LEN('Ch6'!H417)=0,"",'Ch6'!H417)</f>
        <v/>
      </c>
      <c r="C671" t="str">
        <f t="shared" si="13"/>
        <v/>
      </c>
      <c r="D671" s="33"/>
      <c r="E671" s="126"/>
      <c r="F671" s="441" t="s">
        <v>121</v>
      </c>
      <c r="G671" s="104" t="s">
        <v>756</v>
      </c>
      <c r="J671" s="495"/>
    </row>
    <row r="672" spans="1:10" x14ac:dyDescent="0.35">
      <c r="B672" t="str">
        <f>IF(LEN('Ch6'!H418)=0,"",'Ch6'!H418)</f>
        <v/>
      </c>
      <c r="C672" t="str">
        <f t="shared" si="13"/>
        <v/>
      </c>
      <c r="D672" s="33"/>
      <c r="E672" s="126"/>
      <c r="F672" s="441" t="s">
        <v>122</v>
      </c>
      <c r="G672" s="104" t="s">
        <v>757</v>
      </c>
      <c r="J672" s="495"/>
    </row>
    <row r="673" spans="1:10" x14ac:dyDescent="0.35">
      <c r="B673" t="str">
        <f>IF(LEN('Ch6'!H419)=0,"",'Ch6'!H419)</f>
        <v/>
      </c>
      <c r="C673" t="str">
        <f t="shared" si="13"/>
        <v/>
      </c>
      <c r="D673" s="33"/>
      <c r="E673" s="126"/>
      <c r="F673" s="441" t="s">
        <v>123</v>
      </c>
      <c r="G673" s="104" t="s">
        <v>758</v>
      </c>
      <c r="J673" s="495"/>
    </row>
    <row r="674" spans="1:10" x14ac:dyDescent="0.35">
      <c r="B674" t="str">
        <f>IF(LEN('Ch6'!H420)=0,"",'Ch6'!H420)</f>
        <v/>
      </c>
      <c r="C674" t="str">
        <f t="shared" si="13"/>
        <v/>
      </c>
      <c r="D674" s="33"/>
      <c r="E674" s="126"/>
      <c r="F674" s="460" t="s">
        <v>420</v>
      </c>
      <c r="G674" s="104" t="s">
        <v>759</v>
      </c>
      <c r="J674" s="495"/>
    </row>
    <row r="675" spans="1:10" x14ac:dyDescent="0.35">
      <c r="B675" t="str">
        <f>IF(LEN('Ch6'!H421)=0,"",'Ch6'!H421)</f>
        <v/>
      </c>
      <c r="C675" t="str">
        <f t="shared" si="13"/>
        <v/>
      </c>
      <c r="D675" s="33"/>
      <c r="E675" s="126"/>
      <c r="F675" s="33" t="s">
        <v>575</v>
      </c>
      <c r="G675" s="104" t="s">
        <v>760</v>
      </c>
      <c r="J675" s="495"/>
    </row>
    <row r="676" spans="1:10" x14ac:dyDescent="0.35">
      <c r="B676" t="str">
        <f>IF(LEN('Ch6'!H422)=0,"",'Ch6'!H422)</f>
        <v/>
      </c>
      <c r="C676" t="str">
        <f t="shared" si="13"/>
        <v/>
      </c>
      <c r="D676" s="33"/>
      <c r="E676" s="126"/>
      <c r="F676" s="441" t="s">
        <v>642</v>
      </c>
      <c r="G676" s="104" t="s">
        <v>761</v>
      </c>
      <c r="J676" s="495"/>
    </row>
    <row r="677" spans="1:10" ht="15" customHeight="1" x14ac:dyDescent="0.35">
      <c r="B677" t="str">
        <f>IF(LEN('Ch6'!H423)=0,"",'Ch6'!H423)</f>
        <v/>
      </c>
      <c r="C677" t="str">
        <f t="shared" si="13"/>
        <v/>
      </c>
      <c r="D677" s="33"/>
      <c r="E677" s="126"/>
      <c r="G677" s="752" t="s">
        <v>769</v>
      </c>
      <c r="H677" s="49">
        <f>'Ch6'!W423</f>
        <v>0</v>
      </c>
      <c r="J677" s="495"/>
    </row>
    <row r="678" spans="1:10" x14ac:dyDescent="0.35">
      <c r="B678" t="str">
        <f>IF(LEN('Ch6'!H424)=0,"",'Ch6'!H424)</f>
        <v/>
      </c>
      <c r="C678" t="str">
        <f t="shared" si="13"/>
        <v/>
      </c>
      <c r="D678" s="33"/>
      <c r="E678" s="126"/>
      <c r="F678" s="281"/>
      <c r="G678" s="752"/>
      <c r="J678" s="495"/>
    </row>
    <row r="679" spans="1:10" x14ac:dyDescent="0.35">
      <c r="B679" t="str">
        <f>IF(LEN('Ch6'!H425)=0,"",'Ch6'!H425)</f>
        <v/>
      </c>
      <c r="C679" t="str">
        <f t="shared" si="13"/>
        <v/>
      </c>
      <c r="D679" s="33"/>
      <c r="E679" s="126"/>
      <c r="F679" s="281"/>
      <c r="G679" s="752"/>
      <c r="J679" s="495"/>
    </row>
    <row r="680" spans="1:10" ht="15" customHeight="1" x14ac:dyDescent="0.35">
      <c r="B680" t="str">
        <f>IF(LEN('Ch6'!H426)=0,"",'Ch6'!H426)</f>
        <v/>
      </c>
      <c r="C680" t="str">
        <f t="shared" si="13"/>
        <v/>
      </c>
      <c r="D680" s="33"/>
      <c r="E680" s="126"/>
      <c r="F680" s="281"/>
      <c r="G680" s="714" t="s">
        <v>3308</v>
      </c>
      <c r="J680" s="485"/>
    </row>
    <row r="681" spans="1:10" x14ac:dyDescent="0.35">
      <c r="B681" t="str">
        <f>IF(LEN('Ch6'!H427)=0,"",'Ch6'!H427)</f>
        <v/>
      </c>
      <c r="C681" t="str">
        <f t="shared" si="13"/>
        <v/>
      </c>
      <c r="D681" s="442"/>
      <c r="E681" s="149"/>
      <c r="F681" s="440"/>
      <c r="G681" s="755"/>
      <c r="J681" s="485"/>
    </row>
    <row r="682" spans="1:10" ht="15" customHeight="1" x14ac:dyDescent="0.35">
      <c r="A682" s="403" t="str">
        <f>IF(OR(H683&lt;&gt;0,H689&lt;&gt;0,H695&lt;&gt;0,H701&lt;&gt;0),"P","")</f>
        <v/>
      </c>
      <c r="B682" t="str">
        <f>IF(LEN('Ch6'!H428)=0,"",'Ch6'!H428)</f>
        <v/>
      </c>
      <c r="C682" t="str">
        <f t="shared" si="13"/>
        <v/>
      </c>
      <c r="D682" s="33" t="s">
        <v>770</v>
      </c>
      <c r="E682" s="126"/>
      <c r="F682" s="126"/>
      <c r="G682" s="706" t="s">
        <v>771</v>
      </c>
      <c r="J682" s="814" t="s">
        <v>4333</v>
      </c>
    </row>
    <row r="683" spans="1:10" ht="15" customHeight="1" x14ac:dyDescent="0.35">
      <c r="A683" s="403" t="str">
        <f t="shared" ref="A683:A689" si="14">A682</f>
        <v/>
      </c>
      <c r="B683" t="str">
        <f>IF(LEN('Ch6'!H429)=0,"",'Ch6'!H429)</f>
        <v/>
      </c>
      <c r="C683" t="str">
        <f t="shared" si="13"/>
        <v/>
      </c>
      <c r="D683" s="33"/>
      <c r="E683" s="126"/>
      <c r="F683" s="126"/>
      <c r="G683" s="706"/>
      <c r="H683" s="49">
        <f>'Ch6'!W429</f>
        <v>0</v>
      </c>
      <c r="J683" s="814"/>
    </row>
    <row r="684" spans="1:10" x14ac:dyDescent="0.35">
      <c r="A684" s="403" t="str">
        <f t="shared" si="14"/>
        <v/>
      </c>
      <c r="B684" t="str">
        <f>IF(LEN('Ch6'!H430)=0,"",'Ch6'!H430)</f>
        <v/>
      </c>
      <c r="C684" t="str">
        <f t="shared" si="13"/>
        <v/>
      </c>
      <c r="D684" s="33"/>
      <c r="E684" s="126"/>
      <c r="F684" s="126"/>
      <c r="G684" s="706"/>
      <c r="J684" s="814"/>
    </row>
    <row r="685" spans="1:10" x14ac:dyDescent="0.35">
      <c r="A685" s="403" t="str">
        <f t="shared" si="14"/>
        <v/>
      </c>
      <c r="B685" t="str">
        <f>IF(LEN('Ch6'!H431)=0,"",'Ch6'!H431)</f>
        <v/>
      </c>
      <c r="C685" t="str">
        <f t="shared" si="13"/>
        <v/>
      </c>
      <c r="D685" s="33"/>
      <c r="E685" s="126"/>
      <c r="F685" s="126"/>
      <c r="G685" s="706"/>
      <c r="J685" s="814"/>
    </row>
    <row r="686" spans="1:10" x14ac:dyDescent="0.35">
      <c r="A686" s="403" t="str">
        <f t="shared" si="14"/>
        <v/>
      </c>
      <c r="B686" t="str">
        <f>IF(LEN('Ch6'!H432)=0,"",'Ch6'!H432)</f>
        <v/>
      </c>
      <c r="C686" t="str">
        <f t="shared" si="13"/>
        <v/>
      </c>
      <c r="D686" s="33"/>
      <c r="E686" s="126"/>
      <c r="F686" s="126"/>
      <c r="G686" s="706"/>
      <c r="J686" s="814"/>
    </row>
    <row r="687" spans="1:10" x14ac:dyDescent="0.35">
      <c r="A687" s="403" t="str">
        <f t="shared" si="14"/>
        <v/>
      </c>
      <c r="B687" t="str">
        <f>IF(LEN('Ch6'!H433)=0,"",'Ch6'!H433)</f>
        <v/>
      </c>
      <c r="C687" t="str">
        <f t="shared" si="13"/>
        <v/>
      </c>
      <c r="D687" s="33"/>
      <c r="E687" s="126"/>
      <c r="F687" s="126"/>
      <c r="G687" s="706"/>
      <c r="J687" s="814"/>
    </row>
    <row r="688" spans="1:10" x14ac:dyDescent="0.35">
      <c r="A688" s="403" t="str">
        <f t="shared" si="14"/>
        <v/>
      </c>
      <c r="B688" t="str">
        <f>IF(LEN('Ch6'!H434)=0,"",'Ch6'!H434)</f>
        <v/>
      </c>
      <c r="C688" t="str">
        <f t="shared" si="13"/>
        <v/>
      </c>
      <c r="D688" s="33"/>
      <c r="E688" s="126"/>
      <c r="F688" s="126"/>
      <c r="G688" s="706"/>
      <c r="J688" s="814"/>
    </row>
    <row r="689" spans="1:10" x14ac:dyDescent="0.35">
      <c r="A689" s="403" t="str">
        <f t="shared" si="14"/>
        <v/>
      </c>
      <c r="B689" t="str">
        <f>IF(LEN('Ch6'!H435)=0,"",'Ch6'!H435)</f>
        <v/>
      </c>
      <c r="C689" t="str">
        <f t="shared" si="13"/>
        <v/>
      </c>
      <c r="D689" s="33"/>
      <c r="E689" s="126"/>
      <c r="F689" s="126"/>
      <c r="G689" s="706"/>
      <c r="H689" s="49">
        <f>'Ch6'!W435</f>
        <v>0</v>
      </c>
      <c r="J689" s="814"/>
    </row>
    <row r="690" spans="1:10" x14ac:dyDescent="0.35">
      <c r="B690" t="str">
        <f>IF(LEN('Ch6'!H436)=0,"",'Ch6'!H436)</f>
        <v/>
      </c>
      <c r="C690" t="str">
        <f t="shared" si="13"/>
        <v/>
      </c>
      <c r="D690" s="33"/>
      <c r="E690" s="126"/>
      <c r="F690" s="441" t="s">
        <v>121</v>
      </c>
      <c r="G690" s="104" t="s">
        <v>772</v>
      </c>
      <c r="J690" s="495"/>
    </row>
    <row r="691" spans="1:10" x14ac:dyDescent="0.35">
      <c r="B691" t="str">
        <f>IF(LEN('Ch6'!H437)=0,"",'Ch6'!H437)</f>
        <v/>
      </c>
      <c r="C691" t="str">
        <f t="shared" si="13"/>
        <v/>
      </c>
      <c r="D691" s="33"/>
      <c r="E691" s="126"/>
      <c r="F691" s="441" t="s">
        <v>122</v>
      </c>
      <c r="G691" s="104" t="s">
        <v>773</v>
      </c>
      <c r="J691" s="495"/>
    </row>
    <row r="692" spans="1:10" x14ac:dyDescent="0.35">
      <c r="B692" t="str">
        <f>IF(LEN('Ch6'!H438)=0,"",'Ch6'!H438)</f>
        <v/>
      </c>
      <c r="C692" t="str">
        <f t="shared" si="13"/>
        <v/>
      </c>
      <c r="D692" s="33"/>
      <c r="E692" s="126"/>
      <c r="F692" s="441" t="s">
        <v>123</v>
      </c>
      <c r="G692" s="104" t="s">
        <v>774</v>
      </c>
      <c r="J692" s="495"/>
    </row>
    <row r="693" spans="1:10" x14ac:dyDescent="0.35">
      <c r="B693" t="str">
        <f>IF(LEN('Ch6'!H439)=0,"",'Ch6'!H439)</f>
        <v/>
      </c>
      <c r="C693" t="str">
        <f t="shared" si="13"/>
        <v/>
      </c>
      <c r="D693" s="33"/>
      <c r="E693" s="126"/>
      <c r="F693" s="460" t="s">
        <v>420</v>
      </c>
      <c r="G693" s="104" t="s">
        <v>775</v>
      </c>
      <c r="J693" s="495"/>
    </row>
    <row r="694" spans="1:10" ht="15" customHeight="1" x14ac:dyDescent="0.35">
      <c r="B694" t="str">
        <f>IF(LEN('Ch6'!H440)=0,"",'Ch6'!H440)</f>
        <v/>
      </c>
      <c r="C694" t="str">
        <f t="shared" si="13"/>
        <v/>
      </c>
      <c r="D694" s="33"/>
      <c r="E694" s="126"/>
      <c r="F694" s="126"/>
      <c r="G694" s="723" t="s">
        <v>776</v>
      </c>
      <c r="J694" s="495"/>
    </row>
    <row r="695" spans="1:10" x14ac:dyDescent="0.35">
      <c r="B695" t="str">
        <f>IF(LEN('Ch6'!H441)=0,"",'Ch6'!H441)</f>
        <v/>
      </c>
      <c r="C695" t="str">
        <f t="shared" si="13"/>
        <v/>
      </c>
      <c r="D695" s="33"/>
      <c r="E695" s="126"/>
      <c r="F695" s="126"/>
      <c r="G695" s="723"/>
      <c r="H695" s="49">
        <f>'Ch6'!W441</f>
        <v>0</v>
      </c>
      <c r="J695" s="495"/>
    </row>
    <row r="696" spans="1:10" x14ac:dyDescent="0.35">
      <c r="B696" t="str">
        <f>IF(LEN('Ch6'!H442)=0,"",'Ch6'!H442)</f>
        <v/>
      </c>
      <c r="C696" t="str">
        <f t="shared" si="13"/>
        <v/>
      </c>
      <c r="D696" s="33"/>
      <c r="E696" s="126"/>
      <c r="F696" s="441" t="s">
        <v>121</v>
      </c>
      <c r="G696" s="104" t="s">
        <v>756</v>
      </c>
      <c r="J696" s="495"/>
    </row>
    <row r="697" spans="1:10" x14ac:dyDescent="0.35">
      <c r="B697" t="str">
        <f>IF(LEN('Ch6'!H443)=0,"",'Ch6'!H443)</f>
        <v/>
      </c>
      <c r="C697" t="str">
        <f t="shared" si="13"/>
        <v/>
      </c>
      <c r="D697" s="33"/>
      <c r="E697" s="126"/>
      <c r="F697" s="441" t="s">
        <v>122</v>
      </c>
      <c r="G697" s="104" t="s">
        <v>757</v>
      </c>
      <c r="J697" s="495"/>
    </row>
    <row r="698" spans="1:10" x14ac:dyDescent="0.35">
      <c r="B698" t="str">
        <f>IF(LEN('Ch6'!H444)=0,"",'Ch6'!H444)</f>
        <v/>
      </c>
      <c r="C698" t="str">
        <f t="shared" si="13"/>
        <v/>
      </c>
      <c r="D698" s="33"/>
      <c r="E698" s="126"/>
      <c r="F698" s="441" t="s">
        <v>123</v>
      </c>
      <c r="G698" s="104" t="s">
        <v>758</v>
      </c>
      <c r="J698" s="495"/>
    </row>
    <row r="699" spans="1:10" x14ac:dyDescent="0.35">
      <c r="B699" t="str">
        <f>IF(LEN('Ch6'!H445)=0,"",'Ch6'!H445)</f>
        <v/>
      </c>
      <c r="C699" t="str">
        <f t="shared" si="13"/>
        <v/>
      </c>
      <c r="D699" s="33"/>
      <c r="E699" s="126"/>
      <c r="F699" s="460" t="s">
        <v>420</v>
      </c>
      <c r="G699" s="104" t="s">
        <v>759</v>
      </c>
      <c r="J699" s="495"/>
    </row>
    <row r="700" spans="1:10" x14ac:dyDescent="0.35">
      <c r="B700" t="str">
        <f>IF(LEN('Ch6'!H446)=0,"",'Ch6'!H446)</f>
        <v/>
      </c>
      <c r="C700" t="str">
        <f t="shared" si="13"/>
        <v/>
      </c>
      <c r="D700" s="33"/>
      <c r="E700" s="126"/>
      <c r="F700" s="33" t="s">
        <v>575</v>
      </c>
      <c r="G700" s="104" t="s">
        <v>760</v>
      </c>
      <c r="J700" s="495"/>
    </row>
    <row r="701" spans="1:10" x14ac:dyDescent="0.35">
      <c r="B701" t="str">
        <f>IF(LEN('Ch6'!H447)=0,"",'Ch6'!H447)</f>
        <v/>
      </c>
      <c r="C701" t="str">
        <f t="shared" si="13"/>
        <v/>
      </c>
      <c r="D701" s="33"/>
      <c r="E701" s="126"/>
      <c r="F701" s="441" t="s">
        <v>642</v>
      </c>
      <c r="G701" s="104" t="s">
        <v>761</v>
      </c>
      <c r="H701" s="49">
        <f>'Ch6'!W447</f>
        <v>0</v>
      </c>
      <c r="J701" s="495"/>
    </row>
    <row r="702" spans="1:10" ht="15" customHeight="1" x14ac:dyDescent="0.35">
      <c r="B702" t="str">
        <f>IF(LEN('Ch6'!H448)=0,"",'Ch6'!H448)</f>
        <v/>
      </c>
      <c r="C702" t="str">
        <f t="shared" si="13"/>
        <v/>
      </c>
      <c r="D702" s="33"/>
      <c r="E702" s="126"/>
      <c r="F702" s="126"/>
      <c r="G702" s="752" t="s">
        <v>777</v>
      </c>
      <c r="J702" s="495"/>
    </row>
    <row r="703" spans="1:10" x14ac:dyDescent="0.35">
      <c r="B703" t="str">
        <f>IF(LEN('Ch6'!H449)=0,"",'Ch6'!H449)</f>
        <v/>
      </c>
      <c r="C703" t="str">
        <f t="shared" si="13"/>
        <v/>
      </c>
      <c r="D703" s="33"/>
      <c r="E703" s="126"/>
      <c r="F703" s="126"/>
      <c r="G703" s="752"/>
      <c r="J703" s="495"/>
    </row>
    <row r="704" spans="1:10" ht="15" customHeight="1" x14ac:dyDescent="0.35">
      <c r="B704" t="str">
        <f>IF(LEN('Ch6'!H450)=0,"",'Ch6'!H450)</f>
        <v/>
      </c>
      <c r="C704" t="str">
        <f t="shared" si="13"/>
        <v/>
      </c>
      <c r="D704" s="33"/>
      <c r="E704" s="126"/>
      <c r="F704" s="126"/>
      <c r="G704" s="744" t="s">
        <v>3316</v>
      </c>
      <c r="J704" s="485"/>
    </row>
    <row r="705" spans="1:10" x14ac:dyDescent="0.35">
      <c r="B705" t="str">
        <f>IF(LEN('Ch6'!H451)=0,"",'Ch6'!H451)</f>
        <v/>
      </c>
      <c r="C705" t="str">
        <f t="shared" si="13"/>
        <v/>
      </c>
      <c r="D705" s="33"/>
      <c r="E705" s="126"/>
      <c r="F705" s="126"/>
      <c r="G705" s="754"/>
      <c r="J705" s="485"/>
    </row>
    <row r="706" spans="1:10" ht="18.5" x14ac:dyDescent="0.35">
      <c r="A706" s="403" t="s">
        <v>4326</v>
      </c>
      <c r="B706" t="str">
        <f>IF(LEN('Ch6'!H452)=0,"",'Ch6'!H452)</f>
        <v/>
      </c>
      <c r="C706" t="str">
        <f t="shared" si="13"/>
        <v>P</v>
      </c>
      <c r="D706" s="38" t="s">
        <v>778</v>
      </c>
      <c r="E706" s="38"/>
      <c r="F706" s="38"/>
      <c r="G706" s="174"/>
      <c r="H706" s="174"/>
      <c r="I706" s="174"/>
      <c r="J706" s="499"/>
    </row>
    <row r="707" spans="1:10" ht="15" customHeight="1" x14ac:dyDescent="0.35">
      <c r="A707" s="403" t="str">
        <f>IF(AND(LEN('Ch6'!W453)&gt;0,NOT('Ch6'!W453=FALSE)),"P","")</f>
        <v/>
      </c>
      <c r="B707" t="str">
        <f>IF(LEN('Ch6'!H453)=0,"",'Ch6'!H453)</f>
        <v/>
      </c>
      <c r="C707" t="str">
        <f t="shared" si="13"/>
        <v/>
      </c>
      <c r="D707" s="33">
        <v>611.1</v>
      </c>
      <c r="E707" s="126"/>
      <c r="F707" s="126"/>
      <c r="G707" s="706" t="s">
        <v>779</v>
      </c>
      <c r="H707" s="49">
        <f>'Ch6'!W453</f>
        <v>0</v>
      </c>
      <c r="I707" s="49">
        <f ca="1">'Ch6'!O453</f>
        <v>0</v>
      </c>
      <c r="J707" s="814" t="s">
        <v>4214</v>
      </c>
    </row>
    <row r="708" spans="1:10" x14ac:dyDescent="0.35">
      <c r="A708" s="403" t="str">
        <f>A707</f>
        <v/>
      </c>
      <c r="B708" t="str">
        <f>IF(LEN('Ch6'!H454)=0,"",'Ch6'!H454)</f>
        <v/>
      </c>
      <c r="C708" t="str">
        <f t="shared" si="13"/>
        <v/>
      </c>
      <c r="D708" s="33"/>
      <c r="E708" s="126"/>
      <c r="F708" s="126"/>
      <c r="G708" s="706"/>
      <c r="J708" s="814"/>
    </row>
    <row r="709" spans="1:10" x14ac:dyDescent="0.35">
      <c r="A709" s="403" t="str">
        <f>A708</f>
        <v/>
      </c>
      <c r="B709" t="str">
        <f>IF(LEN('Ch6'!H455)=0,"",'Ch6'!H455)</f>
        <v/>
      </c>
      <c r="C709" t="str">
        <f t="shared" si="13"/>
        <v/>
      </c>
      <c r="D709" s="33"/>
      <c r="E709" s="126"/>
      <c r="F709" s="126"/>
      <c r="G709" s="706"/>
      <c r="J709" s="814"/>
    </row>
    <row r="710" spans="1:10" x14ac:dyDescent="0.35">
      <c r="A710" s="403" t="str">
        <f>A709</f>
        <v/>
      </c>
      <c r="B710" t="str">
        <f>IF(LEN('Ch6'!H456)=0,"",'Ch6'!H456)</f>
        <v/>
      </c>
      <c r="C710" t="str">
        <f t="shared" si="13"/>
        <v/>
      </c>
      <c r="D710" s="33"/>
      <c r="E710" s="126"/>
      <c r="F710" s="126"/>
      <c r="G710" s="706"/>
      <c r="J710" s="814"/>
    </row>
    <row r="711" spans="1:10" x14ac:dyDescent="0.35">
      <c r="A711" s="403" t="str">
        <f>A710</f>
        <v/>
      </c>
      <c r="B711" t="str">
        <f>IF(LEN('Ch6'!H457)=0,"",'Ch6'!H457)</f>
        <v/>
      </c>
      <c r="C711" t="str">
        <f t="shared" si="13"/>
        <v/>
      </c>
      <c r="D711" s="33"/>
      <c r="E711" s="126"/>
      <c r="F711" s="126"/>
      <c r="G711" s="706"/>
      <c r="J711" s="814"/>
    </row>
    <row r="712" spans="1:10" x14ac:dyDescent="0.35">
      <c r="B712" t="str">
        <f>IF(LEN('Ch6'!H458)=0,"",'Ch6'!H458)</f>
        <v/>
      </c>
      <c r="C712" t="str">
        <f t="shared" si="13"/>
        <v/>
      </c>
      <c r="D712" s="33"/>
      <c r="E712" s="126"/>
      <c r="F712" s="126"/>
      <c r="G712" s="181" t="s">
        <v>780</v>
      </c>
      <c r="J712" s="485"/>
    </row>
    <row r="713" spans="1:10" ht="15" customHeight="1" x14ac:dyDescent="0.35">
      <c r="B713" t="str">
        <f>IF(LEN('Ch6'!H459)=0,"",'Ch6'!H459)</f>
        <v/>
      </c>
      <c r="C713" t="str">
        <f t="shared" ref="C713:C776" si="15">IF(LEN(B713)=0,IF(A713="P","P",""),B713)</f>
        <v/>
      </c>
      <c r="D713" s="33"/>
      <c r="E713" s="126"/>
      <c r="F713" s="126"/>
      <c r="G713" s="714" t="s">
        <v>3337</v>
      </c>
      <c r="J713" s="485"/>
    </row>
    <row r="714" spans="1:10" x14ac:dyDescent="0.35">
      <c r="B714" t="str">
        <f>IF(LEN('Ch6'!H460)=0,"",'Ch6'!H460)</f>
        <v/>
      </c>
      <c r="C714" t="str">
        <f t="shared" si="15"/>
        <v/>
      </c>
      <c r="D714" s="33"/>
      <c r="E714" s="126"/>
      <c r="F714" s="126"/>
      <c r="G714" s="744"/>
      <c r="J714" s="485"/>
    </row>
    <row r="715" spans="1:10" ht="15.75" customHeight="1" thickTop="1" x14ac:dyDescent="0.35">
      <c r="A715" s="403" t="str">
        <f>IF('Ch6'!O461&gt;0,"P","")</f>
        <v/>
      </c>
      <c r="B715" t="str">
        <f>IF(LEN('Ch6'!H461)=0,"",'Ch6'!H461)</f>
        <v/>
      </c>
      <c r="C715" t="str">
        <f t="shared" si="15"/>
        <v/>
      </c>
      <c r="D715" s="63">
        <v>611.20000000000005</v>
      </c>
      <c r="E715" s="466"/>
      <c r="F715" s="466"/>
      <c r="G715" s="711" t="s">
        <v>781</v>
      </c>
      <c r="I715" s="49">
        <f>'Ch6'!O461</f>
        <v>0</v>
      </c>
      <c r="J715" s="814" t="s">
        <v>4215</v>
      </c>
    </row>
    <row r="716" spans="1:10" x14ac:dyDescent="0.35">
      <c r="A716" s="403" t="str">
        <f>A715</f>
        <v/>
      </c>
      <c r="B716" t="str">
        <f>IF(LEN('Ch6'!H462)=0,"",'Ch6'!H462)</f>
        <v/>
      </c>
      <c r="C716" t="str">
        <f t="shared" si="15"/>
        <v/>
      </c>
      <c r="D716" s="33"/>
      <c r="E716" s="126"/>
      <c r="F716" s="126"/>
      <c r="G716" s="706"/>
      <c r="J716" s="814"/>
    </row>
    <row r="717" spans="1:10" x14ac:dyDescent="0.35">
      <c r="A717" s="403" t="str">
        <f>A716</f>
        <v/>
      </c>
      <c r="B717" t="str">
        <f>IF(LEN('Ch6'!H463)=0,"",'Ch6'!H463)</f>
        <v/>
      </c>
      <c r="C717" t="str">
        <f t="shared" si="15"/>
        <v/>
      </c>
      <c r="D717" s="33"/>
      <c r="E717" s="126"/>
      <c r="F717" s="126"/>
      <c r="G717" s="706"/>
      <c r="J717" s="814"/>
    </row>
    <row r="718" spans="1:10" x14ac:dyDescent="0.35">
      <c r="B718" t="str">
        <f>IF(LEN('Ch6'!H464)=0,"",'Ch6'!H464)</f>
        <v/>
      </c>
      <c r="C718" t="str">
        <f t="shared" si="15"/>
        <v/>
      </c>
      <c r="D718" s="33"/>
      <c r="E718" s="459" t="s">
        <v>270</v>
      </c>
      <c r="F718" s="149"/>
      <c r="G718" s="214" t="s">
        <v>782</v>
      </c>
      <c r="H718" s="49">
        <f>'Ch6'!W464</f>
        <v>0</v>
      </c>
      <c r="J718" s="490"/>
    </row>
    <row r="719" spans="1:10" x14ac:dyDescent="0.35">
      <c r="B719" t="str">
        <f>IF(LEN('Ch6'!H465)=0,"",'Ch6'!H465)</f>
        <v/>
      </c>
      <c r="C719" t="str">
        <f t="shared" si="15"/>
        <v/>
      </c>
      <c r="D719" s="33"/>
      <c r="E719" s="467" t="s">
        <v>272</v>
      </c>
      <c r="F719" s="152"/>
      <c r="G719" s="220" t="s">
        <v>783</v>
      </c>
      <c r="H719" s="49">
        <f>'Ch6'!W465</f>
        <v>0</v>
      </c>
      <c r="J719" s="495"/>
    </row>
    <row r="720" spans="1:10" x14ac:dyDescent="0.35">
      <c r="B720" t="str">
        <f>IF(LEN('Ch6'!H466)=0,"",'Ch6'!H466)</f>
        <v/>
      </c>
      <c r="C720" t="str">
        <f t="shared" si="15"/>
        <v/>
      </c>
      <c r="D720" s="33"/>
      <c r="E720" s="467" t="s">
        <v>274</v>
      </c>
      <c r="F720" s="152"/>
      <c r="G720" s="220" t="s">
        <v>784</v>
      </c>
      <c r="H720" s="49">
        <f>'Ch6'!W466</f>
        <v>0</v>
      </c>
      <c r="J720" s="495"/>
    </row>
    <row r="721" spans="1:10" x14ac:dyDescent="0.35">
      <c r="B721" t="str">
        <f>IF(LEN('Ch6'!H467)=0,"",'Ch6'!H467)</f>
        <v/>
      </c>
      <c r="C721" t="str">
        <f t="shared" si="15"/>
        <v/>
      </c>
      <c r="D721" s="33"/>
      <c r="E721" s="467" t="s">
        <v>283</v>
      </c>
      <c r="F721" s="152"/>
      <c r="G721" s="220" t="s">
        <v>785</v>
      </c>
      <c r="H721" s="49">
        <f>'Ch6'!W467</f>
        <v>0</v>
      </c>
      <c r="J721" s="495"/>
    </row>
    <row r="722" spans="1:10" x14ac:dyDescent="0.35">
      <c r="B722" t="str">
        <f>IF(LEN('Ch6'!H468)=0,"",'Ch6'!H468)</f>
        <v/>
      </c>
      <c r="C722" t="str">
        <f t="shared" si="15"/>
        <v/>
      </c>
      <c r="D722" s="33"/>
      <c r="E722" s="467" t="s">
        <v>289</v>
      </c>
      <c r="F722" s="152"/>
      <c r="G722" s="220" t="s">
        <v>786</v>
      </c>
      <c r="H722" s="49">
        <f>'Ch6'!W468</f>
        <v>0</v>
      </c>
      <c r="J722" s="495"/>
    </row>
    <row r="723" spans="1:10" x14ac:dyDescent="0.35">
      <c r="B723" t="str">
        <f>IF(LEN('Ch6'!H469)=0,"",'Ch6'!H469)</f>
        <v/>
      </c>
      <c r="C723" t="str">
        <f t="shared" si="15"/>
        <v/>
      </c>
      <c r="D723" s="33"/>
      <c r="E723" s="467" t="s">
        <v>291</v>
      </c>
      <c r="F723" s="152"/>
      <c r="G723" s="220" t="s">
        <v>787</v>
      </c>
      <c r="H723" s="49">
        <f>'Ch6'!W469</f>
        <v>0</v>
      </c>
      <c r="J723" s="495"/>
    </row>
    <row r="724" spans="1:10" ht="15" customHeight="1" x14ac:dyDescent="0.35">
      <c r="B724" t="str">
        <f>IF(LEN('Ch6'!H470)=0,"",'Ch6'!H470)</f>
        <v/>
      </c>
      <c r="C724" t="str">
        <f t="shared" si="15"/>
        <v/>
      </c>
      <c r="D724" s="33"/>
      <c r="E724" s="441" t="s">
        <v>403</v>
      </c>
      <c r="F724" s="126"/>
      <c r="G724" s="707" t="s">
        <v>788</v>
      </c>
      <c r="H724" s="49">
        <f>'Ch6'!W470</f>
        <v>0</v>
      </c>
      <c r="J724" s="495"/>
    </row>
    <row r="725" spans="1:10" x14ac:dyDescent="0.35">
      <c r="B725" t="str">
        <f>IF(LEN('Ch6'!H471)=0,"",'Ch6'!H471)</f>
        <v/>
      </c>
      <c r="C725" t="str">
        <f t="shared" si="15"/>
        <v/>
      </c>
      <c r="D725" s="33"/>
      <c r="E725" s="441"/>
      <c r="F725" s="126"/>
      <c r="G725" s="707"/>
      <c r="J725" s="495"/>
    </row>
    <row r="726" spans="1:10" ht="15.75" customHeight="1" thickTop="1" x14ac:dyDescent="0.35">
      <c r="A726" s="403" t="str">
        <f>IF('Ch6'!O472&gt;0,"P","")</f>
        <v>P</v>
      </c>
      <c r="B726" t="str">
        <f>IF(LEN('Ch6'!H472)=0,"",'Ch6'!H472)</f>
        <v/>
      </c>
      <c r="C726" t="str">
        <f t="shared" si="15"/>
        <v>P</v>
      </c>
      <c r="D726" s="63">
        <v>611.29999999999995</v>
      </c>
      <c r="E726" s="454"/>
      <c r="F726" s="466"/>
      <c r="G726" s="711" t="s">
        <v>789</v>
      </c>
      <c r="I726" s="49">
        <f>'Ch6'!O472</f>
        <v>1</v>
      </c>
      <c r="J726" s="814" t="s">
        <v>4177</v>
      </c>
    </row>
    <row r="727" spans="1:10" x14ac:dyDescent="0.35">
      <c r="A727" s="403" t="str">
        <f>A726</f>
        <v>P</v>
      </c>
      <c r="B727" t="str">
        <f>IF(LEN('Ch6'!H473)=0,"",'Ch6'!H473)</f>
        <v/>
      </c>
      <c r="C727" t="str">
        <f t="shared" si="15"/>
        <v>P</v>
      </c>
      <c r="D727" s="33"/>
      <c r="E727" s="126"/>
      <c r="F727" s="126"/>
      <c r="G727" s="706"/>
      <c r="J727" s="814"/>
    </row>
    <row r="728" spans="1:10" ht="15" customHeight="1" x14ac:dyDescent="0.35">
      <c r="B728" t="str">
        <f>IF(LEN('Ch6'!H474)=0,"",'Ch6'!H474)</f>
        <v/>
      </c>
      <c r="C728" t="str">
        <f t="shared" si="15"/>
        <v/>
      </c>
      <c r="D728" s="33"/>
      <c r="E728" s="441" t="s">
        <v>270</v>
      </c>
      <c r="F728" s="126"/>
      <c r="G728" s="707" t="s">
        <v>790</v>
      </c>
      <c r="H728" s="49">
        <f>'Ch6'!W474</f>
        <v>0</v>
      </c>
      <c r="J728" s="490"/>
    </row>
    <row r="729" spans="1:10" x14ac:dyDescent="0.35">
      <c r="B729" t="str">
        <f>IF(LEN('Ch6'!H475)=0,"",'Ch6'!H475)</f>
        <v/>
      </c>
      <c r="C729" t="str">
        <f t="shared" si="15"/>
        <v/>
      </c>
      <c r="D729" s="33"/>
      <c r="E729" s="126"/>
      <c r="F729" s="126"/>
      <c r="G729" s="707"/>
      <c r="J729" s="495"/>
    </row>
    <row r="730" spans="1:10" x14ac:dyDescent="0.35">
      <c r="B730" t="str">
        <f>IF(LEN('Ch6'!H476)=0,"",'Ch6'!H476)</f>
        <v/>
      </c>
      <c r="C730" t="str">
        <f t="shared" si="15"/>
        <v/>
      </c>
      <c r="D730" s="33"/>
      <c r="E730" s="126"/>
      <c r="F730" s="126"/>
      <c r="G730" s="707"/>
      <c r="J730" s="495"/>
    </row>
    <row r="731" spans="1:10" x14ac:dyDescent="0.35">
      <c r="B731" t="str">
        <f>IF(LEN('Ch6'!H477)=0,"",'Ch6'!H477)</f>
        <v/>
      </c>
      <c r="C731" t="str">
        <f t="shared" si="15"/>
        <v/>
      </c>
      <c r="D731" s="33"/>
      <c r="E731" s="126"/>
      <c r="F731" s="126"/>
      <c r="G731" s="707"/>
      <c r="J731" s="495"/>
    </row>
    <row r="732" spans="1:10" x14ac:dyDescent="0.35">
      <c r="B732" t="str">
        <f>IF(LEN('Ch6'!H478)=0,"",'Ch6'!H478)</f>
        <v/>
      </c>
      <c r="C732" t="str">
        <f t="shared" si="15"/>
        <v/>
      </c>
      <c r="D732" s="33"/>
      <c r="E732" s="149"/>
      <c r="F732" s="149"/>
      <c r="G732" s="709"/>
      <c r="J732" s="495"/>
    </row>
    <row r="733" spans="1:10" ht="15" customHeight="1" x14ac:dyDescent="0.35">
      <c r="B733" t="str">
        <f>IF(LEN('Ch6'!H479)=0,"",'Ch6'!H479)</f>
        <v/>
      </c>
      <c r="C733" t="str">
        <f t="shared" si="15"/>
        <v/>
      </c>
      <c r="D733" s="33"/>
      <c r="E733" s="470" t="s">
        <v>272</v>
      </c>
      <c r="F733" s="471"/>
      <c r="G733" s="742" t="s">
        <v>791</v>
      </c>
      <c r="H733" s="49">
        <f>'Ch6'!W479</f>
        <v>0</v>
      </c>
      <c r="J733" s="495"/>
    </row>
    <row r="734" spans="1:10" x14ac:dyDescent="0.35">
      <c r="B734" t="str">
        <f>IF(LEN('Ch6'!H480)=0,"",'Ch6'!H480)</f>
        <v/>
      </c>
      <c r="C734" t="str">
        <f t="shared" si="15"/>
        <v/>
      </c>
      <c r="D734" s="33"/>
      <c r="E734" s="126"/>
      <c r="F734" s="126"/>
      <c r="G734" s="707"/>
      <c r="J734" s="495"/>
    </row>
    <row r="735" spans="1:10" x14ac:dyDescent="0.35">
      <c r="B735" t="str">
        <f>IF(LEN('Ch6'!H481)=0,"",'Ch6'!H481)</f>
        <v/>
      </c>
      <c r="C735" t="str">
        <f t="shared" si="15"/>
        <v/>
      </c>
      <c r="D735" s="33"/>
      <c r="E735" s="126"/>
      <c r="F735" s="126"/>
      <c r="G735" s="707"/>
      <c r="J735" s="495"/>
    </row>
    <row r="736" spans="1:10" x14ac:dyDescent="0.35">
      <c r="B736" t="str">
        <f>IF(LEN('Ch6'!H482)=0,"",'Ch6'!H482)</f>
        <v/>
      </c>
      <c r="C736" t="str">
        <f t="shared" si="15"/>
        <v/>
      </c>
      <c r="D736" s="33"/>
      <c r="E736" s="149"/>
      <c r="F736" s="149"/>
      <c r="G736" s="709"/>
      <c r="J736" s="495"/>
    </row>
    <row r="737" spans="1:10" ht="15" customHeight="1" x14ac:dyDescent="0.35">
      <c r="B737" t="str">
        <f>IF(LEN('Ch6'!H483)=0,"",'Ch6'!H483)</f>
        <v/>
      </c>
      <c r="C737" t="str">
        <f t="shared" si="15"/>
        <v/>
      </c>
      <c r="D737" s="33"/>
      <c r="E737" s="470" t="s">
        <v>274</v>
      </c>
      <c r="F737" s="471"/>
      <c r="G737" s="742" t="s">
        <v>792</v>
      </c>
      <c r="H737" s="49">
        <f>'Ch6'!W483</f>
        <v>0</v>
      </c>
      <c r="J737" s="495"/>
    </row>
    <row r="738" spans="1:10" x14ac:dyDescent="0.35">
      <c r="B738" t="str">
        <f>IF(LEN('Ch6'!H484)=0,"",'Ch6'!H484)</f>
        <v/>
      </c>
      <c r="C738" t="str">
        <f t="shared" si="15"/>
        <v/>
      </c>
      <c r="D738" s="33"/>
      <c r="E738" s="149"/>
      <c r="F738" s="149"/>
      <c r="G738" s="709"/>
      <c r="J738" s="495"/>
    </row>
    <row r="739" spans="1:10" ht="15" customHeight="1" x14ac:dyDescent="0.35">
      <c r="B739" t="str">
        <f>IF(LEN('Ch6'!H485)=0,"",'Ch6'!H485)</f>
        <v/>
      </c>
      <c r="C739" t="str">
        <f t="shared" si="15"/>
        <v/>
      </c>
      <c r="D739" s="33"/>
      <c r="E739" s="470" t="s">
        <v>283</v>
      </c>
      <c r="F739" s="471"/>
      <c r="G739" s="742" t="s">
        <v>793</v>
      </c>
      <c r="H739" s="49">
        <f>'Ch6'!W485</f>
        <v>0</v>
      </c>
      <c r="J739" s="495"/>
    </row>
    <row r="740" spans="1:10" x14ac:dyDescent="0.35">
      <c r="B740" t="str">
        <f>IF(LEN('Ch6'!H486)=0,"",'Ch6'!H486)</f>
        <v/>
      </c>
      <c r="C740" t="str">
        <f t="shared" si="15"/>
        <v/>
      </c>
      <c r="D740" s="33"/>
      <c r="E740" s="149"/>
      <c r="F740" s="149"/>
      <c r="G740" s="709"/>
      <c r="J740" s="495"/>
    </row>
    <row r="741" spans="1:10" x14ac:dyDescent="0.35">
      <c r="B741" t="str">
        <f>IF(LEN('Ch6'!H487)=0,"",'Ch6'!H487)</f>
        <v/>
      </c>
      <c r="C741" t="str">
        <f t="shared" si="15"/>
        <v/>
      </c>
      <c r="D741" s="33"/>
      <c r="E741" s="467" t="s">
        <v>289</v>
      </c>
      <c r="F741" s="152"/>
      <c r="G741" s="220" t="s">
        <v>794</v>
      </c>
      <c r="H741" s="49">
        <f>'Ch6'!W487</f>
        <v>0</v>
      </c>
      <c r="J741" s="495"/>
    </row>
    <row r="742" spans="1:10" x14ac:dyDescent="0.35">
      <c r="B742" t="str">
        <f>IF(LEN('Ch6'!H488)=0,"",'Ch6'!H488)</f>
        <v/>
      </c>
      <c r="C742" t="str">
        <f t="shared" si="15"/>
        <v/>
      </c>
      <c r="D742" s="33"/>
      <c r="E742" s="467" t="s">
        <v>291</v>
      </c>
      <c r="F742" s="152"/>
      <c r="G742" s="220" t="s">
        <v>795</v>
      </c>
      <c r="H742" s="49">
        <f>'Ch6'!W488</f>
        <v>0</v>
      </c>
      <c r="J742" s="495"/>
    </row>
    <row r="743" spans="1:10" ht="15" customHeight="1" x14ac:dyDescent="0.35">
      <c r="B743" t="str">
        <f>IF(LEN('Ch6'!H489)=0,"",'Ch6'!H489)</f>
        <v/>
      </c>
      <c r="C743" t="str">
        <f t="shared" si="15"/>
        <v/>
      </c>
      <c r="D743" s="33"/>
      <c r="E743" s="470" t="s">
        <v>403</v>
      </c>
      <c r="F743" s="471"/>
      <c r="G743" s="742" t="s">
        <v>796</v>
      </c>
      <c r="H743" s="49">
        <f>'Ch6'!W489</f>
        <v>0</v>
      </c>
      <c r="J743" s="495"/>
    </row>
    <row r="744" spans="1:10" x14ac:dyDescent="0.35">
      <c r="B744" t="str">
        <f>IF(LEN('Ch6'!H490)=0,"",'Ch6'!H490)</f>
        <v/>
      </c>
      <c r="C744" t="str">
        <f t="shared" si="15"/>
        <v/>
      </c>
      <c r="D744" s="33"/>
      <c r="E744" s="126"/>
      <c r="F744" s="126"/>
      <c r="G744" s="707"/>
      <c r="J744" s="495"/>
    </row>
    <row r="745" spans="1:10" x14ac:dyDescent="0.35">
      <c r="B745" t="str">
        <f>IF(LEN('Ch6'!H491)=0,"",'Ch6'!H491)</f>
        <v/>
      </c>
      <c r="C745" t="str">
        <f t="shared" si="15"/>
        <v/>
      </c>
      <c r="D745" s="33"/>
      <c r="E745" s="126"/>
      <c r="F745" s="126"/>
      <c r="G745" s="707"/>
      <c r="J745" s="495"/>
    </row>
    <row r="746" spans="1:10" x14ac:dyDescent="0.35">
      <c r="B746" t="str">
        <f>IF(LEN('Ch6'!H492)=0,"",'Ch6'!H492)</f>
        <v/>
      </c>
      <c r="C746" t="str">
        <f t="shared" si="15"/>
        <v/>
      </c>
      <c r="D746" s="33"/>
      <c r="E746" s="149"/>
      <c r="F746" s="149"/>
      <c r="G746" s="709"/>
      <c r="J746" s="495"/>
    </row>
    <row r="747" spans="1:10" ht="15" customHeight="1" x14ac:dyDescent="0.35">
      <c r="B747" t="str">
        <f>IF(LEN('Ch6'!H493)=0,"",'Ch6'!H493)</f>
        <v/>
      </c>
      <c r="C747" t="str">
        <f t="shared" si="15"/>
        <v/>
      </c>
      <c r="D747" s="33"/>
      <c r="E747" s="470" t="s">
        <v>453</v>
      </c>
      <c r="F747" s="471"/>
      <c r="G747" s="742" t="s">
        <v>797</v>
      </c>
      <c r="H747" s="49">
        <f>'Ch6'!W493</f>
        <v>0</v>
      </c>
      <c r="J747" s="495"/>
    </row>
    <row r="748" spans="1:10" x14ac:dyDescent="0.35">
      <c r="B748" t="str">
        <f>IF(LEN('Ch6'!H494)=0,"",'Ch6'!H494)</f>
        <v/>
      </c>
      <c r="C748" t="str">
        <f t="shared" si="15"/>
        <v/>
      </c>
      <c r="D748" s="33"/>
      <c r="E748" s="149"/>
      <c r="F748" s="149"/>
      <c r="G748" s="709"/>
      <c r="J748" s="495"/>
    </row>
    <row r="749" spans="1:10" ht="15" customHeight="1" x14ac:dyDescent="0.35">
      <c r="B749" t="str">
        <f>IF(LEN('Ch6'!H495)=0,"",'Ch6'!H495)</f>
        <v/>
      </c>
      <c r="C749" t="str">
        <f t="shared" si="15"/>
        <v/>
      </c>
      <c r="D749" s="33"/>
      <c r="E749" s="441" t="s">
        <v>455</v>
      </c>
      <c r="F749" s="126"/>
      <c r="G749" s="707" t="s">
        <v>798</v>
      </c>
      <c r="H749" s="49" t="b">
        <f>'Ch6'!W495</f>
        <v>1</v>
      </c>
      <c r="J749" s="495"/>
    </row>
    <row r="750" spans="1:10" x14ac:dyDescent="0.35">
      <c r="B750" t="str">
        <f>IF(LEN('Ch6'!H496)=0,"",'Ch6'!H496)</f>
        <v/>
      </c>
      <c r="C750" t="str">
        <f t="shared" si="15"/>
        <v/>
      </c>
      <c r="D750" s="33"/>
      <c r="E750" s="126"/>
      <c r="F750" s="126"/>
      <c r="G750" s="707"/>
      <c r="J750" s="495"/>
    </row>
    <row r="751" spans="1:10" ht="15.75" customHeight="1" thickTop="1" x14ac:dyDescent="0.35">
      <c r="A751" s="403" t="str">
        <f>IF('Ch6'!O497&gt;0,"P","")</f>
        <v/>
      </c>
      <c r="B751" t="str">
        <f>IF(LEN('Ch6'!H497)=0,"",'Ch6'!H497)</f>
        <v/>
      </c>
      <c r="C751" t="str">
        <f t="shared" si="15"/>
        <v/>
      </c>
      <c r="D751" s="63">
        <v>611.4</v>
      </c>
      <c r="E751" s="466"/>
      <c r="F751" s="466"/>
      <c r="G751" s="711" t="s">
        <v>799</v>
      </c>
      <c r="I751" s="49">
        <f>'Ch6'!O497</f>
        <v>0</v>
      </c>
      <c r="J751" s="485"/>
    </row>
    <row r="752" spans="1:10" x14ac:dyDescent="0.35">
      <c r="A752" s="403" t="str">
        <f>A751</f>
        <v/>
      </c>
      <c r="B752" t="str">
        <f>IF(LEN('Ch6'!H498)=0,"",'Ch6'!H498)</f>
        <v/>
      </c>
      <c r="C752" t="str">
        <f t="shared" si="15"/>
        <v/>
      </c>
      <c r="D752" s="33"/>
      <c r="E752" s="126"/>
      <c r="F752" s="126"/>
      <c r="G752" s="706"/>
      <c r="J752" s="485"/>
    </row>
    <row r="753" spans="1:10" x14ac:dyDescent="0.35">
      <c r="A753" s="403" t="str">
        <f>A752</f>
        <v/>
      </c>
      <c r="B753" t="str">
        <f>IF(LEN('Ch6'!H499)=0,"",'Ch6'!H499)</f>
        <v/>
      </c>
      <c r="C753" t="str">
        <f t="shared" si="15"/>
        <v/>
      </c>
      <c r="D753" s="33"/>
      <c r="E753" s="126"/>
      <c r="F753" s="126"/>
      <c r="G753" s="706"/>
      <c r="J753" s="485"/>
    </row>
    <row r="754" spans="1:10" x14ac:dyDescent="0.35">
      <c r="A754" s="403" t="str">
        <f>A753</f>
        <v/>
      </c>
      <c r="B754" t="str">
        <f>IF(LEN('Ch6'!H500)=0,"",'Ch6'!H500)</f>
        <v/>
      </c>
      <c r="C754" t="str">
        <f t="shared" si="15"/>
        <v/>
      </c>
      <c r="D754" s="33"/>
      <c r="E754" s="126"/>
      <c r="F754" s="126"/>
      <c r="G754" s="706"/>
      <c r="J754" s="485"/>
    </row>
    <row r="755" spans="1:10" x14ac:dyDescent="0.35">
      <c r="A755" s="403" t="str">
        <f>A754</f>
        <v/>
      </c>
      <c r="B755" t="str">
        <f>IF(LEN('Ch6'!H501)=0,"",'Ch6'!H501)</f>
        <v/>
      </c>
      <c r="C755" t="str">
        <f t="shared" si="15"/>
        <v/>
      </c>
      <c r="D755" s="442"/>
      <c r="E755" s="149"/>
      <c r="F755" s="149"/>
      <c r="G755" s="739"/>
      <c r="J755" s="485"/>
    </row>
    <row r="756" spans="1:10" ht="15" customHeight="1" x14ac:dyDescent="0.35">
      <c r="A756" s="600" t="str">
        <f>IF(COUNTIF(A757,"P")&gt;0,"P","")</f>
        <v/>
      </c>
      <c r="B756" t="str">
        <f>IF(LEN('Ch6'!H502)=0,"",'Ch6'!H502)</f>
        <v/>
      </c>
      <c r="C756" t="str">
        <f t="shared" si="15"/>
        <v/>
      </c>
      <c r="D756" s="33" t="s">
        <v>800</v>
      </c>
      <c r="E756" s="126"/>
      <c r="F756" s="126"/>
      <c r="G756" s="738" t="s">
        <v>801</v>
      </c>
      <c r="J756" s="819" t="s">
        <v>4286</v>
      </c>
    </row>
    <row r="757" spans="1:10" ht="15" customHeight="1" x14ac:dyDescent="0.35">
      <c r="A757" s="403" t="str">
        <f>IF(AND(LEN('Ch6'!W503)&gt;0,NOT('Ch6'!W503=FALSE)),"P","")</f>
        <v/>
      </c>
      <c r="B757" t="str">
        <f>IF(LEN('Ch6'!H503)=0,"",'Ch6'!H503)</f>
        <v/>
      </c>
      <c r="C757" t="str">
        <f t="shared" si="15"/>
        <v/>
      </c>
      <c r="D757" s="33"/>
      <c r="E757" s="126"/>
      <c r="F757" s="126"/>
      <c r="G757" s="738"/>
      <c r="H757" s="49">
        <f>'Ch6'!W503</f>
        <v>0</v>
      </c>
      <c r="J757" s="819"/>
    </row>
    <row r="758" spans="1:10" x14ac:dyDescent="0.35">
      <c r="A758" s="403" t="str">
        <f t="shared" ref="A758:A763" si="16">A757</f>
        <v/>
      </c>
      <c r="B758" t="str">
        <f>IF(LEN('Ch6'!H504)=0,"",'Ch6'!H504)</f>
        <v/>
      </c>
      <c r="C758" t="str">
        <f t="shared" si="15"/>
        <v/>
      </c>
      <c r="D758" s="33"/>
      <c r="E758" s="126"/>
      <c r="F758" s="126"/>
      <c r="G758" s="738"/>
      <c r="J758" s="819"/>
    </row>
    <row r="759" spans="1:10" x14ac:dyDescent="0.35">
      <c r="A759" s="403" t="str">
        <f t="shared" si="16"/>
        <v/>
      </c>
      <c r="B759" t="str">
        <f>IF(LEN('Ch6'!H505)=0,"",'Ch6'!H505)</f>
        <v/>
      </c>
      <c r="C759" t="str">
        <f t="shared" si="15"/>
        <v/>
      </c>
      <c r="D759" s="33"/>
      <c r="E759" s="126"/>
      <c r="F759" s="126"/>
      <c r="G759" s="738"/>
      <c r="J759" s="819"/>
    </row>
    <row r="760" spans="1:10" x14ac:dyDescent="0.35">
      <c r="A760" s="403" t="str">
        <f t="shared" si="16"/>
        <v/>
      </c>
      <c r="B760" t="str">
        <f>IF(LEN('Ch6'!H506)=0,"",'Ch6'!H506)</f>
        <v/>
      </c>
      <c r="C760" t="str">
        <f t="shared" si="15"/>
        <v/>
      </c>
      <c r="D760" s="33"/>
      <c r="E760" s="126"/>
      <c r="F760" s="126"/>
      <c r="G760" s="738"/>
      <c r="J760" s="819"/>
    </row>
    <row r="761" spans="1:10" x14ac:dyDescent="0.35">
      <c r="A761" s="403" t="str">
        <f t="shared" si="16"/>
        <v/>
      </c>
      <c r="B761" t="str">
        <f>IF(LEN('Ch6'!H507)=0,"",'Ch6'!H507)</f>
        <v/>
      </c>
      <c r="C761" t="str">
        <f t="shared" si="15"/>
        <v/>
      </c>
      <c r="D761" s="33"/>
      <c r="E761" s="126"/>
      <c r="F761" s="126"/>
      <c r="G761" s="738"/>
      <c r="J761" s="819"/>
    </row>
    <row r="762" spans="1:10" x14ac:dyDescent="0.35">
      <c r="A762" s="403" t="str">
        <f t="shared" si="16"/>
        <v/>
      </c>
      <c r="B762" t="str">
        <f>IF(LEN('Ch6'!H508)=0,"",'Ch6'!H508)</f>
        <v/>
      </c>
      <c r="C762" t="str">
        <f t="shared" si="15"/>
        <v/>
      </c>
      <c r="D762" s="33"/>
      <c r="E762" s="126"/>
      <c r="F762" s="126"/>
      <c r="G762" s="738"/>
      <c r="J762" s="819"/>
    </row>
    <row r="763" spans="1:10" x14ac:dyDescent="0.35">
      <c r="A763" s="403" t="str">
        <f t="shared" si="16"/>
        <v/>
      </c>
      <c r="B763" t="str">
        <f>IF(LEN('Ch6'!H509)=0,"",'Ch6'!H509)</f>
        <v/>
      </c>
      <c r="C763" t="str">
        <f t="shared" si="15"/>
        <v/>
      </c>
      <c r="D763" s="33"/>
      <c r="E763" s="126"/>
      <c r="F763" s="126"/>
      <c r="G763" s="738"/>
      <c r="J763" s="819"/>
    </row>
    <row r="764" spans="1:10" x14ac:dyDescent="0.35">
      <c r="B764" t="str">
        <f>IF(LEN('Ch6'!H510)=0,"",'Ch6'!H510)</f>
        <v/>
      </c>
      <c r="C764" t="str">
        <f t="shared" si="15"/>
        <v/>
      </c>
      <c r="D764" s="442"/>
      <c r="E764" s="149"/>
      <c r="F764" s="149"/>
      <c r="G764" s="121" t="s">
        <v>3340</v>
      </c>
      <c r="J764" s="485"/>
    </row>
    <row r="765" spans="1:10" ht="15" customHeight="1" x14ac:dyDescent="0.35">
      <c r="A765" s="600" t="str">
        <f>IF(COUNTIF(A767,"P")&gt;0,"P","")</f>
        <v/>
      </c>
      <c r="B765" t="str">
        <f>IF(LEN('Ch6'!H511)=0,"",'Ch6'!H511)</f>
        <v/>
      </c>
      <c r="C765" t="str">
        <f t="shared" si="15"/>
        <v/>
      </c>
      <c r="D765" s="33" t="s">
        <v>802</v>
      </c>
      <c r="E765" s="126"/>
      <c r="F765" s="126"/>
      <c r="G765" s="738" t="s">
        <v>803</v>
      </c>
      <c r="J765" s="819" t="s">
        <v>4287</v>
      </c>
    </row>
    <row r="766" spans="1:10" x14ac:dyDescent="0.35">
      <c r="A766" s="403" t="str">
        <f>A765</f>
        <v/>
      </c>
      <c r="B766" t="str">
        <f>IF(LEN('Ch6'!H512)=0,"",'Ch6'!H512)</f>
        <v/>
      </c>
      <c r="C766" t="str">
        <f t="shared" si="15"/>
        <v/>
      </c>
      <c r="D766" s="33"/>
      <c r="E766" s="126"/>
      <c r="F766" s="126"/>
      <c r="G766" s="738"/>
      <c r="J766" s="819"/>
    </row>
    <row r="767" spans="1:10" x14ac:dyDescent="0.35">
      <c r="A767" s="403" t="str">
        <f>IF(AND(LEN('Ch6'!W513)&gt;0,NOT('Ch6'!W513=FALSE)),"P","")</f>
        <v/>
      </c>
      <c r="B767" t="str">
        <f>IF(LEN('Ch6'!H513)=0,"",'Ch6'!H513)</f>
        <v/>
      </c>
      <c r="C767" t="str">
        <f t="shared" si="15"/>
        <v/>
      </c>
      <c r="D767" s="33"/>
      <c r="E767" s="126"/>
      <c r="F767" s="126"/>
      <c r="G767" s="738"/>
      <c r="H767" s="49">
        <f>'Ch6'!W513</f>
        <v>0</v>
      </c>
      <c r="J767" s="819"/>
    </row>
    <row r="768" spans="1:10" x14ac:dyDescent="0.35">
      <c r="A768" s="403" t="str">
        <f>A767</f>
        <v/>
      </c>
      <c r="B768" t="str">
        <f>IF(LEN('Ch6'!H514)=0,"",'Ch6'!H514)</f>
        <v/>
      </c>
      <c r="C768" t="str">
        <f t="shared" si="15"/>
        <v/>
      </c>
      <c r="D768" s="33"/>
      <c r="E768" s="126"/>
      <c r="F768" s="126"/>
      <c r="G768" s="738"/>
      <c r="J768" s="819"/>
    </row>
    <row r="769" spans="1:10" x14ac:dyDescent="0.35">
      <c r="A769" s="403" t="str">
        <f>A768</f>
        <v/>
      </c>
      <c r="B769" t="str">
        <f>IF(LEN('Ch6'!H515)=0,"",'Ch6'!H515)</f>
        <v/>
      </c>
      <c r="C769" t="str">
        <f t="shared" si="15"/>
        <v/>
      </c>
      <c r="D769" s="33"/>
      <c r="E769" s="126"/>
      <c r="F769" s="126"/>
      <c r="G769" s="738"/>
      <c r="J769" s="819"/>
    </row>
    <row r="770" spans="1:10" x14ac:dyDescent="0.35">
      <c r="A770" s="403" t="str">
        <f>A769</f>
        <v/>
      </c>
      <c r="B770" t="str">
        <f>IF(LEN('Ch6'!H516)=0,"",'Ch6'!H516)</f>
        <v/>
      </c>
      <c r="C770" t="str">
        <f t="shared" si="15"/>
        <v/>
      </c>
      <c r="D770" s="33"/>
      <c r="E770" s="126"/>
      <c r="F770" s="126"/>
      <c r="G770" s="738"/>
      <c r="J770" s="819"/>
    </row>
    <row r="771" spans="1:10" ht="15" thickBot="1" x14ac:dyDescent="0.4">
      <c r="B771" t="str">
        <f>IF(LEN('Ch6'!H517)=0,"",'Ch6'!H517)</f>
        <v/>
      </c>
      <c r="C771" t="str">
        <f t="shared" si="15"/>
        <v/>
      </c>
      <c r="D771" s="455"/>
      <c r="E771" s="455"/>
      <c r="F771" s="455"/>
      <c r="G771" s="122" t="s">
        <v>3340</v>
      </c>
      <c r="J771" s="485"/>
    </row>
    <row r="772" spans="1:10" ht="19" thickTop="1" x14ac:dyDescent="0.45">
      <c r="A772" s="403" t="s">
        <v>4326</v>
      </c>
      <c r="B772" t="str">
        <f>IF(LEN('Ch7'!H9)=0,"",'Ch7'!H9)</f>
        <v/>
      </c>
      <c r="C772" t="str">
        <f t="shared" si="15"/>
        <v>P</v>
      </c>
      <c r="D772" s="42" t="s">
        <v>944</v>
      </c>
      <c r="E772" s="42"/>
      <c r="F772" s="42"/>
      <c r="G772" s="15"/>
      <c r="H772" s="15"/>
      <c r="I772" s="15"/>
      <c r="J772" s="497"/>
    </row>
    <row r="773" spans="1:10" ht="15" customHeight="1" x14ac:dyDescent="0.35">
      <c r="B773" t="str">
        <f>IF(LEN('Ch7'!H10)=0,"",'Ch7'!H10)</f>
        <v/>
      </c>
      <c r="C773" t="str">
        <f t="shared" si="15"/>
        <v/>
      </c>
      <c r="D773" s="135">
        <v>701.1</v>
      </c>
      <c r="E773" s="378"/>
      <c r="F773" s="320"/>
      <c r="G773" s="753" t="s">
        <v>945</v>
      </c>
      <c r="J773" s="485"/>
    </row>
    <row r="774" spans="1:10" x14ac:dyDescent="0.35">
      <c r="B774" t="str">
        <f>IF(LEN('Ch7'!H11)=0,"",'Ch7'!H11)</f>
        <v/>
      </c>
      <c r="C774" t="str">
        <f t="shared" si="15"/>
        <v/>
      </c>
      <c r="D774" s="32"/>
      <c r="E774" s="175"/>
      <c r="F774" s="104"/>
      <c r="G774" s="706"/>
      <c r="J774" s="485"/>
    </row>
    <row r="775" spans="1:10" ht="15" customHeight="1" x14ac:dyDescent="0.35">
      <c r="B775" t="str">
        <f>IF(LEN('Ch7'!H12)=0,"",'Ch7'!H12)</f>
        <v/>
      </c>
      <c r="C775" t="str">
        <f t="shared" si="15"/>
        <v/>
      </c>
      <c r="D775" s="32"/>
      <c r="E775" s="175"/>
      <c r="F775" s="104"/>
      <c r="G775" s="706"/>
      <c r="H775" s="49" t="str">
        <f>'Ch7'!W12</f>
        <v>Prescriptive Path</v>
      </c>
      <c r="J775" s="490"/>
    </row>
    <row r="776" spans="1:10" x14ac:dyDescent="0.35">
      <c r="B776" t="str">
        <f>IF(LEN('Ch7'!H13)=0,"",'Ch7'!H13)</f>
        <v/>
      </c>
      <c r="C776" t="str">
        <f t="shared" si="15"/>
        <v/>
      </c>
      <c r="D776" s="32"/>
      <c r="E776" s="175"/>
      <c r="F776" s="104"/>
      <c r="G776" s="706"/>
      <c r="H776" s="484">
        <f>IFERROR(MATCH(H775,dd701_,0),0)</f>
        <v>0</v>
      </c>
      <c r="J776" s="502"/>
    </row>
    <row r="777" spans="1:10" ht="15" customHeight="1" x14ac:dyDescent="0.35">
      <c r="D777" s="32"/>
      <c r="E777" s="175"/>
      <c r="F777" s="104"/>
      <c r="G777" s="714" t="s">
        <v>4780</v>
      </c>
      <c r="H777"/>
      <c r="J777" s="587"/>
    </row>
    <row r="778" spans="1:10" x14ac:dyDescent="0.35">
      <c r="D778" s="32"/>
      <c r="E778" s="175"/>
      <c r="F778" s="104"/>
      <c r="G778" s="714"/>
      <c r="H778"/>
      <c r="J778" s="587"/>
    </row>
    <row r="779" spans="1:10" x14ac:dyDescent="0.35">
      <c r="D779" s="161"/>
      <c r="E779" s="359"/>
      <c r="F779" s="214"/>
      <c r="G779" s="714"/>
      <c r="H779"/>
      <c r="J779" s="587"/>
    </row>
    <row r="780" spans="1:10" ht="15" customHeight="1" x14ac:dyDescent="0.35">
      <c r="A780" s="403" t="str">
        <f>IF(H776=1,"P","")</f>
        <v/>
      </c>
      <c r="B780" t="str">
        <f>IF(LEN('Ch7'!H17)=0,"",'Ch7'!H17)</f>
        <v/>
      </c>
      <c r="C780" t="str">
        <f t="shared" ref="C780:C843" si="17">IF(LEN(B780)=0,IF(A780="P","P",""),B780)</f>
        <v/>
      </c>
      <c r="D780" s="444" t="s">
        <v>946</v>
      </c>
      <c r="E780" s="439"/>
      <c r="F780" s="439"/>
      <c r="G780" s="753" t="s">
        <v>947</v>
      </c>
      <c r="J780" s="804" t="s">
        <v>4752</v>
      </c>
    </row>
    <row r="781" spans="1:10" ht="37.5" customHeight="1" x14ac:dyDescent="0.35">
      <c r="A781" s="403" t="str">
        <f>A780</f>
        <v/>
      </c>
      <c r="B781" t="str">
        <f>IF(LEN('Ch7'!H18)=0,"",'Ch7'!H18)</f>
        <v/>
      </c>
      <c r="C781" t="str">
        <f t="shared" si="17"/>
        <v/>
      </c>
      <c r="D781" s="149"/>
      <c r="E781" s="193"/>
      <c r="F781" s="193"/>
      <c r="G781" s="739"/>
      <c r="J781" s="806"/>
    </row>
    <row r="782" spans="1:10" x14ac:dyDescent="0.35">
      <c r="A782" s="403" t="str">
        <f>IF(H776=2,"P","")</f>
        <v/>
      </c>
      <c r="B782" t="str">
        <f>IF(LEN('Ch7'!H19)=0,"",'Ch7'!H19)</f>
        <v/>
      </c>
      <c r="C782" t="str">
        <f t="shared" si="17"/>
        <v/>
      </c>
      <c r="D782" s="444" t="s">
        <v>948</v>
      </c>
      <c r="E782" s="439"/>
      <c r="F782" s="439"/>
      <c r="G782" s="753" t="s">
        <v>949</v>
      </c>
      <c r="J782" s="821" t="s">
        <v>4177</v>
      </c>
    </row>
    <row r="783" spans="1:10" ht="15" thickBot="1" x14ac:dyDescent="0.4">
      <c r="A783" s="403" t="str">
        <f t="shared" ref="A783:A784" si="18">A782</f>
        <v/>
      </c>
      <c r="B783" t="str">
        <f>IF(LEN('Ch7'!H20)=0,"",'Ch7'!H20)</f>
        <v/>
      </c>
      <c r="C783" t="str">
        <f t="shared" si="17"/>
        <v/>
      </c>
      <c r="D783" s="126"/>
      <c r="E783" s="103"/>
      <c r="F783" s="103"/>
      <c r="G783" s="706"/>
      <c r="J783" s="821"/>
    </row>
    <row r="784" spans="1:10" ht="15" thickBot="1" x14ac:dyDescent="0.4">
      <c r="A784" s="403" t="str">
        <f t="shared" si="18"/>
        <v/>
      </c>
      <c r="B784" t="str">
        <f>IF(LEN('Ch7'!H21)=0,"",'Ch7'!H21)</f>
        <v/>
      </c>
      <c r="C784" t="str">
        <f t="shared" si="17"/>
        <v/>
      </c>
      <c r="D784" s="149"/>
      <c r="E784" s="193"/>
      <c r="F784" s="193"/>
      <c r="G784" s="739"/>
      <c r="J784" s="821"/>
    </row>
    <row r="785" spans="1:10" ht="15" thickBot="1" x14ac:dyDescent="0.4">
      <c r="A785" s="403" t="str">
        <f>IF(H776=3,"P","")</f>
        <v/>
      </c>
      <c r="B785" t="str">
        <f>IF(LEN('Ch7'!H22)=0,"",'Ch7'!H22)</f>
        <v/>
      </c>
      <c r="C785" t="str">
        <f t="shared" si="17"/>
        <v/>
      </c>
      <c r="D785" s="33" t="s">
        <v>950</v>
      </c>
      <c r="E785" s="103"/>
      <c r="F785" s="103"/>
      <c r="G785" s="706" t="s">
        <v>951</v>
      </c>
      <c r="J785" s="827" t="s">
        <v>4334</v>
      </c>
    </row>
    <row r="786" spans="1:10" ht="15" thickBot="1" x14ac:dyDescent="0.4">
      <c r="A786" s="403" t="str">
        <f t="shared" ref="A786:A787" si="19">A785</f>
        <v/>
      </c>
      <c r="B786" t="str">
        <f>IF(LEN('Ch7'!H23)=0,"",'Ch7'!H23)</f>
        <v/>
      </c>
      <c r="C786" t="str">
        <f t="shared" si="17"/>
        <v/>
      </c>
      <c r="D786" s="126"/>
      <c r="E786" s="103"/>
      <c r="F786" s="103"/>
      <c r="G786" s="706"/>
      <c r="J786" s="827"/>
    </row>
    <row r="787" spans="1:10" ht="15" thickBot="1" x14ac:dyDescent="0.4">
      <c r="A787" s="403" t="str">
        <f t="shared" si="19"/>
        <v/>
      </c>
      <c r="B787" t="str">
        <f>IF(LEN('Ch7'!H24)=0,"",'Ch7'!H24)</f>
        <v/>
      </c>
      <c r="C787" t="str">
        <f t="shared" si="17"/>
        <v/>
      </c>
      <c r="D787" s="149"/>
      <c r="E787" s="193"/>
      <c r="F787" s="193"/>
      <c r="G787" s="739"/>
      <c r="J787" s="827"/>
    </row>
    <row r="788" spans="1:10" ht="15" customHeight="1" x14ac:dyDescent="0.35">
      <c r="A788" s="403" t="str">
        <f>IF(H776=4,"P","")</f>
        <v/>
      </c>
      <c r="B788" t="str">
        <f>IF(LEN('Ch7'!H25)=0,"",'Ch7'!H25)</f>
        <v/>
      </c>
      <c r="C788" t="str">
        <f t="shared" si="17"/>
        <v/>
      </c>
      <c r="D788" s="33" t="s">
        <v>952</v>
      </c>
      <c r="E788" s="103"/>
      <c r="F788" s="103"/>
      <c r="G788" s="706" t="s">
        <v>953</v>
      </c>
      <c r="I788" s="49">
        <f ca="1">'Ch7'!O25</f>
        <v>0</v>
      </c>
      <c r="J788" s="819" t="s">
        <v>4335</v>
      </c>
    </row>
    <row r="789" spans="1:10" ht="15" thickBot="1" x14ac:dyDescent="0.4">
      <c r="A789" s="403" t="str">
        <f t="shared" ref="A789:A795" si="20">A788</f>
        <v/>
      </c>
      <c r="B789" t="str">
        <f>IF(LEN('Ch7'!H26)=0,"",'Ch7'!H26)</f>
        <v/>
      </c>
      <c r="C789" t="str">
        <f t="shared" si="17"/>
        <v/>
      </c>
      <c r="D789" s="126"/>
      <c r="E789" s="103"/>
      <c r="F789" s="103"/>
      <c r="G789" s="706"/>
      <c r="H789" s="49">
        <f>'Ch7'!W26</f>
        <v>0</v>
      </c>
      <c r="J789" s="819"/>
    </row>
    <row r="790" spans="1:10" ht="15" thickBot="1" x14ac:dyDescent="0.4">
      <c r="A790" s="403" t="str">
        <f t="shared" si="20"/>
        <v/>
      </c>
      <c r="B790" t="str">
        <f>IF(LEN('Ch7'!H27)=0,"",'Ch7'!H27)</f>
        <v/>
      </c>
      <c r="C790" t="str">
        <f t="shared" si="17"/>
        <v/>
      </c>
      <c r="D790" s="126"/>
      <c r="E790" s="103"/>
      <c r="F790" s="103"/>
      <c r="G790" s="706"/>
      <c r="J790" s="819"/>
    </row>
    <row r="791" spans="1:10" ht="15" thickBot="1" x14ac:dyDescent="0.4">
      <c r="A791" s="403" t="str">
        <f t="shared" si="20"/>
        <v/>
      </c>
      <c r="B791" t="str">
        <f>IF(LEN('Ch7'!H28)=0,"",'Ch7'!H28)</f>
        <v/>
      </c>
      <c r="C791" t="str">
        <f t="shared" si="17"/>
        <v/>
      </c>
      <c r="D791" s="126"/>
      <c r="E791" s="103"/>
      <c r="F791" s="103"/>
      <c r="G791" s="706"/>
      <c r="J791" s="819"/>
    </row>
    <row r="792" spans="1:10" ht="15" thickBot="1" x14ac:dyDescent="0.4">
      <c r="A792" s="403" t="str">
        <f t="shared" si="20"/>
        <v/>
      </c>
      <c r="B792" t="str">
        <f>IF(LEN('Ch7'!H29)=0,"",'Ch7'!H29)</f>
        <v/>
      </c>
      <c r="C792" t="str">
        <f t="shared" si="17"/>
        <v/>
      </c>
      <c r="D792" s="126"/>
      <c r="E792" s="103"/>
      <c r="F792" s="103"/>
      <c r="G792" s="706"/>
      <c r="J792" s="819"/>
    </row>
    <row r="793" spans="1:10" ht="15" thickBot="1" x14ac:dyDescent="0.4">
      <c r="A793" s="403" t="str">
        <f t="shared" si="20"/>
        <v/>
      </c>
      <c r="B793" t="str">
        <f>IF(LEN('Ch7'!H30)=0,"",'Ch7'!H30)</f>
        <v/>
      </c>
      <c r="C793" t="str">
        <f t="shared" si="17"/>
        <v/>
      </c>
      <c r="D793" s="126"/>
      <c r="E793" s="103"/>
      <c r="F793" s="103"/>
      <c r="G793" s="706"/>
      <c r="J793" s="819"/>
    </row>
    <row r="794" spans="1:10" ht="15" thickBot="1" x14ac:dyDescent="0.4">
      <c r="A794" s="403" t="str">
        <f t="shared" si="20"/>
        <v/>
      </c>
      <c r="B794" t="str">
        <f>IF(LEN('Ch7'!H31)=0,"",'Ch7'!H31)</f>
        <v/>
      </c>
      <c r="C794" t="str">
        <f t="shared" si="17"/>
        <v/>
      </c>
      <c r="D794" s="126"/>
      <c r="E794" s="103"/>
      <c r="F794" s="103"/>
      <c r="G794" s="706"/>
      <c r="J794" s="819"/>
    </row>
    <row r="795" spans="1:10" ht="15" thickBot="1" x14ac:dyDescent="0.4">
      <c r="A795" s="403" t="str">
        <f t="shared" si="20"/>
        <v/>
      </c>
      <c r="B795" t="str">
        <f>IF(LEN('Ch7'!H32)=0,"",'Ch7'!H32)</f>
        <v/>
      </c>
      <c r="C795" t="str">
        <f t="shared" si="17"/>
        <v/>
      </c>
      <c r="D795" s="448"/>
      <c r="E795" s="438"/>
      <c r="F795" s="438"/>
      <c r="G795" s="710"/>
      <c r="J795" s="819"/>
    </row>
    <row r="796" spans="1:10" ht="15.5" thickTop="1" thickBot="1" x14ac:dyDescent="0.4">
      <c r="B796" t="str">
        <f>IF(LEN('Ch7'!H33)=0,"",'Ch7'!H33)</f>
        <v/>
      </c>
      <c r="C796" t="str">
        <f t="shared" si="17"/>
        <v/>
      </c>
      <c r="D796" s="63">
        <v>701.2</v>
      </c>
      <c r="E796" s="475"/>
      <c r="F796" s="475"/>
      <c r="G796" s="711" t="s">
        <v>954</v>
      </c>
      <c r="J796" s="485"/>
    </row>
    <row r="797" spans="1:10" ht="15" thickBot="1" x14ac:dyDescent="0.4">
      <c r="B797" t="str">
        <f>IF(LEN('Ch7'!H34)=0,"",'Ch7'!H34)</f>
        <v/>
      </c>
      <c r="C797" t="str">
        <f t="shared" si="17"/>
        <v/>
      </c>
      <c r="D797" s="448"/>
      <c r="E797" s="438"/>
      <c r="F797" s="438"/>
      <c r="G797" s="710"/>
      <c r="J797" s="485"/>
    </row>
    <row r="798" spans="1:10" ht="15.75" customHeight="1" thickTop="1" x14ac:dyDescent="0.35">
      <c r="A798" s="403" t="s">
        <v>4326</v>
      </c>
      <c r="B798" t="str">
        <f>IF(LEN('Ch7'!H35)=0,"",'Ch7'!H35)</f>
        <v/>
      </c>
      <c r="C798" t="str">
        <f t="shared" si="17"/>
        <v>P</v>
      </c>
      <c r="D798" s="63">
        <v>701.3</v>
      </c>
      <c r="E798" s="475"/>
      <c r="F798" s="475"/>
      <c r="G798" s="711" t="s">
        <v>955</v>
      </c>
      <c r="H798" s="49" t="b">
        <f>'Ch7'!W35</f>
        <v>1</v>
      </c>
      <c r="J798" s="819" t="s">
        <v>4288</v>
      </c>
    </row>
    <row r="799" spans="1:10" ht="66.75" customHeight="1" x14ac:dyDescent="0.35">
      <c r="A799" s="403" t="s">
        <v>4326</v>
      </c>
      <c r="B799" t="str">
        <f>IF(LEN('Ch7'!H36)=0,"",'Ch7'!H36)</f>
        <v/>
      </c>
      <c r="C799" t="str">
        <f t="shared" si="17"/>
        <v>P</v>
      </c>
      <c r="D799" s="126"/>
      <c r="E799" s="103"/>
      <c r="F799" s="103"/>
      <c r="G799" s="706"/>
      <c r="J799" s="819"/>
    </row>
    <row r="800" spans="1:10" ht="15" thickBot="1" x14ac:dyDescent="0.4">
      <c r="B800" t="str">
        <f>IF(LEN('Ch7'!H37)=0,"",'Ch7'!H37)</f>
        <v/>
      </c>
      <c r="C800" t="str">
        <f t="shared" si="17"/>
        <v/>
      </c>
      <c r="D800" s="448"/>
      <c r="E800" s="438"/>
      <c r="F800" s="438"/>
      <c r="G800" s="122" t="s">
        <v>3599</v>
      </c>
      <c r="J800" s="485"/>
    </row>
    <row r="801" spans="1:10" ht="15" thickTop="1" x14ac:dyDescent="0.35">
      <c r="A801" s="403" t="str">
        <f>IF($H$776&lt;&gt;4,"P","")</f>
        <v>P</v>
      </c>
      <c r="B801" t="str">
        <f>IF(LEN('Ch7'!H38)=0,"",'Ch7'!H38)</f>
        <v/>
      </c>
      <c r="C801" t="str">
        <f t="shared" si="17"/>
        <v>P</v>
      </c>
      <c r="D801" s="63">
        <v>701.4</v>
      </c>
      <c r="E801" s="475"/>
      <c r="F801" s="475"/>
      <c r="G801" s="222" t="s">
        <v>956</v>
      </c>
      <c r="J801" s="485"/>
    </row>
    <row r="802" spans="1:10" x14ac:dyDescent="0.35">
      <c r="A802" s="403" t="str">
        <f>A801</f>
        <v>P</v>
      </c>
      <c r="B802" t="str">
        <f>IF(LEN('Ch7'!H39)=0,"",'Ch7'!H39)</f>
        <v/>
      </c>
      <c r="C802" t="str">
        <f t="shared" si="17"/>
        <v>P</v>
      </c>
      <c r="D802" s="442" t="s">
        <v>957</v>
      </c>
      <c r="E802" s="193"/>
      <c r="F802" s="193"/>
      <c r="G802" s="361" t="s">
        <v>958</v>
      </c>
      <c r="J802" s="485"/>
    </row>
    <row r="803" spans="1:10" x14ac:dyDescent="0.35">
      <c r="A803" s="403" t="str">
        <f>IF(AND(LEN('Ch7'!W40)&gt;0,NOT('Ch7'!W40=FALSE)),"P","")</f>
        <v>P</v>
      </c>
      <c r="B803" t="str">
        <f>IF(LEN('Ch7'!H40)=0,"",'Ch7'!H40)</f>
        <v/>
      </c>
      <c r="C803" t="str">
        <f t="shared" si="17"/>
        <v>P</v>
      </c>
      <c r="D803" s="444" t="s">
        <v>959</v>
      </c>
      <c r="E803" s="439"/>
      <c r="F803" s="439"/>
      <c r="G803" s="753" t="s">
        <v>960</v>
      </c>
      <c r="H803" s="49" t="b">
        <f>'Ch7'!W40</f>
        <v>1</v>
      </c>
      <c r="J803" s="819" t="s">
        <v>4301</v>
      </c>
    </row>
    <row r="804" spans="1:10" x14ac:dyDescent="0.35">
      <c r="A804" s="403" t="str">
        <f>A803</f>
        <v>P</v>
      </c>
      <c r="B804" t="str">
        <f>IF(LEN('Ch7'!H41)=0,"",'Ch7'!H41)</f>
        <v/>
      </c>
      <c r="C804" t="str">
        <f t="shared" si="17"/>
        <v>P</v>
      </c>
      <c r="D804" s="126"/>
      <c r="E804" s="103"/>
      <c r="F804" s="103"/>
      <c r="G804" s="706"/>
      <c r="J804" s="819"/>
    </row>
    <row r="805" spans="1:10" x14ac:dyDescent="0.35">
      <c r="A805" s="403" t="str">
        <f>A804</f>
        <v>P</v>
      </c>
      <c r="B805" t="str">
        <f>IF(LEN('Ch7'!H42)=0,"",'Ch7'!H42)</f>
        <v/>
      </c>
      <c r="C805" t="str">
        <f t="shared" si="17"/>
        <v>P</v>
      </c>
      <c r="D805" s="149"/>
      <c r="E805" s="193"/>
      <c r="F805" s="193"/>
      <c r="G805" s="739"/>
      <c r="J805" s="819"/>
    </row>
    <row r="806" spans="1:10" ht="15" customHeight="1" x14ac:dyDescent="0.35">
      <c r="A806" s="403" t="str">
        <f>IF(AND(LEN('Ch7'!W43)&gt;0,NOT('Ch7'!W43=FALSE)),"P","")</f>
        <v>P</v>
      </c>
      <c r="B806" t="str">
        <f>IF(LEN('Ch7'!H43)=0,"",'Ch7'!H43)</f>
        <v/>
      </c>
      <c r="C806" t="str">
        <f t="shared" si="17"/>
        <v>P</v>
      </c>
      <c r="D806" s="444" t="s">
        <v>961</v>
      </c>
      <c r="E806" s="439"/>
      <c r="F806" s="439"/>
      <c r="G806" s="753" t="s">
        <v>962</v>
      </c>
      <c r="H806" s="49" t="str">
        <f>'Ch7'!W43</f>
        <v>No Radiant or Hydronic</v>
      </c>
      <c r="J806" s="819" t="s">
        <v>4289</v>
      </c>
    </row>
    <row r="807" spans="1:10" x14ac:dyDescent="0.35">
      <c r="A807" s="403" t="str">
        <f>A806</f>
        <v>P</v>
      </c>
      <c r="B807" t="str">
        <f>IF(LEN('Ch7'!H44)=0,"",'Ch7'!H44)</f>
        <v/>
      </c>
      <c r="C807" t="str">
        <f t="shared" si="17"/>
        <v>P</v>
      </c>
      <c r="D807" s="126"/>
      <c r="E807" s="103"/>
      <c r="F807" s="103"/>
      <c r="G807" s="706"/>
      <c r="J807" s="819"/>
    </row>
    <row r="808" spans="1:10" x14ac:dyDescent="0.35">
      <c r="A808" s="403" t="str">
        <f>A807</f>
        <v>P</v>
      </c>
      <c r="B808" t="str">
        <f>IF(LEN('Ch7'!H45)=0,"",'Ch7'!H45)</f>
        <v/>
      </c>
      <c r="C808" t="str">
        <f t="shared" si="17"/>
        <v>P</v>
      </c>
      <c r="D808" s="126"/>
      <c r="E808" s="103"/>
      <c r="F808" s="103"/>
      <c r="G808" s="706"/>
      <c r="J808" s="819"/>
    </row>
    <row r="809" spans="1:10" x14ac:dyDescent="0.35">
      <c r="A809" s="403" t="str">
        <f>A808</f>
        <v>P</v>
      </c>
      <c r="B809" t="str">
        <f>IF(LEN('Ch7'!H46)=0,"",'Ch7'!H46)</f>
        <v/>
      </c>
      <c r="C809" t="str">
        <f t="shared" si="17"/>
        <v>P</v>
      </c>
      <c r="D809" s="126"/>
      <c r="E809" s="103"/>
      <c r="F809" s="103"/>
      <c r="G809" s="706"/>
      <c r="J809" s="819"/>
    </row>
    <row r="810" spans="1:10" x14ac:dyDescent="0.35">
      <c r="A810" s="403" t="str">
        <f>A809</f>
        <v>P</v>
      </c>
      <c r="B810" t="str">
        <f>IF(LEN('Ch7'!H47)=0,"",'Ch7'!H47)</f>
        <v/>
      </c>
      <c r="C810" t="str">
        <f t="shared" si="17"/>
        <v>P</v>
      </c>
      <c r="D810" s="149"/>
      <c r="E810" s="193"/>
      <c r="F810" s="193"/>
      <c r="G810" s="739"/>
      <c r="J810" s="819"/>
    </row>
    <row r="811" spans="1:10" x14ac:dyDescent="0.35">
      <c r="A811" s="600" t="str">
        <f>IF(COUNTIF(A812:A816,"P")&gt;0,"P","")</f>
        <v>P</v>
      </c>
      <c r="B811" t="str">
        <f>IF(LEN('Ch7'!H48)=0,"",'Ch7'!H48)</f>
        <v/>
      </c>
      <c r="C811" t="str">
        <f t="shared" si="17"/>
        <v>P</v>
      </c>
      <c r="D811" s="444" t="s">
        <v>963</v>
      </c>
      <c r="E811" s="439"/>
      <c r="F811" s="439"/>
      <c r="G811" s="358" t="s">
        <v>964</v>
      </c>
      <c r="J811" s="485"/>
    </row>
    <row r="812" spans="1:10" ht="15" customHeight="1" x14ac:dyDescent="0.35">
      <c r="A812" s="403" t="str">
        <f>IF(AND(LEN('Ch7'!W49)&gt;0,NOT('Ch7'!W49=FALSE)),"P","")</f>
        <v>P</v>
      </c>
      <c r="B812" t="str">
        <f>IF(LEN('Ch7'!H49)=0,"",'Ch7'!H49)</f>
        <v/>
      </c>
      <c r="C812" t="str">
        <f t="shared" si="17"/>
        <v>P</v>
      </c>
      <c r="D812" s="33" t="s">
        <v>4072</v>
      </c>
      <c r="E812" s="103"/>
      <c r="F812" s="103"/>
      <c r="G812" s="706" t="s">
        <v>965</v>
      </c>
      <c r="H812" s="49" t="b">
        <f>'Ch7'!W49</f>
        <v>1</v>
      </c>
      <c r="J812" s="819" t="s">
        <v>4290</v>
      </c>
    </row>
    <row r="813" spans="1:10" x14ac:dyDescent="0.35">
      <c r="A813" s="403" t="str">
        <f>A812</f>
        <v>P</v>
      </c>
      <c r="B813" t="str">
        <f>IF(LEN('Ch7'!H50)=0,"",'Ch7'!H50)</f>
        <v/>
      </c>
      <c r="C813" t="str">
        <f t="shared" si="17"/>
        <v>P</v>
      </c>
      <c r="D813" s="33"/>
      <c r="E813" s="103"/>
      <c r="F813" s="103"/>
      <c r="G813" s="706"/>
      <c r="J813" s="819"/>
    </row>
    <row r="814" spans="1:10" x14ac:dyDescent="0.35">
      <c r="A814" s="403" t="str">
        <f>A813</f>
        <v>P</v>
      </c>
      <c r="B814" t="str">
        <f>IF(LEN('Ch7'!H51)=0,"",'Ch7'!H51)</f>
        <v/>
      </c>
      <c r="C814" t="str">
        <f t="shared" si="17"/>
        <v>P</v>
      </c>
      <c r="D814" s="442"/>
      <c r="E814" s="193"/>
      <c r="F814" s="193"/>
      <c r="G814" s="739"/>
      <c r="J814" s="819"/>
    </row>
    <row r="815" spans="1:10" ht="15" customHeight="1" x14ac:dyDescent="0.35">
      <c r="A815" s="403" t="str">
        <f>IF(AND(LEN('Ch7'!W52)&gt;0,NOT('Ch7'!W52=FALSE)),"P","")</f>
        <v>P</v>
      </c>
      <c r="B815" t="str">
        <f>IF(LEN('Ch7'!H52)=0,"",'Ch7'!H52)</f>
        <v/>
      </c>
      <c r="C815" t="str">
        <f t="shared" si="17"/>
        <v>P</v>
      </c>
      <c r="D815" s="457" t="s">
        <v>966</v>
      </c>
      <c r="E815" s="219"/>
      <c r="F815" s="219"/>
      <c r="G815" s="365" t="s">
        <v>967</v>
      </c>
      <c r="H815" s="49" t="b">
        <f>'Ch7'!W52</f>
        <v>1</v>
      </c>
      <c r="J815" s="485" t="s">
        <v>4177</v>
      </c>
    </row>
    <row r="816" spans="1:10" x14ac:dyDescent="0.35">
      <c r="A816" s="403" t="str">
        <f>IF(AND(LEN('Ch7'!W53)&gt;0,NOT('Ch7'!W53=FALSE)),"P","")</f>
        <v>P</v>
      </c>
      <c r="B816" t="str">
        <f>IF(LEN('Ch7'!H53)=0,"",'Ch7'!H53)</f>
        <v/>
      </c>
      <c r="C816" t="str">
        <f t="shared" si="17"/>
        <v>P</v>
      </c>
      <c r="D816" s="444" t="s">
        <v>968</v>
      </c>
      <c r="E816" s="439"/>
      <c r="F816" s="439"/>
      <c r="G816" s="753" t="s">
        <v>969</v>
      </c>
      <c r="H816" s="49" t="b">
        <f>'Ch7'!W53</f>
        <v>1</v>
      </c>
      <c r="J816" s="822" t="s">
        <v>4291</v>
      </c>
    </row>
    <row r="817" spans="1:10" x14ac:dyDescent="0.35">
      <c r="A817" s="403" t="str">
        <f>A816</f>
        <v>P</v>
      </c>
      <c r="B817" t="str">
        <f>IF(LEN('Ch7'!H54)=0,"",'Ch7'!H54)</f>
        <v/>
      </c>
      <c r="C817" t="str">
        <f t="shared" si="17"/>
        <v>P</v>
      </c>
      <c r="D817" s="442"/>
      <c r="E817" s="193"/>
      <c r="F817" s="193"/>
      <c r="G817" s="739"/>
      <c r="J817" s="822"/>
    </row>
    <row r="818" spans="1:10" x14ac:dyDescent="0.35">
      <c r="A818" s="403" t="str">
        <f>IF(AND(LEN('Ch7'!W59)&gt;0,NOT('Ch7'!W59=FALSE)),"P","")</f>
        <v>P</v>
      </c>
      <c r="B818" t="str">
        <f>IF(LEN('Ch7'!H55)=0,"",'Ch7'!H55)</f>
        <v/>
      </c>
      <c r="C818" t="str">
        <f t="shared" si="17"/>
        <v>P</v>
      </c>
      <c r="D818" s="444" t="s">
        <v>970</v>
      </c>
      <c r="E818" s="439"/>
      <c r="F818" s="439"/>
      <c r="G818" s="358" t="s">
        <v>971</v>
      </c>
      <c r="J818" s="485"/>
    </row>
    <row r="819" spans="1:10" x14ac:dyDescent="0.35">
      <c r="A819" s="403" t="str">
        <f t="shared" ref="A819:A822" si="21">A818</f>
        <v>P</v>
      </c>
      <c r="B819" t="str">
        <f>IF(LEN('Ch7'!H56)=0,"",'Ch7'!H56)</f>
        <v/>
      </c>
      <c r="C819" t="str">
        <f t="shared" si="17"/>
        <v>P</v>
      </c>
      <c r="D819" s="33" t="s">
        <v>972</v>
      </c>
      <c r="E819" s="103"/>
      <c r="F819" s="103"/>
      <c r="G819" s="706" t="s">
        <v>973</v>
      </c>
      <c r="J819" s="814" t="s">
        <v>4216</v>
      </c>
    </row>
    <row r="820" spans="1:10" ht="15" customHeight="1" x14ac:dyDescent="0.35">
      <c r="A820" s="403" t="str">
        <f t="shared" si="21"/>
        <v>P</v>
      </c>
      <c r="B820" t="str">
        <f>IF(LEN('Ch7'!H57)=0,"",'Ch7'!H57)</f>
        <v/>
      </c>
      <c r="C820" t="str">
        <f t="shared" si="17"/>
        <v>P</v>
      </c>
      <c r="D820" s="126"/>
      <c r="E820" s="103"/>
      <c r="F820" s="103"/>
      <c r="G820" s="706"/>
      <c r="H820" s="49" t="b">
        <f>'Ch7'!W57</f>
        <v>0</v>
      </c>
      <c r="J820" s="814"/>
    </row>
    <row r="821" spans="1:10" x14ac:dyDescent="0.35">
      <c r="A821" s="403" t="str">
        <f t="shared" si="21"/>
        <v>P</v>
      </c>
      <c r="B821" t="str">
        <f>IF(LEN('Ch7'!H58)=0,"",'Ch7'!H58)</f>
        <v/>
      </c>
      <c r="C821" t="str">
        <f t="shared" si="17"/>
        <v>P</v>
      </c>
      <c r="D821" s="126"/>
      <c r="E821" s="103"/>
      <c r="F821" s="103"/>
      <c r="G821" s="706"/>
      <c r="J821" s="814"/>
    </row>
    <row r="822" spans="1:10" x14ac:dyDescent="0.35">
      <c r="A822" s="403" t="str">
        <f t="shared" si="21"/>
        <v>P</v>
      </c>
      <c r="B822" t="str">
        <f>IF(LEN('Ch7'!H59)=0,"",'Ch7'!H59)</f>
        <v/>
      </c>
      <c r="C822" t="str">
        <f t="shared" si="17"/>
        <v>P</v>
      </c>
      <c r="D822" s="126"/>
      <c r="E822" s="103"/>
      <c r="F822" s="103"/>
      <c r="G822" s="706"/>
      <c r="H822" s="49" t="b">
        <f>'Ch7'!W59</f>
        <v>1</v>
      </c>
      <c r="J822" s="814"/>
    </row>
    <row r="823" spans="1:10" x14ac:dyDescent="0.35">
      <c r="B823" t="str">
        <f>IF(LEN('Ch7'!H60)=0,"",'Ch7'!H60)</f>
        <v/>
      </c>
      <c r="C823" t="str">
        <f t="shared" si="17"/>
        <v/>
      </c>
      <c r="D823" s="126"/>
      <c r="E823" s="103"/>
      <c r="F823" s="473" t="s">
        <v>121</v>
      </c>
      <c r="G823" s="104" t="s">
        <v>974</v>
      </c>
      <c r="J823" s="490"/>
    </row>
    <row r="824" spans="1:10" x14ac:dyDescent="0.35">
      <c r="B824" t="str">
        <f>IF(LEN('Ch7'!H61)=0,"",'Ch7'!H61)</f>
        <v/>
      </c>
      <c r="C824" t="str">
        <f t="shared" si="17"/>
        <v/>
      </c>
      <c r="D824" s="126"/>
      <c r="E824" s="103"/>
      <c r="F824" s="473" t="s">
        <v>122</v>
      </c>
      <c r="G824" s="104" t="s">
        <v>975</v>
      </c>
      <c r="J824" s="495"/>
    </row>
    <row r="825" spans="1:10" ht="15" customHeight="1" x14ac:dyDescent="0.35">
      <c r="B825" t="str">
        <f>IF(LEN('Ch7'!H62)=0,"",'Ch7'!H62)</f>
        <v/>
      </c>
      <c r="C825" t="str">
        <f t="shared" si="17"/>
        <v/>
      </c>
      <c r="D825" s="126"/>
      <c r="E825" s="103"/>
      <c r="F825" s="476" t="s">
        <v>123</v>
      </c>
      <c r="G825" s="104" t="s">
        <v>976</v>
      </c>
      <c r="J825" s="495"/>
    </row>
    <row r="826" spans="1:10" x14ac:dyDescent="0.35">
      <c r="B826" t="str">
        <f>IF(LEN('Ch7'!H63)=0,"",'Ch7'!H63)</f>
        <v/>
      </c>
      <c r="C826" t="str">
        <f t="shared" si="17"/>
        <v/>
      </c>
      <c r="D826" s="126"/>
      <c r="E826" s="103"/>
      <c r="F826" s="281" t="s">
        <v>420</v>
      </c>
      <c r="G826" s="104" t="s">
        <v>977</v>
      </c>
      <c r="J826" s="490"/>
    </row>
    <row r="827" spans="1:10" x14ac:dyDescent="0.35">
      <c r="B827" t="str">
        <f>IF(LEN('Ch7'!H64)=0,"",'Ch7'!H64)</f>
        <v/>
      </c>
      <c r="C827" t="str">
        <f t="shared" si="17"/>
        <v/>
      </c>
      <c r="D827" s="126"/>
      <c r="E827" s="103"/>
      <c r="F827" s="281" t="s">
        <v>575</v>
      </c>
      <c r="G827" s="104" t="s">
        <v>978</v>
      </c>
      <c r="J827" s="490"/>
    </row>
    <row r="828" spans="1:10" x14ac:dyDescent="0.35">
      <c r="B828" t="str">
        <f>IF(LEN('Ch7'!H65)=0,"",'Ch7'!H65)</f>
        <v/>
      </c>
      <c r="C828" t="str">
        <f t="shared" si="17"/>
        <v/>
      </c>
      <c r="D828" s="126"/>
      <c r="E828" s="103"/>
      <c r="F828" s="476" t="s">
        <v>642</v>
      </c>
      <c r="G828" s="104" t="s">
        <v>979</v>
      </c>
      <c r="J828" s="490"/>
    </row>
    <row r="829" spans="1:10" x14ac:dyDescent="0.35">
      <c r="B829" t="str">
        <f>IF(LEN('Ch7'!H66)=0,"",'Ch7'!H66)</f>
        <v/>
      </c>
      <c r="C829" t="str">
        <f t="shared" si="17"/>
        <v/>
      </c>
      <c r="D829" s="126"/>
      <c r="E829" s="103"/>
      <c r="F829" s="281" t="s">
        <v>644</v>
      </c>
      <c r="G829" s="104" t="s">
        <v>980</v>
      </c>
      <c r="J829" s="490"/>
    </row>
    <row r="830" spans="1:10" x14ac:dyDescent="0.35">
      <c r="B830" t="str">
        <f>IF(LEN('Ch7'!H67)=0,"",'Ch7'!H67)</f>
        <v/>
      </c>
      <c r="C830" t="str">
        <f t="shared" si="17"/>
        <v/>
      </c>
      <c r="D830" s="126"/>
      <c r="E830" s="103"/>
      <c r="F830" s="281" t="s">
        <v>646</v>
      </c>
      <c r="G830" s="104" t="s">
        <v>981</v>
      </c>
      <c r="J830" s="495"/>
    </row>
    <row r="831" spans="1:10" x14ac:dyDescent="0.35">
      <c r="B831" t="str">
        <f>IF(LEN('Ch7'!H68)=0,"",'Ch7'!H68)</f>
        <v/>
      </c>
      <c r="C831" t="str">
        <f t="shared" si="17"/>
        <v/>
      </c>
      <c r="D831" s="126"/>
      <c r="E831" s="103"/>
      <c r="F831" s="281" t="s">
        <v>982</v>
      </c>
      <c r="G831" s="104" t="s">
        <v>983</v>
      </c>
      <c r="J831" s="495"/>
    </row>
    <row r="832" spans="1:10" x14ac:dyDescent="0.35">
      <c r="B832" t="str">
        <f>IF(LEN('Ch7'!H69)=0,"",'Ch7'!H69)</f>
        <v/>
      </c>
      <c r="C832" t="str">
        <f t="shared" si="17"/>
        <v/>
      </c>
      <c r="D832" s="126"/>
      <c r="E832" s="103"/>
      <c r="F832" s="281" t="s">
        <v>984</v>
      </c>
      <c r="G832" s="104" t="s">
        <v>985</v>
      </c>
      <c r="J832" s="495"/>
    </row>
    <row r="833" spans="1:10" x14ac:dyDescent="0.35">
      <c r="B833" t="str">
        <f>IF(LEN('Ch7'!H70)=0,"",'Ch7'!H70)</f>
        <v/>
      </c>
      <c r="C833" t="str">
        <f t="shared" si="17"/>
        <v/>
      </c>
      <c r="D833" s="126"/>
      <c r="E833" s="103"/>
      <c r="F833" s="281" t="s">
        <v>986</v>
      </c>
      <c r="G833" s="104" t="s">
        <v>987</v>
      </c>
      <c r="J833" s="495"/>
    </row>
    <row r="834" spans="1:10" x14ac:dyDescent="0.35">
      <c r="B834" t="str">
        <f>IF(LEN('Ch7'!H71)=0,"",'Ch7'!H71)</f>
        <v/>
      </c>
      <c r="C834" t="str">
        <f t="shared" si="17"/>
        <v/>
      </c>
      <c r="D834" s="149"/>
      <c r="E834" s="193"/>
      <c r="F834" s="440" t="s">
        <v>988</v>
      </c>
      <c r="G834" s="214" t="s">
        <v>989</v>
      </c>
      <c r="J834" s="495"/>
    </row>
    <row r="835" spans="1:10" x14ac:dyDescent="0.35">
      <c r="A835" s="403" t="str">
        <f>IF(H838&lt;&gt;0,"P","")</f>
        <v>P</v>
      </c>
      <c r="B835" t="str">
        <f>IF(LEN('Ch7'!H72)=0,"",'Ch7'!H72)</f>
        <v/>
      </c>
      <c r="C835" t="str">
        <f t="shared" si="17"/>
        <v>P</v>
      </c>
      <c r="D835" s="33" t="s">
        <v>990</v>
      </c>
      <c r="E835" s="103"/>
      <c r="F835" s="103"/>
      <c r="G835" s="706" t="s">
        <v>991</v>
      </c>
      <c r="J835" s="485"/>
    </row>
    <row r="836" spans="1:10" x14ac:dyDescent="0.35">
      <c r="A836" s="403" t="str">
        <f>A835</f>
        <v>P</v>
      </c>
      <c r="B836" t="str">
        <f>IF(LEN('Ch7'!H73)=0,"",'Ch7'!H73)</f>
        <v/>
      </c>
      <c r="C836" t="str">
        <f t="shared" si="17"/>
        <v>P</v>
      </c>
      <c r="D836" s="126"/>
      <c r="E836" s="103"/>
      <c r="F836" s="103"/>
      <c r="G836" s="706"/>
      <c r="J836" s="485"/>
    </row>
    <row r="837" spans="1:10" x14ac:dyDescent="0.35">
      <c r="A837" s="403" t="str">
        <f>A836</f>
        <v>P</v>
      </c>
      <c r="B837" t="str">
        <f>IF(LEN('Ch7'!H74)=0,"",'Ch7'!H74)</f>
        <v/>
      </c>
      <c r="C837" t="str">
        <f t="shared" si="17"/>
        <v>P</v>
      </c>
      <c r="D837" s="126"/>
      <c r="E837" s="103"/>
      <c r="F837" s="103"/>
      <c r="G837" s="706"/>
      <c r="J837" s="485"/>
    </row>
    <row r="838" spans="1:10" x14ac:dyDescent="0.35">
      <c r="A838" s="403" t="str">
        <f>IF(AND(LEN('Ch7'!W75)&gt;0,NOT('Ch7'!W75=FALSE)),"P","")</f>
        <v>P</v>
      </c>
      <c r="B838" t="str">
        <f>IF(LEN('Ch7'!H75)=0,"",'Ch7'!H75)</f>
        <v/>
      </c>
      <c r="C838" t="str">
        <f t="shared" si="17"/>
        <v>P</v>
      </c>
      <c r="D838" s="126"/>
      <c r="E838" s="473" t="s">
        <v>270</v>
      </c>
      <c r="F838" s="103"/>
      <c r="G838" s="706" t="s">
        <v>992</v>
      </c>
      <c r="H838" s="49">
        <f>'Ch7'!W75</f>
        <v>3</v>
      </c>
      <c r="J838" s="822" t="s">
        <v>4336</v>
      </c>
    </row>
    <row r="839" spans="1:10" x14ac:dyDescent="0.35">
      <c r="A839" s="403" t="str">
        <f>A838</f>
        <v>P</v>
      </c>
      <c r="B839" t="str">
        <f>IF(LEN('Ch7'!H76)=0,"",'Ch7'!H76)</f>
        <v/>
      </c>
      <c r="C839" t="str">
        <f t="shared" si="17"/>
        <v>P</v>
      </c>
      <c r="D839" s="126"/>
      <c r="E839" s="103"/>
      <c r="F839" s="103"/>
      <c r="G839" s="706"/>
      <c r="J839" s="822"/>
    </row>
    <row r="840" spans="1:10" x14ac:dyDescent="0.35">
      <c r="A840" s="403" t="str">
        <f>A839</f>
        <v>P</v>
      </c>
      <c r="B840" t="str">
        <f>IF(LEN('Ch7'!H77)=0,"",'Ch7'!H77)</f>
        <v/>
      </c>
      <c r="C840" t="str">
        <f t="shared" si="17"/>
        <v>P</v>
      </c>
      <c r="D840" s="126"/>
      <c r="E840" s="103"/>
      <c r="F840" s="103"/>
      <c r="G840" s="706"/>
      <c r="J840" s="822"/>
    </row>
    <row r="841" spans="1:10" x14ac:dyDescent="0.35">
      <c r="A841" s="403" t="str">
        <f>A840</f>
        <v>P</v>
      </c>
      <c r="B841" t="str">
        <f>IF(LEN('Ch7'!H78)=0,"",'Ch7'!H78)</f>
        <v/>
      </c>
      <c r="C841" t="str">
        <f t="shared" si="17"/>
        <v>P</v>
      </c>
      <c r="D841" s="126"/>
      <c r="E841" s="103"/>
      <c r="F841" s="103"/>
      <c r="G841" s="706"/>
      <c r="J841" s="822"/>
    </row>
    <row r="842" spans="1:10" x14ac:dyDescent="0.35">
      <c r="A842" s="403" t="str">
        <f>A841</f>
        <v>P</v>
      </c>
      <c r="B842" t="str">
        <f>IF(LEN('Ch7'!H79)=0,"",'Ch7'!H79)</f>
        <v/>
      </c>
      <c r="C842" t="str">
        <f t="shared" si="17"/>
        <v>P</v>
      </c>
      <c r="D842" s="126"/>
      <c r="E842" s="103"/>
      <c r="F842" s="103"/>
      <c r="G842" s="706"/>
      <c r="J842" s="822"/>
    </row>
    <row r="843" spans="1:10" x14ac:dyDescent="0.35">
      <c r="B843" t="str">
        <f>IF(LEN('Ch7'!H80)=0,"",'Ch7'!H80)</f>
        <v/>
      </c>
      <c r="C843" t="str">
        <f t="shared" si="17"/>
        <v/>
      </c>
      <c r="D843" s="126"/>
      <c r="E843" s="103"/>
      <c r="F843" s="473" t="s">
        <v>121</v>
      </c>
      <c r="G843" s="104" t="s">
        <v>993</v>
      </c>
      <c r="J843" s="485"/>
    </row>
    <row r="844" spans="1:10" x14ac:dyDescent="0.35">
      <c r="B844" t="str">
        <f>IF(LEN('Ch7'!H81)=0,"",'Ch7'!H81)</f>
        <v/>
      </c>
      <c r="C844" t="str">
        <f t="shared" ref="C844:C907" si="22">IF(LEN(B844)=0,IF(A844="P","P",""),B844)</f>
        <v/>
      </c>
      <c r="D844" s="126"/>
      <c r="E844" s="103"/>
      <c r="F844" s="473" t="s">
        <v>122</v>
      </c>
      <c r="G844" s="707" t="s">
        <v>994</v>
      </c>
      <c r="J844" s="485"/>
    </row>
    <row r="845" spans="1:10" x14ac:dyDescent="0.35">
      <c r="B845" t="str">
        <f>IF(LEN('Ch7'!H82)=0,"",'Ch7'!H82)</f>
        <v/>
      </c>
      <c r="C845" t="str">
        <f t="shared" si="22"/>
        <v/>
      </c>
      <c r="D845" s="126"/>
      <c r="E845" s="103"/>
      <c r="F845" s="473"/>
      <c r="G845" s="707"/>
      <c r="J845" s="485"/>
    </row>
    <row r="846" spans="1:10" x14ac:dyDescent="0.35">
      <c r="B846" t="str">
        <f>IF(LEN('Ch7'!H83)=0,"",'Ch7'!H83)</f>
        <v/>
      </c>
      <c r="C846" t="str">
        <f t="shared" si="22"/>
        <v/>
      </c>
      <c r="D846" s="126"/>
      <c r="E846" s="103"/>
      <c r="F846" s="476" t="s">
        <v>123</v>
      </c>
      <c r="G846" s="104" t="s">
        <v>995</v>
      </c>
      <c r="J846" s="485"/>
    </row>
    <row r="847" spans="1:10" x14ac:dyDescent="0.35">
      <c r="B847" t="str">
        <f>IF(LEN('Ch7'!H84)=0,"",'Ch7'!H84)</f>
        <v/>
      </c>
      <c r="C847" t="str">
        <f t="shared" si="22"/>
        <v/>
      </c>
      <c r="D847" s="126"/>
      <c r="E847" s="103"/>
      <c r="F847" s="281" t="s">
        <v>420</v>
      </c>
      <c r="G847" s="707" t="s">
        <v>996</v>
      </c>
      <c r="J847" s="485"/>
    </row>
    <row r="848" spans="1:10" x14ac:dyDescent="0.35">
      <c r="B848" t="str">
        <f>IF(LEN('Ch7'!H85)=0,"",'Ch7'!H85)</f>
        <v/>
      </c>
      <c r="C848" t="str">
        <f t="shared" si="22"/>
        <v/>
      </c>
      <c r="D848" s="126"/>
      <c r="E848" s="103"/>
      <c r="F848" s="281"/>
      <c r="G848" s="707"/>
      <c r="J848" s="485"/>
    </row>
    <row r="849" spans="1:10" x14ac:dyDescent="0.35">
      <c r="B849" t="str">
        <f>IF(LEN('Ch7'!H86)=0,"",'Ch7'!H86)</f>
        <v/>
      </c>
      <c r="C849" t="str">
        <f t="shared" si="22"/>
        <v/>
      </c>
      <c r="D849" s="126"/>
      <c r="E849" s="103"/>
      <c r="F849" s="281" t="s">
        <v>575</v>
      </c>
      <c r="G849" s="104" t="s">
        <v>997</v>
      </c>
      <c r="J849" s="485"/>
    </row>
    <row r="850" spans="1:10" x14ac:dyDescent="0.35">
      <c r="B850" t="str">
        <f>IF(LEN('Ch7'!H87)=0,"",'Ch7'!H87)</f>
        <v/>
      </c>
      <c r="C850" t="str">
        <f t="shared" si="22"/>
        <v/>
      </c>
      <c r="D850" s="126"/>
      <c r="E850" s="103"/>
      <c r="F850" s="476" t="s">
        <v>642</v>
      </c>
      <c r="G850" s="104" t="s">
        <v>998</v>
      </c>
      <c r="J850" s="485"/>
    </row>
    <row r="851" spans="1:10" x14ac:dyDescent="0.35">
      <c r="B851" t="str">
        <f>IF(LEN('Ch7'!H88)=0,"",'Ch7'!H88)</f>
        <v/>
      </c>
      <c r="C851" t="str">
        <f t="shared" si="22"/>
        <v/>
      </c>
      <c r="D851" s="126"/>
      <c r="E851" s="103"/>
      <c r="F851" s="281" t="s">
        <v>644</v>
      </c>
      <c r="G851" s="104" t="s">
        <v>999</v>
      </c>
      <c r="J851" s="485"/>
    </row>
    <row r="852" spans="1:10" x14ac:dyDescent="0.35">
      <c r="B852" t="str">
        <f>IF(LEN('Ch7'!H89)=0,"",'Ch7'!H89)</f>
        <v/>
      </c>
      <c r="C852" t="str">
        <f t="shared" si="22"/>
        <v/>
      </c>
      <c r="D852" s="126"/>
      <c r="E852" s="103"/>
      <c r="F852" s="437"/>
      <c r="G852" s="714" t="s">
        <v>4069</v>
      </c>
      <c r="J852" s="485"/>
    </row>
    <row r="853" spans="1:10" x14ac:dyDescent="0.35">
      <c r="B853" t="str">
        <f>IF(LEN('Ch7'!H90)=0,"",'Ch7'!H90)</f>
        <v/>
      </c>
      <c r="C853" t="str">
        <f t="shared" si="22"/>
        <v/>
      </c>
      <c r="D853" s="126"/>
      <c r="E853" s="193"/>
      <c r="F853" s="477"/>
      <c r="G853" s="755"/>
      <c r="J853" s="485"/>
    </row>
    <row r="854" spans="1:10" x14ac:dyDescent="0.35">
      <c r="A854" s="403" t="str">
        <f>IF(AND(LEN('Ch7'!W91)&gt;0,NOT('Ch7'!W91=FALSE)),"P","")</f>
        <v>P</v>
      </c>
      <c r="B854" t="str">
        <f>IF(LEN('Ch7'!H91)=0,"",'Ch7'!H91)</f>
        <v/>
      </c>
      <c r="C854" t="str">
        <f t="shared" si="22"/>
        <v>P</v>
      </c>
      <c r="D854" s="126"/>
      <c r="E854" s="473" t="s">
        <v>272</v>
      </c>
      <c r="F854" s="103"/>
      <c r="G854" s="706" t="s">
        <v>1000</v>
      </c>
      <c r="H854" s="49" t="b">
        <f>'Ch7'!W91</f>
        <v>1</v>
      </c>
      <c r="J854" s="813" t="s">
        <v>4177</v>
      </c>
    </row>
    <row r="855" spans="1:10" x14ac:dyDescent="0.35">
      <c r="A855" s="403" t="str">
        <f>A854</f>
        <v>P</v>
      </c>
      <c r="B855" t="str">
        <f>IF(LEN('Ch7'!H92)=0,"",'Ch7'!H92)</f>
        <v/>
      </c>
      <c r="C855" t="str">
        <f t="shared" si="22"/>
        <v>P</v>
      </c>
      <c r="D855" s="126"/>
      <c r="E855" s="103"/>
      <c r="F855" s="103"/>
      <c r="G855" s="706"/>
      <c r="J855" s="813"/>
    </row>
    <row r="856" spans="1:10" x14ac:dyDescent="0.35">
      <c r="B856" t="str">
        <f>IF(LEN('Ch7'!H93)=0,"",'Ch7'!H93)</f>
        <v/>
      </c>
      <c r="C856" t="str">
        <f t="shared" si="22"/>
        <v/>
      </c>
      <c r="D856" s="149"/>
      <c r="E856" s="193"/>
      <c r="F856" s="193"/>
      <c r="G856" s="366" t="s">
        <v>3633</v>
      </c>
      <c r="J856" s="485"/>
    </row>
    <row r="857" spans="1:10" x14ac:dyDescent="0.35">
      <c r="A857" s="403" t="str">
        <f>IF(AND(LEN('Ch7'!W94)&gt;0,NOT('Ch7'!W94=FALSE)),"P","")</f>
        <v>P</v>
      </c>
      <c r="B857" t="str">
        <f>IF(LEN('Ch7'!H94)=0,"",'Ch7'!H94)</f>
        <v/>
      </c>
      <c r="C857" t="str">
        <f t="shared" si="22"/>
        <v>P</v>
      </c>
      <c r="D857" s="33" t="s">
        <v>1001</v>
      </c>
      <c r="E857" s="103"/>
      <c r="F857" s="103"/>
      <c r="G857" s="110" t="s">
        <v>1002</v>
      </c>
      <c r="H857" s="49" t="b">
        <f>'Ch7'!W94</f>
        <v>1</v>
      </c>
      <c r="J857" s="485" t="s">
        <v>4177</v>
      </c>
    </row>
    <row r="858" spans="1:10" x14ac:dyDescent="0.35">
      <c r="B858" t="str">
        <f>IF(LEN('Ch7'!H95)=0,"",'Ch7'!H95)</f>
        <v/>
      </c>
      <c r="C858" t="str">
        <f t="shared" si="22"/>
        <v/>
      </c>
      <c r="D858" s="126"/>
      <c r="E858" s="474" t="s">
        <v>270</v>
      </c>
      <c r="F858" s="193"/>
      <c r="G858" s="214" t="s">
        <v>1003</v>
      </c>
      <c r="J858" s="485"/>
    </row>
    <row r="859" spans="1:10" x14ac:dyDescent="0.35">
      <c r="B859" t="str">
        <f>IF(LEN('Ch7'!H96)=0,"",'Ch7'!H96)</f>
        <v/>
      </c>
      <c r="C859" t="str">
        <f t="shared" si="22"/>
        <v/>
      </c>
      <c r="D859" s="126"/>
      <c r="E859" s="478" t="s">
        <v>272</v>
      </c>
      <c r="F859" s="439"/>
      <c r="G859" s="742" t="s">
        <v>1004</v>
      </c>
      <c r="J859" s="485"/>
    </row>
    <row r="860" spans="1:10" x14ac:dyDescent="0.35">
      <c r="B860" t="str">
        <f>IF(LEN('Ch7'!H97)=0,"",'Ch7'!H97)</f>
        <v/>
      </c>
      <c r="C860" t="str">
        <f t="shared" si="22"/>
        <v/>
      </c>
      <c r="D860" s="126"/>
      <c r="E860" s="474"/>
      <c r="F860" s="193"/>
      <c r="G860" s="709"/>
      <c r="J860" s="485"/>
    </row>
    <row r="861" spans="1:10" x14ac:dyDescent="0.35">
      <c r="B861" t="str">
        <f>IF(LEN('Ch7'!H98)=0,"",'Ch7'!H98)</f>
        <v/>
      </c>
      <c r="C861" t="str">
        <f t="shared" si="22"/>
        <v/>
      </c>
      <c r="D861" s="126"/>
      <c r="E861" s="479" t="s">
        <v>274</v>
      </c>
      <c r="F861" s="219"/>
      <c r="G861" s="220" t="s">
        <v>1005</v>
      </c>
      <c r="J861" s="485"/>
    </row>
    <row r="862" spans="1:10" x14ac:dyDescent="0.35">
      <c r="B862" t="str">
        <f>IF(LEN('Ch7'!H99)=0,"",'Ch7'!H99)</f>
        <v/>
      </c>
      <c r="C862" t="str">
        <f t="shared" si="22"/>
        <v/>
      </c>
      <c r="D862" s="126"/>
      <c r="E862" s="473" t="s">
        <v>283</v>
      </c>
      <c r="F862" s="103"/>
      <c r="G862" s="707" t="s">
        <v>1006</v>
      </c>
      <c r="J862" s="485"/>
    </row>
    <row r="863" spans="1:10" x14ac:dyDescent="0.35">
      <c r="B863" t="str">
        <f>IF(LEN('Ch7'!H100)=0,"",'Ch7'!H100)</f>
        <v/>
      </c>
      <c r="C863" t="str">
        <f t="shared" si="22"/>
        <v/>
      </c>
      <c r="D863" s="126"/>
      <c r="E863" s="473"/>
      <c r="F863" s="103"/>
      <c r="G863" s="707"/>
      <c r="J863" s="485"/>
    </row>
    <row r="864" spans="1:10" x14ac:dyDescent="0.35">
      <c r="B864" t="str">
        <f>IF(LEN('Ch7'!H101)=0,"",'Ch7'!H101)</f>
        <v/>
      </c>
      <c r="C864" t="str">
        <f t="shared" si="22"/>
        <v/>
      </c>
      <c r="D864" s="126"/>
      <c r="E864" s="473"/>
      <c r="F864" s="103"/>
      <c r="G864" s="707"/>
      <c r="J864" s="485"/>
    </row>
    <row r="865" spans="2:10" x14ac:dyDescent="0.35">
      <c r="B865" t="str">
        <f>IF(LEN('Ch7'!H102)=0,"",'Ch7'!H102)</f>
        <v/>
      </c>
      <c r="C865" t="str">
        <f t="shared" si="22"/>
        <v/>
      </c>
      <c r="D865" s="126"/>
      <c r="E865" s="473"/>
      <c r="F865" s="103"/>
      <c r="G865" s="707"/>
      <c r="J865" s="485"/>
    </row>
    <row r="866" spans="2:10" x14ac:dyDescent="0.35">
      <c r="B866" t="str">
        <f>IF(LEN('Ch7'!H103)=0,"",'Ch7'!H103)</f>
        <v/>
      </c>
      <c r="C866" t="str">
        <f t="shared" si="22"/>
        <v/>
      </c>
      <c r="D866" s="126"/>
      <c r="E866" s="473" t="s">
        <v>289</v>
      </c>
      <c r="F866" s="103"/>
      <c r="G866" s="707" t="s">
        <v>1007</v>
      </c>
      <c r="J866" s="485"/>
    </row>
    <row r="867" spans="2:10" x14ac:dyDescent="0.35">
      <c r="B867" t="str">
        <f>IF(LEN('Ch7'!H104)=0,"",'Ch7'!H104)</f>
        <v/>
      </c>
      <c r="C867" t="str">
        <f t="shared" si="22"/>
        <v/>
      </c>
      <c r="D867" s="126"/>
      <c r="E867" s="474"/>
      <c r="F867" s="193"/>
      <c r="G867" s="709"/>
      <c r="J867" s="485"/>
    </row>
    <row r="868" spans="2:10" x14ac:dyDescent="0.35">
      <c r="B868" t="str">
        <f>IF(LEN('Ch7'!H105)=0,"",'Ch7'!H105)</f>
        <v/>
      </c>
      <c r="C868" t="str">
        <f t="shared" si="22"/>
        <v/>
      </c>
      <c r="D868" s="126"/>
      <c r="E868" s="478" t="s">
        <v>291</v>
      </c>
      <c r="F868" s="439"/>
      <c r="G868" s="742" t="s">
        <v>1008</v>
      </c>
      <c r="J868" s="485"/>
    </row>
    <row r="869" spans="2:10" x14ac:dyDescent="0.35">
      <c r="B869" t="str">
        <f>IF(LEN('Ch7'!H106)=0,"",'Ch7'!H106)</f>
        <v/>
      </c>
      <c r="C869" t="str">
        <f t="shared" si="22"/>
        <v/>
      </c>
      <c r="D869" s="126"/>
      <c r="E869" s="473"/>
      <c r="F869" s="103"/>
      <c r="G869" s="707"/>
      <c r="J869" s="485"/>
    </row>
    <row r="870" spans="2:10" x14ac:dyDescent="0.35">
      <c r="B870" t="str">
        <f>IF(LEN('Ch7'!H107)=0,"",'Ch7'!H107)</f>
        <v/>
      </c>
      <c r="C870" t="str">
        <f t="shared" si="22"/>
        <v/>
      </c>
      <c r="D870" s="126"/>
      <c r="E870" s="474"/>
      <c r="F870" s="193"/>
      <c r="G870" s="709"/>
      <c r="J870" s="485"/>
    </row>
    <row r="871" spans="2:10" x14ac:dyDescent="0.35">
      <c r="B871" t="str">
        <f>IF(LEN('Ch7'!H108)=0,"",'Ch7'!H108)</f>
        <v/>
      </c>
      <c r="C871" t="str">
        <f t="shared" si="22"/>
        <v/>
      </c>
      <c r="D871" s="126"/>
      <c r="E871" s="478" t="s">
        <v>403</v>
      </c>
      <c r="F871" s="439"/>
      <c r="G871" s="742" t="s">
        <v>1009</v>
      </c>
      <c r="J871" s="485"/>
    </row>
    <row r="872" spans="2:10" x14ac:dyDescent="0.35">
      <c r="B872" t="str">
        <f>IF(LEN('Ch7'!H109)=0,"",'Ch7'!H109)</f>
        <v/>
      </c>
      <c r="C872" t="str">
        <f t="shared" si="22"/>
        <v/>
      </c>
      <c r="D872" s="126"/>
      <c r="E872" s="474"/>
      <c r="F872" s="193"/>
      <c r="G872" s="709"/>
      <c r="J872" s="485"/>
    </row>
    <row r="873" spans="2:10" ht="15" customHeight="1" x14ac:dyDescent="0.35">
      <c r="B873" t="str">
        <f>IF(LEN('Ch7'!H110)=0,"",'Ch7'!H110)</f>
        <v/>
      </c>
      <c r="C873" t="str">
        <f t="shared" si="22"/>
        <v/>
      </c>
      <c r="D873" s="126"/>
      <c r="E873" s="479" t="s">
        <v>453</v>
      </c>
      <c r="F873" s="219"/>
      <c r="G873" s="220" t="s">
        <v>1010</v>
      </c>
      <c r="J873" s="485"/>
    </row>
    <row r="874" spans="2:10" x14ac:dyDescent="0.35">
      <c r="B874" t="str">
        <f>IF(LEN('Ch7'!H111)=0,"",'Ch7'!H111)</f>
        <v/>
      </c>
      <c r="C874" t="str">
        <f t="shared" si="22"/>
        <v/>
      </c>
      <c r="D874" s="126"/>
      <c r="E874" s="479" t="s">
        <v>455</v>
      </c>
      <c r="F874" s="219"/>
      <c r="G874" s="220" t="s">
        <v>1011</v>
      </c>
      <c r="J874" s="485"/>
    </row>
    <row r="875" spans="2:10" ht="15" customHeight="1" x14ac:dyDescent="0.35">
      <c r="B875" t="str">
        <f>IF(LEN('Ch7'!H112)=0,"",'Ch7'!H112)</f>
        <v/>
      </c>
      <c r="C875" t="str">
        <f t="shared" si="22"/>
        <v/>
      </c>
      <c r="D875" s="126"/>
      <c r="E875" s="478" t="s">
        <v>457</v>
      </c>
      <c r="F875" s="439"/>
      <c r="G875" s="742" t="s">
        <v>1012</v>
      </c>
      <c r="J875" s="485"/>
    </row>
    <row r="876" spans="2:10" x14ac:dyDescent="0.35">
      <c r="B876" t="str">
        <f>IF(LEN('Ch7'!H113)=0,"",'Ch7'!H113)</f>
        <v/>
      </c>
      <c r="C876" t="str">
        <f t="shared" si="22"/>
        <v/>
      </c>
      <c r="D876" s="126"/>
      <c r="E876" s="473"/>
      <c r="F876" s="103"/>
      <c r="G876" s="707"/>
      <c r="J876" s="485"/>
    </row>
    <row r="877" spans="2:10" x14ac:dyDescent="0.35">
      <c r="B877" t="str">
        <f>IF(LEN('Ch7'!H114)=0,"",'Ch7'!H114)</f>
        <v/>
      </c>
      <c r="C877" t="str">
        <f t="shared" si="22"/>
        <v/>
      </c>
      <c r="D877" s="126"/>
      <c r="E877" s="474"/>
      <c r="F877" s="193"/>
      <c r="G877" s="709"/>
      <c r="J877" s="485"/>
    </row>
    <row r="878" spans="2:10" ht="15" customHeight="1" x14ac:dyDescent="0.35">
      <c r="B878" t="str">
        <f>IF(LEN('Ch7'!H115)=0,"",'Ch7'!H115)</f>
        <v/>
      </c>
      <c r="C878" t="str">
        <f t="shared" si="22"/>
        <v/>
      </c>
      <c r="D878" s="126"/>
      <c r="E878" s="473" t="s">
        <v>459</v>
      </c>
      <c r="F878" s="103"/>
      <c r="G878" s="707" t="s">
        <v>1013</v>
      </c>
      <c r="J878" s="485"/>
    </row>
    <row r="879" spans="2:10" x14ac:dyDescent="0.35">
      <c r="B879" t="str">
        <f>IF(LEN('Ch7'!H116)=0,"",'Ch7'!H116)</f>
        <v/>
      </c>
      <c r="C879" t="str">
        <f t="shared" si="22"/>
        <v/>
      </c>
      <c r="D879" s="126"/>
      <c r="E879" s="473"/>
      <c r="F879" s="103"/>
      <c r="G879" s="707"/>
      <c r="J879" s="485"/>
    </row>
    <row r="880" spans="2:10" x14ac:dyDescent="0.35">
      <c r="B880" t="str">
        <f>IF(LEN('Ch7'!H117)=0,"",'Ch7'!H117)</f>
        <v/>
      </c>
      <c r="C880" t="str">
        <f t="shared" si="22"/>
        <v/>
      </c>
      <c r="D880" s="149"/>
      <c r="E880" s="474"/>
      <c r="F880" s="193"/>
      <c r="G880" s="709"/>
      <c r="J880" s="485"/>
    </row>
    <row r="881" spans="1:10" x14ac:dyDescent="0.35">
      <c r="A881" s="403" t="str">
        <f>IF(AND(LEN('Ch7'!W57)&gt;0,NOT('Ch7'!W57=FALSE)),"P","")</f>
        <v/>
      </c>
      <c r="B881" t="str">
        <f>IF(LEN('Ch7'!H118)=0,"",'Ch7'!H118)</f>
        <v/>
      </c>
      <c r="C881" t="str">
        <f t="shared" si="22"/>
        <v/>
      </c>
      <c r="D881" s="444" t="s">
        <v>1015</v>
      </c>
      <c r="E881" s="439"/>
      <c r="F881" s="439"/>
      <c r="G881" s="753" t="s">
        <v>1016</v>
      </c>
      <c r="J881" s="485"/>
    </row>
    <row r="882" spans="1:10" x14ac:dyDescent="0.35">
      <c r="A882" s="403" t="str">
        <f>A881</f>
        <v/>
      </c>
      <c r="B882" t="str">
        <f>IF(LEN('Ch7'!H119)=0,"",'Ch7'!H119)</f>
        <v/>
      </c>
      <c r="C882" t="str">
        <f t="shared" si="22"/>
        <v/>
      </c>
      <c r="D882" s="33"/>
      <c r="E882" s="103"/>
      <c r="F882" s="103"/>
      <c r="G882" s="706"/>
      <c r="J882" s="485"/>
    </row>
    <row r="883" spans="1:10" x14ac:dyDescent="0.35">
      <c r="A883" s="403" t="str">
        <f>A882</f>
        <v/>
      </c>
      <c r="B883" t="str">
        <f>IF(LEN('Ch7'!H120)=0,"",'Ch7'!H120)</f>
        <v/>
      </c>
      <c r="C883" t="str">
        <f t="shared" si="22"/>
        <v/>
      </c>
      <c r="D883" s="442"/>
      <c r="E883" s="193"/>
      <c r="F883" s="193"/>
      <c r="G883" s="739"/>
      <c r="J883" s="485"/>
    </row>
    <row r="884" spans="1:10" x14ac:dyDescent="0.35">
      <c r="A884" s="403" t="str">
        <f>IF(AND(LEN('Ch7'!W121)&gt;0,NOT('Ch7'!W121=FALSE)),"P","")</f>
        <v>P</v>
      </c>
      <c r="B884" t="str">
        <f>IF(LEN('Ch7'!H121)=0,"",'Ch7'!H121)</f>
        <v/>
      </c>
      <c r="C884" t="str">
        <f t="shared" si="22"/>
        <v>P</v>
      </c>
      <c r="D884" s="444" t="s">
        <v>1018</v>
      </c>
      <c r="E884" s="439"/>
      <c r="F884" s="439"/>
      <c r="G884" s="753" t="s">
        <v>1019</v>
      </c>
      <c r="H884" s="49" t="b">
        <f>'Ch7'!W121</f>
        <v>1</v>
      </c>
      <c r="J884" s="813" t="s">
        <v>4217</v>
      </c>
    </row>
    <row r="885" spans="1:10" x14ac:dyDescent="0.35">
      <c r="A885" s="403" t="str">
        <f>A884</f>
        <v>P</v>
      </c>
      <c r="B885" t="str">
        <f>IF(LEN('Ch7'!H122)=0,"",'Ch7'!H122)</f>
        <v/>
      </c>
      <c r="C885" t="str">
        <f t="shared" si="22"/>
        <v>P</v>
      </c>
      <c r="D885" s="126"/>
      <c r="E885" s="103"/>
      <c r="F885" s="103"/>
      <c r="G885" s="706"/>
      <c r="J885" s="813"/>
    </row>
    <row r="886" spans="1:10" x14ac:dyDescent="0.35">
      <c r="A886" s="403" t="str">
        <f>A885</f>
        <v>P</v>
      </c>
      <c r="B886" t="str">
        <f>IF(LEN('Ch7'!H123)=0,"",'Ch7'!H123)</f>
        <v/>
      </c>
      <c r="C886" t="str">
        <f t="shared" si="22"/>
        <v>P</v>
      </c>
      <c r="D886" s="126"/>
      <c r="E886" s="103"/>
      <c r="F886" s="103"/>
      <c r="G886" s="706"/>
      <c r="J886" s="813"/>
    </row>
    <row r="887" spans="1:10" x14ac:dyDescent="0.35">
      <c r="A887" s="403" t="str">
        <f>A886</f>
        <v>P</v>
      </c>
      <c r="B887" t="str">
        <f>IF(LEN('Ch7'!H124)=0,"",'Ch7'!H124)</f>
        <v/>
      </c>
      <c r="C887" t="str">
        <f t="shared" si="22"/>
        <v>P</v>
      </c>
      <c r="D887" s="126"/>
      <c r="E887" s="103"/>
      <c r="F887" s="103"/>
      <c r="G887" s="706"/>
      <c r="J887" s="813"/>
    </row>
    <row r="888" spans="1:10" x14ac:dyDescent="0.35">
      <c r="A888" s="403" t="str">
        <f>A887</f>
        <v>P</v>
      </c>
      <c r="B888" t="str">
        <f>IF(LEN('Ch7'!H125)=0,"",'Ch7'!H125)</f>
        <v/>
      </c>
      <c r="C888" t="str">
        <f t="shared" si="22"/>
        <v>P</v>
      </c>
      <c r="D888" s="126"/>
      <c r="E888" s="103"/>
      <c r="F888" s="103"/>
      <c r="G888" s="706"/>
      <c r="J888" s="813"/>
    </row>
    <row r="889" spans="1:10" x14ac:dyDescent="0.35">
      <c r="A889" s="403" t="str">
        <f>A888</f>
        <v>P</v>
      </c>
      <c r="B889" t="str">
        <f>IF(LEN('Ch7'!H126)=0,"",'Ch7'!H126)</f>
        <v/>
      </c>
      <c r="C889" t="str">
        <f t="shared" si="22"/>
        <v>P</v>
      </c>
      <c r="D889" s="149"/>
      <c r="E889" s="193"/>
      <c r="F889" s="193"/>
      <c r="G889" s="739"/>
      <c r="J889" s="813"/>
    </row>
    <row r="890" spans="1:10" x14ac:dyDescent="0.35">
      <c r="A890" s="403" t="str">
        <f>IF(AND(LEN('Ch7'!W127)&gt;0,NOT('Ch7'!W127=FALSE)),"P","")</f>
        <v>P</v>
      </c>
      <c r="B890" t="str">
        <f>IF(LEN('Ch7'!H127)=0,"",'Ch7'!H127)</f>
        <v/>
      </c>
      <c r="C890" t="str">
        <f t="shared" si="22"/>
        <v>P</v>
      </c>
      <c r="D890" s="444" t="s">
        <v>1021</v>
      </c>
      <c r="E890" s="439"/>
      <c r="F890" s="439"/>
      <c r="G890" s="753" t="s">
        <v>1022</v>
      </c>
      <c r="H890" s="49" t="str">
        <f>'Ch7'!W127</f>
        <v>Met</v>
      </c>
      <c r="J890" s="813" t="s">
        <v>4218</v>
      </c>
    </row>
    <row r="891" spans="1:10" x14ac:dyDescent="0.35">
      <c r="A891" s="403" t="str">
        <f>A890</f>
        <v>P</v>
      </c>
      <c r="B891" t="str">
        <f>IF(LEN('Ch7'!H128)=0,"",'Ch7'!H128)</f>
        <v/>
      </c>
      <c r="C891" t="str">
        <f t="shared" si="22"/>
        <v>P</v>
      </c>
      <c r="D891" s="126"/>
      <c r="E891" s="103"/>
      <c r="F891" s="103"/>
      <c r="G891" s="706"/>
      <c r="J891" s="813"/>
    </row>
    <row r="892" spans="1:10" x14ac:dyDescent="0.35">
      <c r="A892" s="403" t="str">
        <f>A891</f>
        <v>P</v>
      </c>
      <c r="B892" t="str">
        <f>IF(LEN('Ch7'!H129)=0,"",'Ch7'!H129)</f>
        <v/>
      </c>
      <c r="C892" t="str">
        <f t="shared" si="22"/>
        <v>P</v>
      </c>
      <c r="D892" s="126"/>
      <c r="E892" s="103"/>
      <c r="F892" s="103"/>
      <c r="G892" s="706"/>
      <c r="J892" s="813"/>
    </row>
    <row r="893" spans="1:10" x14ac:dyDescent="0.35">
      <c r="A893" s="403" t="str">
        <f>A892</f>
        <v>P</v>
      </c>
      <c r="B893" t="str">
        <f>IF(LEN('Ch7'!H130)=0,"",'Ch7'!H130)</f>
        <v/>
      </c>
      <c r="C893" t="str">
        <f t="shared" si="22"/>
        <v>P</v>
      </c>
      <c r="D893" s="126"/>
      <c r="E893" s="103"/>
      <c r="F893" s="103"/>
      <c r="G893" s="706"/>
      <c r="J893" s="813"/>
    </row>
    <row r="894" spans="1:10" x14ac:dyDescent="0.35">
      <c r="A894" s="403" t="str">
        <f>A893</f>
        <v>P</v>
      </c>
      <c r="B894" t="str">
        <f>IF(LEN('Ch7'!H131)=0,"",'Ch7'!H131)</f>
        <v/>
      </c>
      <c r="C894" t="str">
        <f t="shared" si="22"/>
        <v>P</v>
      </c>
      <c r="D894" s="126"/>
      <c r="E894" s="103"/>
      <c r="F894" s="103"/>
      <c r="G894" s="706"/>
      <c r="J894" s="813"/>
    </row>
    <row r="895" spans="1:10" x14ac:dyDescent="0.35">
      <c r="A895" s="403" t="str">
        <f>A894</f>
        <v>P</v>
      </c>
      <c r="B895" t="str">
        <f>IF(LEN('Ch7'!H132)=0,"",'Ch7'!H132)</f>
        <v/>
      </c>
      <c r="C895" t="str">
        <f t="shared" si="22"/>
        <v>P</v>
      </c>
      <c r="D895" s="149"/>
      <c r="E895" s="193"/>
      <c r="F895" s="193"/>
      <c r="G895" s="739"/>
      <c r="J895" s="813"/>
    </row>
    <row r="896" spans="1:10" x14ac:dyDescent="0.35">
      <c r="A896" s="403" t="str">
        <f>IF(OR(H898&lt;&gt;0,H900&lt;&gt;0),"P","")</f>
        <v>P</v>
      </c>
      <c r="B896" t="str">
        <f>IF(LEN('Ch7'!H133)=0,"",'Ch7'!H133)</f>
        <v/>
      </c>
      <c r="C896" t="str">
        <f t="shared" si="22"/>
        <v>P</v>
      </c>
      <c r="D896" s="33" t="s">
        <v>1023</v>
      </c>
      <c r="E896" s="103"/>
      <c r="F896" s="103"/>
      <c r="G896" s="706" t="s">
        <v>1024</v>
      </c>
      <c r="J896" s="814" t="s">
        <v>216</v>
      </c>
    </row>
    <row r="897" spans="1:10" x14ac:dyDescent="0.35">
      <c r="A897" s="403" t="str">
        <f>A896</f>
        <v>P</v>
      </c>
      <c r="B897" t="str">
        <f>IF(LEN('Ch7'!H134)=0,"",'Ch7'!H134)</f>
        <v/>
      </c>
      <c r="C897" t="str">
        <f t="shared" si="22"/>
        <v>P</v>
      </c>
      <c r="D897" s="126"/>
      <c r="E897" s="103"/>
      <c r="F897" s="103"/>
      <c r="G897" s="706"/>
      <c r="J897" s="814"/>
    </row>
    <row r="898" spans="1:10" x14ac:dyDescent="0.35">
      <c r="B898" t="str">
        <f>IF(LEN('Ch7'!H135)=0,"",'Ch7'!H135)</f>
        <v/>
      </c>
      <c r="C898" t="str">
        <f t="shared" si="22"/>
        <v/>
      </c>
      <c r="D898" s="126"/>
      <c r="E898" s="473" t="s">
        <v>270</v>
      </c>
      <c r="F898" s="103"/>
      <c r="G898" s="707" t="s">
        <v>1025</v>
      </c>
      <c r="H898" s="49" t="b">
        <f>'Ch7'!W135</f>
        <v>1</v>
      </c>
      <c r="J898" s="490"/>
    </row>
    <row r="899" spans="1:10" x14ac:dyDescent="0.35">
      <c r="B899" t="str">
        <f>IF(LEN('Ch7'!H136)=0,"",'Ch7'!H136)</f>
        <v/>
      </c>
      <c r="C899" t="str">
        <f t="shared" si="22"/>
        <v/>
      </c>
      <c r="D899" s="126"/>
      <c r="E899" s="474"/>
      <c r="F899" s="193"/>
      <c r="G899" s="709"/>
      <c r="J899" s="495"/>
    </row>
    <row r="900" spans="1:10" x14ac:dyDescent="0.35">
      <c r="B900" t="str">
        <f>IF(LEN('Ch7'!H137)=0,"",'Ch7'!H137)</f>
        <v/>
      </c>
      <c r="C900" t="str">
        <f t="shared" si="22"/>
        <v/>
      </c>
      <c r="D900" s="149"/>
      <c r="E900" s="474" t="s">
        <v>272</v>
      </c>
      <c r="F900" s="193"/>
      <c r="G900" s="214" t="s">
        <v>1026</v>
      </c>
      <c r="H900" s="49">
        <f>'Ch7'!W137</f>
        <v>0</v>
      </c>
      <c r="J900" s="495"/>
    </row>
    <row r="901" spans="1:10" x14ac:dyDescent="0.35">
      <c r="A901" s="403" t="str">
        <f>IF(AND(LEN('Ch7'!W138)&gt;0,NOT('Ch7'!W138=FALSE)),"P","")</f>
        <v/>
      </c>
      <c r="B901" t="str">
        <f>IF(LEN('Ch7'!H138)=0,"",'Ch7'!H138)</f>
        <v/>
      </c>
      <c r="C901" t="str">
        <f t="shared" si="22"/>
        <v/>
      </c>
      <c r="D901" s="33" t="s">
        <v>1027</v>
      </c>
      <c r="E901" s="103"/>
      <c r="F901" s="103"/>
      <c r="G901" s="110" t="s">
        <v>1028</v>
      </c>
      <c r="H901" s="49">
        <f>'Ch7'!W138</f>
        <v>0</v>
      </c>
      <c r="J901" s="485" t="s">
        <v>4177</v>
      </c>
    </row>
    <row r="902" spans="1:10" ht="18.5" x14ac:dyDescent="0.35">
      <c r="A902" s="403" t="s">
        <v>4326</v>
      </c>
      <c r="B902" t="str">
        <f>IF(LEN('Ch7'!H139)=0,"",'Ch7'!H139)</f>
        <v/>
      </c>
      <c r="C902" t="str">
        <f t="shared" si="22"/>
        <v>P</v>
      </c>
      <c r="D902" s="38" t="s">
        <v>1029</v>
      </c>
      <c r="E902" s="173"/>
      <c r="F902" s="173"/>
      <c r="G902" s="47"/>
      <c r="H902" s="47"/>
      <c r="I902" s="47"/>
      <c r="J902" s="494"/>
    </row>
    <row r="903" spans="1:10" x14ac:dyDescent="0.35">
      <c r="B903" t="str">
        <f>IF(LEN('Ch7'!H140)=0,"",'Ch7'!H140)</f>
        <v/>
      </c>
      <c r="C903" t="str">
        <f t="shared" si="22"/>
        <v/>
      </c>
      <c r="D903" s="33">
        <v>702.1</v>
      </c>
      <c r="E903" s="103"/>
      <c r="F903" s="103"/>
      <c r="G903" s="706" t="s">
        <v>1030</v>
      </c>
      <c r="J903" s="485"/>
    </row>
    <row r="904" spans="1:10" ht="15" thickBot="1" x14ac:dyDescent="0.4">
      <c r="B904" t="str">
        <f>IF(LEN('Ch7'!H141)=0,"",'Ch7'!H141)</f>
        <v/>
      </c>
      <c r="C904" t="str">
        <f t="shared" si="22"/>
        <v/>
      </c>
      <c r="D904" s="448"/>
      <c r="E904" s="438"/>
      <c r="F904" s="438"/>
      <c r="G904" s="710"/>
      <c r="J904" s="485"/>
    </row>
    <row r="905" spans="1:10" ht="15" thickTop="1" x14ac:dyDescent="0.35">
      <c r="A905" s="600" t="str">
        <f ca="1">IF(COUNTIF(A906:A910,"P")&gt;0,"P","")</f>
        <v/>
      </c>
      <c r="B905" t="str">
        <f>IF(LEN('Ch7'!H142)=0,"",'Ch7'!H142)</f>
        <v/>
      </c>
      <c r="C905" t="str">
        <f t="shared" ca="1" si="22"/>
        <v/>
      </c>
      <c r="D905" s="63">
        <v>702.2</v>
      </c>
      <c r="E905" s="475"/>
      <c r="F905" s="475"/>
      <c r="G905" s="222" t="s">
        <v>1031</v>
      </c>
      <c r="J905" s="485"/>
    </row>
    <row r="906" spans="1:10" ht="15" customHeight="1" x14ac:dyDescent="0.35">
      <c r="A906" s="403" t="str">
        <f>IF(AND(LEN('Ch7'!W143)&gt;0,NOT('Ch7'!W143=FALSE)),"P","")</f>
        <v/>
      </c>
      <c r="B906" t="str">
        <f>IF(LEN('Ch7'!H143)=0,"",'Ch7'!H143)</f>
        <v/>
      </c>
      <c r="C906" t="str">
        <f t="shared" si="22"/>
        <v/>
      </c>
      <c r="D906" s="33" t="s">
        <v>1032</v>
      </c>
      <c r="E906" s="103"/>
      <c r="F906" s="103"/>
      <c r="G906" s="706" t="s">
        <v>1033</v>
      </c>
      <c r="H906" s="49">
        <f>'Ch7'!W143</f>
        <v>0</v>
      </c>
      <c r="J906" s="804" t="s">
        <v>4753</v>
      </c>
    </row>
    <row r="907" spans="1:10" x14ac:dyDescent="0.35">
      <c r="A907" s="403" t="str">
        <f>A906</f>
        <v/>
      </c>
      <c r="B907" t="str">
        <f>IF(LEN('Ch7'!H144)=0,"",'Ch7'!H144)</f>
        <v/>
      </c>
      <c r="C907" t="str">
        <f t="shared" si="22"/>
        <v/>
      </c>
      <c r="D907" s="126"/>
      <c r="E907" s="103"/>
      <c r="F907" s="103"/>
      <c r="G907" s="706"/>
      <c r="J907" s="805"/>
    </row>
    <row r="908" spans="1:10" x14ac:dyDescent="0.35">
      <c r="A908" s="403" t="str">
        <f>A907</f>
        <v/>
      </c>
      <c r="B908" t="str">
        <f>IF(LEN('Ch7'!H145)=0,"",'Ch7'!H145)</f>
        <v/>
      </c>
      <c r="C908" t="str">
        <f t="shared" ref="C908:C974" si="23">IF(LEN(B908)=0,IF(A908="P","P",""),B908)</f>
        <v/>
      </c>
      <c r="D908" s="126"/>
      <c r="E908" s="103"/>
      <c r="F908" s="103"/>
      <c r="G908" s="706"/>
      <c r="J908" s="805"/>
    </row>
    <row r="909" spans="1:10" x14ac:dyDescent="0.35">
      <c r="A909" s="403" t="str">
        <f>A908</f>
        <v/>
      </c>
      <c r="B909" t="str">
        <f>IF(LEN('Ch7'!H146)=0,"",'Ch7'!H146)</f>
        <v/>
      </c>
      <c r="C909" t="str">
        <f t="shared" si="23"/>
        <v/>
      </c>
      <c r="D909" s="149"/>
      <c r="E909" s="193"/>
      <c r="F909" s="193"/>
      <c r="G909" s="739"/>
      <c r="J909" s="806"/>
    </row>
    <row r="910" spans="1:10" ht="15" customHeight="1" x14ac:dyDescent="0.35">
      <c r="A910" s="403" t="str">
        <f ca="1">IF('Ch7'!O147&gt;0,"P","")</f>
        <v/>
      </c>
      <c r="B910" t="str">
        <f>IF(LEN('Ch7'!H147)=0,"",'Ch7'!H147)</f>
        <v/>
      </c>
      <c r="C910" t="str">
        <f t="shared" ca="1" si="23"/>
        <v/>
      </c>
      <c r="D910" s="33" t="s">
        <v>1034</v>
      </c>
      <c r="E910" s="103"/>
      <c r="F910" s="103"/>
      <c r="G910" s="706" t="s">
        <v>1035</v>
      </c>
      <c r="I910" s="49">
        <f ca="1">'Ch7'!O147</f>
        <v>0</v>
      </c>
      <c r="J910" s="804" t="s">
        <v>4754</v>
      </c>
    </row>
    <row r="911" spans="1:10" x14ac:dyDescent="0.35">
      <c r="A911" s="403" t="str">
        <f ca="1">A910</f>
        <v/>
      </c>
      <c r="B911" t="str">
        <f>IF(LEN('Ch7'!H148)=0,"",'Ch7'!H148)</f>
        <v/>
      </c>
      <c r="C911" t="str">
        <f t="shared" ca="1" si="23"/>
        <v/>
      </c>
      <c r="D911" s="126"/>
      <c r="E911" s="103"/>
      <c r="F911" s="103"/>
      <c r="G911" s="706"/>
      <c r="J911" s="805"/>
    </row>
    <row r="912" spans="1:10" x14ac:dyDescent="0.35">
      <c r="A912" s="403" t="str">
        <f ca="1">A911</f>
        <v/>
      </c>
      <c r="B912" t="str">
        <f>IF(LEN('Ch7'!H149)=0,"",'Ch7'!H149)</f>
        <v/>
      </c>
      <c r="C912" t="str">
        <f t="shared" ca="1" si="23"/>
        <v/>
      </c>
      <c r="D912" s="126"/>
      <c r="E912" s="103"/>
      <c r="F912" s="103"/>
      <c r="G912" s="706"/>
      <c r="H912" s="49">
        <f>'Ch7'!W149</f>
        <v>0</v>
      </c>
      <c r="J912" s="805"/>
    </row>
    <row r="913" spans="1:10" x14ac:dyDescent="0.35">
      <c r="A913" s="403" t="str">
        <f ca="1">A912</f>
        <v/>
      </c>
      <c r="B913" t="str">
        <f>IF(LEN('Ch7'!H150)=0,"",'Ch7'!H150)</f>
        <v/>
      </c>
      <c r="C913" t="str">
        <f t="shared" ca="1" si="23"/>
        <v/>
      </c>
      <c r="D913" s="126"/>
      <c r="E913" s="103"/>
      <c r="F913" s="103"/>
      <c r="G913" s="706"/>
      <c r="J913" s="805"/>
    </row>
    <row r="914" spans="1:10" x14ac:dyDescent="0.35">
      <c r="A914" s="403" t="str">
        <f ca="1">A913</f>
        <v/>
      </c>
      <c r="B914" t="str">
        <f>IF(LEN('Ch7'!H151)=0,"",'Ch7'!H151)</f>
        <v/>
      </c>
      <c r="C914" t="str">
        <f t="shared" ca="1" si="23"/>
        <v/>
      </c>
      <c r="D914" s="126"/>
      <c r="E914" s="103"/>
      <c r="F914" s="103"/>
      <c r="G914" s="706"/>
      <c r="J914" s="805"/>
    </row>
    <row r="915" spans="1:10" ht="207" customHeight="1" x14ac:dyDescent="0.35">
      <c r="A915" s="403" t="str">
        <f ca="1">A914</f>
        <v/>
      </c>
      <c r="B915" t="str">
        <f>IF(LEN('Ch7'!H152)=0,"",'Ch7'!H152)</f>
        <v/>
      </c>
      <c r="C915" t="str">
        <f t="shared" ca="1" si="23"/>
        <v/>
      </c>
      <c r="D915" s="126"/>
      <c r="E915" s="103"/>
      <c r="F915" s="103"/>
      <c r="G915" s="110" t="s">
        <v>1036</v>
      </c>
      <c r="J915" s="806"/>
    </row>
    <row r="916" spans="1:10" x14ac:dyDescent="0.35">
      <c r="B916" t="str">
        <f>IF(LEN('Ch7'!H153)=0,"",'Ch7'!H153)</f>
        <v/>
      </c>
      <c r="C916" t="str">
        <f t="shared" si="23"/>
        <v/>
      </c>
      <c r="D916" s="126"/>
      <c r="E916" s="103"/>
      <c r="F916" s="103"/>
      <c r="G916" s="714" t="s">
        <v>3198</v>
      </c>
      <c r="J916" s="495"/>
    </row>
    <row r="917" spans="1:10" x14ac:dyDescent="0.35">
      <c r="B917" t="str">
        <f>IF(LEN('Ch7'!H154)=0,"",'Ch7'!H154)</f>
        <v/>
      </c>
      <c r="C917" t="str">
        <f t="shared" si="23"/>
        <v/>
      </c>
      <c r="D917" s="126"/>
      <c r="E917" s="103"/>
      <c r="F917" s="103"/>
      <c r="G917" s="714"/>
      <c r="J917" s="495"/>
    </row>
    <row r="918" spans="1:10" x14ac:dyDescent="0.35">
      <c r="B918" t="str">
        <f>IF(LEN('Ch7'!H155)=0,"",'Ch7'!H155)</f>
        <v/>
      </c>
      <c r="C918" t="str">
        <f t="shared" si="23"/>
        <v/>
      </c>
      <c r="D918" s="149"/>
      <c r="E918" s="193"/>
      <c r="F918" s="193"/>
      <c r="G918" s="755"/>
      <c r="J918" s="495"/>
    </row>
    <row r="919" spans="1:10" x14ac:dyDescent="0.35">
      <c r="A919" s="403" t="str">
        <f ca="1">A915</f>
        <v/>
      </c>
      <c r="B919" t="str">
        <f>IF(LEN('Ch7'!H156)=0,"",'Ch7'!H156)</f>
        <v/>
      </c>
      <c r="C919" t="str">
        <f t="shared" ca="1" si="23"/>
        <v/>
      </c>
      <c r="D919" s="444" t="s">
        <v>1037</v>
      </c>
      <c r="E919" s="439"/>
      <c r="F919" s="439"/>
      <c r="G919" s="753" t="s">
        <v>1038</v>
      </c>
      <c r="J919" s="827" t="s">
        <v>4337</v>
      </c>
    </row>
    <row r="920" spans="1:10" x14ac:dyDescent="0.35">
      <c r="A920" s="403" t="str">
        <f ca="1">A919</f>
        <v/>
      </c>
      <c r="B920" t="str">
        <f>IF(LEN('Ch7'!H157)=0,"",'Ch7'!H157)</f>
        <v/>
      </c>
      <c r="C920" t="str">
        <f t="shared" ca="1" si="23"/>
        <v/>
      </c>
      <c r="D920" s="126"/>
      <c r="E920" s="103"/>
      <c r="F920" s="103"/>
      <c r="G920" s="706"/>
      <c r="J920" s="827"/>
    </row>
    <row r="921" spans="1:10" ht="18.5" x14ac:dyDescent="0.35">
      <c r="A921" s="403" t="s">
        <v>4326</v>
      </c>
      <c r="B921" t="str">
        <f>IF(LEN('Ch7'!H158)=0,"",'Ch7'!H158)</f>
        <v/>
      </c>
      <c r="C921" t="str">
        <f t="shared" si="23"/>
        <v>P</v>
      </c>
      <c r="D921" s="38" t="s">
        <v>1039</v>
      </c>
      <c r="E921" s="173"/>
      <c r="F921" s="173"/>
      <c r="G921" s="47"/>
      <c r="H921" s="47"/>
      <c r="I921" s="47"/>
      <c r="J921" s="494"/>
    </row>
    <row r="922" spans="1:10" x14ac:dyDescent="0.35">
      <c r="A922" s="600" t="str">
        <f>IF(COUNTIF(A923:A939,"P")&gt;0,"P","")</f>
        <v>P</v>
      </c>
      <c r="B922" t="str">
        <f>IF(LEN('Ch7'!H159)=0,"",'Ch7'!H159)</f>
        <v/>
      </c>
      <c r="C922" t="str">
        <f t="shared" si="23"/>
        <v>P</v>
      </c>
      <c r="D922" s="33">
        <v>703.1</v>
      </c>
      <c r="E922" s="103"/>
      <c r="F922" s="103"/>
      <c r="G922" s="110" t="s">
        <v>1040</v>
      </c>
      <c r="I922" s="49">
        <f ca="1">'Ch7'!O159</f>
        <v>30</v>
      </c>
      <c r="J922" s="485"/>
    </row>
    <row r="923" spans="1:10" ht="15" customHeight="1" x14ac:dyDescent="0.35">
      <c r="A923" s="403" t="str">
        <f>IF(AND(LEN('Ch7'!W160)&gt;0,NOT('Ch7'!W160=FALSE)),"P","")</f>
        <v>P</v>
      </c>
      <c r="B923" t="str">
        <f>IF(LEN('Ch7'!H160)=0,"",'Ch7'!H160)</f>
        <v/>
      </c>
      <c r="C923" t="str">
        <f t="shared" si="23"/>
        <v>P</v>
      </c>
      <c r="D923" s="33" t="s">
        <v>1041</v>
      </c>
      <c r="E923" s="103"/>
      <c r="F923" s="103"/>
      <c r="G923" s="706" t="s">
        <v>1042</v>
      </c>
      <c r="H923" s="49" t="b">
        <f>'Ch7'!W160</f>
        <v>1</v>
      </c>
      <c r="J923" s="814" t="s">
        <v>4338</v>
      </c>
    </row>
    <row r="924" spans="1:10" x14ac:dyDescent="0.35">
      <c r="A924" s="403" t="str">
        <f>A923</f>
        <v>P</v>
      </c>
      <c r="B924" t="str">
        <f>IF(LEN('Ch7'!H161)=0,"",'Ch7'!H161)</f>
        <v/>
      </c>
      <c r="C924" t="str">
        <f t="shared" si="23"/>
        <v>P</v>
      </c>
      <c r="D924" s="126"/>
      <c r="E924" s="103"/>
      <c r="F924" s="103"/>
      <c r="G924" s="706"/>
      <c r="J924" s="814"/>
    </row>
    <row r="925" spans="1:10" x14ac:dyDescent="0.35">
      <c r="A925" s="403" t="str">
        <f>A924</f>
        <v>P</v>
      </c>
      <c r="B925" t="str">
        <f>IF(LEN('Ch7'!H162)=0,"",'Ch7'!H162)</f>
        <v/>
      </c>
      <c r="C925" t="str">
        <f t="shared" si="23"/>
        <v>P</v>
      </c>
      <c r="D925" s="149"/>
      <c r="E925" s="193"/>
      <c r="F925" s="193"/>
      <c r="G925" s="121" t="s">
        <v>3199</v>
      </c>
      <c r="J925" s="814"/>
    </row>
    <row r="926" spans="1:10" x14ac:dyDescent="0.35">
      <c r="B926" t="str">
        <f>IF(LEN('Ch7'!H163)=0,"",'Ch7'!H163)</f>
        <v/>
      </c>
      <c r="C926" t="str">
        <f t="shared" si="23"/>
        <v/>
      </c>
      <c r="D926" s="444" t="s">
        <v>1044</v>
      </c>
      <c r="E926" s="439"/>
      <c r="F926" s="439"/>
      <c r="G926" s="753" t="s">
        <v>1045</v>
      </c>
      <c r="J926" s="485"/>
    </row>
    <row r="927" spans="1:10" x14ac:dyDescent="0.35">
      <c r="B927" t="str">
        <f>IF(LEN('Ch7'!H164)=0,"",'Ch7'!H164)</f>
        <v/>
      </c>
      <c r="C927" t="str">
        <f t="shared" si="23"/>
        <v/>
      </c>
      <c r="D927" s="126"/>
      <c r="E927" s="103"/>
      <c r="F927" s="103"/>
      <c r="G927" s="706"/>
      <c r="J927" s="485"/>
    </row>
    <row r="928" spans="1:10" x14ac:dyDescent="0.35">
      <c r="B928" t="str">
        <f>IF(LEN('Ch7'!H165)=0,"",'Ch7'!H165)</f>
        <v/>
      </c>
      <c r="C928" t="str">
        <f t="shared" si="23"/>
        <v/>
      </c>
      <c r="D928" s="126"/>
      <c r="E928" s="103"/>
      <c r="F928" s="103"/>
      <c r="G928" s="706"/>
      <c r="J928" s="485"/>
    </row>
    <row r="929" spans="1:10" x14ac:dyDescent="0.35">
      <c r="B929" t="str">
        <f>IF(LEN('Ch7'!H166)=0,"",'Ch7'!H166)</f>
        <v/>
      </c>
      <c r="C929" t="str">
        <f t="shared" si="23"/>
        <v/>
      </c>
      <c r="D929" s="126"/>
      <c r="E929" s="103"/>
      <c r="F929" s="103"/>
      <c r="G929" s="706"/>
      <c r="J929" s="485"/>
    </row>
    <row r="930" spans="1:10" x14ac:dyDescent="0.35">
      <c r="B930" t="str">
        <f>IF(LEN('Ch7'!H167)=0,"",'Ch7'!H167)</f>
        <v/>
      </c>
      <c r="C930" t="str">
        <f t="shared" si="23"/>
        <v/>
      </c>
      <c r="D930" s="126"/>
      <c r="E930" s="103"/>
      <c r="F930" s="103"/>
      <c r="G930" s="706"/>
      <c r="J930" s="485"/>
    </row>
    <row r="931" spans="1:10" x14ac:dyDescent="0.35">
      <c r="B931" t="str">
        <f>IF(LEN('Ch7'!H168)=0,"",'Ch7'!H168)</f>
        <v/>
      </c>
      <c r="C931" t="str">
        <f t="shared" si="23"/>
        <v/>
      </c>
      <c r="D931" s="149"/>
      <c r="E931" s="193"/>
      <c r="F931" s="193"/>
      <c r="G931" s="739"/>
      <c r="J931" s="485"/>
    </row>
    <row r="932" spans="1:10" x14ac:dyDescent="0.35">
      <c r="B932" t="str">
        <f>IF(LEN('Ch7'!H169)=0,"",'Ch7'!H169)</f>
        <v/>
      </c>
      <c r="C932" t="str">
        <f t="shared" si="23"/>
        <v/>
      </c>
      <c r="D932" s="444" t="s">
        <v>1047</v>
      </c>
      <c r="E932" s="439"/>
      <c r="F932" s="439"/>
      <c r="G932" s="753" t="s">
        <v>1048</v>
      </c>
      <c r="J932" s="485"/>
    </row>
    <row r="933" spans="1:10" x14ac:dyDescent="0.35">
      <c r="B933" t="str">
        <f>IF(LEN('Ch7'!H170)=0,"",'Ch7'!H170)</f>
        <v/>
      </c>
      <c r="C933" t="str">
        <f t="shared" si="23"/>
        <v/>
      </c>
      <c r="D933" s="126"/>
      <c r="E933" s="103"/>
      <c r="F933" s="103"/>
      <c r="G933" s="706"/>
      <c r="J933" s="485"/>
    </row>
    <row r="934" spans="1:10" x14ac:dyDescent="0.35">
      <c r="B934" t="str">
        <f>IF(LEN('Ch7'!H171)=0,"",'Ch7'!H171)</f>
        <v/>
      </c>
      <c r="C934" t="str">
        <f t="shared" si="23"/>
        <v/>
      </c>
      <c r="D934" s="126"/>
      <c r="E934" s="103"/>
      <c r="F934" s="103"/>
      <c r="G934" s="706"/>
      <c r="J934" s="485"/>
    </row>
    <row r="935" spans="1:10" x14ac:dyDescent="0.35">
      <c r="B935" t="str">
        <f>IF(LEN('Ch7'!H172)=0,"",'Ch7'!H172)</f>
        <v/>
      </c>
      <c r="C935" t="str">
        <f t="shared" si="23"/>
        <v/>
      </c>
      <c r="D935" s="149"/>
      <c r="E935" s="193"/>
      <c r="F935" s="193"/>
      <c r="G935" s="739"/>
      <c r="J935" s="485"/>
    </row>
    <row r="936" spans="1:10" x14ac:dyDescent="0.35">
      <c r="A936" s="403" t="str">
        <f>IF(AND(LEN('Ch7'!W173)&gt;0,NOT('Ch7'!W173=FALSE)),"P","")</f>
        <v>P</v>
      </c>
      <c r="B936" t="str">
        <f>IF(LEN('Ch7'!H173)=0,"",'Ch7'!H173)</f>
        <v/>
      </c>
      <c r="C936" t="str">
        <f t="shared" si="23"/>
        <v>P</v>
      </c>
      <c r="D936" s="33" t="s">
        <v>1049</v>
      </c>
      <c r="E936" s="103"/>
      <c r="F936" s="103"/>
      <c r="G936" s="706" t="s">
        <v>1050</v>
      </c>
      <c r="H936" s="49" t="b">
        <f>'Ch7'!W173</f>
        <v>1</v>
      </c>
      <c r="J936" s="804" t="s">
        <v>4755</v>
      </c>
    </row>
    <row r="937" spans="1:10" ht="51" customHeight="1" x14ac:dyDescent="0.35">
      <c r="A937" s="403" t="str">
        <f>A936</f>
        <v>P</v>
      </c>
      <c r="B937" t="str">
        <f>IF(LEN('Ch7'!H174)=0,"",'Ch7'!H174)</f>
        <v/>
      </c>
      <c r="C937" t="str">
        <f t="shared" si="23"/>
        <v>P</v>
      </c>
      <c r="D937" s="126"/>
      <c r="E937" s="103"/>
      <c r="F937" s="103"/>
      <c r="G937" s="706"/>
      <c r="J937" s="806"/>
    </row>
    <row r="938" spans="1:10" x14ac:dyDescent="0.35">
      <c r="B938" t="str">
        <f>IF(LEN('Ch7'!H175)=0,"",'Ch7'!H175)</f>
        <v/>
      </c>
      <c r="C938" t="str">
        <f t="shared" si="23"/>
        <v/>
      </c>
      <c r="D938" s="149"/>
      <c r="E938" s="193"/>
      <c r="F938" s="193"/>
      <c r="G938" s="121" t="s">
        <v>3755</v>
      </c>
      <c r="J938" s="485"/>
    </row>
    <row r="939" spans="1:10" x14ac:dyDescent="0.35">
      <c r="A939" s="403" t="str">
        <f>IF(AND(LEN('Ch7'!W176)&gt;0,NOT('Ch7'!W176=FALSE)),"P","")</f>
        <v>P</v>
      </c>
      <c r="B939" t="str">
        <f>IF(LEN('Ch7'!H176)=0,"",'Ch7'!H176)</f>
        <v/>
      </c>
      <c r="C939" t="str">
        <f t="shared" si="23"/>
        <v>P</v>
      </c>
      <c r="D939" s="444" t="s">
        <v>1051</v>
      </c>
      <c r="E939" s="439"/>
      <c r="F939" s="439"/>
      <c r="G939" s="753" t="s">
        <v>1052</v>
      </c>
      <c r="H939" s="49" t="b">
        <f>'Ch7'!W176</f>
        <v>1</v>
      </c>
      <c r="J939" s="821" t="s">
        <v>4339</v>
      </c>
    </row>
    <row r="940" spans="1:10" x14ac:dyDescent="0.35">
      <c r="A940" s="403" t="str">
        <f t="shared" ref="A940:A943" si="24">A939</f>
        <v>P</v>
      </c>
      <c r="B940" t="str">
        <f>IF(LEN('Ch7'!H177)=0,"",'Ch7'!H177)</f>
        <v/>
      </c>
      <c r="C940" t="str">
        <f t="shared" ref="C940:C942" si="25">IF(LEN(B940)=0,IF(A940="P","P",""),B940)</f>
        <v>P</v>
      </c>
      <c r="D940" s="33"/>
      <c r="E940" s="103"/>
      <c r="F940" s="103"/>
      <c r="G940" s="706"/>
      <c r="J940" s="821"/>
    </row>
    <row r="941" spans="1:10" x14ac:dyDescent="0.35">
      <c r="A941" s="403" t="str">
        <f t="shared" si="24"/>
        <v>P</v>
      </c>
      <c r="B941" t="str">
        <f>IF(LEN('Ch7'!H178)=0,"",'Ch7'!H178)</f>
        <v/>
      </c>
      <c r="C941" t="str">
        <f t="shared" si="25"/>
        <v>P</v>
      </c>
      <c r="D941" s="33"/>
      <c r="E941" s="103"/>
      <c r="F941" s="103"/>
      <c r="G941" s="706"/>
      <c r="J941" s="821"/>
    </row>
    <row r="942" spans="1:10" x14ac:dyDescent="0.35">
      <c r="A942" s="403" t="str">
        <f t="shared" si="24"/>
        <v>P</v>
      </c>
      <c r="B942" t="str">
        <f>IF(LEN('Ch7'!H179)=0,"",'Ch7'!H179)</f>
        <v/>
      </c>
      <c r="C942" t="str">
        <f t="shared" si="25"/>
        <v>P</v>
      </c>
      <c r="D942" s="33"/>
      <c r="E942" s="103"/>
      <c r="F942" s="103"/>
      <c r="G942" s="706"/>
      <c r="J942" s="821"/>
    </row>
    <row r="943" spans="1:10" ht="15" thickBot="1" x14ac:dyDescent="0.4">
      <c r="A943" s="403" t="str">
        <f t="shared" si="24"/>
        <v>P</v>
      </c>
      <c r="B943" t="str">
        <f>IF(LEN('Ch7'!H180)=0,"",'Ch7'!H180)</f>
        <v/>
      </c>
      <c r="C943" t="str">
        <f t="shared" si="23"/>
        <v>P</v>
      </c>
      <c r="D943" s="448"/>
      <c r="E943" s="438"/>
      <c r="F943" s="438"/>
      <c r="G943" s="710"/>
      <c r="J943" s="821"/>
    </row>
    <row r="944" spans="1:10" x14ac:dyDescent="0.35">
      <c r="A944" s="600" t="str">
        <f ca="1">IF(COUNTIF(A945:A984,"P")&gt;0,"P","")</f>
        <v>P</v>
      </c>
      <c r="B944" t="str">
        <f>IF(LEN('Ch7'!H181)=0,"",'Ch7'!H181)</f>
        <v/>
      </c>
      <c r="C944" t="str">
        <f t="shared" ca="1" si="23"/>
        <v>P</v>
      </c>
      <c r="D944" s="33">
        <v>703.2</v>
      </c>
      <c r="E944" s="103"/>
      <c r="F944" s="103"/>
      <c r="G944" s="110" t="s">
        <v>1053</v>
      </c>
      <c r="J944" s="485"/>
    </row>
    <row r="945" spans="1:10" ht="15" customHeight="1" x14ac:dyDescent="0.35">
      <c r="A945" s="403" t="str">
        <f>IF('Ch7'!O182&gt;0,"P","")</f>
        <v/>
      </c>
      <c r="B945" t="str">
        <f>IF(LEN('Ch7'!H182)=0,"",'Ch7'!H182)</f>
        <v/>
      </c>
      <c r="C945" t="str">
        <f t="shared" si="23"/>
        <v/>
      </c>
      <c r="D945" s="33" t="s">
        <v>1054</v>
      </c>
      <c r="E945" s="103"/>
      <c r="F945" s="103"/>
      <c r="G945" s="706" t="s">
        <v>1055</v>
      </c>
      <c r="H945" s="49">
        <f>'Ch7'!W182</f>
        <v>0</v>
      </c>
      <c r="I945" s="49">
        <f>'Ch7'!O182</f>
        <v>0</v>
      </c>
      <c r="J945" s="814" t="s">
        <v>4292</v>
      </c>
    </row>
    <row r="946" spans="1:10" x14ac:dyDescent="0.35">
      <c r="A946" s="403" t="str">
        <f>A945</f>
        <v/>
      </c>
      <c r="B946" t="str">
        <f>IF(LEN('Ch7'!H183)=0,"",'Ch7'!H183)</f>
        <v/>
      </c>
      <c r="C946" t="str">
        <f t="shared" si="23"/>
        <v/>
      </c>
      <c r="D946" s="126"/>
      <c r="E946" s="103"/>
      <c r="F946" s="103"/>
      <c r="G946" s="706"/>
      <c r="J946" s="814"/>
    </row>
    <row r="947" spans="1:10" x14ac:dyDescent="0.35">
      <c r="A947" s="403" t="str">
        <f>A946</f>
        <v/>
      </c>
      <c r="B947" t="str">
        <f>IF(LEN('Ch7'!H184)=0,"",'Ch7'!H184)</f>
        <v/>
      </c>
      <c r="C947" t="str">
        <f t="shared" si="23"/>
        <v/>
      </c>
      <c r="D947" s="126"/>
      <c r="E947" s="103"/>
      <c r="F947" s="103"/>
      <c r="G947" s="706"/>
      <c r="H947" s="49">
        <f>'Ch7'!W184</f>
        <v>0</v>
      </c>
      <c r="J947" s="814"/>
    </row>
    <row r="948" spans="1:10" x14ac:dyDescent="0.35">
      <c r="A948" s="403" t="str">
        <f>A947</f>
        <v/>
      </c>
      <c r="B948" t="str">
        <f>IF(LEN('Ch7'!H185)=0,"",'Ch7'!H185)</f>
        <v/>
      </c>
      <c r="C948" t="str">
        <f t="shared" si="23"/>
        <v/>
      </c>
      <c r="D948" s="126"/>
      <c r="E948" s="103"/>
      <c r="F948" s="103"/>
      <c r="G948" s="706"/>
      <c r="J948" s="814"/>
    </row>
    <row r="949" spans="1:10" x14ac:dyDescent="0.35">
      <c r="A949" s="403" t="str">
        <f>A948</f>
        <v/>
      </c>
      <c r="B949" t="str">
        <f>IF(LEN('Ch7'!H186)=0,"",'Ch7'!H186)</f>
        <v/>
      </c>
      <c r="C949" t="str">
        <f t="shared" si="23"/>
        <v/>
      </c>
      <c r="D949" s="126"/>
      <c r="E949" s="103"/>
      <c r="F949" s="103"/>
      <c r="G949" s="706"/>
      <c r="J949" s="814"/>
    </row>
    <row r="950" spans="1:10" x14ac:dyDescent="0.35">
      <c r="A950" s="403" t="str">
        <f>A949</f>
        <v/>
      </c>
      <c r="B950" t="str">
        <f>IF(LEN('Ch7'!H187)=0,"",'Ch7'!H187)</f>
        <v/>
      </c>
      <c r="C950" t="str">
        <f t="shared" si="23"/>
        <v/>
      </c>
      <c r="D950" s="126"/>
      <c r="E950" s="103"/>
      <c r="F950" s="103"/>
      <c r="G950" s="706"/>
      <c r="J950" s="814"/>
    </row>
    <row r="951" spans="1:10" x14ac:dyDescent="0.35">
      <c r="B951" t="str">
        <f>IF(LEN('Ch7'!H188)=0,"",'Ch7'!H188)</f>
        <v/>
      </c>
      <c r="C951" t="str">
        <f t="shared" si="23"/>
        <v/>
      </c>
      <c r="D951" s="149"/>
      <c r="E951" s="193"/>
      <c r="F951" s="193"/>
      <c r="G951" s="366" t="s">
        <v>3756</v>
      </c>
      <c r="J951" s="485"/>
    </row>
    <row r="952" spans="1:10" x14ac:dyDescent="0.35">
      <c r="A952" s="403" t="str">
        <f>IF('Ch7'!O189&gt;0,"P","")</f>
        <v/>
      </c>
      <c r="B952" t="str">
        <f>IF(LEN('Ch7'!H189)=0,"",'Ch7'!H189)</f>
        <v/>
      </c>
      <c r="C952" t="str">
        <f t="shared" si="23"/>
        <v/>
      </c>
      <c r="D952" s="444" t="s">
        <v>1057</v>
      </c>
      <c r="E952" s="439"/>
      <c r="F952" s="439"/>
      <c r="G952" s="753" t="s">
        <v>1058</v>
      </c>
      <c r="I952" s="49">
        <f>'Ch7'!O189</f>
        <v>0</v>
      </c>
      <c r="J952" s="813" t="s">
        <v>4177</v>
      </c>
    </row>
    <row r="953" spans="1:10" x14ac:dyDescent="0.35">
      <c r="A953" s="403" t="str">
        <f>A952</f>
        <v/>
      </c>
      <c r="B953" t="str">
        <f>IF(LEN('Ch7'!H190)=0,"",'Ch7'!H190)</f>
        <v/>
      </c>
      <c r="C953" t="str">
        <f t="shared" si="23"/>
        <v/>
      </c>
      <c r="D953" s="149"/>
      <c r="E953" s="193"/>
      <c r="F953" s="193"/>
      <c r="G953" s="739"/>
      <c r="H953" s="49">
        <f>'Ch7'!W190</f>
        <v>0</v>
      </c>
      <c r="J953" s="813"/>
    </row>
    <row r="954" spans="1:10" x14ac:dyDescent="0.35">
      <c r="A954" s="403" t="str">
        <f>IF(AND(LEN('Ch7'!W191)&gt;0,NOT('Ch7'!W191=FALSE)),"P","")</f>
        <v/>
      </c>
      <c r="B954" t="str">
        <f>IF(LEN('Ch7'!H191)=0,"",'Ch7'!H191)</f>
        <v/>
      </c>
      <c r="C954" t="str">
        <f t="shared" si="23"/>
        <v/>
      </c>
      <c r="D954" s="444" t="s">
        <v>1060</v>
      </c>
      <c r="E954" s="439"/>
      <c r="F954" s="439"/>
      <c r="G954" s="753" t="s">
        <v>1061</v>
      </c>
      <c r="H954" s="49">
        <f>'Ch7'!W191</f>
        <v>0</v>
      </c>
      <c r="I954" s="49">
        <f ca="1">'Ch7'!O191</f>
        <v>0</v>
      </c>
      <c r="J954" s="813" t="s">
        <v>4219</v>
      </c>
    </row>
    <row r="955" spans="1:10" x14ac:dyDescent="0.35">
      <c r="A955" s="403" t="str">
        <f>A954</f>
        <v/>
      </c>
      <c r="B955" t="str">
        <f>IF(LEN('Ch7'!H192)=0,"",'Ch7'!H192)</f>
        <v/>
      </c>
      <c r="C955" t="str">
        <f t="shared" si="23"/>
        <v/>
      </c>
      <c r="D955" s="126"/>
      <c r="E955" s="103"/>
      <c r="F955" s="103"/>
      <c r="G955" s="706"/>
      <c r="J955" s="813"/>
    </row>
    <row r="956" spans="1:10" x14ac:dyDescent="0.35">
      <c r="A956" s="403" t="str">
        <f>A955</f>
        <v/>
      </c>
      <c r="B956" t="str">
        <f>IF(LEN('Ch7'!H193)=0,"",'Ch7'!H193)</f>
        <v/>
      </c>
      <c r="C956" t="str">
        <f t="shared" si="23"/>
        <v/>
      </c>
      <c r="D956" s="149"/>
      <c r="E956" s="193"/>
      <c r="F956" s="193"/>
      <c r="G956" s="739"/>
      <c r="J956" s="813"/>
    </row>
    <row r="957" spans="1:10" x14ac:dyDescent="0.35">
      <c r="A957" s="403" t="str">
        <f ca="1">IF('Ch7'!O194&gt;0,"P","")</f>
        <v/>
      </c>
      <c r="B957" t="str">
        <f>IF(LEN('Ch7'!H194)=0,"",'Ch7'!H194)</f>
        <v/>
      </c>
      <c r="C957" t="str">
        <f t="shared" ca="1" si="23"/>
        <v/>
      </c>
      <c r="D957" s="444" t="s">
        <v>1062</v>
      </c>
      <c r="E957" s="439"/>
      <c r="F957" s="439"/>
      <c r="G957" s="753" t="s">
        <v>1063</v>
      </c>
      <c r="I957" s="49">
        <f ca="1">'Ch7'!O194</f>
        <v>0</v>
      </c>
      <c r="J957" s="813" t="s">
        <v>4220</v>
      </c>
    </row>
    <row r="958" spans="1:10" x14ac:dyDescent="0.35">
      <c r="A958" s="403" t="str">
        <f ca="1">A957</f>
        <v/>
      </c>
      <c r="B958" t="str">
        <f>IF(LEN('Ch7'!H195)=0,"",'Ch7'!H195)</f>
        <v/>
      </c>
      <c r="C958" t="str">
        <f t="shared" ca="1" si="23"/>
        <v/>
      </c>
      <c r="D958" s="126"/>
      <c r="E958" s="103"/>
      <c r="F958" s="103"/>
      <c r="G958" s="706"/>
      <c r="H958" s="49">
        <f>'Ch7'!W196</f>
        <v>3</v>
      </c>
      <c r="J958" s="813"/>
    </row>
    <row r="959" spans="1:10" x14ac:dyDescent="0.35">
      <c r="A959" s="403" t="str">
        <f ca="1">A958</f>
        <v/>
      </c>
      <c r="B959" t="str">
        <f>IF(LEN('Ch7'!H196)=0,"",'Ch7'!H196)</f>
        <v/>
      </c>
      <c r="C959" t="str">
        <f t="shared" ca="1" si="23"/>
        <v/>
      </c>
      <c r="D959" s="149"/>
      <c r="E959" s="193"/>
      <c r="F959" s="193"/>
      <c r="G959" s="739"/>
      <c r="J959" s="813"/>
    </row>
    <row r="960" spans="1:10" x14ac:dyDescent="0.35">
      <c r="A960" s="600" t="str">
        <f>IF(COUNTIF(A961:A984,"P")&gt;0,"P","")</f>
        <v>P</v>
      </c>
      <c r="B960" t="str">
        <f>IF(LEN('Ch7'!H197)=0,"",'Ch7'!H197)</f>
        <v/>
      </c>
      <c r="C960" t="str">
        <f t="shared" si="23"/>
        <v>P</v>
      </c>
      <c r="D960" s="33" t="s">
        <v>1065</v>
      </c>
      <c r="E960" s="103"/>
      <c r="F960" s="103"/>
      <c r="G960" s="110" t="s">
        <v>1066</v>
      </c>
      <c r="J960" s="485"/>
    </row>
    <row r="961" spans="1:10" x14ac:dyDescent="0.35">
      <c r="A961" s="403" t="str">
        <f>IF(AND(LEN('Ch7'!W198)&gt;0,NOT('Ch7'!W198=FALSE)),"P","")</f>
        <v>P</v>
      </c>
      <c r="B961" t="str">
        <f>IF(LEN('Ch7'!H198)=0,"",'Ch7'!H198)</f>
        <v/>
      </c>
      <c r="C961" t="str">
        <f t="shared" si="23"/>
        <v>P</v>
      </c>
      <c r="D961" s="33" t="s">
        <v>1067</v>
      </c>
      <c r="E961" s="103"/>
      <c r="F961" s="103"/>
      <c r="G961" s="707" t="s">
        <v>1068</v>
      </c>
      <c r="H961" s="49" t="b">
        <f>'Ch7'!W198</f>
        <v>1</v>
      </c>
      <c r="J961" s="821" t="s">
        <v>4340</v>
      </c>
    </row>
    <row r="962" spans="1:10" x14ac:dyDescent="0.35">
      <c r="A962" s="403" t="str">
        <f>A961</f>
        <v>P</v>
      </c>
      <c r="B962" t="str">
        <f>IF(LEN('Ch7'!H199)=0,"",'Ch7'!H199)</f>
        <v/>
      </c>
      <c r="C962" t="str">
        <f t="shared" si="23"/>
        <v>P</v>
      </c>
      <c r="D962" s="126"/>
      <c r="E962" s="103"/>
      <c r="F962" s="103"/>
      <c r="G962" s="707"/>
      <c r="J962" s="821"/>
    </row>
    <row r="963" spans="1:10" x14ac:dyDescent="0.35">
      <c r="A963" s="403" t="str">
        <f>A962</f>
        <v>P</v>
      </c>
      <c r="B963" t="str">
        <f>IF(LEN('Ch7'!H200)=0,"",'Ch7'!H200)</f>
        <v/>
      </c>
      <c r="C963" t="str">
        <f t="shared" si="23"/>
        <v>P</v>
      </c>
      <c r="D963" s="126"/>
      <c r="E963" s="103"/>
      <c r="F963" s="103"/>
      <c r="G963" s="707"/>
      <c r="J963" s="821"/>
    </row>
    <row r="964" spans="1:10" x14ac:dyDescent="0.35">
      <c r="A964" s="403" t="str">
        <f>A963</f>
        <v>P</v>
      </c>
      <c r="B964" t="str">
        <f>IF(LEN('Ch7'!H201)=0,"",'Ch7'!H201)</f>
        <v/>
      </c>
      <c r="C964" t="str">
        <f t="shared" si="23"/>
        <v>P</v>
      </c>
      <c r="D964" s="126"/>
      <c r="E964" s="103"/>
      <c r="F964" s="103"/>
      <c r="G964" s="707"/>
      <c r="J964" s="821"/>
    </row>
    <row r="965" spans="1:10" x14ac:dyDescent="0.35">
      <c r="A965" s="403" t="str">
        <f>A964</f>
        <v>P</v>
      </c>
      <c r="B965" t="str">
        <f>IF(LEN('Ch7'!H202)=0,"",'Ch7'!H202)</f>
        <v/>
      </c>
      <c r="C965" t="str">
        <f t="shared" si="23"/>
        <v>P</v>
      </c>
      <c r="D965" s="126"/>
      <c r="E965" s="103"/>
      <c r="F965" s="103"/>
      <c r="G965" s="707"/>
      <c r="J965" s="821"/>
    </row>
    <row r="966" spans="1:10" x14ac:dyDescent="0.35">
      <c r="A966" s="403" t="str">
        <f>A965</f>
        <v>P</v>
      </c>
      <c r="B966" t="str">
        <f>IF(LEN('Ch7'!H203)=0,"",'Ch7'!H203)</f>
        <v/>
      </c>
      <c r="C966" t="str">
        <f t="shared" si="23"/>
        <v>P</v>
      </c>
      <c r="D966" s="126"/>
      <c r="E966" s="103"/>
      <c r="F966" s="103"/>
      <c r="G966" s="707"/>
      <c r="J966" s="821"/>
    </row>
    <row r="967" spans="1:10" x14ac:dyDescent="0.35">
      <c r="B967" t="str">
        <f>IF(LEN('Ch7'!H204)=0,"",'Ch7'!H204)</f>
        <v/>
      </c>
      <c r="C967" t="str">
        <f t="shared" si="23"/>
        <v/>
      </c>
      <c r="D967" s="149"/>
      <c r="E967" s="193"/>
      <c r="F967" s="193"/>
      <c r="G967" s="366" t="s">
        <v>4041</v>
      </c>
      <c r="J967" s="485"/>
    </row>
    <row r="968" spans="1:10" x14ac:dyDescent="0.35">
      <c r="A968" s="403" t="str">
        <f>IF(AND(LEN('Ch7'!W205)&gt;0,NOT('Ch7'!W205=FALSE)),"P","")</f>
        <v>P</v>
      </c>
      <c r="B968" t="str">
        <f>IF(LEN('Ch7'!H205)=0,"",'Ch7'!H205)</f>
        <v/>
      </c>
      <c r="C968" t="str">
        <f t="shared" si="23"/>
        <v>P</v>
      </c>
      <c r="D968" s="444" t="s">
        <v>1069</v>
      </c>
      <c r="E968" s="439"/>
      <c r="F968" s="439"/>
      <c r="G968" s="753" t="s">
        <v>1070</v>
      </c>
      <c r="H968" s="49" t="str">
        <f>'Ch7'!W205</f>
        <v>N/A</v>
      </c>
      <c r="J968" s="813" t="s">
        <v>4221</v>
      </c>
    </row>
    <row r="969" spans="1:10" x14ac:dyDescent="0.35">
      <c r="A969" s="403" t="str">
        <f t="shared" ref="A969:A975" si="26">A968</f>
        <v>P</v>
      </c>
      <c r="B969" t="str">
        <f>IF(LEN('Ch7'!H206)=0,"",'Ch7'!H206)</f>
        <v/>
      </c>
      <c r="C969" t="str">
        <f t="shared" si="23"/>
        <v>P</v>
      </c>
      <c r="D969" s="126"/>
      <c r="E969" s="103"/>
      <c r="F969" s="103"/>
      <c r="G969" s="706"/>
      <c r="J969" s="813"/>
    </row>
    <row r="970" spans="1:10" x14ac:dyDescent="0.35">
      <c r="A970" s="403" t="str">
        <f t="shared" si="26"/>
        <v>P</v>
      </c>
      <c r="B970" t="str">
        <f>IF(LEN('Ch7'!H207)=0,"",'Ch7'!H207)</f>
        <v/>
      </c>
      <c r="C970" t="str">
        <f t="shared" si="23"/>
        <v>P</v>
      </c>
      <c r="D970" s="126"/>
      <c r="E970" s="103"/>
      <c r="F970" s="103"/>
      <c r="G970" s="706"/>
      <c r="J970" s="813"/>
    </row>
    <row r="971" spans="1:10" x14ac:dyDescent="0.35">
      <c r="A971" s="403" t="str">
        <f t="shared" si="26"/>
        <v>P</v>
      </c>
      <c r="B971" t="str">
        <f>IF(LEN('Ch7'!H208)=0,"",'Ch7'!H208)</f>
        <v/>
      </c>
      <c r="C971" t="str">
        <f t="shared" si="23"/>
        <v>P</v>
      </c>
      <c r="D971" s="126"/>
      <c r="E971" s="103"/>
      <c r="F971" s="103"/>
      <c r="G971" s="706"/>
      <c r="J971" s="813"/>
    </row>
    <row r="972" spans="1:10" x14ac:dyDescent="0.35">
      <c r="A972" s="403" t="str">
        <f t="shared" si="26"/>
        <v>P</v>
      </c>
      <c r="B972" t="str">
        <f>IF(LEN('Ch7'!H209)=0,"",'Ch7'!H209)</f>
        <v/>
      </c>
      <c r="C972" t="str">
        <f t="shared" si="23"/>
        <v>P</v>
      </c>
      <c r="D972" s="126"/>
      <c r="E972" s="103"/>
      <c r="F972" s="103"/>
      <c r="G972" s="706"/>
      <c r="J972" s="813"/>
    </row>
    <row r="973" spans="1:10" x14ac:dyDescent="0.35">
      <c r="A973" s="403" t="str">
        <f t="shared" si="26"/>
        <v>P</v>
      </c>
      <c r="B973" t="str">
        <f>IF(LEN('Ch7'!H210)=0,"",'Ch7'!H210)</f>
        <v/>
      </c>
      <c r="C973" t="str">
        <f t="shared" si="23"/>
        <v>P</v>
      </c>
      <c r="D973" s="126"/>
      <c r="E973" s="103"/>
      <c r="F973" s="103"/>
      <c r="G973" s="706"/>
      <c r="J973" s="813"/>
    </row>
    <row r="974" spans="1:10" x14ac:dyDescent="0.35">
      <c r="A974" s="403" t="str">
        <f t="shared" si="26"/>
        <v>P</v>
      </c>
      <c r="B974" t="str">
        <f>IF(LEN('Ch7'!H211)=0,"",'Ch7'!H211)</f>
        <v/>
      </c>
      <c r="C974" t="str">
        <f t="shared" si="23"/>
        <v>P</v>
      </c>
      <c r="D974" s="126"/>
      <c r="E974" s="103"/>
      <c r="F974" s="103"/>
      <c r="G974" s="706"/>
      <c r="J974" s="813"/>
    </row>
    <row r="975" spans="1:10" x14ac:dyDescent="0.35">
      <c r="A975" s="403" t="str">
        <f t="shared" si="26"/>
        <v>P</v>
      </c>
      <c r="B975" t="str">
        <f>IF(LEN('Ch7'!H212)=0,"",'Ch7'!H212)</f>
        <v/>
      </c>
      <c r="C975" t="str">
        <f t="shared" ref="C975:C1038" si="27">IF(LEN(B975)=0,IF(A975="P","P",""),B975)</f>
        <v>P</v>
      </c>
      <c r="D975" s="149"/>
      <c r="E975" s="193"/>
      <c r="F975" s="193"/>
      <c r="G975" s="739"/>
      <c r="J975" s="813"/>
    </row>
    <row r="976" spans="1:10" x14ac:dyDescent="0.35">
      <c r="A976" s="403" t="str">
        <f>IF(AND(LEN('Ch7'!W213)&gt;0,NOT('Ch7'!W213=FALSE)),"P","")</f>
        <v/>
      </c>
      <c r="B976" t="str">
        <f>IF(LEN('Ch7'!H213)=0,"",'Ch7'!H213)</f>
        <v/>
      </c>
      <c r="C976" t="str">
        <f t="shared" si="27"/>
        <v/>
      </c>
      <c r="D976" s="33" t="s">
        <v>1071</v>
      </c>
      <c r="E976" s="103"/>
      <c r="F976" s="103"/>
      <c r="G976" s="706" t="s">
        <v>1072</v>
      </c>
      <c r="H976" s="49">
        <f>'Ch7'!W213</f>
        <v>0</v>
      </c>
      <c r="I976" s="49">
        <f ca="1">'Ch7'!O213</f>
        <v>0</v>
      </c>
      <c r="J976" s="814" t="s">
        <v>4221</v>
      </c>
    </row>
    <row r="977" spans="1:10" x14ac:dyDescent="0.35">
      <c r="A977" s="403" t="str">
        <f>A976</f>
        <v/>
      </c>
      <c r="B977" t="str">
        <f>IF(LEN('Ch7'!H214)=0,"",'Ch7'!H214)</f>
        <v/>
      </c>
      <c r="C977" t="str">
        <f t="shared" si="27"/>
        <v/>
      </c>
      <c r="D977" s="126"/>
      <c r="E977" s="103"/>
      <c r="F977" s="103"/>
      <c r="G977" s="706"/>
      <c r="J977" s="814"/>
    </row>
    <row r="978" spans="1:10" x14ac:dyDescent="0.35">
      <c r="A978" s="403" t="str">
        <f>A977</f>
        <v/>
      </c>
      <c r="B978" t="str">
        <f>IF(LEN('Ch7'!H215)=0,"",'Ch7'!H215)</f>
        <v/>
      </c>
      <c r="C978" t="str">
        <f t="shared" si="27"/>
        <v/>
      </c>
      <c r="D978" s="126"/>
      <c r="E978" s="103"/>
      <c r="F978" s="103"/>
      <c r="G978" s="706"/>
      <c r="J978" s="814"/>
    </row>
    <row r="979" spans="1:10" x14ac:dyDescent="0.35">
      <c r="A979" s="403" t="str">
        <f>A978</f>
        <v/>
      </c>
      <c r="B979" t="str">
        <f>IF(LEN('Ch7'!H216)=0,"",'Ch7'!H216)</f>
        <v/>
      </c>
      <c r="C979" t="str">
        <f t="shared" si="27"/>
        <v/>
      </c>
      <c r="D979" s="126"/>
      <c r="E979" s="103"/>
      <c r="F979" s="103"/>
      <c r="G979" s="706"/>
      <c r="J979" s="814"/>
    </row>
    <row r="980" spans="1:10" x14ac:dyDescent="0.35">
      <c r="A980" s="403" t="str">
        <f>A979</f>
        <v/>
      </c>
      <c r="B980" t="str">
        <f>IF(LEN('Ch7'!H217)=0,"",'Ch7'!H217)</f>
        <v/>
      </c>
      <c r="C980" t="str">
        <f t="shared" si="27"/>
        <v/>
      </c>
      <c r="D980" s="126"/>
      <c r="E980" s="103"/>
      <c r="F980" s="103"/>
      <c r="G980" s="706"/>
      <c r="J980" s="814"/>
    </row>
    <row r="981" spans="1:10" x14ac:dyDescent="0.35">
      <c r="B981" t="str">
        <f>IF(LEN('Ch7'!H218)=0,"",'Ch7'!H218)</f>
        <v/>
      </c>
      <c r="C981" t="str">
        <f t="shared" si="27"/>
        <v/>
      </c>
      <c r="D981" s="126"/>
      <c r="E981" s="103"/>
      <c r="F981" s="474" t="s">
        <v>121</v>
      </c>
      <c r="G981" s="193" t="s">
        <v>3702</v>
      </c>
      <c r="J981" s="495"/>
    </row>
    <row r="982" spans="1:10" x14ac:dyDescent="0.35">
      <c r="B982" t="str">
        <f>IF(LEN('Ch7'!H219)=0,"",'Ch7'!H219)</f>
        <v/>
      </c>
      <c r="C982" t="str">
        <f t="shared" si="27"/>
        <v/>
      </c>
      <c r="D982" s="126"/>
      <c r="E982" s="103"/>
      <c r="F982" s="474" t="s">
        <v>122</v>
      </c>
      <c r="G982" s="193" t="s">
        <v>3699</v>
      </c>
      <c r="J982" s="495"/>
    </row>
    <row r="983" spans="1:10" x14ac:dyDescent="0.35">
      <c r="B983" t="str">
        <f>IF(LEN('Ch7'!H220)=0,"",'Ch7'!H220)</f>
        <v/>
      </c>
      <c r="C983" t="str">
        <f t="shared" si="27"/>
        <v/>
      </c>
      <c r="D983" s="149"/>
      <c r="E983" s="193"/>
      <c r="F983" s="480" t="s">
        <v>123</v>
      </c>
      <c r="G983" s="219" t="s">
        <v>3698</v>
      </c>
      <c r="J983" s="495"/>
    </row>
    <row r="984" spans="1:10" x14ac:dyDescent="0.35">
      <c r="A984" s="403" t="str">
        <f>IF(AND(LEN('Ch7'!W221)&gt;0,NOT('Ch7'!W221=FALSE)),"P","")</f>
        <v/>
      </c>
      <c r="B984" t="str">
        <f>IF(LEN('Ch7'!H221)=0,"",'Ch7'!H221)</f>
        <v/>
      </c>
      <c r="C984" t="str">
        <f t="shared" si="27"/>
        <v/>
      </c>
      <c r="D984" s="444" t="s">
        <v>1073</v>
      </c>
      <c r="E984" s="439"/>
      <c r="F984" s="469"/>
      <c r="G984" s="753" t="s">
        <v>1074</v>
      </c>
      <c r="H984" s="49">
        <f>'Ch7'!W221</f>
        <v>0</v>
      </c>
      <c r="J984" s="813" t="s">
        <v>4221</v>
      </c>
    </row>
    <row r="985" spans="1:10" x14ac:dyDescent="0.35">
      <c r="A985" s="403" t="str">
        <f t="shared" ref="A985:A991" si="28">A984</f>
        <v/>
      </c>
      <c r="B985" t="str">
        <f>IF(LEN('Ch7'!H222)=0,"",'Ch7'!H222)</f>
        <v/>
      </c>
      <c r="C985" t="str">
        <f t="shared" si="27"/>
        <v/>
      </c>
      <c r="D985" s="126"/>
      <c r="E985" s="103"/>
      <c r="F985" s="103"/>
      <c r="G985" s="706"/>
      <c r="J985" s="813"/>
    </row>
    <row r="986" spans="1:10" x14ac:dyDescent="0.35">
      <c r="A986" s="403" t="str">
        <f t="shared" si="28"/>
        <v/>
      </c>
      <c r="B986" t="str">
        <f>IF(LEN('Ch7'!H223)=0,"",'Ch7'!H223)</f>
        <v/>
      </c>
      <c r="C986" t="str">
        <f t="shared" si="27"/>
        <v/>
      </c>
      <c r="D986" s="126"/>
      <c r="E986" s="103"/>
      <c r="F986" s="103"/>
      <c r="G986" s="706"/>
      <c r="J986" s="813"/>
    </row>
    <row r="987" spans="1:10" x14ac:dyDescent="0.35">
      <c r="A987" s="403" t="str">
        <f t="shared" si="28"/>
        <v/>
      </c>
      <c r="B987" t="str">
        <f>IF(LEN('Ch7'!H224)=0,"",'Ch7'!H224)</f>
        <v/>
      </c>
      <c r="C987" t="str">
        <f t="shared" si="27"/>
        <v/>
      </c>
      <c r="D987" s="126"/>
      <c r="E987" s="103"/>
      <c r="F987" s="103"/>
      <c r="G987" s="706"/>
      <c r="J987" s="813"/>
    </row>
    <row r="988" spans="1:10" x14ac:dyDescent="0.35">
      <c r="A988" s="403" t="str">
        <f t="shared" si="28"/>
        <v/>
      </c>
      <c r="B988" t="str">
        <f>IF(LEN('Ch7'!H225)=0,"",'Ch7'!H225)</f>
        <v/>
      </c>
      <c r="C988" t="str">
        <f t="shared" si="27"/>
        <v/>
      </c>
      <c r="D988" s="126"/>
      <c r="E988" s="103"/>
      <c r="F988" s="103"/>
      <c r="G988" s="706"/>
      <c r="J988" s="813"/>
    </row>
    <row r="989" spans="1:10" x14ac:dyDescent="0.35">
      <c r="A989" s="403" t="str">
        <f t="shared" si="28"/>
        <v/>
      </c>
      <c r="B989" t="str">
        <f>IF(LEN('Ch7'!H226)=0,"",'Ch7'!H226)</f>
        <v/>
      </c>
      <c r="C989" t="str">
        <f t="shared" si="27"/>
        <v/>
      </c>
      <c r="D989" s="126"/>
      <c r="E989" s="103"/>
      <c r="F989" s="103"/>
      <c r="G989" s="706"/>
      <c r="J989" s="813"/>
    </row>
    <row r="990" spans="1:10" x14ac:dyDescent="0.35">
      <c r="A990" s="403" t="str">
        <f t="shared" si="28"/>
        <v/>
      </c>
      <c r="B990" t="str">
        <f>IF(LEN('Ch7'!H227)=0,"",'Ch7'!H227)</f>
        <v/>
      </c>
      <c r="C990" t="str">
        <f t="shared" si="27"/>
        <v/>
      </c>
      <c r="D990" s="126"/>
      <c r="E990" s="103"/>
      <c r="F990" s="103"/>
      <c r="G990" s="706"/>
      <c r="J990" s="813"/>
    </row>
    <row r="991" spans="1:10" ht="15" thickBot="1" x14ac:dyDescent="0.4">
      <c r="A991" s="403" t="str">
        <f t="shared" si="28"/>
        <v/>
      </c>
      <c r="B991" t="str">
        <f>IF(LEN('Ch7'!H228)=0,"",'Ch7'!H228)</f>
        <v/>
      </c>
      <c r="C991" t="str">
        <f t="shared" si="27"/>
        <v/>
      </c>
      <c r="D991" s="448"/>
      <c r="E991" s="438"/>
      <c r="F991" s="438"/>
      <c r="G991" s="710"/>
      <c r="J991" s="813"/>
    </row>
    <row r="992" spans="1:10" x14ac:dyDescent="0.35">
      <c r="A992" s="600" t="str">
        <f ca="1">IF(COUNTIF(A1006:A1066,"P")&gt;0,"P","")</f>
        <v/>
      </c>
      <c r="B992" t="str">
        <f>IF(LEN('Ch7'!H229)=0,"",'Ch7'!H229)</f>
        <v/>
      </c>
      <c r="C992" t="str">
        <f t="shared" ca="1" si="27"/>
        <v/>
      </c>
      <c r="D992" s="441">
        <v>703.3</v>
      </c>
      <c r="E992" s="103"/>
      <c r="F992" s="103"/>
      <c r="G992" s="110" t="s">
        <v>1076</v>
      </c>
      <c r="J992" s="485"/>
    </row>
    <row r="993" spans="1:10" x14ac:dyDescent="0.35">
      <c r="B993" t="str">
        <f>IF(LEN('Ch7'!H230)=0,"",'Ch7'!H230)</f>
        <v/>
      </c>
      <c r="C993" t="str">
        <f t="shared" si="27"/>
        <v/>
      </c>
      <c r="D993" s="33" t="s">
        <v>1075</v>
      </c>
      <c r="E993" s="103"/>
      <c r="F993" s="103"/>
      <c r="G993" s="706" t="s">
        <v>1077</v>
      </c>
      <c r="J993" s="485"/>
    </row>
    <row r="994" spans="1:10" x14ac:dyDescent="0.35">
      <c r="B994" t="str">
        <f>IF(LEN('Ch7'!H231)=0,"",'Ch7'!H231)</f>
        <v/>
      </c>
      <c r="C994" t="str">
        <f t="shared" si="27"/>
        <v/>
      </c>
      <c r="D994" s="126"/>
      <c r="E994" s="103"/>
      <c r="F994" s="103"/>
      <c r="G994" s="706"/>
      <c r="H994" s="49" t="str">
        <f>'Ch7'!W231</f>
        <v>No</v>
      </c>
      <c r="J994" s="485"/>
    </row>
    <row r="995" spans="1:10" x14ac:dyDescent="0.35">
      <c r="B995" t="str">
        <f>IF(LEN('Ch7'!H232)=0,"",'Ch7'!H232)</f>
        <v/>
      </c>
      <c r="C995" t="str">
        <f t="shared" si="27"/>
        <v/>
      </c>
      <c r="D995" s="126"/>
      <c r="E995" s="103"/>
      <c r="F995" s="103"/>
      <c r="G995" s="706"/>
      <c r="J995" s="485"/>
    </row>
    <row r="996" spans="1:10" x14ac:dyDescent="0.35">
      <c r="B996" t="str">
        <f>IF(LEN('Ch7'!H233)=0,"",'Ch7'!H233)</f>
        <v/>
      </c>
      <c r="C996" t="str">
        <f t="shared" si="27"/>
        <v/>
      </c>
      <c r="D996" s="126"/>
      <c r="E996" s="103"/>
      <c r="F996" s="103"/>
      <c r="G996" s="706"/>
      <c r="J996" s="485"/>
    </row>
    <row r="997" spans="1:10" x14ac:dyDescent="0.35">
      <c r="B997" t="str">
        <f>IF(LEN('Ch7'!H234)=0,"",'Ch7'!H234)</f>
        <v/>
      </c>
      <c r="C997" t="str">
        <f t="shared" si="27"/>
        <v/>
      </c>
      <c r="D997" s="126"/>
      <c r="E997" s="103"/>
      <c r="F997" s="103"/>
      <c r="G997" s="706"/>
      <c r="J997" s="485"/>
    </row>
    <row r="998" spans="1:10" x14ac:dyDescent="0.35">
      <c r="B998" t="str">
        <f>IF(LEN('Ch7'!H235)=0,"",'Ch7'!H235)</f>
        <v/>
      </c>
      <c r="C998" t="str">
        <f t="shared" si="27"/>
        <v/>
      </c>
      <c r="D998" s="126"/>
      <c r="E998" s="103"/>
      <c r="F998" s="103"/>
      <c r="G998" s="706"/>
      <c r="J998" s="485"/>
    </row>
    <row r="999" spans="1:10" x14ac:dyDescent="0.35">
      <c r="B999" t="str">
        <f>IF(LEN('Ch7'!H236)=0,"",'Ch7'!H236)</f>
        <v/>
      </c>
      <c r="C999" t="str">
        <f t="shared" si="27"/>
        <v/>
      </c>
      <c r="D999" s="126"/>
      <c r="E999" s="103"/>
      <c r="F999" s="103"/>
      <c r="G999" s="706"/>
      <c r="J999" s="485"/>
    </row>
    <row r="1000" spans="1:10" x14ac:dyDescent="0.35">
      <c r="B1000" t="str">
        <f>IF(LEN('Ch7'!H237)=0,"",'Ch7'!H237)</f>
        <v/>
      </c>
      <c r="C1000" t="str">
        <f t="shared" si="27"/>
        <v/>
      </c>
      <c r="D1000" s="126"/>
      <c r="E1000" s="103"/>
      <c r="F1000" s="103"/>
      <c r="G1000" s="706"/>
      <c r="H1000" s="49" t="str">
        <f>'Ch7'!W237</f>
        <v>No</v>
      </c>
      <c r="J1000" s="485"/>
    </row>
    <row r="1001" spans="1:10" x14ac:dyDescent="0.35">
      <c r="B1001" t="str">
        <f>IF(LEN('Ch7'!H238)=0,"",'Ch7'!H238)</f>
        <v/>
      </c>
      <c r="C1001" t="str">
        <f t="shared" si="27"/>
        <v/>
      </c>
      <c r="D1001" s="126"/>
      <c r="E1001" s="103"/>
      <c r="F1001" s="103"/>
      <c r="G1001" s="778" t="s">
        <v>1297</v>
      </c>
      <c r="J1001" s="485"/>
    </row>
    <row r="1002" spans="1:10" x14ac:dyDescent="0.35">
      <c r="B1002" t="str">
        <f>IF(LEN('Ch7'!H239)=0,"",'Ch7'!H239)</f>
        <v/>
      </c>
      <c r="C1002" t="str">
        <f t="shared" si="27"/>
        <v/>
      </c>
      <c r="D1002" s="126"/>
      <c r="E1002" s="103"/>
      <c r="F1002" s="103"/>
      <c r="G1002" s="778"/>
      <c r="J1002" s="485"/>
    </row>
    <row r="1003" spans="1:10" x14ac:dyDescent="0.35">
      <c r="B1003" t="str">
        <f>IF(LEN('Ch7'!H240)=0,"",'Ch7'!H240)</f>
        <v/>
      </c>
      <c r="C1003" t="str">
        <f t="shared" si="27"/>
        <v/>
      </c>
      <c r="D1003" s="126"/>
      <c r="E1003" s="103"/>
      <c r="F1003" s="103"/>
      <c r="G1003" s="177" t="s">
        <v>1078</v>
      </c>
      <c r="J1003" s="485"/>
    </row>
    <row r="1004" spans="1:10" x14ac:dyDescent="0.35">
      <c r="B1004" t="str">
        <f>IF(LEN('Ch7'!H241)=0,"",'Ch7'!H241)</f>
        <v/>
      </c>
      <c r="C1004" t="str">
        <f t="shared" si="27"/>
        <v/>
      </c>
      <c r="D1004" s="126"/>
      <c r="E1004" s="103"/>
      <c r="F1004" s="103"/>
      <c r="G1004" s="177" t="s">
        <v>1079</v>
      </c>
      <c r="J1004" s="485"/>
    </row>
    <row r="1005" spans="1:10" x14ac:dyDescent="0.35">
      <c r="B1005" t="str">
        <f>IF(LEN('Ch7'!H242)=0,"",'Ch7'!H242)</f>
        <v/>
      </c>
      <c r="C1005" t="str">
        <f t="shared" si="27"/>
        <v/>
      </c>
      <c r="D1005" s="149"/>
      <c r="E1005" s="193"/>
      <c r="F1005" s="193"/>
      <c r="G1005" s="370" t="s">
        <v>1080</v>
      </c>
      <c r="J1005" s="485"/>
    </row>
    <row r="1006" spans="1:10" ht="15" customHeight="1" x14ac:dyDescent="0.35">
      <c r="A1006" s="403" t="str">
        <f>IF(AND(LEN('Ch7'!W243)&gt;0,NOT('Ch7'!W243=FALSE)),"P","")</f>
        <v/>
      </c>
      <c r="B1006" t="str">
        <f>IF(LEN('Ch7'!H243)=0,"",'Ch7'!H243)</f>
        <v/>
      </c>
      <c r="C1006" t="str">
        <f t="shared" si="27"/>
        <v/>
      </c>
      <c r="D1006" s="33" t="s">
        <v>1081</v>
      </c>
      <c r="E1006" s="103"/>
      <c r="F1006" s="103"/>
      <c r="G1006" s="706" t="s">
        <v>1082</v>
      </c>
      <c r="H1006" s="49">
        <f>'Ch7'!W243</f>
        <v>0</v>
      </c>
      <c r="I1006" s="49">
        <f ca="1">'Ch7'!O243</f>
        <v>0</v>
      </c>
      <c r="J1006" s="814" t="s">
        <v>4222</v>
      </c>
    </row>
    <row r="1007" spans="1:10" x14ac:dyDescent="0.35">
      <c r="A1007" s="403" t="str">
        <f>A1006</f>
        <v/>
      </c>
      <c r="B1007" t="str">
        <f>IF(LEN('Ch7'!H244)=0,"",'Ch7'!H244)</f>
        <v/>
      </c>
      <c r="C1007" t="str">
        <f t="shared" si="27"/>
        <v/>
      </c>
      <c r="D1007" s="126"/>
      <c r="E1007" s="103"/>
      <c r="F1007" s="103"/>
      <c r="G1007" s="706"/>
      <c r="J1007" s="814"/>
    </row>
    <row r="1008" spans="1:10" x14ac:dyDescent="0.35">
      <c r="A1008" s="403" t="str">
        <f>A1007</f>
        <v/>
      </c>
      <c r="B1008" t="str">
        <f>IF(LEN('Ch7'!H245)=0,"",'Ch7'!H245)</f>
        <v/>
      </c>
      <c r="C1008" t="str">
        <f t="shared" si="27"/>
        <v/>
      </c>
      <c r="D1008" s="126"/>
      <c r="E1008" s="103"/>
      <c r="F1008" s="103"/>
      <c r="G1008" s="706"/>
      <c r="J1008" s="814"/>
    </row>
    <row r="1009" spans="1:10" x14ac:dyDescent="0.35">
      <c r="A1009" s="403" t="str">
        <f>A1008</f>
        <v/>
      </c>
      <c r="B1009" t="str">
        <f>IF(LEN('Ch7'!H246)=0,"",'Ch7'!H246)</f>
        <v/>
      </c>
      <c r="C1009" t="str">
        <f t="shared" si="27"/>
        <v/>
      </c>
      <c r="D1009" s="126"/>
      <c r="E1009" s="103"/>
      <c r="F1009" s="103"/>
      <c r="G1009" s="706"/>
      <c r="J1009" s="814"/>
    </row>
    <row r="1010" spans="1:10" x14ac:dyDescent="0.35">
      <c r="A1010" s="403" t="str">
        <f>A1009</f>
        <v/>
      </c>
      <c r="B1010" t="str">
        <f>IF(LEN('Ch7'!H247)=0,"",'Ch7'!H247)</f>
        <v/>
      </c>
      <c r="C1010" t="str">
        <f t="shared" si="27"/>
        <v/>
      </c>
      <c r="D1010" s="149"/>
      <c r="E1010" s="193"/>
      <c r="F1010" s="193"/>
      <c r="G1010" s="739"/>
      <c r="J1010" s="814"/>
    </row>
    <row r="1011" spans="1:10" x14ac:dyDescent="0.35">
      <c r="A1011" s="403" t="str">
        <f ca="1">IF(SUM(I1012:I1026)&gt;0,"P","")</f>
        <v/>
      </c>
      <c r="B1011" t="str">
        <f>IF(LEN('Ch7'!H248)=0,"",'Ch7'!H248)</f>
        <v/>
      </c>
      <c r="C1011" t="str">
        <f t="shared" ca="1" si="27"/>
        <v/>
      </c>
      <c r="D1011" s="33" t="s">
        <v>1083</v>
      </c>
      <c r="E1011" s="103"/>
      <c r="F1011" s="103"/>
      <c r="G1011" s="110" t="s">
        <v>1084</v>
      </c>
      <c r="J1011" s="485" t="s">
        <v>4223</v>
      </c>
    </row>
    <row r="1012" spans="1:10" x14ac:dyDescent="0.35">
      <c r="B1012" t="str">
        <f>IF(LEN('Ch7'!H249)=0,"",'Ch7'!H249)</f>
        <v/>
      </c>
      <c r="C1012" t="str">
        <f t="shared" si="27"/>
        <v/>
      </c>
      <c r="D1012" s="126"/>
      <c r="E1012" s="473" t="s">
        <v>270</v>
      </c>
      <c r="F1012" s="103"/>
      <c r="G1012" s="104" t="s">
        <v>1085</v>
      </c>
      <c r="I1012" s="49">
        <f ca="1">'Ch7'!O249</f>
        <v>0</v>
      </c>
      <c r="J1012" s="485"/>
    </row>
    <row r="1013" spans="1:10" x14ac:dyDescent="0.35">
      <c r="B1013" t="str">
        <f>IF(LEN('Ch7'!H250)=0,"",'Ch7'!H250)</f>
        <v/>
      </c>
      <c r="C1013" t="str">
        <f t="shared" si="27"/>
        <v/>
      </c>
      <c r="D1013" s="126"/>
      <c r="E1013" s="473"/>
      <c r="F1013" s="103"/>
      <c r="G1013" s="104" t="s">
        <v>4032</v>
      </c>
      <c r="H1013" s="49">
        <f>'Ch7'!W250</f>
        <v>0</v>
      </c>
      <c r="J1013" s="485"/>
    </row>
    <row r="1014" spans="1:10" x14ac:dyDescent="0.35">
      <c r="B1014" t="str">
        <f>IF(LEN('Ch7'!H251)=0,"",'Ch7'!H251)</f>
        <v/>
      </c>
      <c r="C1014" t="str">
        <f t="shared" si="27"/>
        <v/>
      </c>
      <c r="D1014" s="126"/>
      <c r="E1014" s="473"/>
      <c r="F1014" s="103"/>
      <c r="G1014" s="104" t="s">
        <v>4033</v>
      </c>
      <c r="J1014" s="485"/>
    </row>
    <row r="1015" spans="1:10" x14ac:dyDescent="0.35">
      <c r="B1015" t="str">
        <f>IF(LEN('Ch7'!H252)=0,"",'Ch7'!H252)</f>
        <v/>
      </c>
      <c r="C1015" t="str">
        <f t="shared" si="27"/>
        <v/>
      </c>
      <c r="D1015" s="126"/>
      <c r="E1015" s="473"/>
      <c r="F1015" s="103"/>
      <c r="G1015" s="104" t="s">
        <v>4034</v>
      </c>
      <c r="J1015" s="485"/>
    </row>
    <row r="1016" spans="1:10" x14ac:dyDescent="0.35">
      <c r="B1016" t="str">
        <f>IF(LEN('Ch7'!H253)=0,"",'Ch7'!H253)</f>
        <v/>
      </c>
      <c r="C1016" t="str">
        <f t="shared" si="27"/>
        <v/>
      </c>
      <c r="D1016" s="126"/>
      <c r="E1016" s="473"/>
      <c r="F1016" s="103"/>
      <c r="G1016" s="104" t="s">
        <v>4035</v>
      </c>
      <c r="J1016" s="485"/>
    </row>
    <row r="1017" spans="1:10" x14ac:dyDescent="0.35">
      <c r="B1017" t="str">
        <f>IF(LEN('Ch7'!H254)=0,"",'Ch7'!H254)</f>
        <v/>
      </c>
      <c r="C1017" t="str">
        <f t="shared" si="27"/>
        <v/>
      </c>
      <c r="D1017" s="126"/>
      <c r="E1017" s="193"/>
      <c r="F1017" s="193"/>
      <c r="G1017" s="214" t="s">
        <v>4036</v>
      </c>
      <c r="J1017" s="485"/>
    </row>
    <row r="1018" spans="1:10" x14ac:dyDescent="0.35">
      <c r="B1018" t="str">
        <f>IF(LEN('Ch7'!H255)=0,"",'Ch7'!H255)</f>
        <v/>
      </c>
      <c r="C1018" t="str">
        <f t="shared" si="27"/>
        <v/>
      </c>
      <c r="D1018" s="126"/>
      <c r="E1018" s="473" t="s">
        <v>272</v>
      </c>
      <c r="F1018" s="103"/>
      <c r="G1018" s="104" t="s">
        <v>1086</v>
      </c>
      <c r="I1018" s="49">
        <f ca="1">'Ch7'!O255</f>
        <v>0</v>
      </c>
      <c r="J1018" s="485"/>
    </row>
    <row r="1019" spans="1:10" x14ac:dyDescent="0.35">
      <c r="B1019" t="str">
        <f>IF(LEN('Ch7'!H256)=0,"",'Ch7'!H256)</f>
        <v/>
      </c>
      <c r="C1019" t="str">
        <f t="shared" si="27"/>
        <v/>
      </c>
      <c r="D1019" s="126"/>
      <c r="E1019" s="473"/>
      <c r="F1019" s="103"/>
      <c r="G1019" s="104" t="s">
        <v>4037</v>
      </c>
      <c r="H1019" s="49">
        <f>'Ch7'!W256</f>
        <v>0</v>
      </c>
      <c r="J1019" s="485"/>
    </row>
    <row r="1020" spans="1:10" x14ac:dyDescent="0.35">
      <c r="B1020" t="str">
        <f>IF(LEN('Ch7'!H257)=0,"",'Ch7'!H257)</f>
        <v/>
      </c>
      <c r="C1020" t="str">
        <f t="shared" si="27"/>
        <v/>
      </c>
      <c r="D1020" s="126"/>
      <c r="E1020" s="193"/>
      <c r="F1020" s="193"/>
      <c r="G1020" s="214" t="s">
        <v>4032</v>
      </c>
      <c r="J1020" s="485"/>
    </row>
    <row r="1021" spans="1:10" x14ac:dyDescent="0.35">
      <c r="B1021" t="str">
        <f>IF(LEN('Ch7'!H258)=0,"",'Ch7'!H258)</f>
        <v/>
      </c>
      <c r="C1021" t="str">
        <f t="shared" si="27"/>
        <v/>
      </c>
      <c r="D1021" s="126"/>
      <c r="E1021" s="473" t="s">
        <v>274</v>
      </c>
      <c r="F1021" s="103"/>
      <c r="G1021" s="104" t="s">
        <v>1087</v>
      </c>
      <c r="I1021" s="49">
        <f ca="1">'Ch7'!O258</f>
        <v>0</v>
      </c>
      <c r="J1021" s="485"/>
    </row>
    <row r="1022" spans="1:10" x14ac:dyDescent="0.35">
      <c r="B1022" t="str">
        <f>IF(LEN('Ch7'!H259)=0,"",'Ch7'!H259)</f>
        <v/>
      </c>
      <c r="C1022" t="str">
        <f t="shared" si="27"/>
        <v/>
      </c>
      <c r="D1022" s="126"/>
      <c r="E1022" s="473"/>
      <c r="F1022" s="103"/>
      <c r="G1022" s="104" t="s">
        <v>4037</v>
      </c>
      <c r="H1022" s="49">
        <f>'Ch7'!W259</f>
        <v>0</v>
      </c>
      <c r="J1022" s="485"/>
    </row>
    <row r="1023" spans="1:10" x14ac:dyDescent="0.35">
      <c r="B1023" t="str">
        <f>IF(LEN('Ch7'!H260)=0,"",'Ch7'!H260)</f>
        <v/>
      </c>
      <c r="C1023" t="str">
        <f t="shared" si="27"/>
        <v/>
      </c>
      <c r="D1023" s="126"/>
      <c r="E1023" s="473"/>
      <c r="F1023" s="103"/>
      <c r="G1023" s="104" t="s">
        <v>4032</v>
      </c>
      <c r="J1023" s="485"/>
    </row>
    <row r="1024" spans="1:10" x14ac:dyDescent="0.35">
      <c r="B1024" t="str">
        <f>IF(LEN('Ch7'!H261)=0,"",'Ch7'!H261)</f>
        <v/>
      </c>
      <c r="C1024" t="str">
        <f t="shared" si="27"/>
        <v/>
      </c>
      <c r="D1024" s="126"/>
      <c r="E1024" s="473"/>
      <c r="F1024" s="103"/>
      <c r="G1024" s="104" t="s">
        <v>4034</v>
      </c>
      <c r="J1024" s="485"/>
    </row>
    <row r="1025" spans="1:10" x14ac:dyDescent="0.35">
      <c r="B1025" t="str">
        <f>IF(LEN('Ch7'!H262)=0,"",'Ch7'!H262)</f>
        <v/>
      </c>
      <c r="C1025" t="str">
        <f t="shared" si="27"/>
        <v/>
      </c>
      <c r="D1025" s="126"/>
      <c r="E1025" s="193"/>
      <c r="F1025" s="193"/>
      <c r="G1025" s="214" t="s">
        <v>4035</v>
      </c>
      <c r="J1025" s="485"/>
    </row>
    <row r="1026" spans="1:10" x14ac:dyDescent="0.35">
      <c r="B1026" t="str">
        <f>IF(LEN('Ch7'!H263)=0,"",'Ch7'!H263)</f>
        <v/>
      </c>
      <c r="C1026" t="str">
        <f t="shared" si="27"/>
        <v/>
      </c>
      <c r="D1026" s="126"/>
      <c r="E1026" s="473" t="s">
        <v>283</v>
      </c>
      <c r="F1026" s="103"/>
      <c r="G1026" s="104" t="s">
        <v>1088</v>
      </c>
      <c r="I1026" s="49">
        <f ca="1">'Ch7'!O263</f>
        <v>0</v>
      </c>
      <c r="J1026" s="485"/>
    </row>
    <row r="1027" spans="1:10" x14ac:dyDescent="0.35">
      <c r="B1027" t="str">
        <f>IF(LEN('Ch7'!H264)=0,"",'Ch7'!H264)</f>
        <v/>
      </c>
      <c r="C1027" t="str">
        <f t="shared" si="27"/>
        <v/>
      </c>
      <c r="D1027" s="126"/>
      <c r="E1027" s="473"/>
      <c r="F1027" s="103"/>
      <c r="G1027" s="104" t="s">
        <v>4037</v>
      </c>
      <c r="H1027" s="49">
        <f>'Ch7'!W264</f>
        <v>0</v>
      </c>
      <c r="J1027" s="485"/>
    </row>
    <row r="1028" spans="1:10" x14ac:dyDescent="0.35">
      <c r="B1028" t="str">
        <f>IF(LEN('Ch7'!H265)=0,"",'Ch7'!H265)</f>
        <v/>
      </c>
      <c r="C1028" t="str">
        <f t="shared" si="27"/>
        <v/>
      </c>
      <c r="D1028" s="149"/>
      <c r="E1028" s="193"/>
      <c r="F1028" s="193"/>
      <c r="G1028" s="214" t="s">
        <v>4032</v>
      </c>
      <c r="J1028" s="485"/>
    </row>
    <row r="1029" spans="1:10" x14ac:dyDescent="0.35">
      <c r="A1029" s="403" t="str">
        <f ca="1">IF(SUM(I1032:I1037)&gt;0,"P","")</f>
        <v/>
      </c>
      <c r="B1029" t="str">
        <f>IF(LEN('Ch7'!H266)=0,"",'Ch7'!H266)</f>
        <v/>
      </c>
      <c r="C1029" t="str">
        <f t="shared" ca="1" si="27"/>
        <v/>
      </c>
      <c r="D1029" s="444" t="s">
        <v>1089</v>
      </c>
      <c r="E1029" s="439"/>
      <c r="F1029" s="439"/>
      <c r="G1029" s="753" t="s">
        <v>1090</v>
      </c>
      <c r="J1029" s="813" t="s">
        <v>4223</v>
      </c>
    </row>
    <row r="1030" spans="1:10" x14ac:dyDescent="0.35">
      <c r="A1030" s="403" t="str">
        <f t="shared" ref="A1030:A1031" ca="1" si="29">A1029</f>
        <v/>
      </c>
      <c r="B1030" t="str">
        <f>IF(LEN('Ch7'!H267)=0,"",'Ch7'!H267)</f>
        <v/>
      </c>
      <c r="C1030" t="str">
        <f t="shared" ca="1" si="27"/>
        <v/>
      </c>
      <c r="D1030" s="126"/>
      <c r="E1030" s="103"/>
      <c r="F1030" s="103"/>
      <c r="G1030" s="706"/>
      <c r="J1030" s="813"/>
    </row>
    <row r="1031" spans="1:10" x14ac:dyDescent="0.35">
      <c r="A1031" s="403" t="str">
        <f t="shared" ca="1" si="29"/>
        <v/>
      </c>
      <c r="B1031" t="str">
        <f>IF(LEN('Ch7'!H268)=0,"",'Ch7'!H268)</f>
        <v/>
      </c>
      <c r="C1031" t="str">
        <f t="shared" ca="1" si="27"/>
        <v/>
      </c>
      <c r="D1031" s="126"/>
      <c r="E1031" s="103"/>
      <c r="F1031" s="103"/>
      <c r="G1031" s="706"/>
      <c r="J1031" s="813"/>
    </row>
    <row r="1032" spans="1:10" x14ac:dyDescent="0.35">
      <c r="B1032" t="str">
        <f>IF(LEN('Ch7'!H269)=0,"",'Ch7'!H269)</f>
        <v/>
      </c>
      <c r="C1032" t="str">
        <f t="shared" si="27"/>
        <v/>
      </c>
      <c r="D1032" s="126"/>
      <c r="E1032" s="473" t="s">
        <v>270</v>
      </c>
      <c r="F1032" s="103"/>
      <c r="G1032" s="103" t="s">
        <v>3703</v>
      </c>
      <c r="I1032" s="49">
        <f ca="1">'Ch7'!O269</f>
        <v>0</v>
      </c>
      <c r="J1032" s="485"/>
    </row>
    <row r="1033" spans="1:10" x14ac:dyDescent="0.35">
      <c r="B1033" t="str">
        <f>IF(LEN('Ch7'!H270)=0,"",'Ch7'!H270)</f>
        <v/>
      </c>
      <c r="C1033" t="str">
        <f t="shared" si="27"/>
        <v/>
      </c>
      <c r="D1033" s="126"/>
      <c r="E1033" s="473"/>
      <c r="F1033" s="103"/>
      <c r="G1033" s="104" t="s">
        <v>4048</v>
      </c>
      <c r="H1033" s="49">
        <f>'Ch7'!W270</f>
        <v>0</v>
      </c>
      <c r="J1033" s="490"/>
    </row>
    <row r="1034" spans="1:10" x14ac:dyDescent="0.35">
      <c r="B1034" t="str">
        <f>IF(LEN('Ch7'!H271)=0,"",'Ch7'!H271)</f>
        <v/>
      </c>
      <c r="C1034" t="str">
        <f t="shared" si="27"/>
        <v/>
      </c>
      <c r="D1034" s="126"/>
      <c r="E1034" s="473"/>
      <c r="F1034" s="103"/>
      <c r="G1034" s="104" t="s">
        <v>4049</v>
      </c>
      <c r="J1034" s="485"/>
    </row>
    <row r="1035" spans="1:10" x14ac:dyDescent="0.35">
      <c r="B1035" t="str">
        <f>IF(LEN('Ch7'!H272)=0,"",'Ch7'!H272)</f>
        <v/>
      </c>
      <c r="C1035" t="str">
        <f t="shared" si="27"/>
        <v/>
      </c>
      <c r="D1035" s="126"/>
      <c r="E1035" s="473"/>
      <c r="F1035" s="103"/>
      <c r="G1035" s="104" t="s">
        <v>4050</v>
      </c>
      <c r="J1035" s="485"/>
    </row>
    <row r="1036" spans="1:10" x14ac:dyDescent="0.35">
      <c r="B1036" t="str">
        <f>IF(LEN('Ch7'!H273)=0,"",'Ch7'!H273)</f>
        <v/>
      </c>
      <c r="C1036" t="str">
        <f t="shared" si="27"/>
        <v/>
      </c>
      <c r="D1036" s="126"/>
      <c r="E1036" s="474"/>
      <c r="F1036" s="193"/>
      <c r="G1036" s="214" t="s">
        <v>4051</v>
      </c>
      <c r="J1036" s="485"/>
    </row>
    <row r="1037" spans="1:10" x14ac:dyDescent="0.35">
      <c r="B1037" t="str">
        <f>IF(LEN('Ch7'!H275)=0,"",'Ch7'!H275)</f>
        <v/>
      </c>
      <c r="C1037" t="str">
        <f t="shared" si="27"/>
        <v/>
      </c>
      <c r="D1037" s="149"/>
      <c r="E1037" s="474" t="s">
        <v>274</v>
      </c>
      <c r="F1037" s="193"/>
      <c r="G1037" s="193" t="s">
        <v>4052</v>
      </c>
      <c r="H1037" s="49">
        <f>'Ch7'!W275</f>
        <v>0</v>
      </c>
      <c r="I1037" s="49">
        <f ca="1">'Ch7'!O275</f>
        <v>0</v>
      </c>
      <c r="J1037" s="485"/>
    </row>
    <row r="1038" spans="1:10" x14ac:dyDescent="0.35">
      <c r="A1038" s="403" t="str">
        <f ca="1">IF(SUM(I1041:I1048)&gt;0,"P","")</f>
        <v/>
      </c>
      <c r="B1038" t="str">
        <f>IF(LEN('Ch7'!H276)=0,"",'Ch7'!H276)</f>
        <v/>
      </c>
      <c r="C1038" t="str">
        <f t="shared" ca="1" si="27"/>
        <v/>
      </c>
      <c r="D1038" s="444" t="s">
        <v>1091</v>
      </c>
      <c r="E1038" s="439"/>
      <c r="F1038" s="439"/>
      <c r="G1038" s="787" t="s">
        <v>1092</v>
      </c>
      <c r="J1038" s="813" t="s">
        <v>4223</v>
      </c>
    </row>
    <row r="1039" spans="1:10" x14ac:dyDescent="0.35">
      <c r="A1039" s="403" t="str">
        <f t="shared" ref="A1039:A1040" ca="1" si="30">A1038</f>
        <v/>
      </c>
      <c r="B1039" t="str">
        <f>IF(LEN('Ch7'!H277)=0,"",'Ch7'!H277)</f>
        <v/>
      </c>
      <c r="C1039" t="str">
        <f t="shared" ref="C1039:C1102" ca="1" si="31">IF(LEN(B1039)=0,IF(A1039="P","P",""),B1039)</f>
        <v/>
      </c>
      <c r="D1039" s="126"/>
      <c r="E1039" s="103"/>
      <c r="F1039" s="103"/>
      <c r="G1039" s="783"/>
      <c r="J1039" s="813"/>
    </row>
    <row r="1040" spans="1:10" x14ac:dyDescent="0.35">
      <c r="A1040" s="403" t="str">
        <f t="shared" ca="1" si="30"/>
        <v/>
      </c>
      <c r="B1040" t="str">
        <f>IF(LEN('Ch7'!H278)=0,"",'Ch7'!H278)</f>
        <v/>
      </c>
      <c r="C1040" t="str">
        <f t="shared" ca="1" si="31"/>
        <v/>
      </c>
      <c r="D1040" s="126"/>
      <c r="E1040" s="103"/>
      <c r="F1040" s="103"/>
      <c r="G1040" s="783"/>
      <c r="J1040" s="813"/>
    </row>
    <row r="1041" spans="1:10" x14ac:dyDescent="0.35">
      <c r="B1041" t="str">
        <f>IF(LEN('Ch7'!H279)=0,"",'Ch7'!H279)</f>
        <v/>
      </c>
      <c r="C1041" t="str">
        <f t="shared" si="31"/>
        <v/>
      </c>
      <c r="D1041" s="126"/>
      <c r="E1041" s="473" t="s">
        <v>270</v>
      </c>
      <c r="F1041" s="103"/>
      <c r="G1041" s="103" t="s">
        <v>4061</v>
      </c>
      <c r="I1041" s="49">
        <f ca="1">'Ch7'!O279</f>
        <v>0</v>
      </c>
      <c r="J1041" s="485"/>
    </row>
    <row r="1042" spans="1:10" x14ac:dyDescent="0.35">
      <c r="B1042" t="str">
        <f>IF(LEN('Ch7'!H280)=0,"",'Ch7'!H280)</f>
        <v/>
      </c>
      <c r="C1042" t="str">
        <f t="shared" si="31"/>
        <v/>
      </c>
      <c r="D1042" s="126"/>
      <c r="E1042" s="473"/>
      <c r="F1042" s="103"/>
      <c r="G1042" s="104" t="s">
        <v>4055</v>
      </c>
      <c r="H1042" s="49">
        <f>'Ch7'!W280</f>
        <v>0</v>
      </c>
      <c r="J1042" s="490"/>
    </row>
    <row r="1043" spans="1:10" x14ac:dyDescent="0.35">
      <c r="B1043" t="str">
        <f>IF(LEN('Ch7'!H281)=0,"",'Ch7'!H281)</f>
        <v/>
      </c>
      <c r="C1043" t="str">
        <f t="shared" si="31"/>
        <v/>
      </c>
      <c r="D1043" s="126"/>
      <c r="E1043" s="473"/>
      <c r="F1043" s="103"/>
      <c r="G1043" s="104" t="s">
        <v>4056</v>
      </c>
      <c r="J1043" s="485"/>
    </row>
    <row r="1044" spans="1:10" x14ac:dyDescent="0.35">
      <c r="B1044" t="str">
        <f>IF(LEN('Ch7'!H282)=0,"",'Ch7'!H282)</f>
        <v/>
      </c>
      <c r="C1044" t="str">
        <f t="shared" si="31"/>
        <v/>
      </c>
      <c r="D1044" s="126"/>
      <c r="E1044" s="473"/>
      <c r="F1044" s="103"/>
      <c r="G1044" s="104" t="s">
        <v>4057</v>
      </c>
      <c r="J1044" s="485"/>
    </row>
    <row r="1045" spans="1:10" x14ac:dyDescent="0.35">
      <c r="B1045" t="str">
        <f>IF(LEN('Ch7'!H283)=0,"",'Ch7'!H283)</f>
        <v/>
      </c>
      <c r="C1045" t="str">
        <f t="shared" si="31"/>
        <v/>
      </c>
      <c r="D1045" s="126"/>
      <c r="E1045" s="473"/>
      <c r="F1045" s="103"/>
      <c r="G1045" s="104" t="s">
        <v>4058</v>
      </c>
      <c r="J1045" s="485"/>
    </row>
    <row r="1046" spans="1:10" x14ac:dyDescent="0.35">
      <c r="B1046" t="str">
        <f>IF(LEN('Ch7'!H284)=0,"",'Ch7'!H284)</f>
        <v/>
      </c>
      <c r="C1046" t="str">
        <f t="shared" si="31"/>
        <v/>
      </c>
      <c r="D1046" s="126"/>
      <c r="F1046" s="473" t="s">
        <v>4060</v>
      </c>
      <c r="G1046" s="723" t="s">
        <v>4059</v>
      </c>
      <c r="H1046" s="49">
        <f>'Ch7'!W284</f>
        <v>0</v>
      </c>
      <c r="I1046" s="49">
        <f ca="1">'Ch7'!O284</f>
        <v>0</v>
      </c>
      <c r="J1046" s="485"/>
    </row>
    <row r="1047" spans="1:10" x14ac:dyDescent="0.35">
      <c r="B1047" t="str">
        <f>IF(LEN('Ch7'!H285)=0,"",'Ch7'!H285)</f>
        <v/>
      </c>
      <c r="C1047" t="str">
        <f t="shared" si="31"/>
        <v/>
      </c>
      <c r="D1047" s="126"/>
      <c r="E1047" s="474"/>
      <c r="F1047" s="193"/>
      <c r="G1047" s="724"/>
      <c r="J1047" s="485"/>
    </row>
    <row r="1048" spans="1:10" x14ac:dyDescent="0.35">
      <c r="B1048" t="str">
        <f>IF(LEN('Ch7'!H286)=0,"",'Ch7'!H286)</f>
        <v/>
      </c>
      <c r="C1048" t="str">
        <f t="shared" si="31"/>
        <v/>
      </c>
      <c r="D1048" s="149"/>
      <c r="E1048" s="474" t="s">
        <v>272</v>
      </c>
      <c r="F1048" s="193"/>
      <c r="G1048" s="193" t="s">
        <v>4062</v>
      </c>
      <c r="H1048" s="49">
        <f>'Ch7'!W286</f>
        <v>0</v>
      </c>
      <c r="I1048" s="49">
        <f ca="1">'Ch7'!O286</f>
        <v>0</v>
      </c>
      <c r="J1048" s="485"/>
    </row>
    <row r="1049" spans="1:10" x14ac:dyDescent="0.35">
      <c r="A1049" s="403" t="str">
        <f>IF(AND(LEN('Ch7'!W287)&gt;0,NOT('Ch7'!W287=FALSE)),"P","")</f>
        <v/>
      </c>
      <c r="B1049" t="str">
        <f>IF(LEN('Ch7'!H287)=0,"",'Ch7'!H287)</f>
        <v/>
      </c>
      <c r="C1049" t="str">
        <f t="shared" si="31"/>
        <v/>
      </c>
      <c r="D1049" s="444" t="s">
        <v>1093</v>
      </c>
      <c r="E1049" s="439"/>
      <c r="F1049" s="439"/>
      <c r="G1049" s="753" t="s">
        <v>1094</v>
      </c>
      <c r="H1049" s="49">
        <f>'Ch7'!W287</f>
        <v>0</v>
      </c>
      <c r="I1049" s="49">
        <f ca="1">'Ch7'!O287</f>
        <v>0</v>
      </c>
      <c r="J1049" s="814" t="s">
        <v>4223</v>
      </c>
    </row>
    <row r="1050" spans="1:10" x14ac:dyDescent="0.35">
      <c r="A1050" s="403" t="str">
        <f>A1049</f>
        <v/>
      </c>
      <c r="B1050" t="str">
        <f>IF(LEN('Ch7'!H288)=0,"",'Ch7'!H288)</f>
        <v/>
      </c>
      <c r="C1050" t="str">
        <f t="shared" si="31"/>
        <v/>
      </c>
      <c r="D1050" s="126"/>
      <c r="E1050" s="103"/>
      <c r="F1050" s="103"/>
      <c r="G1050" s="706"/>
      <c r="J1050" s="814"/>
    </row>
    <row r="1051" spans="1:10" x14ac:dyDescent="0.35">
      <c r="A1051" s="403" t="str">
        <f>A1050</f>
        <v/>
      </c>
      <c r="B1051" t="str">
        <f>IF(LEN('Ch7'!H289)=0,"",'Ch7'!H289)</f>
        <v/>
      </c>
      <c r="C1051" t="str">
        <f t="shared" si="31"/>
        <v/>
      </c>
      <c r="D1051" s="126"/>
      <c r="E1051" s="103"/>
      <c r="F1051" s="103"/>
      <c r="G1051" s="706"/>
      <c r="J1051" s="814"/>
    </row>
    <row r="1052" spans="1:10" x14ac:dyDescent="0.35">
      <c r="B1052" t="str">
        <f>IF(LEN('Ch7'!H290)=0,"",'Ch7'!H290)</f>
        <v/>
      </c>
      <c r="C1052" t="str">
        <f t="shared" si="31"/>
        <v/>
      </c>
      <c r="D1052" s="149"/>
      <c r="E1052" s="193"/>
      <c r="F1052" s="193"/>
      <c r="G1052" s="214" t="s">
        <v>4064</v>
      </c>
      <c r="J1052" s="485"/>
    </row>
    <row r="1053" spans="1:10" x14ac:dyDescent="0.35">
      <c r="A1053" s="403" t="str">
        <f ca="1">IF('Ch7'!O291&gt;0,"P","")</f>
        <v/>
      </c>
      <c r="B1053" t="str">
        <f>IF(LEN('Ch7'!H291)=0,"",'Ch7'!H291)</f>
        <v/>
      </c>
      <c r="C1053" t="str">
        <f t="shared" ca="1" si="31"/>
        <v/>
      </c>
      <c r="D1053" s="444" t="s">
        <v>1095</v>
      </c>
      <c r="E1053" s="439"/>
      <c r="F1053" s="439"/>
      <c r="G1053" s="787" t="s">
        <v>4099</v>
      </c>
      <c r="I1053" s="49">
        <f ca="1">'Ch7'!O291</f>
        <v>0</v>
      </c>
      <c r="J1053" s="813" t="s">
        <v>4223</v>
      </c>
    </row>
    <row r="1054" spans="1:10" x14ac:dyDescent="0.35">
      <c r="A1054" s="403" t="str">
        <f ca="1">A1053</f>
        <v/>
      </c>
      <c r="B1054" t="str">
        <f>IF(LEN('Ch7'!H292)=0,"",'Ch7'!H292)</f>
        <v/>
      </c>
      <c r="C1054" t="str">
        <f t="shared" ca="1" si="31"/>
        <v/>
      </c>
      <c r="D1054" s="126"/>
      <c r="E1054" s="103"/>
      <c r="F1054" s="103"/>
      <c r="G1054" s="783"/>
      <c r="H1054" s="49">
        <f>'Ch7'!W292</f>
        <v>0</v>
      </c>
      <c r="J1054" s="813"/>
    </row>
    <row r="1055" spans="1:10" x14ac:dyDescent="0.35">
      <c r="A1055" s="403" t="str">
        <f ca="1">A1054</f>
        <v/>
      </c>
      <c r="B1055" t="str">
        <f>IF(LEN('Ch7'!H293)=0,"",'Ch7'!H293)</f>
        <v/>
      </c>
      <c r="C1055" t="str">
        <f t="shared" ca="1" si="31"/>
        <v/>
      </c>
      <c r="D1055" s="126"/>
      <c r="E1055" s="103"/>
      <c r="F1055" s="103"/>
      <c r="G1055" s="783"/>
      <c r="J1055" s="813"/>
    </row>
    <row r="1056" spans="1:10" x14ac:dyDescent="0.35">
      <c r="B1056" t="str">
        <f>IF(LEN('Ch7'!H294)=0,"",'Ch7'!H294)</f>
        <v/>
      </c>
      <c r="C1056" t="str">
        <f t="shared" si="31"/>
        <v/>
      </c>
      <c r="D1056" s="126"/>
      <c r="E1056" s="103"/>
      <c r="F1056" s="103"/>
      <c r="G1056" s="104" t="s">
        <v>4065</v>
      </c>
      <c r="J1056" s="485"/>
    </row>
    <row r="1057" spans="1:10" x14ac:dyDescent="0.35">
      <c r="B1057" t="str">
        <f>IF(LEN('Ch7'!H295)=0,"",'Ch7'!H295)</f>
        <v/>
      </c>
      <c r="C1057" t="str">
        <f t="shared" si="31"/>
        <v/>
      </c>
      <c r="D1057" s="126"/>
      <c r="E1057" s="103"/>
      <c r="F1057" s="103"/>
      <c r="G1057" s="104" t="s">
        <v>4066</v>
      </c>
      <c r="J1057" s="485"/>
    </row>
    <row r="1058" spans="1:10" x14ac:dyDescent="0.35">
      <c r="B1058" t="str">
        <f>IF(LEN('Ch7'!H296)=0,"",'Ch7'!H296)</f>
        <v/>
      </c>
      <c r="C1058" t="str">
        <f t="shared" si="31"/>
        <v/>
      </c>
      <c r="D1058" s="149"/>
      <c r="E1058" s="193"/>
      <c r="F1058" s="193"/>
      <c r="G1058" s="214" t="s">
        <v>4067</v>
      </c>
      <c r="J1058" s="485"/>
    </row>
    <row r="1059" spans="1:10" x14ac:dyDescent="0.35">
      <c r="A1059" s="403" t="str">
        <f>IF(AND(LEN('Ch7'!W297)&gt;0,NOT('Ch7'!W297=FALSE)),"P","")</f>
        <v/>
      </c>
      <c r="B1059" t="str">
        <f>IF(LEN('Ch7'!H297)=0,"",'Ch7'!H297)</f>
        <v/>
      </c>
      <c r="C1059" t="str">
        <f t="shared" si="31"/>
        <v/>
      </c>
      <c r="D1059" s="33" t="s">
        <v>1096</v>
      </c>
      <c r="E1059" s="103"/>
      <c r="F1059" s="103"/>
      <c r="G1059" s="110" t="s">
        <v>1097</v>
      </c>
      <c r="H1059" s="49">
        <f>'Ch7'!W297</f>
        <v>0</v>
      </c>
      <c r="I1059" s="49">
        <f ca="1">'Ch7'!O297</f>
        <v>0</v>
      </c>
      <c r="J1059" s="804" t="s">
        <v>4756</v>
      </c>
    </row>
    <row r="1060" spans="1:10" x14ac:dyDescent="0.35">
      <c r="B1060" t="str">
        <f>IF(LEN('Ch7'!H298)=0,"",'Ch7'!H298)</f>
        <v/>
      </c>
      <c r="C1060" t="str">
        <f t="shared" si="31"/>
        <v/>
      </c>
      <c r="D1060" s="126"/>
      <c r="E1060" s="103"/>
      <c r="F1060" s="103"/>
      <c r="G1060" s="106" t="s">
        <v>1098</v>
      </c>
      <c r="J1060" s="805"/>
    </row>
    <row r="1061" spans="1:10" x14ac:dyDescent="0.35">
      <c r="B1061" t="str">
        <f>IF(LEN('Ch7'!H299)=0,"",'Ch7'!H299)</f>
        <v/>
      </c>
      <c r="C1061" t="str">
        <f t="shared" si="31"/>
        <v/>
      </c>
      <c r="D1061" s="126"/>
      <c r="E1061" s="103"/>
      <c r="F1061" s="103"/>
      <c r="G1061" s="783" t="s">
        <v>1099</v>
      </c>
      <c r="H1061" s="49">
        <f>'Ch7'!W299</f>
        <v>0</v>
      </c>
      <c r="J1061" s="805"/>
    </row>
    <row r="1062" spans="1:10" x14ac:dyDescent="0.35">
      <c r="B1062" t="str">
        <f>IF(LEN('Ch7'!H300)=0,"",'Ch7'!H300)</f>
        <v/>
      </c>
      <c r="C1062" t="str">
        <f t="shared" si="31"/>
        <v/>
      </c>
      <c r="D1062" s="126"/>
      <c r="E1062" s="103"/>
      <c r="F1062" s="103"/>
      <c r="G1062" s="783"/>
      <c r="J1062" s="805"/>
    </row>
    <row r="1063" spans="1:10" x14ac:dyDescent="0.35">
      <c r="B1063" t="str">
        <f>IF(LEN('Ch7'!H301)=0,"",'Ch7'!H301)</f>
        <v/>
      </c>
      <c r="C1063" t="str">
        <f t="shared" si="31"/>
        <v/>
      </c>
      <c r="D1063" s="126"/>
      <c r="E1063" s="103"/>
      <c r="F1063" s="103"/>
      <c r="G1063" s="783"/>
      <c r="J1063" s="805"/>
    </row>
    <row r="1064" spans="1:10" x14ac:dyDescent="0.35">
      <c r="B1064" t="str">
        <f>IF(LEN('Ch7'!H302)=0,"",'Ch7'!H302)</f>
        <v/>
      </c>
      <c r="C1064" t="str">
        <f t="shared" si="31"/>
        <v/>
      </c>
      <c r="D1064" s="126"/>
      <c r="E1064" s="103"/>
      <c r="F1064" s="103"/>
      <c r="G1064" s="783"/>
      <c r="J1064" s="806"/>
    </row>
    <row r="1065" spans="1:10" x14ac:dyDescent="0.35">
      <c r="B1065" t="str">
        <f>IF(LEN('Ch7'!H303)=0,"",'Ch7'!H303)</f>
        <v/>
      </c>
      <c r="C1065" t="str">
        <f t="shared" si="31"/>
        <v/>
      </c>
      <c r="D1065" s="149"/>
      <c r="E1065" s="193"/>
      <c r="F1065" s="193"/>
      <c r="G1065" s="121" t="s">
        <v>4040</v>
      </c>
      <c r="J1065" s="485"/>
    </row>
    <row r="1066" spans="1:10" x14ac:dyDescent="0.35">
      <c r="A1066" s="403" t="str">
        <f>IF(AND(LEN('Ch7'!W304)&gt;0,NOT('Ch7'!W304=FALSE)),"P","")</f>
        <v/>
      </c>
      <c r="B1066" t="str">
        <f>IF(LEN('Ch7'!H304)=0,"",'Ch7'!H304)</f>
        <v/>
      </c>
      <c r="C1066" t="str">
        <f t="shared" si="31"/>
        <v/>
      </c>
      <c r="D1066" s="444" t="s">
        <v>1100</v>
      </c>
      <c r="E1066" s="439"/>
      <c r="F1066" s="439"/>
      <c r="G1066" s="787" t="s">
        <v>1101</v>
      </c>
      <c r="H1066" s="49">
        <f>'Ch7'!W304</f>
        <v>0</v>
      </c>
      <c r="I1066" s="49">
        <f ca="1">'Ch7'!O304</f>
        <v>0</v>
      </c>
      <c r="J1066" s="813" t="s">
        <v>4177</v>
      </c>
    </row>
    <row r="1067" spans="1:10" x14ac:dyDescent="0.35">
      <c r="A1067" s="403" t="str">
        <f>A1066</f>
        <v/>
      </c>
      <c r="B1067" t="str">
        <f>IF(LEN('Ch7'!H305)=0,"",'Ch7'!H305)</f>
        <v/>
      </c>
      <c r="C1067" t="str">
        <f t="shared" si="31"/>
        <v/>
      </c>
      <c r="D1067" s="126"/>
      <c r="E1067" s="103"/>
      <c r="F1067" s="103"/>
      <c r="G1067" s="783"/>
      <c r="J1067" s="813"/>
    </row>
    <row r="1068" spans="1:10" x14ac:dyDescent="0.35">
      <c r="B1068" t="str">
        <f>IF(LEN('Ch7'!H306)=0,"",'Ch7'!H306)</f>
        <v/>
      </c>
      <c r="C1068" t="str">
        <f t="shared" si="31"/>
        <v/>
      </c>
      <c r="D1068" s="126"/>
      <c r="E1068" s="103"/>
      <c r="F1068" s="103"/>
      <c r="G1068" s="107" t="s">
        <v>1098</v>
      </c>
      <c r="J1068" s="485"/>
    </row>
    <row r="1069" spans="1:10" x14ac:dyDescent="0.35">
      <c r="B1069" t="str">
        <f>IF(LEN('Ch7'!H307)=0,"",'Ch7'!H307)</f>
        <v/>
      </c>
      <c r="C1069" t="str">
        <f t="shared" si="31"/>
        <v/>
      </c>
      <c r="D1069" s="126"/>
      <c r="E1069" s="103"/>
      <c r="F1069" s="103"/>
      <c r="G1069" s="714" t="s">
        <v>4039</v>
      </c>
      <c r="J1069" s="485"/>
    </row>
    <row r="1070" spans="1:10" ht="15" thickBot="1" x14ac:dyDescent="0.4">
      <c r="B1070" t="str">
        <f>IF(LEN('Ch7'!H308)=0,"",'Ch7'!H308)</f>
        <v/>
      </c>
      <c r="C1070" t="str">
        <f t="shared" si="31"/>
        <v/>
      </c>
      <c r="D1070" s="448"/>
      <c r="E1070" s="438"/>
      <c r="F1070" s="438"/>
      <c r="G1070" s="788"/>
      <c r="J1070" s="485"/>
    </row>
    <row r="1071" spans="1:10" x14ac:dyDescent="0.35">
      <c r="A1071" s="600" t="str">
        <f ca="1">IF(COUNTIF(A1072:A1082,"P")&gt;0,"P","")</f>
        <v>P</v>
      </c>
      <c r="B1071" t="str">
        <f>IF(LEN('Ch7'!H309)=0,"",'Ch7'!H309)</f>
        <v/>
      </c>
      <c r="C1071" t="str">
        <f t="shared" ca="1" si="31"/>
        <v>P</v>
      </c>
      <c r="D1071" s="33">
        <v>703.4</v>
      </c>
      <c r="E1071" s="103"/>
      <c r="F1071" s="103"/>
      <c r="G1071" s="110" t="s">
        <v>1102</v>
      </c>
      <c r="J1071" s="485"/>
    </row>
    <row r="1072" spans="1:10" x14ac:dyDescent="0.35">
      <c r="A1072" s="403" t="str">
        <f>IF(AND(LEN('Ch7'!W310)&gt;0,NOT('Ch7'!W310=FALSE)),"P","")</f>
        <v/>
      </c>
      <c r="B1072" t="str">
        <f>IF(LEN('Ch7'!H310)=0,"",'Ch7'!H310)</f>
        <v/>
      </c>
      <c r="C1072" t="str">
        <f t="shared" si="31"/>
        <v/>
      </c>
      <c r="D1072" s="33" t="s">
        <v>1103</v>
      </c>
      <c r="E1072" s="103"/>
      <c r="F1072" s="103"/>
      <c r="G1072" s="110" t="s">
        <v>1104</v>
      </c>
      <c r="H1072" s="49">
        <f>'Ch7'!W310</f>
        <v>0</v>
      </c>
      <c r="I1072" s="49">
        <f ca="1">'Ch7'!O310</f>
        <v>0</v>
      </c>
      <c r="J1072" s="485" t="s">
        <v>4177</v>
      </c>
    </row>
    <row r="1073" spans="1:10" x14ac:dyDescent="0.35">
      <c r="B1073" t="str">
        <f>IF(LEN('Ch7'!H311)=0,"",'Ch7'!H311)</f>
        <v/>
      </c>
      <c r="C1073" t="str">
        <f t="shared" si="31"/>
        <v/>
      </c>
      <c r="D1073" s="149"/>
      <c r="E1073" s="193"/>
      <c r="F1073" s="193"/>
      <c r="G1073" s="121" t="s">
        <v>1105</v>
      </c>
      <c r="J1073" s="485"/>
    </row>
    <row r="1074" spans="1:10" x14ac:dyDescent="0.35">
      <c r="A1074" s="403" t="str">
        <f>IF(AND(LEN('Ch7'!W312)&gt;0,NOT('Ch7'!W312=FALSE)),"P","")</f>
        <v/>
      </c>
      <c r="B1074" t="str">
        <f>IF(LEN('Ch7'!H312)=0,"",'Ch7'!H312)</f>
        <v/>
      </c>
      <c r="C1074" t="str">
        <f t="shared" si="31"/>
        <v/>
      </c>
      <c r="D1074" s="444" t="s">
        <v>1106</v>
      </c>
      <c r="E1074" s="439"/>
      <c r="F1074" s="439"/>
      <c r="G1074" s="358" t="s">
        <v>1107</v>
      </c>
      <c r="H1074" s="49">
        <f>'Ch7'!W312</f>
        <v>0</v>
      </c>
      <c r="I1074" s="49">
        <f ca="1">'Ch7'!O312</f>
        <v>0</v>
      </c>
      <c r="J1074" s="485" t="s">
        <v>4177</v>
      </c>
    </row>
    <row r="1075" spans="1:10" x14ac:dyDescent="0.35">
      <c r="B1075" t="str">
        <f>IF(LEN('Ch7'!H313)=0,"",'Ch7'!H313)</f>
        <v/>
      </c>
      <c r="C1075" t="str">
        <f t="shared" si="31"/>
        <v/>
      </c>
      <c r="D1075" s="149"/>
      <c r="E1075" s="193"/>
      <c r="F1075" s="193"/>
      <c r="G1075" s="121" t="s">
        <v>1105</v>
      </c>
      <c r="J1075" s="485"/>
    </row>
    <row r="1076" spans="1:10" x14ac:dyDescent="0.35">
      <c r="A1076" s="403" t="str">
        <f ca="1">IF('Ch7'!O314&gt;0,"P","")</f>
        <v>P</v>
      </c>
      <c r="B1076" t="str">
        <f>IF(LEN('Ch7'!H314)=0,"",'Ch7'!H314)</f>
        <v/>
      </c>
      <c r="C1076" t="str">
        <f t="shared" ca="1" si="31"/>
        <v>P</v>
      </c>
      <c r="D1076" s="444" t="s">
        <v>1108</v>
      </c>
      <c r="E1076" s="439"/>
      <c r="F1076" s="439"/>
      <c r="G1076" s="358" t="s">
        <v>1109</v>
      </c>
      <c r="I1076" s="49">
        <f ca="1">'Ch7'!O314</f>
        <v>8</v>
      </c>
      <c r="J1076" s="495" t="s">
        <v>4177</v>
      </c>
    </row>
    <row r="1077" spans="1:10" x14ac:dyDescent="0.35">
      <c r="B1077" t="str">
        <f>IF(LEN('Ch7'!H315)=0,"",'Ch7'!H315)</f>
        <v/>
      </c>
      <c r="C1077" t="str">
        <f t="shared" si="31"/>
        <v/>
      </c>
      <c r="D1077" s="126"/>
      <c r="E1077" s="474" t="s">
        <v>270</v>
      </c>
      <c r="F1077" s="193"/>
      <c r="G1077" s="214" t="s">
        <v>1110</v>
      </c>
      <c r="H1077" s="49" t="b">
        <f>'Ch7'!W315</f>
        <v>1</v>
      </c>
      <c r="J1077" s="490"/>
    </row>
    <row r="1078" spans="1:10" x14ac:dyDescent="0.35">
      <c r="B1078" t="str">
        <f>IF(LEN('Ch7'!H316)=0,"",'Ch7'!H316)</f>
        <v/>
      </c>
      <c r="C1078" t="str">
        <f t="shared" si="31"/>
        <v/>
      </c>
      <c r="D1078" s="126"/>
      <c r="E1078" s="478" t="s">
        <v>272</v>
      </c>
      <c r="F1078" s="439"/>
      <c r="G1078" s="742" t="s">
        <v>1111</v>
      </c>
      <c r="H1078" s="49" t="b">
        <f>'Ch7'!W316</f>
        <v>1</v>
      </c>
      <c r="J1078" s="495"/>
    </row>
    <row r="1079" spans="1:10" x14ac:dyDescent="0.35">
      <c r="B1079" t="str">
        <f>IF(LEN('Ch7'!H317)=0,"",'Ch7'!H317)</f>
        <v/>
      </c>
      <c r="C1079" t="str">
        <f t="shared" si="31"/>
        <v/>
      </c>
      <c r="D1079" s="126"/>
      <c r="E1079" s="193"/>
      <c r="F1079" s="193"/>
      <c r="G1079" s="709"/>
      <c r="J1079" s="495"/>
    </row>
    <row r="1080" spans="1:10" x14ac:dyDescent="0.35">
      <c r="B1080" t="str">
        <f>IF(LEN('Ch7'!H318)=0,"",'Ch7'!H318)</f>
        <v/>
      </c>
      <c r="C1080" t="str">
        <f t="shared" si="31"/>
        <v/>
      </c>
      <c r="D1080" s="126"/>
      <c r="E1080" s="473" t="s">
        <v>274</v>
      </c>
      <c r="F1080" s="103"/>
      <c r="G1080" s="104" t="s">
        <v>1112</v>
      </c>
      <c r="H1080" s="49" t="b">
        <f>'Ch7'!W318</f>
        <v>1</v>
      </c>
      <c r="J1080" s="495"/>
    </row>
    <row r="1081" spans="1:10" x14ac:dyDescent="0.35">
      <c r="B1081" t="str">
        <f>IF(LEN('Ch7'!H319)=0,"",'Ch7'!H319)</f>
        <v/>
      </c>
      <c r="C1081" t="str">
        <f t="shared" si="31"/>
        <v/>
      </c>
      <c r="D1081" s="149"/>
      <c r="E1081" s="193"/>
      <c r="F1081" s="193"/>
      <c r="G1081" s="121" t="s">
        <v>1105</v>
      </c>
      <c r="J1081" s="485"/>
    </row>
    <row r="1082" spans="1:10" x14ac:dyDescent="0.35">
      <c r="A1082" s="403" t="str">
        <f>IF(AND(LEN('Ch7'!W320)&gt;0,NOT('Ch7'!W320=FALSE)),"P","")</f>
        <v/>
      </c>
      <c r="B1082" t="str">
        <f>IF(LEN('Ch7'!H320)=0,"",'Ch7'!H320)</f>
        <v/>
      </c>
      <c r="C1082" t="str">
        <f t="shared" si="31"/>
        <v/>
      </c>
      <c r="D1082" s="444" t="s">
        <v>1113</v>
      </c>
      <c r="E1082" s="439"/>
      <c r="F1082" s="439"/>
      <c r="G1082" s="753" t="s">
        <v>1114</v>
      </c>
      <c r="H1082" s="49">
        <f>'Ch7'!W320</f>
        <v>0</v>
      </c>
      <c r="I1082" s="49">
        <f ca="1">'Ch7'!O320</f>
        <v>0</v>
      </c>
      <c r="J1082" s="813" t="s">
        <v>4293</v>
      </c>
    </row>
    <row r="1083" spans="1:10" x14ac:dyDescent="0.35">
      <c r="A1083" s="403" t="str">
        <f>A1082</f>
        <v/>
      </c>
      <c r="B1083" t="str">
        <f>IF(LEN('Ch7'!H321)=0,"",'Ch7'!H321)</f>
        <v/>
      </c>
      <c r="C1083" t="str">
        <f t="shared" si="31"/>
        <v/>
      </c>
      <c r="D1083" s="126"/>
      <c r="E1083" s="103"/>
      <c r="F1083" s="103"/>
      <c r="G1083" s="706"/>
      <c r="J1083" s="813"/>
    </row>
    <row r="1084" spans="1:10" x14ac:dyDescent="0.35">
      <c r="A1084" s="403" t="str">
        <f>A1083</f>
        <v/>
      </c>
      <c r="B1084" t="str">
        <f>IF(LEN('Ch7'!H322)=0,"",'Ch7'!H322)</f>
        <v/>
      </c>
      <c r="C1084" t="str">
        <f t="shared" si="31"/>
        <v/>
      </c>
      <c r="D1084" s="126"/>
      <c r="E1084" s="103"/>
      <c r="F1084" s="103"/>
      <c r="G1084" s="706"/>
      <c r="J1084" s="813"/>
    </row>
    <row r="1085" spans="1:10" x14ac:dyDescent="0.35">
      <c r="A1085" s="403" t="str">
        <f>A1084</f>
        <v/>
      </c>
      <c r="B1085" t="str">
        <f>IF(LEN('Ch7'!H323)=0,"",'Ch7'!H323)</f>
        <v/>
      </c>
      <c r="C1085" t="str">
        <f t="shared" si="31"/>
        <v/>
      </c>
      <c r="D1085" s="126"/>
      <c r="E1085" s="103"/>
      <c r="F1085" s="103"/>
      <c r="G1085" s="706"/>
      <c r="J1085" s="813"/>
    </row>
    <row r="1086" spans="1:10" x14ac:dyDescent="0.35">
      <c r="A1086" s="403" t="str">
        <f>A1085</f>
        <v/>
      </c>
      <c r="B1086" t="str">
        <f>IF(LEN('Ch7'!H324)=0,"",'Ch7'!H324)</f>
        <v/>
      </c>
      <c r="C1086" t="str">
        <f t="shared" si="31"/>
        <v/>
      </c>
      <c r="D1086" s="126"/>
      <c r="E1086" s="103"/>
      <c r="F1086" s="103"/>
      <c r="G1086" s="706"/>
      <c r="J1086" s="813"/>
    </row>
    <row r="1087" spans="1:10" x14ac:dyDescent="0.35">
      <c r="B1087" t="str">
        <f>IF(LEN('Ch7'!H325)=0,"",'Ch7'!H325)</f>
        <v/>
      </c>
      <c r="C1087" t="str">
        <f t="shared" si="31"/>
        <v/>
      </c>
      <c r="D1087" s="126"/>
      <c r="E1087" s="103"/>
      <c r="F1087" s="103"/>
      <c r="G1087" s="107" t="s">
        <v>1115</v>
      </c>
      <c r="J1087" s="485"/>
    </row>
    <row r="1088" spans="1:10" x14ac:dyDescent="0.35">
      <c r="B1088" t="str">
        <f>IF(LEN('Ch7'!H326)=0,"",'Ch7'!H326)</f>
        <v/>
      </c>
      <c r="C1088" t="str">
        <f t="shared" si="31"/>
        <v/>
      </c>
      <c r="D1088" s="126"/>
      <c r="E1088" s="474" t="s">
        <v>270</v>
      </c>
      <c r="F1088" s="193"/>
      <c r="G1088" s="214" t="s">
        <v>3902</v>
      </c>
      <c r="J1088" s="485"/>
    </row>
    <row r="1089" spans="1:10" x14ac:dyDescent="0.35">
      <c r="B1089" t="str">
        <f>IF(LEN('Ch7'!H327)=0,"",'Ch7'!H327)</f>
        <v/>
      </c>
      <c r="C1089" t="str">
        <f t="shared" si="31"/>
        <v/>
      </c>
      <c r="D1089" s="126"/>
      <c r="E1089" s="479" t="s">
        <v>272</v>
      </c>
      <c r="F1089" s="219"/>
      <c r="G1089" s="220" t="s">
        <v>3903</v>
      </c>
      <c r="J1089" s="485"/>
    </row>
    <row r="1090" spans="1:10" ht="15" thickBot="1" x14ac:dyDescent="0.4">
      <c r="B1090" t="str">
        <f>IF(LEN('Ch7'!H328)=0,"",'Ch7'!H328)</f>
        <v/>
      </c>
      <c r="C1090" t="str">
        <f t="shared" si="31"/>
        <v/>
      </c>
      <c r="D1090" s="448"/>
      <c r="E1090" s="481" t="s">
        <v>274</v>
      </c>
      <c r="F1090" s="438"/>
      <c r="G1090" s="223" t="s">
        <v>3904</v>
      </c>
      <c r="J1090" s="485"/>
    </row>
    <row r="1091" spans="1:10" ht="15" thickTop="1" x14ac:dyDescent="0.35">
      <c r="A1091" s="600" t="str">
        <f ca="1">IF(COUNTIF(A1092:A1115,"P")&gt;0,"P","")</f>
        <v/>
      </c>
      <c r="B1091" t="str">
        <f>IF(LEN('Ch7'!H329)=0,"",'Ch7'!H329)</f>
        <v/>
      </c>
      <c r="C1091" t="str">
        <f t="shared" ca="1" si="31"/>
        <v/>
      </c>
      <c r="D1091" s="63">
        <v>703.5</v>
      </c>
      <c r="E1091" s="475"/>
      <c r="F1091" s="475"/>
      <c r="G1091" s="222" t="s">
        <v>1116</v>
      </c>
      <c r="J1091" s="485"/>
    </row>
    <row r="1092" spans="1:10" x14ac:dyDescent="0.35">
      <c r="A1092" s="403" t="str">
        <f ca="1">IF(SUM(I1095:I1106)&gt;0,"P","")</f>
        <v/>
      </c>
      <c r="B1092" t="str">
        <f>IF(LEN('Ch7'!H330)=0,"",'Ch7'!H330)</f>
        <v/>
      </c>
      <c r="C1092" t="str">
        <f t="shared" ca="1" si="31"/>
        <v/>
      </c>
      <c r="D1092" s="33" t="s">
        <v>1117</v>
      </c>
      <c r="E1092" s="103"/>
      <c r="F1092" s="103"/>
      <c r="G1092" s="110" t="s">
        <v>1118</v>
      </c>
      <c r="J1092" s="495" t="s">
        <v>4224</v>
      </c>
    </row>
    <row r="1093" spans="1:10" x14ac:dyDescent="0.35">
      <c r="B1093" t="str">
        <f>IF(LEN('Ch7'!H331)=0,"",'Ch7'!H331)</f>
        <v/>
      </c>
      <c r="C1093" t="str">
        <f t="shared" si="31"/>
        <v/>
      </c>
      <c r="D1093" s="126"/>
      <c r="E1093" s="103"/>
      <c r="F1093" s="103"/>
      <c r="G1093" s="105" t="s">
        <v>3901</v>
      </c>
      <c r="H1093" s="49">
        <f>'Ch7'!W331</f>
        <v>0</v>
      </c>
      <c r="J1093" s="490"/>
    </row>
    <row r="1094" spans="1:10" x14ac:dyDescent="0.35">
      <c r="B1094" t="str">
        <f>IF(LEN('Ch7'!H332)=0,"",'Ch7'!H332)</f>
        <v/>
      </c>
      <c r="C1094" t="str">
        <f t="shared" si="31"/>
        <v/>
      </c>
      <c r="D1094" s="126"/>
      <c r="E1094" s="473" t="s">
        <v>270</v>
      </c>
      <c r="F1094" s="103"/>
      <c r="G1094" s="104" t="s">
        <v>1119</v>
      </c>
      <c r="J1094" s="495"/>
    </row>
    <row r="1095" spans="1:10" x14ac:dyDescent="0.35">
      <c r="B1095" t="str">
        <f>IF(LEN('Ch7'!H333)=0,"",'Ch7'!H333)</f>
        <v/>
      </c>
      <c r="C1095" t="str">
        <f t="shared" si="31"/>
        <v/>
      </c>
      <c r="D1095" s="126"/>
      <c r="E1095" s="473"/>
      <c r="F1095" s="473" t="s">
        <v>121</v>
      </c>
      <c r="G1095" s="104" t="s">
        <v>1119</v>
      </c>
      <c r="H1095" s="49">
        <f>'Ch7'!W333</f>
        <v>0</v>
      </c>
      <c r="I1095" s="49">
        <f ca="1">'Ch7'!O333</f>
        <v>0</v>
      </c>
      <c r="J1095" s="495"/>
    </row>
    <row r="1096" spans="1:10" x14ac:dyDescent="0.35">
      <c r="B1096" t="str">
        <f>IF(LEN('Ch7'!H334)=0,"",'Ch7'!H334)</f>
        <v/>
      </c>
      <c r="C1096" t="str">
        <f t="shared" si="31"/>
        <v/>
      </c>
      <c r="D1096" s="126"/>
      <c r="E1096" s="473"/>
      <c r="F1096" s="473"/>
      <c r="G1096" s="104" t="s">
        <v>3889</v>
      </c>
      <c r="J1096" s="495"/>
    </row>
    <row r="1097" spans="1:10" x14ac:dyDescent="0.35">
      <c r="B1097" t="str">
        <f>IF(LEN('Ch7'!H335)=0,"",'Ch7'!H335)</f>
        <v/>
      </c>
      <c r="C1097" t="str">
        <f t="shared" si="31"/>
        <v/>
      </c>
      <c r="D1097" s="126"/>
      <c r="E1097" s="473"/>
      <c r="F1097" s="473"/>
      <c r="G1097" s="104" t="s">
        <v>3890</v>
      </c>
      <c r="J1097" s="495"/>
    </row>
    <row r="1098" spans="1:10" x14ac:dyDescent="0.35">
      <c r="B1098" t="str">
        <f>IF(LEN('Ch7'!H336)=0,"",'Ch7'!H336)</f>
        <v/>
      </c>
      <c r="C1098" t="str">
        <f t="shared" si="31"/>
        <v/>
      </c>
      <c r="D1098" s="126"/>
      <c r="E1098" s="103"/>
      <c r="F1098" s="473" t="s">
        <v>122</v>
      </c>
      <c r="G1098" s="723" t="s">
        <v>3886</v>
      </c>
      <c r="I1098" s="49">
        <f ca="1">'Ch7'!O336</f>
        <v>0</v>
      </c>
      <c r="J1098" s="495"/>
    </row>
    <row r="1099" spans="1:10" x14ac:dyDescent="0.35">
      <c r="B1099" t="str">
        <f>IF(LEN('Ch7'!H337)=0,"",'Ch7'!H337)</f>
        <v/>
      </c>
      <c r="C1099" t="str">
        <f t="shared" si="31"/>
        <v/>
      </c>
      <c r="D1099" s="126"/>
      <c r="E1099" s="103"/>
      <c r="F1099" s="473"/>
      <c r="G1099" s="723"/>
      <c r="J1099" s="495"/>
    </row>
    <row r="1100" spans="1:10" x14ac:dyDescent="0.35">
      <c r="B1100" t="str">
        <f>IF(LEN('Ch7'!H338)=0,"",'Ch7'!H338)</f>
        <v/>
      </c>
      <c r="C1100" t="str">
        <f t="shared" si="31"/>
        <v/>
      </c>
      <c r="D1100" s="126"/>
      <c r="E1100" s="103"/>
      <c r="F1100" s="473"/>
      <c r="G1100" s="104" t="s">
        <v>3891</v>
      </c>
      <c r="J1100" s="495"/>
    </row>
    <row r="1101" spans="1:10" x14ac:dyDescent="0.35">
      <c r="B1101" t="str">
        <f>IF(LEN('Ch7'!H339)=0,"",'Ch7'!H339)</f>
        <v/>
      </c>
      <c r="C1101" t="str">
        <f t="shared" si="31"/>
        <v/>
      </c>
      <c r="D1101" s="126"/>
      <c r="E1101" s="193"/>
      <c r="F1101" s="474"/>
      <c r="G1101" s="214" t="s">
        <v>3892</v>
      </c>
      <c r="J1101" s="495"/>
    </row>
    <row r="1102" spans="1:10" x14ac:dyDescent="0.35">
      <c r="B1102" t="str">
        <f>IF(LEN('Ch7'!H340)=0,"",'Ch7'!H340)</f>
        <v/>
      </c>
      <c r="C1102" t="str">
        <f t="shared" si="31"/>
        <v/>
      </c>
      <c r="D1102" s="126"/>
      <c r="E1102" s="473" t="s">
        <v>272</v>
      </c>
      <c r="F1102" s="103"/>
      <c r="G1102" s="104" t="s">
        <v>1120</v>
      </c>
      <c r="J1102" s="495"/>
    </row>
    <row r="1103" spans="1:10" x14ac:dyDescent="0.35">
      <c r="B1103" t="str">
        <f>IF(LEN('Ch7'!H341)=0,"",'Ch7'!H341)</f>
        <v/>
      </c>
      <c r="C1103" t="str">
        <f t="shared" ref="C1103:C1166" si="32">IF(LEN(B1103)=0,IF(A1103="P","P",""),B1103)</f>
        <v/>
      </c>
      <c r="D1103" s="126"/>
      <c r="E1103" s="473"/>
      <c r="F1103" s="473" t="s">
        <v>121</v>
      </c>
      <c r="G1103" s="104" t="s">
        <v>3884</v>
      </c>
      <c r="I1103" s="49">
        <f ca="1">'Ch7'!O341</f>
        <v>0</v>
      </c>
      <c r="J1103" s="495"/>
    </row>
    <row r="1104" spans="1:10" x14ac:dyDescent="0.35">
      <c r="B1104" t="str">
        <f>IF(LEN('Ch7'!H342)=0,"",'Ch7'!H342)</f>
        <v/>
      </c>
      <c r="C1104" t="str">
        <f t="shared" si="32"/>
        <v/>
      </c>
      <c r="D1104" s="126"/>
      <c r="E1104" s="193"/>
      <c r="F1104" s="474" t="s">
        <v>122</v>
      </c>
      <c r="G1104" s="214" t="s">
        <v>3885</v>
      </c>
      <c r="I1104" s="49">
        <f ca="1">'Ch7'!O342</f>
        <v>0</v>
      </c>
      <c r="J1104" s="495"/>
    </row>
    <row r="1105" spans="1:10" x14ac:dyDescent="0.35">
      <c r="B1105" t="str">
        <f>IF(LEN('Ch7'!H343)=0,"",'Ch7'!H343)</f>
        <v/>
      </c>
      <c r="C1105" t="str">
        <f t="shared" si="32"/>
        <v/>
      </c>
      <c r="D1105" s="126"/>
      <c r="E1105" s="479" t="s">
        <v>274</v>
      </c>
      <c r="F1105" s="219"/>
      <c r="G1105" s="220" t="s">
        <v>3883</v>
      </c>
      <c r="I1105" s="49">
        <f ca="1">'Ch7'!O343</f>
        <v>0</v>
      </c>
      <c r="J1105" s="495"/>
    </row>
    <row r="1106" spans="1:10" x14ac:dyDescent="0.35">
      <c r="B1106" t="str">
        <f>IF(LEN('Ch7'!H344)=0,"",'Ch7'!H344)</f>
        <v/>
      </c>
      <c r="C1106" t="str">
        <f t="shared" si="32"/>
        <v/>
      </c>
      <c r="D1106" s="126"/>
      <c r="E1106" s="473" t="s">
        <v>283</v>
      </c>
      <c r="F1106" s="103"/>
      <c r="G1106" s="104" t="s">
        <v>1121</v>
      </c>
      <c r="I1106" s="49">
        <f ca="1">'Ch7'!O344</f>
        <v>0</v>
      </c>
      <c r="J1106" s="495"/>
    </row>
    <row r="1107" spans="1:10" x14ac:dyDescent="0.35">
      <c r="B1107" t="str">
        <f>IF(LEN('Ch7'!H345)=0,"",'Ch7'!H345)</f>
        <v/>
      </c>
      <c r="C1107" t="str">
        <f t="shared" si="32"/>
        <v/>
      </c>
      <c r="D1107" s="126"/>
      <c r="E1107" s="473"/>
      <c r="F1107" s="103"/>
      <c r="G1107" s="104" t="s">
        <v>3893</v>
      </c>
      <c r="J1107" s="495"/>
    </row>
    <row r="1108" spans="1:10" x14ac:dyDescent="0.35">
      <c r="B1108" t="str">
        <f>IF(LEN('Ch7'!H346)=0,"",'Ch7'!H346)</f>
        <v/>
      </c>
      <c r="C1108" t="str">
        <f t="shared" si="32"/>
        <v/>
      </c>
      <c r="D1108" s="126"/>
      <c r="E1108" s="473"/>
      <c r="F1108" s="103"/>
      <c r="G1108" s="104" t="s">
        <v>3894</v>
      </c>
      <c r="J1108" s="495"/>
    </row>
    <row r="1109" spans="1:10" x14ac:dyDescent="0.35">
      <c r="B1109" t="str">
        <f>IF(LEN('Ch7'!H347)=0,"",'Ch7'!H347)</f>
        <v/>
      </c>
      <c r="C1109" t="str">
        <f t="shared" si="32"/>
        <v/>
      </c>
      <c r="D1109" s="149"/>
      <c r="E1109" s="193"/>
      <c r="F1109" s="193"/>
      <c r="G1109" s="214" t="s">
        <v>3895</v>
      </c>
      <c r="J1109" s="495"/>
    </row>
    <row r="1110" spans="1:10" ht="15" customHeight="1" x14ac:dyDescent="0.35">
      <c r="A1110" s="403" t="str">
        <f>IF(AND(LEN('Ch7'!W348)&gt;0,NOT('Ch7'!W348=FALSE)),"P","")</f>
        <v/>
      </c>
      <c r="B1110" t="str">
        <f>IF(LEN('Ch7'!H348)=0,"",'Ch7'!H348)</f>
        <v/>
      </c>
      <c r="C1110" t="str">
        <f t="shared" si="32"/>
        <v/>
      </c>
      <c r="D1110" s="444" t="s">
        <v>1122</v>
      </c>
      <c r="E1110" s="439"/>
      <c r="F1110" s="439"/>
      <c r="G1110" s="787" t="s">
        <v>1123</v>
      </c>
      <c r="H1110" s="49">
        <f>'Ch7'!W348</f>
        <v>0</v>
      </c>
      <c r="I1110" s="49">
        <f ca="1">'Ch7'!O348</f>
        <v>0</v>
      </c>
      <c r="J1110" s="814" t="s">
        <v>4225</v>
      </c>
    </row>
    <row r="1111" spans="1:10" x14ac:dyDescent="0.35">
      <c r="A1111" s="403" t="str">
        <f>A1110</f>
        <v/>
      </c>
      <c r="B1111" t="str">
        <f>IF(LEN('Ch7'!H349)=0,"",'Ch7'!H349)</f>
        <v/>
      </c>
      <c r="C1111" t="str">
        <f t="shared" si="32"/>
        <v/>
      </c>
      <c r="D1111" s="442"/>
      <c r="E1111" s="193"/>
      <c r="F1111" s="193"/>
      <c r="G1111" s="785"/>
      <c r="J1111" s="814"/>
    </row>
    <row r="1112" spans="1:10" x14ac:dyDescent="0.35">
      <c r="A1112" s="403" t="str">
        <f>IF(AND(LEN('Ch7'!W350)&gt;0,NOT('Ch7'!W350=FALSE)),"P","")</f>
        <v/>
      </c>
      <c r="B1112" t="str">
        <f>IF(LEN('Ch7'!H350)=0,"",'Ch7'!H350)</f>
        <v/>
      </c>
      <c r="C1112" t="str">
        <f t="shared" si="32"/>
        <v/>
      </c>
      <c r="D1112" s="33" t="s">
        <v>1124</v>
      </c>
      <c r="E1112" s="103"/>
      <c r="F1112" s="103"/>
      <c r="G1112" s="110" t="s">
        <v>1125</v>
      </c>
      <c r="H1112" s="49">
        <f>'Ch7'!W350</f>
        <v>0</v>
      </c>
      <c r="I1112" s="49">
        <f ca="1">'Ch7'!O350</f>
        <v>0</v>
      </c>
      <c r="J1112" s="813" t="s">
        <v>4177</v>
      </c>
    </row>
    <row r="1113" spans="1:10" x14ac:dyDescent="0.35">
      <c r="A1113" s="403" t="str">
        <f>A1112</f>
        <v/>
      </c>
      <c r="B1113" t="str">
        <f>IF(LEN('Ch7'!H351)=0,"",'Ch7'!H351)</f>
        <v/>
      </c>
      <c r="C1113" t="str">
        <f t="shared" si="32"/>
        <v/>
      </c>
      <c r="D1113" s="458"/>
      <c r="E1113" s="193"/>
      <c r="F1113" s="193"/>
      <c r="G1113" s="165" t="s">
        <v>1098</v>
      </c>
      <c r="J1113" s="813"/>
    </row>
    <row r="1114" spans="1:10" ht="15" customHeight="1" x14ac:dyDescent="0.35">
      <c r="A1114" s="403" t="str">
        <f>IF(AND(LEN('Ch7'!W352)&gt;0,NOT('Ch7'!W352=FALSE)),"P","")</f>
        <v/>
      </c>
      <c r="B1114" t="str">
        <f>IF(LEN('Ch7'!H352)=0,"",'Ch7'!H352)</f>
        <v/>
      </c>
      <c r="C1114" t="str">
        <f t="shared" si="32"/>
        <v/>
      </c>
      <c r="D1114" s="442" t="s">
        <v>3880</v>
      </c>
      <c r="E1114" s="193"/>
      <c r="F1114" s="193"/>
      <c r="G1114" s="361" t="s">
        <v>1126</v>
      </c>
      <c r="H1114" s="49">
        <f>'Ch7'!W352</f>
        <v>0</v>
      </c>
      <c r="I1114" s="49">
        <f ca="1">'Ch7'!O352</f>
        <v>0</v>
      </c>
      <c r="J1114" s="485" t="s">
        <v>4177</v>
      </c>
    </row>
    <row r="1115" spans="1:10" x14ac:dyDescent="0.35">
      <c r="A1115" s="403" t="str">
        <f ca="1">IF('Ch7'!O353&gt;0,"P","")</f>
        <v/>
      </c>
      <c r="B1115" t="str">
        <f>IF(LEN('Ch7'!H353)=0,"",'Ch7'!H353)</f>
        <v/>
      </c>
      <c r="C1115" t="str">
        <f t="shared" ca="1" si="32"/>
        <v/>
      </c>
      <c r="D1115" s="444" t="s">
        <v>1127</v>
      </c>
      <c r="E1115" s="439"/>
      <c r="F1115" s="439"/>
      <c r="G1115" s="753" t="s">
        <v>4100</v>
      </c>
      <c r="I1115" s="49">
        <f ca="1">'Ch7'!O353</f>
        <v>0</v>
      </c>
      <c r="J1115" s="813" t="s">
        <v>4226</v>
      </c>
    </row>
    <row r="1116" spans="1:10" x14ac:dyDescent="0.35">
      <c r="A1116" s="403" t="str">
        <f ca="1">A1115</f>
        <v/>
      </c>
      <c r="B1116" t="str">
        <f>IF(LEN('Ch7'!H354)=0,"",'Ch7'!H354)</f>
        <v/>
      </c>
      <c r="C1116" t="str">
        <f t="shared" ca="1" si="32"/>
        <v/>
      </c>
      <c r="D1116" s="126"/>
      <c r="E1116" s="103"/>
      <c r="F1116" s="103"/>
      <c r="G1116" s="706"/>
      <c r="H1116" s="49">
        <f>'Ch7'!W354</f>
        <v>0</v>
      </c>
      <c r="J1116" s="813"/>
    </row>
    <row r="1117" spans="1:10" x14ac:dyDescent="0.35">
      <c r="A1117" s="403" t="str">
        <f ca="1">A1116</f>
        <v/>
      </c>
      <c r="B1117" t="str">
        <f>IF(LEN('Ch7'!H355)=0,"",'Ch7'!H355)</f>
        <v/>
      </c>
      <c r="C1117" t="str">
        <f t="shared" ca="1" si="32"/>
        <v/>
      </c>
      <c r="D1117" s="126"/>
      <c r="E1117" s="103"/>
      <c r="F1117" s="103"/>
      <c r="G1117" s="706"/>
      <c r="J1117" s="813"/>
    </row>
    <row r="1118" spans="1:10" x14ac:dyDescent="0.35">
      <c r="B1118" t="str">
        <f>IF(LEN('Ch7'!H356)=0,"",'Ch7'!H356)</f>
        <v/>
      </c>
      <c r="C1118" t="str">
        <f t="shared" si="32"/>
        <v/>
      </c>
      <c r="D1118" s="126"/>
      <c r="F1118" s="103"/>
      <c r="G1118" s="381" t="s">
        <v>3896</v>
      </c>
      <c r="J1118" s="485"/>
    </row>
    <row r="1119" spans="1:10" x14ac:dyDescent="0.35">
      <c r="B1119" t="str">
        <f>IF(LEN('Ch7'!H357)=0,"",'Ch7'!H357)</f>
        <v/>
      </c>
      <c r="C1119" t="str">
        <f t="shared" si="32"/>
        <v/>
      </c>
      <c r="D1119" s="126"/>
      <c r="F1119" s="103"/>
      <c r="G1119" s="382" t="s">
        <v>3897</v>
      </c>
      <c r="J1119" s="485"/>
    </row>
    <row r="1120" spans="1:10" x14ac:dyDescent="0.35">
      <c r="B1120" t="str">
        <f>IF(LEN('Ch7'!H358)=0,"",'Ch7'!H358)</f>
        <v/>
      </c>
      <c r="C1120" t="str">
        <f t="shared" si="32"/>
        <v/>
      </c>
      <c r="D1120" s="126"/>
      <c r="F1120" s="103"/>
      <c r="G1120" s="382" t="s">
        <v>3898</v>
      </c>
      <c r="J1120" s="485"/>
    </row>
    <row r="1121" spans="1:10" x14ac:dyDescent="0.35">
      <c r="B1121" t="str">
        <f>IF(LEN('Ch7'!H359)=0,"",'Ch7'!H359)</f>
        <v/>
      </c>
      <c r="C1121" t="str">
        <f t="shared" si="32"/>
        <v/>
      </c>
      <c r="D1121" s="126"/>
      <c r="F1121" s="103"/>
      <c r="G1121" s="382" t="s">
        <v>3899</v>
      </c>
      <c r="J1121" s="485"/>
    </row>
    <row r="1122" spans="1:10" ht="15" thickBot="1" x14ac:dyDescent="0.4">
      <c r="B1122" t="str">
        <f>IF(LEN('Ch7'!H360)=0,"",'Ch7'!H360)</f>
        <v/>
      </c>
      <c r="C1122" t="str">
        <f t="shared" si="32"/>
        <v/>
      </c>
      <c r="D1122" s="448"/>
      <c r="E1122" s="455"/>
      <c r="F1122" s="438"/>
      <c r="G1122" s="372" t="s">
        <v>3900</v>
      </c>
      <c r="J1122" s="485"/>
    </row>
    <row r="1123" spans="1:10" ht="15" thickTop="1" x14ac:dyDescent="0.35">
      <c r="A1123" s="600" t="str">
        <f ca="1">IF(COUNTIF(A1124:A1132,"P")&gt;0,"P","")</f>
        <v/>
      </c>
      <c r="B1123" t="str">
        <f>IF(LEN('Ch7'!H361)=0,"",'Ch7'!H361)</f>
        <v/>
      </c>
      <c r="C1123" t="str">
        <f t="shared" ca="1" si="32"/>
        <v/>
      </c>
      <c r="D1123" s="63">
        <v>703.6</v>
      </c>
      <c r="E1123" s="475"/>
      <c r="F1123" s="475"/>
      <c r="G1123" s="222" t="s">
        <v>1128</v>
      </c>
      <c r="J1123" s="485"/>
    </row>
    <row r="1124" spans="1:10" x14ac:dyDescent="0.35">
      <c r="A1124" s="403" t="str">
        <f ca="1">IF(SUM(I1126:I1130)&gt;0,"P","")</f>
        <v/>
      </c>
      <c r="B1124" t="str">
        <f>IF(LEN('Ch7'!H362)=0,"",'Ch7'!H362)</f>
        <v/>
      </c>
      <c r="C1124" t="str">
        <f t="shared" ca="1" si="32"/>
        <v/>
      </c>
      <c r="D1124" s="33" t="s">
        <v>1129</v>
      </c>
      <c r="E1124" s="103"/>
      <c r="F1124" s="103"/>
      <c r="G1124" s="783" t="s">
        <v>1130</v>
      </c>
      <c r="J1124" s="804" t="s">
        <v>4757</v>
      </c>
    </row>
    <row r="1125" spans="1:10" ht="51.75" customHeight="1" x14ac:dyDescent="0.35">
      <c r="A1125" s="403" t="str">
        <f ca="1">A1124</f>
        <v/>
      </c>
      <c r="B1125" t="str">
        <f>IF(LEN('Ch7'!H363)=0,"",'Ch7'!H363)</f>
        <v/>
      </c>
      <c r="C1125" t="str">
        <f t="shared" ca="1" si="32"/>
        <v/>
      </c>
      <c r="D1125" s="33"/>
      <c r="E1125" s="103"/>
      <c r="F1125" s="103"/>
      <c r="G1125" s="783"/>
      <c r="J1125" s="806"/>
    </row>
    <row r="1126" spans="1:10" x14ac:dyDescent="0.35">
      <c r="B1126" t="str">
        <f>IF(LEN('Ch7'!H364)=0,"",'Ch7'!H364)</f>
        <v/>
      </c>
      <c r="C1126" t="str">
        <f t="shared" si="32"/>
        <v/>
      </c>
      <c r="D1126" s="126"/>
      <c r="E1126" s="473" t="s">
        <v>270</v>
      </c>
      <c r="F1126" s="103"/>
      <c r="G1126" s="747" t="s">
        <v>3877</v>
      </c>
      <c r="H1126" s="49">
        <f>'Ch7'!W364</f>
        <v>0</v>
      </c>
      <c r="I1126" s="49">
        <f ca="1">'Ch7'!O364</f>
        <v>0</v>
      </c>
      <c r="J1126" s="490"/>
    </row>
    <row r="1127" spans="1:10" x14ac:dyDescent="0.35">
      <c r="B1127" t="str">
        <f>IF(LEN('Ch7'!H365)=0,"",'Ch7'!H365)</f>
        <v/>
      </c>
      <c r="C1127" t="str">
        <f t="shared" si="32"/>
        <v/>
      </c>
      <c r="D1127" s="126"/>
      <c r="E1127" s="474"/>
      <c r="F1127" s="193"/>
      <c r="G1127" s="786"/>
      <c r="J1127" s="495"/>
    </row>
    <row r="1128" spans="1:10" x14ac:dyDescent="0.35">
      <c r="B1128" t="str">
        <f>IF(LEN('Ch7'!H366)=0,"",'Ch7'!H366)</f>
        <v/>
      </c>
      <c r="C1128" t="str">
        <f t="shared" si="32"/>
        <v/>
      </c>
      <c r="D1128" s="126"/>
      <c r="E1128" s="478" t="s">
        <v>272</v>
      </c>
      <c r="F1128" s="439"/>
      <c r="G1128" s="742" t="s">
        <v>1131</v>
      </c>
      <c r="H1128" s="49">
        <f>'Ch7'!W366</f>
        <v>0</v>
      </c>
      <c r="I1128" s="49">
        <f ca="1">'Ch7'!O366</f>
        <v>0</v>
      </c>
      <c r="J1128" s="495"/>
    </row>
    <row r="1129" spans="1:10" x14ac:dyDescent="0.35">
      <c r="B1129" t="str">
        <f>IF(LEN('Ch7'!H367)=0,"",'Ch7'!H367)</f>
        <v/>
      </c>
      <c r="C1129" t="str">
        <f t="shared" si="32"/>
        <v/>
      </c>
      <c r="D1129" s="126"/>
      <c r="E1129" s="193"/>
      <c r="F1129" s="193"/>
      <c r="G1129" s="709"/>
      <c r="J1129" s="495"/>
    </row>
    <row r="1130" spans="1:10" x14ac:dyDescent="0.35">
      <c r="B1130" t="str">
        <f>IF(LEN('Ch7'!H368)=0,"",'Ch7'!H368)</f>
        <v/>
      </c>
      <c r="C1130" t="str">
        <f t="shared" si="32"/>
        <v/>
      </c>
      <c r="D1130" s="126"/>
      <c r="E1130" s="473" t="s">
        <v>274</v>
      </c>
      <c r="F1130" s="103"/>
      <c r="G1130" s="707" t="s">
        <v>1132</v>
      </c>
      <c r="H1130" s="49">
        <f>'Ch7'!W368</f>
        <v>0</v>
      </c>
      <c r="I1130" s="49">
        <f ca="1">'Ch7'!O368</f>
        <v>0</v>
      </c>
      <c r="J1130" s="495"/>
    </row>
    <row r="1131" spans="1:10" x14ac:dyDescent="0.35">
      <c r="B1131" t="str">
        <f>IF(LEN('Ch7'!H369)=0,"",'Ch7'!H369)</f>
        <v/>
      </c>
      <c r="C1131" t="str">
        <f t="shared" si="32"/>
        <v/>
      </c>
      <c r="D1131" s="149"/>
      <c r="E1131" s="193"/>
      <c r="F1131" s="193"/>
      <c r="G1131" s="709"/>
      <c r="J1131" s="495"/>
    </row>
    <row r="1132" spans="1:10" ht="65" x14ac:dyDescent="0.35">
      <c r="A1132" s="403" t="str">
        <f ca="1">IF(SUM(I1133:I1135)&gt;0,"P","")</f>
        <v/>
      </c>
      <c r="B1132" t="str">
        <f>IF(LEN('Ch7'!H370)=0,"",'Ch7'!H370)</f>
        <v/>
      </c>
      <c r="C1132" t="str">
        <f t="shared" ca="1" si="32"/>
        <v/>
      </c>
      <c r="D1132" s="444" t="s">
        <v>1133</v>
      </c>
      <c r="E1132" s="439"/>
      <c r="F1132" s="439"/>
      <c r="G1132" s="358" t="s">
        <v>1134</v>
      </c>
      <c r="J1132" s="495" t="s">
        <v>4757</v>
      </c>
    </row>
    <row r="1133" spans="1:10" ht="15" customHeight="1" x14ac:dyDescent="0.35">
      <c r="B1133" t="str">
        <f>IF(LEN('Ch7'!H371)=0,"",'Ch7'!H371)</f>
        <v/>
      </c>
      <c r="C1133" t="str">
        <f t="shared" si="32"/>
        <v/>
      </c>
      <c r="D1133" s="126"/>
      <c r="E1133" s="474" t="s">
        <v>270</v>
      </c>
      <c r="F1133" s="193"/>
      <c r="G1133" s="381" t="s">
        <v>1135</v>
      </c>
      <c r="H1133" s="49">
        <f>'Ch7'!W371</f>
        <v>0</v>
      </c>
      <c r="I1133" s="49">
        <f ca="1">'Ch7'!O371</f>
        <v>0</v>
      </c>
      <c r="J1133" s="495"/>
    </row>
    <row r="1134" spans="1:10" x14ac:dyDescent="0.35">
      <c r="B1134" t="str">
        <f>IF(LEN('Ch7'!H372)=0,"",'Ch7'!H372)</f>
        <v/>
      </c>
      <c r="C1134" t="str">
        <f t="shared" si="32"/>
        <v/>
      </c>
      <c r="D1134" s="126"/>
      <c r="E1134" s="479" t="s">
        <v>272</v>
      </c>
      <c r="F1134" s="219"/>
      <c r="G1134" s="220" t="s">
        <v>1136</v>
      </c>
      <c r="H1134" s="49">
        <f>'Ch7'!W372</f>
        <v>0</v>
      </c>
      <c r="I1134" s="49">
        <f ca="1">'Ch7'!O372</f>
        <v>0</v>
      </c>
      <c r="J1134" s="490"/>
    </row>
    <row r="1135" spans="1:10" x14ac:dyDescent="0.35">
      <c r="B1135" t="str">
        <f>IF(LEN('Ch7'!H373)=0,"",'Ch7'!H373)</f>
        <v/>
      </c>
      <c r="C1135" t="str">
        <f t="shared" si="32"/>
        <v/>
      </c>
      <c r="D1135" s="126"/>
      <c r="E1135" s="473" t="s">
        <v>274</v>
      </c>
      <c r="F1135" s="103"/>
      <c r="G1135" s="104" t="s">
        <v>1137</v>
      </c>
      <c r="H1135" s="49">
        <f>'Ch7'!W373</f>
        <v>0</v>
      </c>
      <c r="I1135" s="49">
        <f ca="1">'Ch7'!O373</f>
        <v>0</v>
      </c>
      <c r="J1135" s="490"/>
    </row>
    <row r="1136" spans="1:10" ht="15" thickBot="1" x14ac:dyDescent="0.4">
      <c r="B1136" t="str">
        <f>IF(LEN('Ch7'!H374)=0,"",'Ch7'!H374)</f>
        <v/>
      </c>
      <c r="C1136" t="str">
        <f t="shared" si="32"/>
        <v/>
      </c>
      <c r="D1136" s="448"/>
      <c r="E1136" s="481"/>
      <c r="F1136" s="438"/>
      <c r="G1136" s="122" t="s">
        <v>3872</v>
      </c>
      <c r="J1136" s="490"/>
    </row>
    <row r="1137" spans="1:10" ht="15" thickTop="1" x14ac:dyDescent="0.35">
      <c r="A1137" s="600" t="str">
        <f ca="1">IF(COUNTIF(A1138:A1195,"P")&gt;0,"P","")</f>
        <v/>
      </c>
      <c r="B1137" t="str">
        <f>IF(LEN('Ch7'!H375)=0,"",'Ch7'!H375)</f>
        <v/>
      </c>
      <c r="C1137" t="str">
        <f t="shared" ca="1" si="32"/>
        <v/>
      </c>
      <c r="D1137" s="63">
        <v>703.7</v>
      </c>
      <c r="E1137" s="475"/>
      <c r="F1137" s="475"/>
      <c r="G1137" s="222" t="s">
        <v>1138</v>
      </c>
      <c r="J1137" s="485"/>
    </row>
    <row r="1138" spans="1:10" x14ac:dyDescent="0.35">
      <c r="A1138" s="403" t="str">
        <f>IF(AND(LEN('Ch7'!W376)&gt;0,NOT('Ch7'!W376=FALSE)),"P","")</f>
        <v/>
      </c>
      <c r="B1138" t="str">
        <f>IF(LEN('Ch7'!H376)=0,"",'Ch7'!H376)</f>
        <v/>
      </c>
      <c r="C1138" t="str">
        <f t="shared" si="32"/>
        <v/>
      </c>
      <c r="D1138" s="33" t="s">
        <v>1139</v>
      </c>
      <c r="E1138" s="103"/>
      <c r="F1138" s="103"/>
      <c r="G1138" s="706" t="s">
        <v>1140</v>
      </c>
      <c r="H1138" s="49">
        <f>'Ch7'!W376</f>
        <v>0</v>
      </c>
      <c r="I1138" s="49">
        <f ca="1">'Ch7'!O376</f>
        <v>0</v>
      </c>
      <c r="J1138" s="804" t="s">
        <v>4758</v>
      </c>
    </row>
    <row r="1139" spans="1:10" ht="36.75" customHeight="1" x14ac:dyDescent="0.35">
      <c r="A1139" s="403" t="str">
        <f>A1138</f>
        <v/>
      </c>
      <c r="B1139" t="str">
        <f>IF(LEN('Ch7'!H377)=0,"",'Ch7'!H377)</f>
        <v/>
      </c>
      <c r="C1139" t="str">
        <f t="shared" si="32"/>
        <v/>
      </c>
      <c r="D1139" s="126"/>
      <c r="E1139" s="103"/>
      <c r="F1139" s="103"/>
      <c r="G1139" s="706"/>
      <c r="J1139" s="806"/>
    </row>
    <row r="1140" spans="1:10" x14ac:dyDescent="0.35">
      <c r="B1140" t="str">
        <f>IF(LEN('Ch7'!H378)=0,"",'Ch7'!H378)</f>
        <v/>
      </c>
      <c r="C1140" t="str">
        <f t="shared" si="32"/>
        <v/>
      </c>
      <c r="D1140" s="126"/>
      <c r="E1140" s="473" t="s">
        <v>270</v>
      </c>
      <c r="F1140" s="103"/>
      <c r="G1140" s="707" t="s">
        <v>1141</v>
      </c>
      <c r="J1140" s="485"/>
    </row>
    <row r="1141" spans="1:10" x14ac:dyDescent="0.35">
      <c r="B1141" t="str">
        <f>IF(LEN('Ch7'!H379)=0,"",'Ch7'!H379)</f>
        <v/>
      </c>
      <c r="C1141" t="str">
        <f t="shared" si="32"/>
        <v/>
      </c>
      <c r="D1141" s="126"/>
      <c r="E1141" s="474"/>
      <c r="F1141" s="193"/>
      <c r="G1141" s="709"/>
      <c r="J1141" s="485"/>
    </row>
    <row r="1142" spans="1:10" x14ac:dyDescent="0.35">
      <c r="B1142" t="str">
        <f>IF(LEN('Ch7'!H380)=0,"",'Ch7'!H380)</f>
        <v/>
      </c>
      <c r="C1142" t="str">
        <f t="shared" si="32"/>
        <v/>
      </c>
      <c r="D1142" s="126"/>
      <c r="E1142" s="478" t="s">
        <v>272</v>
      </c>
      <c r="F1142" s="439"/>
      <c r="G1142" s="742" t="s">
        <v>1142</v>
      </c>
      <c r="J1142" s="485"/>
    </row>
    <row r="1143" spans="1:10" x14ac:dyDescent="0.35">
      <c r="B1143" t="str">
        <f>IF(LEN('Ch7'!H381)=0,"",'Ch7'!H381)</f>
        <v/>
      </c>
      <c r="C1143" t="str">
        <f t="shared" si="32"/>
        <v/>
      </c>
      <c r="D1143" s="126"/>
      <c r="E1143" s="474"/>
      <c r="F1143" s="193"/>
      <c r="G1143" s="709"/>
      <c r="J1143" s="485"/>
    </row>
    <row r="1144" spans="1:10" x14ac:dyDescent="0.35">
      <c r="B1144" t="str">
        <f>IF(LEN('Ch7'!H382)=0,"",'Ch7'!H382)</f>
        <v/>
      </c>
      <c r="C1144" t="str">
        <f t="shared" si="32"/>
        <v/>
      </c>
      <c r="D1144" s="126"/>
      <c r="E1144" s="478" t="s">
        <v>274</v>
      </c>
      <c r="F1144" s="439"/>
      <c r="G1144" s="742" t="s">
        <v>1143</v>
      </c>
      <c r="J1144" s="485"/>
    </row>
    <row r="1145" spans="1:10" x14ac:dyDescent="0.35">
      <c r="B1145" t="str">
        <f>IF(LEN('Ch7'!H383)=0,"",'Ch7'!H383)</f>
        <v/>
      </c>
      <c r="C1145" t="str">
        <f t="shared" si="32"/>
        <v/>
      </c>
      <c r="D1145" s="126"/>
      <c r="E1145" s="193"/>
      <c r="F1145" s="193"/>
      <c r="G1145" s="709"/>
      <c r="J1145" s="485"/>
    </row>
    <row r="1146" spans="1:10" x14ac:dyDescent="0.35">
      <c r="B1146" t="str">
        <f>IF(LEN('Ch7'!H384)=0,"",'Ch7'!H384)</f>
        <v/>
      </c>
      <c r="C1146" t="str">
        <f t="shared" si="32"/>
        <v/>
      </c>
      <c r="D1146" s="126"/>
      <c r="E1146" s="478" t="s">
        <v>283</v>
      </c>
      <c r="F1146" s="439"/>
      <c r="G1146" s="742" t="s">
        <v>1144</v>
      </c>
      <c r="J1146" s="485"/>
    </row>
    <row r="1147" spans="1:10" x14ac:dyDescent="0.35">
      <c r="B1147" t="str">
        <f>IF(LEN('Ch7'!H385)=0,"",'Ch7'!H385)</f>
        <v/>
      </c>
      <c r="C1147" t="str">
        <f t="shared" si="32"/>
        <v/>
      </c>
      <c r="D1147" s="126"/>
      <c r="E1147" s="193"/>
      <c r="F1147" s="193"/>
      <c r="G1147" s="709"/>
      <c r="J1147" s="485"/>
    </row>
    <row r="1148" spans="1:10" x14ac:dyDescent="0.35">
      <c r="B1148" t="str">
        <f>IF(LEN('Ch7'!H386)=0,"",'Ch7'!H386)</f>
        <v/>
      </c>
      <c r="C1148" t="str">
        <f t="shared" si="32"/>
        <v/>
      </c>
      <c r="D1148" s="126"/>
      <c r="E1148" s="478" t="s">
        <v>289</v>
      </c>
      <c r="F1148" s="439"/>
      <c r="G1148" s="742" t="s">
        <v>1145</v>
      </c>
      <c r="J1148" s="485"/>
    </row>
    <row r="1149" spans="1:10" x14ac:dyDescent="0.35">
      <c r="B1149" t="str">
        <f>IF(LEN('Ch7'!H387)=0,"",'Ch7'!H387)</f>
        <v/>
      </c>
      <c r="C1149" t="str">
        <f t="shared" si="32"/>
        <v/>
      </c>
      <c r="D1149" s="126"/>
      <c r="E1149" s="193"/>
      <c r="F1149" s="193"/>
      <c r="G1149" s="709"/>
      <c r="J1149" s="485"/>
    </row>
    <row r="1150" spans="1:10" x14ac:dyDescent="0.35">
      <c r="B1150" t="str">
        <f>IF(LEN('Ch7'!H388)=0,"",'Ch7'!H388)</f>
        <v/>
      </c>
      <c r="C1150" t="str">
        <f t="shared" si="32"/>
        <v/>
      </c>
      <c r="D1150" s="126"/>
      <c r="E1150" s="473" t="s">
        <v>291</v>
      </c>
      <c r="F1150" s="103"/>
      <c r="G1150" s="104" t="s">
        <v>1146</v>
      </c>
      <c r="J1150" s="485"/>
    </row>
    <row r="1151" spans="1:10" x14ac:dyDescent="0.35">
      <c r="B1151" t="str">
        <f>IF(LEN('Ch7'!H389)=0,"",'Ch7'!H389)</f>
        <v/>
      </c>
      <c r="C1151" t="str">
        <f t="shared" si="32"/>
        <v/>
      </c>
      <c r="D1151" s="126"/>
      <c r="E1151" s="103"/>
      <c r="F1151" s="473" t="s">
        <v>121</v>
      </c>
      <c r="G1151" s="723" t="s">
        <v>1147</v>
      </c>
      <c r="J1151" s="485"/>
    </row>
    <row r="1152" spans="1:10" x14ac:dyDescent="0.35">
      <c r="B1152" t="str">
        <f>IF(LEN('Ch7'!H390)=0,"",'Ch7'!H390)</f>
        <v/>
      </c>
      <c r="C1152" t="str">
        <f t="shared" si="32"/>
        <v/>
      </c>
      <c r="D1152" s="126"/>
      <c r="E1152" s="103"/>
      <c r="F1152" s="473"/>
      <c r="G1152" s="723"/>
      <c r="J1152" s="485"/>
    </row>
    <row r="1153" spans="1:10" x14ac:dyDescent="0.35">
      <c r="B1153" t="str">
        <f>IF(LEN('Ch7'!H391)=0,"",'Ch7'!H391)</f>
        <v/>
      </c>
      <c r="C1153" t="str">
        <f t="shared" si="32"/>
        <v/>
      </c>
      <c r="D1153" s="126"/>
      <c r="E1153" s="103"/>
      <c r="F1153" s="473" t="s">
        <v>122</v>
      </c>
      <c r="G1153" s="104" t="s">
        <v>1148</v>
      </c>
      <c r="J1153" s="485"/>
    </row>
    <row r="1154" spans="1:10" x14ac:dyDescent="0.35">
      <c r="B1154" t="str">
        <f>IF(LEN('Ch7'!H392)=0,"",'Ch7'!H392)</f>
        <v/>
      </c>
      <c r="C1154" t="str">
        <f t="shared" si="32"/>
        <v/>
      </c>
      <c r="D1154" s="126"/>
      <c r="E1154" s="103"/>
      <c r="F1154" s="476" t="s">
        <v>123</v>
      </c>
      <c r="G1154" s="707" t="s">
        <v>1149</v>
      </c>
      <c r="J1154" s="485"/>
    </row>
    <row r="1155" spans="1:10" x14ac:dyDescent="0.35">
      <c r="B1155" t="str">
        <f>IF(LEN('Ch7'!H393)=0,"",'Ch7'!H393)</f>
        <v/>
      </c>
      <c r="C1155" t="str">
        <f t="shared" si="32"/>
        <v/>
      </c>
      <c r="D1155" s="126"/>
      <c r="E1155" s="193"/>
      <c r="F1155" s="193"/>
      <c r="G1155" s="709"/>
      <c r="J1155" s="485"/>
    </row>
    <row r="1156" spans="1:10" x14ac:dyDescent="0.35">
      <c r="B1156" t="str">
        <f>IF(LEN('Ch7'!H394)=0,"",'Ch7'!H394)</f>
        <v/>
      </c>
      <c r="C1156" t="str">
        <f t="shared" si="32"/>
        <v/>
      </c>
      <c r="D1156" s="126"/>
      <c r="E1156" s="478" t="s">
        <v>403</v>
      </c>
      <c r="F1156" s="439"/>
      <c r="G1156" s="742" t="s">
        <v>3874</v>
      </c>
      <c r="J1156" s="485"/>
    </row>
    <row r="1157" spans="1:10" x14ac:dyDescent="0.35">
      <c r="B1157" t="str">
        <f>IF(LEN('Ch7'!H395)=0,"",'Ch7'!H395)</f>
        <v/>
      </c>
      <c r="C1157" t="str">
        <f t="shared" si="32"/>
        <v/>
      </c>
      <c r="D1157" s="126"/>
      <c r="E1157" s="103"/>
      <c r="F1157" s="103"/>
      <c r="G1157" s="707"/>
      <c r="J1157" s="485"/>
    </row>
    <row r="1158" spans="1:10" x14ac:dyDescent="0.35">
      <c r="B1158" t="str">
        <f>IF(LEN('Ch7'!H396)=0,"",'Ch7'!H396)</f>
        <v/>
      </c>
      <c r="C1158" t="str">
        <f t="shared" si="32"/>
        <v/>
      </c>
      <c r="D1158" s="126"/>
      <c r="E1158" s="193"/>
      <c r="F1158" s="193"/>
      <c r="G1158" s="366" t="s">
        <v>3875</v>
      </c>
      <c r="J1158" s="485"/>
    </row>
    <row r="1159" spans="1:10" x14ac:dyDescent="0.35">
      <c r="B1159" t="str">
        <f>IF(LEN('Ch7'!H397)=0,"",'Ch7'!H397)</f>
        <v/>
      </c>
      <c r="C1159" t="str">
        <f t="shared" si="32"/>
        <v/>
      </c>
      <c r="D1159" s="126"/>
      <c r="E1159" s="479" t="s">
        <v>453</v>
      </c>
      <c r="F1159" s="219"/>
      <c r="G1159" s="220" t="s">
        <v>1150</v>
      </c>
      <c r="J1159" s="485"/>
    </row>
    <row r="1160" spans="1:10" x14ac:dyDescent="0.35">
      <c r="B1160" t="str">
        <f>IF(LEN('Ch7'!H398)=0,"",'Ch7'!H398)</f>
        <v/>
      </c>
      <c r="C1160" t="str">
        <f t="shared" si="32"/>
        <v/>
      </c>
      <c r="D1160" s="126"/>
      <c r="E1160" s="473" t="s">
        <v>455</v>
      </c>
      <c r="F1160" s="103"/>
      <c r="G1160" s="104" t="s">
        <v>1151</v>
      </c>
      <c r="J1160" s="485"/>
    </row>
    <row r="1161" spans="1:10" x14ac:dyDescent="0.35">
      <c r="B1161" t="str">
        <f>IF(LEN('Ch7'!H399)=0,"",'Ch7'!H399)</f>
        <v/>
      </c>
      <c r="C1161" t="str">
        <f t="shared" si="32"/>
        <v/>
      </c>
      <c r="D1161" s="126"/>
      <c r="E1161" s="103"/>
      <c r="F1161" s="103"/>
      <c r="G1161" s="714" t="s">
        <v>3871</v>
      </c>
      <c r="J1161" s="485"/>
    </row>
    <row r="1162" spans="1:10" x14ac:dyDescent="0.35">
      <c r="B1162" t="str">
        <f>IF(LEN('Ch7'!H400)=0,"",'Ch7'!H400)</f>
        <v/>
      </c>
      <c r="C1162" t="str">
        <f t="shared" si="32"/>
        <v/>
      </c>
      <c r="D1162" s="126"/>
      <c r="E1162" s="103"/>
      <c r="F1162" s="103"/>
      <c r="G1162" s="714"/>
      <c r="J1162" s="485"/>
    </row>
    <row r="1163" spans="1:10" x14ac:dyDescent="0.35">
      <c r="B1163" t="str">
        <f>IF(LEN('Ch7'!H401)=0,"",'Ch7'!H401)</f>
        <v/>
      </c>
      <c r="C1163" t="str">
        <f t="shared" si="32"/>
        <v/>
      </c>
      <c r="D1163" s="126"/>
      <c r="E1163" s="103"/>
      <c r="F1163" s="103"/>
      <c r="G1163" s="714"/>
      <c r="J1163" s="485"/>
    </row>
    <row r="1164" spans="1:10" x14ac:dyDescent="0.35">
      <c r="B1164" t="str">
        <f>IF(LEN('Ch7'!H402)=0,"",'Ch7'!H402)</f>
        <v/>
      </c>
      <c r="C1164" t="str">
        <f t="shared" si="32"/>
        <v/>
      </c>
      <c r="D1164" s="126"/>
      <c r="E1164" s="103"/>
      <c r="F1164" s="103"/>
      <c r="G1164" s="714"/>
      <c r="J1164" s="485"/>
    </row>
    <row r="1165" spans="1:10" x14ac:dyDescent="0.35">
      <c r="B1165" t="str">
        <f>IF(LEN('Ch7'!H403)=0,"",'Ch7'!H403)</f>
        <v/>
      </c>
      <c r="C1165" t="str">
        <f t="shared" si="32"/>
        <v/>
      </c>
      <c r="D1165" s="149"/>
      <c r="E1165" s="193"/>
      <c r="F1165" s="193"/>
      <c r="G1165" s="755"/>
      <c r="J1165" s="485"/>
    </row>
    <row r="1166" spans="1:10" x14ac:dyDescent="0.35">
      <c r="A1166" s="403" t="str">
        <f>IF(AND(LEN('Ch7'!W404)&gt;0,NOT('Ch7'!W404=FALSE)),"P","")</f>
        <v/>
      </c>
      <c r="B1166" t="str">
        <f>IF(LEN('Ch7'!H404)=0,"",'Ch7'!H404)</f>
        <v/>
      </c>
      <c r="C1166" t="str">
        <f t="shared" si="32"/>
        <v/>
      </c>
      <c r="D1166" s="444" t="s">
        <v>1152</v>
      </c>
      <c r="E1166" s="439"/>
      <c r="F1166" s="439"/>
      <c r="G1166" s="753" t="s">
        <v>1153</v>
      </c>
      <c r="H1166" s="49">
        <f>'Ch7'!W404</f>
        <v>0</v>
      </c>
      <c r="I1166" s="49">
        <f ca="1">'Ch7'!O404</f>
        <v>0</v>
      </c>
      <c r="J1166" s="813" t="s">
        <v>4177</v>
      </c>
    </row>
    <row r="1167" spans="1:10" x14ac:dyDescent="0.35">
      <c r="A1167" s="403" t="str">
        <f>A1166</f>
        <v/>
      </c>
      <c r="B1167" t="str">
        <f>IF(LEN('Ch7'!H405)=0,"",'Ch7'!H405)</f>
        <v/>
      </c>
      <c r="C1167" t="str">
        <f t="shared" ref="C1167:C1230" si="33">IF(LEN(B1167)=0,IF(A1167="P","P",""),B1167)</f>
        <v/>
      </c>
      <c r="D1167" s="149"/>
      <c r="E1167" s="193"/>
      <c r="F1167" s="193"/>
      <c r="G1167" s="739"/>
      <c r="J1167" s="813"/>
    </row>
    <row r="1168" spans="1:10" x14ac:dyDescent="0.35">
      <c r="A1168" s="403" t="str">
        <f ca="1">IF('Ch7'!O406&gt;0,"P","")</f>
        <v/>
      </c>
      <c r="B1168" t="str">
        <f>IF(LEN('Ch7'!H406)=0,"",'Ch7'!H406)</f>
        <v/>
      </c>
      <c r="C1168" t="str">
        <f t="shared" ca="1" si="33"/>
        <v/>
      </c>
      <c r="D1168" s="33" t="s">
        <v>1154</v>
      </c>
      <c r="E1168" s="103"/>
      <c r="F1168" s="103"/>
      <c r="G1168" s="706" t="s">
        <v>1155</v>
      </c>
      <c r="I1168" s="49">
        <f ca="1">'Ch7'!O406</f>
        <v>0</v>
      </c>
      <c r="J1168" s="814" t="s">
        <v>4227</v>
      </c>
    </row>
    <row r="1169" spans="1:10" x14ac:dyDescent="0.35">
      <c r="A1169" s="403" t="str">
        <f ca="1">A1168</f>
        <v/>
      </c>
      <c r="B1169" t="str">
        <f>IF(LEN('Ch7'!H407)=0,"",'Ch7'!H407)</f>
        <v/>
      </c>
      <c r="C1169" t="str">
        <f t="shared" ca="1" si="33"/>
        <v/>
      </c>
      <c r="D1169" s="126"/>
      <c r="E1169" s="103"/>
      <c r="F1169" s="103"/>
      <c r="G1169" s="706"/>
      <c r="J1169" s="814"/>
    </row>
    <row r="1170" spans="1:10" x14ac:dyDescent="0.35">
      <c r="B1170" t="str">
        <f>IF(LEN('Ch7'!H408)=0,"",'Ch7'!H408)</f>
        <v/>
      </c>
      <c r="C1170" t="str">
        <f t="shared" si="33"/>
        <v/>
      </c>
      <c r="D1170" s="126"/>
      <c r="E1170" s="103"/>
      <c r="F1170" s="103"/>
      <c r="G1170" s="107" t="s">
        <v>1156</v>
      </c>
      <c r="J1170" s="485"/>
    </row>
    <row r="1171" spans="1:10" x14ac:dyDescent="0.35">
      <c r="B1171" t="str">
        <f>IF(LEN('Ch7'!H409)=0,"",'Ch7'!H409)</f>
        <v/>
      </c>
      <c r="C1171" t="str">
        <f t="shared" si="33"/>
        <v/>
      </c>
      <c r="D1171" s="126"/>
      <c r="E1171" s="103"/>
      <c r="F1171" s="103"/>
      <c r="G1171" s="107" t="s">
        <v>1157</v>
      </c>
      <c r="J1171" s="485"/>
    </row>
    <row r="1172" spans="1:10" x14ac:dyDescent="0.35">
      <c r="B1172" t="str">
        <f>IF(LEN('Ch7'!H410)=0,"",'Ch7'!H410)</f>
        <v/>
      </c>
      <c r="C1172" t="str">
        <f t="shared" si="33"/>
        <v/>
      </c>
      <c r="D1172" s="126"/>
      <c r="E1172" s="473" t="s">
        <v>270</v>
      </c>
      <c r="F1172" s="103"/>
      <c r="G1172" s="707" t="s">
        <v>1158</v>
      </c>
      <c r="J1172" s="485"/>
    </row>
    <row r="1173" spans="1:10" x14ac:dyDescent="0.35">
      <c r="B1173" t="str">
        <f>IF(LEN('Ch7'!H411)=0,"",'Ch7'!H411)</f>
        <v/>
      </c>
      <c r="C1173" t="str">
        <f t="shared" si="33"/>
        <v/>
      </c>
      <c r="D1173" s="126"/>
      <c r="E1173" s="103"/>
      <c r="F1173" s="103"/>
      <c r="G1173" s="707"/>
      <c r="J1173" s="485"/>
    </row>
    <row r="1174" spans="1:10" ht="15" customHeight="1" x14ac:dyDescent="0.35">
      <c r="B1174" t="str">
        <f>IF(LEN('Ch7'!H412)=0,"",'Ch7'!H412)</f>
        <v/>
      </c>
      <c r="C1174" t="str">
        <f t="shared" si="33"/>
        <v/>
      </c>
      <c r="D1174" s="126"/>
      <c r="E1174" s="103"/>
      <c r="F1174" s="473" t="s">
        <v>121</v>
      </c>
      <c r="G1174" s="707" t="s">
        <v>1159</v>
      </c>
      <c r="H1174" s="49">
        <f>'Ch7'!W412</f>
        <v>0</v>
      </c>
      <c r="J1174" s="490"/>
    </row>
    <row r="1175" spans="1:10" x14ac:dyDescent="0.35">
      <c r="B1175" t="str">
        <f>IF(LEN('Ch7'!H413)=0,"",'Ch7'!H413)</f>
        <v/>
      </c>
      <c r="C1175" t="str">
        <f t="shared" si="33"/>
        <v/>
      </c>
      <c r="D1175" s="126"/>
      <c r="E1175" s="103"/>
      <c r="F1175" s="103"/>
      <c r="G1175" s="707"/>
      <c r="J1175" s="490"/>
    </row>
    <row r="1176" spans="1:10" x14ac:dyDescent="0.35">
      <c r="B1176" t="str">
        <f>IF(LEN('Ch7'!H414)=0,"",'Ch7'!H414)</f>
        <v/>
      </c>
      <c r="C1176" t="str">
        <f t="shared" si="33"/>
        <v/>
      </c>
      <c r="D1176" s="126"/>
      <c r="E1176" s="103"/>
      <c r="F1176" s="473" t="s">
        <v>122</v>
      </c>
      <c r="G1176" s="104" t="s">
        <v>1160</v>
      </c>
      <c r="H1176" s="49">
        <f>'Ch7'!W414</f>
        <v>0</v>
      </c>
      <c r="J1176" s="495"/>
    </row>
    <row r="1177" spans="1:10" x14ac:dyDescent="0.35">
      <c r="B1177" t="str">
        <f>IF(LEN('Ch7'!H415)=0,"",'Ch7'!H415)</f>
        <v/>
      </c>
      <c r="C1177" t="str">
        <f t="shared" si="33"/>
        <v/>
      </c>
      <c r="D1177" s="126"/>
      <c r="E1177" s="103"/>
      <c r="F1177" s="476" t="s">
        <v>123</v>
      </c>
      <c r="G1177" s="104" t="s">
        <v>1161</v>
      </c>
      <c r="H1177" s="49">
        <f>'Ch7'!W415</f>
        <v>0</v>
      </c>
      <c r="J1177" s="495"/>
    </row>
    <row r="1178" spans="1:10" x14ac:dyDescent="0.35">
      <c r="B1178" t="str">
        <f>IF(LEN('Ch7'!H416)=0,"",'Ch7'!H416)</f>
        <v/>
      </c>
      <c r="C1178" t="str">
        <f t="shared" si="33"/>
        <v/>
      </c>
      <c r="D1178" s="126"/>
      <c r="E1178" s="103"/>
      <c r="F1178" s="281" t="s">
        <v>420</v>
      </c>
      <c r="G1178" s="707" t="s">
        <v>1162</v>
      </c>
      <c r="H1178" s="49">
        <f>'Ch7'!W416</f>
        <v>0</v>
      </c>
      <c r="J1178" s="495"/>
    </row>
    <row r="1179" spans="1:10" x14ac:dyDescent="0.35">
      <c r="B1179" t="str">
        <f>IF(LEN('Ch7'!H417)=0,"",'Ch7'!H417)</f>
        <v/>
      </c>
      <c r="C1179" t="str">
        <f t="shared" si="33"/>
        <v/>
      </c>
      <c r="D1179" s="126"/>
      <c r="E1179" s="193"/>
      <c r="F1179" s="193"/>
      <c r="G1179" s="709"/>
      <c r="J1179" s="495"/>
    </row>
    <row r="1180" spans="1:10" x14ac:dyDescent="0.35">
      <c r="B1180" t="str">
        <f>IF(LEN('Ch7'!H418)=0,"",'Ch7'!H418)</f>
        <v/>
      </c>
      <c r="C1180" t="str">
        <f t="shared" si="33"/>
        <v/>
      </c>
      <c r="D1180" s="126"/>
      <c r="E1180" s="473" t="s">
        <v>272</v>
      </c>
      <c r="F1180" s="103"/>
      <c r="G1180" s="707" t="s">
        <v>1163</v>
      </c>
      <c r="H1180" s="49">
        <f>'Ch7'!W418</f>
        <v>0</v>
      </c>
      <c r="J1180" s="495"/>
    </row>
    <row r="1181" spans="1:10" x14ac:dyDescent="0.35">
      <c r="B1181" t="str">
        <f>IF(LEN('Ch7'!H419)=0,"",'Ch7'!H419)</f>
        <v/>
      </c>
      <c r="C1181" t="str">
        <f t="shared" si="33"/>
        <v/>
      </c>
      <c r="D1181" s="126"/>
      <c r="E1181" s="103"/>
      <c r="F1181" s="103"/>
      <c r="G1181" s="707"/>
      <c r="J1181" s="495"/>
    </row>
    <row r="1182" spans="1:10" x14ac:dyDescent="0.35">
      <c r="B1182" t="str">
        <f>IF(LEN('Ch7'!H420)=0,"",'Ch7'!H420)</f>
        <v/>
      </c>
      <c r="C1182" t="str">
        <f t="shared" si="33"/>
        <v/>
      </c>
      <c r="D1182" s="126"/>
      <c r="E1182" s="193"/>
      <c r="F1182" s="193"/>
      <c r="G1182" s="165" t="s">
        <v>1164</v>
      </c>
      <c r="J1182" s="495"/>
    </row>
    <row r="1183" spans="1:10" x14ac:dyDescent="0.35">
      <c r="B1183" t="str">
        <f>IF(LEN('Ch7'!H421)=0,"",'Ch7'!H421)</f>
        <v/>
      </c>
      <c r="C1183" t="str">
        <f t="shared" si="33"/>
        <v/>
      </c>
      <c r="D1183" s="126"/>
      <c r="E1183" s="479" t="s">
        <v>274</v>
      </c>
      <c r="F1183" s="219"/>
      <c r="G1183" s="220" t="s">
        <v>1165</v>
      </c>
      <c r="H1183" s="49">
        <f>'Ch7'!W421</f>
        <v>0</v>
      </c>
      <c r="J1183" s="495"/>
    </row>
    <row r="1184" spans="1:10" x14ac:dyDescent="0.35">
      <c r="B1184" t="str">
        <f>IF(LEN('Ch7'!H422)=0,"",'Ch7'!H422)</f>
        <v/>
      </c>
      <c r="C1184" t="str">
        <f t="shared" si="33"/>
        <v/>
      </c>
      <c r="D1184" s="126"/>
      <c r="E1184" s="478" t="s">
        <v>283</v>
      </c>
      <c r="F1184" s="439"/>
      <c r="G1184" s="742" t="s">
        <v>1166</v>
      </c>
      <c r="H1184" s="49">
        <f>'Ch7'!W422</f>
        <v>0</v>
      </c>
      <c r="J1184" s="495"/>
    </row>
    <row r="1185" spans="1:10" x14ac:dyDescent="0.35">
      <c r="B1185" t="str">
        <f>IF(LEN('Ch7'!H423)=0,"",'Ch7'!H423)</f>
        <v/>
      </c>
      <c r="C1185" t="str">
        <f t="shared" si="33"/>
        <v/>
      </c>
      <c r="D1185" s="126"/>
      <c r="E1185" s="193"/>
      <c r="F1185" s="193"/>
      <c r="G1185" s="709"/>
      <c r="J1185" s="495"/>
    </row>
    <row r="1186" spans="1:10" x14ac:dyDescent="0.35">
      <c r="B1186" t="str">
        <f>IF(LEN('Ch7'!H424)=0,"",'Ch7'!H424)</f>
        <v/>
      </c>
      <c r="C1186" t="str">
        <f t="shared" si="33"/>
        <v/>
      </c>
      <c r="D1186" s="126"/>
      <c r="E1186" s="473" t="s">
        <v>289</v>
      </c>
      <c r="F1186" s="103"/>
      <c r="G1186" s="707" t="s">
        <v>1167</v>
      </c>
      <c r="J1186" s="495"/>
    </row>
    <row r="1187" spans="1:10" x14ac:dyDescent="0.35">
      <c r="B1187" t="str">
        <f>IF(LEN('Ch7'!H425)=0,"",'Ch7'!H425)</f>
        <v/>
      </c>
      <c r="C1187" t="str">
        <f t="shared" si="33"/>
        <v/>
      </c>
      <c r="D1187" s="126"/>
      <c r="E1187" s="103"/>
      <c r="F1187" s="103"/>
      <c r="G1187" s="707"/>
      <c r="J1187" s="495"/>
    </row>
    <row r="1188" spans="1:10" x14ac:dyDescent="0.35">
      <c r="B1188" t="str">
        <f>IF(LEN('Ch7'!H426)=0,"",'Ch7'!H426)</f>
        <v/>
      </c>
      <c r="C1188" t="str">
        <f t="shared" si="33"/>
        <v/>
      </c>
      <c r="D1188" s="126"/>
      <c r="E1188" s="103"/>
      <c r="F1188" s="103"/>
      <c r="G1188" s="707"/>
      <c r="J1188" s="495"/>
    </row>
    <row r="1189" spans="1:10" x14ac:dyDescent="0.35">
      <c r="B1189" t="str">
        <f>IF(LEN('Ch7'!H427)=0,"",'Ch7'!H427)</f>
        <v/>
      </c>
      <c r="C1189" t="str">
        <f t="shared" si="33"/>
        <v/>
      </c>
      <c r="D1189" s="126"/>
      <c r="E1189" s="103"/>
      <c r="F1189" s="473" t="s">
        <v>121</v>
      </c>
      <c r="G1189" s="707" t="s">
        <v>1168</v>
      </c>
      <c r="H1189" s="49">
        <f>'Ch7'!W427</f>
        <v>0</v>
      </c>
      <c r="J1189" s="495"/>
    </row>
    <row r="1190" spans="1:10" x14ac:dyDescent="0.35">
      <c r="B1190" t="str">
        <f>IF(LEN('Ch7'!H428)=0,"",'Ch7'!H428)</f>
        <v/>
      </c>
      <c r="C1190" t="str">
        <f t="shared" si="33"/>
        <v/>
      </c>
      <c r="D1190" s="126"/>
      <c r="E1190" s="103"/>
      <c r="F1190" s="103"/>
      <c r="G1190" s="707"/>
      <c r="J1190" s="495"/>
    </row>
    <row r="1191" spans="1:10" x14ac:dyDescent="0.35">
      <c r="B1191" t="str">
        <f>IF(LEN('Ch7'!H429)=0,"",'Ch7'!H429)</f>
        <v/>
      </c>
      <c r="C1191" t="str">
        <f t="shared" si="33"/>
        <v/>
      </c>
      <c r="D1191" s="126"/>
      <c r="E1191" s="103"/>
      <c r="F1191" s="473" t="s">
        <v>122</v>
      </c>
      <c r="G1191" s="707" t="s">
        <v>1169</v>
      </c>
      <c r="H1191" s="49">
        <f>'Ch7'!W429</f>
        <v>0</v>
      </c>
      <c r="J1191" s="495"/>
    </row>
    <row r="1192" spans="1:10" x14ac:dyDescent="0.35">
      <c r="B1192" t="str">
        <f>IF(LEN('Ch7'!H430)=0,"",'Ch7'!H430)</f>
        <v/>
      </c>
      <c r="C1192" t="str">
        <f t="shared" si="33"/>
        <v/>
      </c>
      <c r="D1192" s="126"/>
      <c r="E1192" s="193"/>
      <c r="F1192" s="193"/>
      <c r="G1192" s="709"/>
      <c r="J1192" s="495"/>
    </row>
    <row r="1193" spans="1:10" x14ac:dyDescent="0.35">
      <c r="B1193" t="str">
        <f>IF(LEN('Ch7'!H431)=0,"",'Ch7'!H431)</f>
        <v/>
      </c>
      <c r="C1193" t="str">
        <f t="shared" si="33"/>
        <v/>
      </c>
      <c r="D1193" s="126"/>
      <c r="E1193" s="473" t="s">
        <v>291</v>
      </c>
      <c r="F1193" s="103"/>
      <c r="G1193" s="707" t="s">
        <v>1170</v>
      </c>
      <c r="H1193" s="49">
        <f>'Ch7'!W431</f>
        <v>0</v>
      </c>
      <c r="J1193" s="495"/>
    </row>
    <row r="1194" spans="1:10" x14ac:dyDescent="0.35">
      <c r="B1194" t="str">
        <f>IF(LEN('Ch7'!H432)=0,"",'Ch7'!H432)</f>
        <v/>
      </c>
      <c r="C1194" t="str">
        <f t="shared" si="33"/>
        <v/>
      </c>
      <c r="D1194" s="149"/>
      <c r="E1194" s="193"/>
      <c r="F1194" s="193"/>
      <c r="G1194" s="709"/>
      <c r="J1194" s="495"/>
    </row>
    <row r="1195" spans="1:10" ht="15" customHeight="1" x14ac:dyDescent="0.35">
      <c r="A1195" s="403" t="str">
        <f>IF(AND(LEN('Ch7'!W433)&gt;0,NOT('Ch7'!W433=FALSE)),"P","")</f>
        <v/>
      </c>
      <c r="B1195" t="str">
        <f>IF(LEN('Ch7'!H433)=0,"",'Ch7'!H433)</f>
        <v/>
      </c>
      <c r="C1195" t="str">
        <f t="shared" si="33"/>
        <v/>
      </c>
      <c r="D1195" s="444" t="s">
        <v>1171</v>
      </c>
      <c r="E1195" s="439"/>
      <c r="F1195" s="439"/>
      <c r="G1195" s="810" t="s">
        <v>1172</v>
      </c>
      <c r="H1195" s="49">
        <f>'Ch7'!W433</f>
        <v>0</v>
      </c>
      <c r="I1195" s="49">
        <f ca="1">'Ch7'!O433</f>
        <v>0</v>
      </c>
      <c r="J1195" s="814" t="s">
        <v>4228</v>
      </c>
    </row>
    <row r="1196" spans="1:10" x14ac:dyDescent="0.35">
      <c r="A1196" s="403" t="str">
        <f>A1195</f>
        <v/>
      </c>
      <c r="B1196" t="str">
        <f>IF(LEN('Ch7'!H434)=0,"",'Ch7'!H434)</f>
        <v/>
      </c>
      <c r="C1196" t="str">
        <f t="shared" si="33"/>
        <v/>
      </c>
      <c r="D1196" s="126"/>
      <c r="E1196" s="103"/>
      <c r="F1196" s="103"/>
      <c r="G1196" s="738"/>
      <c r="J1196" s="814"/>
    </row>
    <row r="1197" spans="1:10" x14ac:dyDescent="0.35">
      <c r="B1197" t="str">
        <f>IF(LEN('Ch7'!H435)=0,"",'Ch7'!H435)</f>
        <v/>
      </c>
      <c r="C1197" t="str">
        <f t="shared" si="33"/>
        <v/>
      </c>
      <c r="D1197" s="126"/>
      <c r="E1197" s="103"/>
      <c r="F1197" s="103"/>
      <c r="G1197" s="104" t="s">
        <v>1173</v>
      </c>
      <c r="J1197" s="495"/>
    </row>
    <row r="1198" spans="1:10" x14ac:dyDescent="0.35">
      <c r="B1198" t="str">
        <f>IF(LEN('Ch7'!H436)=0,"",'Ch7'!H436)</f>
        <v/>
      </c>
      <c r="C1198" t="str">
        <f t="shared" si="33"/>
        <v/>
      </c>
      <c r="D1198" s="126"/>
      <c r="E1198" s="473" t="s">
        <v>270</v>
      </c>
      <c r="F1198" s="103"/>
      <c r="G1198" s="707" t="s">
        <v>1174</v>
      </c>
      <c r="J1198" s="495"/>
    </row>
    <row r="1199" spans="1:10" x14ac:dyDescent="0.35">
      <c r="B1199" t="str">
        <f>IF(LEN('Ch7'!H437)=0,"",'Ch7'!H437)</f>
        <v/>
      </c>
      <c r="C1199" t="str">
        <f t="shared" si="33"/>
        <v/>
      </c>
      <c r="D1199" s="126"/>
      <c r="E1199" s="193"/>
      <c r="F1199" s="193"/>
      <c r="G1199" s="709"/>
      <c r="J1199" s="495"/>
    </row>
    <row r="1200" spans="1:10" x14ac:dyDescent="0.35">
      <c r="B1200" t="str">
        <f>IF(LEN('Ch7'!H438)=0,"",'Ch7'!H438)</f>
        <v/>
      </c>
      <c r="C1200" t="str">
        <f t="shared" si="33"/>
        <v/>
      </c>
      <c r="D1200" s="126"/>
      <c r="E1200" s="473" t="s">
        <v>272</v>
      </c>
      <c r="F1200" s="103"/>
      <c r="G1200" s="723" t="s">
        <v>1175</v>
      </c>
      <c r="J1200" s="495"/>
    </row>
    <row r="1201" spans="2:10" x14ac:dyDescent="0.35">
      <c r="B1201" t="str">
        <f>IF(LEN('Ch7'!H439)=0,"",'Ch7'!H439)</f>
        <v/>
      </c>
      <c r="C1201" t="str">
        <f t="shared" si="33"/>
        <v/>
      </c>
      <c r="D1201" s="126"/>
      <c r="E1201" s="103"/>
      <c r="F1201" s="103"/>
      <c r="G1201" s="723"/>
      <c r="J1201" s="495"/>
    </row>
    <row r="1202" spans="2:10" x14ac:dyDescent="0.35">
      <c r="B1202" t="str">
        <f>IF(LEN('Ch7'!H440)=0,"",'Ch7'!H440)</f>
        <v/>
      </c>
      <c r="C1202" t="str">
        <f t="shared" si="33"/>
        <v/>
      </c>
      <c r="D1202" s="126"/>
      <c r="E1202" s="103"/>
      <c r="F1202" s="473" t="s">
        <v>121</v>
      </c>
      <c r="G1202" s="707" t="s">
        <v>1176</v>
      </c>
      <c r="J1202" s="495"/>
    </row>
    <row r="1203" spans="2:10" x14ac:dyDescent="0.35">
      <c r="B1203" t="str">
        <f>IF(LEN('Ch7'!H441)=0,"",'Ch7'!H441)</f>
        <v/>
      </c>
      <c r="C1203" t="str">
        <f t="shared" si="33"/>
        <v/>
      </c>
      <c r="D1203" s="126"/>
      <c r="E1203" s="103"/>
      <c r="F1203" s="103"/>
      <c r="G1203" s="707"/>
      <c r="J1203" s="495"/>
    </row>
    <row r="1204" spans="2:10" x14ac:dyDescent="0.35">
      <c r="B1204" t="str">
        <f>IF(LEN('Ch7'!H442)=0,"",'Ch7'!H442)</f>
        <v/>
      </c>
      <c r="C1204" t="str">
        <f t="shared" si="33"/>
        <v/>
      </c>
      <c r="D1204" s="126"/>
      <c r="E1204" s="103"/>
      <c r="F1204" s="193"/>
      <c r="G1204" s="709"/>
      <c r="J1204" s="495"/>
    </row>
    <row r="1205" spans="2:10" x14ac:dyDescent="0.35">
      <c r="B1205" t="str">
        <f>IF(LEN('Ch7'!H443)=0,"",'Ch7'!H443)</f>
        <v/>
      </c>
      <c r="C1205" t="str">
        <f t="shared" si="33"/>
        <v/>
      </c>
      <c r="D1205" s="126"/>
      <c r="E1205" s="103"/>
      <c r="F1205" s="473" t="s">
        <v>122</v>
      </c>
      <c r="G1205" s="707" t="s">
        <v>1177</v>
      </c>
      <c r="J1205" s="495"/>
    </row>
    <row r="1206" spans="2:10" x14ac:dyDescent="0.35">
      <c r="B1206" t="str">
        <f>IF(LEN('Ch7'!H444)=0,"",'Ch7'!H444)</f>
        <v/>
      </c>
      <c r="C1206" t="str">
        <f t="shared" si="33"/>
        <v/>
      </c>
      <c r="D1206" s="126"/>
      <c r="E1206" s="103"/>
      <c r="F1206" s="103"/>
      <c r="G1206" s="707"/>
      <c r="J1206" s="495"/>
    </row>
    <row r="1207" spans="2:10" x14ac:dyDescent="0.35">
      <c r="B1207" t="str">
        <f>IF(LEN('Ch7'!H445)=0,"",'Ch7'!H445)</f>
        <v/>
      </c>
      <c r="C1207" t="str">
        <f t="shared" si="33"/>
        <v/>
      </c>
      <c r="D1207" s="126"/>
      <c r="E1207" s="103"/>
      <c r="F1207" s="281" t="s">
        <v>982</v>
      </c>
      <c r="G1207" s="707" t="s">
        <v>1178</v>
      </c>
      <c r="J1207" s="495"/>
    </row>
    <row r="1208" spans="2:10" x14ac:dyDescent="0.35">
      <c r="B1208" t="str">
        <f>IF(LEN('Ch7'!H446)=0,"",'Ch7'!H446)</f>
        <v/>
      </c>
      <c r="C1208" t="str">
        <f t="shared" si="33"/>
        <v/>
      </c>
      <c r="D1208" s="126"/>
      <c r="E1208" s="103"/>
      <c r="F1208" s="103"/>
      <c r="G1208" s="707"/>
      <c r="J1208" s="495"/>
    </row>
    <row r="1209" spans="2:10" x14ac:dyDescent="0.35">
      <c r="B1209" t="str">
        <f>IF(LEN('Ch7'!H447)=0,"",'Ch7'!H447)</f>
        <v/>
      </c>
      <c r="C1209" t="str">
        <f t="shared" si="33"/>
        <v/>
      </c>
      <c r="D1209" s="126"/>
      <c r="E1209" s="103"/>
      <c r="F1209" s="281" t="s">
        <v>1179</v>
      </c>
      <c r="G1209" s="707" t="s">
        <v>1180</v>
      </c>
      <c r="J1209" s="495"/>
    </row>
    <row r="1210" spans="2:10" x14ac:dyDescent="0.35">
      <c r="B1210" t="str">
        <f>IF(LEN('Ch7'!H448)=0,"",'Ch7'!H448)</f>
        <v/>
      </c>
      <c r="C1210" t="str">
        <f t="shared" si="33"/>
        <v/>
      </c>
      <c r="D1210" s="126"/>
      <c r="E1210" s="103"/>
      <c r="F1210" s="103"/>
      <c r="G1210" s="707"/>
      <c r="J1210" s="495"/>
    </row>
    <row r="1211" spans="2:10" x14ac:dyDescent="0.35">
      <c r="B1211" t="str">
        <f>IF(LEN('Ch7'!H449)=0,"",'Ch7'!H449)</f>
        <v/>
      </c>
      <c r="C1211" t="str">
        <f t="shared" si="33"/>
        <v/>
      </c>
      <c r="D1211" s="126"/>
      <c r="E1211" s="103"/>
      <c r="F1211" s="281" t="s">
        <v>1181</v>
      </c>
      <c r="G1211" s="707" t="s">
        <v>1182</v>
      </c>
      <c r="J1211" s="495"/>
    </row>
    <row r="1212" spans="2:10" x14ac:dyDescent="0.35">
      <c r="B1212" t="str">
        <f>IF(LEN('Ch7'!H450)=0,"",'Ch7'!H450)</f>
        <v/>
      </c>
      <c r="C1212" t="str">
        <f t="shared" si="33"/>
        <v/>
      </c>
      <c r="D1212" s="126"/>
      <c r="E1212" s="103"/>
      <c r="F1212" s="193"/>
      <c r="G1212" s="709"/>
      <c r="J1212" s="495"/>
    </row>
    <row r="1213" spans="2:10" x14ac:dyDescent="0.35">
      <c r="B1213" t="str">
        <f>IF(LEN('Ch7'!H451)=0,"",'Ch7'!H451)</f>
        <v/>
      </c>
      <c r="C1213" t="str">
        <f t="shared" si="33"/>
        <v/>
      </c>
      <c r="D1213" s="126"/>
      <c r="E1213" s="103"/>
      <c r="F1213" s="473" t="s">
        <v>123</v>
      </c>
      <c r="G1213" s="707" t="s">
        <v>1183</v>
      </c>
      <c r="J1213" s="495"/>
    </row>
    <row r="1214" spans="2:10" x14ac:dyDescent="0.35">
      <c r="B1214" t="str">
        <f>IF(LEN('Ch7'!H452)=0,"",'Ch7'!H452)</f>
        <v/>
      </c>
      <c r="C1214" t="str">
        <f t="shared" si="33"/>
        <v/>
      </c>
      <c r="D1214" s="126"/>
      <c r="E1214" s="103"/>
      <c r="F1214" s="103"/>
      <c r="G1214" s="707"/>
      <c r="J1214" s="495"/>
    </row>
    <row r="1215" spans="2:10" x14ac:dyDescent="0.35">
      <c r="B1215" t="str">
        <f>IF(LEN('Ch7'!H453)=0,"",'Ch7'!H453)</f>
        <v/>
      </c>
      <c r="C1215" t="str">
        <f t="shared" si="33"/>
        <v/>
      </c>
      <c r="D1215" s="126"/>
      <c r="E1215" s="193"/>
      <c r="F1215" s="193"/>
      <c r="G1215" s="709"/>
      <c r="J1215" s="495"/>
    </row>
    <row r="1216" spans="2:10" x14ac:dyDescent="0.35">
      <c r="B1216" t="str">
        <f>IF(LEN('Ch7'!H454)=0,"",'Ch7'!H454)</f>
        <v/>
      </c>
      <c r="C1216" t="str">
        <f t="shared" si="33"/>
        <v/>
      </c>
      <c r="D1216" s="126"/>
      <c r="E1216" s="473" t="s">
        <v>274</v>
      </c>
      <c r="F1216" s="103"/>
      <c r="G1216" s="707" t="s">
        <v>1184</v>
      </c>
      <c r="J1216" s="495"/>
    </row>
    <row r="1217" spans="1:10" x14ac:dyDescent="0.35">
      <c r="B1217" t="str">
        <f>IF(LEN('Ch7'!H455)=0,"",'Ch7'!H455)</f>
        <v/>
      </c>
      <c r="C1217" t="str">
        <f t="shared" si="33"/>
        <v/>
      </c>
      <c r="D1217" s="126"/>
      <c r="E1217" s="103"/>
      <c r="F1217" s="103"/>
      <c r="G1217" s="707"/>
      <c r="J1217" s="495"/>
    </row>
    <row r="1218" spans="1:10" ht="18.5" x14ac:dyDescent="0.35">
      <c r="A1218" s="403" t="s">
        <v>4326</v>
      </c>
      <c r="B1218" t="str">
        <f>IF(LEN('Ch7'!H456)=0,"",'Ch7'!H456)</f>
        <v/>
      </c>
      <c r="C1218" t="str">
        <f t="shared" si="33"/>
        <v>P</v>
      </c>
      <c r="D1218" s="38" t="s">
        <v>1185</v>
      </c>
      <c r="E1218" s="173"/>
      <c r="F1218" s="173"/>
      <c r="G1218" s="47"/>
      <c r="J1218" s="494"/>
    </row>
    <row r="1219" spans="1:10" x14ac:dyDescent="0.35">
      <c r="B1219" t="str">
        <f>IF(LEN('Ch7'!H457)=0,"",'Ch7'!H457)</f>
        <v/>
      </c>
      <c r="C1219" t="str">
        <f t="shared" si="33"/>
        <v/>
      </c>
      <c r="D1219" s="33">
        <v>704.1</v>
      </c>
      <c r="E1219" s="103"/>
      <c r="F1219" s="103"/>
      <c r="G1219" s="706" t="s">
        <v>1186</v>
      </c>
      <c r="I1219" s="49">
        <f>'Ch7'!O457</f>
        <v>0</v>
      </c>
      <c r="J1219" s="485"/>
    </row>
    <row r="1220" spans="1:10" x14ac:dyDescent="0.35">
      <c r="B1220" t="str">
        <f>IF(LEN('Ch7'!H458)=0,"",'Ch7'!H458)</f>
        <v/>
      </c>
      <c r="C1220" t="str">
        <f t="shared" si="33"/>
        <v/>
      </c>
      <c r="D1220" s="126"/>
      <c r="E1220" s="103"/>
      <c r="F1220" s="103"/>
      <c r="G1220" s="706"/>
      <c r="J1220" s="485"/>
    </row>
    <row r="1221" spans="1:10" x14ac:dyDescent="0.35">
      <c r="B1221" t="str">
        <f>IF(LEN('Ch7'!H459)=0,"",'Ch7'!H459)</f>
        <v/>
      </c>
      <c r="C1221" t="str">
        <f t="shared" si="33"/>
        <v/>
      </c>
      <c r="D1221" s="126"/>
      <c r="E1221" s="103"/>
      <c r="F1221" s="103"/>
      <c r="G1221" s="706"/>
      <c r="J1221" s="485"/>
    </row>
    <row r="1222" spans="1:10" x14ac:dyDescent="0.35">
      <c r="B1222" t="str">
        <f>IF(LEN('Ch7'!H460)=0,"",'Ch7'!H460)</f>
        <v/>
      </c>
      <c r="C1222" t="str">
        <f t="shared" si="33"/>
        <v/>
      </c>
      <c r="D1222" s="149"/>
      <c r="E1222" s="193"/>
      <c r="F1222" s="193"/>
      <c r="G1222" s="739"/>
      <c r="J1222" s="485"/>
    </row>
    <row r="1223" spans="1:10" x14ac:dyDescent="0.35">
      <c r="A1223" s="403" t="str">
        <f>IF(AND(LEN('Ch7'!W461)&gt;0,NOT('Ch7'!W461=FALSE)),"P","")</f>
        <v/>
      </c>
      <c r="B1223" t="str">
        <f>IF(LEN('Ch7'!H461)=0,"",'Ch7'!H461)</f>
        <v/>
      </c>
      <c r="C1223" t="str">
        <f t="shared" si="33"/>
        <v/>
      </c>
      <c r="D1223" s="33">
        <v>704.2</v>
      </c>
      <c r="E1223" s="103"/>
      <c r="F1223" s="103"/>
      <c r="G1223" s="706" t="s">
        <v>1187</v>
      </c>
      <c r="H1223" s="49">
        <f>'Ch7'!W461</f>
        <v>0</v>
      </c>
      <c r="J1223" s="813" t="s">
        <v>4341</v>
      </c>
    </row>
    <row r="1224" spans="1:10" x14ac:dyDescent="0.35">
      <c r="A1224" s="403" t="str">
        <f>A1223</f>
        <v/>
      </c>
      <c r="B1224" t="str">
        <f>IF(LEN('Ch7'!H462)=0,"",'Ch7'!H462)</f>
        <v/>
      </c>
      <c r="C1224" t="str">
        <f t="shared" si="33"/>
        <v/>
      </c>
      <c r="D1224" s="126"/>
      <c r="E1224" s="103"/>
      <c r="F1224" s="103"/>
      <c r="G1224" s="706"/>
      <c r="J1224" s="813"/>
    </row>
    <row r="1225" spans="1:10" x14ac:dyDescent="0.35">
      <c r="A1225" s="403" t="str">
        <f>A1224</f>
        <v/>
      </c>
      <c r="B1225" t="str">
        <f>IF(LEN('Ch7'!H463)=0,"",'Ch7'!H463)</f>
        <v/>
      </c>
      <c r="C1225" t="str">
        <f t="shared" si="33"/>
        <v/>
      </c>
      <c r="D1225" s="126"/>
      <c r="E1225" s="103"/>
      <c r="F1225" s="103"/>
      <c r="G1225" s="706"/>
      <c r="J1225" s="813"/>
    </row>
    <row r="1226" spans="1:10" x14ac:dyDescent="0.35">
      <c r="B1226" t="str">
        <f>IF(LEN('Ch7'!H464)=0,"",'Ch7'!H464)</f>
        <v/>
      </c>
      <c r="C1226" t="str">
        <f t="shared" si="33"/>
        <v/>
      </c>
      <c r="D1226" s="126"/>
      <c r="E1226" s="103"/>
      <c r="F1226" s="103"/>
      <c r="G1226" s="281" t="s">
        <v>4714</v>
      </c>
      <c r="J1226" s="485"/>
    </row>
    <row r="1227" spans="1:10" ht="18.5" x14ac:dyDescent="0.35">
      <c r="A1227" s="403" t="s">
        <v>4326</v>
      </c>
      <c r="B1227" t="str">
        <f>IF(LEN('Ch7'!H465)=0,"",'Ch7'!H465)</f>
        <v/>
      </c>
      <c r="C1227" t="str">
        <f t="shared" si="33"/>
        <v>P</v>
      </c>
      <c r="D1227" s="38" t="s">
        <v>1188</v>
      </c>
      <c r="E1227" s="173"/>
      <c r="F1227" s="173"/>
      <c r="G1227" s="47"/>
      <c r="J1227" s="494"/>
    </row>
    <row r="1228" spans="1:10" x14ac:dyDescent="0.35">
      <c r="A1228" s="600" t="str">
        <f>IF(COUNTIF(A1229:A1258,"P")&gt;0,"P","")</f>
        <v/>
      </c>
      <c r="B1228" t="str">
        <f>IF(LEN('Ch7'!H466)=0,"",'Ch7'!H466)</f>
        <v/>
      </c>
      <c r="C1228" t="str">
        <f t="shared" si="33"/>
        <v/>
      </c>
      <c r="D1228" s="33">
        <v>705.2</v>
      </c>
      <c r="E1228" s="103"/>
      <c r="F1228" s="103"/>
      <c r="G1228" s="110" t="s">
        <v>1189</v>
      </c>
      <c r="J1228" s="485"/>
    </row>
    <row r="1229" spans="1:10" x14ac:dyDescent="0.35">
      <c r="A1229" s="600" t="str">
        <f>IF(COUNTIF(A1232:A1248,"P")&gt;0,"P","")</f>
        <v/>
      </c>
      <c r="B1229" t="str">
        <f>IF(LEN('Ch7'!H467)=0,"",'Ch7'!H467)</f>
        <v/>
      </c>
      <c r="C1229" t="str">
        <f t="shared" si="33"/>
        <v/>
      </c>
      <c r="D1229" s="33" t="s">
        <v>1190</v>
      </c>
      <c r="E1229" s="103"/>
      <c r="F1229" s="103"/>
      <c r="G1229" s="110" t="s">
        <v>1191</v>
      </c>
      <c r="J1229" s="485"/>
    </row>
    <row r="1230" spans="1:10" x14ac:dyDescent="0.35">
      <c r="B1230" t="str">
        <f>IF(LEN('Ch7'!H468)=0,"",'Ch7'!H468)</f>
        <v/>
      </c>
      <c r="C1230" t="str">
        <f t="shared" si="33"/>
        <v/>
      </c>
      <c r="D1230" s="33"/>
      <c r="E1230" s="103"/>
      <c r="F1230" s="103"/>
      <c r="G1230" s="772" t="s">
        <v>1192</v>
      </c>
      <c r="J1230" s="485"/>
    </row>
    <row r="1231" spans="1:10" x14ac:dyDescent="0.35">
      <c r="B1231" t="str">
        <f>IF(LEN('Ch7'!H469)=0,"",'Ch7'!H469)</f>
        <v/>
      </c>
      <c r="C1231" t="str">
        <f t="shared" ref="C1231:C1296" si="34">IF(LEN(B1231)=0,IF(A1231="P","P",""),B1231)</f>
        <v/>
      </c>
      <c r="D1231" s="33"/>
      <c r="E1231" s="103"/>
      <c r="F1231" s="103"/>
      <c r="G1231" s="772"/>
      <c r="J1231" s="485"/>
    </row>
    <row r="1232" spans="1:10" x14ac:dyDescent="0.35">
      <c r="A1232" s="403" t="str">
        <f>IF(AND(LEN('Ch7'!W470)&gt;0,NOT('Ch7'!W470=FALSE)),"P","")</f>
        <v/>
      </c>
      <c r="B1232" t="str">
        <f>IF(LEN('Ch7'!H470)=0,"",'Ch7'!H470)</f>
        <v/>
      </c>
      <c r="C1232" t="str">
        <f t="shared" si="34"/>
        <v/>
      </c>
      <c r="D1232" s="33" t="s">
        <v>1193</v>
      </c>
      <c r="E1232" s="103"/>
      <c r="F1232" s="103"/>
      <c r="G1232" s="706" t="s">
        <v>1194</v>
      </c>
      <c r="H1232" s="49">
        <f>'Ch7'!W470</f>
        <v>0</v>
      </c>
      <c r="I1232" s="49">
        <f ca="1">'Ch7'!O470</f>
        <v>0</v>
      </c>
      <c r="J1232" s="813" t="s">
        <v>4177</v>
      </c>
    </row>
    <row r="1233" spans="1:10" x14ac:dyDescent="0.35">
      <c r="A1233" s="403" t="str">
        <f>A1232</f>
        <v/>
      </c>
      <c r="B1233" t="str">
        <f>IF(LEN('Ch7'!H471)=0,"",'Ch7'!H471)</f>
        <v/>
      </c>
      <c r="C1233" t="str">
        <f t="shared" si="34"/>
        <v/>
      </c>
      <c r="D1233" s="126"/>
      <c r="E1233" s="103"/>
      <c r="F1233" s="103"/>
      <c r="G1233" s="706"/>
      <c r="J1233" s="813"/>
    </row>
    <row r="1234" spans="1:10" x14ac:dyDescent="0.35">
      <c r="B1234" t="str">
        <f>IF(LEN('Ch7'!H472)=0,"",'Ch7'!H472)</f>
        <v/>
      </c>
      <c r="C1234" t="str">
        <f t="shared" si="34"/>
        <v/>
      </c>
      <c r="D1234" s="126"/>
      <c r="E1234" s="474" t="s">
        <v>270</v>
      </c>
      <c r="F1234" s="193"/>
      <c r="G1234" s="214" t="s">
        <v>1195</v>
      </c>
      <c r="J1234" s="485"/>
    </row>
    <row r="1235" spans="1:10" x14ac:dyDescent="0.35">
      <c r="B1235" t="str">
        <f>IF(LEN('Ch7'!H473)=0,"",'Ch7'!H473)</f>
        <v/>
      </c>
      <c r="C1235" t="str">
        <f t="shared" si="34"/>
        <v/>
      </c>
      <c r="D1235" s="149"/>
      <c r="E1235" s="474" t="s">
        <v>272</v>
      </c>
      <c r="F1235" s="193"/>
      <c r="G1235" s="214" t="s">
        <v>1196</v>
      </c>
      <c r="J1235" s="485"/>
    </row>
    <row r="1236" spans="1:10" x14ac:dyDescent="0.35">
      <c r="A1236" s="403" t="str">
        <f>IF(AND(LEN('Ch7'!W474)&gt;0,NOT('Ch7'!W474=FALSE)),"P","")</f>
        <v/>
      </c>
      <c r="B1236" t="str">
        <f>IF(LEN('Ch7'!H474)=0,"",'Ch7'!H474)</f>
        <v/>
      </c>
      <c r="C1236" t="str">
        <f t="shared" si="34"/>
        <v/>
      </c>
      <c r="D1236" s="444" t="s">
        <v>1197</v>
      </c>
      <c r="E1236" s="478"/>
      <c r="F1236" s="439"/>
      <c r="G1236" s="753" t="s">
        <v>1198</v>
      </c>
      <c r="H1236" s="49">
        <f>'Ch7'!W474</f>
        <v>0</v>
      </c>
      <c r="I1236" s="49">
        <f>'Ch7'!O474</f>
        <v>0</v>
      </c>
      <c r="J1236" s="813" t="s">
        <v>4177</v>
      </c>
    </row>
    <row r="1237" spans="1:10" x14ac:dyDescent="0.35">
      <c r="A1237" s="403" t="str">
        <f>A1236</f>
        <v/>
      </c>
      <c r="B1237" t="str">
        <f>IF(LEN('Ch7'!H475)=0,"",'Ch7'!H475)</f>
        <v/>
      </c>
      <c r="C1237" t="str">
        <f t="shared" si="34"/>
        <v/>
      </c>
      <c r="D1237" s="149"/>
      <c r="E1237" s="193"/>
      <c r="F1237" s="193"/>
      <c r="G1237" s="739"/>
      <c r="J1237" s="813"/>
    </row>
    <row r="1238" spans="1:10" x14ac:dyDescent="0.35">
      <c r="A1238" s="600" t="str">
        <f>IF(COUNTIF(A1239:A1243,"P")&gt;0,"P","")</f>
        <v/>
      </c>
      <c r="B1238" t="str">
        <f>IF(LEN('Ch7'!H476)=0,"",'Ch7'!H476)</f>
        <v/>
      </c>
      <c r="C1238" t="str">
        <f t="shared" si="34"/>
        <v/>
      </c>
      <c r="D1238" s="33" t="s">
        <v>1199</v>
      </c>
      <c r="E1238" s="103"/>
      <c r="F1238" s="103"/>
      <c r="G1238" s="110" t="s">
        <v>1200</v>
      </c>
      <c r="J1238" s="485"/>
    </row>
    <row r="1239" spans="1:10" x14ac:dyDescent="0.35">
      <c r="A1239" s="403" t="str">
        <f>IF(AND(LEN('Ch7'!W477)&gt;0,NOT('Ch7'!W477=FALSE)),"P","")</f>
        <v/>
      </c>
      <c r="B1239" t="str">
        <f>IF(LEN('Ch7'!H477)=0,"",'Ch7'!H477)</f>
        <v/>
      </c>
      <c r="C1239" t="str">
        <f t="shared" si="34"/>
        <v/>
      </c>
      <c r="D1239" s="126"/>
      <c r="E1239" s="473" t="s">
        <v>270</v>
      </c>
      <c r="F1239" s="103"/>
      <c r="G1239" s="707" t="s">
        <v>1201</v>
      </c>
      <c r="H1239" s="49">
        <f>'Ch7'!W477</f>
        <v>0</v>
      </c>
      <c r="I1239" s="49">
        <f ca="1">'Ch7'!O477</f>
        <v>0</v>
      </c>
      <c r="J1239" s="814" t="s">
        <v>4177</v>
      </c>
    </row>
    <row r="1240" spans="1:10" x14ac:dyDescent="0.35">
      <c r="A1240" s="403" t="str">
        <f>A1239</f>
        <v/>
      </c>
      <c r="B1240" t="str">
        <f>IF(LEN('Ch7'!H478)=0,"",'Ch7'!H478)</f>
        <v/>
      </c>
      <c r="C1240" t="str">
        <f t="shared" si="34"/>
        <v/>
      </c>
      <c r="D1240" s="126"/>
      <c r="E1240" s="103"/>
      <c r="F1240" s="103"/>
      <c r="G1240" s="707"/>
      <c r="J1240" s="814"/>
    </row>
    <row r="1241" spans="1:10" x14ac:dyDescent="0.35">
      <c r="B1241" t="str">
        <f>IF(LEN('Ch7'!H479)=0,"",'Ch7'!H479)</f>
        <v/>
      </c>
      <c r="C1241" t="str">
        <f t="shared" si="34"/>
        <v/>
      </c>
      <c r="D1241" s="126"/>
      <c r="E1241" s="103"/>
      <c r="F1241" s="473" t="s">
        <v>121</v>
      </c>
      <c r="G1241" s="104" t="s">
        <v>1195</v>
      </c>
      <c r="J1241" s="495"/>
    </row>
    <row r="1242" spans="1:10" x14ac:dyDescent="0.35">
      <c r="B1242" t="str">
        <f>IF(LEN('Ch7'!H480)=0,"",'Ch7'!H480)</f>
        <v/>
      </c>
      <c r="C1242" t="str">
        <f t="shared" si="34"/>
        <v/>
      </c>
      <c r="D1242" s="126"/>
      <c r="E1242" s="193"/>
      <c r="F1242" s="474" t="s">
        <v>122</v>
      </c>
      <c r="G1242" s="214" t="s">
        <v>1196</v>
      </c>
      <c r="J1242" s="495"/>
    </row>
    <row r="1243" spans="1:10" x14ac:dyDescent="0.35">
      <c r="A1243" s="403" t="str">
        <f>IF(AND(LEN('Ch7'!W481)&gt;0,NOT('Ch7'!W481=FALSE)),"P","")</f>
        <v/>
      </c>
      <c r="B1243" t="str">
        <f>IF(LEN('Ch7'!H481)=0,"",'Ch7'!H481)</f>
        <v/>
      </c>
      <c r="C1243" t="str">
        <f t="shared" si="34"/>
        <v/>
      </c>
      <c r="D1243" s="126"/>
      <c r="E1243" s="473" t="s">
        <v>272</v>
      </c>
      <c r="F1243" s="103"/>
      <c r="G1243" s="707" t="s">
        <v>1202</v>
      </c>
      <c r="H1243" s="49">
        <f>'Ch7'!W481</f>
        <v>0</v>
      </c>
      <c r="I1243" s="49">
        <f ca="1">'Ch7'!O481</f>
        <v>0</v>
      </c>
      <c r="J1243" s="814" t="s">
        <v>4177</v>
      </c>
    </row>
    <row r="1244" spans="1:10" x14ac:dyDescent="0.35">
      <c r="A1244" s="403" t="str">
        <f>A1243</f>
        <v/>
      </c>
      <c r="B1244" t="str">
        <f>IF(LEN('Ch7'!H482)=0,"",'Ch7'!H482)</f>
        <v/>
      </c>
      <c r="C1244" t="str">
        <f t="shared" si="34"/>
        <v/>
      </c>
      <c r="D1244" s="126"/>
      <c r="E1244" s="103"/>
      <c r="F1244" s="103"/>
      <c r="G1244" s="707"/>
      <c r="J1244" s="814"/>
    </row>
    <row r="1245" spans="1:10" x14ac:dyDescent="0.35">
      <c r="A1245" s="403" t="str">
        <f>A1244</f>
        <v/>
      </c>
      <c r="B1245" t="str">
        <f>IF(LEN('Ch7'!H483)=0,"",'Ch7'!H483)</f>
        <v/>
      </c>
      <c r="C1245" t="str">
        <f t="shared" si="34"/>
        <v/>
      </c>
      <c r="D1245" s="126"/>
      <c r="E1245" s="103"/>
      <c r="F1245" s="103"/>
      <c r="G1245" s="707"/>
      <c r="J1245" s="814"/>
    </row>
    <row r="1246" spans="1:10" x14ac:dyDescent="0.35">
      <c r="B1246" t="str">
        <f>IF(LEN('Ch7'!H484)=0,"",'Ch7'!H484)</f>
        <v/>
      </c>
      <c r="C1246" t="str">
        <f t="shared" si="34"/>
        <v/>
      </c>
      <c r="D1246" s="126"/>
      <c r="E1246" s="103"/>
      <c r="F1246" s="473" t="s">
        <v>121</v>
      </c>
      <c r="G1246" s="104" t="s">
        <v>1203</v>
      </c>
      <c r="J1246" s="495"/>
    </row>
    <row r="1247" spans="1:10" x14ac:dyDescent="0.35">
      <c r="B1247" t="str">
        <f>IF(LEN('Ch7'!H485)=0,"",'Ch7'!H485)</f>
        <v/>
      </c>
      <c r="C1247" t="str">
        <f t="shared" si="34"/>
        <v/>
      </c>
      <c r="D1247" s="149"/>
      <c r="E1247" s="193"/>
      <c r="F1247" s="474" t="s">
        <v>122</v>
      </c>
      <c r="G1247" s="214" t="s">
        <v>1204</v>
      </c>
      <c r="J1247" s="495"/>
    </row>
    <row r="1248" spans="1:10" x14ac:dyDescent="0.35">
      <c r="A1248" s="403" t="str">
        <f>IF(AND(LEN('Ch7'!W486)&gt;0,NOT('Ch7'!W486=FALSE)),"P","")</f>
        <v/>
      </c>
      <c r="B1248" t="str">
        <f>IF(LEN('Ch7'!H486)=0,"",'Ch7'!H486)</f>
        <v/>
      </c>
      <c r="C1248" t="str">
        <f t="shared" si="34"/>
        <v/>
      </c>
      <c r="D1248" s="444" t="s">
        <v>1205</v>
      </c>
      <c r="E1248" s="439"/>
      <c r="F1248" s="439"/>
      <c r="G1248" s="753" t="s">
        <v>1206</v>
      </c>
      <c r="H1248" s="49">
        <f>'Ch7'!W486</f>
        <v>0</v>
      </c>
      <c r="I1248" s="49">
        <f ca="1">'Ch7'!O486</f>
        <v>0</v>
      </c>
      <c r="J1248" s="813" t="s">
        <v>4177</v>
      </c>
    </row>
    <row r="1249" spans="1:10" x14ac:dyDescent="0.35">
      <c r="A1249" s="403" t="str">
        <f>A1248</f>
        <v/>
      </c>
      <c r="B1249" t="str">
        <f>IF(LEN('Ch7'!H487)=0,"",'Ch7'!H487)</f>
        <v/>
      </c>
      <c r="C1249" t="str">
        <f t="shared" si="34"/>
        <v/>
      </c>
      <c r="D1249" s="126"/>
      <c r="E1249" s="103"/>
      <c r="F1249" s="103"/>
      <c r="G1249" s="706"/>
      <c r="J1249" s="813"/>
    </row>
    <row r="1250" spans="1:10" x14ac:dyDescent="0.35">
      <c r="A1250" s="403" t="str">
        <f>A1249</f>
        <v/>
      </c>
      <c r="B1250" t="str">
        <f>IF(LEN('Ch7'!H488)=0,"",'Ch7'!H488)</f>
        <v/>
      </c>
      <c r="C1250" t="str">
        <f t="shared" si="34"/>
        <v/>
      </c>
      <c r="D1250" s="126"/>
      <c r="E1250" s="103"/>
      <c r="F1250" s="103"/>
      <c r="G1250" s="706"/>
      <c r="J1250" s="813"/>
    </row>
    <row r="1251" spans="1:10" x14ac:dyDescent="0.35">
      <c r="B1251" t="str">
        <f>IF(LEN('Ch7'!H489)=0,"",'Ch7'!H489)</f>
        <v/>
      </c>
      <c r="C1251" t="str">
        <f t="shared" si="34"/>
        <v/>
      </c>
      <c r="D1251" s="126"/>
      <c r="E1251" s="474" t="s">
        <v>270</v>
      </c>
      <c r="F1251" s="193"/>
      <c r="G1251" s="214" t="s">
        <v>1203</v>
      </c>
      <c r="J1251" s="485"/>
    </row>
    <row r="1252" spans="1:10" x14ac:dyDescent="0.35">
      <c r="B1252" t="str">
        <f>IF(LEN('Ch7'!H490)=0,"",'Ch7'!H490)</f>
        <v/>
      </c>
      <c r="C1252" t="str">
        <f t="shared" si="34"/>
        <v/>
      </c>
      <c r="D1252" s="149"/>
      <c r="E1252" s="474" t="s">
        <v>272</v>
      </c>
      <c r="F1252" s="193"/>
      <c r="G1252" s="214" t="s">
        <v>1207</v>
      </c>
      <c r="J1252" s="485"/>
    </row>
    <row r="1253" spans="1:10" x14ac:dyDescent="0.35">
      <c r="A1253" s="403" t="str">
        <f>IF(AND(LEN('Ch7'!W491)&gt;0,NOT('Ch7'!W491=FALSE)),"P","")</f>
        <v/>
      </c>
      <c r="B1253" t="str">
        <f>IF(LEN('Ch7'!H491)=0,"",'Ch7'!H491)</f>
        <v/>
      </c>
      <c r="C1253" t="str">
        <f t="shared" si="34"/>
        <v/>
      </c>
      <c r="D1253" s="444" t="s">
        <v>1208</v>
      </c>
      <c r="E1253" s="439"/>
      <c r="F1253" s="439"/>
      <c r="G1253" s="753" t="s">
        <v>1209</v>
      </c>
      <c r="H1253" s="49">
        <f>'Ch7'!W491</f>
        <v>0</v>
      </c>
      <c r="I1253" s="49">
        <f>'Ch7'!O491</f>
        <v>0</v>
      </c>
      <c r="J1253" s="813" t="s">
        <v>4229</v>
      </c>
    </row>
    <row r="1254" spans="1:10" x14ac:dyDescent="0.35">
      <c r="A1254" s="403" t="str">
        <f>A1253</f>
        <v/>
      </c>
      <c r="B1254" t="str">
        <f>IF(LEN('Ch7'!H492)=0,"",'Ch7'!H492)</f>
        <v/>
      </c>
      <c r="C1254" t="str">
        <f t="shared" si="34"/>
        <v/>
      </c>
      <c r="D1254" s="126"/>
      <c r="E1254" s="103"/>
      <c r="F1254" s="103"/>
      <c r="G1254" s="706"/>
      <c r="J1254" s="813"/>
    </row>
    <row r="1255" spans="1:10" x14ac:dyDescent="0.35">
      <c r="B1255" t="str">
        <f>IF(LEN('Ch7'!H493)=0,"",'Ch7'!H493)</f>
        <v/>
      </c>
      <c r="C1255" t="str">
        <f t="shared" si="34"/>
        <v/>
      </c>
      <c r="D1255" s="149"/>
      <c r="E1255" s="193"/>
      <c r="F1255" s="193"/>
      <c r="G1255" s="165" t="s">
        <v>1098</v>
      </c>
      <c r="J1255" s="485"/>
    </row>
    <row r="1256" spans="1:10" x14ac:dyDescent="0.35">
      <c r="A1256" s="403" t="str">
        <f>IF(AND(LEN('Ch7'!W494)&gt;0,NOT('Ch7'!W494=FALSE)),"P","")</f>
        <v/>
      </c>
      <c r="B1256" t="str">
        <f>IF(LEN('Ch7'!H494)=0,"",'Ch7'!H494)</f>
        <v/>
      </c>
      <c r="C1256" t="str">
        <f t="shared" si="34"/>
        <v/>
      </c>
      <c r="D1256" s="444" t="s">
        <v>1210</v>
      </c>
      <c r="E1256" s="439"/>
      <c r="F1256" s="439"/>
      <c r="G1256" s="753" t="s">
        <v>1211</v>
      </c>
      <c r="H1256" s="49">
        <f>'Ch7'!W494</f>
        <v>0</v>
      </c>
      <c r="I1256" s="49">
        <f>'Ch7'!O494</f>
        <v>0</v>
      </c>
      <c r="J1256" s="813" t="s">
        <v>4177</v>
      </c>
    </row>
    <row r="1257" spans="1:10" x14ac:dyDescent="0.35">
      <c r="A1257" s="403" t="str">
        <f>A1256</f>
        <v/>
      </c>
      <c r="B1257" t="str">
        <f>IF(LEN('Ch7'!H495)=0,"",'Ch7'!H495)</f>
        <v/>
      </c>
      <c r="C1257" t="str">
        <f t="shared" si="34"/>
        <v/>
      </c>
      <c r="D1257" s="149"/>
      <c r="E1257" s="193"/>
      <c r="F1257" s="193"/>
      <c r="G1257" s="739"/>
      <c r="J1257" s="813"/>
    </row>
    <row r="1258" spans="1:10" x14ac:dyDescent="0.35">
      <c r="A1258" s="403" t="str">
        <f>IF('Ch7'!O496&gt;0,"P","")</f>
        <v/>
      </c>
      <c r="B1258" t="str">
        <f>IF(LEN('Ch7'!H496)=0,"",'Ch7'!H496)</f>
        <v/>
      </c>
      <c r="C1258" t="str">
        <f t="shared" si="34"/>
        <v/>
      </c>
      <c r="D1258" s="33" t="s">
        <v>1212</v>
      </c>
      <c r="E1258" s="103"/>
      <c r="F1258" s="103"/>
      <c r="G1258" s="706" t="s">
        <v>1213</v>
      </c>
      <c r="I1258" s="49">
        <f>'Ch7'!O496</f>
        <v>0</v>
      </c>
      <c r="J1258" s="813" t="s">
        <v>4177</v>
      </c>
    </row>
    <row r="1259" spans="1:10" x14ac:dyDescent="0.35">
      <c r="A1259" s="403" t="str">
        <f>A1258</f>
        <v/>
      </c>
      <c r="B1259" t="str">
        <f>IF(LEN('Ch7'!H497)=0,"",'Ch7'!H497)</f>
        <v/>
      </c>
      <c r="C1259" t="str">
        <f t="shared" si="34"/>
        <v/>
      </c>
      <c r="D1259" s="126"/>
      <c r="E1259" s="103"/>
      <c r="F1259" s="103"/>
      <c r="G1259" s="706"/>
      <c r="H1259" s="49">
        <f>'Ch7'!W497</f>
        <v>0</v>
      </c>
      <c r="J1259" s="813"/>
    </row>
    <row r="1260" spans="1:10" ht="15" thickBot="1" x14ac:dyDescent="0.4">
      <c r="A1260" s="403" t="str">
        <f>A1259</f>
        <v/>
      </c>
      <c r="B1260" t="str">
        <f>IF(LEN('Ch7'!H498)=0,"",'Ch7'!H498)</f>
        <v/>
      </c>
      <c r="C1260" t="str">
        <f t="shared" si="34"/>
        <v/>
      </c>
      <c r="D1260" s="448"/>
      <c r="E1260" s="438"/>
      <c r="F1260" s="438"/>
      <c r="G1260" s="710"/>
      <c r="J1260" s="813"/>
    </row>
    <row r="1261" spans="1:10" ht="15.5" thickTop="1" thickBot="1" x14ac:dyDescent="0.4">
      <c r="A1261" s="403" t="str">
        <f>IF(AND(LEN('Ch7'!W499)&gt;0,NOT('Ch7'!W499=FALSE)),"P","")</f>
        <v/>
      </c>
      <c r="B1261" t="str">
        <f>IF(LEN('Ch7'!H499)=0,"",'Ch7'!H499)</f>
        <v/>
      </c>
      <c r="C1261" t="str">
        <f t="shared" si="34"/>
        <v/>
      </c>
      <c r="D1261" s="445">
        <v>705.3</v>
      </c>
      <c r="E1261" s="482"/>
      <c r="F1261" s="482"/>
      <c r="G1261" s="276" t="s">
        <v>1214</v>
      </c>
      <c r="H1261" s="49">
        <f>'Ch7'!W499</f>
        <v>0</v>
      </c>
      <c r="I1261" s="49">
        <f>'Ch7'!O499</f>
        <v>0</v>
      </c>
      <c r="J1261" s="485" t="s">
        <v>4177</v>
      </c>
    </row>
    <row r="1262" spans="1:10" ht="15" thickTop="1" x14ac:dyDescent="0.35">
      <c r="A1262" s="403" t="str">
        <f>IF(AND(LEN('Ch7'!W500)&gt;0,NOT('Ch7'!W500=FALSE)),"P","")</f>
        <v/>
      </c>
      <c r="B1262" t="str">
        <f>IF(LEN('Ch7'!H500)=0,"",'Ch7'!H500)</f>
        <v/>
      </c>
      <c r="C1262" t="str">
        <f t="shared" si="34"/>
        <v/>
      </c>
      <c r="D1262" s="63">
        <v>705.4</v>
      </c>
      <c r="E1262" s="475"/>
      <c r="F1262" s="475"/>
      <c r="G1262" s="711" t="s">
        <v>1215</v>
      </c>
      <c r="H1262" s="49">
        <f>'Ch7'!W500</f>
        <v>0</v>
      </c>
      <c r="I1262" s="49">
        <f>'Ch7'!O500</f>
        <v>0</v>
      </c>
      <c r="J1262" s="813" t="s">
        <v>4177</v>
      </c>
    </row>
    <row r="1263" spans="1:10" x14ac:dyDescent="0.35">
      <c r="A1263" s="403" t="str">
        <f>A1262</f>
        <v/>
      </c>
      <c r="B1263" t="str">
        <f>IF(LEN('Ch7'!H501)=0,"",'Ch7'!H501)</f>
        <v/>
      </c>
      <c r="C1263" t="str">
        <f t="shared" si="34"/>
        <v/>
      </c>
      <c r="D1263" s="126"/>
      <c r="E1263" s="103"/>
      <c r="F1263" s="103"/>
      <c r="G1263" s="706"/>
      <c r="J1263" s="813"/>
    </row>
    <row r="1264" spans="1:10" ht="15" thickBot="1" x14ac:dyDescent="0.4">
      <c r="A1264" s="403" t="str">
        <f>A1263</f>
        <v/>
      </c>
      <c r="B1264" t="str">
        <f>IF(LEN('Ch7'!H502)=0,"",'Ch7'!H502)</f>
        <v/>
      </c>
      <c r="C1264" t="str">
        <f t="shared" si="34"/>
        <v/>
      </c>
      <c r="D1264" s="448"/>
      <c r="E1264" s="438"/>
      <c r="F1264" s="438"/>
      <c r="G1264" s="710"/>
      <c r="J1264" s="813"/>
    </row>
    <row r="1265" spans="1:10" x14ac:dyDescent="0.35">
      <c r="A1265" s="600" t="str">
        <f>IF(COUNTIF(A1266:A1271,"P")&gt;0,"P","")</f>
        <v>P</v>
      </c>
      <c r="B1265" t="str">
        <f>IF(LEN('Ch7'!H503)=0,"",'Ch7'!H503)</f>
        <v/>
      </c>
      <c r="C1265" t="str">
        <f t="shared" si="34"/>
        <v>P</v>
      </c>
      <c r="D1265" s="33">
        <v>705.5</v>
      </c>
      <c r="E1265" s="103"/>
      <c r="F1265" s="103"/>
      <c r="G1265" s="110" t="s">
        <v>1216</v>
      </c>
      <c r="J1265" s="485"/>
    </row>
    <row r="1266" spans="1:10" x14ac:dyDescent="0.35">
      <c r="A1266" s="403" t="str">
        <f>IF(AND(LEN('Ch7'!W504)&gt;0,NOT('Ch7'!W504=FALSE)),"P","")</f>
        <v>P</v>
      </c>
      <c r="B1266" t="str">
        <f>IF(LEN('Ch7'!H504)=0,"",'Ch7'!H504)</f>
        <v/>
      </c>
      <c r="C1266" t="str">
        <f t="shared" si="34"/>
        <v>P</v>
      </c>
      <c r="D1266" s="33" t="s">
        <v>1217</v>
      </c>
      <c r="E1266" s="103"/>
      <c r="F1266" s="103"/>
      <c r="G1266" s="706" t="s">
        <v>1218</v>
      </c>
      <c r="H1266" s="49" t="b">
        <f>'Ch7'!W504</f>
        <v>1</v>
      </c>
      <c r="I1266" s="49">
        <f>'Ch7'!O504</f>
        <v>1</v>
      </c>
      <c r="J1266" s="813" t="s">
        <v>4230</v>
      </c>
    </row>
    <row r="1267" spans="1:10" x14ac:dyDescent="0.35">
      <c r="A1267" s="403" t="str">
        <f>A1266</f>
        <v>P</v>
      </c>
      <c r="B1267" t="str">
        <f>IF(LEN('Ch7'!H505)=0,"",'Ch7'!H505)</f>
        <v/>
      </c>
      <c r="C1267" t="str">
        <f t="shared" si="34"/>
        <v>P</v>
      </c>
      <c r="D1267" s="126"/>
      <c r="E1267" s="103"/>
      <c r="F1267" s="103"/>
      <c r="G1267" s="706"/>
      <c r="J1267" s="813"/>
    </row>
    <row r="1268" spans="1:10" x14ac:dyDescent="0.35">
      <c r="A1268" s="403" t="str">
        <f>A1267</f>
        <v>P</v>
      </c>
      <c r="B1268" t="str">
        <f>IF(LEN('Ch7'!H506)=0,"",'Ch7'!H506)</f>
        <v/>
      </c>
      <c r="C1268" t="str">
        <f t="shared" si="34"/>
        <v>P</v>
      </c>
      <c r="D1268" s="126"/>
      <c r="E1268" s="103"/>
      <c r="F1268" s="103"/>
      <c r="G1268" s="706"/>
      <c r="J1268" s="813"/>
    </row>
    <row r="1269" spans="1:10" x14ac:dyDescent="0.35">
      <c r="A1269" s="403" t="str">
        <f>A1268</f>
        <v>P</v>
      </c>
      <c r="B1269" t="str">
        <f>IF(LEN('Ch7'!H507)=0,"",'Ch7'!H507)</f>
        <v/>
      </c>
      <c r="C1269" t="str">
        <f t="shared" si="34"/>
        <v>P</v>
      </c>
      <c r="D1269" s="126"/>
      <c r="E1269" s="103"/>
      <c r="F1269" s="103"/>
      <c r="G1269" s="706"/>
      <c r="J1269" s="813"/>
    </row>
    <row r="1270" spans="1:10" x14ac:dyDescent="0.35">
      <c r="A1270" s="403" t="str">
        <f>A1269</f>
        <v>P</v>
      </c>
      <c r="B1270" t="str">
        <f>IF(LEN('Ch7'!H508)=0,"",'Ch7'!H508)</f>
        <v/>
      </c>
      <c r="C1270" t="str">
        <f t="shared" si="34"/>
        <v>P</v>
      </c>
      <c r="D1270" s="149"/>
      <c r="E1270" s="193"/>
      <c r="F1270" s="193"/>
      <c r="G1270" s="739"/>
      <c r="J1270" s="813"/>
    </row>
    <row r="1271" spans="1:10" x14ac:dyDescent="0.35">
      <c r="A1271" s="403" t="str">
        <f>IF(AND(LEN('Ch7'!W509)&gt;0,NOT('Ch7'!W509=FALSE)),"P","")</f>
        <v>P</v>
      </c>
      <c r="B1271" t="str">
        <f>IF(LEN('Ch7'!H509)=0,"",'Ch7'!H509)</f>
        <v/>
      </c>
      <c r="C1271" t="str">
        <f t="shared" si="34"/>
        <v>P</v>
      </c>
      <c r="D1271" s="33" t="s">
        <v>1219</v>
      </c>
      <c r="E1271" s="103"/>
      <c r="F1271" s="103"/>
      <c r="G1271" s="706" t="s">
        <v>1220</v>
      </c>
      <c r="H1271" s="49" t="b">
        <f>'Ch7'!W509</f>
        <v>1</v>
      </c>
      <c r="I1271" s="49">
        <f>'Ch7'!O509</f>
        <v>3</v>
      </c>
      <c r="J1271" s="813" t="s">
        <v>4231</v>
      </c>
    </row>
    <row r="1272" spans="1:10" x14ac:dyDescent="0.35">
      <c r="A1272" s="403" t="str">
        <f>A1271</f>
        <v>P</v>
      </c>
      <c r="B1272" t="str">
        <f>IF(LEN('Ch7'!H510)=0,"",'Ch7'!H510)</f>
        <v/>
      </c>
      <c r="C1272" t="str">
        <f t="shared" si="34"/>
        <v>P</v>
      </c>
      <c r="D1272" s="126"/>
      <c r="E1272" s="103"/>
      <c r="F1272" s="103"/>
      <c r="G1272" s="706"/>
      <c r="J1272" s="813"/>
    </row>
    <row r="1273" spans="1:10" x14ac:dyDescent="0.35">
      <c r="B1273" t="str">
        <f>IF(LEN('Ch7'!H511)=0,"",'Ch7'!H511)</f>
        <v/>
      </c>
      <c r="C1273" t="str">
        <f t="shared" si="34"/>
        <v/>
      </c>
      <c r="D1273" s="126"/>
      <c r="E1273" s="473" t="s">
        <v>270</v>
      </c>
      <c r="F1273" s="103"/>
      <c r="G1273" s="104" t="s">
        <v>1221</v>
      </c>
      <c r="J1273" s="485"/>
    </row>
    <row r="1274" spans="1:10" x14ac:dyDescent="0.35">
      <c r="B1274" t="str">
        <f>IF(LEN('Ch7'!H512)=0,"",'Ch7'!H512)</f>
        <v/>
      </c>
      <c r="C1274" t="str">
        <f t="shared" si="34"/>
        <v/>
      </c>
      <c r="D1274" s="126"/>
      <c r="E1274" s="474" t="s">
        <v>272</v>
      </c>
      <c r="F1274" s="193"/>
      <c r="G1274" s="214" t="s">
        <v>1222</v>
      </c>
      <c r="J1274" s="485"/>
    </row>
    <row r="1275" spans="1:10" x14ac:dyDescent="0.35">
      <c r="B1275" t="str">
        <f>IF(LEN('Ch7'!H513)=0,"",'Ch7'!H513)</f>
        <v/>
      </c>
      <c r="C1275" t="str">
        <f t="shared" si="34"/>
        <v/>
      </c>
      <c r="D1275" s="126"/>
      <c r="E1275" s="479" t="s">
        <v>274</v>
      </c>
      <c r="F1275" s="219"/>
      <c r="G1275" s="220" t="s">
        <v>1223</v>
      </c>
      <c r="J1275" s="485"/>
    </row>
    <row r="1276" spans="1:10" x14ac:dyDescent="0.35">
      <c r="B1276" t="str">
        <f>IF(LEN('Ch7'!H514)=0,"",'Ch7'!H514)</f>
        <v/>
      </c>
      <c r="C1276" t="str">
        <f t="shared" si="34"/>
        <v/>
      </c>
      <c r="D1276" s="126"/>
      <c r="E1276" s="479" t="s">
        <v>283</v>
      </c>
      <c r="F1276" s="219"/>
      <c r="G1276" s="220" t="s">
        <v>1224</v>
      </c>
      <c r="J1276" s="485"/>
    </row>
    <row r="1277" spans="1:10" x14ac:dyDescent="0.35">
      <c r="B1277" t="str">
        <f>IF(LEN('Ch7'!H515)=0,"",'Ch7'!H515)</f>
        <v/>
      </c>
      <c r="C1277" t="str">
        <f t="shared" si="34"/>
        <v/>
      </c>
      <c r="D1277" s="126"/>
      <c r="E1277" s="479" t="s">
        <v>289</v>
      </c>
      <c r="F1277" s="219"/>
      <c r="G1277" s="220" t="s">
        <v>1225</v>
      </c>
      <c r="J1277" s="485"/>
    </row>
    <row r="1278" spans="1:10" ht="15" thickBot="1" x14ac:dyDescent="0.4">
      <c r="B1278" t="str">
        <f>IF(LEN('Ch7'!H516)=0,"",'Ch7'!H516)</f>
        <v/>
      </c>
      <c r="C1278" t="str">
        <f t="shared" si="34"/>
        <v/>
      </c>
      <c r="D1278" s="448"/>
      <c r="E1278" s="481" t="s">
        <v>291</v>
      </c>
      <c r="F1278" s="438"/>
      <c r="G1278" s="223" t="s">
        <v>1226</v>
      </c>
      <c r="J1278" s="485"/>
    </row>
    <row r="1279" spans="1:10" ht="15" thickTop="1" x14ac:dyDescent="0.35">
      <c r="A1279" s="600" t="str">
        <f>IF(COUNTIF(A1280:A1327,"P")&gt;0,"P","")</f>
        <v>P</v>
      </c>
      <c r="B1279" t="str">
        <f>IF(LEN('Ch7'!H517)=0,"",'Ch7'!H517)</f>
        <v/>
      </c>
      <c r="C1279" t="str">
        <f t="shared" si="34"/>
        <v>P</v>
      </c>
      <c r="D1279" s="63">
        <v>705.6</v>
      </c>
      <c r="E1279" s="475"/>
      <c r="F1279" s="475"/>
      <c r="G1279" s="222" t="s">
        <v>1227</v>
      </c>
      <c r="J1279" s="485"/>
    </row>
    <row r="1280" spans="1:10" x14ac:dyDescent="0.35">
      <c r="A1280" s="403" t="str">
        <f>IF('Ch7'!O518&gt;0,"P","")</f>
        <v>P</v>
      </c>
      <c r="B1280" t="str">
        <f>IF(LEN('Ch7'!H518)=0,"",'Ch7'!H518)</f>
        <v/>
      </c>
      <c r="C1280" t="str">
        <f t="shared" si="34"/>
        <v>P</v>
      </c>
      <c r="D1280" s="33" t="s">
        <v>1228</v>
      </c>
      <c r="E1280" s="103"/>
      <c r="F1280" s="103"/>
      <c r="G1280" s="706" t="s">
        <v>1229</v>
      </c>
      <c r="I1280" s="49">
        <f>'Ch7'!O518</f>
        <v>3</v>
      </c>
      <c r="J1280" s="820" t="s">
        <v>4342</v>
      </c>
    </row>
    <row r="1281" spans="1:10" x14ac:dyDescent="0.35">
      <c r="A1281" s="403" t="str">
        <f>A1280</f>
        <v>P</v>
      </c>
      <c r="B1281" t="str">
        <f>IF(LEN('Ch7'!H519)=0,"",'Ch7'!H519)</f>
        <v/>
      </c>
      <c r="C1281" t="str">
        <f t="shared" si="34"/>
        <v>P</v>
      </c>
      <c r="D1281" s="126"/>
      <c r="E1281" s="103"/>
      <c r="F1281" s="103"/>
      <c r="G1281" s="706"/>
      <c r="J1281" s="820"/>
    </row>
    <row r="1282" spans="1:10" x14ac:dyDescent="0.35">
      <c r="A1282" s="403" t="str">
        <f>A1281</f>
        <v>P</v>
      </c>
      <c r="B1282" t="str">
        <f>IF(LEN('Ch7'!H520)=0,"",'Ch7'!H520)</f>
        <v/>
      </c>
      <c r="C1282" t="str">
        <f t="shared" si="34"/>
        <v>P</v>
      </c>
      <c r="D1282" s="126"/>
      <c r="E1282" s="103"/>
      <c r="F1282" s="103"/>
      <c r="G1282" s="706"/>
      <c r="J1282" s="820"/>
    </row>
    <row r="1283" spans="1:10" x14ac:dyDescent="0.35">
      <c r="A1283" s="403" t="str">
        <f>A1282</f>
        <v>P</v>
      </c>
      <c r="B1283" t="str">
        <f>IF(LEN('Ch7'!H521)=0,"",'Ch7'!H521)</f>
        <v/>
      </c>
      <c r="C1283" t="str">
        <f t="shared" si="34"/>
        <v>P</v>
      </c>
      <c r="D1283" s="126"/>
      <c r="E1283" s="103"/>
      <c r="F1283" s="103"/>
      <c r="G1283" s="706"/>
      <c r="J1283" s="820"/>
    </row>
    <row r="1284" spans="1:10" x14ac:dyDescent="0.35">
      <c r="A1284" s="403" t="str">
        <f>A1283</f>
        <v>P</v>
      </c>
      <c r="B1284" t="str">
        <f>IF(LEN('Ch7'!H522)=0,"",'Ch7'!H522)</f>
        <v/>
      </c>
      <c r="C1284" t="str">
        <f t="shared" si="34"/>
        <v>P</v>
      </c>
      <c r="D1284" s="126"/>
      <c r="E1284" s="103"/>
      <c r="F1284" s="103"/>
      <c r="G1284" s="706"/>
      <c r="J1284" s="820"/>
    </row>
    <row r="1285" spans="1:10" x14ac:dyDescent="0.35">
      <c r="A1285" s="403" t="str">
        <f>A1284</f>
        <v>P</v>
      </c>
      <c r="B1285" t="str">
        <f>IF(LEN('Ch7'!H523)=0,"",'Ch7'!H523)</f>
        <v/>
      </c>
      <c r="C1285" t="str">
        <f t="shared" si="34"/>
        <v>P</v>
      </c>
      <c r="D1285" s="149"/>
      <c r="E1285" s="193"/>
      <c r="F1285" s="193"/>
      <c r="G1285" s="739"/>
      <c r="J1285" s="820"/>
    </row>
    <row r="1286" spans="1:10" x14ac:dyDescent="0.35">
      <c r="A1286" s="600" t="str">
        <f>IF(COUNTIF(A1287:A1307,"P")&gt;0,"P","")</f>
        <v>P</v>
      </c>
      <c r="B1286" t="str">
        <f>IF(LEN('Ch7'!H524)=0,"",'Ch7'!H524)</f>
        <v/>
      </c>
      <c r="C1286" t="str">
        <f t="shared" si="34"/>
        <v>P</v>
      </c>
      <c r="D1286" s="33" t="s">
        <v>3863</v>
      </c>
      <c r="E1286" s="103"/>
      <c r="F1286" s="103"/>
      <c r="G1286" s="110" t="s">
        <v>3864</v>
      </c>
      <c r="J1286" s="485"/>
    </row>
    <row r="1287" spans="1:10" x14ac:dyDescent="0.35">
      <c r="A1287" s="403" t="str">
        <f>IF(SUM(I1293:I1296)&gt;0,"P","")</f>
        <v/>
      </c>
      <c r="B1287" t="str">
        <f>IF(LEN('Ch7'!H525)=0,"",'Ch7'!H525)</f>
        <v/>
      </c>
      <c r="C1287" t="str">
        <f t="shared" si="34"/>
        <v/>
      </c>
      <c r="D1287" s="33" t="s">
        <v>1231</v>
      </c>
      <c r="E1287" s="103"/>
      <c r="F1287" s="103"/>
      <c r="G1287" s="706" t="s">
        <v>1232</v>
      </c>
      <c r="J1287" s="814" t="s">
        <v>4232</v>
      </c>
    </row>
    <row r="1288" spans="1:10" x14ac:dyDescent="0.35">
      <c r="A1288" s="403" t="str">
        <f t="shared" ref="A1288:A1289" si="35">A1287</f>
        <v/>
      </c>
      <c r="B1288" t="str">
        <f>IF(LEN('Ch7'!H526)=0,"",'Ch7'!H526)</f>
        <v/>
      </c>
      <c r="C1288" t="str">
        <f t="shared" si="34"/>
        <v/>
      </c>
      <c r="D1288" s="126"/>
      <c r="E1288" s="103"/>
      <c r="F1288" s="103"/>
      <c r="G1288" s="706"/>
      <c r="J1288" s="814"/>
    </row>
    <row r="1289" spans="1:10" x14ac:dyDescent="0.35">
      <c r="A1289" s="403" t="str">
        <f t="shared" si="35"/>
        <v/>
      </c>
      <c r="B1289" t="str">
        <f>IF(LEN('Ch7'!H527)=0,"",'Ch7'!H527)</f>
        <v/>
      </c>
      <c r="C1289" t="str">
        <f t="shared" si="34"/>
        <v/>
      </c>
      <c r="D1289" s="126"/>
      <c r="E1289" s="103"/>
      <c r="F1289" s="103"/>
      <c r="G1289" s="706"/>
      <c r="J1289" s="814"/>
    </row>
    <row r="1290" spans="1:10" x14ac:dyDescent="0.35">
      <c r="B1290" t="str">
        <f>IF(LEN('Ch7'!H528)=0,"",'Ch7'!H528)</f>
        <v/>
      </c>
      <c r="C1290" t="str">
        <f t="shared" si="34"/>
        <v/>
      </c>
      <c r="D1290" s="126"/>
      <c r="E1290" s="103"/>
      <c r="F1290" s="103"/>
      <c r="G1290" s="752" t="s">
        <v>1230</v>
      </c>
      <c r="J1290" s="485"/>
    </row>
    <row r="1291" spans="1:10" x14ac:dyDescent="0.35">
      <c r="B1291" t="str">
        <f>IF(LEN('Ch7'!H529)=0,"",'Ch7'!H529)</f>
        <v/>
      </c>
      <c r="C1291" t="str">
        <f t="shared" si="34"/>
        <v/>
      </c>
      <c r="D1291" s="126"/>
      <c r="E1291" s="103"/>
      <c r="F1291" s="103"/>
      <c r="G1291" s="752"/>
      <c r="J1291" s="485"/>
    </row>
    <row r="1292" spans="1:10" x14ac:dyDescent="0.35">
      <c r="B1292" t="str">
        <f>IF(LEN('Ch7'!H530)=0,"",'Ch7'!H530)</f>
        <v/>
      </c>
      <c r="C1292" t="str">
        <f t="shared" si="34"/>
        <v/>
      </c>
      <c r="D1292" s="126"/>
      <c r="E1292" s="103"/>
      <c r="F1292" s="103"/>
      <c r="G1292" s="107" t="s">
        <v>3866</v>
      </c>
      <c r="J1292" s="485"/>
    </row>
    <row r="1293" spans="1:10" x14ac:dyDescent="0.35">
      <c r="B1293" t="str">
        <f>IF(LEN('Ch7'!H531)=0,"",'Ch7'!H531)</f>
        <v/>
      </c>
      <c r="C1293" t="str">
        <f t="shared" si="34"/>
        <v/>
      </c>
      <c r="D1293" s="126"/>
      <c r="E1293" s="179" t="s">
        <v>270</v>
      </c>
      <c r="F1293" s="104"/>
      <c r="G1293" s="104" t="s">
        <v>1233</v>
      </c>
      <c r="H1293" s="49">
        <f>'Ch7'!W531</f>
        <v>0</v>
      </c>
      <c r="I1293" s="49">
        <f>'Ch7'!O531</f>
        <v>0</v>
      </c>
      <c r="J1293" s="490"/>
    </row>
    <row r="1294" spans="1:10" x14ac:dyDescent="0.35">
      <c r="B1294" t="str">
        <f>IF(LEN('Ch7'!H532)=0,"",'Ch7'!H532)</f>
        <v/>
      </c>
      <c r="C1294" t="str">
        <f t="shared" si="34"/>
        <v/>
      </c>
      <c r="D1294" s="126"/>
      <c r="E1294" s="179"/>
      <c r="F1294" s="104"/>
      <c r="G1294" s="104"/>
      <c r="J1294" s="490"/>
    </row>
    <row r="1295" spans="1:10" x14ac:dyDescent="0.35">
      <c r="B1295" t="str">
        <f>IF(LEN('Ch7'!H533)=0,"",'Ch7'!H533)</f>
        <v/>
      </c>
      <c r="C1295" t="str">
        <f t="shared" si="34"/>
        <v/>
      </c>
      <c r="D1295" s="126"/>
      <c r="E1295" s="373"/>
      <c r="F1295" s="214"/>
      <c r="G1295" s="214"/>
      <c r="J1295" s="490"/>
    </row>
    <row r="1296" spans="1:10" x14ac:dyDescent="0.35">
      <c r="B1296" t="str">
        <f>IF(LEN('Ch7'!H534)=0,"",'Ch7'!H534)</f>
        <v/>
      </c>
      <c r="C1296" t="str">
        <f t="shared" si="34"/>
        <v/>
      </c>
      <c r="D1296" s="126"/>
      <c r="E1296" s="473" t="s">
        <v>272</v>
      </c>
      <c r="F1296" s="103"/>
      <c r="G1296" s="104" t="s">
        <v>1234</v>
      </c>
      <c r="H1296" s="49">
        <f>'Ch7'!W534</f>
        <v>0</v>
      </c>
      <c r="I1296" s="49">
        <f>'Ch7'!O534</f>
        <v>0</v>
      </c>
      <c r="J1296" s="490"/>
    </row>
    <row r="1297" spans="1:10" x14ac:dyDescent="0.35">
      <c r="B1297" t="str">
        <f>IF(LEN('Ch7'!H535)=0,"",'Ch7'!H535)</f>
        <v/>
      </c>
      <c r="C1297" t="str">
        <f t="shared" ref="C1297:C1360" si="36">IF(LEN(B1297)=0,IF(A1297="P","P",""),B1297)</f>
        <v/>
      </c>
      <c r="D1297" s="126"/>
      <c r="E1297" s="473"/>
      <c r="F1297" s="103"/>
      <c r="G1297" s="714" t="s">
        <v>3867</v>
      </c>
      <c r="J1297" s="485"/>
    </row>
    <row r="1298" spans="1:10" x14ac:dyDescent="0.35">
      <c r="B1298" t="str">
        <f>IF(LEN('Ch7'!H536)=0,"",'Ch7'!H536)</f>
        <v/>
      </c>
      <c r="C1298" t="str">
        <f t="shared" si="36"/>
        <v/>
      </c>
      <c r="D1298" s="149"/>
      <c r="E1298" s="474"/>
      <c r="F1298" s="193"/>
      <c r="G1298" s="755"/>
      <c r="J1298" s="485"/>
    </row>
    <row r="1299" spans="1:10" ht="15" customHeight="1" x14ac:dyDescent="0.35">
      <c r="A1299" s="403" t="str">
        <f>IF(AND(LEN('Ch7'!W537)&gt;0,NOT('Ch7'!W537=FALSE)),"P","")</f>
        <v/>
      </c>
      <c r="B1299" t="str">
        <f>IF(LEN('Ch7'!H537)=0,"",'Ch7'!H537)</f>
        <v/>
      </c>
      <c r="C1299" t="str">
        <f t="shared" si="36"/>
        <v/>
      </c>
      <c r="D1299" s="444" t="s">
        <v>1235</v>
      </c>
      <c r="E1299" s="439"/>
      <c r="F1299" s="439"/>
      <c r="G1299" s="753" t="s">
        <v>1236</v>
      </c>
      <c r="H1299" s="49">
        <f>'Ch7'!W537</f>
        <v>0</v>
      </c>
      <c r="I1299" s="49">
        <f>'Ch7'!O537</f>
        <v>0</v>
      </c>
      <c r="J1299" s="814" t="s">
        <v>4294</v>
      </c>
    </row>
    <row r="1300" spans="1:10" x14ac:dyDescent="0.35">
      <c r="A1300" s="403" t="str">
        <f>A1299</f>
        <v/>
      </c>
      <c r="B1300" t="str">
        <f>IF(LEN('Ch7'!H538)=0,"",'Ch7'!H538)</f>
        <v/>
      </c>
      <c r="C1300" t="str">
        <f t="shared" si="36"/>
        <v/>
      </c>
      <c r="D1300" s="126"/>
      <c r="E1300" s="103"/>
      <c r="F1300" s="103"/>
      <c r="G1300" s="706"/>
      <c r="J1300" s="814"/>
    </row>
    <row r="1301" spans="1:10" x14ac:dyDescent="0.35">
      <c r="A1301" s="403" t="str">
        <f>A1300</f>
        <v/>
      </c>
      <c r="B1301" t="str">
        <f>IF(LEN('Ch7'!H539)=0,"",'Ch7'!H539)</f>
        <v/>
      </c>
      <c r="C1301" t="str">
        <f t="shared" si="36"/>
        <v/>
      </c>
      <c r="D1301" s="126"/>
      <c r="E1301" s="103"/>
      <c r="F1301" s="103"/>
      <c r="G1301" s="706"/>
      <c r="J1301" s="814"/>
    </row>
    <row r="1302" spans="1:10" x14ac:dyDescent="0.35">
      <c r="B1302" t="str">
        <f>IF(LEN('Ch7'!H540)=0,"",'Ch7'!H540)</f>
        <v/>
      </c>
      <c r="C1302" t="str">
        <f t="shared" si="36"/>
        <v/>
      </c>
      <c r="D1302" s="126"/>
      <c r="E1302" s="473" t="s">
        <v>270</v>
      </c>
      <c r="F1302" s="103"/>
      <c r="G1302" s="707" t="s">
        <v>1237</v>
      </c>
      <c r="J1302" s="495"/>
    </row>
    <row r="1303" spans="1:10" x14ac:dyDescent="0.35">
      <c r="B1303" t="str">
        <f>IF(LEN('Ch7'!H541)=0,"",'Ch7'!H541)</f>
        <v/>
      </c>
      <c r="C1303" t="str">
        <f t="shared" si="36"/>
        <v/>
      </c>
      <c r="D1303" s="126"/>
      <c r="E1303" s="474"/>
      <c r="F1303" s="193"/>
      <c r="G1303" s="709"/>
      <c r="J1303" s="495"/>
    </row>
    <row r="1304" spans="1:10" x14ac:dyDescent="0.35">
      <c r="B1304" t="str">
        <f>IF(LEN('Ch7'!H542)=0,"",'Ch7'!H542)</f>
        <v/>
      </c>
      <c r="C1304" t="str">
        <f t="shared" si="36"/>
        <v/>
      </c>
      <c r="D1304" s="126"/>
      <c r="E1304" s="473" t="s">
        <v>272</v>
      </c>
      <c r="F1304" s="103"/>
      <c r="G1304" s="104" t="s">
        <v>1238</v>
      </c>
      <c r="J1304" s="495"/>
    </row>
    <row r="1305" spans="1:10" x14ac:dyDescent="0.35">
      <c r="B1305" t="str">
        <f>IF(LEN('Ch7'!H543)=0,"",'Ch7'!H543)</f>
        <v/>
      </c>
      <c r="C1305" t="str">
        <f t="shared" si="36"/>
        <v/>
      </c>
      <c r="D1305" s="126"/>
      <c r="E1305" s="473"/>
      <c r="F1305" s="103"/>
      <c r="G1305" s="714" t="s">
        <v>3868</v>
      </c>
      <c r="J1305" s="485"/>
    </row>
    <row r="1306" spans="1:10" x14ac:dyDescent="0.35">
      <c r="B1306" t="str">
        <f>IF(LEN('Ch7'!H544)=0,"",'Ch7'!H544)</f>
        <v/>
      </c>
      <c r="C1306" t="str">
        <f t="shared" si="36"/>
        <v/>
      </c>
      <c r="D1306" s="149"/>
      <c r="E1306" s="474"/>
      <c r="F1306" s="193"/>
      <c r="G1306" s="755"/>
      <c r="J1306" s="485"/>
    </row>
    <row r="1307" spans="1:10" x14ac:dyDescent="0.35">
      <c r="A1307" s="403" t="str">
        <f>IF(AND(LEN('Ch7'!W545)&gt;0,NOT('Ch7'!W545=FALSE)),"P","")</f>
        <v>P</v>
      </c>
      <c r="B1307" t="str">
        <f>IF(LEN('Ch7'!H545)=0,"",'Ch7'!H545)</f>
        <v/>
      </c>
      <c r="C1307" t="str">
        <f t="shared" si="36"/>
        <v>P</v>
      </c>
      <c r="D1307" s="444" t="s">
        <v>1239</v>
      </c>
      <c r="E1307" s="439"/>
      <c r="F1307" s="439"/>
      <c r="G1307" s="358" t="s">
        <v>1240</v>
      </c>
      <c r="H1307" s="49" t="str">
        <f>'Ch7'!W545</f>
        <v>(2)</v>
      </c>
      <c r="I1307" s="49">
        <f ca="1">'Ch7'!O545</f>
        <v>5</v>
      </c>
      <c r="J1307" s="503" t="s">
        <v>4343</v>
      </c>
    </row>
    <row r="1308" spans="1:10" x14ac:dyDescent="0.35">
      <c r="B1308" t="str">
        <f>IF(LEN('Ch7'!H546)=0,"",'Ch7'!H546)</f>
        <v/>
      </c>
      <c r="C1308" t="str">
        <f t="shared" si="36"/>
        <v/>
      </c>
      <c r="D1308" s="126"/>
      <c r="E1308" s="103"/>
      <c r="F1308" s="103"/>
      <c r="G1308" s="107" t="s">
        <v>1241</v>
      </c>
      <c r="J1308" s="485"/>
    </row>
    <row r="1309" spans="1:10" x14ac:dyDescent="0.35">
      <c r="B1309" t="str">
        <f>IF(LEN('Ch7'!H547)=0,"",'Ch7'!H547)</f>
        <v/>
      </c>
      <c r="C1309" t="str">
        <f t="shared" si="36"/>
        <v/>
      </c>
      <c r="D1309" s="126"/>
      <c r="E1309" s="103"/>
      <c r="F1309" s="103"/>
      <c r="G1309" s="107" t="s">
        <v>3775</v>
      </c>
      <c r="J1309" s="485"/>
    </row>
    <row r="1310" spans="1:10" x14ac:dyDescent="0.35">
      <c r="B1310" t="str">
        <f>IF(LEN('Ch7'!H548)=0,"",'Ch7'!H548)</f>
        <v/>
      </c>
      <c r="C1310" t="str">
        <f t="shared" si="36"/>
        <v/>
      </c>
      <c r="D1310" s="126"/>
      <c r="E1310" s="474" t="s">
        <v>270</v>
      </c>
      <c r="F1310" s="193"/>
      <c r="G1310" s="214" t="s">
        <v>3776</v>
      </c>
      <c r="J1310" s="485"/>
    </row>
    <row r="1311" spans="1:10" x14ac:dyDescent="0.35">
      <c r="B1311" t="str">
        <f>IF(LEN('Ch7'!H549)=0,"",'Ch7'!H549)</f>
        <v/>
      </c>
      <c r="C1311" t="str">
        <f t="shared" si="36"/>
        <v/>
      </c>
      <c r="D1311" s="126"/>
      <c r="E1311" s="473" t="s">
        <v>272</v>
      </c>
      <c r="F1311" s="103"/>
      <c r="G1311" s="707" t="s">
        <v>3777</v>
      </c>
      <c r="J1311" s="485"/>
    </row>
    <row r="1312" spans="1:10" x14ac:dyDescent="0.35">
      <c r="B1312" t="str">
        <f>IF(LEN('Ch7'!H550)=0,"",'Ch7'!H550)</f>
        <v/>
      </c>
      <c r="C1312" t="str">
        <f t="shared" si="36"/>
        <v/>
      </c>
      <c r="D1312" s="149"/>
      <c r="E1312" s="458"/>
      <c r="F1312" s="193"/>
      <c r="G1312" s="709"/>
      <c r="J1312" s="485"/>
    </row>
    <row r="1313" spans="1:10" x14ac:dyDescent="0.35">
      <c r="A1313" s="403" t="str">
        <f>IF(AND(LEN('Ch7'!W551)&gt;0,NOT('Ch7'!W551=FALSE)),"P","")</f>
        <v/>
      </c>
      <c r="B1313" t="str">
        <f>IF(LEN('Ch7'!H551)=0,"",'Ch7'!H551)</f>
        <v/>
      </c>
      <c r="C1313" t="str">
        <f t="shared" si="36"/>
        <v/>
      </c>
      <c r="D1313" s="444" t="s">
        <v>3774</v>
      </c>
      <c r="E1313" s="439"/>
      <c r="F1313" s="439"/>
      <c r="G1313" s="787" t="s">
        <v>3778</v>
      </c>
      <c r="H1313" s="49">
        <f>'Ch7'!W551</f>
        <v>0</v>
      </c>
      <c r="I1313" s="49">
        <f>'Ch7'!O551</f>
        <v>0</v>
      </c>
      <c r="J1313" s="804" t="s">
        <v>4177</v>
      </c>
    </row>
    <row r="1314" spans="1:10" x14ac:dyDescent="0.35">
      <c r="A1314" s="403" t="str">
        <f>A1313</f>
        <v/>
      </c>
      <c r="B1314" t="str">
        <f>IF(LEN('Ch7'!H552)=0,"",'Ch7'!H552)</f>
        <v/>
      </c>
      <c r="C1314" t="str">
        <f t="shared" si="36"/>
        <v/>
      </c>
      <c r="D1314" s="126"/>
      <c r="E1314" s="103"/>
      <c r="F1314" s="103"/>
      <c r="G1314" s="783"/>
      <c r="J1314" s="806"/>
    </row>
    <row r="1315" spans="1:10" x14ac:dyDescent="0.35">
      <c r="B1315" t="str">
        <f>IF(LEN('Ch7'!H553)=0,"",'Ch7'!H553)</f>
        <v/>
      </c>
      <c r="C1315" t="str">
        <f t="shared" si="36"/>
        <v/>
      </c>
      <c r="D1315" s="126"/>
      <c r="E1315" s="103"/>
      <c r="F1315" s="103"/>
      <c r="G1315" s="107" t="s">
        <v>1241</v>
      </c>
      <c r="J1315" s="485"/>
    </row>
    <row r="1316" spans="1:10" x14ac:dyDescent="0.35">
      <c r="B1316" t="str">
        <f>IF(LEN('Ch7'!H554)=0,"",'Ch7'!H554)</f>
        <v/>
      </c>
      <c r="C1316" t="str">
        <f t="shared" si="36"/>
        <v/>
      </c>
      <c r="D1316" s="126"/>
      <c r="E1316" s="103"/>
      <c r="F1316" s="473" t="s">
        <v>121</v>
      </c>
      <c r="G1316" s="104" t="s">
        <v>1242</v>
      </c>
      <c r="J1316" s="485"/>
    </row>
    <row r="1317" spans="1:10" x14ac:dyDescent="0.35">
      <c r="B1317" t="str">
        <f>IF(LEN('Ch7'!H555)=0,"",'Ch7'!H555)</f>
        <v/>
      </c>
      <c r="C1317" t="str">
        <f t="shared" si="36"/>
        <v/>
      </c>
      <c r="D1317" s="126"/>
      <c r="E1317" s="103"/>
      <c r="F1317" s="473" t="s">
        <v>122</v>
      </c>
      <c r="G1317" s="104" t="s">
        <v>1243</v>
      </c>
      <c r="J1317" s="485"/>
    </row>
    <row r="1318" spans="1:10" x14ac:dyDescent="0.35">
      <c r="B1318" t="str">
        <f>IF(LEN('Ch7'!H556)=0,"",'Ch7'!H556)</f>
        <v/>
      </c>
      <c r="C1318" t="str">
        <f t="shared" si="36"/>
        <v/>
      </c>
      <c r="D1318" s="126"/>
      <c r="E1318" s="103"/>
      <c r="F1318" s="476" t="s">
        <v>123</v>
      </c>
      <c r="G1318" s="104" t="s">
        <v>1244</v>
      </c>
      <c r="J1318" s="485"/>
    </row>
    <row r="1319" spans="1:10" x14ac:dyDescent="0.35">
      <c r="B1319" t="str">
        <f>IF(LEN('Ch7'!H557)=0,"",'Ch7'!H557)</f>
        <v/>
      </c>
      <c r="C1319" t="str">
        <f t="shared" si="36"/>
        <v/>
      </c>
      <c r="D1319" s="126"/>
      <c r="E1319" s="103"/>
      <c r="F1319" s="281" t="s">
        <v>420</v>
      </c>
      <c r="G1319" s="104" t="s">
        <v>1245</v>
      </c>
      <c r="J1319" s="485"/>
    </row>
    <row r="1320" spans="1:10" x14ac:dyDescent="0.35">
      <c r="B1320" t="str">
        <f>IF(LEN('Ch7'!H558)=0,"",'Ch7'!H558)</f>
        <v/>
      </c>
      <c r="C1320" t="str">
        <f t="shared" si="36"/>
        <v/>
      </c>
      <c r="D1320" s="126"/>
      <c r="E1320" s="103"/>
      <c r="F1320" s="281" t="s">
        <v>575</v>
      </c>
      <c r="G1320" s="104" t="s">
        <v>1246</v>
      </c>
      <c r="J1320" s="485"/>
    </row>
    <row r="1321" spans="1:10" x14ac:dyDescent="0.35">
      <c r="B1321" t="str">
        <f>IF(LEN('Ch7'!H559)=0,"",'Ch7'!H559)</f>
        <v/>
      </c>
      <c r="C1321" t="str">
        <f t="shared" si="36"/>
        <v/>
      </c>
      <c r="D1321" s="126"/>
      <c r="E1321" s="103"/>
      <c r="F1321" s="476" t="s">
        <v>642</v>
      </c>
      <c r="G1321" s="104" t="s">
        <v>1247</v>
      </c>
      <c r="J1321" s="485"/>
    </row>
    <row r="1322" spans="1:10" x14ac:dyDescent="0.35">
      <c r="B1322" t="str">
        <f>IF(LEN('Ch7'!H560)=0,"",'Ch7'!H560)</f>
        <v/>
      </c>
      <c r="C1322" t="str">
        <f t="shared" si="36"/>
        <v/>
      </c>
      <c r="D1322" s="126"/>
      <c r="E1322" s="103"/>
      <c r="F1322" s="281" t="s">
        <v>644</v>
      </c>
      <c r="G1322" s="723" t="s">
        <v>1248</v>
      </c>
      <c r="J1322" s="485"/>
    </row>
    <row r="1323" spans="1:10" x14ac:dyDescent="0.35">
      <c r="B1323" t="str">
        <f>IF(LEN('Ch7'!H561)=0,"",'Ch7'!H561)</f>
        <v/>
      </c>
      <c r="C1323" t="str">
        <f t="shared" si="36"/>
        <v/>
      </c>
      <c r="D1323" s="149"/>
      <c r="E1323" s="193"/>
      <c r="F1323" s="440"/>
      <c r="G1323" s="724"/>
      <c r="J1323" s="485"/>
    </row>
    <row r="1324" spans="1:10" x14ac:dyDescent="0.35">
      <c r="A1324" s="600" t="str">
        <f>IF(COUNTIF(A1325:A1327,"P")&gt;0,"P","")</f>
        <v/>
      </c>
      <c r="B1324" t="str">
        <f>IF(LEN('Ch7'!H562)=0,"",'Ch7'!H562)</f>
        <v/>
      </c>
      <c r="C1324" t="str">
        <f t="shared" si="36"/>
        <v/>
      </c>
      <c r="D1324" s="444" t="s">
        <v>1249</v>
      </c>
      <c r="E1324" s="439"/>
      <c r="F1324" s="439"/>
      <c r="G1324" s="483" t="s">
        <v>1250</v>
      </c>
      <c r="J1324" s="485"/>
    </row>
    <row r="1325" spans="1:10" x14ac:dyDescent="0.35">
      <c r="A1325" s="403" t="str">
        <f>IF(AND(LEN('Ch7'!W563)&gt;0,NOT('Ch7'!W563=FALSE)),"P","")</f>
        <v/>
      </c>
      <c r="B1325" t="str">
        <f>IF(LEN('Ch7'!H563)=0,"",'Ch7'!H563)</f>
        <v/>
      </c>
      <c r="C1325" t="str">
        <f t="shared" si="36"/>
        <v/>
      </c>
      <c r="D1325" s="33" t="s">
        <v>1251</v>
      </c>
      <c r="E1325" s="103"/>
      <c r="F1325" s="103"/>
      <c r="G1325" s="781" t="s">
        <v>1252</v>
      </c>
      <c r="H1325" s="49">
        <f>'Ch7'!W563</f>
        <v>0</v>
      </c>
      <c r="I1325" s="49">
        <f ca="1">'Ch7'!O563</f>
        <v>0</v>
      </c>
      <c r="J1325" s="821" t="s">
        <v>4177</v>
      </c>
    </row>
    <row r="1326" spans="1:10" x14ac:dyDescent="0.35">
      <c r="A1326" s="403" t="str">
        <f>A1325</f>
        <v/>
      </c>
      <c r="B1326" t="str">
        <f>IF(LEN('Ch7'!H564)=0,"",'Ch7'!H564)</f>
        <v/>
      </c>
      <c r="C1326" t="str">
        <f t="shared" si="36"/>
        <v/>
      </c>
      <c r="D1326" s="442"/>
      <c r="E1326" s="193"/>
      <c r="F1326" s="193"/>
      <c r="G1326" s="782"/>
      <c r="J1326" s="821"/>
    </row>
    <row r="1327" spans="1:10" x14ac:dyDescent="0.35">
      <c r="A1327" s="403" t="str">
        <f>IF(AND(LEN('Ch7'!W565)&gt;0,NOT('Ch7'!W565=FALSE)),"P","")</f>
        <v/>
      </c>
      <c r="B1327" t="str">
        <f>IF(LEN('Ch7'!H565)=0,"",'Ch7'!H565)</f>
        <v/>
      </c>
      <c r="C1327" t="str">
        <f t="shared" si="36"/>
        <v/>
      </c>
      <c r="D1327" s="33" t="s">
        <v>1253</v>
      </c>
      <c r="E1327" s="103"/>
      <c r="F1327" s="103"/>
      <c r="G1327" s="780" t="s">
        <v>1254</v>
      </c>
      <c r="H1327" s="49">
        <f>'Ch7'!W565</f>
        <v>0</v>
      </c>
      <c r="I1327" s="49">
        <f ca="1">'Ch7'!O565</f>
        <v>0</v>
      </c>
      <c r="J1327" s="814" t="s">
        <v>4177</v>
      </c>
    </row>
    <row r="1328" spans="1:10" ht="15" thickBot="1" x14ac:dyDescent="0.4">
      <c r="A1328" s="403" t="str">
        <f>A1327</f>
        <v/>
      </c>
      <c r="B1328" t="str">
        <f>IF(LEN('Ch7'!H566)=0,"",'Ch7'!H566)</f>
        <v/>
      </c>
      <c r="C1328" t="str">
        <f t="shared" si="36"/>
        <v/>
      </c>
      <c r="D1328" s="448"/>
      <c r="E1328" s="438"/>
      <c r="F1328" s="438"/>
      <c r="G1328" s="784"/>
      <c r="J1328" s="814"/>
    </row>
    <row r="1329" spans="1:10" x14ac:dyDescent="0.35">
      <c r="A1329" s="403" t="str">
        <f>IF(AND(LEN('Ch7'!W567)&gt;0,NOT('Ch7'!W567=FALSE)),"P","")</f>
        <v/>
      </c>
      <c r="B1329" t="str">
        <f>IF(LEN('Ch7'!H567)=0,"",'Ch7'!H567)</f>
        <v/>
      </c>
      <c r="C1329" t="str">
        <f t="shared" si="36"/>
        <v/>
      </c>
      <c r="D1329" s="33">
        <v>705.7</v>
      </c>
      <c r="E1329" s="103"/>
      <c r="F1329" s="103"/>
      <c r="G1329" s="780" t="s">
        <v>1255</v>
      </c>
      <c r="H1329" s="49">
        <f>'Ch7'!W567</f>
        <v>0</v>
      </c>
      <c r="I1329" s="49">
        <f ca="1">'Ch7'!O567</f>
        <v>0</v>
      </c>
      <c r="J1329" s="813" t="s">
        <v>4177</v>
      </c>
    </row>
    <row r="1330" spans="1:10" x14ac:dyDescent="0.35">
      <c r="A1330" s="403" t="str">
        <f>A1329</f>
        <v/>
      </c>
      <c r="B1330" t="str">
        <f>IF(LEN('Ch7'!H568)=0,"",'Ch7'!H568)</f>
        <v/>
      </c>
      <c r="C1330" t="str">
        <f t="shared" si="36"/>
        <v/>
      </c>
      <c r="D1330" s="126"/>
      <c r="E1330" s="103"/>
      <c r="F1330" s="103"/>
      <c r="G1330" s="780"/>
      <c r="J1330" s="813"/>
    </row>
    <row r="1331" spans="1:10" x14ac:dyDescent="0.35">
      <c r="A1331" s="403" t="str">
        <f>A1330</f>
        <v/>
      </c>
      <c r="B1331" t="str">
        <f>IF(LEN('Ch7'!H569)=0,"",'Ch7'!H569)</f>
        <v/>
      </c>
      <c r="C1331" t="str">
        <f t="shared" si="36"/>
        <v/>
      </c>
      <c r="D1331" s="126"/>
      <c r="E1331" s="103"/>
      <c r="F1331" s="103"/>
      <c r="G1331" s="780"/>
      <c r="J1331" s="813"/>
    </row>
    <row r="1332" spans="1:10" x14ac:dyDescent="0.35">
      <c r="A1332" s="403" t="str">
        <f>A1331</f>
        <v/>
      </c>
      <c r="B1332" t="str">
        <f>IF(LEN('Ch7'!H570)=0,"",'Ch7'!H570)</f>
        <v/>
      </c>
      <c r="C1332" t="str">
        <f t="shared" si="36"/>
        <v/>
      </c>
      <c r="D1332" s="126"/>
      <c r="E1332" s="103"/>
      <c r="F1332" s="103"/>
      <c r="G1332" s="780"/>
      <c r="J1332" s="813"/>
    </row>
    <row r="1333" spans="1:10" ht="18.5" x14ac:dyDescent="0.35">
      <c r="A1333" s="403" t="s">
        <v>4326</v>
      </c>
      <c r="B1333" t="str">
        <f>IF(LEN('Ch7'!H571)=0,"",'Ch7'!H571)</f>
        <v/>
      </c>
      <c r="C1333" t="str">
        <f t="shared" si="36"/>
        <v>P</v>
      </c>
      <c r="D1333" s="38" t="s">
        <v>1256</v>
      </c>
      <c r="E1333" s="173"/>
      <c r="F1333" s="173"/>
      <c r="G1333" s="47"/>
      <c r="J1333" s="494"/>
    </row>
    <row r="1334" spans="1:10" x14ac:dyDescent="0.35">
      <c r="A1334" s="403" t="str">
        <f>IF('Ch7'!O572&gt;0,"P","")</f>
        <v/>
      </c>
      <c r="B1334" t="str">
        <f>IF(LEN('Ch7'!H572)=0,"",'Ch7'!H572)</f>
        <v/>
      </c>
      <c r="C1334" t="str">
        <f t="shared" si="36"/>
        <v/>
      </c>
      <c r="D1334" s="33">
        <v>706.1</v>
      </c>
      <c r="E1334" s="103"/>
      <c r="F1334" s="103"/>
      <c r="G1334" s="706" t="s">
        <v>1257</v>
      </c>
      <c r="I1334" s="49">
        <f>'Ch7'!O572</f>
        <v>0</v>
      </c>
      <c r="J1334" s="814" t="s">
        <v>4233</v>
      </c>
    </row>
    <row r="1335" spans="1:10" x14ac:dyDescent="0.35">
      <c r="A1335" s="403" t="str">
        <f>A1334</f>
        <v/>
      </c>
      <c r="B1335" t="str">
        <f>IF(LEN('Ch7'!H573)=0,"",'Ch7'!H573)</f>
        <v/>
      </c>
      <c r="C1335" t="str">
        <f t="shared" si="36"/>
        <v/>
      </c>
      <c r="D1335" s="126"/>
      <c r="E1335" s="103"/>
      <c r="F1335" s="103"/>
      <c r="G1335" s="706"/>
      <c r="J1335" s="814"/>
    </row>
    <row r="1336" spans="1:10" x14ac:dyDescent="0.35">
      <c r="B1336" t="str">
        <f>IF(LEN('Ch7'!H574)=0,"",'Ch7'!H574)</f>
        <v/>
      </c>
      <c r="C1336" t="str">
        <f t="shared" si="36"/>
        <v/>
      </c>
      <c r="D1336" s="126"/>
      <c r="E1336" s="474" t="s">
        <v>270</v>
      </c>
      <c r="F1336" s="193"/>
      <c r="G1336" s="214" t="s">
        <v>1258</v>
      </c>
      <c r="H1336" s="49">
        <f>'Ch7'!W574</f>
        <v>0</v>
      </c>
      <c r="J1336" s="490"/>
    </row>
    <row r="1337" spans="1:10" x14ac:dyDescent="0.35">
      <c r="B1337" t="str">
        <f>IF(LEN('Ch7'!H575)=0,"",'Ch7'!H575)</f>
        <v/>
      </c>
      <c r="C1337" t="str">
        <f t="shared" si="36"/>
        <v/>
      </c>
      <c r="D1337" s="126"/>
      <c r="E1337" s="479" t="s">
        <v>272</v>
      </c>
      <c r="F1337" s="219"/>
      <c r="G1337" s="220" t="s">
        <v>1259</v>
      </c>
      <c r="H1337" s="49">
        <f>'Ch7'!W575</f>
        <v>0</v>
      </c>
      <c r="J1337" s="495"/>
    </row>
    <row r="1338" spans="1:10" x14ac:dyDescent="0.35">
      <c r="B1338" t="str">
        <f>IF(LEN('Ch7'!H576)=0,"",'Ch7'!H576)</f>
        <v/>
      </c>
      <c r="C1338" t="str">
        <f t="shared" si="36"/>
        <v/>
      </c>
      <c r="D1338" s="126"/>
      <c r="E1338" s="479" t="s">
        <v>274</v>
      </c>
      <c r="F1338" s="219"/>
      <c r="G1338" s="220" t="s">
        <v>1260</v>
      </c>
      <c r="H1338" s="49">
        <f>'Ch7'!W576</f>
        <v>0</v>
      </c>
      <c r="J1338" s="495"/>
    </row>
    <row r="1339" spans="1:10" x14ac:dyDescent="0.35">
      <c r="B1339" t="str">
        <f>IF(LEN('Ch7'!H577)=0,"",'Ch7'!H577)</f>
        <v/>
      </c>
      <c r="C1339" t="str">
        <f t="shared" si="36"/>
        <v/>
      </c>
      <c r="D1339" s="126"/>
      <c r="E1339" s="478" t="s">
        <v>283</v>
      </c>
      <c r="F1339" s="439"/>
      <c r="G1339" s="757" t="s">
        <v>1261</v>
      </c>
      <c r="H1339" s="49">
        <f>'Ch7'!W577</f>
        <v>0</v>
      </c>
      <c r="J1339" s="495"/>
    </row>
    <row r="1340" spans="1:10" x14ac:dyDescent="0.35">
      <c r="B1340" t="str">
        <f>IF(LEN('Ch7'!H578)=0,"",'Ch7'!H578)</f>
        <v/>
      </c>
      <c r="C1340" t="str">
        <f t="shared" si="36"/>
        <v/>
      </c>
      <c r="D1340" s="126"/>
      <c r="E1340" s="474"/>
      <c r="F1340" s="193"/>
      <c r="G1340" s="724"/>
      <c r="J1340" s="495"/>
    </row>
    <row r="1341" spans="1:10" ht="15" thickBot="1" x14ac:dyDescent="0.4">
      <c r="B1341" t="str">
        <f>IF(LEN('Ch7'!H579)=0,"",'Ch7'!H579)</f>
        <v/>
      </c>
      <c r="C1341" t="str">
        <f t="shared" si="36"/>
        <v/>
      </c>
      <c r="D1341" s="448"/>
      <c r="E1341" s="481" t="s">
        <v>289</v>
      </c>
      <c r="F1341" s="438"/>
      <c r="G1341" s="223" t="s">
        <v>1262</v>
      </c>
      <c r="H1341" s="49">
        <f>'Ch7'!W579</f>
        <v>0</v>
      </c>
      <c r="J1341" s="495"/>
    </row>
    <row r="1342" spans="1:10" ht="15" thickTop="1" x14ac:dyDescent="0.35">
      <c r="A1342" s="600" t="str">
        <f>IF(COUNTIF(A1344:A1347,"P")&gt;0,"P","")</f>
        <v/>
      </c>
      <c r="B1342" t="str">
        <f>IF(LEN('Ch7'!H580)=0,"",'Ch7'!H580)</f>
        <v/>
      </c>
      <c r="C1342" t="str">
        <f t="shared" si="36"/>
        <v/>
      </c>
      <c r="D1342" s="63">
        <v>706.2</v>
      </c>
      <c r="E1342" s="475"/>
      <c r="F1342" s="475"/>
      <c r="G1342" s="792" t="s">
        <v>1263</v>
      </c>
      <c r="J1342" s="485"/>
    </row>
    <row r="1343" spans="1:10" x14ac:dyDescent="0.35">
      <c r="A1343" s="403" t="str">
        <f>A1342</f>
        <v/>
      </c>
      <c r="B1343" t="str">
        <f>IF(LEN('Ch7'!H581)=0,"",'Ch7'!H581)</f>
        <v/>
      </c>
      <c r="C1343" t="str">
        <f t="shared" si="36"/>
        <v/>
      </c>
      <c r="D1343" s="33"/>
      <c r="E1343" s="103"/>
      <c r="F1343" s="103"/>
      <c r="G1343" s="783"/>
      <c r="J1343" s="485"/>
    </row>
    <row r="1344" spans="1:10" ht="15" customHeight="1" x14ac:dyDescent="0.35">
      <c r="A1344" s="403" t="str">
        <f>IF(AND(LEN('Ch7'!W582)&gt;0,NOT('Ch7'!W582=FALSE)),"P","")</f>
        <v/>
      </c>
      <c r="B1344" t="str">
        <f>IF(LEN('Ch7'!H582)=0,"",'Ch7'!H582)</f>
        <v/>
      </c>
      <c r="C1344" t="str">
        <f t="shared" si="36"/>
        <v/>
      </c>
      <c r="D1344" s="126"/>
      <c r="E1344" s="473" t="s">
        <v>270</v>
      </c>
      <c r="F1344" s="103"/>
      <c r="G1344" s="707" t="s">
        <v>1264</v>
      </c>
      <c r="H1344" s="49">
        <f>'Ch7'!W582</f>
        <v>0</v>
      </c>
      <c r="I1344" s="49">
        <f>'Ch7'!O582</f>
        <v>0</v>
      </c>
      <c r="J1344" s="814" t="s">
        <v>4234</v>
      </c>
    </row>
    <row r="1345" spans="1:10" x14ac:dyDescent="0.35">
      <c r="A1345" s="403" t="str">
        <f>A1344</f>
        <v/>
      </c>
      <c r="B1345" t="str">
        <f>IF(LEN('Ch7'!H583)=0,"",'Ch7'!H583)</f>
        <v/>
      </c>
      <c r="C1345" t="str">
        <f t="shared" si="36"/>
        <v/>
      </c>
      <c r="D1345" s="126"/>
      <c r="E1345" s="103"/>
      <c r="F1345" s="103"/>
      <c r="G1345" s="707"/>
      <c r="J1345" s="814"/>
    </row>
    <row r="1346" spans="1:10" x14ac:dyDescent="0.35">
      <c r="A1346" s="403" t="str">
        <f>A1345</f>
        <v/>
      </c>
      <c r="B1346" t="str">
        <f>IF(LEN('Ch7'!H584)=0,"",'Ch7'!H584)</f>
        <v/>
      </c>
      <c r="C1346" t="str">
        <f t="shared" si="36"/>
        <v/>
      </c>
      <c r="D1346" s="126"/>
      <c r="E1346" s="193"/>
      <c r="F1346" s="193"/>
      <c r="G1346" s="709"/>
      <c r="J1346" s="814"/>
    </row>
    <row r="1347" spans="1:10" ht="15" customHeight="1" x14ac:dyDescent="0.35">
      <c r="A1347" s="403" t="str">
        <f>IF(AND(LEN('Ch7'!W585)&gt;0,NOT('Ch7'!W585=FALSE)),"P","")</f>
        <v/>
      </c>
      <c r="B1347" t="str">
        <f>IF(LEN('Ch7'!H585)=0,"",'Ch7'!H585)</f>
        <v/>
      </c>
      <c r="C1347" t="str">
        <f t="shared" si="36"/>
        <v/>
      </c>
      <c r="D1347" s="126"/>
      <c r="E1347" s="473" t="s">
        <v>272</v>
      </c>
      <c r="F1347" s="103"/>
      <c r="G1347" s="707" t="s">
        <v>1265</v>
      </c>
      <c r="H1347" s="49">
        <f>'Ch7'!W585</f>
        <v>0</v>
      </c>
      <c r="I1347" s="49">
        <f ca="1">'Ch7'!O585</f>
        <v>0</v>
      </c>
      <c r="J1347" s="814" t="s">
        <v>4235</v>
      </c>
    </row>
    <row r="1348" spans="1:10" x14ac:dyDescent="0.35">
      <c r="A1348" s="403" t="str">
        <f>A1347</f>
        <v/>
      </c>
      <c r="B1348" t="str">
        <f>IF(LEN('Ch7'!H586)=0,"",'Ch7'!H586)</f>
        <v/>
      </c>
      <c r="C1348" t="str">
        <f t="shared" si="36"/>
        <v/>
      </c>
      <c r="D1348" s="126"/>
      <c r="E1348" s="103"/>
      <c r="F1348" s="103"/>
      <c r="G1348" s="707"/>
      <c r="J1348" s="814"/>
    </row>
    <row r="1349" spans="1:10" x14ac:dyDescent="0.35">
      <c r="A1349" s="403" t="str">
        <f>A1348</f>
        <v/>
      </c>
      <c r="B1349" t="str">
        <f>IF(LEN('Ch7'!H587)=0,"",'Ch7'!H587)</f>
        <v/>
      </c>
      <c r="C1349" t="str">
        <f t="shared" si="36"/>
        <v/>
      </c>
      <c r="D1349" s="126"/>
      <c r="E1349" s="103"/>
      <c r="F1349" s="103"/>
      <c r="G1349" s="707"/>
      <c r="J1349" s="814"/>
    </row>
    <row r="1350" spans="1:10" x14ac:dyDescent="0.35">
      <c r="B1350" t="str">
        <f>IF(LEN('Ch7'!H588)=0,"",'Ch7'!H588)</f>
        <v/>
      </c>
      <c r="C1350" t="str">
        <f t="shared" si="36"/>
        <v/>
      </c>
      <c r="D1350" s="126"/>
      <c r="E1350" s="103"/>
      <c r="F1350" s="473" t="s">
        <v>121</v>
      </c>
      <c r="G1350" s="707" t="s">
        <v>1266</v>
      </c>
      <c r="J1350" s="495"/>
    </row>
    <row r="1351" spans="1:10" x14ac:dyDescent="0.35">
      <c r="B1351" t="str">
        <f>IF(LEN('Ch7'!H589)=0,"",'Ch7'!H589)</f>
        <v/>
      </c>
      <c r="C1351" t="str">
        <f t="shared" si="36"/>
        <v/>
      </c>
      <c r="D1351" s="126"/>
      <c r="E1351" s="103"/>
      <c r="F1351" s="474"/>
      <c r="G1351" s="709"/>
      <c r="J1351" s="495"/>
    </row>
    <row r="1352" spans="1:10" x14ac:dyDescent="0.35">
      <c r="B1352" t="str">
        <f>IF(LEN('Ch7'!H590)=0,"",'Ch7'!H590)</f>
        <v/>
      </c>
      <c r="C1352" t="str">
        <f t="shared" si="36"/>
        <v/>
      </c>
      <c r="D1352" s="126"/>
      <c r="E1352" s="103"/>
      <c r="F1352" s="473" t="s">
        <v>122</v>
      </c>
      <c r="G1352" s="707" t="s">
        <v>1267</v>
      </c>
      <c r="J1352" s="495"/>
    </row>
    <row r="1353" spans="1:10" ht="15" thickBot="1" x14ac:dyDescent="0.4">
      <c r="B1353" t="str">
        <f>IF(LEN('Ch7'!H591)=0,"",'Ch7'!H591)</f>
        <v/>
      </c>
      <c r="C1353" t="str">
        <f t="shared" si="36"/>
        <v/>
      </c>
      <c r="D1353" s="448"/>
      <c r="E1353" s="438"/>
      <c r="F1353" s="438"/>
      <c r="G1353" s="708"/>
      <c r="J1353" s="495"/>
    </row>
    <row r="1354" spans="1:10" ht="15" thickTop="1" x14ac:dyDescent="0.35">
      <c r="A1354" s="403" t="str">
        <f>IF('Ch7'!O592&gt;0,"P","")</f>
        <v/>
      </c>
      <c r="B1354" t="str">
        <f>IF(LEN('Ch7'!H592)=0,"",'Ch7'!H592)</f>
        <v/>
      </c>
      <c r="C1354" t="str">
        <f t="shared" si="36"/>
        <v/>
      </c>
      <c r="D1354" s="63">
        <v>706.3</v>
      </c>
      <c r="E1354" s="475"/>
      <c r="F1354" s="475"/>
      <c r="G1354" s="792" t="s">
        <v>1268</v>
      </c>
      <c r="I1354" s="49">
        <f>'Ch7'!O592</f>
        <v>0</v>
      </c>
      <c r="J1354" s="814" t="s">
        <v>4236</v>
      </c>
    </row>
    <row r="1355" spans="1:10" x14ac:dyDescent="0.35">
      <c r="A1355" s="403" t="str">
        <f>A1354</f>
        <v/>
      </c>
      <c r="B1355" t="str">
        <f>IF(LEN('Ch7'!H593)=0,"",'Ch7'!H593)</f>
        <v/>
      </c>
      <c r="C1355" t="str">
        <f t="shared" si="36"/>
        <v/>
      </c>
      <c r="D1355" s="33"/>
      <c r="E1355" s="103"/>
      <c r="F1355" s="103"/>
      <c r="G1355" s="783"/>
      <c r="J1355" s="814"/>
    </row>
    <row r="1356" spans="1:10" x14ac:dyDescent="0.35">
      <c r="B1356" t="str">
        <f>IF(LEN('Ch7'!H594)=0,"",'Ch7'!H594)</f>
        <v/>
      </c>
      <c r="C1356" t="str">
        <f t="shared" si="36"/>
        <v/>
      </c>
      <c r="D1356" s="126"/>
      <c r="E1356" s="103"/>
      <c r="F1356" s="103"/>
      <c r="G1356" s="181" t="s">
        <v>1269</v>
      </c>
      <c r="J1356" s="495"/>
    </row>
    <row r="1357" spans="1:10" x14ac:dyDescent="0.35">
      <c r="B1357" t="str">
        <f>IF(LEN('Ch7'!H595)=0,"",'Ch7'!H595)</f>
        <v/>
      </c>
      <c r="C1357" t="str">
        <f t="shared" si="36"/>
        <v/>
      </c>
      <c r="D1357" s="126"/>
      <c r="E1357" s="103"/>
      <c r="F1357" s="103"/>
      <c r="G1357" s="181" t="s">
        <v>1270</v>
      </c>
      <c r="J1357" s="495"/>
    </row>
    <row r="1358" spans="1:10" x14ac:dyDescent="0.35">
      <c r="B1358" t="str">
        <f>IF(LEN('Ch7'!H596)=0,"",'Ch7'!H596)</f>
        <v/>
      </c>
      <c r="C1358" t="str">
        <f t="shared" si="36"/>
        <v/>
      </c>
      <c r="D1358" s="126"/>
      <c r="F1358" s="281"/>
      <c r="G1358" s="752" t="s">
        <v>1271</v>
      </c>
      <c r="J1358" s="495"/>
    </row>
    <row r="1359" spans="1:10" x14ac:dyDescent="0.35">
      <c r="B1359" t="str">
        <f>IF(LEN('Ch7'!H597)=0,"",'Ch7'!H597)</f>
        <v/>
      </c>
      <c r="C1359" t="str">
        <f t="shared" si="36"/>
        <v/>
      </c>
      <c r="D1359" s="126"/>
      <c r="F1359" s="281"/>
      <c r="G1359" s="752"/>
      <c r="J1359" s="495"/>
    </row>
    <row r="1360" spans="1:10" x14ac:dyDescent="0.35">
      <c r="B1360" t="str">
        <f>IF(LEN('Ch7'!H598)=0,"",'Ch7'!H598)</f>
        <v/>
      </c>
      <c r="C1360" t="str">
        <f t="shared" si="36"/>
        <v/>
      </c>
      <c r="D1360" s="126"/>
      <c r="E1360" s="103"/>
      <c r="G1360" s="752" t="s">
        <v>1272</v>
      </c>
      <c r="J1360" s="495"/>
    </row>
    <row r="1361" spans="1:10" x14ac:dyDescent="0.35">
      <c r="B1361" t="str">
        <f>IF(LEN('Ch7'!H599)=0,"",'Ch7'!H599)</f>
        <v/>
      </c>
      <c r="C1361" t="str">
        <f t="shared" ref="C1361:C1424" si="37">IF(LEN(B1361)=0,IF(A1361="P","P",""),B1361)</f>
        <v/>
      </c>
      <c r="D1361" s="126"/>
      <c r="E1361" s="103"/>
      <c r="G1361" s="752"/>
      <c r="J1361" s="495"/>
    </row>
    <row r="1362" spans="1:10" x14ac:dyDescent="0.35">
      <c r="B1362" t="str">
        <f>IF(LEN('Ch7'!H600)=0,"",'Ch7'!H600)</f>
        <v/>
      </c>
      <c r="C1362" t="str">
        <f t="shared" si="37"/>
        <v/>
      </c>
      <c r="D1362" s="126"/>
      <c r="E1362" s="474" t="s">
        <v>270</v>
      </c>
      <c r="F1362" s="193"/>
      <c r="G1362" s="214" t="s">
        <v>1135</v>
      </c>
      <c r="H1362" s="49">
        <f>'Ch7'!W600</f>
        <v>0</v>
      </c>
      <c r="J1362" s="490"/>
    </row>
    <row r="1363" spans="1:10" x14ac:dyDescent="0.35">
      <c r="B1363" t="str">
        <f>IF(LEN('Ch7'!H601)=0,"",'Ch7'!H601)</f>
        <v/>
      </c>
      <c r="C1363" t="str">
        <f t="shared" si="37"/>
        <v/>
      </c>
      <c r="D1363" s="126"/>
      <c r="E1363" s="479" t="s">
        <v>272</v>
      </c>
      <c r="F1363" s="219"/>
      <c r="G1363" s="220" t="s">
        <v>1273</v>
      </c>
      <c r="H1363" s="49">
        <f>'Ch7'!W601</f>
        <v>0</v>
      </c>
      <c r="J1363" s="490"/>
    </row>
    <row r="1364" spans="1:10" x14ac:dyDescent="0.35">
      <c r="B1364" t="str">
        <f>IF(LEN('Ch7'!H602)=0,"",'Ch7'!H602)</f>
        <v/>
      </c>
      <c r="C1364" t="str">
        <f t="shared" si="37"/>
        <v/>
      </c>
      <c r="D1364" s="126"/>
      <c r="E1364" s="479" t="s">
        <v>274</v>
      </c>
      <c r="F1364" s="219"/>
      <c r="G1364" s="220" t="s">
        <v>1136</v>
      </c>
      <c r="H1364" s="49">
        <f>'Ch7'!W602</f>
        <v>0</v>
      </c>
      <c r="J1364" s="490"/>
    </row>
    <row r="1365" spans="1:10" x14ac:dyDescent="0.35">
      <c r="B1365" t="str">
        <f>IF(LEN('Ch7'!H603)=0,"",'Ch7'!H603)</f>
        <v/>
      </c>
      <c r="C1365" t="str">
        <f t="shared" si="37"/>
        <v/>
      </c>
      <c r="D1365" s="126"/>
      <c r="E1365" s="479" t="s">
        <v>283</v>
      </c>
      <c r="F1365" s="219"/>
      <c r="G1365" s="220" t="s">
        <v>1274</v>
      </c>
      <c r="H1365" s="49">
        <f>'Ch7'!W603</f>
        <v>0</v>
      </c>
      <c r="J1365" s="490"/>
    </row>
    <row r="1366" spans="1:10" x14ac:dyDescent="0.35">
      <c r="B1366" t="str">
        <f>IF(LEN('Ch7'!H604)=0,"",'Ch7'!H604)</f>
        <v/>
      </c>
      <c r="C1366" t="str">
        <f t="shared" si="37"/>
        <v/>
      </c>
      <c r="D1366" s="126"/>
      <c r="E1366" s="479" t="s">
        <v>289</v>
      </c>
      <c r="F1366" s="219"/>
      <c r="G1366" s="220" t="s">
        <v>1275</v>
      </c>
      <c r="H1366" s="49">
        <f>'Ch7'!W604</f>
        <v>0</v>
      </c>
      <c r="J1366" s="490"/>
    </row>
    <row r="1367" spans="1:10" x14ac:dyDescent="0.35">
      <c r="B1367" t="str">
        <f>IF(LEN('Ch7'!H605)=0,"",'Ch7'!H605)</f>
        <v/>
      </c>
      <c r="C1367" t="str">
        <f t="shared" si="37"/>
        <v/>
      </c>
      <c r="D1367" s="126"/>
      <c r="E1367" s="479" t="s">
        <v>291</v>
      </c>
      <c r="F1367" s="219"/>
      <c r="G1367" s="220" t="s">
        <v>1276</v>
      </c>
      <c r="H1367" s="49">
        <f>'Ch7'!W605</f>
        <v>0</v>
      </c>
      <c r="J1367" s="490"/>
    </row>
    <row r="1368" spans="1:10" x14ac:dyDescent="0.35">
      <c r="B1368" t="str">
        <f>IF(LEN('Ch7'!H606)=0,"",'Ch7'!H606)</f>
        <v/>
      </c>
      <c r="C1368" t="str">
        <f t="shared" si="37"/>
        <v/>
      </c>
      <c r="D1368" s="126"/>
      <c r="E1368" s="479" t="s">
        <v>403</v>
      </c>
      <c r="F1368" s="219"/>
      <c r="G1368" s="220" t="s">
        <v>1277</v>
      </c>
      <c r="H1368" s="49" t="b">
        <f>'Ch7'!W606</f>
        <v>1</v>
      </c>
      <c r="J1368" s="490"/>
    </row>
    <row r="1369" spans="1:10" ht="15" thickBot="1" x14ac:dyDescent="0.4">
      <c r="B1369" t="str">
        <f>IF(LEN('Ch7'!H607)=0,"",'Ch7'!H607)</f>
        <v/>
      </c>
      <c r="C1369" t="str">
        <f t="shared" si="37"/>
        <v/>
      </c>
      <c r="D1369" s="448"/>
      <c r="E1369" s="481" t="s">
        <v>453</v>
      </c>
      <c r="F1369" s="438"/>
      <c r="G1369" s="223" t="s">
        <v>1278</v>
      </c>
      <c r="H1369" s="49">
        <f>'Ch7'!W607</f>
        <v>0</v>
      </c>
      <c r="J1369" s="490"/>
    </row>
    <row r="1370" spans="1:10" ht="15" thickTop="1" x14ac:dyDescent="0.35">
      <c r="A1370" s="600" t="str">
        <f>IF(COUNTIF(A1371:A1376,"P")&gt;0,"P","")</f>
        <v/>
      </c>
      <c r="B1370" t="str">
        <f>IF(LEN('Ch7'!H608)=0,"",'Ch7'!H608)</f>
        <v/>
      </c>
      <c r="C1370" t="str">
        <f t="shared" si="37"/>
        <v/>
      </c>
      <c r="D1370" s="63">
        <v>706.4</v>
      </c>
      <c r="E1370" s="475"/>
      <c r="F1370" s="475"/>
      <c r="G1370" s="222" t="s">
        <v>1279</v>
      </c>
      <c r="J1370" s="485"/>
    </row>
    <row r="1371" spans="1:10" x14ac:dyDescent="0.35">
      <c r="A1371" s="403" t="str">
        <f>IF(SUM(I1372:I1374)&gt;0,"P","")</f>
        <v/>
      </c>
      <c r="B1371" t="str">
        <f>IF(LEN('Ch7'!H609)=0,"",'Ch7'!H609)</f>
        <v/>
      </c>
      <c r="C1371" t="str">
        <f t="shared" si="37"/>
        <v/>
      </c>
      <c r="D1371" s="33" t="s">
        <v>1280</v>
      </c>
      <c r="E1371" s="103"/>
      <c r="F1371" s="103"/>
      <c r="G1371" s="110" t="s">
        <v>1281</v>
      </c>
      <c r="J1371" s="495" t="s">
        <v>4224</v>
      </c>
    </row>
    <row r="1372" spans="1:10" x14ac:dyDescent="0.35">
      <c r="B1372" t="str">
        <f>IF(LEN('Ch7'!H610)=0,"",'Ch7'!H610)</f>
        <v/>
      </c>
      <c r="C1372" t="str">
        <f t="shared" si="37"/>
        <v/>
      </c>
      <c r="D1372" s="126"/>
      <c r="E1372" s="473" t="s">
        <v>270</v>
      </c>
      <c r="F1372" s="103"/>
      <c r="G1372" s="707" t="s">
        <v>1282</v>
      </c>
      <c r="H1372" s="49">
        <f>'Ch7'!W610</f>
        <v>0</v>
      </c>
      <c r="I1372" s="49">
        <f>'Ch7'!O610</f>
        <v>0</v>
      </c>
      <c r="J1372" s="490"/>
    </row>
    <row r="1373" spans="1:10" x14ac:dyDescent="0.35">
      <c r="B1373" t="str">
        <f>IF(LEN('Ch7'!H611)=0,"",'Ch7'!H611)</f>
        <v/>
      </c>
      <c r="C1373" t="str">
        <f t="shared" si="37"/>
        <v/>
      </c>
      <c r="D1373" s="126"/>
      <c r="E1373" s="474"/>
      <c r="F1373" s="193"/>
      <c r="G1373" s="709"/>
      <c r="J1373" s="495"/>
    </row>
    <row r="1374" spans="1:10" x14ac:dyDescent="0.35">
      <c r="B1374" t="str">
        <f>IF(LEN('Ch7'!H612)=0,"",'Ch7'!H612)</f>
        <v/>
      </c>
      <c r="C1374" t="str">
        <f t="shared" si="37"/>
        <v/>
      </c>
      <c r="D1374" s="126"/>
      <c r="E1374" s="473" t="s">
        <v>272</v>
      </c>
      <c r="F1374" s="103"/>
      <c r="G1374" s="707" t="s">
        <v>1283</v>
      </c>
      <c r="H1374" s="49">
        <f>'Ch7'!W612</f>
        <v>0</v>
      </c>
      <c r="I1374" s="49">
        <f>'Ch7'!O612</f>
        <v>0</v>
      </c>
      <c r="J1374" s="495"/>
    </row>
    <row r="1375" spans="1:10" x14ac:dyDescent="0.35">
      <c r="B1375" t="str">
        <f>IF(LEN('Ch7'!H613)=0,"",'Ch7'!H613)</f>
        <v/>
      </c>
      <c r="C1375" t="str">
        <f t="shared" si="37"/>
        <v/>
      </c>
      <c r="D1375" s="149"/>
      <c r="E1375" s="193"/>
      <c r="F1375" s="193"/>
      <c r="G1375" s="709"/>
      <c r="J1375" s="495"/>
    </row>
    <row r="1376" spans="1:10" x14ac:dyDescent="0.35">
      <c r="A1376" s="403" t="str">
        <f>IF(AND(LEN('Ch7'!W614)&gt;0,NOT('Ch7'!W614=FALSE)),"P","")</f>
        <v/>
      </c>
      <c r="B1376" t="str">
        <f>IF(LEN('Ch7'!H614)=0,"",'Ch7'!H614)</f>
        <v/>
      </c>
      <c r="C1376" t="str">
        <f t="shared" si="37"/>
        <v/>
      </c>
      <c r="D1376" s="444" t="s">
        <v>1284</v>
      </c>
      <c r="E1376" s="439"/>
      <c r="F1376" s="439"/>
      <c r="G1376" s="753" t="s">
        <v>1285</v>
      </c>
      <c r="H1376" s="49">
        <f>'Ch7'!W614</f>
        <v>0</v>
      </c>
      <c r="I1376" s="49">
        <f>'Ch7'!O614</f>
        <v>0</v>
      </c>
      <c r="J1376" s="813" t="s">
        <v>4224</v>
      </c>
    </row>
    <row r="1377" spans="1:10" ht="15" thickBot="1" x14ac:dyDescent="0.4">
      <c r="A1377" s="403" t="str">
        <f>A1376</f>
        <v/>
      </c>
      <c r="B1377" t="str">
        <f>IF(LEN('Ch7'!H615)=0,"",'Ch7'!H615)</f>
        <v/>
      </c>
      <c r="C1377" t="str">
        <f t="shared" si="37"/>
        <v/>
      </c>
      <c r="D1377" s="448"/>
      <c r="E1377" s="438"/>
      <c r="F1377" s="438"/>
      <c r="G1377" s="710"/>
      <c r="J1377" s="813"/>
    </row>
    <row r="1378" spans="1:10" ht="15.75" customHeight="1" thickTop="1" x14ac:dyDescent="0.35">
      <c r="A1378" s="403" t="str">
        <f ca="1">IF('Ch7'!O616&gt;0,"P","")</f>
        <v/>
      </c>
      <c r="B1378" t="str">
        <f>IF(LEN('Ch7'!H616)=0,"",'Ch7'!H616)</f>
        <v/>
      </c>
      <c r="C1378" t="str">
        <f t="shared" ca="1" si="37"/>
        <v/>
      </c>
      <c r="D1378" s="63">
        <v>706.5</v>
      </c>
      <c r="E1378" s="475"/>
      <c r="F1378" s="475"/>
      <c r="G1378" s="711" t="s">
        <v>1286</v>
      </c>
      <c r="I1378" s="49">
        <f ca="1">'Ch7'!O616</f>
        <v>0</v>
      </c>
      <c r="J1378" s="814" t="s">
        <v>4237</v>
      </c>
    </row>
    <row r="1379" spans="1:10" x14ac:dyDescent="0.35">
      <c r="A1379" s="403" t="str">
        <f ca="1">A1378</f>
        <v/>
      </c>
      <c r="B1379" t="str">
        <f>IF(LEN('Ch7'!H617)=0,"",'Ch7'!H617)</f>
        <v/>
      </c>
      <c r="C1379" t="str">
        <f t="shared" ca="1" si="37"/>
        <v/>
      </c>
      <c r="D1379" s="126"/>
      <c r="E1379" s="103"/>
      <c r="F1379" s="103"/>
      <c r="G1379" s="706"/>
      <c r="H1379" s="49">
        <f>'Ch7'!W617</f>
        <v>0</v>
      </c>
      <c r="J1379" s="814"/>
    </row>
    <row r="1380" spans="1:10" x14ac:dyDescent="0.35">
      <c r="B1380" t="str">
        <f>IF(LEN('Ch7'!H618)=0,"",'Ch7'!H618)</f>
        <v/>
      </c>
      <c r="C1380" t="str">
        <f t="shared" si="37"/>
        <v/>
      </c>
      <c r="D1380" s="126"/>
      <c r="E1380" s="103"/>
      <c r="F1380" s="103"/>
      <c r="G1380" s="706"/>
      <c r="J1380" s="495"/>
    </row>
    <row r="1381" spans="1:10" x14ac:dyDescent="0.35">
      <c r="B1381" t="str">
        <f>IF(LEN('Ch7'!H619)=0,"",'Ch7'!H619)</f>
        <v/>
      </c>
      <c r="C1381" t="str">
        <f t="shared" si="37"/>
        <v/>
      </c>
      <c r="D1381" s="126"/>
      <c r="E1381" s="103"/>
      <c r="F1381" s="103"/>
      <c r="G1381" s="706"/>
      <c r="J1381" s="485"/>
    </row>
    <row r="1382" spans="1:10" x14ac:dyDescent="0.35">
      <c r="B1382" t="str">
        <f>IF(LEN('Ch7'!H620)=0,"",'Ch7'!H620)</f>
        <v/>
      </c>
      <c r="C1382" t="str">
        <f t="shared" si="37"/>
        <v/>
      </c>
      <c r="D1382" s="126"/>
      <c r="E1382" s="103"/>
      <c r="F1382" s="103"/>
      <c r="G1382" s="752" t="s">
        <v>1287</v>
      </c>
      <c r="J1382" s="485"/>
    </row>
    <row r="1383" spans="1:10" x14ac:dyDescent="0.35">
      <c r="B1383" t="str">
        <f>IF(LEN('Ch7'!H621)=0,"",'Ch7'!H621)</f>
        <v/>
      </c>
      <c r="C1383" t="str">
        <f t="shared" si="37"/>
        <v/>
      </c>
      <c r="D1383" s="126"/>
      <c r="E1383" s="103"/>
      <c r="F1383" s="103"/>
      <c r="G1383" s="752"/>
      <c r="J1383" s="485"/>
    </row>
    <row r="1384" spans="1:10" x14ac:dyDescent="0.35">
      <c r="B1384" t="str">
        <f>IF(LEN('Ch7'!H622)=0,"",'Ch7'!H622)</f>
        <v/>
      </c>
      <c r="C1384" t="str">
        <f t="shared" si="37"/>
        <v/>
      </c>
      <c r="D1384" s="126"/>
      <c r="E1384" s="103"/>
      <c r="F1384" s="103"/>
      <c r="G1384" s="752"/>
      <c r="J1384" s="485"/>
    </row>
    <row r="1385" spans="1:10" x14ac:dyDescent="0.35">
      <c r="B1385" t="str">
        <f>IF(LEN('Ch7'!H623)=0,"",'Ch7'!H623)</f>
        <v/>
      </c>
      <c r="C1385" t="str">
        <f t="shared" si="37"/>
        <v/>
      </c>
      <c r="D1385" s="126"/>
      <c r="E1385" s="103"/>
      <c r="F1385" s="103"/>
      <c r="G1385" s="752" t="s">
        <v>1288</v>
      </c>
      <c r="J1385" s="485"/>
    </row>
    <row r="1386" spans="1:10" ht="15" thickBot="1" x14ac:dyDescent="0.4">
      <c r="B1386" t="str">
        <f>IF(LEN('Ch7'!H624)=0,"",'Ch7'!H624)</f>
        <v/>
      </c>
      <c r="C1386" t="str">
        <f t="shared" si="37"/>
        <v/>
      </c>
      <c r="D1386" s="448"/>
      <c r="E1386" s="438"/>
      <c r="F1386" s="438"/>
      <c r="G1386" s="779"/>
      <c r="J1386" s="485"/>
    </row>
    <row r="1387" spans="1:10" ht="15" thickTop="1" x14ac:dyDescent="0.35">
      <c r="A1387" s="403" t="str">
        <f>IF(AND(LEN('Ch7'!W625)&gt;0,NOT('Ch7'!W625=FALSE)),"P","")</f>
        <v/>
      </c>
      <c r="B1387" t="str">
        <f>IF(LEN('Ch7'!H625)=0,"",'Ch7'!H625)</f>
        <v/>
      </c>
      <c r="C1387" t="str">
        <f t="shared" si="37"/>
        <v/>
      </c>
      <c r="D1387" s="63">
        <v>706.6</v>
      </c>
      <c r="E1387" s="475"/>
      <c r="F1387" s="475"/>
      <c r="G1387" s="711" t="s">
        <v>1289</v>
      </c>
      <c r="H1387" s="49">
        <f>'Ch7'!W625</f>
        <v>0</v>
      </c>
      <c r="I1387" s="49">
        <f ca="1">'Ch7'!O625</f>
        <v>0</v>
      </c>
      <c r="J1387" s="813" t="s">
        <v>4177</v>
      </c>
    </row>
    <row r="1388" spans="1:10" ht="15" thickBot="1" x14ac:dyDescent="0.4">
      <c r="A1388" s="403" t="str">
        <f>A1387</f>
        <v/>
      </c>
      <c r="B1388" t="str">
        <f>IF(LEN('Ch7'!H626)=0,"",'Ch7'!H626)</f>
        <v/>
      </c>
      <c r="C1388" t="str">
        <f t="shared" si="37"/>
        <v/>
      </c>
      <c r="D1388" s="448"/>
      <c r="E1388" s="438"/>
      <c r="F1388" s="438"/>
      <c r="G1388" s="710"/>
      <c r="J1388" s="813"/>
    </row>
    <row r="1389" spans="1:10" x14ac:dyDescent="0.35">
      <c r="A1389" s="403" t="str">
        <f>IF(SUM(I1391:I1392)&gt;0,"P","")</f>
        <v/>
      </c>
      <c r="B1389" t="str">
        <f>IF(LEN('Ch7'!H627)=0,"",'Ch7'!H627)</f>
        <v/>
      </c>
      <c r="C1389" t="str">
        <f t="shared" si="37"/>
        <v/>
      </c>
      <c r="D1389" s="33">
        <v>706.7</v>
      </c>
      <c r="E1389" s="103"/>
      <c r="F1389" s="103"/>
      <c r="G1389" s="706" t="s">
        <v>1290</v>
      </c>
      <c r="J1389" s="814" t="s">
        <v>4177</v>
      </c>
    </row>
    <row r="1390" spans="1:10" x14ac:dyDescent="0.35">
      <c r="A1390" s="403" t="str">
        <f>A1389</f>
        <v/>
      </c>
      <c r="B1390" t="str">
        <f>IF(LEN('Ch7'!H628)=0,"",'Ch7'!H628)</f>
        <v/>
      </c>
      <c r="C1390" t="str">
        <f t="shared" si="37"/>
        <v/>
      </c>
      <c r="D1390" s="126"/>
      <c r="E1390" s="103"/>
      <c r="F1390" s="103"/>
      <c r="G1390" s="706"/>
      <c r="J1390" s="814"/>
    </row>
    <row r="1391" spans="1:10" x14ac:dyDescent="0.35">
      <c r="B1391" t="str">
        <f>IF(LEN('Ch7'!H629)=0,"",'Ch7'!H629)</f>
        <v/>
      </c>
      <c r="C1391" t="str">
        <f t="shared" si="37"/>
        <v/>
      </c>
      <c r="D1391" s="126"/>
      <c r="E1391" s="474" t="s">
        <v>270</v>
      </c>
      <c r="F1391" s="193"/>
      <c r="G1391" s="214" t="s">
        <v>1291</v>
      </c>
      <c r="H1391" s="49">
        <f>'Ch7'!W629</f>
        <v>0</v>
      </c>
      <c r="I1391" s="49">
        <f>'Ch7'!O629</f>
        <v>0</v>
      </c>
      <c r="J1391" s="490"/>
    </row>
    <row r="1392" spans="1:10" x14ac:dyDescent="0.35">
      <c r="B1392" t="str">
        <f>IF(LEN('Ch7'!H630)=0,"",'Ch7'!H630)</f>
        <v/>
      </c>
      <c r="C1392" t="str">
        <f t="shared" si="37"/>
        <v/>
      </c>
      <c r="D1392" s="126"/>
      <c r="E1392" s="473" t="s">
        <v>272</v>
      </c>
      <c r="F1392" s="103"/>
      <c r="G1392" s="104" t="s">
        <v>1292</v>
      </c>
      <c r="H1392" s="49">
        <f>'Ch7'!W630</f>
        <v>0</v>
      </c>
      <c r="I1392" s="49">
        <f>'Ch7'!O630</f>
        <v>0</v>
      </c>
      <c r="J1392" s="490"/>
    </row>
    <row r="1393" spans="1:10" x14ac:dyDescent="0.35">
      <c r="B1393" t="str">
        <f>IF(LEN('Ch7'!H631)=0,"",'Ch7'!H631)</f>
        <v/>
      </c>
      <c r="C1393" t="str">
        <f t="shared" si="37"/>
        <v/>
      </c>
      <c r="D1393" s="126"/>
      <c r="E1393" s="103"/>
      <c r="F1393" s="103"/>
      <c r="G1393" s="706" t="s">
        <v>1293</v>
      </c>
      <c r="J1393" s="485"/>
    </row>
    <row r="1394" spans="1:10" ht="15" thickBot="1" x14ac:dyDescent="0.4">
      <c r="B1394" t="str">
        <f>IF(LEN('Ch7'!H632)=0,"",'Ch7'!H632)</f>
        <v/>
      </c>
      <c r="C1394" t="str">
        <f t="shared" si="37"/>
        <v/>
      </c>
      <c r="D1394" s="448"/>
      <c r="E1394" s="438"/>
      <c r="F1394" s="438"/>
      <c r="G1394" s="710"/>
      <c r="J1394" s="485"/>
    </row>
    <row r="1395" spans="1:10" ht="15" thickTop="1" x14ac:dyDescent="0.35">
      <c r="A1395" s="403" t="str">
        <f>IF(AND(LEN('Ch7'!W633)&gt;0,NOT('Ch7'!W633=FALSE)),"P","")</f>
        <v/>
      </c>
      <c r="B1395" t="str">
        <f>IF(LEN('Ch7'!H633)=0,"",'Ch7'!H633)</f>
        <v/>
      </c>
      <c r="C1395" t="str">
        <f t="shared" si="37"/>
        <v/>
      </c>
      <c r="D1395" s="63">
        <v>706.8</v>
      </c>
      <c r="E1395" s="475"/>
      <c r="F1395" s="475"/>
      <c r="G1395" s="711" t="s">
        <v>1294</v>
      </c>
      <c r="H1395" s="49">
        <f>'Ch7'!W633</f>
        <v>0</v>
      </c>
      <c r="I1395" s="49">
        <f>'Ch7'!O633</f>
        <v>0</v>
      </c>
      <c r="J1395" s="813" t="s">
        <v>4177</v>
      </c>
    </row>
    <row r="1396" spans="1:10" x14ac:dyDescent="0.35">
      <c r="A1396" s="403" t="str">
        <f>A1395</f>
        <v/>
      </c>
      <c r="B1396" t="str">
        <f>IF(LEN('Ch7'!H634)=0,"",'Ch7'!H634)</f>
        <v/>
      </c>
      <c r="C1396" t="str">
        <f t="shared" si="37"/>
        <v/>
      </c>
      <c r="D1396" s="126"/>
      <c r="E1396" s="103"/>
      <c r="F1396" s="103"/>
      <c r="G1396" s="706"/>
      <c r="J1396" s="813"/>
    </row>
    <row r="1397" spans="1:10" ht="15" thickBot="1" x14ac:dyDescent="0.4">
      <c r="A1397" s="403" t="str">
        <f>A1396</f>
        <v/>
      </c>
      <c r="B1397" t="str">
        <f>IF(LEN('Ch7'!H635)=0,"",'Ch7'!H635)</f>
        <v/>
      </c>
      <c r="C1397" t="str">
        <f t="shared" si="37"/>
        <v/>
      </c>
      <c r="D1397" s="448"/>
      <c r="E1397" s="438"/>
      <c r="F1397" s="438"/>
      <c r="G1397" s="710"/>
      <c r="J1397" s="813"/>
    </row>
    <row r="1398" spans="1:10" x14ac:dyDescent="0.35">
      <c r="A1398" s="403" t="str">
        <f>IF(AND(LEN('Ch7'!W636)&gt;0,NOT('Ch7'!W636=FALSE)),"P","")</f>
        <v/>
      </c>
      <c r="B1398" t="str">
        <f>IF(LEN('Ch7'!H636)=0,"",'Ch7'!H636)</f>
        <v/>
      </c>
      <c r="C1398" t="str">
        <f t="shared" si="37"/>
        <v/>
      </c>
      <c r="D1398" s="33">
        <v>706.9</v>
      </c>
      <c r="E1398" s="103"/>
      <c r="F1398" s="103"/>
      <c r="G1398" s="706" t="s">
        <v>1295</v>
      </c>
      <c r="H1398" s="49">
        <f>'Ch7'!W636</f>
        <v>0</v>
      </c>
      <c r="I1398" s="49">
        <f>'Ch7'!O636</f>
        <v>0</v>
      </c>
      <c r="J1398" s="813" t="s">
        <v>4177</v>
      </c>
    </row>
    <row r="1399" spans="1:10" x14ac:dyDescent="0.35">
      <c r="A1399" s="403" t="str">
        <f>A1398</f>
        <v/>
      </c>
      <c r="B1399" t="str">
        <f>IF(LEN('Ch7'!H637)=0,"",'Ch7'!H637)</f>
        <v/>
      </c>
      <c r="C1399" t="str">
        <f t="shared" si="37"/>
        <v/>
      </c>
      <c r="D1399" s="126"/>
      <c r="E1399" s="103"/>
      <c r="F1399" s="103"/>
      <c r="G1399" s="706"/>
      <c r="J1399" s="813"/>
    </row>
    <row r="1400" spans="1:10" x14ac:dyDescent="0.35">
      <c r="A1400" s="403" t="str">
        <f>A1399</f>
        <v/>
      </c>
      <c r="B1400" t="str">
        <f>IF(LEN('Ch7'!H638)=0,"",'Ch7'!H638)</f>
        <v/>
      </c>
      <c r="C1400" t="str">
        <f t="shared" si="37"/>
        <v/>
      </c>
      <c r="D1400" s="126"/>
      <c r="E1400" s="103"/>
      <c r="F1400" s="103"/>
      <c r="G1400" s="706"/>
      <c r="J1400" s="813"/>
    </row>
    <row r="1401" spans="1:10" x14ac:dyDescent="0.35">
      <c r="B1401" t="str">
        <f>IF(LEN('Ch7'!H639)=0,"",'Ch7'!H639)</f>
        <v/>
      </c>
      <c r="C1401" t="str">
        <f t="shared" si="37"/>
        <v/>
      </c>
      <c r="D1401" s="126"/>
      <c r="E1401" s="103"/>
      <c r="F1401" s="103"/>
      <c r="G1401" s="706" t="s">
        <v>1296</v>
      </c>
      <c r="J1401" s="485"/>
    </row>
    <row r="1402" spans="1:10" x14ac:dyDescent="0.35">
      <c r="B1402" t="str">
        <f>IF(LEN('Ch7'!H640)=0,"",'Ch7'!H640)</f>
        <v/>
      </c>
      <c r="C1402" t="str">
        <f t="shared" si="37"/>
        <v/>
      </c>
      <c r="D1402" s="126"/>
      <c r="E1402" s="103"/>
      <c r="F1402" s="103"/>
      <c r="G1402" s="706"/>
      <c r="J1402" s="485"/>
    </row>
    <row r="1403" spans="1:10" ht="18.5" x14ac:dyDescent="0.45">
      <c r="A1403" s="403" t="s">
        <v>4326</v>
      </c>
      <c r="B1403" t="str">
        <f>IF(LEN('Ch8'!H9)=0,"",'Ch8'!H9)</f>
        <v/>
      </c>
      <c r="C1403" t="str">
        <f t="shared" si="37"/>
        <v>P</v>
      </c>
      <c r="D1403" s="42" t="s">
        <v>841</v>
      </c>
      <c r="E1403" s="42"/>
      <c r="F1403" s="42"/>
      <c r="G1403" s="15"/>
      <c r="J1403" s="497"/>
    </row>
    <row r="1404" spans="1:10" ht="15" thickBot="1" x14ac:dyDescent="0.4">
      <c r="B1404" t="str">
        <f>IF(LEN('Ch8'!H10)=0,"",'Ch8'!H10)</f>
        <v/>
      </c>
      <c r="C1404" t="str">
        <f t="shared" si="37"/>
        <v/>
      </c>
      <c r="D1404" s="446" t="s">
        <v>842</v>
      </c>
      <c r="E1404" s="448"/>
      <c r="F1404" s="448"/>
      <c r="G1404" s="272" t="s">
        <v>843</v>
      </c>
      <c r="J1404" s="485"/>
    </row>
    <row r="1405" spans="1:10" ht="15.75" customHeight="1" thickTop="1" x14ac:dyDescent="0.35">
      <c r="A1405" s="403" t="str">
        <f ca="1">IF('Ch8'!O11&gt;0,"P","")</f>
        <v/>
      </c>
      <c r="B1405" t="str">
        <f>IF(LEN('Ch8'!H11)=0,"",'Ch8'!H11)</f>
        <v/>
      </c>
      <c r="C1405" t="str">
        <f t="shared" ca="1" si="37"/>
        <v/>
      </c>
      <c r="D1405" s="33">
        <v>801.1</v>
      </c>
      <c r="E1405" s="126"/>
      <c r="F1405" s="126"/>
      <c r="G1405" s="706" t="s">
        <v>844</v>
      </c>
      <c r="I1405" s="49">
        <f ca="1">'Ch8'!O11</f>
        <v>0</v>
      </c>
      <c r="J1405" s="814" t="s">
        <v>4238</v>
      </c>
    </row>
    <row r="1406" spans="1:10" x14ac:dyDescent="0.35">
      <c r="A1406" s="403" t="str">
        <f ca="1">A1405</f>
        <v/>
      </c>
      <c r="B1406" t="str">
        <f>IF(LEN('Ch8'!H12)=0,"",'Ch8'!H12)</f>
        <v/>
      </c>
      <c r="C1406" t="str">
        <f t="shared" ca="1" si="37"/>
        <v/>
      </c>
      <c r="D1406" s="33"/>
      <c r="E1406" s="126"/>
      <c r="F1406" s="126"/>
      <c r="G1406" s="706"/>
      <c r="H1406" s="49">
        <f>'Ch8'!W12</f>
        <v>0</v>
      </c>
      <c r="J1406" s="814"/>
    </row>
    <row r="1407" spans="1:10" x14ac:dyDescent="0.35">
      <c r="A1407" s="403" t="str">
        <f ca="1">A1406</f>
        <v/>
      </c>
      <c r="B1407" t="str">
        <f>IF(LEN('Ch8'!H13)=0,"",'Ch8'!H13)</f>
        <v/>
      </c>
      <c r="C1407" t="str">
        <f t="shared" ca="1" si="37"/>
        <v/>
      </c>
      <c r="D1407" s="33"/>
      <c r="E1407" s="126"/>
      <c r="F1407" s="126"/>
      <c r="G1407" s="706"/>
      <c r="J1407" s="814"/>
    </row>
    <row r="1408" spans="1:10" x14ac:dyDescent="0.35">
      <c r="A1408" s="403" t="str">
        <f ca="1">A1407</f>
        <v/>
      </c>
      <c r="B1408" t="str">
        <f>IF(LEN('Ch8'!H14)=0,"",'Ch8'!H14)</f>
        <v/>
      </c>
      <c r="C1408" t="str">
        <f t="shared" ca="1" si="37"/>
        <v/>
      </c>
      <c r="D1408" s="33"/>
      <c r="E1408" s="126"/>
      <c r="F1408" s="126"/>
      <c r="G1408" s="706"/>
      <c r="J1408" s="814"/>
    </row>
    <row r="1409" spans="1:10" x14ac:dyDescent="0.35">
      <c r="A1409" s="403" t="str">
        <f ca="1">A1408</f>
        <v/>
      </c>
      <c r="B1409" t="str">
        <f>IF(LEN('Ch8'!H15)=0,"",'Ch8'!H15)</f>
        <v/>
      </c>
      <c r="C1409" t="str">
        <f t="shared" ca="1" si="37"/>
        <v/>
      </c>
      <c r="D1409" s="33"/>
      <c r="E1409" s="126"/>
      <c r="F1409" s="126"/>
      <c r="G1409" s="706"/>
      <c r="J1409" s="814"/>
    </row>
    <row r="1410" spans="1:10" x14ac:dyDescent="0.35">
      <c r="B1410" t="str">
        <f>IF(LEN('Ch8'!H16)=0,"",'Ch8'!H16)</f>
        <v/>
      </c>
      <c r="C1410" t="str">
        <f t="shared" si="37"/>
        <v/>
      </c>
      <c r="D1410" s="33"/>
      <c r="E1410" s="126"/>
      <c r="F1410" s="126"/>
      <c r="G1410" s="791" t="s">
        <v>845</v>
      </c>
      <c r="J1410" s="485"/>
    </row>
    <row r="1411" spans="1:10" x14ac:dyDescent="0.35">
      <c r="B1411" t="str">
        <f>IF(LEN('Ch8'!H17)=0,"",'Ch8'!H17)</f>
        <v/>
      </c>
      <c r="C1411" t="str">
        <f t="shared" si="37"/>
        <v/>
      </c>
      <c r="D1411" s="33"/>
      <c r="E1411" s="126"/>
      <c r="F1411" s="126"/>
      <c r="G1411" s="791"/>
      <c r="J1411" s="485"/>
    </row>
    <row r="1412" spans="1:10" x14ac:dyDescent="0.35">
      <c r="B1412" t="str">
        <f>IF(LEN('Ch8'!H18)=0,"",'Ch8'!H18)</f>
        <v/>
      </c>
      <c r="C1412" t="str">
        <f t="shared" si="37"/>
        <v/>
      </c>
      <c r="D1412" s="33"/>
      <c r="E1412" s="126"/>
      <c r="F1412" s="126"/>
      <c r="G1412" s="791"/>
      <c r="J1412" s="485"/>
    </row>
    <row r="1413" spans="1:10" x14ac:dyDescent="0.35">
      <c r="B1413" t="str">
        <f>IF(LEN('Ch8'!H19)=0,"",'Ch8'!H19)</f>
        <v/>
      </c>
      <c r="C1413" t="str">
        <f t="shared" si="37"/>
        <v/>
      </c>
      <c r="D1413" s="33"/>
      <c r="E1413" s="126"/>
      <c r="F1413" s="126"/>
      <c r="G1413" s="791" t="s">
        <v>846</v>
      </c>
      <c r="J1413" s="485"/>
    </row>
    <row r="1414" spans="1:10" x14ac:dyDescent="0.35">
      <c r="B1414" t="str">
        <f>IF(LEN('Ch8'!H20)=0,"",'Ch8'!H20)</f>
        <v/>
      </c>
      <c r="C1414" t="str">
        <f t="shared" si="37"/>
        <v/>
      </c>
      <c r="D1414" s="33"/>
      <c r="E1414" s="126"/>
      <c r="F1414" s="126"/>
      <c r="G1414" s="791"/>
      <c r="J1414" s="485"/>
    </row>
    <row r="1415" spans="1:10" x14ac:dyDescent="0.35">
      <c r="B1415" t="str">
        <f>IF(LEN('Ch8'!H21)=0,"",'Ch8'!H21)</f>
        <v/>
      </c>
      <c r="C1415" t="str">
        <f t="shared" si="37"/>
        <v/>
      </c>
      <c r="D1415" s="33"/>
      <c r="E1415" s="126"/>
      <c r="F1415" s="126"/>
      <c r="G1415" s="791"/>
      <c r="J1415" s="485"/>
    </row>
    <row r="1416" spans="1:10" x14ac:dyDescent="0.35">
      <c r="B1416" t="str">
        <f>IF(LEN('Ch8'!H22)=0,"",'Ch8'!H22)</f>
        <v/>
      </c>
      <c r="C1416" t="str">
        <f t="shared" si="37"/>
        <v/>
      </c>
      <c r="D1416" s="33"/>
      <c r="E1416" s="126"/>
      <c r="F1416" s="126"/>
      <c r="G1416" s="105" t="s">
        <v>847</v>
      </c>
      <c r="J1416" s="485"/>
    </row>
    <row r="1417" spans="1:10" x14ac:dyDescent="0.35">
      <c r="B1417" t="str">
        <f>IF(LEN('Ch8'!H23)=0,"",'Ch8'!H23)</f>
        <v/>
      </c>
      <c r="C1417" t="str">
        <f t="shared" si="37"/>
        <v/>
      </c>
      <c r="D1417" s="33"/>
      <c r="E1417" s="126"/>
      <c r="F1417" s="126"/>
      <c r="G1417" s="207" t="s">
        <v>3779</v>
      </c>
      <c r="J1417" s="485"/>
    </row>
    <row r="1418" spans="1:10" x14ac:dyDescent="0.35">
      <c r="B1418" t="str">
        <f>IF(LEN('Ch8'!H24)=0,"",'Ch8'!H24)</f>
        <v/>
      </c>
      <c r="C1418" t="str">
        <f t="shared" si="37"/>
        <v/>
      </c>
      <c r="D1418" s="33"/>
      <c r="E1418" s="126"/>
      <c r="F1418" s="126"/>
      <c r="G1418" s="207" t="s">
        <v>3780</v>
      </c>
      <c r="J1418" s="485"/>
    </row>
    <row r="1419" spans="1:10" x14ac:dyDescent="0.35">
      <c r="B1419" t="str">
        <f>IF(LEN('Ch8'!H25)=0,"",'Ch8'!H25)</f>
        <v/>
      </c>
      <c r="C1419" t="str">
        <f t="shared" si="37"/>
        <v/>
      </c>
      <c r="D1419" s="33"/>
      <c r="E1419" s="441" t="s">
        <v>270</v>
      </c>
      <c r="F1419" s="126"/>
      <c r="G1419" s="707" t="s">
        <v>848</v>
      </c>
      <c r="J1419" s="485"/>
    </row>
    <row r="1420" spans="1:10" x14ac:dyDescent="0.35">
      <c r="B1420" t="str">
        <f>IF(LEN('Ch8'!H26)=0,"",'Ch8'!H26)</f>
        <v/>
      </c>
      <c r="C1420" t="str">
        <f t="shared" si="37"/>
        <v/>
      </c>
      <c r="D1420" s="33"/>
      <c r="E1420" s="459"/>
      <c r="F1420" s="149"/>
      <c r="G1420" s="709"/>
      <c r="J1420" s="485"/>
    </row>
    <row r="1421" spans="1:10" x14ac:dyDescent="0.35">
      <c r="B1421" t="str">
        <f>IF(LEN('Ch8'!H27)=0,"",'Ch8'!H27)</f>
        <v/>
      </c>
      <c r="C1421" t="str">
        <f t="shared" si="37"/>
        <v/>
      </c>
      <c r="D1421" s="33"/>
      <c r="E1421" s="441" t="s">
        <v>272</v>
      </c>
      <c r="F1421" s="126"/>
      <c r="G1421" s="707" t="s">
        <v>849</v>
      </c>
      <c r="J1421" s="485"/>
    </row>
    <row r="1422" spans="1:10" x14ac:dyDescent="0.35">
      <c r="B1422" t="str">
        <f>IF(LEN('Ch8'!H28)=0,"",'Ch8'!H28)</f>
        <v/>
      </c>
      <c r="C1422" t="str">
        <f t="shared" si="37"/>
        <v/>
      </c>
      <c r="D1422" s="33"/>
      <c r="E1422" s="459"/>
      <c r="F1422" s="149"/>
      <c r="G1422" s="709"/>
      <c r="J1422" s="485"/>
    </row>
    <row r="1423" spans="1:10" x14ac:dyDescent="0.35">
      <c r="B1423" t="str">
        <f>IF(LEN('Ch8'!H29)=0,"",'Ch8'!H29)</f>
        <v/>
      </c>
      <c r="C1423" t="str">
        <f t="shared" si="37"/>
        <v/>
      </c>
      <c r="D1423" s="33"/>
      <c r="E1423" s="441" t="s">
        <v>274</v>
      </c>
      <c r="F1423" s="126"/>
      <c r="G1423" s="707" t="s">
        <v>850</v>
      </c>
      <c r="J1423" s="485"/>
    </row>
    <row r="1424" spans="1:10" x14ac:dyDescent="0.35">
      <c r="B1424" t="str">
        <f>IF(LEN('Ch8'!H30)=0,"",'Ch8'!H30)</f>
        <v/>
      </c>
      <c r="C1424" t="str">
        <f t="shared" si="37"/>
        <v/>
      </c>
      <c r="D1424" s="33"/>
      <c r="E1424" s="459"/>
      <c r="F1424" s="149"/>
      <c r="G1424" s="709"/>
      <c r="J1424" s="485"/>
    </row>
    <row r="1425" spans="1:10" x14ac:dyDescent="0.35">
      <c r="B1425" t="str">
        <f>IF(LEN('Ch8'!H31)=0,"",'Ch8'!H31)</f>
        <v/>
      </c>
      <c r="C1425" t="str">
        <f t="shared" ref="C1425:C1488" si="38">IF(LEN(B1425)=0,IF(A1425="P","P",""),B1425)</f>
        <v/>
      </c>
      <c r="D1425" s="33"/>
      <c r="E1425" s="441" t="s">
        <v>283</v>
      </c>
      <c r="F1425" s="126"/>
      <c r="G1425" s="707" t="s">
        <v>851</v>
      </c>
      <c r="J1425" s="485"/>
    </row>
    <row r="1426" spans="1:10" x14ac:dyDescent="0.35">
      <c r="B1426" t="str">
        <f>IF(LEN('Ch8'!H32)=0,"",'Ch8'!H32)</f>
        <v/>
      </c>
      <c r="C1426" t="str">
        <f t="shared" si="38"/>
        <v/>
      </c>
      <c r="D1426" s="33"/>
      <c r="E1426" s="126"/>
      <c r="F1426" s="126"/>
      <c r="G1426" s="707"/>
      <c r="J1426" s="485"/>
    </row>
    <row r="1427" spans="1:10" x14ac:dyDescent="0.35">
      <c r="B1427" t="str">
        <f>IF(LEN('Ch8'!H33)=0,"",'Ch8'!H33)</f>
        <v/>
      </c>
      <c r="C1427" t="str">
        <f t="shared" si="38"/>
        <v/>
      </c>
      <c r="D1427" s="33"/>
      <c r="E1427" s="126"/>
      <c r="F1427" s="126"/>
      <c r="G1427" s="707"/>
      <c r="J1427" s="485"/>
    </row>
    <row r="1428" spans="1:10" x14ac:dyDescent="0.35">
      <c r="B1428" t="str">
        <f>IF(LEN('Ch8'!H34)=0,"",'Ch8'!H34)</f>
        <v/>
      </c>
      <c r="C1428" t="str">
        <f t="shared" si="38"/>
        <v/>
      </c>
      <c r="D1428" s="126"/>
      <c r="E1428" s="126"/>
      <c r="F1428" s="441" t="s">
        <v>121</v>
      </c>
      <c r="G1428" s="707" t="s">
        <v>852</v>
      </c>
      <c r="J1428" s="485"/>
    </row>
    <row r="1429" spans="1:10" x14ac:dyDescent="0.35">
      <c r="B1429" t="str">
        <f>IF(LEN('Ch8'!H35)=0,"",'Ch8'!H35)</f>
        <v/>
      </c>
      <c r="C1429" t="str">
        <f t="shared" si="38"/>
        <v/>
      </c>
      <c r="D1429" s="33"/>
      <c r="E1429" s="149"/>
      <c r="F1429" s="149"/>
      <c r="G1429" s="709"/>
      <c r="J1429" s="485"/>
    </row>
    <row r="1430" spans="1:10" x14ac:dyDescent="0.35">
      <c r="B1430" t="str">
        <f>IF(LEN('Ch8'!H36)=0,"",'Ch8'!H36)</f>
        <v/>
      </c>
      <c r="C1430" t="str">
        <f t="shared" si="38"/>
        <v/>
      </c>
      <c r="D1430" s="33"/>
      <c r="E1430" s="441" t="s">
        <v>289</v>
      </c>
      <c r="F1430" s="126"/>
      <c r="G1430" s="707" t="s">
        <v>854</v>
      </c>
      <c r="J1430" s="485"/>
    </row>
    <row r="1431" spans="1:10" x14ac:dyDescent="0.35">
      <c r="B1431" t="str">
        <f>IF(LEN('Ch8'!H37)=0,"",'Ch8'!H37)</f>
        <v/>
      </c>
      <c r="C1431" t="str">
        <f t="shared" si="38"/>
        <v/>
      </c>
      <c r="D1431" s="33"/>
      <c r="E1431" s="126"/>
      <c r="F1431" s="126"/>
      <c r="G1431" s="707"/>
      <c r="J1431" s="485"/>
    </row>
    <row r="1432" spans="1:10" x14ac:dyDescent="0.35">
      <c r="B1432" t="str">
        <f>IF(LEN('Ch8'!H38)=0,"",'Ch8'!H38)</f>
        <v/>
      </c>
      <c r="C1432" t="str">
        <f t="shared" si="38"/>
        <v/>
      </c>
      <c r="D1432" s="33"/>
      <c r="E1432" s="126"/>
      <c r="F1432" s="126"/>
      <c r="G1432" s="707"/>
      <c r="J1432" s="485"/>
    </row>
    <row r="1433" spans="1:10" x14ac:dyDescent="0.35">
      <c r="B1433" t="str">
        <f>IF(LEN('Ch8'!H39)=0,"",'Ch8'!H39)</f>
        <v/>
      </c>
      <c r="C1433" t="str">
        <f t="shared" si="38"/>
        <v/>
      </c>
      <c r="D1433" s="33"/>
      <c r="E1433" s="126"/>
      <c r="F1433" s="126"/>
      <c r="G1433" s="707"/>
      <c r="J1433" s="485"/>
    </row>
    <row r="1434" spans="1:10" x14ac:dyDescent="0.35">
      <c r="B1434" t="str">
        <f>IF(LEN('Ch8'!H40)=0,"",'Ch8'!H40)</f>
        <v/>
      </c>
      <c r="C1434" t="str">
        <f t="shared" si="38"/>
        <v/>
      </c>
      <c r="D1434" s="33"/>
      <c r="E1434" s="149"/>
      <c r="F1434" s="149"/>
      <c r="G1434" s="709"/>
      <c r="J1434" s="485"/>
    </row>
    <row r="1435" spans="1:10" x14ac:dyDescent="0.35">
      <c r="B1435" t="str">
        <f>IF(LEN('Ch8'!H41)=0,"",'Ch8'!H41)</f>
        <v/>
      </c>
      <c r="C1435" t="str">
        <f t="shared" si="38"/>
        <v/>
      </c>
      <c r="D1435" s="33"/>
      <c r="E1435" s="441" t="s">
        <v>291</v>
      </c>
      <c r="F1435" s="126"/>
      <c r="G1435" s="707" t="s">
        <v>855</v>
      </c>
      <c r="H1435" s="49">
        <f>'Ch8'!W41</f>
        <v>0</v>
      </c>
      <c r="I1435" s="49">
        <f>'Ch8'!O41</f>
        <v>0</v>
      </c>
      <c r="J1435" s="485"/>
    </row>
    <row r="1436" spans="1:10" x14ac:dyDescent="0.35">
      <c r="B1436" t="str">
        <f>IF(LEN('Ch8'!H42)=0,"",'Ch8'!H42)</f>
        <v/>
      </c>
      <c r="C1436" t="str">
        <f t="shared" si="38"/>
        <v/>
      </c>
      <c r="D1436" s="33"/>
      <c r="E1436" s="126"/>
      <c r="F1436" s="126"/>
      <c r="G1436" s="707"/>
      <c r="J1436" s="485"/>
    </row>
    <row r="1437" spans="1:10" ht="15" thickBot="1" x14ac:dyDescent="0.4">
      <c r="B1437" t="str">
        <f>IF(LEN('Ch8'!H43)=0,"",'Ch8'!H43)</f>
        <v/>
      </c>
      <c r="C1437" t="str">
        <f t="shared" si="38"/>
        <v/>
      </c>
      <c r="D1437" s="443"/>
      <c r="E1437" s="448"/>
      <c r="F1437" s="448"/>
      <c r="G1437" s="708"/>
      <c r="J1437" s="485"/>
    </row>
    <row r="1438" spans="1:10" ht="15.75" customHeight="1" thickTop="1" x14ac:dyDescent="0.35">
      <c r="A1438" s="403" t="str">
        <f ca="1">IF(SUM(I1439:I1441)&gt;0,"P","")</f>
        <v>P</v>
      </c>
      <c r="B1438" t="str">
        <f>IF(LEN('Ch8'!H44)=0,"",'Ch8'!H44)</f>
        <v/>
      </c>
      <c r="C1438" t="str">
        <f t="shared" ca="1" si="38"/>
        <v>P</v>
      </c>
      <c r="D1438" s="63">
        <v>801.2</v>
      </c>
      <c r="E1438" s="466"/>
      <c r="F1438" s="466"/>
      <c r="G1438" s="711" t="s">
        <v>856</v>
      </c>
      <c r="J1438" s="804" t="s">
        <v>4759</v>
      </c>
    </row>
    <row r="1439" spans="1:10" ht="24" customHeight="1" x14ac:dyDescent="0.35">
      <c r="A1439" s="403" t="str">
        <f ca="1">A1438</f>
        <v>P</v>
      </c>
      <c r="B1439" t="str">
        <f>IF(LEN('Ch8'!H45)=0,"",'Ch8'!H45)</f>
        <v/>
      </c>
      <c r="C1439" t="str">
        <f t="shared" ca="1" si="38"/>
        <v>P</v>
      </c>
      <c r="D1439" s="33"/>
      <c r="E1439" s="126"/>
      <c r="F1439" s="126"/>
      <c r="G1439" s="706"/>
      <c r="J1439" s="806"/>
    </row>
    <row r="1440" spans="1:10" ht="15" customHeight="1" x14ac:dyDescent="0.35">
      <c r="B1440" t="str">
        <f>IF(LEN('Ch8'!H46)=0,"",'Ch8'!H46)</f>
        <v/>
      </c>
      <c r="C1440" t="str">
        <f t="shared" si="38"/>
        <v/>
      </c>
      <c r="D1440" s="33"/>
      <c r="E1440" s="459" t="s">
        <v>270</v>
      </c>
      <c r="F1440" s="149"/>
      <c r="G1440" s="214" t="s">
        <v>857</v>
      </c>
      <c r="H1440" s="49" t="b">
        <f>'Ch8'!W46</f>
        <v>1</v>
      </c>
      <c r="I1440" s="49">
        <f>'Ch8'!O46</f>
        <v>2</v>
      </c>
      <c r="J1440" s="495"/>
    </row>
    <row r="1441" spans="1:10" x14ac:dyDescent="0.35">
      <c r="B1441" t="str">
        <f>IF(LEN('Ch8'!H47)=0,"",'Ch8'!H47)</f>
        <v/>
      </c>
      <c r="C1441" t="str">
        <f t="shared" si="38"/>
        <v/>
      </c>
      <c r="D1441" s="33"/>
      <c r="E1441" s="459" t="s">
        <v>272</v>
      </c>
      <c r="F1441" s="149"/>
      <c r="G1441" s="214" t="s">
        <v>858</v>
      </c>
      <c r="H1441" s="49">
        <f>'Ch8'!W47</f>
        <v>0</v>
      </c>
      <c r="I1441" s="49">
        <f ca="1">'Ch8'!O47</f>
        <v>0</v>
      </c>
      <c r="J1441" s="490"/>
    </row>
    <row r="1442" spans="1:10" x14ac:dyDescent="0.35">
      <c r="B1442" t="str">
        <f>IF(LEN('Ch8'!H48)=0,"",'Ch8'!H48)</f>
        <v/>
      </c>
      <c r="C1442" t="str">
        <f t="shared" si="38"/>
        <v/>
      </c>
      <c r="D1442" s="33"/>
      <c r="E1442" s="441" t="s">
        <v>274</v>
      </c>
      <c r="F1442" s="126"/>
      <c r="G1442" s="104" t="s">
        <v>859</v>
      </c>
      <c r="J1442" s="490"/>
    </row>
    <row r="1443" spans="1:10" x14ac:dyDescent="0.35">
      <c r="B1443" t="str">
        <f>IF(LEN('Ch8'!H49)=0,"",'Ch8'!H49)</f>
        <v/>
      </c>
      <c r="C1443" t="str">
        <f t="shared" si="38"/>
        <v/>
      </c>
      <c r="D1443" s="33"/>
      <c r="E1443" s="441"/>
      <c r="F1443" s="126"/>
      <c r="G1443" s="744" t="s">
        <v>3824</v>
      </c>
      <c r="J1443" s="490"/>
    </row>
    <row r="1444" spans="1:10" x14ac:dyDescent="0.35">
      <c r="B1444" t="str">
        <f>IF(LEN('Ch8'!H50)=0,"",'Ch8'!H50)</f>
        <v/>
      </c>
      <c r="C1444" t="str">
        <f t="shared" si="38"/>
        <v/>
      </c>
      <c r="D1444" s="33"/>
      <c r="E1444" s="441"/>
      <c r="F1444" s="126"/>
      <c r="G1444" s="754"/>
      <c r="J1444" s="490"/>
    </row>
    <row r="1445" spans="1:10" x14ac:dyDescent="0.35">
      <c r="B1445" t="str">
        <f>IF(LEN('Ch8'!H51)=0,"",'Ch8'!H51)</f>
        <v/>
      </c>
      <c r="C1445" t="str">
        <f t="shared" si="38"/>
        <v/>
      </c>
      <c r="D1445" s="33"/>
      <c r="G1445" s="714" t="s">
        <v>3825</v>
      </c>
      <c r="J1445" s="490"/>
    </row>
    <row r="1446" spans="1:10" ht="15" thickBot="1" x14ac:dyDescent="0.4">
      <c r="B1446" t="str">
        <f>IF(LEN('Ch8'!H52)=0,"",'Ch8'!H52)</f>
        <v/>
      </c>
      <c r="C1446" t="str">
        <f t="shared" si="38"/>
        <v/>
      </c>
      <c r="D1446" s="443"/>
      <c r="E1446" s="455"/>
      <c r="F1446" s="455"/>
      <c r="G1446" s="788"/>
      <c r="J1446" s="485"/>
    </row>
    <row r="1447" spans="1:10" ht="15" thickTop="1" x14ac:dyDescent="0.35">
      <c r="A1447" s="403" t="str">
        <f ca="1">IF(SUM(I1448:I1462)&gt;0,"P","")</f>
        <v/>
      </c>
      <c r="B1447" t="str">
        <f>IF(LEN('Ch8'!H53)=0,"",'Ch8'!H53)</f>
        <v/>
      </c>
      <c r="C1447" t="str">
        <f t="shared" ca="1" si="38"/>
        <v/>
      </c>
      <c r="D1447" s="63">
        <v>801.3</v>
      </c>
      <c r="E1447" s="466"/>
      <c r="F1447" s="466"/>
      <c r="G1447" s="222" t="s">
        <v>860</v>
      </c>
      <c r="J1447" s="495" t="s">
        <v>4239</v>
      </c>
    </row>
    <row r="1448" spans="1:10" x14ac:dyDescent="0.35">
      <c r="B1448" t="str">
        <f>IF(LEN('Ch8'!H54)=0,"",'Ch8'!H54)</f>
        <v/>
      </c>
      <c r="C1448" t="str">
        <f t="shared" si="38"/>
        <v/>
      </c>
      <c r="D1448" s="33"/>
      <c r="E1448" s="441" t="s">
        <v>270</v>
      </c>
      <c r="F1448" s="126"/>
      <c r="G1448" s="707" t="s">
        <v>862</v>
      </c>
      <c r="H1448" s="49">
        <f>'Ch8'!W54</f>
        <v>0</v>
      </c>
      <c r="I1448" s="49">
        <f ca="1">'Ch8'!O54</f>
        <v>0</v>
      </c>
      <c r="J1448" s="490"/>
    </row>
    <row r="1449" spans="1:10" x14ac:dyDescent="0.35">
      <c r="B1449" t="str">
        <f>IF(LEN('Ch8'!H55)=0,"",'Ch8'!H55)</f>
        <v/>
      </c>
      <c r="C1449" t="str">
        <f t="shared" si="38"/>
        <v/>
      </c>
      <c r="D1449" s="33"/>
      <c r="E1449" s="126"/>
      <c r="F1449" s="126"/>
      <c r="G1449" s="707"/>
      <c r="J1449" s="495"/>
    </row>
    <row r="1450" spans="1:10" x14ac:dyDescent="0.35">
      <c r="B1450" t="str">
        <f>IF(LEN('Ch8'!H56)=0,"",'Ch8'!H56)</f>
        <v/>
      </c>
      <c r="C1450" t="str">
        <f t="shared" si="38"/>
        <v/>
      </c>
      <c r="D1450" s="33"/>
      <c r="E1450" s="126"/>
      <c r="F1450" s="126"/>
      <c r="G1450" s="707"/>
      <c r="J1450" s="495"/>
    </row>
    <row r="1451" spans="1:10" x14ac:dyDescent="0.35">
      <c r="B1451" t="str">
        <f>IF(LEN('Ch8'!H57)=0,"",'Ch8'!H57)</f>
        <v/>
      </c>
      <c r="C1451" t="str">
        <f t="shared" si="38"/>
        <v/>
      </c>
      <c r="D1451" s="33"/>
      <c r="E1451" s="126"/>
      <c r="F1451" s="126"/>
      <c r="G1451" s="707"/>
      <c r="J1451" s="495"/>
    </row>
    <row r="1452" spans="1:10" x14ac:dyDescent="0.35">
      <c r="B1452" t="str">
        <f>IF(LEN('Ch8'!H58)=0,"",'Ch8'!H58)</f>
        <v/>
      </c>
      <c r="C1452" t="str">
        <f t="shared" si="38"/>
        <v/>
      </c>
      <c r="D1452" s="33"/>
      <c r="E1452" s="126"/>
      <c r="F1452" s="126"/>
      <c r="G1452" s="707"/>
      <c r="J1452" s="495"/>
    </row>
    <row r="1453" spans="1:10" x14ac:dyDescent="0.35">
      <c r="B1453" t="str">
        <f>IF(LEN('Ch8'!H59)=0,"",'Ch8'!H59)</f>
        <v/>
      </c>
      <c r="C1453" t="str">
        <f t="shared" si="38"/>
        <v/>
      </c>
      <c r="D1453" s="33"/>
      <c r="E1453" s="126"/>
      <c r="F1453" s="126"/>
      <c r="G1453" s="707"/>
      <c r="J1453" s="495"/>
    </row>
    <row r="1454" spans="1:10" x14ac:dyDescent="0.35">
      <c r="B1454" t="str">
        <f>IF(LEN('Ch8'!H60)=0,"",'Ch8'!H60)</f>
        <v/>
      </c>
      <c r="C1454" t="str">
        <f t="shared" si="38"/>
        <v/>
      </c>
      <c r="D1454" s="33"/>
      <c r="E1454" s="126"/>
      <c r="F1454" s="126"/>
      <c r="G1454" s="752" t="s">
        <v>864</v>
      </c>
      <c r="J1454" s="495"/>
    </row>
    <row r="1455" spans="1:10" x14ac:dyDescent="0.35">
      <c r="B1455" t="str">
        <f>IF(LEN('Ch8'!H61)=0,"",'Ch8'!H61)</f>
        <v/>
      </c>
      <c r="C1455" t="str">
        <f t="shared" si="38"/>
        <v/>
      </c>
      <c r="D1455" s="33"/>
      <c r="E1455" s="126"/>
      <c r="F1455" s="126"/>
      <c r="G1455" s="752"/>
      <c r="J1455" s="495"/>
    </row>
    <row r="1456" spans="1:10" x14ac:dyDescent="0.35">
      <c r="B1456" t="str">
        <f>IF(LEN('Ch8'!H62)=0,"",'Ch8'!H62)</f>
        <v/>
      </c>
      <c r="C1456" t="str">
        <f t="shared" si="38"/>
        <v/>
      </c>
      <c r="D1456" s="33"/>
      <c r="E1456" s="149"/>
      <c r="F1456" s="149"/>
      <c r="G1456" s="790"/>
      <c r="J1456" s="495"/>
    </row>
    <row r="1457" spans="1:10" x14ac:dyDescent="0.35">
      <c r="B1457" t="str">
        <f>IF(LEN('Ch8'!H63)=0,"",'Ch8'!H63)</f>
        <v/>
      </c>
      <c r="C1457" t="str">
        <f t="shared" si="38"/>
        <v/>
      </c>
      <c r="D1457" s="33"/>
      <c r="E1457" s="441" t="s">
        <v>272</v>
      </c>
      <c r="F1457" s="126"/>
      <c r="G1457" s="707" t="s">
        <v>866</v>
      </c>
      <c r="H1457" s="49">
        <f>'Ch8'!W63</f>
        <v>0</v>
      </c>
      <c r="I1457" s="49">
        <f ca="1">'Ch8'!O63</f>
        <v>0</v>
      </c>
      <c r="J1457" s="495"/>
    </row>
    <row r="1458" spans="1:10" x14ac:dyDescent="0.35">
      <c r="B1458" t="str">
        <f>IF(LEN('Ch8'!H64)=0,"",'Ch8'!H64)</f>
        <v/>
      </c>
      <c r="C1458" t="str">
        <f t="shared" si="38"/>
        <v/>
      </c>
      <c r="D1458" s="33"/>
      <c r="E1458" s="126"/>
      <c r="F1458" s="126"/>
      <c r="G1458" s="707"/>
      <c r="J1458" s="495"/>
    </row>
    <row r="1459" spans="1:10" x14ac:dyDescent="0.35">
      <c r="B1459" t="str">
        <f>IF(LEN('Ch8'!H65)=0,"",'Ch8'!H65)</f>
        <v/>
      </c>
      <c r="C1459" t="str">
        <f t="shared" si="38"/>
        <v/>
      </c>
      <c r="D1459" s="126"/>
      <c r="E1459" s="126"/>
      <c r="F1459" s="441" t="s">
        <v>121</v>
      </c>
      <c r="G1459" s="104" t="s">
        <v>867</v>
      </c>
      <c r="J1459" s="495"/>
    </row>
    <row r="1460" spans="1:10" x14ac:dyDescent="0.35">
      <c r="B1460" t="str">
        <f>IF(LEN('Ch8'!H66)=0,"",'Ch8'!H66)</f>
        <v/>
      </c>
      <c r="C1460" t="str">
        <f t="shared" si="38"/>
        <v/>
      </c>
      <c r="D1460" s="126"/>
      <c r="E1460" s="126"/>
      <c r="F1460" s="441" t="s">
        <v>122</v>
      </c>
      <c r="G1460" s="104" t="s">
        <v>869</v>
      </c>
      <c r="J1460" s="495"/>
    </row>
    <row r="1461" spans="1:10" x14ac:dyDescent="0.35">
      <c r="B1461" t="str">
        <f>IF(LEN('Ch8'!H67)=0,"",'Ch8'!H67)</f>
        <v/>
      </c>
      <c r="C1461" t="str">
        <f t="shared" si="38"/>
        <v/>
      </c>
      <c r="D1461" s="126"/>
      <c r="E1461" s="149"/>
      <c r="F1461" s="459" t="s">
        <v>123</v>
      </c>
      <c r="G1461" s="214" t="s">
        <v>871</v>
      </c>
      <c r="J1461" s="495"/>
    </row>
    <row r="1462" spans="1:10" ht="15" customHeight="1" x14ac:dyDescent="0.35">
      <c r="B1462" t="str">
        <f>IF(LEN('Ch8'!H68)=0,"",'Ch8'!H68)</f>
        <v/>
      </c>
      <c r="C1462" t="str">
        <f t="shared" si="38"/>
        <v/>
      </c>
      <c r="D1462" s="33"/>
      <c r="E1462" s="441" t="s">
        <v>274</v>
      </c>
      <c r="F1462" s="126"/>
      <c r="G1462" s="104" t="s">
        <v>873</v>
      </c>
      <c r="H1462" s="49">
        <f>'Ch8'!W68</f>
        <v>0</v>
      </c>
      <c r="I1462" s="49">
        <f ca="1">'Ch8'!O68</f>
        <v>0</v>
      </c>
      <c r="J1462" s="495"/>
    </row>
    <row r="1463" spans="1:10" ht="15" thickBot="1" x14ac:dyDescent="0.4">
      <c r="B1463" t="str">
        <f>IF(LEN('Ch8'!H69)=0,"",'Ch8'!H69)</f>
        <v/>
      </c>
      <c r="C1463" t="str">
        <f t="shared" si="38"/>
        <v/>
      </c>
      <c r="D1463" s="443"/>
      <c r="E1463" s="448"/>
      <c r="F1463" s="448"/>
      <c r="G1463" s="273" t="s">
        <v>874</v>
      </c>
      <c r="J1463" s="495"/>
    </row>
    <row r="1464" spans="1:10" ht="15" thickTop="1" x14ac:dyDescent="0.35">
      <c r="A1464" s="403" t="str">
        <f ca="1">IF(SUM(I1467:I1471)&gt;0,"P","")</f>
        <v>P</v>
      </c>
      <c r="B1464" t="str">
        <f>IF(LEN('Ch8'!H70)=0,"",'Ch8'!H70)</f>
        <v/>
      </c>
      <c r="C1464" t="str">
        <f t="shared" ca="1" si="38"/>
        <v>P</v>
      </c>
      <c r="D1464" s="63">
        <v>801.4</v>
      </c>
      <c r="E1464" s="466"/>
      <c r="F1464" s="466"/>
      <c r="G1464" s="222" t="s">
        <v>876</v>
      </c>
      <c r="J1464" s="485"/>
    </row>
    <row r="1465" spans="1:10" x14ac:dyDescent="0.35">
      <c r="A1465" s="403" t="str">
        <f ca="1">A1464</f>
        <v>P</v>
      </c>
      <c r="B1465" t="str">
        <f>IF(LEN('Ch8'!H71)=0,"",'Ch8'!H71)</f>
        <v/>
      </c>
      <c r="C1465" t="str">
        <f t="shared" ca="1" si="38"/>
        <v>P</v>
      </c>
      <c r="D1465" s="33" t="s">
        <v>877</v>
      </c>
      <c r="E1465" s="126"/>
      <c r="F1465" s="126"/>
      <c r="G1465" s="706" t="s">
        <v>878</v>
      </c>
      <c r="J1465" s="814" t="s">
        <v>4240</v>
      </c>
    </row>
    <row r="1466" spans="1:10" x14ac:dyDescent="0.35">
      <c r="A1466" s="403" t="str">
        <f ca="1">A1465</f>
        <v>P</v>
      </c>
      <c r="B1466" t="str">
        <f>IF(LEN('Ch8'!H72)=0,"",'Ch8'!H72)</f>
        <v/>
      </c>
      <c r="C1466" t="str">
        <f t="shared" ca="1" si="38"/>
        <v>P</v>
      </c>
      <c r="D1466" s="33"/>
      <c r="E1466" s="126"/>
      <c r="F1466" s="126"/>
      <c r="G1466" s="706"/>
      <c r="J1466" s="814"/>
    </row>
    <row r="1467" spans="1:10" x14ac:dyDescent="0.35">
      <c r="B1467" t="str">
        <f>IF(LEN('Ch8'!H73)=0,"",'Ch8'!H73)</f>
        <v/>
      </c>
      <c r="C1467" t="str">
        <f t="shared" si="38"/>
        <v/>
      </c>
      <c r="D1467" s="33"/>
      <c r="E1467" s="441" t="s">
        <v>270</v>
      </c>
      <c r="F1467" s="126"/>
      <c r="G1467" s="104" t="s">
        <v>879</v>
      </c>
      <c r="H1467" s="49" t="str">
        <f>'Ch8'!W73</f>
        <v>2 bathrooms</v>
      </c>
      <c r="I1467" s="49">
        <f ca="1">'Ch8'!O73</f>
        <v>2</v>
      </c>
      <c r="J1467" s="490"/>
    </row>
    <row r="1468" spans="1:10" x14ac:dyDescent="0.35">
      <c r="B1468" t="str">
        <f>IF(LEN('Ch8'!H74)=0,"",'Ch8'!H74)</f>
        <v/>
      </c>
      <c r="C1468" t="str">
        <f t="shared" si="38"/>
        <v/>
      </c>
      <c r="D1468" s="33"/>
      <c r="E1468" s="126"/>
      <c r="F1468" s="126"/>
      <c r="G1468" s="752" t="s">
        <v>880</v>
      </c>
      <c r="J1468" s="495"/>
    </row>
    <row r="1469" spans="1:10" x14ac:dyDescent="0.35">
      <c r="B1469" t="str">
        <f>IF(LEN('Ch8'!H75)=0,"",'Ch8'!H75)</f>
        <v/>
      </c>
      <c r="C1469" t="str">
        <f t="shared" si="38"/>
        <v/>
      </c>
      <c r="D1469" s="33"/>
      <c r="E1469" s="126"/>
      <c r="F1469" s="126"/>
      <c r="G1469" s="752"/>
      <c r="J1469" s="495"/>
    </row>
    <row r="1470" spans="1:10" x14ac:dyDescent="0.35">
      <c r="B1470" t="str">
        <f>IF(LEN('Ch8'!H76)=0,"",'Ch8'!H76)</f>
        <v/>
      </c>
      <c r="C1470" t="str">
        <f t="shared" si="38"/>
        <v/>
      </c>
      <c r="D1470" s="33"/>
      <c r="E1470" s="149"/>
      <c r="F1470" s="149"/>
      <c r="G1470" s="790"/>
      <c r="J1470" s="495"/>
    </row>
    <row r="1471" spans="1:10" x14ac:dyDescent="0.35">
      <c r="B1471" t="str">
        <f>IF(LEN('Ch8'!H77)=0,"",'Ch8'!H77)</f>
        <v/>
      </c>
      <c r="C1471" t="str">
        <f t="shared" si="38"/>
        <v/>
      </c>
      <c r="D1471" s="442"/>
      <c r="E1471" s="459" t="s">
        <v>272</v>
      </c>
      <c r="F1471" s="149"/>
      <c r="G1471" s="214" t="s">
        <v>881</v>
      </c>
      <c r="H1471" s="49" t="b">
        <f>'Ch8'!W77</f>
        <v>1</v>
      </c>
      <c r="I1471" s="49">
        <f>'Ch8'!O77</f>
        <v>6</v>
      </c>
      <c r="J1471" s="495"/>
    </row>
    <row r="1472" spans="1:10" x14ac:dyDescent="0.35">
      <c r="A1472" s="403" t="str">
        <f>IF(AND(LEN('Ch8'!W78)&gt;0,NOT('Ch8'!W78=FALSE)),"P","")</f>
        <v/>
      </c>
      <c r="B1472" t="str">
        <f>IF(LEN('Ch8'!H78)=0,"",'Ch8'!H78)</f>
        <v/>
      </c>
      <c r="C1472" t="str">
        <f t="shared" si="38"/>
        <v/>
      </c>
      <c r="D1472" s="444" t="s">
        <v>882</v>
      </c>
      <c r="E1472" s="471"/>
      <c r="F1472" s="471"/>
      <c r="G1472" s="753" t="s">
        <v>883</v>
      </c>
      <c r="H1472" s="49">
        <f>'Ch8'!W78</f>
        <v>0</v>
      </c>
      <c r="I1472" s="49">
        <f ca="1">'Ch8'!O78</f>
        <v>0</v>
      </c>
      <c r="J1472" s="813" t="s">
        <v>4177</v>
      </c>
    </row>
    <row r="1473" spans="1:10" x14ac:dyDescent="0.35">
      <c r="A1473" s="403" t="str">
        <f>A1472</f>
        <v/>
      </c>
      <c r="B1473" t="str">
        <f>IF(LEN('Ch8'!H79)=0,"",'Ch8'!H79)</f>
        <v/>
      </c>
      <c r="C1473" t="str">
        <f t="shared" si="38"/>
        <v/>
      </c>
      <c r="D1473" s="33"/>
      <c r="E1473" s="126"/>
      <c r="F1473" s="126"/>
      <c r="G1473" s="706"/>
      <c r="J1473" s="813"/>
    </row>
    <row r="1474" spans="1:10" ht="15" thickBot="1" x14ac:dyDescent="0.4">
      <c r="B1474" t="str">
        <f>IF(LEN('Ch8'!H80)=0,"",'Ch8'!H80)</f>
        <v/>
      </c>
      <c r="C1474" t="str">
        <f t="shared" si="38"/>
        <v/>
      </c>
      <c r="D1474" s="443"/>
      <c r="E1474" s="448"/>
      <c r="F1474" s="448"/>
      <c r="G1474" s="273" t="s">
        <v>884</v>
      </c>
      <c r="J1474" s="485"/>
    </row>
    <row r="1475" spans="1:10" ht="15" thickTop="1" x14ac:dyDescent="0.35">
      <c r="A1475" s="403" t="str">
        <f ca="1">IF(SUM(I1479:I1494)&gt;0,"P","")</f>
        <v>P</v>
      </c>
      <c r="B1475" t="str">
        <f>IF(LEN('Ch8'!H81)=0,"",'Ch8'!H81)</f>
        <v/>
      </c>
      <c r="C1475" t="str">
        <f t="shared" ca="1" si="38"/>
        <v>P</v>
      </c>
      <c r="D1475" s="63">
        <v>801.5</v>
      </c>
      <c r="E1475" s="466"/>
      <c r="F1475" s="466"/>
      <c r="G1475" s="792" t="s">
        <v>885</v>
      </c>
      <c r="J1475" s="814" t="s">
        <v>4241</v>
      </c>
    </row>
    <row r="1476" spans="1:10" x14ac:dyDescent="0.35">
      <c r="A1476" s="403" t="str">
        <f ca="1">A1475</f>
        <v>P</v>
      </c>
      <c r="B1476" t="str">
        <f>IF(LEN('Ch8'!H82)=0,"",'Ch8'!H82)</f>
        <v/>
      </c>
      <c r="C1476" t="str">
        <f t="shared" ca="1" si="38"/>
        <v>P</v>
      </c>
      <c r="D1476" s="33"/>
      <c r="E1476" s="126"/>
      <c r="F1476" s="126"/>
      <c r="G1476" s="783"/>
      <c r="J1476" s="814"/>
    </row>
    <row r="1477" spans="1:10" x14ac:dyDescent="0.35">
      <c r="B1477" t="str">
        <f>IF(LEN('Ch8'!H83)=0,"",'Ch8'!H83)</f>
        <v/>
      </c>
      <c r="C1477" t="str">
        <f t="shared" si="38"/>
        <v/>
      </c>
      <c r="D1477" s="33"/>
      <c r="E1477" s="441" t="s">
        <v>270</v>
      </c>
      <c r="F1477" s="126"/>
      <c r="G1477" s="723" t="s">
        <v>886</v>
      </c>
      <c r="J1477" s="490"/>
    </row>
    <row r="1478" spans="1:10" x14ac:dyDescent="0.35">
      <c r="B1478" t="str">
        <f>IF(LEN('Ch8'!H84)=0,"",'Ch8'!H84)</f>
        <v/>
      </c>
      <c r="C1478" t="str">
        <f t="shared" si="38"/>
        <v/>
      </c>
      <c r="D1478" s="33"/>
      <c r="E1478" s="459"/>
      <c r="F1478" s="149"/>
      <c r="G1478" s="724"/>
      <c r="J1478" s="495"/>
    </row>
    <row r="1479" spans="1:10" x14ac:dyDescent="0.35">
      <c r="B1479" t="str">
        <f>IF(LEN('Ch8'!H85)=0,"",'Ch8'!H85)</f>
        <v/>
      </c>
      <c r="C1479" t="str">
        <f t="shared" si="38"/>
        <v/>
      </c>
      <c r="D1479" s="33"/>
      <c r="E1479" s="441" t="s">
        <v>272</v>
      </c>
      <c r="F1479" s="126"/>
      <c r="G1479" s="707" t="s">
        <v>887</v>
      </c>
      <c r="H1479" s="49" t="str">
        <f>'Ch8'!W85</f>
        <v>2 fixtures</v>
      </c>
      <c r="I1479" s="49">
        <f ca="1">'Ch8'!O85</f>
        <v>4</v>
      </c>
      <c r="J1479" s="495"/>
    </row>
    <row r="1480" spans="1:10" x14ac:dyDescent="0.35">
      <c r="B1480" t="str">
        <f>IF(LEN('Ch8'!H86)=0,"",'Ch8'!H86)</f>
        <v/>
      </c>
      <c r="C1480" t="str">
        <f t="shared" si="38"/>
        <v/>
      </c>
      <c r="D1480" s="33"/>
      <c r="E1480" s="126"/>
      <c r="F1480" s="126"/>
      <c r="G1480" s="707"/>
      <c r="J1480" s="495"/>
    </row>
    <row r="1481" spans="1:10" x14ac:dyDescent="0.35">
      <c r="B1481" t="str">
        <f>IF(LEN('Ch8'!H87)=0,"",'Ch8'!H87)</f>
        <v/>
      </c>
      <c r="C1481" t="str">
        <f t="shared" si="38"/>
        <v/>
      </c>
      <c r="D1481" s="33"/>
      <c r="E1481" s="126"/>
      <c r="F1481" s="126"/>
      <c r="G1481" s="707"/>
      <c r="J1481" s="495"/>
    </row>
    <row r="1482" spans="1:10" x14ac:dyDescent="0.35">
      <c r="B1482" t="str">
        <f>IF(LEN('Ch8'!H88)=0,"",'Ch8'!H88)</f>
        <v/>
      </c>
      <c r="C1482" t="str">
        <f t="shared" si="38"/>
        <v/>
      </c>
      <c r="D1482" s="33"/>
      <c r="E1482" s="126"/>
      <c r="F1482" s="126"/>
      <c r="G1482" s="752" t="s">
        <v>888</v>
      </c>
      <c r="J1482" s="495"/>
    </row>
    <row r="1483" spans="1:10" x14ac:dyDescent="0.35">
      <c r="B1483" t="str">
        <f>IF(LEN('Ch8'!H89)=0,"",'Ch8'!H89)</f>
        <v/>
      </c>
      <c r="C1483" t="str">
        <f t="shared" si="38"/>
        <v/>
      </c>
      <c r="D1483" s="33"/>
      <c r="E1483" s="126"/>
      <c r="F1483" s="126"/>
      <c r="G1483" s="752"/>
      <c r="J1483" s="495"/>
    </row>
    <row r="1484" spans="1:10" x14ac:dyDescent="0.35">
      <c r="B1484" t="str">
        <f>IF(LEN('Ch8'!H90)=0,"",'Ch8'!H90)</f>
        <v/>
      </c>
      <c r="C1484" t="str">
        <f t="shared" si="38"/>
        <v/>
      </c>
      <c r="D1484" s="33"/>
      <c r="E1484" s="149"/>
      <c r="F1484" s="149"/>
      <c r="G1484" s="790"/>
      <c r="J1484" s="495"/>
    </row>
    <row r="1485" spans="1:10" x14ac:dyDescent="0.35">
      <c r="B1485" t="str">
        <f>IF(LEN('Ch8'!H91)=0,"",'Ch8'!H91)</f>
        <v/>
      </c>
      <c r="C1485" t="str">
        <f t="shared" si="38"/>
        <v/>
      </c>
      <c r="D1485" s="33"/>
      <c r="E1485" s="459" t="s">
        <v>274</v>
      </c>
      <c r="F1485" s="149"/>
      <c r="G1485" s="214" t="s">
        <v>889</v>
      </c>
      <c r="H1485" s="49" t="b">
        <f>'Ch8'!W91</f>
        <v>1</v>
      </c>
      <c r="I1485" s="49">
        <f ca="1">'Ch8'!O91</f>
        <v>7</v>
      </c>
      <c r="J1485" s="495"/>
    </row>
    <row r="1486" spans="1:10" x14ac:dyDescent="0.35">
      <c r="B1486" t="str">
        <f>IF(LEN('Ch8'!H92)=0,"",'Ch8'!H92)</f>
        <v/>
      </c>
      <c r="C1486" t="str">
        <f t="shared" si="38"/>
        <v/>
      </c>
      <c r="D1486" s="33"/>
      <c r="E1486" s="441" t="s">
        <v>283</v>
      </c>
      <c r="F1486" s="126"/>
      <c r="G1486" s="707" t="s">
        <v>890</v>
      </c>
      <c r="J1486" s="495"/>
    </row>
    <row r="1487" spans="1:10" x14ac:dyDescent="0.35">
      <c r="B1487" t="str">
        <f>IF(LEN('Ch8'!H93)=0,"",'Ch8'!H93)</f>
        <v/>
      </c>
      <c r="C1487" t="str">
        <f t="shared" si="38"/>
        <v/>
      </c>
      <c r="D1487" s="33"/>
      <c r="E1487" s="126"/>
      <c r="F1487" s="126"/>
      <c r="G1487" s="707"/>
      <c r="J1487" s="495"/>
    </row>
    <row r="1488" spans="1:10" x14ac:dyDescent="0.35">
      <c r="B1488" t="str">
        <f>IF(LEN('Ch8'!H94)=0,"",'Ch8'!H94)</f>
        <v/>
      </c>
      <c r="C1488" t="str">
        <f t="shared" si="38"/>
        <v/>
      </c>
      <c r="D1488" s="126"/>
      <c r="E1488" s="126"/>
      <c r="F1488" s="441" t="s">
        <v>121</v>
      </c>
      <c r="G1488" s="104" t="s">
        <v>891</v>
      </c>
      <c r="H1488" s="49">
        <f>'Ch8'!W94</f>
        <v>0</v>
      </c>
      <c r="I1488" s="49">
        <f ca="1">'Ch8'!O94</f>
        <v>0</v>
      </c>
      <c r="J1488" s="495"/>
    </row>
    <row r="1489" spans="1:10" x14ac:dyDescent="0.35">
      <c r="B1489" t="str">
        <f>IF(LEN('Ch8'!H95)=0,"",'Ch8'!H95)</f>
        <v/>
      </c>
      <c r="C1489" t="str">
        <f t="shared" ref="C1489:C1552" si="39">IF(LEN(B1489)=0,IF(A1489="P","P",""),B1489)</f>
        <v/>
      </c>
      <c r="D1489" s="126"/>
      <c r="E1489" s="126"/>
      <c r="F1489" s="126"/>
      <c r="G1489" s="752" t="s">
        <v>893</v>
      </c>
      <c r="J1489" s="495"/>
    </row>
    <row r="1490" spans="1:10" x14ac:dyDescent="0.35">
      <c r="B1490" t="str">
        <f>IF(LEN('Ch8'!H96)=0,"",'Ch8'!H96)</f>
        <v/>
      </c>
      <c r="C1490" t="str">
        <f t="shared" si="39"/>
        <v/>
      </c>
      <c r="D1490" s="126"/>
      <c r="E1490" s="126"/>
      <c r="F1490" s="126"/>
      <c r="G1490" s="752"/>
      <c r="J1490" s="495"/>
    </row>
    <row r="1491" spans="1:10" x14ac:dyDescent="0.35">
      <c r="B1491" t="str">
        <f>IF(LEN('Ch8'!H97)=0,"",'Ch8'!H97)</f>
        <v/>
      </c>
      <c r="C1491" t="str">
        <f t="shared" si="39"/>
        <v/>
      </c>
      <c r="D1491" s="126"/>
      <c r="E1491" s="126"/>
      <c r="F1491" s="149"/>
      <c r="G1491" s="790"/>
      <c r="J1491" s="495"/>
    </row>
    <row r="1492" spans="1:10" x14ac:dyDescent="0.35">
      <c r="B1492" t="str">
        <f>IF(LEN('Ch8'!H98)=0,"",'Ch8'!H98)</f>
        <v/>
      </c>
      <c r="C1492" t="str">
        <f t="shared" si="39"/>
        <v/>
      </c>
      <c r="D1492" s="126"/>
      <c r="E1492" s="126"/>
      <c r="F1492" s="441" t="s">
        <v>122</v>
      </c>
      <c r="G1492" s="707" t="s">
        <v>894</v>
      </c>
      <c r="H1492" s="49">
        <f>'Ch8'!W98</f>
        <v>0</v>
      </c>
      <c r="I1492" s="49">
        <f>'Ch8'!O98</f>
        <v>0</v>
      </c>
      <c r="J1492" s="495"/>
    </row>
    <row r="1493" spans="1:10" x14ac:dyDescent="0.35">
      <c r="B1493" t="str">
        <f>IF(LEN('Ch8'!H99)=0,"",'Ch8'!H99)</f>
        <v/>
      </c>
      <c r="C1493" t="str">
        <f t="shared" si="39"/>
        <v/>
      </c>
      <c r="D1493" s="126"/>
      <c r="E1493" s="126"/>
      <c r="F1493" s="459"/>
      <c r="G1493" s="709"/>
      <c r="J1493" s="495"/>
    </row>
    <row r="1494" spans="1:10" ht="15" thickBot="1" x14ac:dyDescent="0.4">
      <c r="B1494" t="str">
        <f>IF(LEN('Ch8'!H100)=0,"",'Ch8'!H100)</f>
        <v/>
      </c>
      <c r="C1494" t="str">
        <f t="shared" si="39"/>
        <v/>
      </c>
      <c r="D1494" s="448"/>
      <c r="E1494" s="448"/>
      <c r="F1494" s="446" t="s">
        <v>123</v>
      </c>
      <c r="G1494" s="223" t="s">
        <v>895</v>
      </c>
      <c r="H1494" s="49">
        <f>'Ch8'!W100</f>
        <v>0</v>
      </c>
      <c r="I1494" s="49">
        <f>'Ch8'!O100</f>
        <v>0</v>
      </c>
      <c r="J1494" s="495"/>
    </row>
    <row r="1495" spans="1:10" ht="15" thickTop="1" x14ac:dyDescent="0.35">
      <c r="A1495" s="600" t="str">
        <f>IF(COUNTIF(A1496:A1517,"P")&gt;0,"P","")</f>
        <v>P</v>
      </c>
      <c r="B1495" t="str">
        <f>IF(LEN('Ch8'!H101)=0,"",'Ch8'!H101)</f>
        <v/>
      </c>
      <c r="C1495" t="str">
        <f t="shared" si="39"/>
        <v>P</v>
      </c>
      <c r="D1495" s="63">
        <v>801.6</v>
      </c>
      <c r="E1495" s="466"/>
      <c r="F1495" s="466"/>
      <c r="G1495" s="222" t="s">
        <v>897</v>
      </c>
      <c r="J1495" s="485"/>
    </row>
    <row r="1496" spans="1:10" ht="15" customHeight="1" x14ac:dyDescent="0.35">
      <c r="A1496" s="403" t="str">
        <f>IF(AND(LEN('Ch8'!W102)&gt;0,NOT('Ch8'!W102=FALSE)),"P","")</f>
        <v/>
      </c>
      <c r="B1496" t="str">
        <f>IF(LEN('Ch8'!H102)=0,"",'Ch8'!H102)</f>
        <v/>
      </c>
      <c r="C1496" t="str">
        <f t="shared" si="39"/>
        <v/>
      </c>
      <c r="D1496" s="33" t="s">
        <v>898</v>
      </c>
      <c r="E1496" s="126"/>
      <c r="F1496" s="126"/>
      <c r="G1496" s="706" t="s">
        <v>899</v>
      </c>
      <c r="H1496" s="49">
        <f>'Ch8'!W102</f>
        <v>0</v>
      </c>
      <c r="I1496" s="49">
        <f>'Ch8'!O102</f>
        <v>0</v>
      </c>
      <c r="J1496" s="804" t="s">
        <v>4760</v>
      </c>
    </row>
    <row r="1497" spans="1:10" x14ac:dyDescent="0.35">
      <c r="A1497" s="403" t="str">
        <f>A1496</f>
        <v/>
      </c>
      <c r="B1497" t="str">
        <f>IF(LEN('Ch8'!H103)=0,"",'Ch8'!H103)</f>
        <v/>
      </c>
      <c r="C1497" t="str">
        <f t="shared" si="39"/>
        <v/>
      </c>
      <c r="D1497" s="33"/>
      <c r="E1497" s="126"/>
      <c r="F1497" s="126"/>
      <c r="G1497" s="706"/>
      <c r="J1497" s="805"/>
    </row>
    <row r="1498" spans="1:10" x14ac:dyDescent="0.35">
      <c r="A1498" s="403" t="str">
        <f>A1497</f>
        <v/>
      </c>
      <c r="B1498" t="str">
        <f>IF(LEN('Ch8'!H104)=0,"",'Ch8'!H104)</f>
        <v/>
      </c>
      <c r="C1498" t="str">
        <f t="shared" si="39"/>
        <v/>
      </c>
      <c r="D1498" s="442"/>
      <c r="E1498" s="149"/>
      <c r="F1498" s="149"/>
      <c r="G1498" s="739"/>
      <c r="J1498" s="806"/>
    </row>
    <row r="1499" spans="1:10" x14ac:dyDescent="0.35">
      <c r="A1499" s="403" t="str">
        <f>IF(SUM(I1500:I1502)&gt;0,"P","")</f>
        <v/>
      </c>
      <c r="B1499" t="str">
        <f>IF(LEN('Ch8'!H105)=0,"",'Ch8'!H105)</f>
        <v/>
      </c>
      <c r="C1499" t="str">
        <f t="shared" si="39"/>
        <v/>
      </c>
      <c r="D1499" s="33" t="s">
        <v>900</v>
      </c>
      <c r="E1499" s="126"/>
      <c r="F1499" s="126"/>
      <c r="G1499" s="110" t="s">
        <v>901</v>
      </c>
      <c r="J1499" s="504" t="s">
        <v>4177</v>
      </c>
    </row>
    <row r="1500" spans="1:10" x14ac:dyDescent="0.35">
      <c r="B1500" t="str">
        <f>IF(LEN('Ch8'!H106)=0,"",'Ch8'!H106)</f>
        <v/>
      </c>
      <c r="C1500" t="str">
        <f t="shared" si="39"/>
        <v/>
      </c>
      <c r="D1500" s="33"/>
      <c r="E1500" s="459" t="s">
        <v>270</v>
      </c>
      <c r="F1500" s="149"/>
      <c r="G1500" s="214" t="s">
        <v>902</v>
      </c>
      <c r="H1500" s="49">
        <f>'Ch8'!W106</f>
        <v>0</v>
      </c>
      <c r="I1500" s="49">
        <f>'Ch8'!O106</f>
        <v>0</v>
      </c>
      <c r="J1500" s="490"/>
    </row>
    <row r="1501" spans="1:10" x14ac:dyDescent="0.35">
      <c r="B1501" t="str">
        <f>IF(LEN('Ch8'!H107)=0,"",'Ch8'!H107)</f>
        <v/>
      </c>
      <c r="C1501" t="str">
        <f t="shared" si="39"/>
        <v/>
      </c>
      <c r="D1501" s="33"/>
      <c r="E1501" s="459" t="s">
        <v>272</v>
      </c>
      <c r="F1501" s="149"/>
      <c r="G1501" s="214" t="s">
        <v>903</v>
      </c>
      <c r="H1501" s="49">
        <f>'Ch8'!W107</f>
        <v>0</v>
      </c>
      <c r="I1501" s="49">
        <f>'Ch8'!O107</f>
        <v>0</v>
      </c>
      <c r="J1501" s="504"/>
    </row>
    <row r="1502" spans="1:10" x14ac:dyDescent="0.35">
      <c r="B1502" t="str">
        <f>IF(LEN('Ch8'!H108)=0,"",'Ch8'!H108)</f>
        <v/>
      </c>
      <c r="C1502" t="str">
        <f t="shared" si="39"/>
        <v/>
      </c>
      <c r="D1502" s="33"/>
      <c r="E1502" s="441" t="s">
        <v>274</v>
      </c>
      <c r="F1502" s="126"/>
      <c r="G1502" s="707" t="s">
        <v>904</v>
      </c>
      <c r="H1502" s="49">
        <f>'Ch8'!W108</f>
        <v>0</v>
      </c>
      <c r="I1502" s="49">
        <f>'Ch8'!O108</f>
        <v>0</v>
      </c>
      <c r="J1502" s="504"/>
    </row>
    <row r="1503" spans="1:10" x14ac:dyDescent="0.35">
      <c r="B1503" t="str">
        <f>IF(LEN('Ch8'!H109)=0,"",'Ch8'!H109)</f>
        <v/>
      </c>
      <c r="C1503" t="str">
        <f t="shared" si="39"/>
        <v/>
      </c>
      <c r="D1503" s="442"/>
      <c r="E1503" s="149"/>
      <c r="F1503" s="149"/>
      <c r="G1503" s="709"/>
      <c r="J1503" s="504"/>
    </row>
    <row r="1504" spans="1:10" x14ac:dyDescent="0.35">
      <c r="A1504" s="403" t="str">
        <f>IF(AND(LEN('Ch8'!W110)&gt;0,NOT('Ch8'!W110=FALSE)),"P","")</f>
        <v/>
      </c>
      <c r="B1504" t="str">
        <f>IF(LEN('Ch8'!H110)=0,"",'Ch8'!H110)</f>
        <v/>
      </c>
      <c r="C1504" t="str">
        <f t="shared" si="39"/>
        <v/>
      </c>
      <c r="D1504" s="444" t="s">
        <v>905</v>
      </c>
      <c r="E1504" s="471"/>
      <c r="F1504" s="471"/>
      <c r="G1504" s="753" t="s">
        <v>906</v>
      </c>
      <c r="H1504" s="49">
        <f>'Ch8'!W110</f>
        <v>0</v>
      </c>
      <c r="J1504" s="804" t="s">
        <v>4761</v>
      </c>
    </row>
    <row r="1505" spans="1:10" x14ac:dyDescent="0.35">
      <c r="A1505" s="403" t="str">
        <f>A1504</f>
        <v/>
      </c>
      <c r="B1505" t="str">
        <f>IF(LEN('Ch8'!H111)=0,"",'Ch8'!H111)</f>
        <v/>
      </c>
      <c r="C1505" t="str">
        <f t="shared" si="39"/>
        <v/>
      </c>
      <c r="D1505" s="33"/>
      <c r="E1505" s="126"/>
      <c r="F1505" s="126"/>
      <c r="G1505" s="706"/>
      <c r="J1505" s="805"/>
    </row>
    <row r="1506" spans="1:10" x14ac:dyDescent="0.35">
      <c r="A1506" s="403" t="str">
        <f>A1505</f>
        <v/>
      </c>
      <c r="B1506" t="str">
        <f>IF(LEN('Ch8'!H112)=0,"",'Ch8'!H112)</f>
        <v/>
      </c>
      <c r="C1506" t="str">
        <f t="shared" si="39"/>
        <v/>
      </c>
      <c r="D1506" s="33"/>
      <c r="E1506" s="126"/>
      <c r="F1506" s="126"/>
      <c r="G1506" s="706"/>
      <c r="J1506" s="806"/>
    </row>
    <row r="1507" spans="1:10" x14ac:dyDescent="0.35">
      <c r="A1507" s="600" t="str">
        <f>IF(COUNTIF(A1510:A1513,"P")&gt;0,"P","")</f>
        <v>P</v>
      </c>
      <c r="B1507" t="str">
        <f>IF(LEN('Ch8'!H113)=0,"",'Ch8'!H113)</f>
        <v/>
      </c>
      <c r="C1507" t="str">
        <f t="shared" si="39"/>
        <v>P</v>
      </c>
      <c r="D1507" s="444" t="s">
        <v>907</v>
      </c>
      <c r="E1507" s="471"/>
      <c r="F1507" s="471"/>
      <c r="G1507" s="787" t="s">
        <v>908</v>
      </c>
      <c r="J1507" s="485"/>
    </row>
    <row r="1508" spans="1:10" x14ac:dyDescent="0.35">
      <c r="A1508" s="403" t="str">
        <f>A1507</f>
        <v>P</v>
      </c>
      <c r="B1508" t="str">
        <f>IF(LEN('Ch8'!H114)=0,"",'Ch8'!H114)</f>
        <v/>
      </c>
      <c r="C1508" t="str">
        <f t="shared" si="39"/>
        <v>P</v>
      </c>
      <c r="D1508" s="33"/>
      <c r="E1508" s="126"/>
      <c r="F1508" s="126"/>
      <c r="G1508" s="783"/>
      <c r="J1508" s="485"/>
    </row>
    <row r="1509" spans="1:10" x14ac:dyDescent="0.35">
      <c r="B1509" t="str">
        <f>IF(LEN('Ch8'!H115)=0,"",'Ch8'!H115)</f>
        <v/>
      </c>
      <c r="C1509" t="str">
        <f t="shared" si="39"/>
        <v/>
      </c>
      <c r="D1509" s="33"/>
      <c r="E1509" s="126"/>
      <c r="F1509" s="126"/>
      <c r="G1509" s="107" t="s">
        <v>909</v>
      </c>
      <c r="J1509" s="485"/>
    </row>
    <row r="1510" spans="1:10" x14ac:dyDescent="0.35">
      <c r="A1510" s="403" t="str">
        <f>IF(AND(LEN('Ch8'!W116)&gt;0,NOT('Ch8'!W116=FALSE)),"P","")</f>
        <v/>
      </c>
      <c r="B1510" t="str">
        <f>IF(LEN('Ch8'!H116)=0,"",'Ch8'!H116)</f>
        <v/>
      </c>
      <c r="C1510" t="str">
        <f t="shared" si="39"/>
        <v/>
      </c>
      <c r="D1510" s="33"/>
      <c r="E1510" s="441" t="s">
        <v>270</v>
      </c>
      <c r="F1510" s="126"/>
      <c r="G1510" s="707" t="s">
        <v>910</v>
      </c>
      <c r="H1510" s="49">
        <f>'Ch8'!W116</f>
        <v>0</v>
      </c>
      <c r="I1510" s="49">
        <f>'Ch8'!O116</f>
        <v>0</v>
      </c>
      <c r="J1510" s="826" t="s">
        <v>4224</v>
      </c>
    </row>
    <row r="1511" spans="1:10" x14ac:dyDescent="0.35">
      <c r="A1511" s="403" t="str">
        <f>A1510</f>
        <v/>
      </c>
      <c r="B1511" t="str">
        <f>IF(LEN('Ch8'!H117)=0,"",'Ch8'!H117)</f>
        <v/>
      </c>
      <c r="C1511" t="str">
        <f t="shared" si="39"/>
        <v/>
      </c>
      <c r="D1511" s="33"/>
      <c r="E1511" s="149"/>
      <c r="F1511" s="149"/>
      <c r="G1511" s="709"/>
      <c r="J1511" s="826"/>
    </row>
    <row r="1512" spans="1:10" x14ac:dyDescent="0.35">
      <c r="A1512" s="403" t="str">
        <f>IF(AND(LEN('Ch8'!W118)&gt;0,NOT('Ch8'!W118=FALSE)),"P","")</f>
        <v/>
      </c>
      <c r="B1512" t="str">
        <f>IF(LEN('Ch8'!H118)=0,"",'Ch8'!H118)</f>
        <v/>
      </c>
      <c r="C1512" t="str">
        <f t="shared" si="39"/>
        <v/>
      </c>
      <c r="D1512" s="33"/>
      <c r="E1512" s="459" t="s">
        <v>272</v>
      </c>
      <c r="F1512" s="149"/>
      <c r="G1512" s="214" t="s">
        <v>911</v>
      </c>
      <c r="H1512" s="49">
        <f>'Ch8'!W118</f>
        <v>0</v>
      </c>
      <c r="J1512" s="504" t="s">
        <v>4224</v>
      </c>
    </row>
    <row r="1513" spans="1:10" x14ac:dyDescent="0.35">
      <c r="A1513" s="403" t="str">
        <f>IF(AND(LEN('Ch8'!W119)&gt;0,NOT('Ch8'!W119=FALSE)),"P","")</f>
        <v>P</v>
      </c>
      <c r="B1513" t="str">
        <f>IF(LEN('Ch8'!H119)=0,"",'Ch8'!H119)</f>
        <v/>
      </c>
      <c r="C1513" t="str">
        <f t="shared" si="39"/>
        <v>P</v>
      </c>
      <c r="D1513" s="33"/>
      <c r="E1513" s="441" t="s">
        <v>274</v>
      </c>
      <c r="F1513" s="126"/>
      <c r="G1513" s="707" t="s">
        <v>912</v>
      </c>
      <c r="H1513" s="49" t="b">
        <f>'Ch8'!W119</f>
        <v>1</v>
      </c>
      <c r="I1513" s="49">
        <f ca="1">'Ch8'!O119</f>
        <v>15</v>
      </c>
      <c r="J1513" s="826" t="s">
        <v>4242</v>
      </c>
    </row>
    <row r="1514" spans="1:10" x14ac:dyDescent="0.35">
      <c r="A1514" s="403" t="str">
        <f>A1513</f>
        <v>P</v>
      </c>
      <c r="B1514" t="str">
        <f>IF(LEN('Ch8'!H120)=0,"",'Ch8'!H120)</f>
        <v/>
      </c>
      <c r="C1514" t="str">
        <f t="shared" si="39"/>
        <v>P</v>
      </c>
      <c r="D1514" s="33"/>
      <c r="E1514" s="126"/>
      <c r="F1514" s="126"/>
      <c r="G1514" s="707"/>
      <c r="J1514" s="826"/>
    </row>
    <row r="1515" spans="1:10" x14ac:dyDescent="0.35">
      <c r="B1515" t="str">
        <f>IF(LEN('Ch8'!H121)=0,"",'Ch8'!H121)</f>
        <v/>
      </c>
      <c r="C1515" t="str">
        <f t="shared" si="39"/>
        <v/>
      </c>
      <c r="D1515" s="33"/>
      <c r="E1515" s="126"/>
      <c r="F1515" s="126"/>
      <c r="G1515" s="714" t="s">
        <v>3847</v>
      </c>
      <c r="J1515" s="485"/>
    </row>
    <row r="1516" spans="1:10" x14ac:dyDescent="0.35">
      <c r="B1516" t="str">
        <f>IF(LEN('Ch8'!H122)=0,"",'Ch8'!H122)</f>
        <v/>
      </c>
      <c r="C1516" t="str">
        <f t="shared" si="39"/>
        <v/>
      </c>
      <c r="D1516" s="442"/>
      <c r="E1516" s="149"/>
      <c r="F1516" s="149"/>
      <c r="G1516" s="755"/>
      <c r="J1516" s="485"/>
    </row>
    <row r="1517" spans="1:10" x14ac:dyDescent="0.35">
      <c r="A1517" s="403" t="str">
        <f>IF(AND(LEN('Ch8'!W123)&gt;0,NOT('Ch8'!W123=FALSE)),"P","")</f>
        <v/>
      </c>
      <c r="B1517" t="str">
        <f>IF(LEN('Ch8'!H123)=0,"",'Ch8'!H123)</f>
        <v/>
      </c>
      <c r="C1517" t="str">
        <f t="shared" si="39"/>
        <v/>
      </c>
      <c r="D1517" s="444" t="s">
        <v>913</v>
      </c>
      <c r="E1517" s="471"/>
      <c r="F1517" s="471"/>
      <c r="G1517" s="753" t="s">
        <v>914</v>
      </c>
      <c r="H1517" s="49">
        <f>'Ch8'!W123</f>
        <v>0</v>
      </c>
      <c r="I1517" s="49">
        <f>'Ch8'!O123</f>
        <v>0</v>
      </c>
      <c r="J1517" s="485" t="s">
        <v>4243</v>
      </c>
    </row>
    <row r="1518" spans="1:10" x14ac:dyDescent="0.35">
      <c r="A1518" s="403" t="str">
        <f>A1517</f>
        <v/>
      </c>
      <c r="B1518" t="str">
        <f>IF(LEN('Ch8'!H124)=0,"",'Ch8'!H124)</f>
        <v/>
      </c>
      <c r="C1518" t="str">
        <f t="shared" si="39"/>
        <v/>
      </c>
      <c r="D1518" s="33"/>
      <c r="E1518" s="126"/>
      <c r="F1518" s="126"/>
      <c r="G1518" s="706"/>
      <c r="J1518" s="485"/>
    </row>
    <row r="1519" spans="1:10" ht="15" thickTop="1" x14ac:dyDescent="0.35">
      <c r="A1519" s="600" t="str">
        <f ca="1">IF(COUNTIF(A1521:A1532,"P")&gt;0,"P","")</f>
        <v/>
      </c>
      <c r="B1519" t="str">
        <f>IF(LEN('Ch8'!H125)=0,"",'Ch8'!H125)</f>
        <v/>
      </c>
      <c r="C1519" t="str">
        <f t="shared" ca="1" si="39"/>
        <v/>
      </c>
      <c r="D1519" s="63">
        <v>801.7</v>
      </c>
      <c r="E1519" s="466"/>
      <c r="F1519" s="466"/>
      <c r="G1519" s="794" t="s">
        <v>915</v>
      </c>
      <c r="J1519" s="485"/>
    </row>
    <row r="1520" spans="1:10" x14ac:dyDescent="0.35">
      <c r="A1520" s="403" t="str">
        <f ca="1">A1519</f>
        <v/>
      </c>
      <c r="B1520" t="str">
        <f>IF(LEN('Ch8'!H126)=0,"",'Ch8'!H126)</f>
        <v/>
      </c>
      <c r="C1520" t="str">
        <f t="shared" ca="1" si="39"/>
        <v/>
      </c>
      <c r="D1520" s="33"/>
      <c r="E1520" s="126"/>
      <c r="F1520" s="126"/>
      <c r="G1520" s="795"/>
      <c r="J1520" s="485"/>
    </row>
    <row r="1521" spans="1:10" x14ac:dyDescent="0.35">
      <c r="A1521" s="403" t="str">
        <f>IF(AND(LEN('Ch8'!W127)&gt;0,NOT('Ch8'!W127=FALSE)),"P","")</f>
        <v/>
      </c>
      <c r="B1521" t="str">
        <f>IF(LEN('Ch8'!H127)=0,"",'Ch8'!H127)</f>
        <v/>
      </c>
      <c r="C1521" t="str">
        <f t="shared" si="39"/>
        <v/>
      </c>
      <c r="D1521" s="33" t="s">
        <v>1304</v>
      </c>
      <c r="E1521" s="126"/>
      <c r="F1521" s="126"/>
      <c r="G1521" s="352" t="s">
        <v>1305</v>
      </c>
      <c r="H1521" s="49">
        <f>'Ch8'!W127</f>
        <v>0</v>
      </c>
      <c r="I1521" s="49">
        <f ca="1">'Ch8'!O127</f>
        <v>0</v>
      </c>
      <c r="J1521" s="485" t="s">
        <v>4177</v>
      </c>
    </row>
    <row r="1522" spans="1:10" x14ac:dyDescent="0.35">
      <c r="B1522" t="str">
        <f>IF(LEN('Ch8'!H128)=0,"",'Ch8'!H128)</f>
        <v/>
      </c>
      <c r="C1522" t="str">
        <f t="shared" si="39"/>
        <v/>
      </c>
      <c r="D1522" s="33"/>
      <c r="E1522" s="459" t="s">
        <v>270</v>
      </c>
      <c r="F1522" s="149"/>
      <c r="G1522" s="214" t="s">
        <v>916</v>
      </c>
      <c r="J1522" s="485"/>
    </row>
    <row r="1523" spans="1:10" x14ac:dyDescent="0.35">
      <c r="B1523" t="str">
        <f>IF(LEN('Ch8'!H129)=0,"",'Ch8'!H129)</f>
        <v/>
      </c>
      <c r="C1523" t="str">
        <f t="shared" si="39"/>
        <v/>
      </c>
      <c r="D1523" s="33"/>
      <c r="E1523" s="441" t="s">
        <v>272</v>
      </c>
      <c r="F1523" s="126"/>
      <c r="G1523" s="707" t="s">
        <v>917</v>
      </c>
      <c r="J1523" s="485"/>
    </row>
    <row r="1524" spans="1:10" x14ac:dyDescent="0.35">
      <c r="B1524" t="str">
        <f>IF(LEN('Ch8'!H130)=0,"",'Ch8'!H130)</f>
        <v/>
      </c>
      <c r="C1524" t="str">
        <f t="shared" si="39"/>
        <v/>
      </c>
      <c r="D1524" s="33"/>
      <c r="E1524" s="126"/>
      <c r="F1524" s="126"/>
      <c r="G1524" s="707"/>
      <c r="J1524" s="485"/>
    </row>
    <row r="1525" spans="1:10" x14ac:dyDescent="0.35">
      <c r="B1525" t="str">
        <f>IF(LEN('Ch8'!H131)=0,"",'Ch8'!H131)</f>
        <v/>
      </c>
      <c r="C1525" t="str">
        <f t="shared" si="39"/>
        <v/>
      </c>
      <c r="D1525" s="126"/>
      <c r="E1525" s="126"/>
      <c r="F1525" s="459" t="s">
        <v>121</v>
      </c>
      <c r="G1525" s="214" t="s">
        <v>918</v>
      </c>
      <c r="J1525" s="485"/>
    </row>
    <row r="1526" spans="1:10" x14ac:dyDescent="0.35">
      <c r="B1526" t="str">
        <f>IF(LEN('Ch8'!H132)=0,"",'Ch8'!H132)</f>
        <v/>
      </c>
      <c r="C1526" t="str">
        <f t="shared" si="39"/>
        <v/>
      </c>
      <c r="D1526" s="126"/>
      <c r="E1526" s="126"/>
      <c r="F1526" s="459" t="s">
        <v>122</v>
      </c>
      <c r="G1526" s="214" t="s">
        <v>919</v>
      </c>
      <c r="J1526" s="485"/>
    </row>
    <row r="1527" spans="1:10" x14ac:dyDescent="0.35">
      <c r="B1527" t="str">
        <f>IF(LEN('Ch8'!H133)=0,"",'Ch8'!H133)</f>
        <v/>
      </c>
      <c r="C1527" t="str">
        <f t="shared" si="39"/>
        <v/>
      </c>
      <c r="D1527" s="126"/>
      <c r="E1527" s="126"/>
      <c r="F1527" s="441" t="s">
        <v>123</v>
      </c>
      <c r="G1527" s="707" t="s">
        <v>920</v>
      </c>
      <c r="J1527" s="485"/>
    </row>
    <row r="1528" spans="1:10" x14ac:dyDescent="0.35">
      <c r="B1528" t="str">
        <f>IF(LEN('Ch8'!H134)=0,"",'Ch8'!H134)</f>
        <v/>
      </c>
      <c r="C1528" t="str">
        <f t="shared" si="39"/>
        <v/>
      </c>
      <c r="D1528" s="126"/>
      <c r="E1528" s="126"/>
      <c r="F1528" s="149"/>
      <c r="G1528" s="709"/>
      <c r="J1528" s="485"/>
    </row>
    <row r="1529" spans="1:10" x14ac:dyDescent="0.35">
      <c r="B1529" t="str">
        <f>IF(LEN('Ch8'!H135)=0,"",'Ch8'!H135)</f>
        <v/>
      </c>
      <c r="C1529" t="str">
        <f t="shared" si="39"/>
        <v/>
      </c>
      <c r="D1529" s="126"/>
      <c r="E1529" s="126"/>
      <c r="F1529" s="441" t="s">
        <v>420</v>
      </c>
      <c r="G1529" s="707" t="s">
        <v>921</v>
      </c>
      <c r="J1529" s="485"/>
    </row>
    <row r="1530" spans="1:10" x14ac:dyDescent="0.35">
      <c r="B1530" t="str">
        <f>IF(LEN('Ch8'!H136)=0,"",'Ch8'!H136)</f>
        <v/>
      </c>
      <c r="C1530" t="str">
        <f t="shared" si="39"/>
        <v/>
      </c>
      <c r="D1530" s="33"/>
      <c r="E1530" s="126"/>
      <c r="F1530" s="126"/>
      <c r="G1530" s="707"/>
      <c r="J1530" s="485"/>
    </row>
    <row r="1531" spans="1:10" x14ac:dyDescent="0.35">
      <c r="B1531" t="str">
        <f>IF(LEN('Ch8'!H137)=0,"",'Ch8'!H137)</f>
        <v/>
      </c>
      <c r="C1531" t="str">
        <f t="shared" si="39"/>
        <v/>
      </c>
      <c r="D1531" s="442"/>
      <c r="E1531" s="149"/>
      <c r="F1531" s="149"/>
      <c r="G1531" s="709"/>
      <c r="J1531" s="485"/>
    </row>
    <row r="1532" spans="1:10" x14ac:dyDescent="0.35">
      <c r="A1532" s="403" t="str">
        <f ca="1">IF('Ch8'!O138&gt;0,"P","")</f>
        <v/>
      </c>
      <c r="B1532" t="str">
        <f>IF(LEN('Ch8'!H138)=0,"",'Ch8'!H138)</f>
        <v/>
      </c>
      <c r="C1532" t="str">
        <f t="shared" ca="1" si="39"/>
        <v/>
      </c>
      <c r="D1532" s="444" t="s">
        <v>922</v>
      </c>
      <c r="E1532" s="471"/>
      <c r="F1532" s="471"/>
      <c r="G1532" s="753" t="s">
        <v>923</v>
      </c>
      <c r="I1532" s="49">
        <f ca="1">'Ch8'!O138</f>
        <v>0</v>
      </c>
      <c r="J1532" s="485"/>
    </row>
    <row r="1533" spans="1:10" x14ac:dyDescent="0.35">
      <c r="A1533" s="403" t="str">
        <f ca="1">A1532</f>
        <v/>
      </c>
      <c r="B1533" t="str">
        <f>IF(LEN('Ch8'!H139)=0,"",'Ch8'!H139)</f>
        <v/>
      </c>
      <c r="C1533" t="str">
        <f t="shared" ca="1" si="39"/>
        <v/>
      </c>
      <c r="D1533" s="33"/>
      <c r="E1533" s="126"/>
      <c r="F1533" s="126"/>
      <c r="G1533" s="706"/>
      <c r="J1533" s="485"/>
    </row>
    <row r="1534" spans="1:10" x14ac:dyDescent="0.35">
      <c r="A1534" s="403" t="str">
        <f ca="1">A1533</f>
        <v/>
      </c>
      <c r="B1534" t="str">
        <f>IF(LEN('Ch8'!H140)=0,"",'Ch8'!H140)</f>
        <v/>
      </c>
      <c r="C1534" t="str">
        <f t="shared" ca="1" si="39"/>
        <v/>
      </c>
      <c r="D1534" s="33"/>
      <c r="E1534" s="126"/>
      <c r="F1534" s="126"/>
      <c r="G1534" s="706"/>
      <c r="J1534" s="485"/>
    </row>
    <row r="1535" spans="1:10" ht="15" customHeight="1" x14ac:dyDescent="0.35">
      <c r="A1535" s="403" t="str">
        <f>IF(AND(LEN('Ch8'!W141)&gt;0,NOT('Ch8'!W141=FALSE)),"P","")</f>
        <v/>
      </c>
      <c r="B1535" t="str">
        <f>IF(LEN('Ch8'!H141)=0,"",'Ch8'!H141)</f>
        <v/>
      </c>
      <c r="C1535" t="str">
        <f t="shared" si="39"/>
        <v/>
      </c>
      <c r="D1535" s="33"/>
      <c r="E1535" s="441" t="s">
        <v>270</v>
      </c>
      <c r="F1535" s="126"/>
      <c r="G1535" s="104" t="s">
        <v>924</v>
      </c>
      <c r="H1535" s="49">
        <f>'Ch8'!W141</f>
        <v>0</v>
      </c>
      <c r="J1535" s="813" t="s">
        <v>4295</v>
      </c>
    </row>
    <row r="1536" spans="1:10" x14ac:dyDescent="0.35">
      <c r="A1536" s="403" t="str">
        <f>A1535</f>
        <v/>
      </c>
      <c r="B1536" t="str">
        <f>IF(LEN('Ch8'!H142)=0,"",'Ch8'!H142)</f>
        <v/>
      </c>
      <c r="C1536" t="str">
        <f t="shared" si="39"/>
        <v/>
      </c>
      <c r="D1536" s="33"/>
      <c r="E1536" s="149"/>
      <c r="F1536" s="149"/>
      <c r="G1536" s="165" t="s">
        <v>925</v>
      </c>
      <c r="J1536" s="813"/>
    </row>
    <row r="1537" spans="1:10" ht="26.5" thickBot="1" x14ac:dyDescent="0.4">
      <c r="A1537" s="403" t="str">
        <f>IF(AND(LEN('Ch8'!W143)&gt;0,NOT('Ch8'!W143=FALSE)),"P","")</f>
        <v/>
      </c>
      <c r="B1537" t="str">
        <f>IF(LEN('Ch8'!H143)=0,"",'Ch8'!H143)</f>
        <v/>
      </c>
      <c r="C1537" t="str">
        <f t="shared" si="39"/>
        <v/>
      </c>
      <c r="D1537" s="443"/>
      <c r="E1537" s="446" t="s">
        <v>272</v>
      </c>
      <c r="F1537" s="448"/>
      <c r="G1537" s="223" t="s">
        <v>926</v>
      </c>
      <c r="H1537" s="49">
        <f>'Ch8'!W143</f>
        <v>0</v>
      </c>
      <c r="J1537" s="495" t="s">
        <v>4244</v>
      </c>
    </row>
    <row r="1538" spans="1:10" x14ac:dyDescent="0.35">
      <c r="A1538" s="403" t="str">
        <f>IF(AND(LEN('Ch8'!W144)&gt;0,NOT('Ch8'!W144=FALSE)),"P","")</f>
        <v/>
      </c>
      <c r="B1538" t="str">
        <f>IF(LEN('Ch8'!H144)=0,"",'Ch8'!H144)</f>
        <v/>
      </c>
      <c r="C1538" t="str">
        <f t="shared" si="39"/>
        <v/>
      </c>
      <c r="D1538" s="33">
        <v>801.8</v>
      </c>
      <c r="E1538" s="126"/>
      <c r="F1538" s="126"/>
      <c r="G1538" s="706" t="s">
        <v>927</v>
      </c>
      <c r="H1538" s="49">
        <f>'Ch8'!W144</f>
        <v>0</v>
      </c>
      <c r="I1538" s="49">
        <f>'Ch8'!O144</f>
        <v>0</v>
      </c>
      <c r="J1538" s="813" t="s">
        <v>4177</v>
      </c>
    </row>
    <row r="1539" spans="1:10" x14ac:dyDescent="0.35">
      <c r="A1539" s="403" t="str">
        <f>A1538</f>
        <v/>
      </c>
      <c r="B1539" t="str">
        <f>IF(LEN('Ch8'!H145)=0,"",'Ch8'!H145)</f>
        <v/>
      </c>
      <c r="C1539" t="str">
        <f t="shared" si="39"/>
        <v/>
      </c>
      <c r="D1539" s="33"/>
      <c r="E1539" s="126"/>
      <c r="F1539" s="126"/>
      <c r="G1539" s="706"/>
      <c r="J1539" s="813"/>
    </row>
    <row r="1540" spans="1:10" ht="18.5" x14ac:dyDescent="0.35">
      <c r="A1540" s="403" t="s">
        <v>4326</v>
      </c>
      <c r="B1540" t="str">
        <f>IF(LEN('Ch8'!H146)=0,"",'Ch8'!H146)</f>
        <v/>
      </c>
      <c r="C1540" t="str">
        <f t="shared" si="39"/>
        <v>P</v>
      </c>
      <c r="D1540" s="38" t="s">
        <v>928</v>
      </c>
      <c r="E1540" s="38"/>
      <c r="F1540" s="38"/>
      <c r="G1540" s="174"/>
      <c r="J1540" s="499"/>
    </row>
    <row r="1541" spans="1:10" x14ac:dyDescent="0.35">
      <c r="A1541" s="403" t="str">
        <f ca="1">IF('Ch8'!O147&gt;0,"P","")</f>
        <v/>
      </c>
      <c r="B1541" t="str">
        <f>IF(LEN('Ch8'!H147)=0,"",'Ch8'!H147)</f>
        <v/>
      </c>
      <c r="C1541" t="str">
        <f t="shared" ca="1" si="39"/>
        <v/>
      </c>
      <c r="D1541" s="33">
        <v>802.1</v>
      </c>
      <c r="E1541" s="126"/>
      <c r="F1541" s="126"/>
      <c r="G1541" s="706" t="s">
        <v>929</v>
      </c>
      <c r="I1541" s="49">
        <f ca="1">'Ch8'!O147</f>
        <v>0</v>
      </c>
      <c r="J1541" s="804" t="s">
        <v>4762</v>
      </c>
    </row>
    <row r="1542" spans="1:10" x14ac:dyDescent="0.35">
      <c r="A1542" s="403" t="str">
        <f ca="1">A1541</f>
        <v/>
      </c>
      <c r="B1542" t="str">
        <f>IF(LEN('Ch8'!H148)=0,"",'Ch8'!H148)</f>
        <v/>
      </c>
      <c r="C1542" t="str">
        <f t="shared" ca="1" si="39"/>
        <v/>
      </c>
      <c r="D1542" s="33"/>
      <c r="E1542" s="126"/>
      <c r="F1542" s="126"/>
      <c r="G1542" s="706"/>
      <c r="J1542" s="806"/>
    </row>
    <row r="1543" spans="1:10" x14ac:dyDescent="0.35">
      <c r="B1543" t="str">
        <f>IF(LEN('Ch8'!H149)=0,"",'Ch8'!H149)</f>
        <v/>
      </c>
      <c r="C1543" t="str">
        <f t="shared" si="39"/>
        <v/>
      </c>
      <c r="D1543" s="33"/>
      <c r="E1543" s="126"/>
      <c r="F1543" s="126"/>
      <c r="G1543" s="107" t="s">
        <v>930</v>
      </c>
      <c r="J1543" s="485"/>
    </row>
    <row r="1544" spans="1:10" x14ac:dyDescent="0.35">
      <c r="B1544" t="str">
        <f>IF(LEN('Ch8'!H150)=0,"",'Ch8'!H150)</f>
        <v/>
      </c>
      <c r="C1544" t="str">
        <f t="shared" si="39"/>
        <v/>
      </c>
      <c r="D1544" s="33"/>
      <c r="E1544" s="126"/>
      <c r="F1544" s="126"/>
      <c r="G1544" s="107" t="s">
        <v>931</v>
      </c>
      <c r="J1544" s="485"/>
    </row>
    <row r="1545" spans="1:10" x14ac:dyDescent="0.35">
      <c r="B1545" t="str">
        <f>IF(LEN('Ch8'!H151)=0,"",'Ch8'!H151)</f>
        <v/>
      </c>
      <c r="C1545" t="str">
        <f t="shared" si="39"/>
        <v/>
      </c>
      <c r="D1545" s="33"/>
      <c r="E1545" s="441" t="s">
        <v>270</v>
      </c>
      <c r="F1545" s="126"/>
      <c r="G1545" s="104" t="s">
        <v>932</v>
      </c>
      <c r="H1545" s="49">
        <f>'Ch8'!W151</f>
        <v>0</v>
      </c>
      <c r="J1545" s="490"/>
    </row>
    <row r="1546" spans="1:10" x14ac:dyDescent="0.35">
      <c r="B1546" t="str">
        <f>IF(LEN('Ch8'!H152)=0,"",'Ch8'!H152)</f>
        <v/>
      </c>
      <c r="C1546" t="str">
        <f t="shared" si="39"/>
        <v/>
      </c>
      <c r="D1546" s="33"/>
      <c r="E1546" s="149"/>
      <c r="F1546" s="149"/>
      <c r="G1546" s="165" t="s">
        <v>933</v>
      </c>
      <c r="J1546" s="485"/>
    </row>
    <row r="1547" spans="1:10" ht="15" thickBot="1" x14ac:dyDescent="0.4">
      <c r="B1547" t="str">
        <f>IF(LEN('Ch8'!H153)=0,"",'Ch8'!H153)</f>
        <v/>
      </c>
      <c r="C1547" t="str">
        <f t="shared" si="39"/>
        <v/>
      </c>
      <c r="D1547" s="443"/>
      <c r="E1547" s="446" t="s">
        <v>272</v>
      </c>
      <c r="F1547" s="448"/>
      <c r="G1547" s="223" t="s">
        <v>934</v>
      </c>
      <c r="H1547" s="49">
        <f>'Ch8'!W153</f>
        <v>0</v>
      </c>
      <c r="J1547" s="503"/>
    </row>
    <row r="1548" spans="1:10" ht="15" thickTop="1" x14ac:dyDescent="0.35">
      <c r="A1548" s="403" t="str">
        <f>IF('Ch8'!O154&gt;0,"P","")</f>
        <v/>
      </c>
      <c r="B1548" t="str">
        <f>IF(LEN('Ch8'!H154)=0,"",'Ch8'!H154)</f>
        <v/>
      </c>
      <c r="C1548" t="str">
        <f t="shared" si="39"/>
        <v/>
      </c>
      <c r="D1548" s="63">
        <v>802.2</v>
      </c>
      <c r="E1548" s="466"/>
      <c r="F1548" s="466"/>
      <c r="G1548" s="711" t="s">
        <v>935</v>
      </c>
      <c r="I1548" s="49">
        <f>'Ch8'!O154</f>
        <v>0</v>
      </c>
      <c r="J1548" s="813" t="s">
        <v>4245</v>
      </c>
    </row>
    <row r="1549" spans="1:10" x14ac:dyDescent="0.35">
      <c r="A1549" s="403" t="str">
        <f>A1548</f>
        <v/>
      </c>
      <c r="B1549" t="str">
        <f>IF(LEN('Ch8'!H155)=0,"",'Ch8'!H155)</f>
        <v/>
      </c>
      <c r="C1549" t="str">
        <f t="shared" si="39"/>
        <v/>
      </c>
      <c r="D1549" s="33"/>
      <c r="E1549" s="126"/>
      <c r="F1549" s="126"/>
      <c r="G1549" s="706"/>
      <c r="H1549" s="49">
        <f>'Ch8'!W155</f>
        <v>0</v>
      </c>
      <c r="J1549" s="813"/>
    </row>
    <row r="1550" spans="1:10" ht="15" thickBot="1" x14ac:dyDescent="0.4">
      <c r="A1550" s="403" t="str">
        <f>A1549</f>
        <v/>
      </c>
      <c r="B1550" t="str">
        <f>IF(LEN('Ch8'!H156)=0,"",'Ch8'!H156)</f>
        <v/>
      </c>
      <c r="C1550" t="str">
        <f t="shared" si="39"/>
        <v/>
      </c>
      <c r="D1550" s="443"/>
      <c r="E1550" s="448"/>
      <c r="F1550" s="448"/>
      <c r="G1550" s="710"/>
      <c r="J1550" s="813"/>
    </row>
    <row r="1551" spans="1:10" x14ac:dyDescent="0.35">
      <c r="A1551" s="403" t="str">
        <f>IF('Ch8'!O157&gt;0,"P","")</f>
        <v/>
      </c>
      <c r="B1551" t="str">
        <f>IF(LEN('Ch8'!H157)=0,"",'Ch8'!H157)</f>
        <v/>
      </c>
      <c r="C1551" t="str">
        <f t="shared" si="39"/>
        <v/>
      </c>
      <c r="D1551" s="33">
        <v>802.3</v>
      </c>
      <c r="E1551" s="126"/>
      <c r="F1551" s="126"/>
      <c r="G1551" s="783" t="s">
        <v>937</v>
      </c>
      <c r="I1551" s="49">
        <f>'Ch8'!O157</f>
        <v>0</v>
      </c>
      <c r="J1551" s="814" t="s">
        <v>4246</v>
      </c>
    </row>
    <row r="1552" spans="1:10" x14ac:dyDescent="0.35">
      <c r="A1552" s="403" t="str">
        <f>A1551</f>
        <v/>
      </c>
      <c r="B1552" t="str">
        <f>IF(LEN('Ch8'!H158)=0,"",'Ch8'!H158)</f>
        <v/>
      </c>
      <c r="C1552" t="str">
        <f t="shared" si="39"/>
        <v/>
      </c>
      <c r="D1552" s="33"/>
      <c r="E1552" s="126"/>
      <c r="F1552" s="126"/>
      <c r="G1552" s="783"/>
      <c r="J1552" s="814"/>
    </row>
    <row r="1553" spans="1:10" x14ac:dyDescent="0.35">
      <c r="A1553" s="403" t="str">
        <f>A1552</f>
        <v/>
      </c>
      <c r="B1553" t="str">
        <f>IF(LEN('Ch8'!H159)=0,"",'Ch8'!H159)</f>
        <v/>
      </c>
      <c r="C1553" t="str">
        <f t="shared" ref="C1553:C1616" si="40">IF(LEN(B1553)=0,IF(A1553="P","P",""),B1553)</f>
        <v/>
      </c>
      <c r="D1553" s="33"/>
      <c r="E1553" s="126"/>
      <c r="F1553" s="126"/>
      <c r="G1553" s="783"/>
      <c r="J1553" s="814"/>
    </row>
    <row r="1554" spans="1:10" ht="15" customHeight="1" x14ac:dyDescent="0.35">
      <c r="B1554" t="str">
        <f>IF(LEN('Ch8'!H160)=0,"",'Ch8'!H160)</f>
        <v/>
      </c>
      <c r="C1554" t="str">
        <f t="shared" si="40"/>
        <v/>
      </c>
      <c r="D1554" s="33"/>
      <c r="E1554" s="459" t="s">
        <v>270</v>
      </c>
      <c r="F1554" s="149"/>
      <c r="G1554" s="214" t="s">
        <v>938</v>
      </c>
      <c r="H1554" s="49">
        <f>'Ch8'!W160</f>
        <v>0</v>
      </c>
      <c r="J1554" s="490"/>
    </row>
    <row r="1555" spans="1:10" ht="15" thickBot="1" x14ac:dyDescent="0.4">
      <c r="B1555" t="str">
        <f>IF(LEN('Ch8'!H161)=0,"",'Ch8'!H161)</f>
        <v/>
      </c>
      <c r="C1555" t="str">
        <f t="shared" si="40"/>
        <v/>
      </c>
      <c r="D1555" s="443"/>
      <c r="E1555" s="446" t="s">
        <v>272</v>
      </c>
      <c r="F1555" s="448"/>
      <c r="G1555" s="223" t="s">
        <v>939</v>
      </c>
      <c r="H1555" s="49">
        <f>'Ch8'!W161</f>
        <v>0</v>
      </c>
      <c r="J1555" s="490"/>
    </row>
    <row r="1556" spans="1:10" ht="15" thickTop="1" x14ac:dyDescent="0.35">
      <c r="A1556" s="403" t="str">
        <f>IF(AND(LEN('Ch8'!W162)&gt;0,NOT('Ch8'!W162=FALSE)),"P","")</f>
        <v/>
      </c>
      <c r="B1556" t="str">
        <f>IF(LEN('Ch8'!H162)=0,"",'Ch8'!H162)</f>
        <v/>
      </c>
      <c r="C1556" t="str">
        <f t="shared" si="40"/>
        <v/>
      </c>
      <c r="D1556" s="63">
        <v>802.4</v>
      </c>
      <c r="E1556" s="466"/>
      <c r="F1556" s="466"/>
      <c r="G1556" s="711" t="s">
        <v>940</v>
      </c>
      <c r="H1556" s="49">
        <f>'Ch8'!W162</f>
        <v>0</v>
      </c>
      <c r="I1556" s="49">
        <f>'Ch8'!O162</f>
        <v>0</v>
      </c>
      <c r="J1556" s="813" t="s">
        <v>4247</v>
      </c>
    </row>
    <row r="1557" spans="1:10" x14ac:dyDescent="0.35">
      <c r="A1557" s="403" t="str">
        <f>A1556</f>
        <v/>
      </c>
      <c r="B1557" t="str">
        <f>IF(LEN('Ch8'!H163)=0,"",'Ch8'!H163)</f>
        <v/>
      </c>
      <c r="C1557" t="str">
        <f t="shared" si="40"/>
        <v/>
      </c>
      <c r="D1557" s="33"/>
      <c r="E1557" s="126"/>
      <c r="F1557" s="126"/>
      <c r="G1557" s="706"/>
      <c r="J1557" s="813"/>
    </row>
    <row r="1558" spans="1:10" ht="15" thickBot="1" x14ac:dyDescent="0.4">
      <c r="A1558" s="403" t="str">
        <f>A1557</f>
        <v/>
      </c>
      <c r="B1558" t="str">
        <f>IF(LEN('Ch8'!H164)=0,"",'Ch8'!H164)</f>
        <v/>
      </c>
      <c r="C1558" t="str">
        <f t="shared" si="40"/>
        <v/>
      </c>
      <c r="D1558" s="443"/>
      <c r="E1558" s="448"/>
      <c r="F1558" s="448"/>
      <c r="G1558" s="710"/>
      <c r="J1558" s="813"/>
    </row>
    <row r="1559" spans="1:10" ht="15" thickTop="1" x14ac:dyDescent="0.35">
      <c r="A1559" s="403" t="str">
        <f>IF(AND(LEN('Ch8'!W165)&gt;0,NOT('Ch8'!W165=FALSE)),"P","")</f>
        <v/>
      </c>
      <c r="B1559" t="str">
        <f>IF(LEN('Ch8'!H165)=0,"",'Ch8'!H165)</f>
        <v/>
      </c>
      <c r="C1559" t="str">
        <f t="shared" si="40"/>
        <v/>
      </c>
      <c r="D1559" s="63">
        <v>802.5</v>
      </c>
      <c r="E1559" s="466"/>
      <c r="F1559" s="466"/>
      <c r="G1559" s="792" t="s">
        <v>941</v>
      </c>
      <c r="H1559" s="49">
        <f>'Ch8'!W165</f>
        <v>0</v>
      </c>
      <c r="I1559" s="49">
        <f>'Ch8'!O165</f>
        <v>0</v>
      </c>
      <c r="J1559" s="813" t="s">
        <v>4177</v>
      </c>
    </row>
    <row r="1560" spans="1:10" ht="15" thickBot="1" x14ac:dyDescent="0.4">
      <c r="A1560" s="403" t="str">
        <f>A1559</f>
        <v/>
      </c>
      <c r="B1560" t="str">
        <f>IF(LEN('Ch8'!H166)=0,"",'Ch8'!H166)</f>
        <v/>
      </c>
      <c r="C1560" t="str">
        <f t="shared" si="40"/>
        <v/>
      </c>
      <c r="D1560" s="443"/>
      <c r="E1560" s="448"/>
      <c r="F1560" s="448"/>
      <c r="G1560" s="793"/>
      <c r="J1560" s="813"/>
    </row>
    <row r="1561" spans="1:10" x14ac:dyDescent="0.35">
      <c r="A1561" s="403" t="str">
        <f>IF(AND(LEN('Ch8'!W167)&gt;0,NOT('Ch8'!W167=FALSE)),"P","")</f>
        <v/>
      </c>
      <c r="B1561" t="str">
        <f>IF(LEN('Ch8'!H167)=0,"",'Ch8'!H167)</f>
        <v/>
      </c>
      <c r="C1561" t="str">
        <f t="shared" si="40"/>
        <v/>
      </c>
      <c r="D1561" s="33">
        <v>802.6</v>
      </c>
      <c r="E1561" s="126"/>
      <c r="F1561" s="126"/>
      <c r="G1561" s="706" t="s">
        <v>942</v>
      </c>
      <c r="H1561" s="49">
        <f>'Ch8'!W167</f>
        <v>0</v>
      </c>
      <c r="I1561" s="49">
        <f>'Ch8'!O167</f>
        <v>0</v>
      </c>
      <c r="J1561" s="813" t="s">
        <v>4248</v>
      </c>
    </row>
    <row r="1562" spans="1:10" x14ac:dyDescent="0.35">
      <c r="A1562" s="403" t="str">
        <f>A1561</f>
        <v/>
      </c>
      <c r="B1562" t="str">
        <f>IF(LEN('Ch8'!H168)=0,"",'Ch8'!H168)</f>
        <v/>
      </c>
      <c r="C1562" t="str">
        <f t="shared" si="40"/>
        <v/>
      </c>
      <c r="D1562" s="33"/>
      <c r="E1562" s="126"/>
      <c r="F1562" s="126"/>
      <c r="G1562" s="706"/>
      <c r="J1562" s="813"/>
    </row>
    <row r="1563" spans="1:10" x14ac:dyDescent="0.35">
      <c r="A1563" s="403" t="str">
        <f>A1562</f>
        <v/>
      </c>
      <c r="B1563" t="str">
        <f>IF(LEN('Ch8'!H169)=0,"",'Ch8'!H169)</f>
        <v/>
      </c>
      <c r="C1563" t="str">
        <f t="shared" si="40"/>
        <v/>
      </c>
      <c r="D1563" s="33"/>
      <c r="E1563" s="126"/>
      <c r="F1563" s="126"/>
      <c r="G1563" s="107" t="s">
        <v>931</v>
      </c>
      <c r="J1563" s="485"/>
    </row>
    <row r="1564" spans="1:10" ht="18.5" x14ac:dyDescent="0.45">
      <c r="A1564" s="403" t="s">
        <v>4326</v>
      </c>
      <c r="B1564" t="str">
        <f>IF(LEN('Ch9'!H9)=0,"",'Ch9'!H9)</f>
        <v/>
      </c>
      <c r="C1564" t="str">
        <f t="shared" si="40"/>
        <v>P</v>
      </c>
      <c r="D1564" s="42" t="s">
        <v>3345</v>
      </c>
      <c r="E1564" s="42"/>
      <c r="F1564" s="42"/>
      <c r="G1564" s="15"/>
      <c r="J1564" s="497"/>
    </row>
    <row r="1565" spans="1:10" x14ac:dyDescent="0.35">
      <c r="B1565" t="str">
        <f>IF(LEN('Ch9'!H10)=0,"",'Ch9'!H10)</f>
        <v/>
      </c>
      <c r="C1565" t="str">
        <f t="shared" si="40"/>
        <v/>
      </c>
      <c r="D1565" s="447">
        <v>901</v>
      </c>
      <c r="E1565" s="126"/>
      <c r="F1565" s="126"/>
      <c r="G1565" s="110" t="s">
        <v>3346</v>
      </c>
      <c r="J1565" s="485"/>
    </row>
    <row r="1566" spans="1:10" x14ac:dyDescent="0.35">
      <c r="A1566" s="600" t="str">
        <f ca="1">IF(COUNTIF(A1567:A1591,"P")&gt;0,"P","")</f>
        <v>P</v>
      </c>
      <c r="B1566" t="str">
        <f>IF(LEN('Ch9'!H11)=0,"",'Ch9'!H11)</f>
        <v/>
      </c>
      <c r="C1566" t="str">
        <f t="shared" ca="1" si="40"/>
        <v>P</v>
      </c>
      <c r="D1566" s="447">
        <v>901.1</v>
      </c>
      <c r="E1566" s="126"/>
      <c r="F1566" s="126"/>
      <c r="G1566" s="110" t="s">
        <v>3347</v>
      </c>
      <c r="J1566" s="485"/>
    </row>
    <row r="1567" spans="1:10" x14ac:dyDescent="0.35">
      <c r="A1567" s="403" t="str">
        <f>IF(AND(LEN('Ch9'!W12)&gt;0,NOT('Ch9'!W12=FALSE)),"P","")</f>
        <v/>
      </c>
      <c r="B1567" t="str">
        <f>IF(LEN('Ch9'!H12)=0,"",'Ch9'!H12)</f>
        <v/>
      </c>
      <c r="C1567" t="str">
        <f t="shared" si="40"/>
        <v/>
      </c>
      <c r="D1567" s="447" t="s">
        <v>3348</v>
      </c>
      <c r="E1567" s="126"/>
      <c r="F1567" s="126"/>
      <c r="G1567" s="706" t="s">
        <v>3349</v>
      </c>
      <c r="H1567" s="49">
        <f>'Ch9'!W12</f>
        <v>0</v>
      </c>
      <c r="I1567" s="49">
        <f>'Ch9'!O12</f>
        <v>0</v>
      </c>
      <c r="J1567" s="813" t="s">
        <v>4177</v>
      </c>
    </row>
    <row r="1568" spans="1:10" x14ac:dyDescent="0.35">
      <c r="A1568" s="403" t="str">
        <f>A1567</f>
        <v/>
      </c>
      <c r="B1568" t="str">
        <f>IF(LEN('Ch9'!H13)=0,"",'Ch9'!H13)</f>
        <v/>
      </c>
      <c r="C1568" t="str">
        <f t="shared" si="40"/>
        <v/>
      </c>
      <c r="D1568" s="126"/>
      <c r="E1568" s="126"/>
      <c r="F1568" s="126"/>
      <c r="G1568" s="706"/>
      <c r="J1568" s="813"/>
    </row>
    <row r="1569" spans="1:10" x14ac:dyDescent="0.35">
      <c r="A1569" s="403" t="str">
        <f>A1568</f>
        <v/>
      </c>
      <c r="B1569" t="str">
        <f>IF(LEN('Ch9'!H14)=0,"",'Ch9'!H14)</f>
        <v/>
      </c>
      <c r="C1569" t="str">
        <f t="shared" si="40"/>
        <v/>
      </c>
      <c r="D1569" s="126"/>
      <c r="E1569" s="126"/>
      <c r="F1569" s="126"/>
      <c r="G1569" s="706"/>
      <c r="J1569" s="813"/>
    </row>
    <row r="1570" spans="1:10" x14ac:dyDescent="0.35">
      <c r="A1570" s="403" t="str">
        <f>A1569</f>
        <v/>
      </c>
      <c r="B1570" t="str">
        <f>IF(LEN('Ch9'!H15)=0,"",'Ch9'!H15)</f>
        <v/>
      </c>
      <c r="C1570" t="str">
        <f t="shared" si="40"/>
        <v/>
      </c>
      <c r="D1570" s="126"/>
      <c r="E1570" s="126"/>
      <c r="F1570" s="126"/>
      <c r="G1570" s="706"/>
      <c r="J1570" s="813"/>
    </row>
    <row r="1571" spans="1:10" x14ac:dyDescent="0.35">
      <c r="B1571" t="str">
        <f>IF(LEN('Ch9'!H16)=0,"",'Ch9'!H16)</f>
        <v/>
      </c>
      <c r="C1571" t="str">
        <f t="shared" si="40"/>
        <v/>
      </c>
      <c r="D1571" s="126"/>
      <c r="E1571" s="126"/>
      <c r="F1571" s="126"/>
      <c r="G1571" s="791" t="s">
        <v>3594</v>
      </c>
      <c r="J1571" s="485"/>
    </row>
    <row r="1572" spans="1:10" x14ac:dyDescent="0.35">
      <c r="B1572" t="str">
        <f>IF(LEN('Ch9'!H17)=0,"",'Ch9'!H17)</f>
        <v/>
      </c>
      <c r="C1572" t="str">
        <f t="shared" si="40"/>
        <v/>
      </c>
      <c r="D1572" s="149"/>
      <c r="E1572" s="149"/>
      <c r="F1572" s="149"/>
      <c r="G1572" s="801"/>
      <c r="J1572" s="485"/>
    </row>
    <row r="1573" spans="1:10" x14ac:dyDescent="0.35">
      <c r="A1573" s="403" t="str">
        <f>IF(AND(LEN('Ch9'!W18)&gt;0,NOT('Ch9'!W18=FALSE)),"P","")</f>
        <v>P</v>
      </c>
      <c r="B1573" t="str">
        <f>IF(LEN('Ch9'!H18)=0,"",'Ch9'!H18)</f>
        <v/>
      </c>
      <c r="C1573" t="str">
        <f t="shared" si="40"/>
        <v>P</v>
      </c>
      <c r="D1573" s="444" t="s">
        <v>3350</v>
      </c>
      <c r="E1573" s="471"/>
      <c r="F1573" s="471"/>
      <c r="G1573" s="753" t="s">
        <v>3351</v>
      </c>
      <c r="H1573" s="49" t="b">
        <f>'Ch9'!W18</f>
        <v>1</v>
      </c>
      <c r="I1573" s="49">
        <f>'Ch9'!O18</f>
        <v>5</v>
      </c>
      <c r="J1573" s="813" t="s">
        <v>4177</v>
      </c>
    </row>
    <row r="1574" spans="1:10" x14ac:dyDescent="0.35">
      <c r="A1574" s="403" t="str">
        <f>A1573</f>
        <v>P</v>
      </c>
      <c r="B1574" t="str">
        <f>IF(LEN('Ch9'!H19)=0,"",'Ch9'!H19)</f>
        <v/>
      </c>
      <c r="C1574" t="str">
        <f t="shared" si="40"/>
        <v>P</v>
      </c>
      <c r="D1574" s="126"/>
      <c r="E1574" s="126"/>
      <c r="F1574" s="126"/>
      <c r="G1574" s="706"/>
      <c r="J1574" s="813"/>
    </row>
    <row r="1575" spans="1:10" x14ac:dyDescent="0.35">
      <c r="B1575" t="str">
        <f>IF(LEN('Ch9'!H20)=0,"",'Ch9'!H20)</f>
        <v/>
      </c>
      <c r="C1575" t="str">
        <f t="shared" si="40"/>
        <v/>
      </c>
      <c r="D1575" s="149"/>
      <c r="E1575" s="149"/>
      <c r="F1575" s="149"/>
      <c r="G1575" s="121" t="s">
        <v>3922</v>
      </c>
      <c r="J1575" s="813"/>
    </row>
    <row r="1576" spans="1:10" x14ac:dyDescent="0.35">
      <c r="A1576" s="403" t="str">
        <f ca="1">IF(SUM(I1578:I1581)&gt;0,"P","")</f>
        <v/>
      </c>
      <c r="B1576" t="str">
        <f>IF(LEN('Ch9'!H21)=0,"",'Ch9'!H21)</f>
        <v/>
      </c>
      <c r="C1576" t="str">
        <f t="shared" ca="1" si="40"/>
        <v/>
      </c>
      <c r="D1576" s="33" t="s">
        <v>3352</v>
      </c>
      <c r="E1576" s="126"/>
      <c r="F1576" s="126"/>
      <c r="G1576" s="706" t="s">
        <v>3353</v>
      </c>
      <c r="J1576" s="814" t="s">
        <v>4177</v>
      </c>
    </row>
    <row r="1577" spans="1:10" x14ac:dyDescent="0.35">
      <c r="A1577" s="403" t="str">
        <f ca="1">A1576</f>
        <v/>
      </c>
      <c r="B1577" t="str">
        <f>IF(LEN('Ch9'!H22)=0,"",'Ch9'!H22)</f>
        <v/>
      </c>
      <c r="C1577" t="str">
        <f t="shared" ca="1" si="40"/>
        <v/>
      </c>
      <c r="D1577" s="126"/>
      <c r="E1577" s="126"/>
      <c r="F1577" s="126"/>
      <c r="G1577" s="706"/>
      <c r="J1577" s="814"/>
    </row>
    <row r="1578" spans="1:10" x14ac:dyDescent="0.35">
      <c r="B1578" t="str">
        <f>IF(LEN('Ch9'!H23)=0,"",'Ch9'!H23)</f>
        <v/>
      </c>
      <c r="C1578" t="str">
        <f t="shared" si="40"/>
        <v/>
      </c>
      <c r="D1578" s="126"/>
      <c r="E1578" s="441" t="s">
        <v>270</v>
      </c>
      <c r="F1578" s="126"/>
      <c r="G1578" s="104" t="s">
        <v>3354</v>
      </c>
      <c r="H1578" s="49">
        <f>'Ch9'!W23</f>
        <v>0</v>
      </c>
      <c r="I1578" s="49">
        <f ca="1">'Ch9'!O23</f>
        <v>0</v>
      </c>
      <c r="J1578" s="490"/>
    </row>
    <row r="1579" spans="1:10" x14ac:dyDescent="0.35">
      <c r="B1579" t="str">
        <f>IF(LEN('Ch9'!H24)=0,"",'Ch9'!H24)</f>
        <v/>
      </c>
      <c r="C1579" t="str">
        <f t="shared" si="40"/>
        <v/>
      </c>
      <c r="D1579" s="126"/>
      <c r="E1579" s="441"/>
      <c r="F1579" s="441" t="s">
        <v>121</v>
      </c>
      <c r="G1579" s="104" t="s">
        <v>3355</v>
      </c>
      <c r="J1579" s="495"/>
    </row>
    <row r="1580" spans="1:10" x14ac:dyDescent="0.35">
      <c r="B1580" t="str">
        <f>IF(LEN('Ch9'!H25)=0,"",'Ch9'!H25)</f>
        <v/>
      </c>
      <c r="C1580" t="str">
        <f t="shared" si="40"/>
        <v/>
      </c>
      <c r="D1580" s="126"/>
      <c r="E1580" s="459"/>
      <c r="F1580" s="459" t="s">
        <v>122</v>
      </c>
      <c r="G1580" s="214" t="s">
        <v>3356</v>
      </c>
      <c r="J1580" s="495"/>
    </row>
    <row r="1581" spans="1:10" x14ac:dyDescent="0.35">
      <c r="B1581" t="str">
        <f>IF(LEN('Ch9'!H26)=0,"",'Ch9'!H26)</f>
        <v/>
      </c>
      <c r="C1581" t="str">
        <f t="shared" si="40"/>
        <v/>
      </c>
      <c r="D1581" s="126"/>
      <c r="E1581" s="441" t="s">
        <v>272</v>
      </c>
      <c r="F1581" s="126"/>
      <c r="G1581" s="104" t="s">
        <v>3357</v>
      </c>
      <c r="H1581" s="49">
        <f>'Ch9'!W26</f>
        <v>0</v>
      </c>
      <c r="I1581" s="49">
        <f ca="1">'Ch9'!O26</f>
        <v>0</v>
      </c>
      <c r="J1581" s="495"/>
    </row>
    <row r="1582" spans="1:10" x14ac:dyDescent="0.35">
      <c r="B1582" t="str">
        <f>IF(LEN('Ch9'!H27)=0,"",'Ch9'!H27)</f>
        <v/>
      </c>
      <c r="C1582" t="str">
        <f t="shared" si="40"/>
        <v/>
      </c>
      <c r="D1582" s="126"/>
      <c r="E1582" s="126"/>
      <c r="F1582" s="441" t="s">
        <v>121</v>
      </c>
      <c r="G1582" s="104" t="s">
        <v>3358</v>
      </c>
      <c r="J1582" s="495"/>
    </row>
    <row r="1583" spans="1:10" x14ac:dyDescent="0.35">
      <c r="B1583" t="str">
        <f>IF(LEN('Ch9'!H28)=0,"",'Ch9'!H28)</f>
        <v/>
      </c>
      <c r="C1583" t="str">
        <f t="shared" si="40"/>
        <v/>
      </c>
      <c r="D1583" s="149"/>
      <c r="E1583" s="149"/>
      <c r="F1583" s="459" t="s">
        <v>122</v>
      </c>
      <c r="G1583" s="214" t="s">
        <v>3359</v>
      </c>
      <c r="J1583" s="495"/>
    </row>
    <row r="1584" spans="1:10" x14ac:dyDescent="0.35">
      <c r="A1584" s="403" t="str">
        <f>IF(AND(LEN('Ch9'!W29)&gt;0,NOT('Ch9'!W29=FALSE)),"P","")</f>
        <v>P</v>
      </c>
      <c r="B1584" t="str">
        <f>IF(LEN('Ch9'!H29)=0,"",'Ch9'!H29)</f>
        <v/>
      </c>
      <c r="C1584" t="str">
        <f t="shared" si="40"/>
        <v>P</v>
      </c>
      <c r="D1584" s="444" t="s">
        <v>3360</v>
      </c>
      <c r="E1584" s="471"/>
      <c r="F1584" s="471"/>
      <c r="G1584" s="753" t="s">
        <v>3361</v>
      </c>
      <c r="H1584" s="49" t="str">
        <f>'Ch9'!W29</f>
        <v>Met</v>
      </c>
      <c r="J1584" s="822" t="s">
        <v>4285</v>
      </c>
    </row>
    <row r="1585" spans="1:10" x14ac:dyDescent="0.35">
      <c r="A1585" s="403" t="str">
        <f>A1584</f>
        <v>P</v>
      </c>
      <c r="B1585" t="str">
        <f>IF(LEN('Ch9'!H30)=0,"",'Ch9'!H30)</f>
        <v/>
      </c>
      <c r="C1585" t="str">
        <f t="shared" si="40"/>
        <v>P</v>
      </c>
      <c r="D1585" s="126"/>
      <c r="E1585" s="126"/>
      <c r="F1585" s="126"/>
      <c r="G1585" s="706"/>
      <c r="J1585" s="822"/>
    </row>
    <row r="1586" spans="1:10" x14ac:dyDescent="0.35">
      <c r="A1586" s="403" t="str">
        <f>A1585</f>
        <v>P</v>
      </c>
      <c r="B1586" t="str">
        <f>IF(LEN('Ch9'!H31)=0,"",'Ch9'!H31)</f>
        <v/>
      </c>
      <c r="C1586" t="str">
        <f t="shared" si="40"/>
        <v>P</v>
      </c>
      <c r="D1586" s="126"/>
      <c r="E1586" s="126"/>
      <c r="F1586" s="126"/>
      <c r="G1586" s="706"/>
      <c r="J1586" s="822"/>
    </row>
    <row r="1587" spans="1:10" x14ac:dyDescent="0.35">
      <c r="A1587" s="403" t="str">
        <f>A1586</f>
        <v>P</v>
      </c>
      <c r="B1587" t="str">
        <f>IF(LEN('Ch9'!H32)=0,"",'Ch9'!H32)</f>
        <v/>
      </c>
      <c r="C1587" t="str">
        <f t="shared" si="40"/>
        <v>P</v>
      </c>
      <c r="D1587" s="149"/>
      <c r="E1587" s="149"/>
      <c r="F1587" s="149"/>
      <c r="G1587" s="739"/>
      <c r="J1587" s="822"/>
    </row>
    <row r="1588" spans="1:10" x14ac:dyDescent="0.35">
      <c r="A1588" s="403" t="str">
        <f>IF(AND(LEN('Ch9'!W33)&gt;0,NOT('Ch9'!W33=FALSE)),"P","")</f>
        <v/>
      </c>
      <c r="B1588" t="str">
        <f>IF(LEN('Ch9'!H33)=0,"",'Ch9'!H33)</f>
        <v/>
      </c>
      <c r="C1588" t="str">
        <f t="shared" si="40"/>
        <v/>
      </c>
      <c r="D1588" s="33" t="s">
        <v>3362</v>
      </c>
      <c r="E1588" s="126"/>
      <c r="F1588" s="126"/>
      <c r="G1588" s="706" t="s">
        <v>3363</v>
      </c>
      <c r="H1588" s="49">
        <f>'Ch9'!W33</f>
        <v>0</v>
      </c>
      <c r="I1588" s="49">
        <f>'Ch9'!O33</f>
        <v>0</v>
      </c>
      <c r="J1588" s="813" t="s">
        <v>4224</v>
      </c>
    </row>
    <row r="1589" spans="1:10" x14ac:dyDescent="0.35">
      <c r="A1589" s="403" t="str">
        <f>A1588</f>
        <v/>
      </c>
      <c r="B1589" t="str">
        <f>IF(LEN('Ch9'!H34)=0,"",'Ch9'!H34)</f>
        <v/>
      </c>
      <c r="C1589" t="str">
        <f t="shared" si="40"/>
        <v/>
      </c>
      <c r="D1589" s="126"/>
      <c r="E1589" s="126"/>
      <c r="F1589" s="126"/>
      <c r="G1589" s="706"/>
      <c r="J1589" s="813"/>
    </row>
    <row r="1590" spans="1:10" x14ac:dyDescent="0.35">
      <c r="A1590" s="403" t="str">
        <f>A1589</f>
        <v/>
      </c>
      <c r="B1590" t="str">
        <f>IF(LEN('Ch9'!H35)=0,"",'Ch9'!H35)</f>
        <v/>
      </c>
      <c r="C1590" t="str">
        <f t="shared" si="40"/>
        <v/>
      </c>
      <c r="D1590" s="149"/>
      <c r="E1590" s="149"/>
      <c r="F1590" s="149"/>
      <c r="G1590" s="739"/>
      <c r="J1590" s="813"/>
    </row>
    <row r="1591" spans="1:10" x14ac:dyDescent="0.35">
      <c r="A1591" s="403" t="str">
        <f>IF(AND(LEN('Ch9'!W36)&gt;0,NOT('Ch9'!W36=FALSE)),"P","")</f>
        <v/>
      </c>
      <c r="B1591" t="str">
        <f>IF(LEN('Ch9'!H36)=0,"",'Ch9'!H36)</f>
        <v/>
      </c>
      <c r="C1591" t="str">
        <f t="shared" si="40"/>
        <v/>
      </c>
      <c r="D1591" s="33" t="s">
        <v>3364</v>
      </c>
      <c r="E1591" s="126"/>
      <c r="F1591" s="126"/>
      <c r="G1591" s="110" t="s">
        <v>3365</v>
      </c>
      <c r="H1591" s="49">
        <f>'Ch9'!W36</f>
        <v>0</v>
      </c>
      <c r="I1591" s="49">
        <f ca="1">'Ch9'!O36</f>
        <v>0</v>
      </c>
      <c r="J1591" s="485" t="s">
        <v>4177</v>
      </c>
    </row>
    <row r="1592" spans="1:10" x14ac:dyDescent="0.35">
      <c r="B1592" t="str">
        <f>IF(LEN('Ch9'!H37)=0,"",'Ch9'!H37)</f>
        <v/>
      </c>
      <c r="C1592" t="str">
        <f t="shared" si="40"/>
        <v/>
      </c>
      <c r="D1592" s="126"/>
      <c r="E1592" s="459" t="s">
        <v>270</v>
      </c>
      <c r="F1592" s="149"/>
      <c r="G1592" s="214" t="s">
        <v>3366</v>
      </c>
      <c r="J1592" s="485"/>
    </row>
    <row r="1593" spans="1:10" ht="15" thickBot="1" x14ac:dyDescent="0.4">
      <c r="B1593" t="str">
        <f>IF(LEN('Ch9'!H38)=0,"",'Ch9'!H38)</f>
        <v/>
      </c>
      <c r="C1593" t="str">
        <f t="shared" si="40"/>
        <v/>
      </c>
      <c r="D1593" s="448"/>
      <c r="E1593" s="446" t="s">
        <v>272</v>
      </c>
      <c r="F1593" s="448"/>
      <c r="G1593" s="223" t="s">
        <v>3367</v>
      </c>
      <c r="J1593" s="485"/>
    </row>
    <row r="1594" spans="1:10" ht="15" thickTop="1" x14ac:dyDescent="0.35">
      <c r="A1594" s="600" t="str">
        <f>IF(COUNTIF(A1595:A1609,"P")&gt;0,"P","")</f>
        <v>P</v>
      </c>
      <c r="B1594" t="str">
        <f>IF(LEN('Ch9'!H39)=0,"",'Ch9'!H39)</f>
        <v/>
      </c>
      <c r="C1594" t="str">
        <f t="shared" si="40"/>
        <v>P</v>
      </c>
      <c r="D1594" s="63">
        <v>901.2</v>
      </c>
      <c r="E1594" s="466"/>
      <c r="F1594" s="466"/>
      <c r="G1594" s="222" t="s">
        <v>3368</v>
      </c>
      <c r="J1594" s="485"/>
    </row>
    <row r="1595" spans="1:10" x14ac:dyDescent="0.35">
      <c r="A1595" s="600" t="str">
        <f>IF(COUNTIF(A1597:A1607,"P")&gt;0,"P","")</f>
        <v>P</v>
      </c>
      <c r="B1595" t="str">
        <f>IF(LEN('Ch9'!H40)=0,"",'Ch9'!H40)</f>
        <v/>
      </c>
      <c r="C1595" t="str">
        <f t="shared" si="40"/>
        <v>P</v>
      </c>
      <c r="D1595" s="33" t="s">
        <v>3369</v>
      </c>
      <c r="E1595" s="126"/>
      <c r="F1595" s="126"/>
      <c r="G1595" s="706" t="s">
        <v>3370</v>
      </c>
      <c r="J1595" s="485"/>
    </row>
    <row r="1596" spans="1:10" x14ac:dyDescent="0.35">
      <c r="A1596" s="403" t="str">
        <f>A1595</f>
        <v>P</v>
      </c>
      <c r="B1596" t="str">
        <f>IF(LEN('Ch9'!H41)=0,"",'Ch9'!H41)</f>
        <v/>
      </c>
      <c r="C1596" t="str">
        <f t="shared" si="40"/>
        <v>P</v>
      </c>
      <c r="D1596" s="126"/>
      <c r="E1596" s="126"/>
      <c r="F1596" s="126"/>
      <c r="G1596" s="706"/>
      <c r="J1596" s="485"/>
    </row>
    <row r="1597" spans="1:10" x14ac:dyDescent="0.35">
      <c r="A1597" s="403" t="str">
        <f>IF(AND(LEN('Ch9'!W42)&gt;0,NOT('Ch9'!W42=FALSE)),"P","")</f>
        <v>P</v>
      </c>
      <c r="B1597" t="str">
        <f>IF(LEN('Ch9'!H42)=0,"",'Ch9'!H42)</f>
        <v/>
      </c>
      <c r="C1597" t="str">
        <f t="shared" si="40"/>
        <v>P</v>
      </c>
      <c r="D1597" s="126"/>
      <c r="E1597" s="441" t="s">
        <v>270</v>
      </c>
      <c r="F1597" s="126"/>
      <c r="G1597" s="707" t="s">
        <v>3371</v>
      </c>
      <c r="H1597" s="49" t="str">
        <f>'Ch9'!W42</f>
        <v>N/A</v>
      </c>
      <c r="I1597" s="49">
        <f>'Ch9'!O42</f>
        <v>0</v>
      </c>
      <c r="J1597" s="813" t="s">
        <v>4344</v>
      </c>
    </row>
    <row r="1598" spans="1:10" x14ac:dyDescent="0.35">
      <c r="A1598" s="403" t="str">
        <f>A1597</f>
        <v>P</v>
      </c>
      <c r="B1598" t="str">
        <f>IF(LEN('Ch9'!H43)=0,"",'Ch9'!H43)</f>
        <v/>
      </c>
      <c r="C1598" t="str">
        <f t="shared" si="40"/>
        <v>P</v>
      </c>
      <c r="D1598" s="126"/>
      <c r="E1598" s="126"/>
      <c r="F1598" s="126"/>
      <c r="G1598" s="707"/>
      <c r="J1598" s="813"/>
    </row>
    <row r="1599" spans="1:10" x14ac:dyDescent="0.35">
      <c r="A1599" s="403" t="str">
        <f>A1598</f>
        <v>P</v>
      </c>
      <c r="B1599" t="str">
        <f>IF(LEN('Ch9'!H44)=0,"",'Ch9'!H44)</f>
        <v/>
      </c>
      <c r="C1599" t="str">
        <f t="shared" si="40"/>
        <v>P</v>
      </c>
      <c r="D1599" s="126"/>
      <c r="E1599" s="149"/>
      <c r="F1599" s="149"/>
      <c r="G1599" s="709"/>
      <c r="J1599" s="813"/>
    </row>
    <row r="1600" spans="1:10" ht="15" customHeight="1" x14ac:dyDescent="0.35">
      <c r="A1600" s="403" t="str">
        <f>IF(AND(LEN('Ch9'!W45)&gt;0,NOT('Ch9'!W45=FALSE)),"P","")</f>
        <v>P</v>
      </c>
      <c r="B1600" t="str">
        <f>IF(LEN('Ch9'!H45)=0,"",'Ch9'!H45)</f>
        <v/>
      </c>
      <c r="C1600" t="str">
        <f t="shared" si="40"/>
        <v>P</v>
      </c>
      <c r="D1600" s="126"/>
      <c r="E1600" s="441" t="s">
        <v>272</v>
      </c>
      <c r="F1600" s="126"/>
      <c r="G1600" s="707" t="s">
        <v>3372</v>
      </c>
      <c r="H1600" s="49" t="str">
        <f>'Ch9'!W45</f>
        <v>N/A</v>
      </c>
      <c r="I1600" s="49">
        <f>'Ch9'!O45</f>
        <v>0</v>
      </c>
      <c r="J1600" s="814" t="s">
        <v>4249</v>
      </c>
    </row>
    <row r="1601" spans="1:10" x14ac:dyDescent="0.35">
      <c r="A1601" s="403" t="str">
        <f>A1600</f>
        <v>P</v>
      </c>
      <c r="B1601" t="str">
        <f>IF(LEN('Ch9'!H46)=0,"",'Ch9'!H46)</f>
        <v/>
      </c>
      <c r="C1601" t="str">
        <f t="shared" si="40"/>
        <v>P</v>
      </c>
      <c r="D1601" s="126"/>
      <c r="E1601" s="459"/>
      <c r="F1601" s="149"/>
      <c r="G1601" s="709"/>
      <c r="J1601" s="814"/>
    </row>
    <row r="1602" spans="1:10" x14ac:dyDescent="0.35">
      <c r="A1602" s="403" t="str">
        <f>IF(AND(LEN('Ch9'!W47)&gt;0,NOT('Ch9'!W47=FALSE)),"P","")</f>
        <v>P</v>
      </c>
      <c r="B1602" t="str">
        <f>IF(LEN('Ch9'!H47)=0,"",'Ch9'!H47)</f>
        <v/>
      </c>
      <c r="C1602" t="str">
        <f t="shared" si="40"/>
        <v>P</v>
      </c>
      <c r="D1602" s="126"/>
      <c r="E1602" s="441" t="s">
        <v>274</v>
      </c>
      <c r="F1602" s="126"/>
      <c r="G1602" s="707" t="s">
        <v>3373</v>
      </c>
      <c r="H1602" s="49" t="str">
        <f>'Ch9'!W47</f>
        <v>N/A</v>
      </c>
      <c r="I1602" s="49">
        <f>'Ch9'!O47</f>
        <v>0</v>
      </c>
      <c r="J1602" s="813" t="s">
        <v>4236</v>
      </c>
    </row>
    <row r="1603" spans="1:10" x14ac:dyDescent="0.35">
      <c r="A1603" s="403" t="str">
        <f>A1602</f>
        <v>P</v>
      </c>
      <c r="B1603" t="str">
        <f>IF(LEN('Ch9'!H48)=0,"",'Ch9'!H48)</f>
        <v/>
      </c>
      <c r="C1603" t="str">
        <f t="shared" si="40"/>
        <v>P</v>
      </c>
      <c r="D1603" s="126"/>
      <c r="E1603" s="441"/>
      <c r="F1603" s="126"/>
      <c r="G1603" s="707"/>
      <c r="J1603" s="813"/>
    </row>
    <row r="1604" spans="1:10" x14ac:dyDescent="0.35">
      <c r="A1604" s="403" t="str">
        <f>A1603</f>
        <v>P</v>
      </c>
      <c r="B1604" t="str">
        <f>IF(LEN('Ch9'!H49)=0,"",'Ch9'!H49)</f>
        <v/>
      </c>
      <c r="C1604" t="str">
        <f t="shared" si="40"/>
        <v>P</v>
      </c>
      <c r="D1604" s="126"/>
      <c r="E1604" s="459"/>
      <c r="F1604" s="149"/>
      <c r="G1604" s="709"/>
      <c r="J1604" s="813"/>
    </row>
    <row r="1605" spans="1:10" x14ac:dyDescent="0.35">
      <c r="A1605" s="403" t="str">
        <f>IF(AND(LEN('Ch9'!W50)&gt;0,NOT('Ch9'!W50=FALSE)),"P","")</f>
        <v>P</v>
      </c>
      <c r="B1605" t="str">
        <f>IF(LEN('Ch9'!H50)=0,"",'Ch9'!H50)</f>
        <v/>
      </c>
      <c r="C1605" t="str">
        <f t="shared" si="40"/>
        <v>P</v>
      </c>
      <c r="D1605" s="126"/>
      <c r="E1605" s="441" t="s">
        <v>283</v>
      </c>
      <c r="F1605" s="126"/>
      <c r="G1605" s="723" t="s">
        <v>3374</v>
      </c>
      <c r="H1605" s="49" t="str">
        <f>'Ch9'!W50</f>
        <v>N/A</v>
      </c>
      <c r="I1605" s="49">
        <f>'Ch9'!O50</f>
        <v>0</v>
      </c>
      <c r="J1605" s="813" t="s">
        <v>4250</v>
      </c>
    </row>
    <row r="1606" spans="1:10" x14ac:dyDescent="0.35">
      <c r="A1606" s="403" t="str">
        <f>A1605</f>
        <v>P</v>
      </c>
      <c r="B1606" t="str">
        <f>IF(LEN('Ch9'!H51)=0,"",'Ch9'!H51)</f>
        <v/>
      </c>
      <c r="C1606" t="str">
        <f t="shared" si="40"/>
        <v>P</v>
      </c>
      <c r="D1606" s="126"/>
      <c r="E1606" s="459"/>
      <c r="F1606" s="149"/>
      <c r="G1606" s="724"/>
      <c r="J1606" s="813"/>
    </row>
    <row r="1607" spans="1:10" x14ac:dyDescent="0.35">
      <c r="A1607" s="403" t="str">
        <f>IF(AND(LEN('Ch9'!W52)&gt;0,NOT('Ch9'!W52=FALSE)),"P","")</f>
        <v>P</v>
      </c>
      <c r="B1607" t="str">
        <f>IF(LEN('Ch9'!H52)=0,"",'Ch9'!H52)</f>
        <v/>
      </c>
      <c r="C1607" t="str">
        <f t="shared" si="40"/>
        <v>P</v>
      </c>
      <c r="D1607" s="126"/>
      <c r="E1607" s="441" t="s">
        <v>289</v>
      </c>
      <c r="F1607" s="126"/>
      <c r="G1607" s="707" t="s">
        <v>3375</v>
      </c>
      <c r="H1607" s="49" t="str">
        <f>'Ch9'!W52</f>
        <v>N/A</v>
      </c>
      <c r="I1607" s="49">
        <f>'Ch9'!O52</f>
        <v>0</v>
      </c>
      <c r="J1607" s="813" t="s">
        <v>4250</v>
      </c>
    </row>
    <row r="1608" spans="1:10" x14ac:dyDescent="0.35">
      <c r="A1608" s="403" t="str">
        <f>A1607</f>
        <v>P</v>
      </c>
      <c r="B1608" t="str">
        <f>IF(LEN('Ch9'!H53)=0,"",'Ch9'!H53)</f>
        <v/>
      </c>
      <c r="C1608" t="str">
        <f t="shared" si="40"/>
        <v>P</v>
      </c>
      <c r="D1608" s="149"/>
      <c r="E1608" s="459"/>
      <c r="F1608" s="149"/>
      <c r="G1608" s="709"/>
      <c r="J1608" s="813"/>
    </row>
    <row r="1609" spans="1:10" ht="15" thickBot="1" x14ac:dyDescent="0.4">
      <c r="A1609" s="403" t="str">
        <f>IF(AND(LEN('Ch9'!W54)&gt;0,NOT('Ch9'!W54=FALSE)),"P","")</f>
        <v/>
      </c>
      <c r="B1609" t="str">
        <f>IF(LEN('Ch9'!H54)=0,"",'Ch9'!H54)</f>
        <v/>
      </c>
      <c r="C1609" t="str">
        <f t="shared" si="40"/>
        <v/>
      </c>
      <c r="D1609" s="443" t="s">
        <v>3376</v>
      </c>
      <c r="E1609" s="448"/>
      <c r="F1609" s="448"/>
      <c r="G1609" s="354" t="s">
        <v>3377</v>
      </c>
      <c r="H1609" s="49">
        <f>'Ch9'!W54</f>
        <v>0</v>
      </c>
      <c r="I1609" s="49">
        <f>'Ch9'!O54</f>
        <v>0</v>
      </c>
      <c r="J1609" s="485" t="s">
        <v>4177</v>
      </c>
    </row>
    <row r="1610" spans="1:10" x14ac:dyDescent="0.35">
      <c r="A1610" s="600" t="str">
        <f>IF(COUNTIF(A1611:A1622,"P")&gt;0,"P","")</f>
        <v>P</v>
      </c>
      <c r="B1610" t="str">
        <f>IF(LEN('Ch9'!H55)=0,"",'Ch9'!H55)</f>
        <v/>
      </c>
      <c r="C1610" t="str">
        <f t="shared" si="40"/>
        <v>P</v>
      </c>
      <c r="D1610" s="33">
        <v>901.3</v>
      </c>
      <c r="E1610" s="126"/>
      <c r="F1610" s="126"/>
      <c r="G1610" s="110" t="s">
        <v>3378</v>
      </c>
      <c r="J1610" s="485" t="s">
        <v>4296</v>
      </c>
    </row>
    <row r="1611" spans="1:10" x14ac:dyDescent="0.35">
      <c r="A1611" s="600" t="str">
        <f>IF(COUNTIF(A1612:A1616,"P")&gt;0,"P","")</f>
        <v>P</v>
      </c>
      <c r="B1611" t="str">
        <f>IF(LEN('Ch9'!H56)=0,"",'Ch9'!H56)</f>
        <v/>
      </c>
      <c r="C1611" t="str">
        <f t="shared" si="40"/>
        <v>P</v>
      </c>
      <c r="D1611" s="126"/>
      <c r="E1611" s="441" t="s">
        <v>270</v>
      </c>
      <c r="F1611" s="126"/>
      <c r="G1611" s="104" t="s">
        <v>3379</v>
      </c>
      <c r="J1611" s="485"/>
    </row>
    <row r="1612" spans="1:10" x14ac:dyDescent="0.35">
      <c r="A1612" s="403" t="str">
        <f>IF(AND(LEN('Ch9'!W57)&gt;0,NOT('Ch9'!W57=FALSE)),"P","")</f>
        <v>P</v>
      </c>
      <c r="B1612" t="str">
        <f>IF(LEN('Ch9'!H57)=0,"",'Ch9'!H57)</f>
        <v/>
      </c>
      <c r="C1612" t="str">
        <f t="shared" si="40"/>
        <v>P</v>
      </c>
      <c r="D1612" s="126"/>
      <c r="E1612" s="126"/>
      <c r="F1612" s="441" t="s">
        <v>121</v>
      </c>
      <c r="G1612" s="707" t="s">
        <v>3380</v>
      </c>
      <c r="H1612" s="49" t="str">
        <f>'Ch9'!W57</f>
        <v>Met</v>
      </c>
      <c r="I1612" s="49">
        <f>'Ch9'!O57</f>
        <v>2</v>
      </c>
      <c r="J1612" s="813" t="s">
        <v>4177</v>
      </c>
    </row>
    <row r="1613" spans="1:10" x14ac:dyDescent="0.35">
      <c r="A1613" s="403" t="str">
        <f>A1612</f>
        <v>P</v>
      </c>
      <c r="B1613" t="str">
        <f>IF(LEN('Ch9'!H58)=0,"",'Ch9'!H58)</f>
        <v/>
      </c>
      <c r="C1613" t="str">
        <f t="shared" si="40"/>
        <v>P</v>
      </c>
      <c r="D1613" s="126"/>
      <c r="E1613" s="126"/>
      <c r="F1613" s="459"/>
      <c r="G1613" s="709"/>
      <c r="J1613" s="813"/>
    </row>
    <row r="1614" spans="1:10" x14ac:dyDescent="0.35">
      <c r="A1614" s="403" t="str">
        <f>IF(AND(LEN('Ch9'!W59)&gt;0,NOT('Ch9'!W59=FALSE)),"P","")</f>
        <v>P</v>
      </c>
      <c r="B1614" t="str">
        <f>IF(LEN('Ch9'!H59)=0,"",'Ch9'!H59)</f>
        <v/>
      </c>
      <c r="C1614" t="str">
        <f t="shared" si="40"/>
        <v>P</v>
      </c>
      <c r="D1614" s="126"/>
      <c r="E1614" s="126"/>
      <c r="F1614" s="441" t="s">
        <v>122</v>
      </c>
      <c r="G1614" s="707" t="s">
        <v>3381</v>
      </c>
      <c r="H1614" s="49" t="str">
        <f>'Ch9'!W59</f>
        <v>Met</v>
      </c>
      <c r="I1614" s="49">
        <f>'Ch9'!O59</f>
        <v>2</v>
      </c>
      <c r="J1614" s="813" t="s">
        <v>4177</v>
      </c>
    </row>
    <row r="1615" spans="1:10" x14ac:dyDescent="0.35">
      <c r="A1615" s="403" t="str">
        <f>A1614</f>
        <v>P</v>
      </c>
      <c r="B1615" t="str">
        <f>IF(LEN('Ch9'!H60)=0,"",'Ch9'!H60)</f>
        <v/>
      </c>
      <c r="C1615" t="str">
        <f t="shared" si="40"/>
        <v>P</v>
      </c>
      <c r="D1615" s="126"/>
      <c r="E1615" s="126"/>
      <c r="F1615" s="149"/>
      <c r="G1615" s="709"/>
      <c r="J1615" s="813"/>
    </row>
    <row r="1616" spans="1:10" x14ac:dyDescent="0.35">
      <c r="A1616" s="403" t="str">
        <f>IF(AND(LEN('Ch9'!W61)&gt;0,NOT('Ch9'!W61=FALSE)),"P","")</f>
        <v/>
      </c>
      <c r="B1616" t="str">
        <f>IF(LEN('Ch9'!H61)=0,"",'Ch9'!H61)</f>
        <v/>
      </c>
      <c r="C1616" t="str">
        <f t="shared" si="40"/>
        <v/>
      </c>
      <c r="D1616" s="126"/>
      <c r="E1616" s="126"/>
      <c r="F1616" s="441" t="s">
        <v>123</v>
      </c>
      <c r="G1616" s="707" t="s">
        <v>3382</v>
      </c>
      <c r="H1616" s="49">
        <f>'Ch9'!W61</f>
        <v>0</v>
      </c>
      <c r="I1616" s="49">
        <f ca="1">'Ch9'!O61</f>
        <v>0</v>
      </c>
      <c r="J1616" s="813" t="s">
        <v>4251</v>
      </c>
    </row>
    <row r="1617" spans="1:10" x14ac:dyDescent="0.35">
      <c r="A1617" s="403" t="str">
        <f>A1616</f>
        <v/>
      </c>
      <c r="B1617" t="str">
        <f>IF(LEN('Ch9'!H62)=0,"",'Ch9'!H62)</f>
        <v/>
      </c>
      <c r="C1617" t="str">
        <f t="shared" ref="C1617:C1680" si="41">IF(LEN(B1617)=0,IF(A1617="P","P",""),B1617)</f>
        <v/>
      </c>
      <c r="D1617" s="126"/>
      <c r="E1617" s="126"/>
      <c r="F1617" s="126"/>
      <c r="G1617" s="707"/>
      <c r="J1617" s="813"/>
    </row>
    <row r="1618" spans="1:10" x14ac:dyDescent="0.35">
      <c r="A1618" s="403" t="str">
        <f>A1617</f>
        <v/>
      </c>
      <c r="B1618" t="str">
        <f>IF(LEN('Ch9'!H63)=0,"",'Ch9'!H63)</f>
        <v/>
      </c>
      <c r="C1618" t="str">
        <f t="shared" si="41"/>
        <v/>
      </c>
      <c r="D1618" s="126"/>
      <c r="E1618" s="126"/>
      <c r="F1618" s="126"/>
      <c r="G1618" s="707"/>
      <c r="J1618" s="813"/>
    </row>
    <row r="1619" spans="1:10" x14ac:dyDescent="0.35">
      <c r="A1619" s="403" t="str">
        <f>A1618</f>
        <v/>
      </c>
      <c r="B1619" t="str">
        <f>IF(LEN('Ch9'!H64)=0,"",'Ch9'!H64)</f>
        <v/>
      </c>
      <c r="C1619" t="str">
        <f t="shared" si="41"/>
        <v/>
      </c>
      <c r="D1619" s="126"/>
      <c r="E1619" s="126"/>
      <c r="F1619" s="126"/>
      <c r="G1619" s="707"/>
      <c r="J1619" s="813"/>
    </row>
    <row r="1620" spans="1:10" x14ac:dyDescent="0.35">
      <c r="A1620" s="403" t="str">
        <f>A1619</f>
        <v/>
      </c>
      <c r="B1620" t="str">
        <f>IF(LEN('Ch9'!H65)=0,"",'Ch9'!H65)</f>
        <v/>
      </c>
      <c r="C1620" t="str">
        <f t="shared" si="41"/>
        <v/>
      </c>
      <c r="D1620" s="126"/>
      <c r="E1620" s="126"/>
      <c r="F1620" s="126"/>
      <c r="G1620" s="707"/>
      <c r="J1620" s="813"/>
    </row>
    <row r="1621" spans="1:10" x14ac:dyDescent="0.35">
      <c r="A1621" s="403" t="str">
        <f>A1620</f>
        <v/>
      </c>
      <c r="B1621" t="str">
        <f>IF(LEN('Ch9'!H66)=0,"",'Ch9'!H66)</f>
        <v/>
      </c>
      <c r="C1621" t="str">
        <f t="shared" si="41"/>
        <v/>
      </c>
      <c r="D1621" s="126"/>
      <c r="E1621" s="149"/>
      <c r="F1621" s="149"/>
      <c r="G1621" s="709"/>
      <c r="J1621" s="813"/>
    </row>
    <row r="1622" spans="1:10" ht="15" customHeight="1" thickBot="1" x14ac:dyDescent="0.4">
      <c r="A1622" s="403" t="str">
        <f>IF(AND(LEN('Ch9'!W67)&gt;0,NOT('Ch9'!W67=FALSE)),"P","")</f>
        <v/>
      </c>
      <c r="B1622" t="str">
        <f>IF(LEN('Ch9'!H67)=0,"",'Ch9'!H67)</f>
        <v/>
      </c>
      <c r="C1622" t="str">
        <f t="shared" si="41"/>
        <v/>
      </c>
      <c r="D1622" s="448"/>
      <c r="E1622" s="446" t="s">
        <v>272</v>
      </c>
      <c r="F1622" s="448"/>
      <c r="G1622" s="223" t="s">
        <v>3383</v>
      </c>
      <c r="H1622" s="49">
        <f>'Ch9'!W67</f>
        <v>0</v>
      </c>
      <c r="I1622" s="49">
        <f>'Ch9'!O67</f>
        <v>0</v>
      </c>
      <c r="J1622" s="485" t="s">
        <v>4177</v>
      </c>
    </row>
    <row r="1623" spans="1:10" x14ac:dyDescent="0.35">
      <c r="A1623" s="403" t="str">
        <f ca="1">IF('Ch9'!O68&gt;0,"P","")</f>
        <v/>
      </c>
      <c r="B1623" t="str">
        <f>IF(LEN('Ch9'!H68)=0,"",'Ch9'!H68)</f>
        <v/>
      </c>
      <c r="C1623" t="str">
        <f t="shared" ca="1" si="41"/>
        <v/>
      </c>
      <c r="D1623" s="33">
        <v>901.4</v>
      </c>
      <c r="E1623" s="126"/>
      <c r="F1623" s="126"/>
      <c r="G1623" s="707" t="s">
        <v>3384</v>
      </c>
      <c r="I1623" s="49">
        <f ca="1">'Ch9'!O68</f>
        <v>0</v>
      </c>
      <c r="J1623" s="496"/>
    </row>
    <row r="1624" spans="1:10" x14ac:dyDescent="0.35">
      <c r="A1624" s="403" t="str">
        <f ca="1">A1623</f>
        <v/>
      </c>
      <c r="B1624" t="str">
        <f>IF(LEN('Ch9'!H69)=0,"",'Ch9'!H69)</f>
        <v/>
      </c>
      <c r="C1624" t="str">
        <f t="shared" ca="1" si="41"/>
        <v/>
      </c>
      <c r="D1624" s="126"/>
      <c r="E1624" s="126"/>
      <c r="F1624" s="126"/>
      <c r="G1624" s="707"/>
      <c r="J1624" s="496"/>
    </row>
    <row r="1625" spans="1:10" x14ac:dyDescent="0.35">
      <c r="A1625" s="403" t="str">
        <f ca="1">A1624</f>
        <v/>
      </c>
      <c r="B1625" t="str">
        <f>IF(LEN('Ch9'!H70)=0,"",'Ch9'!H70)</f>
        <v/>
      </c>
      <c r="C1625" t="str">
        <f t="shared" ca="1" si="41"/>
        <v/>
      </c>
      <c r="D1625" s="126"/>
      <c r="E1625" s="126"/>
      <c r="F1625" s="126"/>
      <c r="G1625" s="707"/>
      <c r="J1625" s="496"/>
    </row>
    <row r="1626" spans="1:10" ht="15" customHeight="1" x14ac:dyDescent="0.35">
      <c r="A1626" s="403" t="str">
        <f>IF(AND(LEN('Ch9'!W71)&gt;0,NOT('Ch9'!W71=FALSE)),"P","")</f>
        <v>P</v>
      </c>
      <c r="B1626" t="str">
        <f>IF(LEN('Ch9'!H71)=0,"",'Ch9'!H71)</f>
        <v/>
      </c>
      <c r="C1626" t="str">
        <f t="shared" si="41"/>
        <v>P</v>
      </c>
      <c r="D1626" s="126"/>
      <c r="E1626" s="441" t="s">
        <v>270</v>
      </c>
      <c r="F1626" s="126"/>
      <c r="G1626" s="707" t="s">
        <v>3385</v>
      </c>
      <c r="H1626" s="49" t="str">
        <f>'Ch9'!W71</f>
        <v>Met</v>
      </c>
      <c r="J1626" s="821" t="s">
        <v>4252</v>
      </c>
    </row>
    <row r="1627" spans="1:10" x14ac:dyDescent="0.35">
      <c r="A1627" s="403" t="str">
        <f>A1626</f>
        <v>P</v>
      </c>
      <c r="B1627" t="str">
        <f>IF(LEN('Ch9'!H72)=0,"",'Ch9'!H72)</f>
        <v/>
      </c>
      <c r="C1627" t="str">
        <f t="shared" si="41"/>
        <v>P</v>
      </c>
      <c r="D1627" s="126"/>
      <c r="E1627" s="126"/>
      <c r="F1627" s="126"/>
      <c r="G1627" s="707"/>
      <c r="J1627" s="821"/>
    </row>
    <row r="1628" spans="1:10" x14ac:dyDescent="0.35">
      <c r="A1628" s="403" t="str">
        <f>A1627</f>
        <v>P</v>
      </c>
      <c r="B1628" t="str">
        <f>IF(LEN('Ch9'!H73)=0,"",'Ch9'!H73)</f>
        <v/>
      </c>
      <c r="C1628" t="str">
        <f t="shared" si="41"/>
        <v>P</v>
      </c>
      <c r="D1628" s="126"/>
      <c r="E1628" s="126"/>
      <c r="F1628" s="126"/>
      <c r="G1628" s="707"/>
      <c r="J1628" s="821"/>
    </row>
    <row r="1629" spans="1:10" x14ac:dyDescent="0.35">
      <c r="A1629" s="403" t="str">
        <f>A1628</f>
        <v>P</v>
      </c>
      <c r="B1629" t="str">
        <f>IF(LEN('Ch9'!H74)=0,"",'Ch9'!H74)</f>
        <v/>
      </c>
      <c r="C1629" t="str">
        <f t="shared" si="41"/>
        <v>P</v>
      </c>
      <c r="D1629" s="126"/>
      <c r="E1629" s="126"/>
      <c r="F1629" s="126"/>
      <c r="G1629" s="707"/>
      <c r="J1629" s="821"/>
    </row>
    <row r="1630" spans="1:10" x14ac:dyDescent="0.35">
      <c r="B1630" t="str">
        <f>IF(LEN('Ch9'!H75)=0,"",'Ch9'!H75)</f>
        <v/>
      </c>
      <c r="C1630" t="str">
        <f t="shared" si="41"/>
        <v/>
      </c>
      <c r="D1630" s="126"/>
      <c r="E1630" s="149"/>
      <c r="F1630" s="149"/>
      <c r="G1630" s="121" t="s">
        <v>4319</v>
      </c>
      <c r="J1630" s="503"/>
    </row>
    <row r="1631" spans="1:10" x14ac:dyDescent="0.35">
      <c r="A1631" s="403" t="str">
        <f>A1629</f>
        <v>P</v>
      </c>
      <c r="B1631" t="str">
        <f>IF(LEN('Ch9'!H76)=0,"",'Ch9'!H76)</f>
        <v/>
      </c>
      <c r="C1631" t="str">
        <f t="shared" si="41"/>
        <v>P</v>
      </c>
      <c r="D1631" s="126"/>
      <c r="E1631" s="126"/>
      <c r="F1631" s="126"/>
      <c r="G1631" s="104" t="s">
        <v>3907</v>
      </c>
      <c r="H1631" s="49">
        <f>'Ch9'!W76</f>
        <v>0</v>
      </c>
      <c r="J1631" s="503"/>
    </row>
    <row r="1632" spans="1:10" x14ac:dyDescent="0.35">
      <c r="A1632" s="403" t="str">
        <f>A1631</f>
        <v>P</v>
      </c>
      <c r="B1632" t="str">
        <f>IF(LEN('Ch9'!H77)=0,"",'Ch9'!H77)</f>
        <v/>
      </c>
      <c r="C1632" t="str">
        <f t="shared" si="41"/>
        <v>P</v>
      </c>
      <c r="D1632" s="126"/>
      <c r="E1632" s="126"/>
      <c r="F1632" s="126"/>
      <c r="G1632" s="104" t="s">
        <v>3908</v>
      </c>
      <c r="H1632" s="49">
        <f>'Ch9'!W77</f>
        <v>0</v>
      </c>
      <c r="J1632" s="496"/>
    </row>
    <row r="1633" spans="1:10" x14ac:dyDescent="0.35">
      <c r="A1633" s="403" t="str">
        <f t="shared" ref="A1633:A1641" si="42">A1632</f>
        <v>P</v>
      </c>
      <c r="B1633" t="str">
        <f>IF(LEN('Ch9'!H78)=0,"",'Ch9'!H78)</f>
        <v/>
      </c>
      <c r="C1633" t="str">
        <f t="shared" si="41"/>
        <v>P</v>
      </c>
      <c r="D1633" s="126"/>
      <c r="E1633" s="126"/>
      <c r="F1633" s="126"/>
      <c r="G1633" s="104" t="s">
        <v>3909</v>
      </c>
      <c r="H1633" s="49">
        <f>'Ch9'!W78</f>
        <v>0</v>
      </c>
      <c r="J1633" s="496"/>
    </row>
    <row r="1634" spans="1:10" x14ac:dyDescent="0.35">
      <c r="A1634" s="403" t="str">
        <f t="shared" si="42"/>
        <v>P</v>
      </c>
      <c r="B1634" t="str">
        <f>IF(LEN('Ch9'!H79)=0,"",'Ch9'!H79)</f>
        <v/>
      </c>
      <c r="C1634" t="str">
        <f t="shared" si="41"/>
        <v>P</v>
      </c>
      <c r="D1634" s="126"/>
      <c r="E1634" s="126"/>
      <c r="F1634" s="126"/>
      <c r="G1634" s="104" t="s">
        <v>3910</v>
      </c>
      <c r="H1634" s="49">
        <f>'Ch9'!W79</f>
        <v>0</v>
      </c>
      <c r="J1634" s="496"/>
    </row>
    <row r="1635" spans="1:10" x14ac:dyDescent="0.35">
      <c r="A1635" s="403" t="str">
        <f t="shared" si="42"/>
        <v>P</v>
      </c>
      <c r="B1635" t="str">
        <f>IF(LEN('Ch9'!H80)=0,"",'Ch9'!H80)</f>
        <v/>
      </c>
      <c r="C1635" t="str">
        <f t="shared" si="41"/>
        <v>P</v>
      </c>
      <c r="D1635" s="126"/>
      <c r="E1635" s="441" t="s">
        <v>272</v>
      </c>
      <c r="F1635" s="126"/>
      <c r="G1635" s="707" t="s">
        <v>3386</v>
      </c>
      <c r="J1635" s="503" t="s">
        <v>4257</v>
      </c>
    </row>
    <row r="1636" spans="1:10" x14ac:dyDescent="0.35">
      <c r="A1636" s="403" t="str">
        <f t="shared" si="42"/>
        <v>P</v>
      </c>
      <c r="B1636" t="str">
        <f>IF(LEN('Ch9'!H81)=0,"",'Ch9'!H81)</f>
        <v/>
      </c>
      <c r="C1636" t="str">
        <f t="shared" si="41"/>
        <v>P</v>
      </c>
      <c r="D1636" s="126"/>
      <c r="E1636" s="149"/>
      <c r="F1636" s="149"/>
      <c r="G1636" s="709"/>
      <c r="J1636" s="496"/>
    </row>
    <row r="1637" spans="1:10" x14ac:dyDescent="0.35">
      <c r="A1637" s="403" t="str">
        <f t="shared" si="42"/>
        <v>P</v>
      </c>
      <c r="B1637" t="str">
        <f>IF(LEN('Ch9'!H82)=0,"",'Ch9'!H82)</f>
        <v/>
      </c>
      <c r="C1637" t="str">
        <f t="shared" si="41"/>
        <v>P</v>
      </c>
      <c r="D1637" s="126"/>
      <c r="E1637" s="459" t="s">
        <v>274</v>
      </c>
      <c r="F1637" s="149"/>
      <c r="G1637" s="214" t="s">
        <v>3387</v>
      </c>
      <c r="J1637" s="503" t="s">
        <v>4256</v>
      </c>
    </row>
    <row r="1638" spans="1:10" x14ac:dyDescent="0.35">
      <c r="A1638" s="403" t="str">
        <f t="shared" si="42"/>
        <v>P</v>
      </c>
      <c r="B1638" t="str">
        <f>IF(LEN('Ch9'!H83)=0,"",'Ch9'!H83)</f>
        <v/>
      </c>
      <c r="C1638" t="str">
        <f t="shared" si="41"/>
        <v>P</v>
      </c>
      <c r="D1638" s="126"/>
      <c r="E1638" s="459" t="s">
        <v>283</v>
      </c>
      <c r="F1638" s="149"/>
      <c r="G1638" s="214" t="s">
        <v>3388</v>
      </c>
      <c r="J1638" s="503" t="s">
        <v>4255</v>
      </c>
    </row>
    <row r="1639" spans="1:10" x14ac:dyDescent="0.35">
      <c r="A1639" s="403" t="str">
        <f t="shared" si="42"/>
        <v>P</v>
      </c>
      <c r="B1639" t="str">
        <f>IF(LEN('Ch9'!H84)=0,"",'Ch9'!H84)</f>
        <v/>
      </c>
      <c r="C1639" t="str">
        <f t="shared" si="41"/>
        <v>P</v>
      </c>
      <c r="D1639" s="126"/>
      <c r="E1639" s="441" t="s">
        <v>289</v>
      </c>
      <c r="F1639" s="126"/>
      <c r="G1639" s="707" t="s">
        <v>3389</v>
      </c>
      <c r="J1639" s="821" t="s">
        <v>4254</v>
      </c>
    </row>
    <row r="1640" spans="1:10" x14ac:dyDescent="0.35">
      <c r="A1640" s="403" t="str">
        <f t="shared" si="42"/>
        <v>P</v>
      </c>
      <c r="B1640" t="str">
        <f>IF(LEN('Ch9'!H85)=0,"",'Ch9'!H85)</f>
        <v/>
      </c>
      <c r="C1640" t="str">
        <f t="shared" si="41"/>
        <v>P</v>
      </c>
      <c r="D1640" s="126"/>
      <c r="E1640" s="459"/>
      <c r="F1640" s="149"/>
      <c r="G1640" s="709"/>
      <c r="J1640" s="821"/>
    </row>
    <row r="1641" spans="1:10" ht="15" thickBot="1" x14ac:dyDescent="0.4">
      <c r="A1641" s="403" t="str">
        <f t="shared" si="42"/>
        <v>P</v>
      </c>
      <c r="B1641" t="str">
        <f>IF(LEN('Ch9'!H86)=0,"",'Ch9'!H86)</f>
        <v/>
      </c>
      <c r="C1641" t="str">
        <f t="shared" si="41"/>
        <v>P</v>
      </c>
      <c r="D1641" s="448"/>
      <c r="E1641" s="446" t="s">
        <v>291</v>
      </c>
      <c r="F1641" s="448"/>
      <c r="G1641" s="223" t="s">
        <v>3390</v>
      </c>
      <c r="J1641" s="503" t="s">
        <v>4253</v>
      </c>
    </row>
    <row r="1642" spans="1:10" x14ac:dyDescent="0.35">
      <c r="A1642" s="600" t="str">
        <f>IF(COUNTIF(A1645:A1647,"P")&gt;0,"P","")</f>
        <v>P</v>
      </c>
      <c r="B1642" t="str">
        <f>IF(LEN('Ch9'!H87)=0,"",'Ch9'!H87)</f>
        <v/>
      </c>
      <c r="C1642" t="str">
        <f t="shared" si="41"/>
        <v>P</v>
      </c>
      <c r="D1642" s="33">
        <v>901.5</v>
      </c>
      <c r="E1642" s="126"/>
      <c r="F1642" s="126"/>
      <c r="G1642" s="706" t="s">
        <v>3391</v>
      </c>
      <c r="J1642" s="485"/>
    </row>
    <row r="1643" spans="1:10" x14ac:dyDescent="0.35">
      <c r="A1643" s="403" t="str">
        <f>A1642</f>
        <v>P</v>
      </c>
      <c r="B1643" t="str">
        <f>IF(LEN('Ch9'!H88)=0,"",'Ch9'!H88)</f>
        <v/>
      </c>
      <c r="C1643" t="str">
        <f t="shared" si="41"/>
        <v>P</v>
      </c>
      <c r="D1643" s="126"/>
      <c r="E1643" s="126"/>
      <c r="F1643" s="126"/>
      <c r="G1643" s="706"/>
      <c r="J1643" s="485"/>
    </row>
    <row r="1644" spans="1:10" x14ac:dyDescent="0.35">
      <c r="B1644" t="str">
        <f>IF(LEN('Ch9'!H89)=0,"",'Ch9'!H89)</f>
        <v/>
      </c>
      <c r="C1644" t="str">
        <f t="shared" si="41"/>
        <v/>
      </c>
      <c r="D1644" s="126"/>
      <c r="E1644" s="126"/>
      <c r="F1644" s="126"/>
      <c r="G1644" s="107" t="s">
        <v>3392</v>
      </c>
      <c r="J1644" s="485"/>
    </row>
    <row r="1645" spans="1:10" x14ac:dyDescent="0.35">
      <c r="A1645" s="403" t="str">
        <f>IF(AND(LEN('Ch9'!W90)&gt;0,NOT('Ch9'!W90=FALSE)),"P","")</f>
        <v/>
      </c>
      <c r="B1645" t="str">
        <f>IF(LEN('Ch9'!H90)=0,"",'Ch9'!H90)</f>
        <v/>
      </c>
      <c r="C1645" t="str">
        <f t="shared" si="41"/>
        <v/>
      </c>
      <c r="D1645" s="126"/>
      <c r="E1645" s="441" t="s">
        <v>270</v>
      </c>
      <c r="F1645" s="126"/>
      <c r="G1645" s="707" t="s">
        <v>3393</v>
      </c>
      <c r="H1645" s="49">
        <f>'Ch9'!W90</f>
        <v>0</v>
      </c>
      <c r="I1645" s="49">
        <f>'Ch9'!O90</f>
        <v>0</v>
      </c>
      <c r="J1645" s="813" t="s">
        <v>4177</v>
      </c>
    </row>
    <row r="1646" spans="1:10" x14ac:dyDescent="0.35">
      <c r="A1646" s="403" t="str">
        <f>A1645</f>
        <v/>
      </c>
      <c r="B1646" t="str">
        <f>IF(LEN('Ch9'!H91)=0,"",'Ch9'!H91)</f>
        <v/>
      </c>
      <c r="C1646" t="str">
        <f t="shared" si="41"/>
        <v/>
      </c>
      <c r="D1646" s="126"/>
      <c r="E1646" s="149"/>
      <c r="F1646" s="149"/>
      <c r="G1646" s="709"/>
      <c r="J1646" s="813"/>
    </row>
    <row r="1647" spans="1:10" x14ac:dyDescent="0.35">
      <c r="A1647" s="403" t="str">
        <f>IF(AND(LEN('Ch9'!W92)&gt;0,NOT('Ch9'!W92=FALSE)),"P","")</f>
        <v>P</v>
      </c>
      <c r="B1647" t="str">
        <f>IF(LEN('Ch9'!H92)=0,"",'Ch9'!H92)</f>
        <v/>
      </c>
      <c r="C1647" t="str">
        <f t="shared" si="41"/>
        <v>P</v>
      </c>
      <c r="D1647" s="126"/>
      <c r="E1647" s="441" t="s">
        <v>272</v>
      </c>
      <c r="F1647" s="126"/>
      <c r="G1647" s="707" t="s">
        <v>3394</v>
      </c>
      <c r="H1647" s="49" t="b">
        <f>'Ch9'!W92</f>
        <v>1</v>
      </c>
      <c r="I1647" s="49">
        <f>'Ch9'!O92</f>
        <v>3</v>
      </c>
      <c r="J1647" s="813" t="s">
        <v>4258</v>
      </c>
    </row>
    <row r="1648" spans="1:10" x14ac:dyDescent="0.35">
      <c r="A1648" s="403" t="str">
        <f>A1647</f>
        <v>P</v>
      </c>
      <c r="B1648" t="str">
        <f>IF(LEN('Ch9'!H93)=0,"",'Ch9'!H93)</f>
        <v/>
      </c>
      <c r="C1648" t="str">
        <f t="shared" si="41"/>
        <v>P</v>
      </c>
      <c r="D1648" s="126"/>
      <c r="E1648" s="126"/>
      <c r="F1648" s="126"/>
      <c r="G1648" s="707"/>
      <c r="J1648" s="813"/>
    </row>
    <row r="1649" spans="1:10" ht="15" thickBot="1" x14ac:dyDescent="0.4">
      <c r="A1649" s="403" t="str">
        <f>A1648</f>
        <v>P</v>
      </c>
      <c r="B1649" t="str">
        <f>IF(LEN('Ch9'!H94)=0,"",'Ch9'!H94)</f>
        <v/>
      </c>
      <c r="C1649" t="str">
        <f t="shared" si="41"/>
        <v>P</v>
      </c>
      <c r="D1649" s="448"/>
      <c r="E1649" s="448"/>
      <c r="F1649" s="448"/>
      <c r="G1649" s="708"/>
      <c r="J1649" s="813"/>
    </row>
    <row r="1650" spans="1:10" ht="15.75" customHeight="1" thickTop="1" x14ac:dyDescent="0.35">
      <c r="A1650" s="403" t="str">
        <f>IF(AND(LEN('Ch9'!W95)&gt;0,NOT('Ch9'!W95=FALSE)),"P","")</f>
        <v>P</v>
      </c>
      <c r="B1650" t="str">
        <f>IF(LEN('Ch9'!H95)=0,"",'Ch9'!H95)</f>
        <v/>
      </c>
      <c r="C1650" t="str">
        <f t="shared" si="41"/>
        <v>P</v>
      </c>
      <c r="D1650" s="63">
        <v>901.6</v>
      </c>
      <c r="E1650" s="466"/>
      <c r="F1650" s="466"/>
      <c r="G1650" s="711" t="s">
        <v>3395</v>
      </c>
      <c r="H1650" s="49" t="b">
        <f>'Ch9'!W95</f>
        <v>1</v>
      </c>
      <c r="J1650" s="824" t="s">
        <v>4749</v>
      </c>
    </row>
    <row r="1651" spans="1:10" ht="15" thickBot="1" x14ac:dyDescent="0.4">
      <c r="A1651" s="403" t="str">
        <f>A1650</f>
        <v>P</v>
      </c>
      <c r="B1651" t="str">
        <f>IF(LEN('Ch9'!H96)=0,"",'Ch9'!H96)</f>
        <v/>
      </c>
      <c r="C1651" t="str">
        <f t="shared" si="41"/>
        <v>P</v>
      </c>
      <c r="D1651" s="448"/>
      <c r="E1651" s="448"/>
      <c r="F1651" s="448"/>
      <c r="G1651" s="710"/>
      <c r="J1651" s="825"/>
    </row>
    <row r="1652" spans="1:10" ht="15" customHeight="1" thickTop="1" x14ac:dyDescent="0.35">
      <c r="A1652" s="403" t="str">
        <f>IF('Ch9'!O97&gt;0,"P","")</f>
        <v/>
      </c>
      <c r="B1652" t="str">
        <f>IF(LEN('Ch9'!H97)=0,"",'Ch9'!H97)</f>
        <v/>
      </c>
      <c r="C1652" t="str">
        <f t="shared" si="41"/>
        <v/>
      </c>
      <c r="D1652" s="33">
        <v>901.7</v>
      </c>
      <c r="E1652" s="126"/>
      <c r="F1652" s="126"/>
      <c r="G1652" s="706" t="s">
        <v>3396</v>
      </c>
      <c r="I1652" s="49">
        <f>'Ch9'!O97</f>
        <v>0</v>
      </c>
      <c r="J1652" s="804" t="s">
        <v>4763</v>
      </c>
    </row>
    <row r="1653" spans="1:10" ht="15" customHeight="1" x14ac:dyDescent="0.35">
      <c r="A1653" s="403" t="str">
        <f>A1652</f>
        <v/>
      </c>
      <c r="B1653" t="str">
        <f>IF(LEN('Ch9'!H98)=0,"",'Ch9'!H98)</f>
        <v/>
      </c>
      <c r="C1653" t="str">
        <f t="shared" si="41"/>
        <v/>
      </c>
      <c r="D1653" s="126"/>
      <c r="E1653" s="126"/>
      <c r="F1653" s="126"/>
      <c r="G1653" s="706"/>
      <c r="J1653" s="805"/>
    </row>
    <row r="1654" spans="1:10" x14ac:dyDescent="0.35">
      <c r="A1654" s="403" t="str">
        <f>A1653</f>
        <v/>
      </c>
      <c r="B1654" t="str">
        <f>IF(LEN('Ch9'!H99)=0,"",'Ch9'!H99)</f>
        <v/>
      </c>
      <c r="C1654" t="str">
        <f t="shared" si="41"/>
        <v/>
      </c>
      <c r="D1654" s="126"/>
      <c r="E1654" s="126"/>
      <c r="F1654" s="126"/>
      <c r="G1654" s="706"/>
      <c r="J1654" s="805"/>
    </row>
    <row r="1655" spans="1:10" x14ac:dyDescent="0.35">
      <c r="A1655" s="403" t="str">
        <f>A1654</f>
        <v/>
      </c>
      <c r="B1655" t="str">
        <f>IF(LEN('Ch9'!H100)=0,"",'Ch9'!H100)</f>
        <v/>
      </c>
      <c r="C1655" t="str">
        <f t="shared" si="41"/>
        <v/>
      </c>
      <c r="D1655" s="126"/>
      <c r="E1655" s="126"/>
      <c r="F1655" s="126"/>
      <c r="G1655" s="706"/>
      <c r="J1655" s="805"/>
    </row>
    <row r="1656" spans="1:10" x14ac:dyDescent="0.35">
      <c r="A1656" s="403" t="str">
        <f>A1655</f>
        <v/>
      </c>
      <c r="B1656" t="str">
        <f>IF(LEN('Ch9'!H101)=0,"",'Ch9'!H101)</f>
        <v/>
      </c>
      <c r="C1656" t="str">
        <f t="shared" si="41"/>
        <v/>
      </c>
      <c r="D1656" s="126"/>
      <c r="E1656" s="126"/>
      <c r="F1656" s="126"/>
      <c r="G1656" s="706"/>
      <c r="J1656" s="805"/>
    </row>
    <row r="1657" spans="1:10" x14ac:dyDescent="0.35">
      <c r="B1657" t="str">
        <f>IF(LEN('Ch9'!H102)=0,"",'Ch9'!H102)</f>
        <v/>
      </c>
      <c r="C1657" t="str">
        <f t="shared" si="41"/>
        <v/>
      </c>
      <c r="D1657" s="126"/>
      <c r="E1657" s="126"/>
      <c r="F1657" s="126"/>
      <c r="G1657" s="752" t="s">
        <v>3397</v>
      </c>
      <c r="I1657" s="424"/>
      <c r="J1657" s="805"/>
    </row>
    <row r="1658" spans="1:10" x14ac:dyDescent="0.35">
      <c r="B1658" t="str">
        <f>IF(LEN('Ch9'!H103)=0,"",'Ch9'!H103)</f>
        <v/>
      </c>
      <c r="C1658" t="str">
        <f t="shared" si="41"/>
        <v/>
      </c>
      <c r="D1658" s="126"/>
      <c r="E1658" s="126"/>
      <c r="F1658" s="126"/>
      <c r="G1658" s="752"/>
      <c r="H1658" s="424"/>
      <c r="J1658" s="805"/>
    </row>
    <row r="1659" spans="1:10" ht="15" customHeight="1" x14ac:dyDescent="0.35">
      <c r="A1659" s="403" t="str">
        <f>A1656</f>
        <v/>
      </c>
      <c r="B1659" t="str">
        <f>IF(LEN('Ch9'!H104)=0,"",'Ch9'!H104)</f>
        <v/>
      </c>
      <c r="C1659" t="str">
        <f t="shared" si="41"/>
        <v/>
      </c>
      <c r="D1659" s="126"/>
      <c r="E1659" s="441" t="s">
        <v>270</v>
      </c>
      <c r="F1659" s="126"/>
      <c r="G1659" s="707" t="s">
        <v>3398</v>
      </c>
      <c r="H1659" s="49">
        <f>'Ch9'!W104</f>
        <v>0</v>
      </c>
      <c r="J1659" s="805"/>
    </row>
    <row r="1660" spans="1:10" x14ac:dyDescent="0.35">
      <c r="A1660" s="403" t="str">
        <f t="shared" ref="A1660:A1668" si="43">A1659</f>
        <v/>
      </c>
      <c r="B1660" t="str">
        <f>IF(LEN('Ch9'!H105)=0,"",'Ch9'!H105)</f>
        <v/>
      </c>
      <c r="C1660" t="str">
        <f t="shared" si="41"/>
        <v/>
      </c>
      <c r="D1660" s="126"/>
      <c r="E1660" s="126"/>
      <c r="F1660" s="126"/>
      <c r="G1660" s="707"/>
      <c r="J1660" s="805"/>
    </row>
    <row r="1661" spans="1:10" x14ac:dyDescent="0.35">
      <c r="A1661" s="403" t="str">
        <f t="shared" si="43"/>
        <v/>
      </c>
      <c r="B1661" t="str">
        <f>IF(LEN('Ch9'!H106)=0,"",'Ch9'!H106)</f>
        <v/>
      </c>
      <c r="C1661" t="str">
        <f t="shared" si="41"/>
        <v/>
      </c>
      <c r="D1661" s="126"/>
      <c r="E1661" s="126"/>
      <c r="F1661" s="126"/>
      <c r="G1661" s="707"/>
      <c r="J1661" s="805"/>
    </row>
    <row r="1662" spans="1:10" x14ac:dyDescent="0.35">
      <c r="A1662" s="403" t="str">
        <f t="shared" si="43"/>
        <v/>
      </c>
      <c r="B1662" t="str">
        <f>IF(LEN('Ch9'!H107)=0,"",'Ch9'!H107)</f>
        <v/>
      </c>
      <c r="C1662" t="str">
        <f t="shared" si="41"/>
        <v/>
      </c>
      <c r="D1662" s="126"/>
      <c r="E1662" s="126"/>
      <c r="F1662" s="126"/>
      <c r="G1662" s="707"/>
      <c r="J1662" s="805"/>
    </row>
    <row r="1663" spans="1:10" x14ac:dyDescent="0.35">
      <c r="A1663" s="403" t="str">
        <f t="shared" si="43"/>
        <v/>
      </c>
      <c r="B1663" t="str">
        <f>IF(LEN('Ch9'!H108)=0,"",'Ch9'!H108)</f>
        <v/>
      </c>
      <c r="C1663" t="str">
        <f t="shared" si="41"/>
        <v/>
      </c>
      <c r="D1663" s="126"/>
      <c r="E1663" s="126"/>
      <c r="F1663" s="441" t="s">
        <v>121</v>
      </c>
      <c r="G1663" s="104" t="s">
        <v>3399</v>
      </c>
      <c r="J1663" s="805"/>
    </row>
    <row r="1664" spans="1:10" x14ac:dyDescent="0.35">
      <c r="A1664" s="403" t="str">
        <f t="shared" si="43"/>
        <v/>
      </c>
      <c r="B1664" t="str">
        <f>IF(LEN('Ch9'!H109)=0,"",'Ch9'!H109)</f>
        <v/>
      </c>
      <c r="C1664" t="str">
        <f t="shared" si="41"/>
        <v/>
      </c>
      <c r="D1664" s="126"/>
      <c r="E1664" s="126"/>
      <c r="F1664" s="441" t="s">
        <v>122</v>
      </c>
      <c r="G1664" s="104" t="s">
        <v>3400</v>
      </c>
      <c r="J1664" s="805"/>
    </row>
    <row r="1665" spans="1:10" x14ac:dyDescent="0.35">
      <c r="A1665" s="403" t="str">
        <f t="shared" si="43"/>
        <v/>
      </c>
      <c r="B1665" t="str">
        <f>IF(LEN('Ch9'!H110)=0,"",'Ch9'!H110)</f>
        <v/>
      </c>
      <c r="C1665" t="str">
        <f t="shared" si="41"/>
        <v/>
      </c>
      <c r="D1665" s="126"/>
      <c r="E1665" s="126"/>
      <c r="F1665" s="441" t="s">
        <v>123</v>
      </c>
      <c r="G1665" s="104" t="s">
        <v>3401</v>
      </c>
      <c r="J1665" s="805"/>
    </row>
    <row r="1666" spans="1:10" x14ac:dyDescent="0.35">
      <c r="A1666" s="403" t="str">
        <f t="shared" si="43"/>
        <v/>
      </c>
      <c r="B1666" t="str">
        <f>IF(LEN('Ch9'!H111)=0,"",'Ch9'!H111)</f>
        <v/>
      </c>
      <c r="C1666" t="str">
        <f t="shared" si="41"/>
        <v/>
      </c>
      <c r="D1666" s="126"/>
      <c r="E1666" s="126"/>
      <c r="F1666" s="441" t="s">
        <v>420</v>
      </c>
      <c r="G1666" s="104" t="s">
        <v>3402</v>
      </c>
      <c r="J1666" s="805"/>
    </row>
    <row r="1667" spans="1:10" x14ac:dyDescent="0.35">
      <c r="A1667" s="403" t="str">
        <f t="shared" si="43"/>
        <v/>
      </c>
      <c r="B1667" t="str">
        <f>IF(LEN('Ch9'!H112)=0,"",'Ch9'!H112)</f>
        <v/>
      </c>
      <c r="C1667" t="str">
        <f t="shared" si="41"/>
        <v/>
      </c>
      <c r="D1667" s="126"/>
      <c r="E1667" s="126"/>
      <c r="F1667" s="441" t="s">
        <v>575</v>
      </c>
      <c r="G1667" s="104" t="s">
        <v>3403</v>
      </c>
      <c r="I1667" s="424"/>
      <c r="J1667" s="805"/>
    </row>
    <row r="1668" spans="1:10" x14ac:dyDescent="0.35">
      <c r="A1668" s="403" t="str">
        <f t="shared" si="43"/>
        <v/>
      </c>
      <c r="B1668" t="str">
        <f>IF(LEN('Ch9'!H113)=0,"",'Ch9'!H113)</f>
        <v/>
      </c>
      <c r="C1668" t="str">
        <f t="shared" si="41"/>
        <v/>
      </c>
      <c r="D1668" s="126"/>
      <c r="E1668" s="149"/>
      <c r="F1668" s="459" t="s">
        <v>642</v>
      </c>
      <c r="G1668" s="214" t="s">
        <v>3404</v>
      </c>
      <c r="H1668" s="424"/>
      <c r="J1668" s="806"/>
    </row>
    <row r="1669" spans="1:10" x14ac:dyDescent="0.35">
      <c r="B1669" t="str">
        <f>IF(LEN('Ch9'!H114)=0,"",'Ch9'!H114)</f>
        <v/>
      </c>
      <c r="C1669" t="str">
        <f t="shared" si="41"/>
        <v/>
      </c>
      <c r="D1669" s="126"/>
      <c r="E1669" s="459" t="s">
        <v>272</v>
      </c>
      <c r="F1669" s="149"/>
      <c r="G1669" s="214" t="s">
        <v>4101</v>
      </c>
      <c r="H1669" s="49">
        <f>'Ch9'!W114</f>
        <v>0</v>
      </c>
      <c r="J1669" s="495"/>
    </row>
    <row r="1670" spans="1:10" x14ac:dyDescent="0.35">
      <c r="B1670" t="str">
        <f>IF(LEN('Ch9'!H115)=0,"",'Ch9'!H115)</f>
        <v/>
      </c>
      <c r="C1670" t="str">
        <f t="shared" si="41"/>
        <v/>
      </c>
      <c r="D1670" s="126"/>
      <c r="E1670" s="441" t="s">
        <v>274</v>
      </c>
      <c r="F1670" s="126"/>
      <c r="G1670" s="104" t="s">
        <v>3911</v>
      </c>
      <c r="H1670" s="49">
        <f>'Ch9'!W115</f>
        <v>0</v>
      </c>
      <c r="J1670" s="495"/>
    </row>
    <row r="1671" spans="1:10" x14ac:dyDescent="0.35">
      <c r="B1671" t="str">
        <f>IF(LEN('Ch9'!H116)=0,"",'Ch9'!H116)</f>
        <v/>
      </c>
      <c r="C1671" t="str">
        <f t="shared" si="41"/>
        <v/>
      </c>
      <c r="D1671" s="126"/>
      <c r="E1671" s="126"/>
      <c r="F1671" s="126"/>
      <c r="G1671" s="752" t="s">
        <v>3405</v>
      </c>
      <c r="J1671" s="485"/>
    </row>
    <row r="1672" spans="1:10" ht="15" thickBot="1" x14ac:dyDescent="0.4">
      <c r="B1672" t="str">
        <f>IF(LEN('Ch9'!H117)=0,"",'Ch9'!H117)</f>
        <v/>
      </c>
      <c r="C1672" t="str">
        <f t="shared" si="41"/>
        <v/>
      </c>
      <c r="D1672" s="448"/>
      <c r="E1672" s="448"/>
      <c r="F1672" s="448"/>
      <c r="G1672" s="779"/>
      <c r="J1672" s="485"/>
    </row>
    <row r="1673" spans="1:10" ht="15.75" customHeight="1" thickTop="1" x14ac:dyDescent="0.35">
      <c r="A1673" s="403" t="str">
        <f>IF(AND(LEN('Ch9'!W118)&gt;0,NOT('Ch9'!W118=FALSE)),"P","")</f>
        <v/>
      </c>
      <c r="B1673" t="str">
        <f>IF(LEN('Ch9'!H118)=0,"",'Ch9'!H118)</f>
        <v/>
      </c>
      <c r="C1673" t="str">
        <f t="shared" si="41"/>
        <v/>
      </c>
      <c r="D1673" s="63">
        <v>901.8</v>
      </c>
      <c r="E1673" s="466"/>
      <c r="F1673" s="466"/>
      <c r="G1673" s="711" t="s">
        <v>3406</v>
      </c>
      <c r="H1673" s="49">
        <f>'Ch9'!W118</f>
        <v>0</v>
      </c>
      <c r="I1673" s="49">
        <f>'Ch9'!O118</f>
        <v>0</v>
      </c>
      <c r="J1673" s="814" t="s">
        <v>4297</v>
      </c>
    </row>
    <row r="1674" spans="1:10" x14ac:dyDescent="0.35">
      <c r="A1674" s="403" t="str">
        <f>A1673</f>
        <v/>
      </c>
      <c r="B1674" t="str">
        <f>IF(LEN('Ch9'!H119)=0,"",'Ch9'!H119)</f>
        <v/>
      </c>
      <c r="C1674" t="str">
        <f t="shared" si="41"/>
        <v/>
      </c>
      <c r="D1674" s="126"/>
      <c r="E1674" s="126"/>
      <c r="F1674" s="126"/>
      <c r="G1674" s="706"/>
      <c r="J1674" s="814"/>
    </row>
    <row r="1675" spans="1:10" x14ac:dyDescent="0.35">
      <c r="A1675" s="403" t="str">
        <f>A1674</f>
        <v/>
      </c>
      <c r="B1675" t="str">
        <f>IF(LEN('Ch9'!H120)=0,"",'Ch9'!H120)</f>
        <v/>
      </c>
      <c r="C1675" t="str">
        <f t="shared" si="41"/>
        <v/>
      </c>
      <c r="D1675" s="126"/>
      <c r="E1675" s="126"/>
      <c r="F1675" s="126"/>
      <c r="G1675" s="706"/>
      <c r="J1675" s="814"/>
    </row>
    <row r="1676" spans="1:10" x14ac:dyDescent="0.35">
      <c r="A1676" s="403" t="str">
        <f>A1675</f>
        <v/>
      </c>
      <c r="B1676" t="str">
        <f>IF(LEN('Ch9'!H121)=0,"",'Ch9'!H121)</f>
        <v/>
      </c>
      <c r="C1676" t="str">
        <f t="shared" si="41"/>
        <v/>
      </c>
      <c r="D1676" s="126"/>
      <c r="E1676" s="126"/>
      <c r="F1676" s="126"/>
      <c r="G1676" s="706"/>
      <c r="J1676" s="814"/>
    </row>
    <row r="1677" spans="1:10" x14ac:dyDescent="0.35">
      <c r="A1677" s="403" t="str">
        <f>A1676</f>
        <v/>
      </c>
      <c r="B1677" t="str">
        <f>IF(LEN('Ch9'!H122)=0,"",'Ch9'!H122)</f>
        <v/>
      </c>
      <c r="C1677" t="str">
        <f t="shared" si="41"/>
        <v/>
      </c>
      <c r="D1677" s="126"/>
      <c r="E1677" s="126"/>
      <c r="F1677" s="126"/>
      <c r="G1677" s="706"/>
      <c r="J1677" s="814"/>
    </row>
    <row r="1678" spans="1:10" ht="15" thickBot="1" x14ac:dyDescent="0.4">
      <c r="A1678" s="403" t="str">
        <f>A1677</f>
        <v/>
      </c>
      <c r="B1678" t="str">
        <f>IF(LEN('Ch9'!H123)=0,"",'Ch9'!H123)</f>
        <v/>
      </c>
      <c r="C1678" t="str">
        <f t="shared" si="41"/>
        <v/>
      </c>
      <c r="D1678" s="448"/>
      <c r="E1678" s="448"/>
      <c r="F1678" s="448"/>
      <c r="G1678" s="710"/>
      <c r="J1678" s="814"/>
    </row>
    <row r="1679" spans="1:10" ht="15" thickTop="1" x14ac:dyDescent="0.35">
      <c r="B1679" t="str">
        <f>IF(LEN('Ch9'!H124)=0,"",'Ch9'!H124)</f>
        <v/>
      </c>
      <c r="C1679" t="str">
        <f t="shared" si="41"/>
        <v/>
      </c>
      <c r="D1679" s="63">
        <v>901.9</v>
      </c>
      <c r="E1679" s="466"/>
      <c r="F1679" s="466"/>
      <c r="G1679" s="711" t="s">
        <v>3407</v>
      </c>
      <c r="J1679" s="485"/>
    </row>
    <row r="1680" spans="1:10" x14ac:dyDescent="0.35">
      <c r="B1680" t="str">
        <f>IF(LEN('Ch9'!H125)=0,"",'Ch9'!H125)</f>
        <v/>
      </c>
      <c r="C1680" t="str">
        <f t="shared" si="41"/>
        <v/>
      </c>
      <c r="D1680" s="126"/>
      <c r="E1680" s="126"/>
      <c r="F1680" s="126"/>
      <c r="G1680" s="706"/>
      <c r="J1680" s="485"/>
    </row>
    <row r="1681" spans="1:10" x14ac:dyDescent="0.35">
      <c r="B1681" t="str">
        <f>IF(LEN('Ch9'!H126)=0,"",'Ch9'!H126)</f>
        <v/>
      </c>
      <c r="C1681" t="str">
        <f t="shared" ref="C1681:C1744" si="44">IF(LEN(B1681)=0,IF(A1681="P","P",""),B1681)</f>
        <v/>
      </c>
      <c r="D1681" s="126"/>
      <c r="E1681" s="126"/>
      <c r="F1681" s="126"/>
      <c r="G1681" s="706"/>
      <c r="J1681" s="485"/>
    </row>
    <row r="1682" spans="1:10" x14ac:dyDescent="0.35">
      <c r="A1682" s="403" t="str">
        <f>IF('Ch9'!O127&gt;0,"P","")</f>
        <v/>
      </c>
      <c r="B1682" t="str">
        <f>IF(LEN('Ch9'!H127)=0,"",'Ch9'!H127)</f>
        <v/>
      </c>
      <c r="C1682" t="str">
        <f t="shared" si="44"/>
        <v/>
      </c>
      <c r="D1682" s="33" t="s">
        <v>3408</v>
      </c>
      <c r="E1682" s="126"/>
      <c r="F1682" s="126"/>
      <c r="G1682" s="706" t="s">
        <v>3409</v>
      </c>
      <c r="I1682" s="49">
        <f>'Ch9'!O127</f>
        <v>0</v>
      </c>
      <c r="J1682" s="814" t="s">
        <v>4259</v>
      </c>
    </row>
    <row r="1683" spans="1:10" ht="25.5" customHeight="1" x14ac:dyDescent="0.35">
      <c r="A1683" s="403" t="str">
        <f>A1682</f>
        <v/>
      </c>
      <c r="B1683" t="str">
        <f>IF(LEN('Ch9'!H128)=0,"",'Ch9'!H128)</f>
        <v/>
      </c>
      <c r="C1683" t="str">
        <f t="shared" si="44"/>
        <v/>
      </c>
      <c r="D1683" s="126"/>
      <c r="E1683" s="126"/>
      <c r="F1683" s="126"/>
      <c r="G1683" s="706"/>
      <c r="J1683" s="814"/>
    </row>
    <row r="1684" spans="1:10" ht="15" customHeight="1" x14ac:dyDescent="0.35">
      <c r="B1684" t="str">
        <f>IF(LEN('Ch9'!H129)=0,"",'Ch9'!H129)</f>
        <v/>
      </c>
      <c r="C1684" t="str">
        <f t="shared" si="44"/>
        <v/>
      </c>
      <c r="D1684" s="126"/>
      <c r="E1684" s="441" t="s">
        <v>270</v>
      </c>
      <c r="F1684" s="126"/>
      <c r="G1684" s="707" t="s">
        <v>3410</v>
      </c>
      <c r="H1684" s="49">
        <f>'Ch9'!W129</f>
        <v>0</v>
      </c>
      <c r="J1684" s="490"/>
    </row>
    <row r="1685" spans="1:10" x14ac:dyDescent="0.35">
      <c r="B1685" t="str">
        <f>IF(LEN('Ch9'!H130)=0,"",'Ch9'!H130)</f>
        <v/>
      </c>
      <c r="C1685" t="str">
        <f t="shared" si="44"/>
        <v/>
      </c>
      <c r="D1685" s="126"/>
      <c r="E1685" s="149"/>
      <c r="F1685" s="149"/>
      <c r="G1685" s="709"/>
      <c r="J1685" s="490"/>
    </row>
    <row r="1686" spans="1:10" x14ac:dyDescent="0.35">
      <c r="B1686" t="str">
        <f>IF(LEN('Ch9'!H131)=0,"",'Ch9'!H131)</f>
        <v/>
      </c>
      <c r="C1686" t="str">
        <f t="shared" si="44"/>
        <v/>
      </c>
      <c r="D1686" s="126"/>
      <c r="E1686" s="459" t="s">
        <v>272</v>
      </c>
      <c r="F1686" s="149"/>
      <c r="G1686" s="214" t="s">
        <v>3411</v>
      </c>
      <c r="H1686" s="49">
        <f>'Ch9'!W131</f>
        <v>0</v>
      </c>
      <c r="J1686" s="495"/>
    </row>
    <row r="1687" spans="1:10" x14ac:dyDescent="0.35">
      <c r="B1687" t="str">
        <f>IF(LEN('Ch9'!H132)=0,"",'Ch9'!H132)</f>
        <v/>
      </c>
      <c r="C1687" t="str">
        <f t="shared" si="44"/>
        <v/>
      </c>
      <c r="D1687" s="126"/>
      <c r="E1687" s="441" t="s">
        <v>274</v>
      </c>
      <c r="F1687" s="126"/>
      <c r="G1687" s="104" t="s">
        <v>3412</v>
      </c>
      <c r="H1687" s="49">
        <f>'Ch9'!W132</f>
        <v>0</v>
      </c>
      <c r="J1687" s="495"/>
    </row>
    <row r="1688" spans="1:10" x14ac:dyDescent="0.35">
      <c r="B1688" t="str">
        <f>IF(LEN('Ch9'!H133)=0,"",'Ch9'!H133)</f>
        <v/>
      </c>
      <c r="C1688" t="str">
        <f t="shared" si="44"/>
        <v/>
      </c>
      <c r="D1688" s="458"/>
      <c r="E1688" s="458"/>
      <c r="F1688" s="458"/>
      <c r="G1688" s="356" t="s">
        <v>3925</v>
      </c>
      <c r="J1688" s="495"/>
    </row>
    <row r="1689" spans="1:10" ht="15" customHeight="1" x14ac:dyDescent="0.35">
      <c r="A1689" s="403" t="str">
        <f>IF(AND(LEN('Ch9'!W134)&gt;0,NOT('Ch9'!W134=FALSE)),"P","")</f>
        <v/>
      </c>
      <c r="B1689" t="str">
        <f>IF(LEN('Ch9'!H134)=0,"",'Ch9'!H134)</f>
        <v/>
      </c>
      <c r="C1689" t="str">
        <f t="shared" si="44"/>
        <v/>
      </c>
      <c r="D1689" s="444" t="s">
        <v>3413</v>
      </c>
      <c r="E1689" s="471"/>
      <c r="F1689" s="471"/>
      <c r="G1689" s="753" t="s">
        <v>3414</v>
      </c>
      <c r="H1689" s="49">
        <f>'Ch9'!W134</f>
        <v>0</v>
      </c>
      <c r="I1689" s="49">
        <f>'Ch9'!O134</f>
        <v>0</v>
      </c>
      <c r="J1689" s="814" t="s">
        <v>4260</v>
      </c>
    </row>
    <row r="1690" spans="1:10" ht="24" customHeight="1" x14ac:dyDescent="0.35">
      <c r="A1690" s="403" t="str">
        <f>A1689</f>
        <v/>
      </c>
      <c r="B1690" t="str">
        <f>IF(LEN('Ch9'!H135)=0,"",'Ch9'!H135)</f>
        <v/>
      </c>
      <c r="C1690" t="str">
        <f t="shared" si="44"/>
        <v/>
      </c>
      <c r="D1690" s="126"/>
      <c r="E1690" s="126"/>
      <c r="F1690" s="126"/>
      <c r="G1690" s="706"/>
      <c r="J1690" s="814"/>
    </row>
    <row r="1691" spans="1:10" x14ac:dyDescent="0.35">
      <c r="B1691" t="str">
        <f>IF(LEN('Ch9'!H136)=0,"",'Ch9'!H136)</f>
        <v/>
      </c>
      <c r="C1691" t="str">
        <f t="shared" si="44"/>
        <v/>
      </c>
      <c r="D1691" s="126"/>
      <c r="E1691" s="126"/>
      <c r="F1691" s="126"/>
      <c r="G1691" s="791" t="s">
        <v>3415</v>
      </c>
      <c r="J1691" s="485"/>
    </row>
    <row r="1692" spans="1:10" x14ac:dyDescent="0.35">
      <c r="B1692" t="str">
        <f>IF(LEN('Ch9'!H137)=0,"",'Ch9'!H137)</f>
        <v/>
      </c>
      <c r="C1692" t="str">
        <f t="shared" si="44"/>
        <v/>
      </c>
      <c r="D1692" s="126"/>
      <c r="E1692" s="126"/>
      <c r="F1692" s="126"/>
      <c r="G1692" s="791"/>
      <c r="J1692" s="485"/>
    </row>
    <row r="1693" spans="1:10" x14ac:dyDescent="0.35">
      <c r="B1693" t="str">
        <f>IF(LEN('Ch9'!H138)=0,"",'Ch9'!H138)</f>
        <v/>
      </c>
      <c r="C1693" t="str">
        <f t="shared" si="44"/>
        <v/>
      </c>
      <c r="D1693" s="149"/>
      <c r="E1693" s="149"/>
      <c r="F1693" s="149"/>
      <c r="G1693" s="356" t="s">
        <v>4020</v>
      </c>
      <c r="J1693" s="485"/>
    </row>
    <row r="1694" spans="1:10" ht="15" customHeight="1" x14ac:dyDescent="0.35">
      <c r="A1694" s="403" t="str">
        <f>IF(AND(LEN('Ch9'!W139)&gt;0,NOT('Ch9'!W139=FALSE)),"P","")</f>
        <v/>
      </c>
      <c r="B1694" t="str">
        <f>IF(LEN('Ch9'!H139)=0,"",'Ch9'!H139)</f>
        <v/>
      </c>
      <c r="C1694" t="str">
        <f t="shared" si="44"/>
        <v/>
      </c>
      <c r="D1694" s="33" t="s">
        <v>3416</v>
      </c>
      <c r="E1694" s="126"/>
      <c r="F1694" s="126"/>
      <c r="G1694" s="706" t="s">
        <v>3417</v>
      </c>
      <c r="H1694" s="49">
        <f>'Ch9'!W139</f>
        <v>0</v>
      </c>
      <c r="I1694" s="49">
        <f>'Ch9'!O139</f>
        <v>0</v>
      </c>
      <c r="J1694" s="814" t="s">
        <v>4261</v>
      </c>
    </row>
    <row r="1695" spans="1:10" x14ac:dyDescent="0.35">
      <c r="A1695" s="403" t="str">
        <f>A1694</f>
        <v/>
      </c>
      <c r="B1695" t="str">
        <f>IF(LEN('Ch9'!H140)=0,"",'Ch9'!H140)</f>
        <v/>
      </c>
      <c r="C1695" t="str">
        <f t="shared" si="44"/>
        <v/>
      </c>
      <c r="D1695" s="126"/>
      <c r="E1695" s="126"/>
      <c r="F1695" s="126"/>
      <c r="G1695" s="706"/>
      <c r="J1695" s="814"/>
    </row>
    <row r="1696" spans="1:10" x14ac:dyDescent="0.35">
      <c r="A1696" s="403" t="str">
        <f>A1695</f>
        <v/>
      </c>
      <c r="B1696" t="str">
        <f>IF(LEN('Ch9'!H141)=0,"",'Ch9'!H141)</f>
        <v/>
      </c>
      <c r="C1696" t="str">
        <f t="shared" si="44"/>
        <v/>
      </c>
      <c r="D1696" s="126"/>
      <c r="E1696" s="126"/>
      <c r="F1696" s="126"/>
      <c r="G1696" s="706"/>
      <c r="J1696" s="814"/>
    </row>
    <row r="1697" spans="1:10" x14ac:dyDescent="0.35">
      <c r="A1697" s="403" t="str">
        <f>A1696</f>
        <v/>
      </c>
      <c r="B1697" t="str">
        <f>IF(LEN('Ch9'!H142)=0,"",'Ch9'!H142)</f>
        <v/>
      </c>
      <c r="C1697" t="str">
        <f t="shared" si="44"/>
        <v/>
      </c>
      <c r="D1697" s="126"/>
      <c r="E1697" s="126"/>
      <c r="F1697" s="126"/>
      <c r="G1697" s="706"/>
      <c r="J1697" s="814"/>
    </row>
    <row r="1698" spans="1:10" x14ac:dyDescent="0.35">
      <c r="A1698" s="403" t="str">
        <f>A1697</f>
        <v/>
      </c>
      <c r="B1698" t="str">
        <f>IF(LEN('Ch9'!H143)=0,"",'Ch9'!H143)</f>
        <v/>
      </c>
      <c r="C1698" t="str">
        <f t="shared" si="44"/>
        <v/>
      </c>
      <c r="D1698" s="126"/>
      <c r="E1698" s="126"/>
      <c r="F1698" s="126"/>
      <c r="G1698" s="706"/>
      <c r="J1698" s="814"/>
    </row>
    <row r="1699" spans="1:10" ht="15" thickBot="1" x14ac:dyDescent="0.4">
      <c r="A1699" s="403" t="str">
        <f>A1698</f>
        <v/>
      </c>
      <c r="B1699" t="str">
        <f>IF(LEN('Ch9'!H144)=0,"",'Ch9'!H144)</f>
        <v/>
      </c>
      <c r="C1699" t="str">
        <f t="shared" si="44"/>
        <v/>
      </c>
      <c r="D1699" s="448"/>
      <c r="E1699" s="448"/>
      <c r="F1699" s="448"/>
      <c r="G1699" s="710"/>
      <c r="J1699" s="814"/>
    </row>
    <row r="1700" spans="1:10" x14ac:dyDescent="0.35">
      <c r="A1700" s="403" t="str">
        <f>IF('Ch9'!O145&gt;0,"P","")</f>
        <v/>
      </c>
      <c r="B1700" t="str">
        <f>IF(LEN('Ch9'!H145)=0,"",'Ch9'!H145)</f>
        <v/>
      </c>
      <c r="C1700" t="str">
        <f t="shared" si="44"/>
        <v/>
      </c>
      <c r="D1700" s="449">
        <v>901.1</v>
      </c>
      <c r="E1700" s="126"/>
      <c r="F1700" s="126"/>
      <c r="G1700" s="706" t="s">
        <v>3418</v>
      </c>
      <c r="I1700" s="49">
        <f>'Ch9'!O145</f>
        <v>0</v>
      </c>
      <c r="J1700" s="814" t="s">
        <v>4262</v>
      </c>
    </row>
    <row r="1701" spans="1:10" x14ac:dyDescent="0.35">
      <c r="A1701" s="403" t="str">
        <f>A1700</f>
        <v/>
      </c>
      <c r="B1701" t="str">
        <f>IF(LEN('Ch9'!H146)=0,"",'Ch9'!H146)</f>
        <v/>
      </c>
      <c r="C1701" t="str">
        <f t="shared" si="44"/>
        <v/>
      </c>
      <c r="D1701" s="126"/>
      <c r="E1701" s="126"/>
      <c r="F1701" s="126"/>
      <c r="G1701" s="706"/>
      <c r="J1701" s="814"/>
    </row>
    <row r="1702" spans="1:10" x14ac:dyDescent="0.35">
      <c r="A1702" s="403" t="str">
        <f>A1701</f>
        <v/>
      </c>
      <c r="B1702" t="str">
        <f>IF(LEN('Ch9'!H147)=0,"",'Ch9'!H147)</f>
        <v/>
      </c>
      <c r="C1702" t="str">
        <f t="shared" si="44"/>
        <v/>
      </c>
      <c r="D1702" s="126"/>
      <c r="E1702" s="126"/>
      <c r="F1702" s="126"/>
      <c r="G1702" s="706"/>
      <c r="J1702" s="814"/>
    </row>
    <row r="1703" spans="1:10" ht="15" customHeight="1" x14ac:dyDescent="0.35">
      <c r="B1703" t="str">
        <f>IF(LEN('Ch9'!H148)=0,"",'Ch9'!H148)</f>
        <v/>
      </c>
      <c r="C1703" t="str">
        <f t="shared" si="44"/>
        <v/>
      </c>
      <c r="D1703" s="126"/>
      <c r="E1703" s="441" t="s">
        <v>270</v>
      </c>
      <c r="F1703" s="126"/>
      <c r="G1703" s="707" t="s">
        <v>3419</v>
      </c>
      <c r="H1703" s="49">
        <f>'Ch9'!W148</f>
        <v>0</v>
      </c>
      <c r="J1703" s="490"/>
    </row>
    <row r="1704" spans="1:10" x14ac:dyDescent="0.35">
      <c r="B1704" t="str">
        <f>IF(LEN('Ch9'!H149)=0,"",'Ch9'!H149)</f>
        <v/>
      </c>
      <c r="C1704" t="str">
        <f t="shared" si="44"/>
        <v/>
      </c>
      <c r="D1704" s="126"/>
      <c r="E1704" s="126"/>
      <c r="F1704" s="126"/>
      <c r="G1704" s="707"/>
      <c r="J1704" s="490"/>
    </row>
    <row r="1705" spans="1:10" x14ac:dyDescent="0.35">
      <c r="B1705" t="str">
        <f>IF(LEN('Ch9'!H150)=0,"",'Ch9'!H150)</f>
        <v/>
      </c>
      <c r="C1705" t="str">
        <f t="shared" si="44"/>
        <v/>
      </c>
      <c r="D1705" s="126"/>
      <c r="E1705" s="126"/>
      <c r="F1705" s="126"/>
      <c r="G1705" s="707"/>
      <c r="J1705" s="490"/>
    </row>
    <row r="1706" spans="1:10" x14ac:dyDescent="0.35">
      <c r="B1706" t="str">
        <f>IF(LEN('Ch9'!H151)=0,"",'Ch9'!H151)</f>
        <v/>
      </c>
      <c r="C1706" t="str">
        <f t="shared" si="44"/>
        <v/>
      </c>
      <c r="D1706" s="126"/>
      <c r="E1706" s="126"/>
      <c r="F1706" s="126"/>
      <c r="G1706" s="707"/>
      <c r="J1706" s="495"/>
    </row>
    <row r="1707" spans="1:10" x14ac:dyDescent="0.35">
      <c r="B1707" t="str">
        <f>IF(LEN('Ch9'!H152)=0,"",'Ch9'!H152)</f>
        <v/>
      </c>
      <c r="C1707" t="str">
        <f t="shared" si="44"/>
        <v/>
      </c>
      <c r="D1707" s="126"/>
      <c r="E1707" s="149"/>
      <c r="F1707" s="149"/>
      <c r="G1707" s="709"/>
      <c r="J1707" s="495"/>
    </row>
    <row r="1708" spans="1:10" x14ac:dyDescent="0.35">
      <c r="B1708" t="str">
        <f>IF(LEN('Ch9'!H153)=0,"",'Ch9'!H153)</f>
        <v/>
      </c>
      <c r="C1708" t="str">
        <f t="shared" si="44"/>
        <v/>
      </c>
      <c r="D1708" s="126"/>
      <c r="E1708" s="459" t="s">
        <v>272</v>
      </c>
      <c r="F1708" s="149"/>
      <c r="G1708" s="214" t="s">
        <v>3420</v>
      </c>
      <c r="H1708" s="49">
        <f>'Ch9'!W153</f>
        <v>0</v>
      </c>
      <c r="J1708" s="495"/>
    </row>
    <row r="1709" spans="1:10" x14ac:dyDescent="0.35">
      <c r="B1709" t="str">
        <f>IF(LEN('Ch9'!H154)=0,"",'Ch9'!H154)</f>
        <v/>
      </c>
      <c r="C1709" t="str">
        <f t="shared" si="44"/>
        <v/>
      </c>
      <c r="D1709" s="126"/>
      <c r="E1709" s="441" t="s">
        <v>274</v>
      </c>
      <c r="F1709" s="126"/>
      <c r="G1709" s="707" t="s">
        <v>3421</v>
      </c>
      <c r="H1709" s="49">
        <f>'Ch9'!W154</f>
        <v>0</v>
      </c>
      <c r="J1709" s="495"/>
    </row>
    <row r="1710" spans="1:10" x14ac:dyDescent="0.35">
      <c r="B1710" t="str">
        <f>IF(LEN('Ch9'!H155)=0,"",'Ch9'!H155)</f>
        <v/>
      </c>
      <c r="C1710" t="str">
        <f t="shared" si="44"/>
        <v/>
      </c>
      <c r="D1710" s="126"/>
      <c r="E1710" s="126"/>
      <c r="F1710" s="126"/>
      <c r="G1710" s="707"/>
      <c r="J1710" s="495"/>
    </row>
    <row r="1711" spans="1:10" x14ac:dyDescent="0.35">
      <c r="B1711" t="str">
        <f>IF(LEN('Ch9'!H156)=0,"",'Ch9'!H156)</f>
        <v/>
      </c>
      <c r="C1711" t="str">
        <f t="shared" si="44"/>
        <v/>
      </c>
      <c r="D1711" s="126"/>
      <c r="E1711" s="126"/>
      <c r="F1711" s="126"/>
      <c r="G1711" s="707"/>
      <c r="J1711" s="495"/>
    </row>
    <row r="1712" spans="1:10" ht="15" thickBot="1" x14ac:dyDescent="0.4">
      <c r="B1712" t="str">
        <f>IF(LEN('Ch9'!H157)=0,"",'Ch9'!H157)</f>
        <v/>
      </c>
      <c r="C1712" t="str">
        <f t="shared" si="44"/>
        <v/>
      </c>
      <c r="D1712" s="448"/>
      <c r="E1712" s="448"/>
      <c r="F1712" s="448"/>
      <c r="G1712" s="329" t="s">
        <v>4021</v>
      </c>
      <c r="J1712" s="495"/>
    </row>
    <row r="1713" spans="1:10" ht="15.75" customHeight="1" thickTop="1" x14ac:dyDescent="0.35">
      <c r="A1713" s="403" t="str">
        <f>IF(AND(LEN('Ch9'!W158)&gt;0,NOT('Ch9'!W158=FALSE)),"P","")</f>
        <v>P</v>
      </c>
      <c r="B1713" t="str">
        <f>IF(LEN('Ch9'!H158)=0,"",'Ch9'!H158)</f>
        <v/>
      </c>
      <c r="C1713" t="str">
        <f t="shared" si="44"/>
        <v>P</v>
      </c>
      <c r="D1713" s="63">
        <v>901.11</v>
      </c>
      <c r="E1713" s="466"/>
      <c r="F1713" s="466"/>
      <c r="G1713" s="711" t="s">
        <v>3422</v>
      </c>
      <c r="H1713" s="49" t="b">
        <f>'Ch9'!W158</f>
        <v>1</v>
      </c>
      <c r="I1713" s="49">
        <f>'Ch9'!O158</f>
        <v>4</v>
      </c>
      <c r="J1713" s="814" t="s">
        <v>4263</v>
      </c>
    </row>
    <row r="1714" spans="1:10" x14ac:dyDescent="0.35">
      <c r="A1714" s="403" t="str">
        <f>A1713</f>
        <v>P</v>
      </c>
      <c r="B1714" t="str">
        <f>IF(LEN('Ch9'!H159)=0,"",'Ch9'!H159)</f>
        <v/>
      </c>
      <c r="C1714" t="str">
        <f t="shared" si="44"/>
        <v>P</v>
      </c>
      <c r="D1714" s="126"/>
      <c r="E1714" s="126"/>
      <c r="F1714" s="126"/>
      <c r="G1714" s="706"/>
      <c r="J1714" s="814"/>
    </row>
    <row r="1715" spans="1:10" x14ac:dyDescent="0.35">
      <c r="A1715" s="403" t="str">
        <f>A1714</f>
        <v>P</v>
      </c>
      <c r="B1715" t="str">
        <f>IF(LEN('Ch9'!H160)=0,"",'Ch9'!H160)</f>
        <v/>
      </c>
      <c r="C1715" t="str">
        <f t="shared" si="44"/>
        <v>P</v>
      </c>
      <c r="D1715" s="126"/>
      <c r="E1715" s="126"/>
      <c r="F1715" s="126"/>
      <c r="G1715" s="706"/>
      <c r="J1715" s="814"/>
    </row>
    <row r="1716" spans="1:10" x14ac:dyDescent="0.35">
      <c r="A1716" s="403" t="str">
        <f>A1715</f>
        <v>P</v>
      </c>
      <c r="B1716" t="str">
        <f>IF(LEN('Ch9'!H161)=0,"",'Ch9'!H161)</f>
        <v/>
      </c>
      <c r="C1716" t="str">
        <f t="shared" si="44"/>
        <v>P</v>
      </c>
      <c r="D1716" s="126"/>
      <c r="E1716" s="126"/>
      <c r="F1716" s="126"/>
      <c r="G1716" s="706"/>
      <c r="J1716" s="814"/>
    </row>
    <row r="1717" spans="1:10" ht="15" thickBot="1" x14ac:dyDescent="0.4">
      <c r="A1717" s="403" t="str">
        <f>A1716</f>
        <v>P</v>
      </c>
      <c r="B1717" t="str">
        <f>IF(LEN('Ch9'!H162)=0,"",'Ch9'!H162)</f>
        <v/>
      </c>
      <c r="C1717" t="str">
        <f t="shared" si="44"/>
        <v>P</v>
      </c>
      <c r="D1717" s="448"/>
      <c r="E1717" s="448"/>
      <c r="F1717" s="448"/>
      <c r="G1717" s="710"/>
      <c r="J1717" s="814"/>
    </row>
    <row r="1718" spans="1:10" ht="15.75" customHeight="1" thickTop="1" x14ac:dyDescent="0.35">
      <c r="A1718" s="403" t="str">
        <f>IF(AND(LEN('Ch9'!W163)&gt;0,NOT('Ch9'!W163=FALSE)),"P","")</f>
        <v>P</v>
      </c>
      <c r="B1718" t="str">
        <f>IF(LEN('Ch9'!H163)=0,"",'Ch9'!H163)</f>
        <v/>
      </c>
      <c r="C1718" t="str">
        <f t="shared" si="44"/>
        <v>P</v>
      </c>
      <c r="D1718" s="63">
        <v>901.12</v>
      </c>
      <c r="E1718" s="466"/>
      <c r="F1718" s="466"/>
      <c r="G1718" s="711" t="s">
        <v>3423</v>
      </c>
      <c r="H1718" s="49" t="str">
        <f>'Ch9'!W163</f>
        <v>Met</v>
      </c>
      <c r="J1718" s="814" t="s">
        <v>4264</v>
      </c>
    </row>
    <row r="1719" spans="1:10" ht="15" thickBot="1" x14ac:dyDescent="0.4">
      <c r="A1719" s="403" t="str">
        <f>A1718</f>
        <v>P</v>
      </c>
      <c r="B1719" t="str">
        <f>IF(LEN('Ch9'!H164)=0,"",'Ch9'!H164)</f>
        <v/>
      </c>
      <c r="C1719" t="str">
        <f t="shared" si="44"/>
        <v>P</v>
      </c>
      <c r="D1719" s="448"/>
      <c r="E1719" s="448"/>
      <c r="F1719" s="448"/>
      <c r="G1719" s="710"/>
      <c r="J1719" s="814"/>
    </row>
    <row r="1720" spans="1:10" ht="15" thickTop="1" x14ac:dyDescent="0.35">
      <c r="A1720" s="403" t="str">
        <f ca="1">IF('Ch9'!O165&gt;0,"P","")</f>
        <v/>
      </c>
      <c r="B1720" t="str">
        <f>IF(LEN('Ch9'!H165)=0,"",'Ch9'!H165)</f>
        <v/>
      </c>
      <c r="C1720" t="str">
        <f t="shared" ca="1" si="44"/>
        <v/>
      </c>
      <c r="D1720" s="63">
        <v>901.13</v>
      </c>
      <c r="E1720" s="466"/>
      <c r="F1720" s="466"/>
      <c r="G1720" s="711" t="s">
        <v>3424</v>
      </c>
      <c r="I1720" s="49">
        <f ca="1">'Ch9'!O165</f>
        <v>0</v>
      </c>
      <c r="J1720" s="814" t="s">
        <v>4177</v>
      </c>
    </row>
    <row r="1721" spans="1:10" x14ac:dyDescent="0.35">
      <c r="A1721" s="403" t="str">
        <f ca="1">A1720</f>
        <v/>
      </c>
      <c r="B1721" t="str">
        <f>IF(LEN('Ch9'!H166)=0,"",'Ch9'!H166)</f>
        <v/>
      </c>
      <c r="C1721" t="str">
        <f t="shared" ca="1" si="44"/>
        <v/>
      </c>
      <c r="D1721" s="126"/>
      <c r="E1721" s="126"/>
      <c r="F1721" s="126"/>
      <c r="G1721" s="706"/>
      <c r="J1721" s="814"/>
    </row>
    <row r="1722" spans="1:10" ht="15" customHeight="1" x14ac:dyDescent="0.35">
      <c r="B1722" t="str">
        <f>IF(LEN('Ch9'!H167)=0,"",'Ch9'!H167)</f>
        <v/>
      </c>
      <c r="C1722" t="str">
        <f t="shared" si="44"/>
        <v/>
      </c>
      <c r="D1722" s="126"/>
      <c r="E1722" s="459" t="s">
        <v>270</v>
      </c>
      <c r="F1722" s="149"/>
      <c r="G1722" s="214" t="s">
        <v>3425</v>
      </c>
      <c r="H1722" s="49">
        <f>'Ch9'!W167</f>
        <v>0</v>
      </c>
      <c r="J1722" s="490"/>
    </row>
    <row r="1723" spans="1:10" ht="15" customHeight="1" thickBot="1" x14ac:dyDescent="0.4">
      <c r="B1723" t="str">
        <f>IF(LEN('Ch9'!H168)=0,"",'Ch9'!H168)</f>
        <v/>
      </c>
      <c r="C1723" t="str">
        <f t="shared" si="44"/>
        <v/>
      </c>
      <c r="D1723" s="448"/>
      <c r="E1723" s="446" t="s">
        <v>272</v>
      </c>
      <c r="F1723" s="448"/>
      <c r="G1723" s="223" t="s">
        <v>3426</v>
      </c>
      <c r="H1723" s="49">
        <f>'Ch9'!W168</f>
        <v>0</v>
      </c>
      <c r="J1723" s="490"/>
    </row>
    <row r="1724" spans="1:10" ht="15" thickTop="1" x14ac:dyDescent="0.35">
      <c r="A1724" s="403" t="str">
        <f ca="1">IF(SUM(I1726:I1728)&gt;0,"P","")</f>
        <v/>
      </c>
      <c r="B1724" t="str">
        <f>IF(LEN('Ch9'!H169)=0,"",'Ch9'!H169)</f>
        <v/>
      </c>
      <c r="C1724" t="str">
        <f t="shared" ca="1" si="44"/>
        <v/>
      </c>
      <c r="D1724" s="63">
        <v>901.14</v>
      </c>
      <c r="E1724" s="466"/>
      <c r="F1724" s="466"/>
      <c r="G1724" s="711" t="s">
        <v>3427</v>
      </c>
      <c r="J1724" s="814" t="s">
        <v>4177</v>
      </c>
    </row>
    <row r="1725" spans="1:10" x14ac:dyDescent="0.35">
      <c r="A1725" s="403" t="str">
        <f ca="1">A1724</f>
        <v/>
      </c>
      <c r="B1725" t="str">
        <f>IF(LEN('Ch9'!H170)=0,"",'Ch9'!H170)</f>
        <v/>
      </c>
      <c r="C1725" t="str">
        <f t="shared" ca="1" si="44"/>
        <v/>
      </c>
      <c r="D1725" s="126"/>
      <c r="E1725" s="126"/>
      <c r="F1725" s="126"/>
      <c r="G1725" s="706"/>
      <c r="J1725" s="814"/>
    </row>
    <row r="1726" spans="1:10" x14ac:dyDescent="0.35">
      <c r="B1726" t="str">
        <f>IF(LEN('Ch9'!H171)=0,"",'Ch9'!H171)</f>
        <v/>
      </c>
      <c r="C1726" t="str">
        <f t="shared" si="44"/>
        <v/>
      </c>
      <c r="D1726" s="126"/>
      <c r="E1726" s="441" t="s">
        <v>270</v>
      </c>
      <c r="F1726" s="126"/>
      <c r="G1726" s="707" t="s">
        <v>3428</v>
      </c>
      <c r="H1726" s="49">
        <f>'Ch9'!W171</f>
        <v>0</v>
      </c>
      <c r="I1726" s="49">
        <f ca="1">'Ch9'!O171</f>
        <v>0</v>
      </c>
      <c r="J1726" s="490"/>
    </row>
    <row r="1727" spans="1:10" x14ac:dyDescent="0.35">
      <c r="B1727" t="str">
        <f>IF(LEN('Ch9'!H172)=0,"",'Ch9'!H172)</f>
        <v/>
      </c>
      <c r="C1727" t="str">
        <f t="shared" si="44"/>
        <v/>
      </c>
      <c r="D1727" s="126"/>
      <c r="E1727" s="149"/>
      <c r="F1727" s="149"/>
      <c r="G1727" s="709"/>
      <c r="J1727" s="495"/>
    </row>
    <row r="1728" spans="1:10" x14ac:dyDescent="0.35">
      <c r="B1728" t="str">
        <f>IF(LEN('Ch9'!H173)=0,"",'Ch9'!H173)</f>
        <v/>
      </c>
      <c r="C1728" t="str">
        <f t="shared" si="44"/>
        <v/>
      </c>
      <c r="D1728" s="126"/>
      <c r="E1728" s="441" t="s">
        <v>272</v>
      </c>
      <c r="F1728" s="126"/>
      <c r="G1728" s="707" t="s">
        <v>3429</v>
      </c>
      <c r="H1728" s="49">
        <f>'Ch9'!W173</f>
        <v>0</v>
      </c>
      <c r="I1728" s="49">
        <f ca="1">'Ch9'!O173</f>
        <v>0</v>
      </c>
      <c r="J1728" s="495"/>
    </row>
    <row r="1729" spans="1:10" x14ac:dyDescent="0.35">
      <c r="B1729" t="str">
        <f>IF(LEN('Ch9'!H174)=0,"",'Ch9'!H174)</f>
        <v/>
      </c>
      <c r="C1729" t="str">
        <f t="shared" si="44"/>
        <v/>
      </c>
      <c r="D1729" s="126"/>
      <c r="E1729" s="126"/>
      <c r="F1729" s="126"/>
      <c r="G1729" s="707"/>
      <c r="J1729" s="495"/>
    </row>
    <row r="1730" spans="1:10" ht="18.5" x14ac:dyDescent="0.35">
      <c r="A1730" s="403" t="s">
        <v>4326</v>
      </c>
      <c r="B1730" t="str">
        <f>IF(LEN('Ch9'!H175)=0,"",'Ch9'!H175)</f>
        <v/>
      </c>
      <c r="C1730" t="str">
        <f t="shared" si="44"/>
        <v>P</v>
      </c>
      <c r="D1730" s="38" t="s">
        <v>3430</v>
      </c>
      <c r="E1730" s="38"/>
      <c r="F1730" s="38"/>
      <c r="G1730" s="47"/>
      <c r="J1730" s="494"/>
    </row>
    <row r="1731" spans="1:10" ht="15" thickBot="1" x14ac:dyDescent="0.4">
      <c r="B1731" t="str">
        <f>IF(LEN('Ch9'!H176)=0,"",'Ch9'!H176)</f>
        <v/>
      </c>
      <c r="C1731" t="str">
        <f t="shared" si="44"/>
        <v/>
      </c>
      <c r="D1731" s="450">
        <v>902</v>
      </c>
      <c r="E1731" s="448"/>
      <c r="F1731" s="448"/>
      <c r="G1731" s="272" t="s">
        <v>3431</v>
      </c>
      <c r="J1731" s="485"/>
    </row>
    <row r="1732" spans="1:10" x14ac:dyDescent="0.35">
      <c r="A1732" s="600" t="str">
        <f>IF(COUNTIF(A1733:A1756,"P")&gt;0,"P","")</f>
        <v>P</v>
      </c>
      <c r="B1732" t="str">
        <f>IF(LEN('Ch9'!H177)=0,"",'Ch9'!H177)</f>
        <v/>
      </c>
      <c r="C1732" t="str">
        <f t="shared" si="44"/>
        <v>P</v>
      </c>
      <c r="D1732" s="33">
        <v>902.1</v>
      </c>
      <c r="E1732" s="126"/>
      <c r="F1732" s="126"/>
      <c r="G1732" s="110" t="s">
        <v>3432</v>
      </c>
      <c r="J1732" s="485"/>
    </row>
    <row r="1733" spans="1:10" x14ac:dyDescent="0.35">
      <c r="A1733" s="600" t="str">
        <f>IF(COUNTIF(A1734:A1740,"P")&gt;0,"P","")</f>
        <v>P</v>
      </c>
      <c r="B1733" t="str">
        <f>IF(LEN('Ch9'!H178)=0,"",'Ch9'!H178)</f>
        <v/>
      </c>
      <c r="C1733" t="str">
        <f t="shared" si="44"/>
        <v>P</v>
      </c>
      <c r="D1733" s="33" t="s">
        <v>4070</v>
      </c>
      <c r="E1733" s="126"/>
      <c r="F1733" s="126"/>
      <c r="G1733" s="110" t="s">
        <v>4071</v>
      </c>
      <c r="J1733" s="485"/>
    </row>
    <row r="1734" spans="1:10" x14ac:dyDescent="0.35">
      <c r="A1734" s="403" t="str">
        <f>IF(AND(LEN('Ch9'!W179)&gt;0,NOT('Ch9'!W179=FALSE)),"P","")</f>
        <v>P</v>
      </c>
      <c r="B1734" t="str">
        <f>IF(LEN('Ch9'!H179)=0,"",'Ch9'!H179)</f>
        <v/>
      </c>
      <c r="C1734" t="str">
        <f t="shared" si="44"/>
        <v>P</v>
      </c>
      <c r="D1734" s="126"/>
      <c r="E1734" s="441" t="s">
        <v>270</v>
      </c>
      <c r="F1734" s="126"/>
      <c r="G1734" s="707" t="s">
        <v>3433</v>
      </c>
      <c r="H1734" s="49" t="b">
        <f>'Ch9'!W179</f>
        <v>1</v>
      </c>
      <c r="J1734" s="814" t="s">
        <v>4265</v>
      </c>
    </row>
    <row r="1735" spans="1:10" x14ac:dyDescent="0.35">
      <c r="A1735" s="403" t="str">
        <f>A1734</f>
        <v>P</v>
      </c>
      <c r="B1735" t="str">
        <f>IF(LEN('Ch9'!H180)=0,"",'Ch9'!H180)</f>
        <v/>
      </c>
      <c r="C1735" t="str">
        <f t="shared" si="44"/>
        <v>P</v>
      </c>
      <c r="D1735" s="126"/>
      <c r="E1735" s="126"/>
      <c r="F1735" s="126"/>
      <c r="G1735" s="707"/>
      <c r="J1735" s="814"/>
    </row>
    <row r="1736" spans="1:10" x14ac:dyDescent="0.35">
      <c r="A1736" s="403" t="str">
        <f>IF(AND(LEN('Ch9'!W181)&gt;0,NOT('Ch9'!W181=FALSE)),"P","")</f>
        <v/>
      </c>
      <c r="B1736" t="str">
        <f>IF(LEN('Ch9'!H181)=0,"",'Ch9'!H181)</f>
        <v/>
      </c>
      <c r="C1736" t="str">
        <f t="shared" si="44"/>
        <v/>
      </c>
      <c r="D1736" s="126"/>
      <c r="E1736" s="441"/>
      <c r="F1736" s="441" t="s">
        <v>121</v>
      </c>
      <c r="G1736" s="707" t="s">
        <v>3912</v>
      </c>
      <c r="H1736" s="49">
        <f>'Ch9'!W181</f>
        <v>0</v>
      </c>
      <c r="I1736" s="49">
        <f>'Ch9'!O181</f>
        <v>0</v>
      </c>
      <c r="J1736" s="814"/>
    </row>
    <row r="1737" spans="1:10" x14ac:dyDescent="0.35">
      <c r="A1737" s="403" t="str">
        <f>A1736</f>
        <v/>
      </c>
      <c r="B1737" t="str">
        <f>IF(LEN('Ch9'!H182)=0,"",'Ch9'!H182)</f>
        <v/>
      </c>
      <c r="C1737" t="str">
        <f t="shared" si="44"/>
        <v/>
      </c>
      <c r="D1737" s="126"/>
      <c r="E1737" s="459"/>
      <c r="F1737" s="149"/>
      <c r="G1737" s="709"/>
      <c r="J1737" s="814"/>
    </row>
    <row r="1738" spans="1:10" x14ac:dyDescent="0.35">
      <c r="A1738" s="403" t="str">
        <f>IF(AND(LEN('Ch9'!W183)&gt;0,NOT('Ch9'!W183=FALSE)),"P","")</f>
        <v>P</v>
      </c>
      <c r="B1738" t="str">
        <f>IF(LEN('Ch9'!H183)=0,"",'Ch9'!H183)</f>
        <v/>
      </c>
      <c r="C1738" t="str">
        <f t="shared" si="44"/>
        <v>P</v>
      </c>
      <c r="D1738" s="126"/>
      <c r="E1738" s="441" t="s">
        <v>272</v>
      </c>
      <c r="F1738" s="126"/>
      <c r="G1738" s="707" t="s">
        <v>3434</v>
      </c>
      <c r="H1738" s="49" t="str">
        <f>'Ch9'!W183</f>
        <v>Met</v>
      </c>
      <c r="J1738" s="813" t="s">
        <v>4177</v>
      </c>
    </row>
    <row r="1739" spans="1:10" x14ac:dyDescent="0.35">
      <c r="A1739" s="403" t="str">
        <f>A1738</f>
        <v>P</v>
      </c>
      <c r="B1739" t="str">
        <f>IF(LEN('Ch9'!H184)=0,"",'Ch9'!H184)</f>
        <v/>
      </c>
      <c r="C1739" t="str">
        <f t="shared" si="44"/>
        <v>P</v>
      </c>
      <c r="D1739" s="126"/>
      <c r="E1739" s="459"/>
      <c r="F1739" s="149"/>
      <c r="G1739" s="709"/>
      <c r="J1739" s="813"/>
    </row>
    <row r="1740" spans="1:10" x14ac:dyDescent="0.35">
      <c r="A1740" s="403" t="str">
        <f>IF(AND(LEN('Ch9'!W185)&gt;0,NOT('Ch9'!W185=FALSE)),"P","")</f>
        <v>P</v>
      </c>
      <c r="B1740" t="str">
        <f>IF(LEN('Ch9'!H185)=0,"",'Ch9'!H185)</f>
        <v/>
      </c>
      <c r="C1740" t="str">
        <f t="shared" si="44"/>
        <v>P</v>
      </c>
      <c r="D1740" s="126"/>
      <c r="E1740" s="441" t="s">
        <v>274</v>
      </c>
      <c r="F1740" s="126"/>
      <c r="G1740" s="707" t="s">
        <v>3435</v>
      </c>
      <c r="H1740" s="49" t="b">
        <f>'Ch9'!W185</f>
        <v>1</v>
      </c>
      <c r="I1740" s="49">
        <f>'Ch9'!O185</f>
        <v>8</v>
      </c>
      <c r="J1740" s="813" t="s">
        <v>4266</v>
      </c>
    </row>
    <row r="1741" spans="1:10" x14ac:dyDescent="0.35">
      <c r="A1741" s="403" t="str">
        <f>A1740</f>
        <v>P</v>
      </c>
      <c r="B1741" t="str">
        <f>IF(LEN('Ch9'!H186)=0,"",'Ch9'!H186)</f>
        <v/>
      </c>
      <c r="C1741" t="str">
        <f t="shared" si="44"/>
        <v>P</v>
      </c>
      <c r="D1741" s="126"/>
      <c r="E1741" s="441"/>
      <c r="F1741" s="126"/>
      <c r="G1741" s="707"/>
      <c r="J1741" s="813"/>
    </row>
    <row r="1742" spans="1:10" x14ac:dyDescent="0.35">
      <c r="A1742" s="403" t="str">
        <f>A1741</f>
        <v>P</v>
      </c>
      <c r="B1742" t="str">
        <f>IF(LEN('Ch9'!H187)=0,"",'Ch9'!H187)</f>
        <v/>
      </c>
      <c r="C1742" t="str">
        <f t="shared" si="44"/>
        <v>P</v>
      </c>
      <c r="D1742" s="149"/>
      <c r="E1742" s="149"/>
      <c r="F1742" s="149"/>
      <c r="G1742" s="709"/>
      <c r="J1742" s="813"/>
    </row>
    <row r="1743" spans="1:10" x14ac:dyDescent="0.35">
      <c r="A1743" s="403" t="str">
        <f>IF('Ch9'!O188&gt;0,"P","")</f>
        <v/>
      </c>
      <c r="B1743" t="str">
        <f>IF(LEN('Ch9'!H188)=0,"",'Ch9'!H188)</f>
        <v/>
      </c>
      <c r="C1743" t="str">
        <f t="shared" si="44"/>
        <v/>
      </c>
      <c r="D1743" s="444" t="s">
        <v>3436</v>
      </c>
      <c r="E1743" s="471"/>
      <c r="F1743" s="471"/>
      <c r="G1743" s="753" t="s">
        <v>3437</v>
      </c>
      <c r="I1743" s="49">
        <f>'Ch9'!O188</f>
        <v>0</v>
      </c>
      <c r="J1743" s="814" t="s">
        <v>4177</v>
      </c>
    </row>
    <row r="1744" spans="1:10" x14ac:dyDescent="0.35">
      <c r="A1744" s="403" t="str">
        <f>A1743</f>
        <v/>
      </c>
      <c r="B1744" t="str">
        <f>IF(LEN('Ch9'!H189)=0,"",'Ch9'!H189)</f>
        <v/>
      </c>
      <c r="C1744" t="str">
        <f t="shared" si="44"/>
        <v/>
      </c>
      <c r="D1744" s="126"/>
      <c r="E1744" s="126"/>
      <c r="F1744" s="126"/>
      <c r="G1744" s="706"/>
      <c r="H1744" s="49">
        <f>'Ch9'!W189</f>
        <v>0</v>
      </c>
      <c r="J1744" s="814"/>
    </row>
    <row r="1745" spans="1:10" x14ac:dyDescent="0.35">
      <c r="B1745" t="str">
        <f>IF(LEN('Ch9'!H190)=0,"",'Ch9'!H190)</f>
        <v/>
      </c>
      <c r="C1745" t="str">
        <f t="shared" ref="C1745:C1808" si="45">IF(LEN(B1745)=0,IF(A1745="P","P",""),B1745)</f>
        <v/>
      </c>
      <c r="D1745" s="126"/>
      <c r="E1745" s="459" t="s">
        <v>270</v>
      </c>
      <c r="F1745" s="149"/>
      <c r="G1745" s="214" t="s">
        <v>3439</v>
      </c>
      <c r="J1745" s="495"/>
    </row>
    <row r="1746" spans="1:10" x14ac:dyDescent="0.35">
      <c r="B1746" t="str">
        <f>IF(LEN('Ch9'!H191)=0,"",'Ch9'!H191)</f>
        <v/>
      </c>
      <c r="C1746" t="str">
        <f t="shared" si="45"/>
        <v/>
      </c>
      <c r="D1746" s="149"/>
      <c r="E1746" s="459" t="s">
        <v>272</v>
      </c>
      <c r="F1746" s="149"/>
      <c r="G1746" s="214" t="s">
        <v>3440</v>
      </c>
      <c r="H1746" s="49">
        <f>'Ch9'!W191</f>
        <v>0</v>
      </c>
      <c r="J1746" s="495"/>
    </row>
    <row r="1747" spans="1:10" x14ac:dyDescent="0.35">
      <c r="A1747" s="403" t="str">
        <f>IF(AND(LEN('Ch9'!W192)&gt;0,NOT('Ch9'!W192=FALSE)),"P","")</f>
        <v/>
      </c>
      <c r="B1747" t="str">
        <f>IF(LEN('Ch9'!H192)=0,"",'Ch9'!H192)</f>
        <v/>
      </c>
      <c r="C1747" t="str">
        <f t="shared" si="45"/>
        <v/>
      </c>
      <c r="D1747" s="444" t="s">
        <v>3441</v>
      </c>
      <c r="E1747" s="471"/>
      <c r="F1747" s="471"/>
      <c r="G1747" s="753" t="s">
        <v>3442</v>
      </c>
      <c r="H1747" s="49">
        <f>'Ch9'!W192</f>
        <v>0</v>
      </c>
      <c r="I1747" s="49">
        <f>'Ch9'!O192</f>
        <v>0</v>
      </c>
      <c r="J1747" s="813" t="s">
        <v>4298</v>
      </c>
    </row>
    <row r="1748" spans="1:10" x14ac:dyDescent="0.35">
      <c r="A1748" s="403" t="str">
        <f>A1747</f>
        <v/>
      </c>
      <c r="B1748" t="str">
        <f>IF(LEN('Ch9'!H193)=0,"",'Ch9'!H193)</f>
        <v/>
      </c>
      <c r="C1748" t="str">
        <f t="shared" si="45"/>
        <v/>
      </c>
      <c r="D1748" s="126"/>
      <c r="E1748" s="126"/>
      <c r="F1748" s="126"/>
      <c r="G1748" s="706"/>
      <c r="J1748" s="813"/>
    </row>
    <row r="1749" spans="1:10" x14ac:dyDescent="0.35">
      <c r="B1749" t="str">
        <f>IF(LEN('Ch9'!H194)=0,"",'Ch9'!H194)</f>
        <v/>
      </c>
      <c r="C1749" t="str">
        <f t="shared" si="45"/>
        <v/>
      </c>
      <c r="D1749" s="126"/>
      <c r="E1749" s="126"/>
      <c r="F1749" s="441" t="s">
        <v>121</v>
      </c>
      <c r="G1749" s="104" t="s">
        <v>3443</v>
      </c>
      <c r="J1749" s="490"/>
    </row>
    <row r="1750" spans="1:10" ht="15" customHeight="1" x14ac:dyDescent="0.35">
      <c r="B1750" t="str">
        <f>IF(LEN('Ch9'!H195)=0,"",'Ch9'!H195)</f>
        <v/>
      </c>
      <c r="C1750" t="str">
        <f t="shared" si="45"/>
        <v/>
      </c>
      <c r="D1750" s="149"/>
      <c r="E1750" s="149"/>
      <c r="F1750" s="459" t="s">
        <v>122</v>
      </c>
      <c r="G1750" s="214" t="s">
        <v>3444</v>
      </c>
      <c r="J1750" s="490"/>
    </row>
    <row r="1751" spans="1:10" ht="52" x14ac:dyDescent="0.35">
      <c r="A1751" s="403" t="str">
        <f>IF('Ch9'!O196&gt;0,"P","")</f>
        <v>P</v>
      </c>
      <c r="B1751" t="str">
        <f>IF(LEN('Ch9'!H196)=0,"",'Ch9'!H196)</f>
        <v/>
      </c>
      <c r="C1751" t="str">
        <f t="shared" si="45"/>
        <v>P</v>
      </c>
      <c r="D1751" s="444" t="s">
        <v>3445</v>
      </c>
      <c r="E1751" s="471"/>
      <c r="F1751" s="471"/>
      <c r="G1751" s="358" t="s">
        <v>3446</v>
      </c>
      <c r="I1751" s="49">
        <f>'Ch9'!O196</f>
        <v>4</v>
      </c>
      <c r="J1751" s="495" t="s">
        <v>4764</v>
      </c>
    </row>
    <row r="1752" spans="1:10" x14ac:dyDescent="0.35">
      <c r="B1752" t="str">
        <f>IF(LEN('Ch9'!H197)=0,"",'Ch9'!H197)</f>
        <v/>
      </c>
      <c r="C1752" t="str">
        <f t="shared" si="45"/>
        <v/>
      </c>
      <c r="D1752" s="126"/>
      <c r="E1752" s="441" t="s">
        <v>270</v>
      </c>
      <c r="F1752" s="126"/>
      <c r="G1752" s="104" t="s">
        <v>3915</v>
      </c>
      <c r="J1752" s="495"/>
    </row>
    <row r="1753" spans="1:10" ht="15" customHeight="1" x14ac:dyDescent="0.35">
      <c r="B1753" t="str">
        <f>IF(LEN('Ch9'!H198)=0,"",'Ch9'!H198)</f>
        <v/>
      </c>
      <c r="C1753" t="str">
        <f t="shared" si="45"/>
        <v/>
      </c>
      <c r="D1753" s="126"/>
      <c r="E1753" s="459"/>
      <c r="F1753" s="149"/>
      <c r="G1753" s="165" t="s">
        <v>3447</v>
      </c>
      <c r="H1753" s="49">
        <f>'Ch9'!W198</f>
        <v>2</v>
      </c>
      <c r="J1753" s="495"/>
    </row>
    <row r="1754" spans="1:10" x14ac:dyDescent="0.35">
      <c r="B1754" t="str">
        <f>IF(LEN('Ch9'!H199)=0,"",'Ch9'!H199)</f>
        <v/>
      </c>
      <c r="C1754" t="str">
        <f t="shared" si="45"/>
        <v/>
      </c>
      <c r="D1754" s="126"/>
      <c r="E1754" s="441" t="s">
        <v>272</v>
      </c>
      <c r="F1754" s="126"/>
      <c r="G1754" s="104" t="s">
        <v>3448</v>
      </c>
      <c r="J1754" s="495"/>
    </row>
    <row r="1755" spans="1:10" x14ac:dyDescent="0.35">
      <c r="B1755" t="str">
        <f>IF(LEN('Ch9'!H200)=0,"",'Ch9'!H200)</f>
        <v/>
      </c>
      <c r="C1755" t="str">
        <f t="shared" si="45"/>
        <v/>
      </c>
      <c r="D1755" s="149"/>
      <c r="E1755" s="149"/>
      <c r="F1755" s="149"/>
      <c r="G1755" s="165" t="s">
        <v>3447</v>
      </c>
      <c r="H1755" s="49">
        <f>'Ch9'!W200</f>
        <v>0</v>
      </c>
      <c r="J1755" s="495"/>
    </row>
    <row r="1756" spans="1:10" x14ac:dyDescent="0.35">
      <c r="A1756" s="403" t="str">
        <f>IF('Ch9'!O201&gt;0,"P","")</f>
        <v/>
      </c>
      <c r="B1756" t="str">
        <f>IF(LEN('Ch9'!H201)=0,"",'Ch9'!H201)</f>
        <v/>
      </c>
      <c r="C1756" t="str">
        <f t="shared" si="45"/>
        <v/>
      </c>
      <c r="D1756" s="444" t="s">
        <v>3449</v>
      </c>
      <c r="E1756" s="471"/>
      <c r="F1756" s="471"/>
      <c r="G1756" s="753" t="s">
        <v>3450</v>
      </c>
      <c r="I1756" s="49">
        <f>'Ch9'!O201</f>
        <v>0</v>
      </c>
      <c r="J1756" s="814" t="s">
        <v>4177</v>
      </c>
    </row>
    <row r="1757" spans="1:10" x14ac:dyDescent="0.35">
      <c r="A1757" s="403" t="str">
        <f>A1756</f>
        <v/>
      </c>
      <c r="B1757" t="str">
        <f>IF(LEN('Ch9'!H202)=0,"",'Ch9'!H202)</f>
        <v/>
      </c>
      <c r="C1757" t="str">
        <f t="shared" si="45"/>
        <v/>
      </c>
      <c r="D1757" s="126"/>
      <c r="E1757" s="126"/>
      <c r="F1757" s="126"/>
      <c r="G1757" s="706"/>
      <c r="J1757" s="814"/>
    </row>
    <row r="1758" spans="1:10" x14ac:dyDescent="0.35">
      <c r="B1758" t="str">
        <f>IF(LEN('Ch9'!H203)=0,"",'Ch9'!H203)</f>
        <v/>
      </c>
      <c r="C1758" t="str">
        <f t="shared" si="45"/>
        <v/>
      </c>
      <c r="D1758" s="126"/>
      <c r="E1758" s="441" t="s">
        <v>270</v>
      </c>
      <c r="F1758" s="126"/>
      <c r="G1758" s="707" t="s">
        <v>3451</v>
      </c>
      <c r="H1758" s="49">
        <f>'Ch9'!W203</f>
        <v>0</v>
      </c>
      <c r="J1758" s="490"/>
    </row>
    <row r="1759" spans="1:10" x14ac:dyDescent="0.35">
      <c r="B1759" t="str">
        <f>IF(LEN('Ch9'!H204)=0,"",'Ch9'!H204)</f>
        <v/>
      </c>
      <c r="C1759" t="str">
        <f t="shared" si="45"/>
        <v/>
      </c>
      <c r="D1759" s="126"/>
      <c r="E1759" s="459"/>
      <c r="F1759" s="149"/>
      <c r="G1759" s="709"/>
      <c r="J1759" s="495"/>
    </row>
    <row r="1760" spans="1:10" x14ac:dyDescent="0.35">
      <c r="B1760" t="str">
        <f>IF(LEN('Ch9'!H205)=0,"",'Ch9'!H205)</f>
        <v/>
      </c>
      <c r="C1760" t="str">
        <f t="shared" si="45"/>
        <v/>
      </c>
      <c r="D1760" s="126"/>
      <c r="E1760" s="441" t="s">
        <v>272</v>
      </c>
      <c r="F1760" s="126"/>
      <c r="G1760" s="707" t="s">
        <v>3452</v>
      </c>
      <c r="H1760" s="49">
        <f>'Ch9'!W205</f>
        <v>0</v>
      </c>
      <c r="J1760" s="495"/>
    </row>
    <row r="1761" spans="1:10" x14ac:dyDescent="0.35">
      <c r="B1761" t="str">
        <f>IF(LEN('Ch9'!H206)=0,"",'Ch9'!H206)</f>
        <v/>
      </c>
      <c r="C1761" t="str">
        <f t="shared" si="45"/>
        <v/>
      </c>
      <c r="D1761" s="126"/>
      <c r="E1761" s="149"/>
      <c r="F1761" s="149"/>
      <c r="G1761" s="709"/>
      <c r="J1761" s="495"/>
    </row>
    <row r="1762" spans="1:10" x14ac:dyDescent="0.35">
      <c r="B1762" t="str">
        <f>IF(LEN('Ch9'!H207)=0,"",'Ch9'!H207)</f>
        <v/>
      </c>
      <c r="C1762" t="str">
        <f t="shared" si="45"/>
        <v/>
      </c>
      <c r="D1762" s="126"/>
      <c r="E1762" s="441" t="s">
        <v>274</v>
      </c>
      <c r="F1762" s="126"/>
      <c r="G1762" s="707" t="s">
        <v>3453</v>
      </c>
      <c r="H1762" s="49">
        <f>'Ch9'!W207</f>
        <v>0</v>
      </c>
      <c r="J1762" s="495"/>
    </row>
    <row r="1763" spans="1:10" x14ac:dyDescent="0.35">
      <c r="B1763" t="str">
        <f>IF(LEN('Ch9'!H208)=0,"",'Ch9'!H208)</f>
        <v/>
      </c>
      <c r="C1763" t="str">
        <f t="shared" si="45"/>
        <v/>
      </c>
      <c r="D1763" s="126"/>
      <c r="E1763" s="126"/>
      <c r="F1763" s="126"/>
      <c r="G1763" s="707"/>
      <c r="J1763" s="495"/>
    </row>
    <row r="1764" spans="1:10" ht="15" thickBot="1" x14ac:dyDescent="0.4">
      <c r="B1764" t="str">
        <f>IF(LEN('Ch9'!H209)=0,"",'Ch9'!H209)</f>
        <v/>
      </c>
      <c r="C1764" t="str">
        <f t="shared" si="45"/>
        <v/>
      </c>
      <c r="D1764" s="448"/>
      <c r="E1764" s="448"/>
      <c r="F1764" s="448"/>
      <c r="G1764" s="708"/>
      <c r="J1764" s="495"/>
    </row>
    <row r="1765" spans="1:10" ht="26.5" thickTop="1" x14ac:dyDescent="0.35">
      <c r="A1765" s="600" t="str">
        <f>IF(COUNTIF(A1766:A1780,"P")&gt;0,"P","")</f>
        <v>P</v>
      </c>
      <c r="B1765" t="str">
        <f>IF(LEN('Ch9'!H210)=0,"",'Ch9'!H210)</f>
        <v/>
      </c>
      <c r="C1765" t="str">
        <f t="shared" si="45"/>
        <v>P</v>
      </c>
      <c r="D1765" s="63">
        <v>902.2</v>
      </c>
      <c r="E1765" s="466"/>
      <c r="F1765" s="466"/>
      <c r="G1765" s="222" t="s">
        <v>3454</v>
      </c>
      <c r="J1765" s="505" t="s">
        <v>4267</v>
      </c>
    </row>
    <row r="1766" spans="1:10" ht="15" customHeight="1" x14ac:dyDescent="0.35">
      <c r="A1766" s="403" t="str">
        <f>IF(AND(LEN('Ch9'!W211)&gt;0,NOT('Ch9'!W211=FALSE)),"P","")</f>
        <v>P</v>
      </c>
      <c r="B1766" t="str">
        <f>IF(LEN('Ch9'!H211)=0,"",'Ch9'!H211)</f>
        <v/>
      </c>
      <c r="C1766" t="str">
        <f t="shared" si="45"/>
        <v>P</v>
      </c>
      <c r="D1766" s="33" t="s">
        <v>3917</v>
      </c>
      <c r="E1766" s="126"/>
      <c r="F1766" s="126"/>
      <c r="G1766" s="706" t="s">
        <v>4027</v>
      </c>
      <c r="H1766" s="49" t="str">
        <f>'Ch9'!W211</f>
        <v>(1)</v>
      </c>
      <c r="I1766" s="49">
        <f ca="1">'Ch9'!O211</f>
        <v>3</v>
      </c>
      <c r="J1766" s="814" t="s">
        <v>4268</v>
      </c>
    </row>
    <row r="1767" spans="1:10" x14ac:dyDescent="0.35">
      <c r="A1767" s="403" t="str">
        <f>A1766</f>
        <v>P</v>
      </c>
      <c r="B1767" t="str">
        <f>IF(LEN('Ch9'!H212)=0,"",'Ch9'!H212)</f>
        <v/>
      </c>
      <c r="C1767" t="str">
        <f t="shared" si="45"/>
        <v>P</v>
      </c>
      <c r="D1767" s="126"/>
      <c r="E1767" s="126"/>
      <c r="F1767" s="126"/>
      <c r="G1767" s="706"/>
      <c r="J1767" s="814"/>
    </row>
    <row r="1768" spans="1:10" x14ac:dyDescent="0.35">
      <c r="A1768" s="403" t="str">
        <f>A1767</f>
        <v>P</v>
      </c>
      <c r="B1768" t="str">
        <f>IF(LEN('Ch9'!H213)=0,"",'Ch9'!H213)</f>
        <v/>
      </c>
      <c r="C1768" t="str">
        <f t="shared" si="45"/>
        <v>P</v>
      </c>
      <c r="D1768" s="126"/>
      <c r="E1768" s="126"/>
      <c r="F1768" s="126"/>
      <c r="G1768" s="706"/>
      <c r="J1768" s="814"/>
    </row>
    <row r="1769" spans="1:10" x14ac:dyDescent="0.35">
      <c r="B1769" t="str">
        <f>IF(LEN('Ch9'!H214)=0,"",'Ch9'!H214)</f>
        <v/>
      </c>
      <c r="C1769" t="str">
        <f t="shared" si="45"/>
        <v/>
      </c>
      <c r="D1769" s="126"/>
      <c r="E1769" s="441" t="s">
        <v>270</v>
      </c>
      <c r="F1769" s="126"/>
      <c r="G1769" s="723" t="s">
        <v>3455</v>
      </c>
      <c r="J1769" s="495"/>
    </row>
    <row r="1770" spans="1:10" x14ac:dyDescent="0.35">
      <c r="B1770" t="str">
        <f>IF(LEN('Ch9'!H215)=0,"",'Ch9'!H215)</f>
        <v/>
      </c>
      <c r="C1770" t="str">
        <f t="shared" si="45"/>
        <v/>
      </c>
      <c r="D1770" s="126"/>
      <c r="E1770" s="459"/>
      <c r="F1770" s="149"/>
      <c r="G1770" s="724"/>
      <c r="J1770" s="495"/>
    </row>
    <row r="1771" spans="1:10" x14ac:dyDescent="0.35">
      <c r="B1771" t="str">
        <f>IF(LEN('Ch9'!H216)=0,"",'Ch9'!H216)</f>
        <v/>
      </c>
      <c r="C1771" t="str">
        <f t="shared" si="45"/>
        <v/>
      </c>
      <c r="D1771" s="126"/>
      <c r="E1771" s="441" t="s">
        <v>272</v>
      </c>
      <c r="F1771" s="126"/>
      <c r="G1771" s="707" t="s">
        <v>3456</v>
      </c>
      <c r="J1771" s="495"/>
    </row>
    <row r="1772" spans="1:10" x14ac:dyDescent="0.35">
      <c r="B1772" t="str">
        <f>IF(LEN('Ch9'!H217)=0,"",'Ch9'!H217)</f>
        <v/>
      </c>
      <c r="C1772" t="str">
        <f t="shared" si="45"/>
        <v/>
      </c>
      <c r="D1772" s="126"/>
      <c r="E1772" s="149"/>
      <c r="F1772" s="149"/>
      <c r="G1772" s="709"/>
      <c r="J1772" s="495"/>
    </row>
    <row r="1773" spans="1:10" x14ac:dyDescent="0.35">
      <c r="B1773" t="str">
        <f>IF(LEN('Ch9'!H218)=0,"",'Ch9'!H218)</f>
        <v/>
      </c>
      <c r="C1773" t="str">
        <f t="shared" si="45"/>
        <v/>
      </c>
      <c r="D1773" s="126"/>
      <c r="E1773" s="459" t="s">
        <v>274</v>
      </c>
      <c r="F1773" s="149"/>
      <c r="G1773" s="214" t="s">
        <v>3457</v>
      </c>
      <c r="J1773" s="495"/>
    </row>
    <row r="1774" spans="1:10" x14ac:dyDescent="0.35">
      <c r="B1774" t="str">
        <f>IF(LEN('Ch9'!H219)=0,"",'Ch9'!H219)</f>
        <v/>
      </c>
      <c r="C1774" t="str">
        <f t="shared" si="45"/>
        <v/>
      </c>
      <c r="D1774" s="149"/>
      <c r="E1774" s="459" t="s">
        <v>283</v>
      </c>
      <c r="F1774" s="149"/>
      <c r="G1774" s="214" t="s">
        <v>3458</v>
      </c>
      <c r="J1774" s="495"/>
    </row>
    <row r="1775" spans="1:10" x14ac:dyDescent="0.35">
      <c r="A1775" s="403" t="str">
        <f>IF(AND(LEN('Ch9'!W220)&gt;0,NOT('Ch9'!W220=FALSE)),"P","")</f>
        <v/>
      </c>
      <c r="B1775" t="str">
        <f>IF(LEN('Ch9'!H220)=0,"",'Ch9'!H220)</f>
        <v/>
      </c>
      <c r="C1775" t="str">
        <f t="shared" si="45"/>
        <v/>
      </c>
      <c r="D1775" s="444" t="s">
        <v>3459</v>
      </c>
      <c r="E1775" s="471"/>
      <c r="F1775" s="471"/>
      <c r="G1775" s="753" t="s">
        <v>3460</v>
      </c>
      <c r="H1775" s="49">
        <f>'Ch9'!W220</f>
        <v>0</v>
      </c>
      <c r="I1775" s="49">
        <f ca="1">'Ch9'!O220</f>
        <v>0</v>
      </c>
      <c r="J1775" s="813" t="s">
        <v>4269</v>
      </c>
    </row>
    <row r="1776" spans="1:10" x14ac:dyDescent="0.35">
      <c r="A1776" s="403" t="str">
        <f>A1775</f>
        <v/>
      </c>
      <c r="B1776" t="str">
        <f>IF(LEN('Ch9'!H221)=0,"",'Ch9'!H221)</f>
        <v/>
      </c>
      <c r="C1776" t="str">
        <f t="shared" si="45"/>
        <v/>
      </c>
      <c r="D1776" s="149"/>
      <c r="E1776" s="149"/>
      <c r="F1776" s="149"/>
      <c r="G1776" s="739"/>
      <c r="J1776" s="813"/>
    </row>
    <row r="1777" spans="1:10" x14ac:dyDescent="0.35">
      <c r="A1777" s="403" t="str">
        <f>IF(AND(LEN('Ch9'!W222)&gt;0,NOT('Ch9'!W222=FALSE)),"P","")</f>
        <v>P</v>
      </c>
      <c r="B1777" t="str">
        <f>IF(LEN('Ch9'!H222)=0,"",'Ch9'!H222)</f>
        <v/>
      </c>
      <c r="C1777" t="str">
        <f t="shared" si="45"/>
        <v>P</v>
      </c>
      <c r="D1777" s="444" t="s">
        <v>3461</v>
      </c>
      <c r="E1777" s="471"/>
      <c r="F1777" s="471"/>
      <c r="G1777" s="753" t="s">
        <v>3462</v>
      </c>
      <c r="H1777" s="49" t="b">
        <f>'Ch9'!W222</f>
        <v>1</v>
      </c>
      <c r="I1777" s="49">
        <f>'Ch9'!O222</f>
        <v>2</v>
      </c>
      <c r="J1777" s="813" t="s">
        <v>4270</v>
      </c>
    </row>
    <row r="1778" spans="1:10" x14ac:dyDescent="0.35">
      <c r="A1778" s="403" t="str">
        <f>A1777</f>
        <v>P</v>
      </c>
      <c r="B1778" t="str">
        <f>IF(LEN('Ch9'!H223)=0,"",'Ch9'!H223)</f>
        <v/>
      </c>
      <c r="C1778" t="str">
        <f t="shared" si="45"/>
        <v>P</v>
      </c>
      <c r="D1778" s="126"/>
      <c r="E1778" s="126"/>
      <c r="F1778" s="126"/>
      <c r="G1778" s="706"/>
      <c r="J1778" s="813"/>
    </row>
    <row r="1779" spans="1:10" x14ac:dyDescent="0.35">
      <c r="A1779" s="403" t="str">
        <f>A1778</f>
        <v>P</v>
      </c>
      <c r="B1779" t="str">
        <f>IF(LEN('Ch9'!H224)=0,"",'Ch9'!H224)</f>
        <v/>
      </c>
      <c r="C1779" t="str">
        <f t="shared" si="45"/>
        <v>P</v>
      </c>
      <c r="D1779" s="149"/>
      <c r="E1779" s="149"/>
      <c r="F1779" s="149"/>
      <c r="G1779" s="739"/>
      <c r="J1779" s="813"/>
    </row>
    <row r="1780" spans="1:10" x14ac:dyDescent="0.35">
      <c r="A1780" s="403" t="str">
        <f>IF(AND(LEN('Ch9'!W225)&gt;0,NOT('Ch9'!W225=FALSE)),"P","")</f>
        <v/>
      </c>
      <c r="B1780" t="str">
        <f>IF(LEN('Ch9'!H225)=0,"",'Ch9'!H225)</f>
        <v/>
      </c>
      <c r="C1780" t="str">
        <f t="shared" si="45"/>
        <v/>
      </c>
      <c r="D1780" s="33" t="s">
        <v>3463</v>
      </c>
      <c r="E1780" s="126"/>
      <c r="F1780" s="126"/>
      <c r="G1780" s="706" t="s">
        <v>3464</v>
      </c>
      <c r="H1780" s="49">
        <f>'Ch9'!W225</f>
        <v>0</v>
      </c>
      <c r="I1780" s="49">
        <f>'Ch9'!O225</f>
        <v>0</v>
      </c>
      <c r="J1780" s="813" t="s">
        <v>4270</v>
      </c>
    </row>
    <row r="1781" spans="1:10" x14ac:dyDescent="0.35">
      <c r="A1781" s="403" t="str">
        <f>A1780</f>
        <v/>
      </c>
      <c r="B1781" t="str">
        <f>IF(LEN('Ch9'!H226)=0,"",'Ch9'!H226)</f>
        <v/>
      </c>
      <c r="C1781" t="str">
        <f t="shared" si="45"/>
        <v/>
      </c>
      <c r="D1781" s="126"/>
      <c r="E1781" s="126"/>
      <c r="F1781" s="126"/>
      <c r="G1781" s="706"/>
      <c r="J1781" s="813"/>
    </row>
    <row r="1782" spans="1:10" ht="15" thickBot="1" x14ac:dyDescent="0.4">
      <c r="A1782" s="403" t="str">
        <f>A1781</f>
        <v/>
      </c>
      <c r="B1782" t="str">
        <f>IF(LEN('Ch9'!H227)=0,"",'Ch9'!H227)</f>
        <v/>
      </c>
      <c r="C1782" t="str">
        <f t="shared" si="45"/>
        <v/>
      </c>
      <c r="D1782" s="448"/>
      <c r="E1782" s="448"/>
      <c r="F1782" s="448"/>
      <c r="G1782" s="710"/>
      <c r="J1782" s="813"/>
    </row>
    <row r="1783" spans="1:10" ht="15" thickTop="1" x14ac:dyDescent="0.35">
      <c r="A1783" s="600" t="str">
        <f>IF(COUNTIF(A1785:A1789,"P")&gt;0,"P","")</f>
        <v/>
      </c>
      <c r="B1783" t="str">
        <f>IF(LEN('Ch9'!H228)=0,"",'Ch9'!H228)</f>
        <v/>
      </c>
      <c r="C1783" t="str">
        <f t="shared" si="45"/>
        <v/>
      </c>
      <c r="D1783" s="63">
        <v>902.3</v>
      </c>
      <c r="E1783" s="466"/>
      <c r="F1783" s="466"/>
      <c r="G1783" s="711" t="s">
        <v>3465</v>
      </c>
      <c r="J1783" s="485"/>
    </row>
    <row r="1784" spans="1:10" x14ac:dyDescent="0.35">
      <c r="A1784" s="403" t="str">
        <f>A1783</f>
        <v/>
      </c>
      <c r="B1784" t="str">
        <f>IF(LEN('Ch9'!H229)=0,"",'Ch9'!H229)</f>
        <v/>
      </c>
      <c r="C1784" t="str">
        <f t="shared" si="45"/>
        <v/>
      </c>
      <c r="D1784" s="126"/>
      <c r="E1784" s="126"/>
      <c r="F1784" s="126"/>
      <c r="G1784" s="706"/>
      <c r="J1784" s="485"/>
    </row>
    <row r="1785" spans="1:10" ht="15" customHeight="1" x14ac:dyDescent="0.35">
      <c r="A1785" s="403" t="str">
        <f>IF(AND(LEN('Ch9'!W230)&gt;0,NOT('Ch9'!W230=FALSE)),"P","")</f>
        <v/>
      </c>
      <c r="B1785" t="str">
        <f>IF(LEN('Ch9'!H230)=0,"",'Ch9'!H230)</f>
        <v/>
      </c>
      <c r="C1785" t="str">
        <f t="shared" si="45"/>
        <v/>
      </c>
      <c r="D1785" s="126"/>
      <c r="E1785" s="441" t="s">
        <v>270</v>
      </c>
      <c r="F1785" s="126"/>
      <c r="G1785" s="104" t="s">
        <v>3466</v>
      </c>
      <c r="H1785" s="49">
        <f>'Ch9'!W230</f>
        <v>0</v>
      </c>
      <c r="I1785" s="49">
        <f ca="1">'Ch9'!O230</f>
        <v>0</v>
      </c>
      <c r="J1785" s="490"/>
    </row>
    <row r="1786" spans="1:10" x14ac:dyDescent="0.35">
      <c r="A1786" s="403" t="str">
        <f>A1785</f>
        <v/>
      </c>
      <c r="B1786" t="str">
        <f>IF(LEN('Ch9'!H231)=0,"",'Ch9'!H231)</f>
        <v/>
      </c>
      <c r="C1786" t="str">
        <f t="shared" si="45"/>
        <v/>
      </c>
      <c r="D1786" s="126"/>
      <c r="E1786" s="126"/>
      <c r="F1786" s="441" t="s">
        <v>121</v>
      </c>
      <c r="G1786" s="104" t="s">
        <v>3467</v>
      </c>
      <c r="J1786" s="495" t="s">
        <v>4271</v>
      </c>
    </row>
    <row r="1787" spans="1:10" x14ac:dyDescent="0.35">
      <c r="A1787" s="403" t="str">
        <f>A1786</f>
        <v/>
      </c>
      <c r="B1787" t="str">
        <f>IF(LEN('Ch9'!H232)=0,"",'Ch9'!H232)</f>
        <v/>
      </c>
      <c r="C1787" t="str">
        <f t="shared" si="45"/>
        <v/>
      </c>
      <c r="D1787" s="126"/>
      <c r="E1787" s="149"/>
      <c r="F1787" s="459" t="s">
        <v>122</v>
      </c>
      <c r="G1787" s="214" t="s">
        <v>3468</v>
      </c>
      <c r="J1787" s="495" t="s">
        <v>4360</v>
      </c>
    </row>
    <row r="1788" spans="1:10" x14ac:dyDescent="0.35">
      <c r="A1788" s="403" t="str">
        <f>IF(SUM(I1789)&gt;0,"P","")</f>
        <v/>
      </c>
      <c r="B1788" t="str">
        <f>IF(LEN('Ch9'!H233)=0,"",'Ch9'!H233)</f>
        <v/>
      </c>
      <c r="C1788" t="str">
        <f t="shared" si="45"/>
        <v/>
      </c>
      <c r="D1788" s="126"/>
      <c r="E1788" s="441" t="s">
        <v>272</v>
      </c>
      <c r="F1788" s="126"/>
      <c r="G1788" s="104" t="s">
        <v>3469</v>
      </c>
      <c r="J1788" s="813" t="s">
        <v>4271</v>
      </c>
    </row>
    <row r="1789" spans="1:10" ht="15" thickBot="1" x14ac:dyDescent="0.4">
      <c r="A1789" s="403" t="str">
        <f>IF(AND(LEN('Ch9'!W234)&gt;0,NOT('Ch9'!W234=FALSE)),"P","")</f>
        <v/>
      </c>
      <c r="B1789" t="str">
        <f>IF(LEN('Ch9'!H234)=0,"",'Ch9'!H234)</f>
        <v/>
      </c>
      <c r="C1789" t="str">
        <f t="shared" si="45"/>
        <v/>
      </c>
      <c r="D1789" s="448"/>
      <c r="E1789" s="448"/>
      <c r="F1789" s="446" t="s">
        <v>121</v>
      </c>
      <c r="G1789" s="223" t="s">
        <v>3470</v>
      </c>
      <c r="H1789" s="49">
        <f>'Ch9'!W234</f>
        <v>0</v>
      </c>
      <c r="I1789" s="49">
        <f>'Ch9'!O234</f>
        <v>0</v>
      </c>
      <c r="J1789" s="813"/>
    </row>
    <row r="1790" spans="1:10" x14ac:dyDescent="0.35">
      <c r="A1790" s="403" t="str">
        <f>IF('Ch9'!O235&gt;0,"P","")</f>
        <v/>
      </c>
      <c r="B1790" t="str">
        <f>IF(LEN('Ch9'!H235)=0,"",'Ch9'!H235)</f>
        <v/>
      </c>
      <c r="C1790" t="str">
        <f t="shared" si="45"/>
        <v/>
      </c>
      <c r="D1790" s="33">
        <v>902.4</v>
      </c>
      <c r="E1790" s="126"/>
      <c r="F1790" s="126"/>
      <c r="G1790" s="706" t="s">
        <v>3471</v>
      </c>
      <c r="I1790" s="49">
        <f>'Ch9'!O235</f>
        <v>0</v>
      </c>
      <c r="J1790" s="485"/>
    </row>
    <row r="1791" spans="1:10" x14ac:dyDescent="0.35">
      <c r="A1791" s="403" t="str">
        <f>A1790</f>
        <v/>
      </c>
      <c r="B1791" t="str">
        <f>IF(LEN('Ch9'!H236)=0,"",'Ch9'!H236)</f>
        <v/>
      </c>
      <c r="C1791" t="str">
        <f t="shared" si="45"/>
        <v/>
      </c>
      <c r="D1791" s="126"/>
      <c r="E1791" s="126"/>
      <c r="F1791" s="126"/>
      <c r="G1791" s="706"/>
      <c r="J1791" s="485"/>
    </row>
    <row r="1792" spans="1:10" x14ac:dyDescent="0.35">
      <c r="A1792" s="403" t="str">
        <f>IF(AND(LEN('Ch9'!W237)&gt;0,NOT('Ch9'!W237=FALSE)),"P","")</f>
        <v/>
      </c>
      <c r="B1792" t="str">
        <f>IF(LEN('Ch9'!H237)=0,"",'Ch9'!H237)</f>
        <v/>
      </c>
      <c r="C1792" t="str">
        <f t="shared" si="45"/>
        <v/>
      </c>
      <c r="D1792" s="126"/>
      <c r="E1792" s="441" t="s">
        <v>270</v>
      </c>
      <c r="F1792" s="126"/>
      <c r="G1792" s="707" t="s">
        <v>3472</v>
      </c>
      <c r="H1792" s="49">
        <f>'Ch9'!W237</f>
        <v>0</v>
      </c>
      <c r="J1792" s="813" t="s">
        <v>4177</v>
      </c>
    </row>
    <row r="1793" spans="1:10" x14ac:dyDescent="0.35">
      <c r="A1793" s="403" t="str">
        <f>A1792</f>
        <v/>
      </c>
      <c r="B1793" t="str">
        <f>IF(LEN('Ch9'!H238)=0,"",'Ch9'!H238)</f>
        <v/>
      </c>
      <c r="C1793" t="str">
        <f t="shared" si="45"/>
        <v/>
      </c>
      <c r="D1793" s="126"/>
      <c r="E1793" s="459"/>
      <c r="F1793" s="149"/>
      <c r="G1793" s="709"/>
      <c r="J1793" s="813"/>
    </row>
    <row r="1794" spans="1:10" x14ac:dyDescent="0.35">
      <c r="A1794" s="403" t="str">
        <f>IF(AND(LEN('Ch9'!W239)&gt;0,NOT('Ch9'!W239=FALSE)),"P","")</f>
        <v/>
      </c>
      <c r="B1794" t="str">
        <f>IF(LEN('Ch9'!H239)=0,"",'Ch9'!H239)</f>
        <v/>
      </c>
      <c r="C1794" t="str">
        <f t="shared" si="45"/>
        <v/>
      </c>
      <c r="D1794" s="126"/>
      <c r="E1794" s="441" t="s">
        <v>272</v>
      </c>
      <c r="F1794" s="126"/>
      <c r="G1794" s="707" t="s">
        <v>3473</v>
      </c>
      <c r="H1794" s="49">
        <f>'Ch9'!W239</f>
        <v>0</v>
      </c>
      <c r="J1794" s="813" t="s">
        <v>4272</v>
      </c>
    </row>
    <row r="1795" spans="1:10" x14ac:dyDescent="0.35">
      <c r="A1795" s="403" t="str">
        <f>A1794</f>
        <v/>
      </c>
      <c r="B1795" t="str">
        <f>IF(LEN('Ch9'!H240)=0,"",'Ch9'!H240)</f>
        <v/>
      </c>
      <c r="C1795" t="str">
        <f t="shared" si="45"/>
        <v/>
      </c>
      <c r="D1795" s="126"/>
      <c r="E1795" s="126"/>
      <c r="F1795" s="126"/>
      <c r="G1795" s="707"/>
      <c r="J1795" s="813"/>
    </row>
    <row r="1796" spans="1:10" ht="15" thickBot="1" x14ac:dyDescent="0.4">
      <c r="A1796" s="403" t="str">
        <f>A1795</f>
        <v/>
      </c>
      <c r="B1796" t="str">
        <f>IF(LEN('Ch9'!H241)=0,"",'Ch9'!H241)</f>
        <v/>
      </c>
      <c r="C1796" t="str">
        <f t="shared" si="45"/>
        <v/>
      </c>
      <c r="D1796" s="448"/>
      <c r="E1796" s="448"/>
      <c r="F1796" s="448"/>
      <c r="G1796" s="708"/>
      <c r="J1796" s="813"/>
    </row>
    <row r="1797" spans="1:10" ht="15" thickTop="1" x14ac:dyDescent="0.35">
      <c r="A1797" s="403" t="str">
        <f>IF(AND(LEN('Ch9'!W242)&gt;0,NOT('Ch9'!W242=FALSE)),"P","")</f>
        <v/>
      </c>
      <c r="B1797" t="str">
        <f>IF(LEN('Ch9'!H242)=0,"",'Ch9'!H242)</f>
        <v/>
      </c>
      <c r="C1797" t="str">
        <f t="shared" si="45"/>
        <v/>
      </c>
      <c r="D1797" s="63">
        <v>902.5</v>
      </c>
      <c r="E1797" s="466"/>
      <c r="F1797" s="466"/>
      <c r="G1797" s="792" t="s">
        <v>3474</v>
      </c>
      <c r="H1797" s="49">
        <f>'Ch9'!W242</f>
        <v>0</v>
      </c>
      <c r="I1797" s="49">
        <f>'Ch9'!O242</f>
        <v>0</v>
      </c>
      <c r="J1797" s="813" t="s">
        <v>4177</v>
      </c>
    </row>
    <row r="1798" spans="1:10" ht="15" thickBot="1" x14ac:dyDescent="0.4">
      <c r="A1798" s="403" t="str">
        <f>A1797</f>
        <v/>
      </c>
      <c r="B1798" t="str">
        <f>IF(LEN('Ch9'!H243)=0,"",'Ch9'!H243)</f>
        <v/>
      </c>
      <c r="C1798" t="str">
        <f t="shared" si="45"/>
        <v/>
      </c>
      <c r="D1798" s="443"/>
      <c r="E1798" s="448"/>
      <c r="F1798" s="448"/>
      <c r="G1798" s="793"/>
      <c r="J1798" s="813"/>
    </row>
    <row r="1799" spans="1:10" x14ac:dyDescent="0.35">
      <c r="A1799" s="403" t="str">
        <f>IF(AND(LEN('Ch9'!W244)&gt;0,NOT('Ch9'!W244=FALSE)),"P","")</f>
        <v>P</v>
      </c>
      <c r="B1799" t="str">
        <f>IF(LEN('Ch9'!H244)=0,"",'Ch9'!H244)</f>
        <v/>
      </c>
      <c r="C1799" t="str">
        <f t="shared" si="45"/>
        <v>P</v>
      </c>
      <c r="D1799" s="33">
        <v>902.6</v>
      </c>
      <c r="E1799" s="126"/>
      <c r="F1799" s="126"/>
      <c r="G1799" s="706" t="s">
        <v>3475</v>
      </c>
      <c r="H1799" s="49" t="b">
        <f>'Ch9'!W244</f>
        <v>1</v>
      </c>
      <c r="J1799" s="813" t="s">
        <v>4177</v>
      </c>
    </row>
    <row r="1800" spans="1:10" x14ac:dyDescent="0.35">
      <c r="A1800" s="403" t="str">
        <f>A1799</f>
        <v>P</v>
      </c>
      <c r="B1800" t="str">
        <f>IF(LEN('Ch9'!H245)=0,"",'Ch9'!H245)</f>
        <v/>
      </c>
      <c r="C1800" t="str">
        <f t="shared" si="45"/>
        <v>P</v>
      </c>
      <c r="D1800" s="126"/>
      <c r="E1800" s="126"/>
      <c r="F1800" s="126"/>
      <c r="G1800" s="706"/>
      <c r="J1800" s="813"/>
    </row>
    <row r="1801" spans="1:10" ht="18.5" x14ac:dyDescent="0.35">
      <c r="A1801" s="403" t="s">
        <v>4326</v>
      </c>
      <c r="B1801" t="str">
        <f>IF(LEN('Ch9'!H246)=0,"",'Ch9'!H246)</f>
        <v/>
      </c>
      <c r="C1801" t="str">
        <f t="shared" si="45"/>
        <v>P</v>
      </c>
      <c r="D1801" s="38" t="s">
        <v>3476</v>
      </c>
      <c r="E1801" s="38"/>
      <c r="F1801" s="38"/>
      <c r="G1801" s="47"/>
      <c r="J1801" s="494"/>
    </row>
    <row r="1802" spans="1:10" ht="15" thickBot="1" x14ac:dyDescent="0.4">
      <c r="B1802" t="str">
        <f>IF(LEN('Ch9'!H247)=0,"",'Ch9'!H247)</f>
        <v/>
      </c>
      <c r="C1802" t="str">
        <f t="shared" si="45"/>
        <v/>
      </c>
      <c r="D1802" s="450">
        <v>903</v>
      </c>
      <c r="E1802" s="448"/>
      <c r="F1802" s="448"/>
      <c r="G1802" s="272" t="s">
        <v>3477</v>
      </c>
      <c r="J1802" s="485"/>
    </row>
    <row r="1803" spans="1:10" ht="15" thickTop="1" x14ac:dyDescent="0.35">
      <c r="A1803" s="403" t="str">
        <f>IF(AND(LEN('Ch9'!W248)&gt;0,NOT('Ch9'!W248=FALSE)),"P","")</f>
        <v>P</v>
      </c>
      <c r="B1803" t="str">
        <f>IF(LEN('Ch9'!H248)=0,"",'Ch9'!H248)</f>
        <v/>
      </c>
      <c r="C1803" t="str">
        <f t="shared" si="45"/>
        <v>P</v>
      </c>
      <c r="D1803" s="451">
        <v>903.1</v>
      </c>
      <c r="E1803" s="466"/>
      <c r="F1803" s="466"/>
      <c r="G1803" s="222" t="s">
        <v>3920</v>
      </c>
      <c r="H1803" s="49" t="str">
        <f>'Ch9'!W248</f>
        <v>(2)</v>
      </c>
      <c r="I1803" s="49">
        <f ca="1">'Ch9'!O248</f>
        <v>5</v>
      </c>
      <c r="J1803" s="495" t="s">
        <v>4177</v>
      </c>
    </row>
    <row r="1804" spans="1:10" x14ac:dyDescent="0.35">
      <c r="B1804" t="str">
        <f>IF(LEN('Ch9'!H249)=0,"",'Ch9'!H249)</f>
        <v/>
      </c>
      <c r="C1804" t="str">
        <f t="shared" si="45"/>
        <v/>
      </c>
      <c r="D1804" s="126"/>
      <c r="E1804" s="441" t="s">
        <v>270</v>
      </c>
      <c r="F1804" s="126"/>
      <c r="G1804" s="707" t="s">
        <v>3918</v>
      </c>
      <c r="J1804" s="495"/>
    </row>
    <row r="1805" spans="1:10" x14ac:dyDescent="0.35">
      <c r="B1805" t="str">
        <f>IF(LEN('Ch9'!H250)=0,"",'Ch9'!H250)</f>
        <v/>
      </c>
      <c r="C1805" t="str">
        <f t="shared" si="45"/>
        <v/>
      </c>
      <c r="D1805" s="126"/>
      <c r="E1805" s="459"/>
      <c r="F1805" s="149"/>
      <c r="G1805" s="739"/>
      <c r="J1805" s="495"/>
    </row>
    <row r="1806" spans="1:10" ht="15" thickBot="1" x14ac:dyDescent="0.4">
      <c r="B1806" t="str">
        <f>IF(LEN('Ch9'!H251)=0,"",'Ch9'!H251)</f>
        <v/>
      </c>
      <c r="C1806" t="str">
        <f t="shared" si="45"/>
        <v/>
      </c>
      <c r="D1806" s="448"/>
      <c r="E1806" s="446" t="s">
        <v>272</v>
      </c>
      <c r="F1806" s="448"/>
      <c r="G1806" s="223" t="s">
        <v>3919</v>
      </c>
      <c r="J1806" s="495"/>
    </row>
    <row r="1807" spans="1:10" ht="15" thickTop="1" x14ac:dyDescent="0.35">
      <c r="A1807" s="403" t="str">
        <f>IF(AND(LEN('Ch9'!W252)&gt;0,NOT('Ch9'!W252=FALSE)),"P","")</f>
        <v/>
      </c>
      <c r="B1807" t="str">
        <f>IF(LEN('Ch9'!H252)=0,"",'Ch9'!H252)</f>
        <v/>
      </c>
      <c r="C1807" t="str">
        <f t="shared" si="45"/>
        <v/>
      </c>
      <c r="D1807" s="63">
        <v>903.2</v>
      </c>
      <c r="E1807" s="466"/>
      <c r="F1807" s="466"/>
      <c r="G1807" s="222" t="s">
        <v>3480</v>
      </c>
      <c r="H1807" s="49">
        <f>'Ch9'!W252</f>
        <v>0</v>
      </c>
      <c r="I1807" s="49">
        <f ca="1">'Ch9'!O252</f>
        <v>0</v>
      </c>
      <c r="J1807" s="495" t="s">
        <v>4177</v>
      </c>
    </row>
    <row r="1808" spans="1:10" x14ac:dyDescent="0.35">
      <c r="B1808" t="str">
        <f>IF(LEN('Ch9'!H253)=0,"",'Ch9'!H253)</f>
        <v/>
      </c>
      <c r="C1808" t="str">
        <f t="shared" si="45"/>
        <v/>
      </c>
      <c r="D1808" s="126"/>
      <c r="E1808" s="459" t="s">
        <v>270</v>
      </c>
      <c r="F1808" s="149"/>
      <c r="G1808" s="214" t="s">
        <v>3481</v>
      </c>
      <c r="J1808" s="495"/>
    </row>
    <row r="1809" spans="1:10" x14ac:dyDescent="0.35">
      <c r="B1809" t="str">
        <f>IF(LEN('Ch9'!H254)=0,"",'Ch9'!H254)</f>
        <v/>
      </c>
      <c r="C1809" t="str">
        <f t="shared" ref="C1809:C1872" si="46">IF(LEN(B1809)=0,IF(A1809="P","P",""),B1809)</f>
        <v/>
      </c>
      <c r="D1809" s="126"/>
      <c r="E1809" s="441" t="s">
        <v>272</v>
      </c>
      <c r="F1809" s="126"/>
      <c r="G1809" s="707" t="s">
        <v>3482</v>
      </c>
      <c r="J1809" s="495"/>
    </row>
    <row r="1810" spans="1:10" ht="15" thickBot="1" x14ac:dyDescent="0.4">
      <c r="B1810" t="str">
        <f>IF(LEN('Ch9'!H255)=0,"",'Ch9'!H255)</f>
        <v/>
      </c>
      <c r="C1810" t="str">
        <f t="shared" si="46"/>
        <v/>
      </c>
      <c r="D1810" s="448"/>
      <c r="E1810" s="448"/>
      <c r="F1810" s="448"/>
      <c r="G1810" s="708"/>
      <c r="J1810" s="495"/>
    </row>
    <row r="1811" spans="1:10" ht="15" thickTop="1" x14ac:dyDescent="0.35">
      <c r="A1811" s="403" t="str">
        <f>IF('Ch9'!O256&gt;0,"P","")</f>
        <v/>
      </c>
      <c r="B1811" t="str">
        <f>IF(LEN('Ch9'!H256)=0,"",'Ch9'!H256)</f>
        <v/>
      </c>
      <c r="C1811" t="str">
        <f t="shared" si="46"/>
        <v/>
      </c>
      <c r="D1811" s="63">
        <v>903.3</v>
      </c>
      <c r="E1811" s="466"/>
      <c r="F1811" s="466"/>
      <c r="G1811" s="711" t="s">
        <v>3921</v>
      </c>
      <c r="I1811" s="49">
        <f>'Ch9'!O256</f>
        <v>0</v>
      </c>
      <c r="J1811" s="814" t="s">
        <v>4273</v>
      </c>
    </row>
    <row r="1812" spans="1:10" x14ac:dyDescent="0.35">
      <c r="A1812" s="403" t="str">
        <f>A1811</f>
        <v/>
      </c>
      <c r="B1812" t="str">
        <f>IF(LEN('Ch9'!H257)=0,"",'Ch9'!H257)</f>
        <v/>
      </c>
      <c r="C1812" t="str">
        <f t="shared" si="46"/>
        <v/>
      </c>
      <c r="D1812" s="126"/>
      <c r="E1812" s="126"/>
      <c r="F1812" s="126"/>
      <c r="G1812" s="706"/>
      <c r="J1812" s="814"/>
    </row>
    <row r="1813" spans="1:10" ht="15" customHeight="1" x14ac:dyDescent="0.35">
      <c r="B1813" t="str">
        <f>IF(LEN('Ch9'!H258)=0,"",'Ch9'!H258)</f>
        <v/>
      </c>
      <c r="C1813" t="str">
        <f t="shared" si="46"/>
        <v/>
      </c>
      <c r="D1813" s="126"/>
      <c r="E1813" s="459" t="s">
        <v>270</v>
      </c>
      <c r="F1813" s="458"/>
      <c r="G1813" s="214" t="s">
        <v>3483</v>
      </c>
      <c r="H1813" s="49">
        <f>'Ch9'!W258</f>
        <v>0</v>
      </c>
      <c r="J1813" s="814"/>
    </row>
    <row r="1814" spans="1:10" x14ac:dyDescent="0.35">
      <c r="B1814" t="str">
        <f>IF(LEN('Ch9'!H259)=0,"",'Ch9'!H259)</f>
        <v/>
      </c>
      <c r="C1814" t="str">
        <f t="shared" si="46"/>
        <v/>
      </c>
      <c r="D1814" s="126"/>
      <c r="E1814" s="441" t="s">
        <v>272</v>
      </c>
      <c r="G1814" s="723" t="s">
        <v>3484</v>
      </c>
      <c r="H1814" s="49">
        <f>'Ch9'!W259</f>
        <v>0</v>
      </c>
      <c r="J1814" s="814"/>
    </row>
    <row r="1815" spans="1:10" x14ac:dyDescent="0.35">
      <c r="B1815" t="str">
        <f>IF(LEN('Ch9'!H260)=0,"",'Ch9'!H260)</f>
        <v/>
      </c>
      <c r="C1815" t="str">
        <f t="shared" si="46"/>
        <v/>
      </c>
      <c r="D1815" s="126"/>
      <c r="E1815" s="126"/>
      <c r="F1815" s="441"/>
      <c r="G1815" s="723"/>
      <c r="J1815" s="814"/>
    </row>
    <row r="1816" spans="1:10" ht="18.5" x14ac:dyDescent="0.35">
      <c r="A1816" s="403" t="s">
        <v>4326</v>
      </c>
      <c r="B1816" t="str">
        <f>IF(LEN('Ch9'!H261)=0,"",'Ch9'!H261)</f>
        <v/>
      </c>
      <c r="C1816" t="str">
        <f t="shared" si="46"/>
        <v>P</v>
      </c>
      <c r="D1816" s="38" t="s">
        <v>3485</v>
      </c>
      <c r="E1816" s="38"/>
      <c r="F1816" s="38"/>
      <c r="G1816" s="47"/>
      <c r="J1816" s="494"/>
    </row>
    <row r="1817" spans="1:10" x14ac:dyDescent="0.35">
      <c r="B1817" t="str">
        <f>IF(LEN('Ch9'!H262)=0,"",'Ch9'!H262)</f>
        <v/>
      </c>
      <c r="C1817" t="str">
        <f t="shared" si="46"/>
        <v/>
      </c>
      <c r="D1817" s="447">
        <v>904</v>
      </c>
      <c r="E1817" s="126"/>
      <c r="F1817" s="126"/>
      <c r="G1817" s="706" t="s">
        <v>3486</v>
      </c>
      <c r="J1817" s="485"/>
    </row>
    <row r="1818" spans="1:10" ht="15" thickBot="1" x14ac:dyDescent="0.4">
      <c r="B1818" t="str">
        <f>IF(LEN('Ch9'!H263)=0,"",'Ch9'!H263)</f>
        <v/>
      </c>
      <c r="C1818" t="str">
        <f t="shared" si="46"/>
        <v/>
      </c>
      <c r="D1818" s="448"/>
      <c r="E1818" s="448"/>
      <c r="F1818" s="448"/>
      <c r="G1818" s="710"/>
      <c r="J1818" s="485"/>
    </row>
    <row r="1819" spans="1:10" ht="15" thickTop="1" x14ac:dyDescent="0.35">
      <c r="A1819" s="403" t="str">
        <f>IF(AND(LEN('Ch9'!W264)&gt;0,NOT('Ch9'!W264=FALSE)),"P","")</f>
        <v/>
      </c>
      <c r="B1819" t="str">
        <f>IF(LEN('Ch9'!H264)=0,"",'Ch9'!H264)</f>
        <v/>
      </c>
      <c r="C1819" t="str">
        <f t="shared" si="46"/>
        <v/>
      </c>
      <c r="D1819" s="451">
        <v>904.1</v>
      </c>
      <c r="E1819" s="466"/>
      <c r="F1819" s="466"/>
      <c r="G1819" s="711" t="s">
        <v>3487</v>
      </c>
      <c r="H1819" s="49">
        <f>'Ch9'!W264</f>
        <v>0</v>
      </c>
      <c r="I1819" s="49">
        <f>'Ch9'!O264</f>
        <v>0</v>
      </c>
      <c r="J1819" s="821" t="s">
        <v>4177</v>
      </c>
    </row>
    <row r="1820" spans="1:10" x14ac:dyDescent="0.35">
      <c r="A1820" s="403" t="str">
        <f>A1819</f>
        <v/>
      </c>
      <c r="B1820" t="str">
        <f>IF(LEN('Ch9'!H265)=0,"",'Ch9'!H265)</f>
        <v/>
      </c>
      <c r="C1820" t="str">
        <f t="shared" si="46"/>
        <v/>
      </c>
      <c r="D1820" s="126"/>
      <c r="E1820" s="126"/>
      <c r="F1820" s="126"/>
      <c r="G1820" s="706"/>
      <c r="J1820" s="821"/>
    </row>
    <row r="1821" spans="1:10" x14ac:dyDescent="0.35">
      <c r="A1821" s="403" t="str">
        <f>A1820</f>
        <v/>
      </c>
      <c r="B1821" t="str">
        <f>IF(LEN('Ch9'!H266)=0,"",'Ch9'!H266)</f>
        <v/>
      </c>
      <c r="C1821" t="str">
        <f t="shared" si="46"/>
        <v/>
      </c>
      <c r="D1821" s="126"/>
      <c r="E1821" s="126"/>
      <c r="F1821" s="126"/>
      <c r="G1821" s="706"/>
      <c r="J1821" s="821"/>
    </row>
    <row r="1822" spans="1:10" x14ac:dyDescent="0.35">
      <c r="A1822" s="403" t="str">
        <f>A1821</f>
        <v/>
      </c>
      <c r="B1822" t="str">
        <f>IF(LEN('Ch9'!H267)=0,"",'Ch9'!H267)</f>
        <v/>
      </c>
      <c r="C1822" t="str">
        <f t="shared" si="46"/>
        <v/>
      </c>
      <c r="D1822" s="126"/>
      <c r="E1822" s="126"/>
      <c r="F1822" s="126"/>
      <c r="G1822" s="706"/>
      <c r="J1822" s="821"/>
    </row>
    <row r="1823" spans="1:10" ht="15" thickBot="1" x14ac:dyDescent="0.4">
      <c r="A1823" s="403" t="str">
        <f>A1822</f>
        <v/>
      </c>
      <c r="B1823" t="str">
        <f>IF(LEN('Ch9'!H268)=0,"",'Ch9'!H268)</f>
        <v/>
      </c>
      <c r="C1823" t="str">
        <f t="shared" si="46"/>
        <v/>
      </c>
      <c r="D1823" s="448"/>
      <c r="E1823" s="448"/>
      <c r="F1823" s="448"/>
      <c r="G1823" s="710"/>
      <c r="J1823" s="821"/>
    </row>
    <row r="1824" spans="1:10" ht="15" thickTop="1" x14ac:dyDescent="0.35">
      <c r="A1824" s="403" t="str">
        <f>IF(AND(LEN('Ch9'!W269)&gt;0,NOT('Ch9'!W269=FALSE)),"P","")</f>
        <v/>
      </c>
      <c r="B1824" t="str">
        <f>IF(LEN('Ch9'!H269)=0,"",'Ch9'!H269)</f>
        <v/>
      </c>
      <c r="C1824" t="str">
        <f t="shared" si="46"/>
        <v/>
      </c>
      <c r="D1824" s="33">
        <v>904.2</v>
      </c>
      <c r="E1824" s="126"/>
      <c r="F1824" s="126"/>
      <c r="G1824" s="706" t="s">
        <v>3488</v>
      </c>
      <c r="H1824" s="49">
        <f>'Ch9'!W269</f>
        <v>0</v>
      </c>
      <c r="I1824" s="49">
        <f>'Ch9'!O269</f>
        <v>0</v>
      </c>
      <c r="J1824" s="804" t="s">
        <v>4177</v>
      </c>
    </row>
    <row r="1825" spans="1:10" x14ac:dyDescent="0.35">
      <c r="A1825" s="403" t="str">
        <f>A1824</f>
        <v/>
      </c>
      <c r="B1825" t="str">
        <f>IF(LEN('Ch9'!H270)=0,"",'Ch9'!H270)</f>
        <v/>
      </c>
      <c r="C1825" t="str">
        <f t="shared" si="46"/>
        <v/>
      </c>
      <c r="D1825" s="126"/>
      <c r="E1825" s="126"/>
      <c r="F1825" s="126"/>
      <c r="G1825" s="706"/>
      <c r="J1825" s="805"/>
    </row>
    <row r="1826" spans="1:10" x14ac:dyDescent="0.35">
      <c r="A1826" s="403" t="str">
        <f>A1825</f>
        <v/>
      </c>
      <c r="B1826" t="str">
        <f>IF(LEN('Ch9'!H271)=0,"",'Ch9'!H271)</f>
        <v/>
      </c>
      <c r="C1826" t="str">
        <f t="shared" si="46"/>
        <v/>
      </c>
      <c r="D1826" s="126"/>
      <c r="E1826" s="126"/>
      <c r="F1826" s="126"/>
      <c r="G1826" s="706"/>
      <c r="J1826" s="806"/>
    </row>
    <row r="1827" spans="1:10" ht="18.5" x14ac:dyDescent="0.35">
      <c r="A1827" s="403" t="s">
        <v>4326</v>
      </c>
      <c r="B1827" t="str">
        <f>IF(LEN('Ch9'!H272)=0,"",'Ch9'!H272)</f>
        <v/>
      </c>
      <c r="C1827" t="str">
        <f t="shared" si="46"/>
        <v>P</v>
      </c>
      <c r="D1827" s="38" t="s">
        <v>3489</v>
      </c>
      <c r="E1827" s="38"/>
      <c r="F1827" s="38"/>
      <c r="G1827" s="47"/>
      <c r="J1827" s="494"/>
    </row>
    <row r="1828" spans="1:10" x14ac:dyDescent="0.35">
      <c r="A1828" s="403" t="str">
        <f>IF(AND(LEN('Ch9'!W273)&gt;0,NOT('Ch9'!W273=FALSE)),"P","")</f>
        <v/>
      </c>
      <c r="B1828" t="str">
        <f>IF(LEN('Ch9'!H273)=0,"",'Ch9'!H273)</f>
        <v/>
      </c>
      <c r="C1828" t="str">
        <f t="shared" si="46"/>
        <v/>
      </c>
      <c r="D1828" s="33">
        <v>905.1</v>
      </c>
      <c r="E1828" s="126"/>
      <c r="F1828" s="126"/>
      <c r="G1828" s="706" t="s">
        <v>3490</v>
      </c>
      <c r="H1828" s="49">
        <f>'Ch9'!W273</f>
        <v>0</v>
      </c>
      <c r="I1828" s="49">
        <f>'Ch9'!O273</f>
        <v>0</v>
      </c>
      <c r="J1828" s="813" t="s">
        <v>4177</v>
      </c>
    </row>
    <row r="1829" spans="1:10" x14ac:dyDescent="0.35">
      <c r="A1829" s="403" t="str">
        <f>A1828</f>
        <v/>
      </c>
      <c r="B1829" t="str">
        <f>IF(LEN('Ch9'!H274)=0,"",'Ch9'!H274)</f>
        <v/>
      </c>
      <c r="C1829" t="str">
        <f t="shared" si="46"/>
        <v/>
      </c>
      <c r="D1829" s="126"/>
      <c r="E1829" s="126"/>
      <c r="F1829" s="126"/>
      <c r="G1829" s="706"/>
      <c r="J1829" s="813"/>
    </row>
    <row r="1830" spans="1:10" x14ac:dyDescent="0.35">
      <c r="A1830" s="403" t="str">
        <f>A1829</f>
        <v/>
      </c>
      <c r="B1830" t="str">
        <f>IF(LEN('Ch9'!H275)=0,"",'Ch9'!H275)</f>
        <v/>
      </c>
      <c r="C1830" t="str">
        <f t="shared" si="46"/>
        <v/>
      </c>
      <c r="D1830" s="126"/>
      <c r="E1830" s="126"/>
      <c r="F1830" s="126"/>
      <c r="G1830" s="706"/>
      <c r="J1830" s="813"/>
    </row>
    <row r="1831" spans="1:10" x14ac:dyDescent="0.35">
      <c r="A1831" s="403" t="str">
        <f>A1830</f>
        <v/>
      </c>
      <c r="B1831" t="str">
        <f>IF(LEN('Ch9'!H276)=0,"",'Ch9'!H276)</f>
        <v/>
      </c>
      <c r="C1831" t="str">
        <f t="shared" si="46"/>
        <v/>
      </c>
      <c r="D1831" s="126"/>
      <c r="E1831" s="126"/>
      <c r="F1831" s="126"/>
      <c r="G1831" s="706"/>
      <c r="J1831" s="813"/>
    </row>
    <row r="1832" spans="1:10" ht="15" thickBot="1" x14ac:dyDescent="0.4">
      <c r="A1832" s="403" t="str">
        <f>A1831</f>
        <v/>
      </c>
      <c r="B1832" t="str">
        <f>IF(LEN('Ch9'!H277)=0,"",'Ch9'!H277)</f>
        <v/>
      </c>
      <c r="C1832" t="str">
        <f t="shared" si="46"/>
        <v/>
      </c>
      <c r="D1832" s="448"/>
      <c r="E1832" s="448"/>
      <c r="F1832" s="448"/>
      <c r="G1832" s="710"/>
      <c r="J1832" s="813"/>
    </row>
    <row r="1833" spans="1:10" x14ac:dyDescent="0.35">
      <c r="A1833" s="403" t="str">
        <f>IF(AND(LEN('Ch9'!W278)&gt;0,NOT('Ch9'!W278=FALSE)),"P","")</f>
        <v/>
      </c>
      <c r="B1833" t="str">
        <f>IF(LEN('Ch9'!H278)=0,"",'Ch9'!H278)</f>
        <v/>
      </c>
      <c r="C1833" t="str">
        <f t="shared" si="46"/>
        <v/>
      </c>
      <c r="D1833" s="33">
        <v>905.2</v>
      </c>
      <c r="E1833" s="126"/>
      <c r="F1833" s="126"/>
      <c r="G1833" s="706" t="s">
        <v>3491</v>
      </c>
      <c r="H1833" s="49">
        <f>'Ch9'!W278</f>
        <v>0</v>
      </c>
      <c r="I1833" s="49">
        <f>'Ch9'!O278</f>
        <v>0</v>
      </c>
      <c r="J1833" s="813" t="s">
        <v>4274</v>
      </c>
    </row>
    <row r="1834" spans="1:10" x14ac:dyDescent="0.35">
      <c r="A1834" s="403" t="str">
        <f>A1833</f>
        <v/>
      </c>
      <c r="B1834" t="str">
        <f>IF(LEN('Ch9'!H279)=0,"",'Ch9'!H279)</f>
        <v/>
      </c>
      <c r="C1834" t="str">
        <f t="shared" si="46"/>
        <v/>
      </c>
      <c r="D1834" s="126"/>
      <c r="E1834" s="126"/>
      <c r="F1834" s="126"/>
      <c r="G1834" s="706"/>
      <c r="J1834" s="813"/>
    </row>
    <row r="1835" spans="1:10" ht="18.5" x14ac:dyDescent="0.45">
      <c r="A1835" s="403" t="s">
        <v>4326</v>
      </c>
      <c r="B1835" t="str">
        <f>IF(LEN('Ch10'!H9)=0,"",'Ch10'!H9)</f>
        <v/>
      </c>
      <c r="C1835" t="str">
        <f t="shared" si="46"/>
        <v>P</v>
      </c>
      <c r="D1835" s="42" t="s">
        <v>3587</v>
      </c>
      <c r="E1835" s="42"/>
      <c r="F1835" s="42"/>
      <c r="G1835" s="15"/>
      <c r="J1835" s="497"/>
    </row>
    <row r="1836" spans="1:10" x14ac:dyDescent="0.35">
      <c r="B1836" t="str">
        <f>IF(LEN('Ch10'!H10)=0,"",'Ch10'!H10)</f>
        <v/>
      </c>
      <c r="C1836" t="str">
        <f t="shared" si="46"/>
        <v/>
      </c>
      <c r="D1836" s="447">
        <v>1001</v>
      </c>
      <c r="E1836" s="126"/>
      <c r="F1836" s="126"/>
      <c r="G1836" s="706" t="s">
        <v>3492</v>
      </c>
      <c r="J1836" s="485"/>
    </row>
    <row r="1837" spans="1:10" ht="15" thickBot="1" x14ac:dyDescent="0.4">
      <c r="B1837" t="str">
        <f>IF(LEN('Ch10'!H11)=0,"",'Ch10'!H11)</f>
        <v/>
      </c>
      <c r="C1837" t="str">
        <f t="shared" si="46"/>
        <v/>
      </c>
      <c r="D1837" s="448"/>
      <c r="E1837" s="448"/>
      <c r="F1837" s="448"/>
      <c r="G1837" s="710"/>
      <c r="J1837" s="485"/>
    </row>
    <row r="1838" spans="1:10" ht="15" customHeight="1" thickTop="1" x14ac:dyDescent="0.35">
      <c r="A1838" s="403" t="str">
        <f>IF('Ch10'!O12&gt;0,"P","")</f>
        <v>P</v>
      </c>
      <c r="B1838" t="str">
        <f>IF(LEN('Ch10'!H12)=0,"",'Ch10'!H12)</f>
        <v/>
      </c>
      <c r="C1838" t="str">
        <f t="shared" si="46"/>
        <v>P</v>
      </c>
      <c r="D1838" s="33">
        <v>1001.1</v>
      </c>
      <c r="E1838" s="126"/>
      <c r="F1838" s="126"/>
      <c r="G1838" s="706" t="s">
        <v>3493</v>
      </c>
      <c r="I1838" s="49">
        <f>'Ch10'!O12</f>
        <v>8</v>
      </c>
      <c r="J1838" s="804" t="s">
        <v>4765</v>
      </c>
    </row>
    <row r="1839" spans="1:10" x14ac:dyDescent="0.35">
      <c r="A1839" s="403" t="str">
        <f t="shared" ref="A1839:A1846" si="47">A1838</f>
        <v>P</v>
      </c>
      <c r="B1839" t="str">
        <f>IF(LEN('Ch10'!H13)=0,"",'Ch10'!H13)</f>
        <v/>
      </c>
      <c r="C1839" t="str">
        <f t="shared" si="46"/>
        <v>P</v>
      </c>
      <c r="D1839" s="126"/>
      <c r="E1839" s="126"/>
      <c r="F1839" s="126"/>
      <c r="G1839" s="706"/>
      <c r="J1839" s="806"/>
    </row>
    <row r="1840" spans="1:10" x14ac:dyDescent="0.35">
      <c r="A1840" s="403" t="str">
        <f t="shared" si="47"/>
        <v>P</v>
      </c>
      <c r="B1840" t="str">
        <f>IF(LEN('Ch10'!H14)=0,"",'Ch10'!H14)</f>
        <v/>
      </c>
      <c r="C1840" t="str">
        <f t="shared" si="46"/>
        <v>P</v>
      </c>
      <c r="D1840" s="126"/>
      <c r="E1840" s="126"/>
      <c r="F1840" s="126"/>
      <c r="G1840" s="168" t="s">
        <v>3586</v>
      </c>
      <c r="J1840" s="495"/>
    </row>
    <row r="1841" spans="1:10" ht="15" customHeight="1" x14ac:dyDescent="0.35">
      <c r="A1841" s="403" t="str">
        <f t="shared" si="47"/>
        <v>P</v>
      </c>
      <c r="B1841" t="str">
        <f>IF(LEN('Ch10'!H15)=0,"",'Ch10'!H15)</f>
        <v/>
      </c>
      <c r="C1841" t="str">
        <f t="shared" si="46"/>
        <v>P</v>
      </c>
      <c r="D1841" s="126"/>
      <c r="E1841" s="459" t="s">
        <v>270</v>
      </c>
      <c r="F1841" s="149"/>
      <c r="G1841" s="186" t="s">
        <v>3494</v>
      </c>
      <c r="H1841" s="49" t="b">
        <f>'Ch10'!W15</f>
        <v>1</v>
      </c>
      <c r="J1841" s="495"/>
    </row>
    <row r="1842" spans="1:10" x14ac:dyDescent="0.35">
      <c r="A1842" s="403" t="str">
        <f t="shared" si="47"/>
        <v>P</v>
      </c>
      <c r="B1842" t="str">
        <f>IF(LEN('Ch10'!H16)=0,"",'Ch10'!H16)</f>
        <v/>
      </c>
      <c r="C1842" t="str">
        <f t="shared" si="46"/>
        <v>P</v>
      </c>
      <c r="D1842" s="126"/>
      <c r="E1842" s="467" t="s">
        <v>272</v>
      </c>
      <c r="F1842" s="152"/>
      <c r="G1842" s="188" t="s">
        <v>3495</v>
      </c>
      <c r="H1842" s="49" t="b">
        <f>'Ch10'!W16</f>
        <v>1</v>
      </c>
      <c r="J1842" s="495"/>
    </row>
    <row r="1843" spans="1:10" x14ac:dyDescent="0.35">
      <c r="A1843" s="403" t="str">
        <f t="shared" si="47"/>
        <v>P</v>
      </c>
      <c r="B1843" t="str">
        <f>IF(LEN('Ch10'!H17)=0,"",'Ch10'!H17)</f>
        <v/>
      </c>
      <c r="C1843" t="str">
        <f t="shared" si="46"/>
        <v>P</v>
      </c>
      <c r="D1843" s="126"/>
      <c r="E1843" s="470" t="s">
        <v>274</v>
      </c>
      <c r="F1843" s="471"/>
      <c r="G1843" s="742" t="s">
        <v>3496</v>
      </c>
      <c r="H1843" s="49" t="b">
        <f>'Ch10'!W17</f>
        <v>1</v>
      </c>
      <c r="J1843" s="495"/>
    </row>
    <row r="1844" spans="1:10" x14ac:dyDescent="0.35">
      <c r="A1844" s="403" t="str">
        <f t="shared" si="47"/>
        <v>P</v>
      </c>
      <c r="B1844" t="str">
        <f>IF(LEN('Ch10'!H18)=0,"",'Ch10'!H18)</f>
        <v/>
      </c>
      <c r="C1844" t="str">
        <f t="shared" si="46"/>
        <v>P</v>
      </c>
      <c r="D1844" s="126"/>
      <c r="E1844" s="441"/>
      <c r="F1844" s="126"/>
      <c r="G1844" s="707"/>
      <c r="J1844" s="495"/>
    </row>
    <row r="1845" spans="1:10" x14ac:dyDescent="0.35">
      <c r="A1845" s="403" t="str">
        <f t="shared" si="47"/>
        <v>P</v>
      </c>
      <c r="B1845" t="str">
        <f>IF(LEN('Ch10'!H19)=0,"",'Ch10'!H19)</f>
        <v/>
      </c>
      <c r="C1845" t="str">
        <f t="shared" si="46"/>
        <v>P</v>
      </c>
      <c r="D1845" s="126"/>
      <c r="E1845" s="441"/>
      <c r="F1845" s="126"/>
      <c r="G1845" s="707"/>
      <c r="J1845" s="495"/>
    </row>
    <row r="1846" spans="1:10" x14ac:dyDescent="0.35">
      <c r="A1846" s="403" t="str">
        <f t="shared" si="47"/>
        <v>P</v>
      </c>
      <c r="B1846" t="str">
        <f>IF(LEN('Ch10'!H20)=0,"",'Ch10'!H20)</f>
        <v/>
      </c>
      <c r="C1846" t="str">
        <f t="shared" si="46"/>
        <v>P</v>
      </c>
      <c r="D1846" s="126"/>
      <c r="E1846" s="459"/>
      <c r="F1846" s="149"/>
      <c r="G1846" s="709"/>
      <c r="J1846" s="495"/>
    </row>
    <row r="1847" spans="1:10" x14ac:dyDescent="0.35">
      <c r="B1847" t="str">
        <f>IF(LEN('Ch10'!H21)=0,"",'Ch10'!H21)</f>
        <v/>
      </c>
      <c r="C1847" t="str">
        <f t="shared" si="46"/>
        <v/>
      </c>
      <c r="D1847" s="126"/>
      <c r="E1847" s="467" t="s">
        <v>283</v>
      </c>
      <c r="F1847" s="152"/>
      <c r="G1847" s="188" t="s">
        <v>3497</v>
      </c>
      <c r="H1847" s="49" t="b">
        <f>'Ch10'!W21</f>
        <v>1</v>
      </c>
      <c r="J1847" s="495"/>
    </row>
    <row r="1848" spans="1:10" x14ac:dyDescent="0.35">
      <c r="B1848" t="str">
        <f>IF(LEN('Ch10'!H22)=0,"",'Ch10'!H22)</f>
        <v/>
      </c>
      <c r="C1848" t="str">
        <f t="shared" si="46"/>
        <v/>
      </c>
      <c r="D1848" s="126"/>
      <c r="E1848" s="467" t="s">
        <v>289</v>
      </c>
      <c r="F1848" s="152"/>
      <c r="G1848" s="188" t="s">
        <v>3498</v>
      </c>
      <c r="H1848" s="49" t="b">
        <f>'Ch10'!W22</f>
        <v>1</v>
      </c>
      <c r="J1848" s="495"/>
    </row>
    <row r="1849" spans="1:10" x14ac:dyDescent="0.35">
      <c r="B1849" t="str">
        <f>IF(LEN('Ch10'!H23)=0,"",'Ch10'!H23)</f>
        <v/>
      </c>
      <c r="C1849" t="str">
        <f t="shared" si="46"/>
        <v/>
      </c>
      <c r="D1849" s="126"/>
      <c r="E1849" s="470" t="s">
        <v>291</v>
      </c>
      <c r="F1849" s="471"/>
      <c r="G1849" s="815" t="s">
        <v>3499</v>
      </c>
      <c r="H1849" s="49" t="b">
        <f>'Ch10'!W23</f>
        <v>1</v>
      </c>
      <c r="J1849" s="495"/>
    </row>
    <row r="1850" spans="1:10" x14ac:dyDescent="0.35">
      <c r="B1850" t="str">
        <f>IF(LEN('Ch10'!H24)=0,"",'Ch10'!H24)</f>
        <v/>
      </c>
      <c r="C1850" t="str">
        <f t="shared" si="46"/>
        <v/>
      </c>
      <c r="D1850" s="126"/>
      <c r="E1850" s="459"/>
      <c r="F1850" s="149"/>
      <c r="G1850" s="816"/>
      <c r="J1850" s="490"/>
    </row>
    <row r="1851" spans="1:10" x14ac:dyDescent="0.35">
      <c r="B1851" t="str">
        <f>IF(LEN('Ch10'!H25)=0,"",'Ch10'!H25)</f>
        <v/>
      </c>
      <c r="C1851" t="str">
        <f t="shared" si="46"/>
        <v/>
      </c>
      <c r="D1851" s="126"/>
      <c r="E1851" s="470" t="s">
        <v>403</v>
      </c>
      <c r="F1851" s="471"/>
      <c r="G1851" s="742" t="s">
        <v>3500</v>
      </c>
      <c r="H1851" s="49" t="b">
        <f>'Ch10'!W25</f>
        <v>1</v>
      </c>
      <c r="J1851" s="490"/>
    </row>
    <row r="1852" spans="1:10" x14ac:dyDescent="0.35">
      <c r="B1852" t="str">
        <f>IF(LEN('Ch10'!H26)=0,"",'Ch10'!H26)</f>
        <v/>
      </c>
      <c r="C1852" t="str">
        <f t="shared" si="46"/>
        <v/>
      </c>
      <c r="D1852" s="126"/>
      <c r="E1852" s="459"/>
      <c r="F1852" s="149"/>
      <c r="G1852" s="709"/>
      <c r="J1852" s="490"/>
    </row>
    <row r="1853" spans="1:10" x14ac:dyDescent="0.35">
      <c r="B1853" t="str">
        <f>IF(LEN('Ch10'!H27)=0,"",'Ch10'!H27)</f>
        <v/>
      </c>
      <c r="C1853" t="str">
        <f t="shared" si="46"/>
        <v/>
      </c>
      <c r="D1853" s="126"/>
      <c r="E1853" s="467" t="s">
        <v>453</v>
      </c>
      <c r="F1853" s="152"/>
      <c r="G1853" s="188" t="s">
        <v>3501</v>
      </c>
      <c r="H1853" s="49" t="b">
        <f>'Ch10'!W27</f>
        <v>1</v>
      </c>
      <c r="J1853" s="490"/>
    </row>
    <row r="1854" spans="1:10" ht="15" customHeight="1" x14ac:dyDescent="0.35">
      <c r="B1854" t="str">
        <f>IF(LEN('Ch10'!H28)=0,"",'Ch10'!H28)</f>
        <v/>
      </c>
      <c r="C1854" t="str">
        <f t="shared" si="46"/>
        <v/>
      </c>
      <c r="D1854" s="126"/>
      <c r="E1854" s="441" t="s">
        <v>455</v>
      </c>
      <c r="F1854" s="126"/>
      <c r="G1854" s="757" t="s">
        <v>3502</v>
      </c>
      <c r="H1854" s="49" t="b">
        <f>'Ch10'!W28</f>
        <v>1</v>
      </c>
      <c r="J1854" s="490"/>
    </row>
    <row r="1855" spans="1:10" ht="15" customHeight="1" x14ac:dyDescent="0.35">
      <c r="B1855" t="str">
        <f>IF(LEN('Ch10'!H29)=0,"",'Ch10'!H29)</f>
        <v/>
      </c>
      <c r="C1855" t="str">
        <f t="shared" si="46"/>
        <v/>
      </c>
      <c r="D1855" s="126"/>
      <c r="E1855" s="441"/>
      <c r="F1855" s="126"/>
      <c r="G1855" s="724"/>
      <c r="J1855" s="490"/>
    </row>
    <row r="1856" spans="1:10" x14ac:dyDescent="0.35">
      <c r="B1856" t="str">
        <f>IF(LEN('Ch10'!H30)=0,"",'Ch10'!H30)</f>
        <v/>
      </c>
      <c r="C1856" t="str">
        <f t="shared" si="46"/>
        <v/>
      </c>
      <c r="D1856" s="126"/>
      <c r="E1856" s="467" t="s">
        <v>457</v>
      </c>
      <c r="F1856" s="152"/>
      <c r="G1856" s="188" t="s">
        <v>3503</v>
      </c>
      <c r="H1856" s="49" t="b">
        <f>'Ch10'!W30</f>
        <v>1</v>
      </c>
      <c r="J1856" s="490"/>
    </row>
    <row r="1857" spans="2:10" ht="15" customHeight="1" x14ac:dyDescent="0.35">
      <c r="B1857" t="str">
        <f>IF(LEN('Ch10'!H31)=0,"",'Ch10'!H31)</f>
        <v/>
      </c>
      <c r="C1857" t="str">
        <f t="shared" si="46"/>
        <v/>
      </c>
      <c r="D1857" s="126"/>
      <c r="E1857" s="441" t="s">
        <v>459</v>
      </c>
      <c r="F1857" s="126"/>
      <c r="G1857" s="169" t="s">
        <v>3504</v>
      </c>
      <c r="H1857" s="49" t="b">
        <f>'Ch10'!W31</f>
        <v>1</v>
      </c>
      <c r="J1857" s="495"/>
    </row>
    <row r="1858" spans="2:10" x14ac:dyDescent="0.35">
      <c r="B1858" t="str">
        <f>IF(LEN('Ch10'!H32)=0,"",'Ch10'!H32)</f>
        <v/>
      </c>
      <c r="C1858" t="str">
        <f t="shared" si="46"/>
        <v/>
      </c>
      <c r="D1858" s="126"/>
      <c r="E1858" s="470" t="s">
        <v>461</v>
      </c>
      <c r="F1858" s="471"/>
      <c r="G1858" s="742" t="s">
        <v>3505</v>
      </c>
      <c r="H1858" s="49">
        <f>'Ch10'!W32</f>
        <v>0</v>
      </c>
      <c r="J1858" s="495"/>
    </row>
    <row r="1859" spans="2:10" x14ac:dyDescent="0.35">
      <c r="B1859" t="str">
        <f>IF(LEN('Ch10'!H33)=0,"",'Ch10'!H33)</f>
        <v/>
      </c>
      <c r="C1859" t="str">
        <f t="shared" si="46"/>
        <v/>
      </c>
      <c r="D1859" s="126"/>
      <c r="E1859" s="126"/>
      <c r="F1859" s="126"/>
      <c r="G1859" s="707"/>
      <c r="J1859" s="495"/>
    </row>
    <row r="1860" spans="2:10" x14ac:dyDescent="0.35">
      <c r="B1860" t="str">
        <f>IF(LEN('Ch10'!H34)=0,"",'Ch10'!H34)</f>
        <v/>
      </c>
      <c r="C1860" t="str">
        <f t="shared" si="46"/>
        <v/>
      </c>
      <c r="D1860" s="126"/>
      <c r="E1860" s="126"/>
      <c r="F1860" s="441" t="s">
        <v>121</v>
      </c>
      <c r="G1860" s="169" t="s">
        <v>3506</v>
      </c>
      <c r="J1860" s="495"/>
    </row>
    <row r="1861" spans="2:10" x14ac:dyDescent="0.35">
      <c r="B1861" t="str">
        <f>IF(LEN('Ch10'!H35)=0,"",'Ch10'!H35)</f>
        <v/>
      </c>
      <c r="C1861" t="str">
        <f t="shared" si="46"/>
        <v/>
      </c>
      <c r="D1861" s="126"/>
      <c r="E1861" s="126"/>
      <c r="F1861" s="441" t="s">
        <v>122</v>
      </c>
      <c r="G1861" s="169" t="s">
        <v>3507</v>
      </c>
      <c r="J1861" s="495"/>
    </row>
    <row r="1862" spans="2:10" x14ac:dyDescent="0.35">
      <c r="B1862" t="str">
        <f>IF(LEN('Ch10'!H36)=0,"",'Ch10'!H36)</f>
        <v/>
      </c>
      <c r="C1862" t="str">
        <f t="shared" si="46"/>
        <v/>
      </c>
      <c r="D1862" s="126"/>
      <c r="E1862" s="126"/>
      <c r="F1862" s="441" t="s">
        <v>123</v>
      </c>
      <c r="G1862" s="707" t="s">
        <v>3508</v>
      </c>
      <c r="J1862" s="495"/>
    </row>
    <row r="1863" spans="2:10" x14ac:dyDescent="0.35">
      <c r="B1863" t="str">
        <f>IF(LEN('Ch10'!H37)=0,"",'Ch10'!H37)</f>
        <v/>
      </c>
      <c r="C1863" t="str">
        <f t="shared" si="46"/>
        <v/>
      </c>
      <c r="D1863" s="126"/>
      <c r="E1863" s="149"/>
      <c r="F1863" s="149"/>
      <c r="G1863" s="709"/>
      <c r="J1863" s="495"/>
    </row>
    <row r="1864" spans="2:10" x14ac:dyDescent="0.35">
      <c r="B1864" t="str">
        <f>IF(LEN('Ch10'!H38)=0,"",'Ch10'!H38)</f>
        <v/>
      </c>
      <c r="C1864" t="str">
        <f t="shared" si="46"/>
        <v/>
      </c>
      <c r="D1864" s="126"/>
      <c r="E1864" s="470" t="s">
        <v>3509</v>
      </c>
      <c r="F1864" s="471"/>
      <c r="G1864" s="742" t="s">
        <v>3510</v>
      </c>
      <c r="H1864" s="49" t="b">
        <f>'Ch10'!W38</f>
        <v>1</v>
      </c>
      <c r="J1864" s="495"/>
    </row>
    <row r="1865" spans="2:10" x14ac:dyDescent="0.35">
      <c r="B1865" t="str">
        <f>IF(LEN('Ch10'!H39)=0,"",'Ch10'!H39)</f>
        <v/>
      </c>
      <c r="C1865" t="str">
        <f t="shared" si="46"/>
        <v/>
      </c>
      <c r="D1865" s="126"/>
      <c r="E1865" s="126"/>
      <c r="F1865" s="126"/>
      <c r="G1865" s="707"/>
      <c r="J1865" s="495"/>
    </row>
    <row r="1866" spans="2:10" x14ac:dyDescent="0.35">
      <c r="B1866" t="str">
        <f>IF(LEN('Ch10'!H40)=0,"",'Ch10'!H40)</f>
        <v/>
      </c>
      <c r="C1866" t="str">
        <f t="shared" si="46"/>
        <v/>
      </c>
      <c r="D1866" s="126"/>
      <c r="E1866" s="126"/>
      <c r="F1866" s="126"/>
      <c r="G1866" s="707"/>
      <c r="J1866" s="495"/>
    </row>
    <row r="1867" spans="2:10" x14ac:dyDescent="0.35">
      <c r="B1867" t="str">
        <f>IF(LEN('Ch10'!H41)=0,"",'Ch10'!H41)</f>
        <v/>
      </c>
      <c r="C1867" t="str">
        <f t="shared" si="46"/>
        <v/>
      </c>
      <c r="D1867" s="126"/>
      <c r="E1867" s="149"/>
      <c r="F1867" s="149"/>
      <c r="G1867" s="709"/>
      <c r="J1867" s="495"/>
    </row>
    <row r="1868" spans="2:10" x14ac:dyDescent="0.35">
      <c r="B1868" t="str">
        <f>IF(LEN('Ch10'!H42)=0,"",'Ch10'!H42)</f>
        <v/>
      </c>
      <c r="C1868" t="str">
        <f t="shared" si="46"/>
        <v/>
      </c>
      <c r="D1868" s="126"/>
      <c r="E1868" s="470" t="s">
        <v>3511</v>
      </c>
      <c r="F1868" s="471"/>
      <c r="G1868" s="742" t="s">
        <v>3512</v>
      </c>
      <c r="H1868" s="49" t="b">
        <f>'Ch10'!W42</f>
        <v>1</v>
      </c>
      <c r="J1868" s="495"/>
    </row>
    <row r="1869" spans="2:10" x14ac:dyDescent="0.35">
      <c r="B1869" t="str">
        <f>IF(LEN('Ch10'!H43)=0,"",'Ch10'!H43)</f>
        <v/>
      </c>
      <c r="C1869" t="str">
        <f t="shared" si="46"/>
        <v/>
      </c>
      <c r="D1869" s="126"/>
      <c r="E1869" s="149"/>
      <c r="F1869" s="149"/>
      <c r="G1869" s="709"/>
      <c r="J1869" s="495"/>
    </row>
    <row r="1870" spans="2:10" x14ac:dyDescent="0.35">
      <c r="B1870" t="str">
        <f>IF(LEN('Ch10'!H44)=0,"",'Ch10'!H44)</f>
        <v/>
      </c>
      <c r="C1870" t="str">
        <f t="shared" si="46"/>
        <v/>
      </c>
      <c r="D1870" s="126"/>
      <c r="E1870" s="470" t="s">
        <v>3513</v>
      </c>
      <c r="F1870" s="471"/>
      <c r="G1870" s="742" t="s">
        <v>3514</v>
      </c>
      <c r="H1870" s="49" t="b">
        <f>'Ch10'!W44</f>
        <v>1</v>
      </c>
      <c r="J1870" s="495"/>
    </row>
    <row r="1871" spans="2:10" x14ac:dyDescent="0.35">
      <c r="B1871" t="str">
        <f>IF(LEN('Ch10'!H45)=0,"",'Ch10'!H45)</f>
        <v/>
      </c>
      <c r="C1871" t="str">
        <f t="shared" si="46"/>
        <v/>
      </c>
      <c r="D1871" s="126"/>
      <c r="E1871" s="149"/>
      <c r="F1871" s="149"/>
      <c r="G1871" s="709"/>
      <c r="J1871" s="495"/>
    </row>
    <row r="1872" spans="2:10" x14ac:dyDescent="0.35">
      <c r="B1872" t="str">
        <f>IF(LEN('Ch10'!H46)=0,"",'Ch10'!H46)</f>
        <v/>
      </c>
      <c r="C1872" t="str">
        <f t="shared" si="46"/>
        <v/>
      </c>
      <c r="D1872" s="126"/>
      <c r="E1872" s="467" t="s">
        <v>3515</v>
      </c>
      <c r="F1872" s="152"/>
      <c r="G1872" s="188" t="s">
        <v>3516</v>
      </c>
      <c r="H1872" s="49">
        <f>'Ch10'!W46</f>
        <v>0</v>
      </c>
      <c r="J1872" s="495"/>
    </row>
    <row r="1873" spans="1:10" x14ac:dyDescent="0.35">
      <c r="B1873" t="str">
        <f>IF(LEN('Ch10'!H47)=0,"",'Ch10'!H47)</f>
        <v/>
      </c>
      <c r="C1873" t="str">
        <f t="shared" ref="C1873:C1936" si="48">IF(LEN(B1873)=0,IF(A1873="P","P",""),B1873)</f>
        <v/>
      </c>
      <c r="D1873" s="126"/>
      <c r="E1873" s="470" t="s">
        <v>3517</v>
      </c>
      <c r="F1873" s="471"/>
      <c r="G1873" s="817" t="s">
        <v>3518</v>
      </c>
      <c r="H1873" s="49" t="b">
        <f>'Ch10'!W47</f>
        <v>1</v>
      </c>
      <c r="J1873" s="495"/>
    </row>
    <row r="1874" spans="1:10" x14ac:dyDescent="0.35">
      <c r="B1874" t="str">
        <f>IF(LEN('Ch10'!H48)=0,"",'Ch10'!H48)</f>
        <v/>
      </c>
      <c r="C1874" t="str">
        <f t="shared" si="48"/>
        <v/>
      </c>
      <c r="D1874" s="126"/>
      <c r="E1874" s="459"/>
      <c r="F1874" s="149"/>
      <c r="G1874" s="818"/>
      <c r="J1874" s="495"/>
    </row>
    <row r="1875" spans="1:10" x14ac:dyDescent="0.35">
      <c r="B1875" t="str">
        <f>IF(LEN('Ch10'!H49)=0,"",'Ch10'!H49)</f>
        <v/>
      </c>
      <c r="C1875" t="str">
        <f t="shared" si="48"/>
        <v/>
      </c>
      <c r="D1875" s="126"/>
      <c r="E1875" s="470" t="s">
        <v>3519</v>
      </c>
      <c r="F1875" s="471"/>
      <c r="G1875" s="742" t="s">
        <v>3520</v>
      </c>
      <c r="H1875" s="49" t="b">
        <f>'Ch10'!W49</f>
        <v>1</v>
      </c>
      <c r="J1875" s="495"/>
    </row>
    <row r="1876" spans="1:10" x14ac:dyDescent="0.35">
      <c r="B1876" t="str">
        <f>IF(LEN('Ch10'!H50)=0,"",'Ch10'!H50)</f>
        <v/>
      </c>
      <c r="C1876" t="str">
        <f t="shared" si="48"/>
        <v/>
      </c>
      <c r="D1876" s="126"/>
      <c r="E1876" s="149"/>
      <c r="F1876" s="149"/>
      <c r="G1876" s="709"/>
      <c r="J1876" s="495"/>
    </row>
    <row r="1877" spans="1:10" x14ac:dyDescent="0.35">
      <c r="B1877" t="str">
        <f>IF(LEN('Ch10'!H51)=0,"",'Ch10'!H51)</f>
        <v/>
      </c>
      <c r="C1877" t="str">
        <f t="shared" si="48"/>
        <v/>
      </c>
      <c r="D1877" s="126"/>
      <c r="E1877" s="467" t="s">
        <v>3521</v>
      </c>
      <c r="F1877" s="152"/>
      <c r="G1877" s="188" t="s">
        <v>3522</v>
      </c>
      <c r="H1877" s="49" t="b">
        <f>'Ch10'!W51</f>
        <v>1</v>
      </c>
      <c r="J1877" s="495"/>
    </row>
    <row r="1878" spans="1:10" x14ac:dyDescent="0.35">
      <c r="B1878" t="str">
        <f>IF(LEN('Ch10'!H52)=0,"",'Ch10'!H52)</f>
        <v/>
      </c>
      <c r="C1878" t="str">
        <f t="shared" si="48"/>
        <v/>
      </c>
      <c r="D1878" s="126"/>
      <c r="E1878" s="470" t="s">
        <v>3523</v>
      </c>
      <c r="F1878" s="471"/>
      <c r="G1878" s="742" t="s">
        <v>3524</v>
      </c>
      <c r="H1878" s="49" t="b">
        <f>'Ch10'!W52</f>
        <v>1</v>
      </c>
      <c r="J1878" s="495"/>
    </row>
    <row r="1879" spans="1:10" x14ac:dyDescent="0.35">
      <c r="B1879" t="str">
        <f>IF(LEN('Ch10'!H53)=0,"",'Ch10'!H53)</f>
        <v/>
      </c>
      <c r="C1879" t="str">
        <f t="shared" si="48"/>
        <v/>
      </c>
      <c r="D1879" s="126"/>
      <c r="E1879" s="149"/>
      <c r="F1879" s="149"/>
      <c r="G1879" s="709"/>
      <c r="J1879" s="495"/>
    </row>
    <row r="1880" spans="1:10" x14ac:dyDescent="0.35">
      <c r="B1880" t="str">
        <f>IF(LEN('Ch10'!H54)=0,"",'Ch10'!H54)</f>
        <v/>
      </c>
      <c r="C1880" t="str">
        <f t="shared" si="48"/>
        <v/>
      </c>
      <c r="D1880" s="126"/>
      <c r="E1880" s="470" t="s">
        <v>3525</v>
      </c>
      <c r="F1880" s="471"/>
      <c r="G1880" s="742" t="s">
        <v>3526</v>
      </c>
      <c r="H1880" s="49" t="b">
        <f>'Ch10'!W54</f>
        <v>1</v>
      </c>
      <c r="J1880" s="495"/>
    </row>
    <row r="1881" spans="1:10" x14ac:dyDescent="0.35">
      <c r="B1881" t="str">
        <f>IF(LEN('Ch10'!H55)=0,"",'Ch10'!H55)</f>
        <v/>
      </c>
      <c r="C1881" t="str">
        <f t="shared" si="48"/>
        <v/>
      </c>
      <c r="D1881" s="126"/>
      <c r="E1881" s="149"/>
      <c r="F1881" s="149"/>
      <c r="G1881" s="709"/>
      <c r="J1881" s="495"/>
    </row>
    <row r="1882" spans="1:10" x14ac:dyDescent="0.35">
      <c r="B1882" t="str">
        <f>IF(LEN('Ch10'!H56)=0,"",'Ch10'!H56)</f>
        <v/>
      </c>
      <c r="C1882" t="str">
        <f t="shared" si="48"/>
        <v/>
      </c>
      <c r="D1882" s="126"/>
      <c r="E1882" s="470" t="s">
        <v>3527</v>
      </c>
      <c r="F1882" s="471"/>
      <c r="G1882" s="742" t="s">
        <v>3528</v>
      </c>
      <c r="H1882" s="49">
        <f>'Ch10'!W56</f>
        <v>0</v>
      </c>
      <c r="J1882" s="495"/>
    </row>
    <row r="1883" spans="1:10" x14ac:dyDescent="0.35">
      <c r="B1883" t="str">
        <f>IF(LEN('Ch10'!H57)=0,"",'Ch10'!H57)</f>
        <v/>
      </c>
      <c r="C1883" t="str">
        <f t="shared" si="48"/>
        <v/>
      </c>
      <c r="D1883" s="126"/>
      <c r="E1883" s="149"/>
      <c r="F1883" s="149"/>
      <c r="G1883" s="709"/>
      <c r="J1883" s="495"/>
    </row>
    <row r="1884" spans="1:10" x14ac:dyDescent="0.35">
      <c r="B1884" t="str">
        <f>IF(LEN('Ch10'!H58)=0,"",'Ch10'!H58)</f>
        <v/>
      </c>
      <c r="C1884" t="str">
        <f t="shared" si="48"/>
        <v/>
      </c>
      <c r="D1884" s="126"/>
      <c r="E1884" s="467" t="s">
        <v>3529</v>
      </c>
      <c r="F1884" s="152"/>
      <c r="G1884" s="188" t="s">
        <v>3530</v>
      </c>
      <c r="H1884" s="49">
        <f>'Ch10'!W58</f>
        <v>0</v>
      </c>
      <c r="J1884" s="495"/>
    </row>
    <row r="1885" spans="1:10" ht="15" thickBot="1" x14ac:dyDescent="0.4">
      <c r="B1885" t="str">
        <f>IF(LEN('Ch10'!H59)=0,"",'Ch10'!H59)</f>
        <v/>
      </c>
      <c r="C1885" t="str">
        <f t="shared" si="48"/>
        <v/>
      </c>
      <c r="D1885" s="448"/>
      <c r="E1885" s="446" t="s">
        <v>3531</v>
      </c>
      <c r="F1885" s="448"/>
      <c r="G1885" s="185" t="s">
        <v>3532</v>
      </c>
      <c r="H1885" s="49">
        <f>'Ch10'!W59</f>
        <v>0</v>
      </c>
      <c r="J1885" s="495"/>
    </row>
    <row r="1886" spans="1:10" ht="15.75" customHeight="1" thickTop="1" x14ac:dyDescent="0.35">
      <c r="A1886" s="403" t="str">
        <f>IF(AND(LEN('Ch10'!W60)&gt;0,NOT('Ch10'!W60=FALSE)),"P","")</f>
        <v>P</v>
      </c>
      <c r="B1886" t="str">
        <f>IF(LEN('Ch10'!H60)=0,"",'Ch10'!H60)</f>
        <v/>
      </c>
      <c r="C1886" t="str">
        <f t="shared" si="48"/>
        <v>P</v>
      </c>
      <c r="D1886" s="63">
        <v>1001.2</v>
      </c>
      <c r="E1886" s="466"/>
      <c r="F1886" s="466"/>
      <c r="G1886" s="711" t="s">
        <v>3533</v>
      </c>
      <c r="H1886" s="49" t="b">
        <f>'Ch10'!W60</f>
        <v>1</v>
      </c>
      <c r="J1886" s="814" t="s">
        <v>4275</v>
      </c>
    </row>
    <row r="1887" spans="1:10" x14ac:dyDescent="0.35">
      <c r="A1887" s="403" t="str">
        <f>A1886</f>
        <v>P</v>
      </c>
      <c r="B1887" t="str">
        <f>IF(LEN('Ch10'!H61)=0,"",'Ch10'!H61)</f>
        <v/>
      </c>
      <c r="C1887" t="str">
        <f t="shared" si="48"/>
        <v>P</v>
      </c>
      <c r="D1887" s="126"/>
      <c r="E1887" s="126"/>
      <c r="F1887" s="126"/>
      <c r="G1887" s="706"/>
      <c r="J1887" s="814"/>
    </row>
    <row r="1888" spans="1:10" x14ac:dyDescent="0.35">
      <c r="A1888" s="403" t="str">
        <f>A1887</f>
        <v>P</v>
      </c>
      <c r="B1888" t="str">
        <f>IF(LEN('Ch10'!H62)=0,"",'Ch10'!H62)</f>
        <v/>
      </c>
      <c r="C1888" t="str">
        <f t="shared" si="48"/>
        <v>P</v>
      </c>
      <c r="D1888" s="126"/>
      <c r="E1888" s="126"/>
      <c r="F1888" s="126"/>
      <c r="G1888" s="706"/>
      <c r="J1888" s="814"/>
    </row>
    <row r="1889" spans="1:10" x14ac:dyDescent="0.35">
      <c r="A1889" s="403" t="str">
        <f>A1888</f>
        <v>P</v>
      </c>
      <c r="B1889" t="str">
        <f>IF(LEN('Ch10'!H63)=0,"",'Ch10'!H63)</f>
        <v/>
      </c>
      <c r="C1889" t="str">
        <f t="shared" si="48"/>
        <v>P</v>
      </c>
      <c r="D1889" s="126"/>
      <c r="E1889" s="126"/>
      <c r="F1889" s="126"/>
      <c r="G1889" s="706"/>
      <c r="J1889" s="814"/>
    </row>
    <row r="1890" spans="1:10" x14ac:dyDescent="0.35">
      <c r="B1890" t="str">
        <f>IF(LEN('Ch10'!H64)=0,"",'Ch10'!H64)</f>
        <v/>
      </c>
      <c r="C1890" t="str">
        <f t="shared" si="48"/>
        <v/>
      </c>
      <c r="D1890" s="126"/>
      <c r="E1890" s="441" t="s">
        <v>270</v>
      </c>
      <c r="F1890" s="126"/>
      <c r="G1890" s="169" t="s">
        <v>3534</v>
      </c>
      <c r="J1890" s="495"/>
    </row>
    <row r="1891" spans="1:10" x14ac:dyDescent="0.35">
      <c r="B1891" t="str">
        <f>IF(LEN('Ch10'!H65)=0,"",'Ch10'!H65)</f>
        <v/>
      </c>
      <c r="C1891" t="str">
        <f t="shared" si="48"/>
        <v/>
      </c>
      <c r="D1891" s="126"/>
      <c r="E1891" s="441" t="s">
        <v>272</v>
      </c>
      <c r="F1891" s="126"/>
      <c r="G1891" s="169" t="s">
        <v>3535</v>
      </c>
      <c r="J1891" s="495"/>
    </row>
    <row r="1892" spans="1:10" x14ac:dyDescent="0.35">
      <c r="B1892" t="str">
        <f>IF(LEN('Ch10'!H66)=0,"",'Ch10'!H66)</f>
        <v/>
      </c>
      <c r="C1892" t="str">
        <f t="shared" si="48"/>
        <v/>
      </c>
      <c r="D1892" s="126"/>
      <c r="E1892" s="441" t="s">
        <v>274</v>
      </c>
      <c r="F1892" s="126"/>
      <c r="G1892" s="169" t="s">
        <v>3536</v>
      </c>
      <c r="J1892" s="495"/>
    </row>
    <row r="1893" spans="1:10" x14ac:dyDescent="0.35">
      <c r="B1893" t="str">
        <f>IF(LEN('Ch10'!H67)=0,"",'Ch10'!H67)</f>
        <v/>
      </c>
      <c r="C1893" t="str">
        <f t="shared" si="48"/>
        <v/>
      </c>
      <c r="D1893" s="126"/>
      <c r="E1893" s="441" t="s">
        <v>283</v>
      </c>
      <c r="F1893" s="126"/>
      <c r="G1893" s="169" t="s">
        <v>3537</v>
      </c>
      <c r="J1893" s="495"/>
    </row>
    <row r="1894" spans="1:10" x14ac:dyDescent="0.35">
      <c r="B1894" t="str">
        <f>IF(LEN('Ch10'!H68)=0,"",'Ch10'!H68)</f>
        <v/>
      </c>
      <c r="C1894" t="str">
        <f t="shared" si="48"/>
        <v/>
      </c>
      <c r="D1894" s="126"/>
      <c r="E1894" s="441" t="s">
        <v>289</v>
      </c>
      <c r="F1894" s="126"/>
      <c r="G1894" s="169" t="s">
        <v>3538</v>
      </c>
      <c r="J1894" s="495"/>
    </row>
    <row r="1895" spans="1:10" x14ac:dyDescent="0.35">
      <c r="B1895" t="str">
        <f>IF(LEN('Ch10'!H69)=0,"",'Ch10'!H69)</f>
        <v/>
      </c>
      <c r="C1895" t="str">
        <f t="shared" si="48"/>
        <v/>
      </c>
      <c r="D1895" s="126"/>
      <c r="E1895" s="441" t="s">
        <v>291</v>
      </c>
      <c r="F1895" s="126"/>
      <c r="G1895" s="169" t="s">
        <v>3539</v>
      </c>
      <c r="J1895" s="495"/>
    </row>
    <row r="1896" spans="1:10" x14ac:dyDescent="0.35">
      <c r="B1896" t="str">
        <f>IF(LEN('Ch10'!H70)=0,"",'Ch10'!H70)</f>
        <v/>
      </c>
      <c r="C1896" t="str">
        <f t="shared" si="48"/>
        <v/>
      </c>
      <c r="D1896" s="126"/>
      <c r="E1896" s="441" t="s">
        <v>403</v>
      </c>
      <c r="F1896" s="126"/>
      <c r="G1896" s="169" t="s">
        <v>3540</v>
      </c>
      <c r="J1896" s="495"/>
    </row>
    <row r="1897" spans="1:10" ht="18.5" x14ac:dyDescent="0.35">
      <c r="A1897" s="403" t="s">
        <v>4326</v>
      </c>
      <c r="B1897" t="str">
        <f>IF(LEN('Ch10'!H71)=0,"",'Ch10'!H71)</f>
        <v/>
      </c>
      <c r="C1897" t="str">
        <f t="shared" si="48"/>
        <v>P</v>
      </c>
      <c r="D1897" s="38" t="s">
        <v>3541</v>
      </c>
      <c r="E1897" s="38"/>
      <c r="F1897" s="38"/>
      <c r="G1897" s="173"/>
      <c r="J1897" s="506"/>
    </row>
    <row r="1898" spans="1:10" x14ac:dyDescent="0.35">
      <c r="B1898" t="str">
        <f>IF(LEN('Ch10'!H72)=0,"",'Ch10'!H72)</f>
        <v/>
      </c>
      <c r="C1898" t="str">
        <f t="shared" si="48"/>
        <v/>
      </c>
      <c r="D1898" s="447">
        <v>1002</v>
      </c>
      <c r="E1898" s="126"/>
      <c r="F1898" s="126"/>
      <c r="G1898" s="706" t="s">
        <v>3542</v>
      </c>
      <c r="J1898" s="485"/>
    </row>
    <row r="1899" spans="1:10" x14ac:dyDescent="0.35">
      <c r="B1899" t="str">
        <f>IF(LEN('Ch10'!H73)=0,"",'Ch10'!H73)</f>
        <v/>
      </c>
      <c r="C1899" t="str">
        <f t="shared" si="48"/>
        <v/>
      </c>
      <c r="D1899" s="126"/>
      <c r="E1899" s="126"/>
      <c r="F1899" s="126"/>
      <c r="G1899" s="706"/>
      <c r="J1899" s="490"/>
    </row>
    <row r="1900" spans="1:10" x14ac:dyDescent="0.35">
      <c r="B1900" t="str">
        <f>IF(LEN('Ch10'!H74)=0,"",'Ch10'!H74)</f>
        <v/>
      </c>
      <c r="C1900" t="str">
        <f t="shared" si="48"/>
        <v/>
      </c>
      <c r="D1900" s="126"/>
      <c r="E1900" s="126"/>
      <c r="F1900" s="126"/>
      <c r="G1900" s="706"/>
      <c r="J1900" s="490"/>
    </row>
    <row r="1901" spans="1:10" x14ac:dyDescent="0.35">
      <c r="B1901" t="str">
        <f>IF(LEN('Ch10'!H75)=0,"",'Ch10'!H75)</f>
        <v/>
      </c>
      <c r="C1901" t="str">
        <f t="shared" si="48"/>
        <v/>
      </c>
      <c r="D1901" s="126"/>
      <c r="E1901" s="126"/>
      <c r="F1901" s="126"/>
      <c r="G1901" s="706"/>
      <c r="J1901" s="490"/>
    </row>
    <row r="1902" spans="1:10" x14ac:dyDescent="0.35">
      <c r="B1902" t="str">
        <f>IF(LEN('Ch10'!H76)=0,"",'Ch10'!H76)</f>
        <v/>
      </c>
      <c r="C1902" t="str">
        <f t="shared" si="48"/>
        <v/>
      </c>
      <c r="D1902" s="126"/>
      <c r="E1902" s="126"/>
      <c r="F1902" s="126"/>
      <c r="G1902" s="706"/>
      <c r="J1902" s="490"/>
    </row>
    <row r="1903" spans="1:10" ht="15" thickBot="1" x14ac:dyDescent="0.4">
      <c r="B1903" t="str">
        <f>IF(LEN('Ch10'!H77)=0,"",'Ch10'!H77)</f>
        <v/>
      </c>
      <c r="C1903" t="str">
        <f t="shared" si="48"/>
        <v/>
      </c>
      <c r="D1903" s="448"/>
      <c r="E1903" s="448"/>
      <c r="F1903" s="448"/>
      <c r="G1903" s="710"/>
      <c r="J1903" s="490"/>
    </row>
    <row r="1904" spans="1:10" ht="15" thickTop="1" x14ac:dyDescent="0.35">
      <c r="A1904" s="403" t="str">
        <f>IF('Ch10'!O78&gt;0,"P","")</f>
        <v/>
      </c>
      <c r="B1904" t="str">
        <f>IF(LEN('Ch10'!H78)=0,"",'Ch10'!H78)</f>
        <v/>
      </c>
      <c r="C1904" t="str">
        <f t="shared" si="48"/>
        <v/>
      </c>
      <c r="D1904" s="33">
        <v>1002.1</v>
      </c>
      <c r="E1904" s="126"/>
      <c r="F1904" s="126"/>
      <c r="G1904" s="706" t="s">
        <v>3590</v>
      </c>
      <c r="I1904" s="49">
        <f>'Ch10'!O78</f>
        <v>0</v>
      </c>
      <c r="J1904" s="804" t="s">
        <v>4766</v>
      </c>
    </row>
    <row r="1905" spans="1:10" ht="24" customHeight="1" x14ac:dyDescent="0.35">
      <c r="A1905" s="403" t="str">
        <f t="shared" ref="A1905:A1914" si="49">A1904</f>
        <v/>
      </c>
      <c r="B1905" t="str">
        <f>IF(LEN('Ch10'!H79)=0,"",'Ch10'!H79)</f>
        <v/>
      </c>
      <c r="C1905" t="str">
        <f t="shared" si="48"/>
        <v/>
      </c>
      <c r="D1905" s="126"/>
      <c r="E1905" s="126"/>
      <c r="F1905" s="126"/>
      <c r="G1905" s="706"/>
      <c r="J1905" s="806"/>
    </row>
    <row r="1906" spans="1:10" x14ac:dyDescent="0.35">
      <c r="A1906" s="403" t="str">
        <f t="shared" si="49"/>
        <v/>
      </c>
      <c r="B1906" t="str">
        <f>IF(LEN('Ch10'!H80)=0,"",'Ch10'!H80)</f>
        <v/>
      </c>
      <c r="C1906" t="str">
        <f t="shared" si="48"/>
        <v/>
      </c>
      <c r="D1906" s="126"/>
      <c r="E1906" s="126"/>
      <c r="F1906" s="126"/>
      <c r="G1906" s="170" t="s">
        <v>3588</v>
      </c>
      <c r="J1906" s="495"/>
    </row>
    <row r="1907" spans="1:10" ht="15" customHeight="1" x14ac:dyDescent="0.35">
      <c r="A1907" s="403" t="str">
        <f t="shared" si="49"/>
        <v/>
      </c>
      <c r="B1907" t="str">
        <f>IF(LEN('Ch10'!H81)=0,"",'Ch10'!H81)</f>
        <v/>
      </c>
      <c r="C1907" t="str">
        <f t="shared" si="48"/>
        <v/>
      </c>
      <c r="D1907" s="126"/>
      <c r="E1907" s="441" t="s">
        <v>270</v>
      </c>
      <c r="F1907" s="126"/>
      <c r="G1907" s="707" t="s">
        <v>3543</v>
      </c>
      <c r="H1907" s="49">
        <f>'Ch10'!W81</f>
        <v>0</v>
      </c>
      <c r="J1907" s="495"/>
    </row>
    <row r="1908" spans="1:10" x14ac:dyDescent="0.35">
      <c r="A1908" s="403" t="str">
        <f t="shared" si="49"/>
        <v/>
      </c>
      <c r="B1908" t="str">
        <f>IF(LEN('Ch10'!H82)=0,"",'Ch10'!H82)</f>
        <v/>
      </c>
      <c r="C1908" t="str">
        <f t="shared" si="48"/>
        <v/>
      </c>
      <c r="D1908" s="126"/>
      <c r="E1908" s="441"/>
      <c r="F1908" s="126"/>
      <c r="G1908" s="707"/>
      <c r="J1908" s="495"/>
    </row>
    <row r="1909" spans="1:10" x14ac:dyDescent="0.35">
      <c r="A1909" s="403" t="str">
        <f t="shared" si="49"/>
        <v/>
      </c>
      <c r="B1909" t="str">
        <f>IF(LEN('Ch10'!H83)=0,"",'Ch10'!H83)</f>
        <v/>
      </c>
      <c r="C1909" t="str">
        <f t="shared" si="48"/>
        <v/>
      </c>
      <c r="D1909" s="126"/>
      <c r="E1909" s="441"/>
      <c r="F1909" s="126"/>
      <c r="G1909" s="707"/>
      <c r="J1909" s="495"/>
    </row>
    <row r="1910" spans="1:10" x14ac:dyDescent="0.35">
      <c r="A1910" s="403" t="str">
        <f t="shared" si="49"/>
        <v/>
      </c>
      <c r="B1910" t="str">
        <f>IF(LEN('Ch10'!H84)=0,"",'Ch10'!H84)</f>
        <v/>
      </c>
      <c r="C1910" t="str">
        <f t="shared" si="48"/>
        <v/>
      </c>
      <c r="D1910" s="126"/>
      <c r="E1910" s="470" t="s">
        <v>272</v>
      </c>
      <c r="F1910" s="471"/>
      <c r="G1910" s="742" t="s">
        <v>3544</v>
      </c>
      <c r="H1910" s="49">
        <f>'Ch10'!W84</f>
        <v>0</v>
      </c>
      <c r="J1910" s="495"/>
    </row>
    <row r="1911" spans="1:10" x14ac:dyDescent="0.35">
      <c r="A1911" s="403" t="str">
        <f t="shared" si="49"/>
        <v/>
      </c>
      <c r="B1911" t="str">
        <f>IF(LEN('Ch10'!H85)=0,"",'Ch10'!H85)</f>
        <v/>
      </c>
      <c r="C1911" t="str">
        <f t="shared" si="48"/>
        <v/>
      </c>
      <c r="D1911" s="126"/>
      <c r="E1911" s="441"/>
      <c r="F1911" s="126"/>
      <c r="G1911" s="707"/>
      <c r="J1911" s="495"/>
    </row>
    <row r="1912" spans="1:10" x14ac:dyDescent="0.35">
      <c r="A1912" s="403" t="str">
        <f t="shared" si="49"/>
        <v/>
      </c>
      <c r="B1912" t="str">
        <f>IF(LEN('Ch10'!H86)=0,"",'Ch10'!H86)</f>
        <v/>
      </c>
      <c r="C1912" t="str">
        <f t="shared" si="48"/>
        <v/>
      </c>
      <c r="D1912" s="126"/>
      <c r="E1912" s="459"/>
      <c r="F1912" s="149"/>
      <c r="G1912" s="709"/>
      <c r="J1912" s="495"/>
    </row>
    <row r="1913" spans="1:10" x14ac:dyDescent="0.35">
      <c r="A1913" s="403" t="str">
        <f t="shared" si="49"/>
        <v/>
      </c>
      <c r="B1913" t="str">
        <f>IF(LEN('Ch10'!H87)=0,"",'Ch10'!H87)</f>
        <v/>
      </c>
      <c r="C1913" t="str">
        <f t="shared" si="48"/>
        <v/>
      </c>
      <c r="D1913" s="126"/>
      <c r="E1913" s="441" t="s">
        <v>274</v>
      </c>
      <c r="F1913" s="126"/>
      <c r="G1913" s="707" t="s">
        <v>3545</v>
      </c>
      <c r="H1913" s="49">
        <f>'Ch10'!W87</f>
        <v>0</v>
      </c>
      <c r="J1913" s="495"/>
    </row>
    <row r="1914" spans="1:10" x14ac:dyDescent="0.35">
      <c r="A1914" s="403" t="str">
        <f t="shared" si="49"/>
        <v/>
      </c>
      <c r="B1914" t="str">
        <f>IF(LEN('Ch10'!H88)=0,"",'Ch10'!H88)</f>
        <v/>
      </c>
      <c r="C1914" t="str">
        <f t="shared" si="48"/>
        <v/>
      </c>
      <c r="D1914" s="126"/>
      <c r="E1914" s="441"/>
      <c r="F1914" s="126"/>
      <c r="G1914" s="707"/>
      <c r="J1914" s="495"/>
    </row>
    <row r="1915" spans="1:10" x14ac:dyDescent="0.35">
      <c r="B1915" t="str">
        <f>IF(LEN('Ch10'!H89)=0,"",'Ch10'!H89)</f>
        <v/>
      </c>
      <c r="C1915" t="str">
        <f t="shared" si="48"/>
        <v/>
      </c>
      <c r="D1915" s="126"/>
      <c r="E1915" s="467" t="s">
        <v>283</v>
      </c>
      <c r="F1915" s="152"/>
      <c r="G1915" s="188" t="s">
        <v>3546</v>
      </c>
      <c r="H1915" s="49">
        <f>'Ch10'!W89</f>
        <v>0</v>
      </c>
      <c r="J1915" s="490"/>
    </row>
    <row r="1916" spans="1:10" x14ac:dyDescent="0.35">
      <c r="B1916" t="str">
        <f>IF(LEN('Ch10'!H90)=0,"",'Ch10'!H90)</f>
        <v/>
      </c>
      <c r="C1916" t="str">
        <f t="shared" si="48"/>
        <v/>
      </c>
      <c r="D1916" s="126"/>
      <c r="E1916" s="441" t="s">
        <v>289</v>
      </c>
      <c r="F1916" s="126"/>
      <c r="G1916" s="707" t="s">
        <v>3547</v>
      </c>
      <c r="H1916" s="49">
        <f>'Ch10'!W90</f>
        <v>0</v>
      </c>
      <c r="J1916" s="490"/>
    </row>
    <row r="1917" spans="1:10" x14ac:dyDescent="0.35">
      <c r="B1917" t="str">
        <f>IF(LEN('Ch10'!H91)=0,"",'Ch10'!H91)</f>
        <v/>
      </c>
      <c r="C1917" t="str">
        <f t="shared" si="48"/>
        <v/>
      </c>
      <c r="D1917" s="126"/>
      <c r="E1917" s="441"/>
      <c r="F1917" s="126"/>
      <c r="G1917" s="707"/>
      <c r="J1917" s="490"/>
    </row>
    <row r="1918" spans="1:10" ht="15" customHeight="1" x14ac:dyDescent="0.35">
      <c r="B1918" t="str">
        <f>IF(LEN('Ch10'!H92)=0,"",'Ch10'!H92)</f>
        <v/>
      </c>
      <c r="C1918" t="str">
        <f t="shared" si="48"/>
        <v/>
      </c>
      <c r="D1918" s="126"/>
      <c r="E1918" s="467" t="s">
        <v>291</v>
      </c>
      <c r="F1918" s="152"/>
      <c r="G1918" s="188" t="s">
        <v>3504</v>
      </c>
      <c r="H1918" s="49">
        <f>'Ch10'!W92</f>
        <v>0</v>
      </c>
      <c r="J1918" s="490"/>
    </row>
    <row r="1919" spans="1:10" x14ac:dyDescent="0.35">
      <c r="B1919" t="str">
        <f>IF(LEN('Ch10'!H93)=0,"",'Ch10'!H93)</f>
        <v/>
      </c>
      <c r="C1919" t="str">
        <f t="shared" si="48"/>
        <v/>
      </c>
      <c r="D1919" s="126"/>
      <c r="E1919" s="467" t="s">
        <v>403</v>
      </c>
      <c r="F1919" s="152"/>
      <c r="G1919" s="188" t="s">
        <v>3548</v>
      </c>
      <c r="H1919" s="49">
        <f>'Ch10'!W93</f>
        <v>0</v>
      </c>
      <c r="J1919" s="490"/>
    </row>
    <row r="1920" spans="1:10" x14ac:dyDescent="0.35">
      <c r="B1920" t="str">
        <f>IF(LEN('Ch10'!H94)=0,"",'Ch10'!H94)</f>
        <v/>
      </c>
      <c r="C1920" t="str">
        <f t="shared" si="48"/>
        <v/>
      </c>
      <c r="D1920" s="126"/>
      <c r="E1920" s="441" t="s">
        <v>453</v>
      </c>
      <c r="F1920" s="126"/>
      <c r="G1920" s="707" t="s">
        <v>3549</v>
      </c>
      <c r="H1920" s="49">
        <f>'Ch10'!W94</f>
        <v>0</v>
      </c>
      <c r="J1920" s="490"/>
    </row>
    <row r="1921" spans="1:10" ht="15" thickBot="1" x14ac:dyDescent="0.4">
      <c r="B1921" t="str">
        <f>IF(LEN('Ch10'!H95)=0,"",'Ch10'!H95)</f>
        <v/>
      </c>
      <c r="C1921" t="str">
        <f t="shared" si="48"/>
        <v/>
      </c>
      <c r="D1921" s="448"/>
      <c r="E1921" s="448"/>
      <c r="F1921" s="448"/>
      <c r="G1921" s="708"/>
      <c r="J1921" s="490"/>
    </row>
    <row r="1922" spans="1:10" ht="15.75" customHeight="1" thickTop="1" x14ac:dyDescent="0.35">
      <c r="A1922" s="403" t="str">
        <f>IF('Ch10'!O96&gt;0,"P","")</f>
        <v/>
      </c>
      <c r="B1922" t="str">
        <f>IF(LEN('Ch10'!H96)=0,"",'Ch10'!H96)</f>
        <v/>
      </c>
      <c r="C1922" t="str">
        <f t="shared" si="48"/>
        <v/>
      </c>
      <c r="D1922" s="63">
        <v>1002.2</v>
      </c>
      <c r="E1922" s="466"/>
      <c r="F1922" s="466"/>
      <c r="G1922" s="711" t="s">
        <v>3591</v>
      </c>
      <c r="I1922" s="49">
        <f>'Ch10'!O96</f>
        <v>0</v>
      </c>
      <c r="J1922" s="804" t="s">
        <v>4767</v>
      </c>
    </row>
    <row r="1923" spans="1:10" x14ac:dyDescent="0.35">
      <c r="A1923" s="403" t="str">
        <f t="shared" ref="A1923:A1924" si="50">A1922</f>
        <v/>
      </c>
      <c r="B1923" t="str">
        <f>IF(LEN('Ch10'!H97)=0,"",'Ch10'!H97)</f>
        <v/>
      </c>
      <c r="C1923" t="str">
        <f t="shared" si="48"/>
        <v/>
      </c>
      <c r="D1923" s="126"/>
      <c r="E1923" s="126"/>
      <c r="F1923" s="126"/>
      <c r="G1923" s="706"/>
      <c r="J1923" s="805"/>
    </row>
    <row r="1924" spans="1:10" x14ac:dyDescent="0.35">
      <c r="A1924" s="403" t="str">
        <f t="shared" si="50"/>
        <v/>
      </c>
      <c r="B1924" t="str">
        <f>IF(LEN('Ch10'!H98)=0,"",'Ch10'!H98)</f>
        <v/>
      </c>
      <c r="C1924" t="str">
        <f t="shared" si="48"/>
        <v/>
      </c>
      <c r="D1924" s="126"/>
      <c r="E1924" s="126"/>
      <c r="F1924" s="126"/>
      <c r="G1924" s="706"/>
      <c r="J1924" s="806"/>
    </row>
    <row r="1925" spans="1:10" x14ac:dyDescent="0.35">
      <c r="B1925" t="str">
        <f>IF(LEN('Ch10'!H99)=0,"",'Ch10'!H99)</f>
        <v/>
      </c>
      <c r="C1925" t="str">
        <f t="shared" si="48"/>
        <v/>
      </c>
      <c r="D1925" s="126"/>
      <c r="E1925" s="126"/>
      <c r="F1925" s="126"/>
      <c r="G1925" s="171" t="s">
        <v>3588</v>
      </c>
      <c r="J1925" s="495"/>
    </row>
    <row r="1926" spans="1:10" ht="15" customHeight="1" x14ac:dyDescent="0.35">
      <c r="A1926" s="403" t="str">
        <f>A1924</f>
        <v/>
      </c>
      <c r="B1926" t="str">
        <f>IF(LEN('Ch10'!H100)=0,"",'Ch10'!H100)</f>
        <v/>
      </c>
      <c r="C1926" t="str">
        <f t="shared" si="48"/>
        <v/>
      </c>
      <c r="D1926" s="126"/>
      <c r="E1926" s="441" t="s">
        <v>270</v>
      </c>
      <c r="F1926" s="126"/>
      <c r="G1926" s="707" t="s">
        <v>3550</v>
      </c>
      <c r="H1926" s="49">
        <f>'Ch10'!W100</f>
        <v>0</v>
      </c>
      <c r="J1926" s="495"/>
    </row>
    <row r="1927" spans="1:10" x14ac:dyDescent="0.35">
      <c r="A1927" s="403" t="str">
        <f t="shared" ref="A1927:A1930" si="51">A1926</f>
        <v/>
      </c>
      <c r="B1927" t="str">
        <f>IF(LEN('Ch10'!H101)=0,"",'Ch10'!H101)</f>
        <v/>
      </c>
      <c r="C1927" t="str">
        <f t="shared" si="48"/>
        <v/>
      </c>
      <c r="D1927" s="126"/>
      <c r="E1927" s="459"/>
      <c r="F1927" s="149"/>
      <c r="G1927" s="709"/>
      <c r="J1927" s="495"/>
    </row>
    <row r="1928" spans="1:10" x14ac:dyDescent="0.35">
      <c r="A1928" s="403" t="str">
        <f t="shared" si="51"/>
        <v/>
      </c>
      <c r="B1928" t="str">
        <f>IF(LEN('Ch10'!H102)=0,"",'Ch10'!H102)</f>
        <v/>
      </c>
      <c r="C1928" t="str">
        <f t="shared" si="48"/>
        <v/>
      </c>
      <c r="D1928" s="126"/>
      <c r="E1928" s="470" t="s">
        <v>272</v>
      </c>
      <c r="F1928" s="471"/>
      <c r="G1928" s="742" t="s">
        <v>3551</v>
      </c>
      <c r="H1928" s="49">
        <f>'Ch10'!W102</f>
        <v>0</v>
      </c>
      <c r="J1928" s="495"/>
    </row>
    <row r="1929" spans="1:10" x14ac:dyDescent="0.35">
      <c r="A1929" s="403" t="str">
        <f t="shared" si="51"/>
        <v/>
      </c>
      <c r="B1929" t="str">
        <f>IF(LEN('Ch10'!H103)=0,"",'Ch10'!H103)</f>
        <v/>
      </c>
      <c r="C1929" t="str">
        <f t="shared" si="48"/>
        <v/>
      </c>
      <c r="D1929" s="126"/>
      <c r="E1929" s="441"/>
      <c r="F1929" s="126"/>
      <c r="G1929" s="707"/>
      <c r="J1929" s="495"/>
    </row>
    <row r="1930" spans="1:10" x14ac:dyDescent="0.35">
      <c r="A1930" s="403" t="str">
        <f t="shared" si="51"/>
        <v/>
      </c>
      <c r="B1930" t="str">
        <f>IF(LEN('Ch10'!H104)=0,"",'Ch10'!H104)</f>
        <v/>
      </c>
      <c r="C1930" t="str">
        <f t="shared" si="48"/>
        <v/>
      </c>
      <c r="D1930" s="126"/>
      <c r="E1930" s="459"/>
      <c r="F1930" s="149"/>
      <c r="G1930" s="709"/>
      <c r="J1930" s="495"/>
    </row>
    <row r="1931" spans="1:10" x14ac:dyDescent="0.35">
      <c r="B1931" t="str">
        <f>IF(LEN('Ch10'!H105)=0,"",'Ch10'!H105)</f>
        <v/>
      </c>
      <c r="C1931" t="str">
        <f t="shared" si="48"/>
        <v/>
      </c>
      <c r="D1931" s="126"/>
      <c r="E1931" s="470" t="s">
        <v>274</v>
      </c>
      <c r="F1931" s="471"/>
      <c r="G1931" s="742" t="s">
        <v>3520</v>
      </c>
      <c r="H1931" s="49">
        <f>'Ch10'!W105</f>
        <v>0</v>
      </c>
      <c r="J1931" s="495"/>
    </row>
    <row r="1932" spans="1:10" x14ac:dyDescent="0.35">
      <c r="B1932" t="str">
        <f>IF(LEN('Ch10'!H106)=0,"",'Ch10'!H106)</f>
        <v/>
      </c>
      <c r="C1932" t="str">
        <f t="shared" si="48"/>
        <v/>
      </c>
      <c r="D1932" s="126"/>
      <c r="E1932" s="149"/>
      <c r="F1932" s="149"/>
      <c r="G1932" s="709"/>
      <c r="J1932" s="495"/>
    </row>
    <row r="1933" spans="1:10" x14ac:dyDescent="0.35">
      <c r="B1933" t="str">
        <f>IF(LEN('Ch10'!H107)=0,"",'Ch10'!H107)</f>
        <v/>
      </c>
      <c r="C1933" t="str">
        <f t="shared" si="48"/>
        <v/>
      </c>
      <c r="D1933" s="126"/>
      <c r="E1933" s="441" t="s">
        <v>283</v>
      </c>
      <c r="F1933" s="126"/>
      <c r="G1933" s="707" t="s">
        <v>3552</v>
      </c>
      <c r="H1933" s="49">
        <f>'Ch10'!W107</f>
        <v>0</v>
      </c>
      <c r="J1933" s="495"/>
    </row>
    <row r="1934" spans="1:10" x14ac:dyDescent="0.35">
      <c r="B1934" t="str">
        <f>IF(LEN('Ch10'!H108)=0,"",'Ch10'!H108)</f>
        <v/>
      </c>
      <c r="C1934" t="str">
        <f t="shared" si="48"/>
        <v/>
      </c>
      <c r="D1934" s="126"/>
      <c r="E1934" s="126"/>
      <c r="F1934" s="126"/>
      <c r="G1934" s="707"/>
      <c r="J1934" s="495"/>
    </row>
    <row r="1935" spans="1:10" x14ac:dyDescent="0.35">
      <c r="B1935" t="str">
        <f>IF(LEN('Ch10'!H109)=0,"",'Ch10'!H109)</f>
        <v/>
      </c>
      <c r="C1935" t="str">
        <f t="shared" si="48"/>
        <v/>
      </c>
      <c r="D1935" s="126"/>
      <c r="E1935" s="126"/>
      <c r="F1935" s="126"/>
      <c r="G1935" s="707"/>
      <c r="J1935" s="495"/>
    </row>
    <row r="1936" spans="1:10" x14ac:dyDescent="0.35">
      <c r="B1936" t="str">
        <f>IF(LEN('Ch10'!H110)=0,"",'Ch10'!H110)</f>
        <v/>
      </c>
      <c r="C1936" t="str">
        <f t="shared" si="48"/>
        <v/>
      </c>
      <c r="D1936" s="126"/>
      <c r="E1936" s="470" t="s">
        <v>289</v>
      </c>
      <c r="F1936" s="471"/>
      <c r="G1936" s="742" t="s">
        <v>3553</v>
      </c>
      <c r="H1936" s="49">
        <f>'Ch10'!W110</f>
        <v>0</v>
      </c>
      <c r="J1936" s="495"/>
    </row>
    <row r="1937" spans="1:10" x14ac:dyDescent="0.35">
      <c r="B1937" t="str">
        <f>IF(LEN('Ch10'!H111)=0,"",'Ch10'!H111)</f>
        <v/>
      </c>
      <c r="C1937" t="str">
        <f t="shared" ref="C1937:C2000" si="52">IF(LEN(B1937)=0,IF(A1937="P","P",""),B1937)</f>
        <v/>
      </c>
      <c r="D1937" s="126"/>
      <c r="E1937" s="459"/>
      <c r="F1937" s="149"/>
      <c r="G1937" s="709"/>
      <c r="J1937" s="495"/>
    </row>
    <row r="1938" spans="1:10" x14ac:dyDescent="0.35">
      <c r="B1938" t="str">
        <f>IF(LEN('Ch10'!H112)=0,"",'Ch10'!H112)</f>
        <v/>
      </c>
      <c r="C1938" t="str">
        <f t="shared" si="52"/>
        <v/>
      </c>
      <c r="D1938" s="126"/>
      <c r="E1938" s="441" t="s">
        <v>291</v>
      </c>
      <c r="F1938" s="126"/>
      <c r="G1938" s="169" t="s">
        <v>3503</v>
      </c>
      <c r="H1938" s="49">
        <f>'Ch10'!W112</f>
        <v>0</v>
      </c>
      <c r="J1938" s="495"/>
    </row>
    <row r="1939" spans="1:10" x14ac:dyDescent="0.35">
      <c r="B1939" t="str">
        <f>IF(LEN('Ch10'!H113)=0,"",'Ch10'!H113)</f>
        <v/>
      </c>
      <c r="C1939" t="str">
        <f t="shared" si="52"/>
        <v/>
      </c>
      <c r="D1939" s="126"/>
      <c r="E1939" s="470" t="s">
        <v>403</v>
      </c>
      <c r="F1939" s="471"/>
      <c r="G1939" s="742" t="s">
        <v>3554</v>
      </c>
      <c r="H1939" s="49">
        <f>'Ch10'!W113</f>
        <v>0</v>
      </c>
      <c r="J1939" s="495"/>
    </row>
    <row r="1940" spans="1:10" x14ac:dyDescent="0.35">
      <c r="B1940" t="str">
        <f>IF(LEN('Ch10'!H114)=0,"",'Ch10'!H114)</f>
        <v/>
      </c>
      <c r="C1940" t="str">
        <f t="shared" si="52"/>
        <v/>
      </c>
      <c r="D1940" s="126"/>
      <c r="E1940" s="149"/>
      <c r="F1940" s="149"/>
      <c r="G1940" s="709"/>
      <c r="J1940" s="495"/>
    </row>
    <row r="1941" spans="1:10" x14ac:dyDescent="0.35">
      <c r="B1941" t="str">
        <f>IF(LEN('Ch10'!H115)=0,"",'Ch10'!H115)</f>
        <v/>
      </c>
      <c r="C1941" t="str">
        <f t="shared" si="52"/>
        <v/>
      </c>
      <c r="D1941" s="126"/>
      <c r="E1941" s="441" t="s">
        <v>453</v>
      </c>
      <c r="F1941" s="126"/>
      <c r="G1941" s="811" t="s">
        <v>3518</v>
      </c>
      <c r="H1941" s="49">
        <f>'Ch10'!W115</f>
        <v>0</v>
      </c>
      <c r="J1941" s="495"/>
    </row>
    <row r="1942" spans="1:10" x14ac:dyDescent="0.35">
      <c r="B1942" t="str">
        <f>IF(LEN('Ch10'!H116)=0,"",'Ch10'!H116)</f>
        <v/>
      </c>
      <c r="C1942" t="str">
        <f t="shared" si="52"/>
        <v/>
      </c>
      <c r="D1942" s="126"/>
      <c r="E1942" s="441"/>
      <c r="F1942" s="126"/>
      <c r="G1942" s="811"/>
      <c r="J1942" s="495"/>
    </row>
    <row r="1943" spans="1:10" x14ac:dyDescent="0.35">
      <c r="B1943" t="str">
        <f>IF(LEN('Ch10'!H117)=0,"",'Ch10'!H117)</f>
        <v/>
      </c>
      <c r="C1943" t="str">
        <f t="shared" si="52"/>
        <v/>
      </c>
      <c r="D1943" s="126"/>
      <c r="E1943" s="470" t="s">
        <v>455</v>
      </c>
      <c r="F1943" s="471"/>
      <c r="G1943" s="190" t="s">
        <v>3555</v>
      </c>
      <c r="H1943" s="49">
        <f>'Ch10'!W117</f>
        <v>0</v>
      </c>
      <c r="J1943" s="495"/>
    </row>
    <row r="1944" spans="1:10" x14ac:dyDescent="0.35">
      <c r="B1944" t="str">
        <f>IF(LEN('Ch10'!H118)=0,"",'Ch10'!H118)</f>
        <v/>
      </c>
      <c r="C1944" t="str">
        <f t="shared" si="52"/>
        <v/>
      </c>
      <c r="D1944" s="126"/>
      <c r="E1944" s="470" t="s">
        <v>457</v>
      </c>
      <c r="F1944" s="471"/>
      <c r="G1944" s="742" t="s">
        <v>3556</v>
      </c>
      <c r="H1944" s="49">
        <f>'Ch10'!W118</f>
        <v>0</v>
      </c>
      <c r="J1944" s="495"/>
    </row>
    <row r="1945" spans="1:10" x14ac:dyDescent="0.35">
      <c r="B1945" t="str">
        <f>IF(LEN('Ch10'!H119)=0,"",'Ch10'!H119)</f>
        <v/>
      </c>
      <c r="C1945" t="str">
        <f t="shared" si="52"/>
        <v/>
      </c>
      <c r="D1945" s="126"/>
      <c r="E1945" s="441"/>
      <c r="F1945" s="126"/>
      <c r="G1945" s="707"/>
      <c r="J1945" s="495"/>
    </row>
    <row r="1946" spans="1:10" x14ac:dyDescent="0.35">
      <c r="B1946" t="str">
        <f>IF(LEN('Ch10'!H120)=0,"",'Ch10'!H120)</f>
        <v/>
      </c>
      <c r="C1946" t="str">
        <f t="shared" si="52"/>
        <v/>
      </c>
      <c r="D1946" s="126"/>
      <c r="E1946" s="459"/>
      <c r="F1946" s="149"/>
      <c r="G1946" s="709"/>
      <c r="J1946" s="495"/>
    </row>
    <row r="1947" spans="1:10" x14ac:dyDescent="0.35">
      <c r="B1947" t="str">
        <f>IF(LEN('Ch10'!H121)=0,"",'Ch10'!H121)</f>
        <v/>
      </c>
      <c r="C1947" t="str">
        <f t="shared" si="52"/>
        <v/>
      </c>
      <c r="D1947" s="126"/>
      <c r="E1947" s="441" t="s">
        <v>459</v>
      </c>
      <c r="F1947" s="126"/>
      <c r="G1947" s="811" t="s">
        <v>3557</v>
      </c>
      <c r="H1947" s="49">
        <f>'Ch10'!W121</f>
        <v>0</v>
      </c>
      <c r="J1947" s="495"/>
    </row>
    <row r="1948" spans="1:10" ht="15" thickBot="1" x14ac:dyDescent="0.4">
      <c r="B1948" t="str">
        <f>IF(LEN('Ch10'!H122)=0,"",'Ch10'!H122)</f>
        <v/>
      </c>
      <c r="C1948" t="str">
        <f t="shared" si="52"/>
        <v/>
      </c>
      <c r="D1948" s="448"/>
      <c r="E1948" s="446"/>
      <c r="F1948" s="448"/>
      <c r="G1948" s="812"/>
      <c r="J1948" s="495"/>
    </row>
    <row r="1949" spans="1:10" ht="15.75" customHeight="1" thickTop="1" x14ac:dyDescent="0.35">
      <c r="A1949" s="403" t="str">
        <f>IF('Ch10'!O123&gt;0,"P","")</f>
        <v/>
      </c>
      <c r="B1949" t="str">
        <f>IF(LEN('Ch10'!H123)=0,"",'Ch10'!H123)</f>
        <v/>
      </c>
      <c r="C1949" t="str">
        <f t="shared" si="52"/>
        <v/>
      </c>
      <c r="D1949" s="63">
        <v>1002.3</v>
      </c>
      <c r="E1949" s="466"/>
      <c r="F1949" s="466"/>
      <c r="G1949" s="711" t="s">
        <v>3592</v>
      </c>
      <c r="I1949" s="49">
        <f>'Ch10'!O123</f>
        <v>0</v>
      </c>
      <c r="J1949" s="804" t="s">
        <v>4768</v>
      </c>
    </row>
    <row r="1950" spans="1:10" x14ac:dyDescent="0.35">
      <c r="A1950" s="403" t="str">
        <f t="shared" ref="A1950:A1951" si="53">A1949</f>
        <v/>
      </c>
      <c r="B1950" t="str">
        <f>IF(LEN('Ch10'!H124)=0,"",'Ch10'!H124)</f>
        <v/>
      </c>
      <c r="C1950" t="str">
        <f t="shared" si="52"/>
        <v/>
      </c>
      <c r="D1950" s="126"/>
      <c r="E1950" s="126"/>
      <c r="F1950" s="126"/>
      <c r="G1950" s="706"/>
      <c r="J1950" s="805"/>
    </row>
    <row r="1951" spans="1:10" x14ac:dyDescent="0.35">
      <c r="A1951" s="403" t="str">
        <f t="shared" si="53"/>
        <v/>
      </c>
      <c r="B1951" t="str">
        <f>IF(LEN('Ch10'!H125)=0,"",'Ch10'!H125)</f>
        <v/>
      </c>
      <c r="C1951" t="str">
        <f t="shared" si="52"/>
        <v/>
      </c>
      <c r="D1951" s="126"/>
      <c r="E1951" s="126"/>
      <c r="F1951" s="126"/>
      <c r="G1951" s="706"/>
      <c r="J1951" s="806"/>
    </row>
    <row r="1952" spans="1:10" x14ac:dyDescent="0.35">
      <c r="B1952" t="str">
        <f>IF(LEN('Ch10'!H126)=0,"",'Ch10'!H126)</f>
        <v/>
      </c>
      <c r="C1952" t="str">
        <f t="shared" si="52"/>
        <v/>
      </c>
      <c r="D1952" s="126"/>
      <c r="E1952" s="126"/>
      <c r="F1952" s="126"/>
      <c r="G1952" s="171" t="s">
        <v>3588</v>
      </c>
      <c r="J1952" s="495"/>
    </row>
    <row r="1953" spans="1:10" ht="15" customHeight="1" x14ac:dyDescent="0.35">
      <c r="A1953" s="403" t="str">
        <f>A1951</f>
        <v/>
      </c>
      <c r="B1953" t="str">
        <f>IF(LEN('Ch10'!H127)=0,"",'Ch10'!H127)</f>
        <v/>
      </c>
      <c r="C1953" t="str">
        <f t="shared" si="52"/>
        <v/>
      </c>
      <c r="D1953" s="126"/>
      <c r="E1953" s="441" t="s">
        <v>270</v>
      </c>
      <c r="F1953" s="126"/>
      <c r="G1953" s="707" t="s">
        <v>3558</v>
      </c>
      <c r="H1953" s="49">
        <f>'Ch10'!W127</f>
        <v>0</v>
      </c>
      <c r="J1953" s="495"/>
    </row>
    <row r="1954" spans="1:10" x14ac:dyDescent="0.35">
      <c r="A1954" s="403" t="str">
        <f t="shared" ref="A1954" si="54">A1953</f>
        <v/>
      </c>
      <c r="B1954" t="str">
        <f>IF(LEN('Ch10'!H128)=0,"",'Ch10'!H128)</f>
        <v/>
      </c>
      <c r="C1954" t="str">
        <f t="shared" si="52"/>
        <v/>
      </c>
      <c r="D1954" s="126"/>
      <c r="E1954" s="459"/>
      <c r="F1954" s="149"/>
      <c r="G1954" s="709"/>
      <c r="J1954" s="495"/>
    </row>
    <row r="1955" spans="1:10" x14ac:dyDescent="0.35">
      <c r="B1955" t="str">
        <f>IF(LEN('Ch10'!H129)=0,"",'Ch10'!H129)</f>
        <v/>
      </c>
      <c r="C1955" t="str">
        <f t="shared" si="52"/>
        <v/>
      </c>
      <c r="D1955" s="126"/>
      <c r="E1955" s="470" t="s">
        <v>272</v>
      </c>
      <c r="F1955" s="471"/>
      <c r="G1955" s="742" t="s">
        <v>3510</v>
      </c>
      <c r="H1955" s="49">
        <f>'Ch10'!W129</f>
        <v>0</v>
      </c>
      <c r="J1955" s="495"/>
    </row>
    <row r="1956" spans="1:10" x14ac:dyDescent="0.35">
      <c r="B1956" t="str">
        <f>IF(LEN('Ch10'!H130)=0,"",'Ch10'!H130)</f>
        <v/>
      </c>
      <c r="C1956" t="str">
        <f t="shared" si="52"/>
        <v/>
      </c>
      <c r="D1956" s="126"/>
      <c r="E1956" s="126"/>
      <c r="F1956" s="126"/>
      <c r="G1956" s="707"/>
      <c r="J1956" s="495"/>
    </row>
    <row r="1957" spans="1:10" x14ac:dyDescent="0.35">
      <c r="B1957" t="str">
        <f>IF(LEN('Ch10'!H131)=0,"",'Ch10'!H131)</f>
        <v/>
      </c>
      <c r="C1957" t="str">
        <f t="shared" si="52"/>
        <v/>
      </c>
      <c r="D1957" s="126"/>
      <c r="E1957" s="126"/>
      <c r="F1957" s="126"/>
      <c r="G1957" s="707"/>
      <c r="J1957" s="495"/>
    </row>
    <row r="1958" spans="1:10" x14ac:dyDescent="0.35">
      <c r="B1958" t="str">
        <f>IF(LEN('Ch10'!H132)=0,"",'Ch10'!H132)</f>
        <v/>
      </c>
      <c r="C1958" t="str">
        <f t="shared" si="52"/>
        <v/>
      </c>
      <c r="D1958" s="126"/>
      <c r="E1958" s="149"/>
      <c r="F1958" s="149"/>
      <c r="G1958" s="709"/>
      <c r="J1958" s="495"/>
    </row>
    <row r="1959" spans="1:10" x14ac:dyDescent="0.35">
      <c r="B1959" t="str">
        <f>IF(LEN('Ch10'!H133)=0,"",'Ch10'!H133)</f>
        <v/>
      </c>
      <c r="C1959" t="str">
        <f t="shared" si="52"/>
        <v/>
      </c>
      <c r="D1959" s="126"/>
      <c r="E1959" s="470" t="s">
        <v>274</v>
      </c>
      <c r="F1959" s="471"/>
      <c r="G1959" s="190" t="s">
        <v>3559</v>
      </c>
      <c r="H1959" s="49">
        <f>'Ch10'!W133</f>
        <v>0</v>
      </c>
      <c r="J1959" s="495"/>
    </row>
    <row r="1960" spans="1:10" x14ac:dyDescent="0.35">
      <c r="B1960" t="str">
        <f>IF(LEN('Ch10'!H134)=0,"",'Ch10'!H134)</f>
        <v/>
      </c>
      <c r="C1960" t="str">
        <f t="shared" si="52"/>
        <v/>
      </c>
      <c r="D1960" s="126"/>
      <c r="E1960" s="126"/>
      <c r="F1960" s="441" t="s">
        <v>121</v>
      </c>
      <c r="G1960" s="169" t="s">
        <v>3560</v>
      </c>
      <c r="J1960" s="495"/>
    </row>
    <row r="1961" spans="1:10" x14ac:dyDescent="0.35">
      <c r="B1961" t="str">
        <f>IF(LEN('Ch10'!H135)=0,"",'Ch10'!H135)</f>
        <v/>
      </c>
      <c r="C1961" t="str">
        <f t="shared" si="52"/>
        <v/>
      </c>
      <c r="D1961" s="126"/>
      <c r="E1961" s="126"/>
      <c r="F1961" s="441" t="s">
        <v>122</v>
      </c>
      <c r="G1961" s="169" t="s">
        <v>3561</v>
      </c>
      <c r="J1961" s="495"/>
    </row>
    <row r="1962" spans="1:10" x14ac:dyDescent="0.35">
      <c r="B1962" t="str">
        <f>IF(LEN('Ch10'!H136)=0,"",'Ch10'!H136)</f>
        <v/>
      </c>
      <c r="C1962" t="str">
        <f t="shared" si="52"/>
        <v/>
      </c>
      <c r="D1962" s="126"/>
      <c r="E1962" s="126"/>
      <c r="F1962" s="441" t="s">
        <v>123</v>
      </c>
      <c r="G1962" s="169" t="s">
        <v>3562</v>
      </c>
      <c r="J1962" s="495"/>
    </row>
    <row r="1963" spans="1:10" x14ac:dyDescent="0.35">
      <c r="B1963" t="str">
        <f>IF(LEN('Ch10'!H137)=0,"",'Ch10'!H137)</f>
        <v/>
      </c>
      <c r="C1963" t="str">
        <f t="shared" si="52"/>
        <v/>
      </c>
      <c r="D1963" s="126"/>
      <c r="E1963" s="126"/>
      <c r="F1963" s="441" t="s">
        <v>420</v>
      </c>
      <c r="G1963" s="169" t="s">
        <v>3563</v>
      </c>
      <c r="J1963" s="495"/>
    </row>
    <row r="1964" spans="1:10" x14ac:dyDescent="0.35">
      <c r="B1964" t="str">
        <f>IF(LEN('Ch10'!H138)=0,"",'Ch10'!H138)</f>
        <v/>
      </c>
      <c r="C1964" t="str">
        <f t="shared" si="52"/>
        <v/>
      </c>
      <c r="D1964" s="126"/>
      <c r="E1964" s="126"/>
      <c r="F1964" s="441" t="s">
        <v>575</v>
      </c>
      <c r="G1964" s="169" t="s">
        <v>3564</v>
      </c>
      <c r="J1964" s="495"/>
    </row>
    <row r="1965" spans="1:10" x14ac:dyDescent="0.35">
      <c r="B1965" t="str">
        <f>IF(LEN('Ch10'!H139)=0,"",'Ch10'!H139)</f>
        <v/>
      </c>
      <c r="C1965" t="str">
        <f t="shared" si="52"/>
        <v/>
      </c>
      <c r="D1965" s="126"/>
      <c r="E1965" s="149"/>
      <c r="F1965" s="459" t="s">
        <v>642</v>
      </c>
      <c r="G1965" s="186" t="s">
        <v>3565</v>
      </c>
      <c r="J1965" s="495"/>
    </row>
    <row r="1966" spans="1:10" x14ac:dyDescent="0.35">
      <c r="B1966" t="str">
        <f>IF(LEN('Ch10'!H140)=0,"",'Ch10'!H140)</f>
        <v/>
      </c>
      <c r="C1966" t="str">
        <f t="shared" si="52"/>
        <v/>
      </c>
      <c r="D1966" s="126"/>
      <c r="E1966" s="441" t="s">
        <v>283</v>
      </c>
      <c r="F1966" s="126"/>
      <c r="G1966" s="707" t="s">
        <v>3514</v>
      </c>
      <c r="H1966" s="49">
        <f>'Ch10'!W140</f>
        <v>0</v>
      </c>
      <c r="J1966" s="495"/>
    </row>
    <row r="1967" spans="1:10" x14ac:dyDescent="0.35">
      <c r="B1967" t="str">
        <f>IF(LEN('Ch10'!H141)=0,"",'Ch10'!H141)</f>
        <v/>
      </c>
      <c r="C1967" t="str">
        <f t="shared" si="52"/>
        <v/>
      </c>
      <c r="D1967" s="126"/>
      <c r="E1967" s="126"/>
      <c r="F1967" s="126"/>
      <c r="G1967" s="707"/>
      <c r="J1967" s="495"/>
    </row>
    <row r="1968" spans="1:10" x14ac:dyDescent="0.35">
      <c r="B1968" t="str">
        <f>IF(LEN('Ch10'!H142)=0,"",'Ch10'!H142)</f>
        <v/>
      </c>
      <c r="C1968" t="str">
        <f t="shared" si="52"/>
        <v/>
      </c>
      <c r="D1968" s="126"/>
      <c r="E1968" s="467" t="s">
        <v>289</v>
      </c>
      <c r="F1968" s="152"/>
      <c r="G1968" s="188" t="s">
        <v>3516</v>
      </c>
      <c r="H1968" s="49">
        <f>'Ch10'!W142</f>
        <v>0</v>
      </c>
      <c r="J1968" s="495"/>
    </row>
    <row r="1969" spans="1:10" x14ac:dyDescent="0.35">
      <c r="B1969" t="str">
        <f>IF(LEN('Ch10'!H143)=0,"",'Ch10'!H143)</f>
        <v/>
      </c>
      <c r="C1969" t="str">
        <f t="shared" si="52"/>
        <v/>
      </c>
      <c r="D1969" s="126"/>
      <c r="E1969" s="441" t="s">
        <v>291</v>
      </c>
      <c r="F1969" s="126"/>
      <c r="G1969" s="707" t="s">
        <v>3566</v>
      </c>
      <c r="H1969" s="49">
        <f>'Ch10'!W143</f>
        <v>0</v>
      </c>
      <c r="J1969" s="495"/>
    </row>
    <row r="1970" spans="1:10" x14ac:dyDescent="0.35">
      <c r="B1970" t="str">
        <f>IF(LEN('Ch10'!H144)=0,"",'Ch10'!H144)</f>
        <v/>
      </c>
      <c r="C1970" t="str">
        <f t="shared" si="52"/>
        <v/>
      </c>
      <c r="D1970" s="126"/>
      <c r="E1970" s="441"/>
      <c r="F1970" s="126"/>
      <c r="G1970" s="707"/>
      <c r="J1970" s="495"/>
    </row>
    <row r="1971" spans="1:10" x14ac:dyDescent="0.35">
      <c r="B1971" t="str">
        <f>IF(LEN('Ch10'!H145)=0,"",'Ch10'!H145)</f>
        <v/>
      </c>
      <c r="C1971" t="str">
        <f t="shared" si="52"/>
        <v/>
      </c>
      <c r="D1971" s="126"/>
      <c r="E1971" s="467" t="s">
        <v>403</v>
      </c>
      <c r="F1971" s="152"/>
      <c r="G1971" s="188" t="s">
        <v>3522</v>
      </c>
      <c r="H1971" s="49">
        <f>'Ch10'!W145</f>
        <v>0</v>
      </c>
      <c r="J1971" s="495"/>
    </row>
    <row r="1972" spans="1:10" x14ac:dyDescent="0.35">
      <c r="B1972" t="str">
        <f>IF(LEN('Ch10'!H146)=0,"",'Ch10'!H146)</f>
        <v/>
      </c>
      <c r="C1972" t="str">
        <f t="shared" si="52"/>
        <v/>
      </c>
      <c r="D1972" s="126"/>
      <c r="E1972" s="441" t="s">
        <v>453</v>
      </c>
      <c r="F1972" s="126"/>
      <c r="G1972" s="169" t="s">
        <v>3567</v>
      </c>
      <c r="H1972" s="49">
        <f>'Ch10'!W146</f>
        <v>0</v>
      </c>
      <c r="J1972" s="495"/>
    </row>
    <row r="1973" spans="1:10" x14ac:dyDescent="0.35">
      <c r="B1973" t="str">
        <f>IF(LEN('Ch10'!H147)=0,"",'Ch10'!H147)</f>
        <v/>
      </c>
      <c r="C1973" t="str">
        <f t="shared" si="52"/>
        <v/>
      </c>
      <c r="D1973" s="126"/>
      <c r="E1973" s="467" t="s">
        <v>455</v>
      </c>
      <c r="F1973" s="152"/>
      <c r="G1973" s="188" t="s">
        <v>3568</v>
      </c>
      <c r="H1973" s="49">
        <f>'Ch10'!W147</f>
        <v>0</v>
      </c>
      <c r="J1973" s="495"/>
    </row>
    <row r="1974" spans="1:10" ht="15" thickBot="1" x14ac:dyDescent="0.4">
      <c r="B1974" t="str">
        <f>IF(LEN('Ch10'!H148)=0,"",'Ch10'!H148)</f>
        <v/>
      </c>
      <c r="C1974" t="str">
        <f t="shared" si="52"/>
        <v/>
      </c>
      <c r="D1974" s="448"/>
      <c r="E1974" s="446" t="s">
        <v>457</v>
      </c>
      <c r="F1974" s="448"/>
      <c r="G1974" s="185" t="s">
        <v>3569</v>
      </c>
      <c r="H1974" s="49">
        <f>'Ch10'!W148</f>
        <v>0</v>
      </c>
      <c r="J1974" s="495"/>
    </row>
    <row r="1975" spans="1:10" ht="15.75" customHeight="1" thickTop="1" x14ac:dyDescent="0.35">
      <c r="A1975" s="403" t="str">
        <f>IF(AND(LEN('Ch10'!W149)&gt;0,NOT('Ch10'!W149=FALSE)),"P","")</f>
        <v/>
      </c>
      <c r="B1975" t="str">
        <f>IF(LEN('Ch10'!H149)=0,"",'Ch10'!H149)</f>
        <v/>
      </c>
      <c r="C1975" t="str">
        <f t="shared" si="52"/>
        <v/>
      </c>
      <c r="D1975" s="63">
        <v>1002.4</v>
      </c>
      <c r="E1975" s="466"/>
      <c r="F1975" s="466"/>
      <c r="G1975" s="711" t="s">
        <v>3570</v>
      </c>
      <c r="H1975" s="49">
        <f>'Ch10'!W149</f>
        <v>0</v>
      </c>
      <c r="J1975" s="814" t="s">
        <v>4276</v>
      </c>
    </row>
    <row r="1976" spans="1:10" x14ac:dyDescent="0.35">
      <c r="A1976" s="403" t="str">
        <f t="shared" ref="A1976:A1979" si="55">A1975</f>
        <v/>
      </c>
      <c r="B1976" t="str">
        <f>IF(LEN('Ch10'!H150)=0,"",'Ch10'!H150)</f>
        <v/>
      </c>
      <c r="C1976" t="str">
        <f t="shared" si="52"/>
        <v/>
      </c>
      <c r="D1976" s="126"/>
      <c r="E1976" s="126"/>
      <c r="F1976" s="126"/>
      <c r="G1976" s="706"/>
      <c r="J1976" s="814"/>
    </row>
    <row r="1977" spans="1:10" x14ac:dyDescent="0.35">
      <c r="A1977" s="403" t="str">
        <f t="shared" si="55"/>
        <v/>
      </c>
      <c r="B1977" t="str">
        <f>IF(LEN('Ch10'!H151)=0,"",'Ch10'!H151)</f>
        <v/>
      </c>
      <c r="C1977" t="str">
        <f t="shared" si="52"/>
        <v/>
      </c>
      <c r="D1977" s="126"/>
      <c r="E1977" s="126"/>
      <c r="F1977" s="126"/>
      <c r="G1977" s="706"/>
      <c r="J1977" s="814"/>
    </row>
    <row r="1978" spans="1:10" x14ac:dyDescent="0.35">
      <c r="A1978" s="403" t="str">
        <f t="shared" si="55"/>
        <v/>
      </c>
      <c r="B1978" t="str">
        <f>IF(LEN('Ch10'!H152)=0,"",'Ch10'!H152)</f>
        <v/>
      </c>
      <c r="C1978" t="str">
        <f t="shared" si="52"/>
        <v/>
      </c>
      <c r="D1978" s="126"/>
      <c r="E1978" s="126"/>
      <c r="F1978" s="126"/>
      <c r="G1978" s="706"/>
      <c r="J1978" s="814"/>
    </row>
    <row r="1979" spans="1:10" x14ac:dyDescent="0.35">
      <c r="A1979" s="403" t="str">
        <f t="shared" si="55"/>
        <v/>
      </c>
      <c r="B1979" t="str">
        <f>IF(LEN('Ch10'!H153)=0,"",'Ch10'!H153)</f>
        <v/>
      </c>
      <c r="C1979" t="str">
        <f t="shared" si="52"/>
        <v/>
      </c>
      <c r="D1979" s="126"/>
      <c r="E1979" s="126"/>
      <c r="F1979" s="126"/>
      <c r="G1979" s="706"/>
      <c r="J1979" s="814"/>
    </row>
    <row r="1980" spans="1:10" x14ac:dyDescent="0.35">
      <c r="B1980" t="str">
        <f>IF(LEN('Ch10'!H154)=0,"",'Ch10'!H154)</f>
        <v/>
      </c>
      <c r="C1980" t="str">
        <f t="shared" si="52"/>
        <v/>
      </c>
      <c r="D1980" s="126"/>
      <c r="E1980" s="441" t="s">
        <v>270</v>
      </c>
      <c r="F1980" s="126"/>
      <c r="G1980" s="169" t="s">
        <v>3560</v>
      </c>
      <c r="J1980" s="495"/>
    </row>
    <row r="1981" spans="1:10" x14ac:dyDescent="0.35">
      <c r="B1981" t="str">
        <f>IF(LEN('Ch10'!H155)=0,"",'Ch10'!H155)</f>
        <v/>
      </c>
      <c r="C1981" t="str">
        <f t="shared" si="52"/>
        <v/>
      </c>
      <c r="D1981" s="126"/>
      <c r="E1981" s="441" t="s">
        <v>272</v>
      </c>
      <c r="F1981" s="126"/>
      <c r="G1981" s="169" t="s">
        <v>3561</v>
      </c>
      <c r="J1981" s="495"/>
    </row>
    <row r="1982" spans="1:10" x14ac:dyDescent="0.35">
      <c r="B1982" t="str">
        <f>IF(LEN('Ch10'!H156)=0,"",'Ch10'!H156)</f>
        <v/>
      </c>
      <c r="C1982" t="str">
        <f t="shared" si="52"/>
        <v/>
      </c>
      <c r="D1982" s="126"/>
      <c r="E1982" s="441" t="s">
        <v>274</v>
      </c>
      <c r="F1982" s="126"/>
      <c r="G1982" s="169" t="s">
        <v>3562</v>
      </c>
      <c r="J1982" s="495"/>
    </row>
    <row r="1983" spans="1:10" x14ac:dyDescent="0.35">
      <c r="B1983" t="str">
        <f>IF(LEN('Ch10'!H157)=0,"",'Ch10'!H157)</f>
        <v/>
      </c>
      <c r="C1983" t="str">
        <f t="shared" si="52"/>
        <v/>
      </c>
      <c r="D1983" s="126"/>
      <c r="E1983" s="441" t="s">
        <v>283</v>
      </c>
      <c r="F1983" s="126"/>
      <c r="G1983" s="169" t="s">
        <v>3571</v>
      </c>
      <c r="J1983" s="495"/>
    </row>
    <row r="1984" spans="1:10" x14ac:dyDescent="0.35">
      <c r="B1984" t="str">
        <f>IF(LEN('Ch10'!H158)=0,"",'Ch10'!H158)</f>
        <v/>
      </c>
      <c r="C1984" t="str">
        <f t="shared" si="52"/>
        <v/>
      </c>
      <c r="D1984" s="126"/>
      <c r="E1984" s="441" t="s">
        <v>289</v>
      </c>
      <c r="F1984" s="126"/>
      <c r="G1984" s="169" t="s">
        <v>3572</v>
      </c>
      <c r="J1984" s="495"/>
    </row>
    <row r="1985" spans="1:10" x14ac:dyDescent="0.35">
      <c r="B1985" t="str">
        <f>IF(LEN('Ch10'!H159)=0,"",'Ch10'!H159)</f>
        <v/>
      </c>
      <c r="C1985" t="str">
        <f t="shared" si="52"/>
        <v/>
      </c>
      <c r="D1985" s="126"/>
      <c r="E1985" s="441" t="s">
        <v>291</v>
      </c>
      <c r="F1985" s="126"/>
      <c r="G1985" s="169" t="s">
        <v>3565</v>
      </c>
      <c r="J1985" s="495"/>
    </row>
    <row r="1986" spans="1:10" x14ac:dyDescent="0.35">
      <c r="B1986" t="str">
        <f>IF(LEN('Ch10'!H160)=0,"",'Ch10'!H160)</f>
        <v/>
      </c>
      <c r="C1986" t="str">
        <f t="shared" si="52"/>
        <v/>
      </c>
      <c r="D1986" s="126"/>
      <c r="E1986" s="441" t="s">
        <v>403</v>
      </c>
      <c r="F1986" s="126"/>
      <c r="G1986" s="169" t="s">
        <v>3573</v>
      </c>
      <c r="J1986" s="495"/>
    </row>
    <row r="1987" spans="1:10" ht="18.5" x14ac:dyDescent="0.35">
      <c r="A1987" s="403" t="s">
        <v>4326</v>
      </c>
      <c r="B1987" t="str">
        <f>IF(LEN('Ch10'!H161)=0,"",'Ch10'!H161)</f>
        <v/>
      </c>
      <c r="C1987" t="str">
        <f t="shared" si="52"/>
        <v>P</v>
      </c>
      <c r="D1987" s="38" t="s">
        <v>3574</v>
      </c>
      <c r="E1987" s="38"/>
      <c r="F1987" s="38"/>
      <c r="G1987" s="173"/>
      <c r="J1987" s="501"/>
    </row>
    <row r="1988" spans="1:10" x14ac:dyDescent="0.35">
      <c r="B1988" t="str">
        <f>IF(LEN('Ch10'!H162)=0,"",'Ch10'!H162)</f>
        <v/>
      </c>
      <c r="C1988" t="str">
        <f t="shared" si="52"/>
        <v/>
      </c>
      <c r="D1988" s="33">
        <v>1003</v>
      </c>
      <c r="E1988" s="126"/>
      <c r="F1988" s="126"/>
      <c r="G1988" s="706" t="s">
        <v>3575</v>
      </c>
      <c r="J1988" s="485"/>
    </row>
    <row r="1989" spans="1:10" x14ac:dyDescent="0.35">
      <c r="B1989" t="str">
        <f>IF(LEN('Ch10'!H163)=0,"",'Ch10'!H163)</f>
        <v/>
      </c>
      <c r="C1989" t="str">
        <f t="shared" si="52"/>
        <v/>
      </c>
      <c r="D1989" s="33"/>
      <c r="E1989" s="126"/>
      <c r="F1989" s="126"/>
      <c r="G1989" s="706"/>
      <c r="J1989" s="485"/>
    </row>
    <row r="1990" spans="1:10" x14ac:dyDescent="0.35">
      <c r="B1990" t="str">
        <f>IF(LEN('Ch10'!H164)=0,"",'Ch10'!H164)</f>
        <v/>
      </c>
      <c r="C1990" t="str">
        <f t="shared" si="52"/>
        <v/>
      </c>
      <c r="D1990" s="33"/>
      <c r="E1990" s="126"/>
      <c r="F1990" s="126"/>
      <c r="G1990" s="706"/>
      <c r="J1990" s="485"/>
    </row>
    <row r="1991" spans="1:10" x14ac:dyDescent="0.35">
      <c r="A1991" s="403" t="str">
        <f>IF('Ch10'!O165&gt;0,"P","")</f>
        <v>P</v>
      </c>
      <c r="B1991" t="str">
        <f>IF(LEN('Ch10'!H165)=0,"",'Ch10'!H165)</f>
        <v/>
      </c>
      <c r="C1991" t="str">
        <f t="shared" si="52"/>
        <v>P</v>
      </c>
      <c r="D1991" s="33">
        <v>1003.1</v>
      </c>
      <c r="E1991" s="126"/>
      <c r="F1991" s="126"/>
      <c r="G1991" s="172" t="s">
        <v>3576</v>
      </c>
      <c r="I1991" s="49">
        <f>'Ch10'!O165</f>
        <v>1</v>
      </c>
      <c r="J1991" s="485"/>
    </row>
    <row r="1992" spans="1:10" x14ac:dyDescent="0.35">
      <c r="A1992" s="403" t="str">
        <f>IF(AND(LEN('Ch10'!W166)&gt;0,NOT('Ch10'!W166=FALSE)),"P","")</f>
        <v/>
      </c>
      <c r="B1992" t="str">
        <f>IF(LEN('Ch10'!H166)=0,"",'Ch10'!H166)</f>
        <v/>
      </c>
      <c r="C1992" t="str">
        <f t="shared" si="52"/>
        <v/>
      </c>
      <c r="D1992" s="33"/>
      <c r="E1992" s="441" t="s">
        <v>270</v>
      </c>
      <c r="F1992" s="126"/>
      <c r="G1992" s="706" t="s">
        <v>3578</v>
      </c>
      <c r="H1992" s="49">
        <f>'Ch10'!W166</f>
        <v>0</v>
      </c>
      <c r="J1992" s="813" t="s">
        <v>4277</v>
      </c>
    </row>
    <row r="1993" spans="1:10" x14ac:dyDescent="0.35">
      <c r="A1993" s="403" t="str">
        <f>A1992</f>
        <v/>
      </c>
      <c r="B1993" t="str">
        <f>IF(LEN('Ch10'!H167)=0,"",'Ch10'!H167)</f>
        <v/>
      </c>
      <c r="C1993" t="str">
        <f t="shared" si="52"/>
        <v/>
      </c>
      <c r="D1993" s="33"/>
      <c r="E1993" s="459"/>
      <c r="F1993" s="149"/>
      <c r="G1993" s="739"/>
      <c r="J1993" s="813"/>
    </row>
    <row r="1994" spans="1:10" x14ac:dyDescent="0.35">
      <c r="A1994" s="403" t="str">
        <f>IF(AND(LEN('Ch10'!W168)&gt;0,NOT('Ch10'!W168=FALSE)),"P","")</f>
        <v/>
      </c>
      <c r="B1994" t="str">
        <f>IF(LEN('Ch10'!H168)=0,"",'Ch10'!H168)</f>
        <v/>
      </c>
      <c r="C1994" t="str">
        <f t="shared" si="52"/>
        <v/>
      </c>
      <c r="D1994" s="33"/>
      <c r="E1994" s="470" t="s">
        <v>272</v>
      </c>
      <c r="F1994" s="471"/>
      <c r="G1994" s="753" t="s">
        <v>3579</v>
      </c>
      <c r="H1994" s="49">
        <f>'Ch10'!W168</f>
        <v>0</v>
      </c>
      <c r="J1994" s="813" t="s">
        <v>4278</v>
      </c>
    </row>
    <row r="1995" spans="1:10" x14ac:dyDescent="0.35">
      <c r="A1995" s="403" t="str">
        <f>A1994</f>
        <v/>
      </c>
      <c r="B1995" t="str">
        <f>IF(LEN('Ch10'!H169)=0,"",'Ch10'!H169)</f>
        <v/>
      </c>
      <c r="C1995" t="str">
        <f t="shared" si="52"/>
        <v/>
      </c>
      <c r="D1995" s="33"/>
      <c r="E1995" s="441"/>
      <c r="F1995" s="126"/>
      <c r="G1995" s="706"/>
      <c r="J1995" s="813"/>
    </row>
    <row r="1996" spans="1:10" x14ac:dyDescent="0.35">
      <c r="A1996" s="403" t="str">
        <f>A1995</f>
        <v/>
      </c>
      <c r="B1996" t="str">
        <f>IF(LEN('Ch10'!H170)=0,"",'Ch10'!H170)</f>
        <v/>
      </c>
      <c r="C1996" t="str">
        <f t="shared" si="52"/>
        <v/>
      </c>
      <c r="D1996" s="33"/>
      <c r="E1996" s="459"/>
      <c r="F1996" s="149"/>
      <c r="G1996" s="739"/>
      <c r="J1996" s="813"/>
    </row>
    <row r="1997" spans="1:10" ht="15" customHeight="1" x14ac:dyDescent="0.35">
      <c r="A1997" s="403" t="str">
        <f>IF(AND(LEN('Ch10'!W171)&gt;0,NOT('Ch10'!W171=FALSE)),"P","")</f>
        <v>P</v>
      </c>
      <c r="B1997" t="str">
        <f>IF(LEN('Ch10'!H171)=0,"",'Ch10'!H171)</f>
        <v/>
      </c>
      <c r="C1997" t="str">
        <f t="shared" si="52"/>
        <v>P</v>
      </c>
      <c r="D1997" s="33"/>
      <c r="E1997" s="441" t="s">
        <v>274</v>
      </c>
      <c r="F1997" s="126"/>
      <c r="G1997" s="706" t="s">
        <v>3580</v>
      </c>
      <c r="H1997" s="49" t="b">
        <f>'Ch10'!W171</f>
        <v>1</v>
      </c>
      <c r="J1997" s="823" t="s">
        <v>4279</v>
      </c>
    </row>
    <row r="1998" spans="1:10" x14ac:dyDescent="0.35">
      <c r="A1998" s="403" t="str">
        <f>A1997</f>
        <v>P</v>
      </c>
      <c r="B1998" t="str">
        <f>IF(LEN('Ch10'!H172)=0,"",'Ch10'!H172)</f>
        <v/>
      </c>
      <c r="C1998" t="str">
        <f t="shared" si="52"/>
        <v>P</v>
      </c>
      <c r="D1998" s="33"/>
      <c r="E1998" s="126"/>
      <c r="F1998" s="126"/>
      <c r="G1998" s="706"/>
      <c r="J1998" s="823"/>
    </row>
    <row r="1999" spans="1:10" x14ac:dyDescent="0.35">
      <c r="A1999" s="403" t="str">
        <f>A1998</f>
        <v>P</v>
      </c>
      <c r="B1999" t="str">
        <f>IF(LEN('Ch10'!H173)=0,"",'Ch10'!H173)</f>
        <v/>
      </c>
      <c r="C1999" t="str">
        <f t="shared" si="52"/>
        <v>P</v>
      </c>
      <c r="D1999" s="33"/>
      <c r="E1999" s="126"/>
      <c r="F1999" s="126"/>
      <c r="G1999" s="706"/>
      <c r="J1999" s="823"/>
    </row>
    <row r="2000" spans="1:10" ht="18.5" x14ac:dyDescent="0.35">
      <c r="A2000" s="403" t="s">
        <v>4326</v>
      </c>
      <c r="B2000" t="str">
        <f>IF(LEN('Ch10'!H174)=0,"",'Ch10'!H174)</f>
        <v/>
      </c>
      <c r="C2000" t="str">
        <f t="shared" si="52"/>
        <v>P</v>
      </c>
      <c r="D2000" s="38" t="s">
        <v>3581</v>
      </c>
      <c r="E2000" s="38"/>
      <c r="F2000" s="38"/>
      <c r="G2000" s="173"/>
      <c r="J2000" s="501"/>
    </row>
    <row r="2001" spans="1:10" x14ac:dyDescent="0.35">
      <c r="B2001" t="str">
        <f>IF(LEN('Ch10'!H175)=0,"",'Ch10'!H175)</f>
        <v/>
      </c>
      <c r="C2001" t="str">
        <f t="shared" ref="C2001:C2013" si="56">IF(LEN(B2001)=0,IF(A2001="P","P",""),B2001)</f>
        <v/>
      </c>
      <c r="D2001" s="33">
        <v>1004</v>
      </c>
      <c r="E2001" s="126"/>
      <c r="F2001" s="126"/>
      <c r="G2001" s="706" t="s">
        <v>3582</v>
      </c>
      <c r="J2001" s="485"/>
    </row>
    <row r="2002" spans="1:10" x14ac:dyDescent="0.35">
      <c r="B2002" t="str">
        <f>IF(LEN('Ch10'!H176)=0,"",'Ch10'!H176)</f>
        <v/>
      </c>
      <c r="C2002" t="str">
        <f t="shared" si="56"/>
        <v/>
      </c>
      <c r="D2002" s="33"/>
      <c r="E2002" s="126"/>
      <c r="F2002" s="126"/>
      <c r="G2002" s="706"/>
      <c r="J2002" s="485"/>
    </row>
    <row r="2003" spans="1:10" x14ac:dyDescent="0.35">
      <c r="B2003" t="str">
        <f>IF(LEN('Ch10'!H177)=0,"",'Ch10'!H177)</f>
        <v/>
      </c>
      <c r="C2003" t="str">
        <f t="shared" si="56"/>
        <v/>
      </c>
      <c r="D2003" s="33"/>
      <c r="E2003" s="126"/>
      <c r="F2003" s="126"/>
      <c r="G2003" s="706"/>
      <c r="J2003" s="485"/>
    </row>
    <row r="2004" spans="1:10" x14ac:dyDescent="0.35">
      <c r="B2004" t="str">
        <f>IF(LEN('Ch10'!H178)=0,"",'Ch10'!H178)</f>
        <v/>
      </c>
      <c r="C2004" t="str">
        <f t="shared" si="56"/>
        <v/>
      </c>
      <c r="D2004" s="33"/>
      <c r="E2004" s="126"/>
      <c r="F2004" s="126"/>
      <c r="G2004" s="706"/>
      <c r="J2004" s="485"/>
    </row>
    <row r="2005" spans="1:10" x14ac:dyDescent="0.35">
      <c r="A2005" s="600" t="str">
        <f>IF(COUNTIF(A2010:A2012,"P")&gt;0,"P","")</f>
        <v/>
      </c>
      <c r="B2005" t="str">
        <f>IF(LEN('Ch10'!H179)=0,"",'Ch10'!H179)</f>
        <v/>
      </c>
      <c r="C2005" t="str">
        <f t="shared" si="56"/>
        <v/>
      </c>
      <c r="D2005" s="33">
        <v>1004.1</v>
      </c>
      <c r="E2005" s="126"/>
      <c r="F2005" s="126"/>
      <c r="G2005" s="706" t="s">
        <v>3583</v>
      </c>
      <c r="J2005" s="485"/>
    </row>
    <row r="2006" spans="1:10" x14ac:dyDescent="0.35">
      <c r="A2006" s="403" t="str">
        <f t="shared" ref="A2006:A2009" si="57">A2005</f>
        <v/>
      </c>
      <c r="B2006" t="str">
        <f>IF(LEN('Ch10'!H180)=0,"",'Ch10'!H180)</f>
        <v/>
      </c>
      <c r="C2006" t="str">
        <f t="shared" si="56"/>
        <v/>
      </c>
      <c r="D2006" s="126"/>
      <c r="E2006" s="126"/>
      <c r="F2006" s="126"/>
      <c r="G2006" s="706"/>
      <c r="J2006" s="485"/>
    </row>
    <row r="2007" spans="1:10" x14ac:dyDescent="0.35">
      <c r="A2007" s="403" t="str">
        <f t="shared" si="57"/>
        <v/>
      </c>
      <c r="B2007" t="str">
        <f>IF(LEN('Ch10'!H181)=0,"",'Ch10'!H181)</f>
        <v/>
      </c>
      <c r="C2007" t="str">
        <f t="shared" si="56"/>
        <v/>
      </c>
      <c r="D2007" s="126"/>
      <c r="E2007" s="126"/>
      <c r="F2007" s="126"/>
      <c r="G2007" s="706"/>
      <c r="J2007" s="485"/>
    </row>
    <row r="2008" spans="1:10" x14ac:dyDescent="0.35">
      <c r="A2008" s="403" t="str">
        <f t="shared" si="57"/>
        <v/>
      </c>
      <c r="B2008" t="str">
        <f>IF(LEN('Ch10'!H182)=0,"",'Ch10'!H182)</f>
        <v/>
      </c>
      <c r="C2008" t="str">
        <f t="shared" si="56"/>
        <v/>
      </c>
      <c r="D2008" s="126"/>
      <c r="E2008" s="126"/>
      <c r="F2008" s="126"/>
      <c r="G2008" s="706"/>
      <c r="J2008" s="485"/>
    </row>
    <row r="2009" spans="1:10" x14ac:dyDescent="0.35">
      <c r="A2009" s="403" t="str">
        <f t="shared" si="57"/>
        <v/>
      </c>
      <c r="B2009" t="str">
        <f>IF(LEN('Ch10'!H183)=0,"",'Ch10'!H183)</f>
        <v/>
      </c>
      <c r="C2009" t="str">
        <f t="shared" si="56"/>
        <v/>
      </c>
      <c r="D2009" s="126"/>
      <c r="E2009" s="126"/>
      <c r="F2009" s="126"/>
      <c r="G2009" s="706"/>
      <c r="J2009" s="485"/>
    </row>
    <row r="2010" spans="1:10" ht="15" customHeight="1" x14ac:dyDescent="0.35">
      <c r="A2010" s="403" t="str">
        <f>IF(AND(LEN('Ch10'!W184)&gt;0,NOT('Ch10'!W184=FALSE)),"P","")</f>
        <v/>
      </c>
      <c r="B2010" t="str">
        <f>IF(LEN('Ch10'!H184)=0,"",'Ch10'!H184)</f>
        <v/>
      </c>
      <c r="C2010" t="str">
        <f t="shared" si="56"/>
        <v/>
      </c>
      <c r="D2010" s="126"/>
      <c r="E2010" s="441" t="s">
        <v>270</v>
      </c>
      <c r="F2010" s="126"/>
      <c r="G2010" s="707" t="s">
        <v>3584</v>
      </c>
      <c r="H2010" s="49">
        <f>'Ch10'!W184</f>
        <v>0</v>
      </c>
      <c r="I2010" s="49">
        <f>'Ch10'!O184</f>
        <v>0</v>
      </c>
      <c r="J2010" s="814" t="s">
        <v>4345</v>
      </c>
    </row>
    <row r="2011" spans="1:10" ht="154.5" customHeight="1" x14ac:dyDescent="0.35">
      <c r="A2011" s="403" t="str">
        <f>A2010</f>
        <v/>
      </c>
      <c r="B2011" t="str">
        <f>IF(LEN('Ch10'!H185)=0,"",'Ch10'!H185)</f>
        <v/>
      </c>
      <c r="C2011" t="str">
        <f t="shared" si="56"/>
        <v/>
      </c>
      <c r="D2011" s="126"/>
      <c r="E2011" s="459"/>
      <c r="F2011" s="149"/>
      <c r="G2011" s="709"/>
      <c r="J2011" s="814"/>
    </row>
    <row r="2012" spans="1:10" ht="15" customHeight="1" x14ac:dyDescent="0.35">
      <c r="A2012" s="403" t="str">
        <f>IF(AND(LEN('Ch10'!W186)&gt;0,NOT('Ch10'!W186=FALSE)),"P","")</f>
        <v/>
      </c>
      <c r="B2012" t="str">
        <f>IF(LEN('Ch10'!H186)=0,"",'Ch10'!H186)</f>
        <v/>
      </c>
      <c r="C2012" t="str">
        <f t="shared" si="56"/>
        <v/>
      </c>
      <c r="D2012" s="126"/>
      <c r="E2012" s="470" t="s">
        <v>272</v>
      </c>
      <c r="F2012" s="471"/>
      <c r="G2012" s="742" t="s">
        <v>3585</v>
      </c>
      <c r="H2012" s="49">
        <f>'Ch10'!W186</f>
        <v>0</v>
      </c>
      <c r="I2012" s="49">
        <f>'Ch10'!O186</f>
        <v>0</v>
      </c>
      <c r="J2012" s="820" t="s">
        <v>4280</v>
      </c>
    </row>
    <row r="2013" spans="1:10" ht="15" thickBot="1" x14ac:dyDescent="0.4">
      <c r="A2013" s="403" t="str">
        <f>A2012</f>
        <v/>
      </c>
      <c r="B2013" t="str">
        <f>IF(LEN('Ch10'!H187)=0,"",'Ch10'!H187)</f>
        <v/>
      </c>
      <c r="C2013" t="str">
        <f t="shared" si="56"/>
        <v/>
      </c>
      <c r="D2013" s="448"/>
      <c r="E2013" s="448"/>
      <c r="F2013" s="448"/>
      <c r="G2013" s="708"/>
      <c r="J2013" s="820"/>
    </row>
    <row r="2014" spans="1:10" ht="15" thickTop="1" x14ac:dyDescent="0.35"/>
  </sheetData>
  <sheetProtection algorithmName="SHA-512" hashValue="wBIF6jKvktLii3N406xLYnJi9SPgi4PR7hYjLqwA0SJ7IMaSQ40d77m0W6K6ZMrm+UA9rt00lraE4/puQL8V8Q==" saltValue="Uio72daXye4xn7+qTjKMGg==" spinCount="100000" sheet="1" objects="1" scenarios="1" selectLockedCells="1" autoFilter="0" selectUnlockedCells="1"/>
  <autoFilter ref="A6:C2013" xr:uid="{00000000-0009-0000-0000-000009000000}"/>
  <mergeCells count="774">
    <mergeCell ref="B1:B5"/>
    <mergeCell ref="G1854:G1855"/>
    <mergeCell ref="C1:C5"/>
    <mergeCell ref="J22:J23"/>
    <mergeCell ref="J20:J21"/>
    <mergeCell ref="J132:J133"/>
    <mergeCell ref="J122:J123"/>
    <mergeCell ref="J118:J119"/>
    <mergeCell ref="J113:J114"/>
    <mergeCell ref="J106:J109"/>
    <mergeCell ref="J102:J105"/>
    <mergeCell ref="J92:J95"/>
    <mergeCell ref="J76:J77"/>
    <mergeCell ref="J207:J213"/>
    <mergeCell ref="J203:J205"/>
    <mergeCell ref="J192:J193"/>
    <mergeCell ref="J169:J171"/>
    <mergeCell ref="J154:J155"/>
    <mergeCell ref="J152:J153"/>
    <mergeCell ref="J150:J151"/>
    <mergeCell ref="J165:J166"/>
    <mergeCell ref="J167:J168"/>
    <mergeCell ref="J177:J180"/>
    <mergeCell ref="J185:J186"/>
    <mergeCell ref="J156:J157"/>
    <mergeCell ref="J520:J521"/>
    <mergeCell ref="J516:J517"/>
    <mergeCell ref="J497:J498"/>
    <mergeCell ref="J492:J496"/>
    <mergeCell ref="J488:J490"/>
    <mergeCell ref="J478:J481"/>
    <mergeCell ref="J503:J504"/>
    <mergeCell ref="J509:J511"/>
    <mergeCell ref="J404:J405"/>
    <mergeCell ref="J409:J410"/>
    <mergeCell ref="J463:J464"/>
    <mergeCell ref="J472:J473"/>
    <mergeCell ref="J468:J471"/>
    <mergeCell ref="J465:J466"/>
    <mergeCell ref="J450:J455"/>
    <mergeCell ref="J418:J422"/>
    <mergeCell ref="J415:J416"/>
    <mergeCell ref="J411:J414"/>
    <mergeCell ref="J407:J408"/>
    <mergeCell ref="J351:J353"/>
    <mergeCell ref="J332:J336"/>
    <mergeCell ref="J314:J315"/>
    <mergeCell ref="J361:J362"/>
    <mergeCell ref="J621:J623"/>
    <mergeCell ref="J618:J619"/>
    <mergeCell ref="J613:J614"/>
    <mergeCell ref="J606:J609"/>
    <mergeCell ref="J589:J590"/>
    <mergeCell ref="J556:J557"/>
    <mergeCell ref="J547:J548"/>
    <mergeCell ref="J532:J537"/>
    <mergeCell ref="J187:J188"/>
    <mergeCell ref="J195:J196"/>
    <mergeCell ref="J197:J198"/>
    <mergeCell ref="J354:J355"/>
    <mergeCell ref="J356:J357"/>
    <mergeCell ref="J304:J306"/>
    <mergeCell ref="J307:J308"/>
    <mergeCell ref="J309:J311"/>
    <mergeCell ref="J298:J300"/>
    <mergeCell ref="J290:J292"/>
    <mergeCell ref="J402:J403"/>
    <mergeCell ref="J386:J387"/>
    <mergeCell ref="J377:J378"/>
    <mergeCell ref="J366:J368"/>
    <mergeCell ref="J363:J364"/>
    <mergeCell ref="J340:J342"/>
    <mergeCell ref="J854:J855"/>
    <mergeCell ref="J838:J842"/>
    <mergeCell ref="J819:J822"/>
    <mergeCell ref="J816:J817"/>
    <mergeCell ref="J785:J787"/>
    <mergeCell ref="J682:J689"/>
    <mergeCell ref="J668:J670"/>
    <mergeCell ref="J644:J645"/>
    <mergeCell ref="J630:J631"/>
    <mergeCell ref="J957:J959"/>
    <mergeCell ref="J954:J956"/>
    <mergeCell ref="J952:J953"/>
    <mergeCell ref="J939:J943"/>
    <mergeCell ref="J936:J937"/>
    <mergeCell ref="J919:J920"/>
    <mergeCell ref="J896:J897"/>
    <mergeCell ref="J890:J895"/>
    <mergeCell ref="J884:J889"/>
    <mergeCell ref="J1066:J1067"/>
    <mergeCell ref="J1053:J1055"/>
    <mergeCell ref="J1049:J1051"/>
    <mergeCell ref="J1038:J1040"/>
    <mergeCell ref="J1029:J1031"/>
    <mergeCell ref="J984:J991"/>
    <mergeCell ref="J976:J980"/>
    <mergeCell ref="J968:J975"/>
    <mergeCell ref="J961:J966"/>
    <mergeCell ref="J1236:J1237"/>
    <mergeCell ref="J1232:J1233"/>
    <mergeCell ref="J1223:J1225"/>
    <mergeCell ref="J1195:J1196"/>
    <mergeCell ref="J1313:J1314"/>
    <mergeCell ref="J1299:J1301"/>
    <mergeCell ref="J1287:J1289"/>
    <mergeCell ref="J1280:J1285"/>
    <mergeCell ref="J1271:J1272"/>
    <mergeCell ref="J1266:J1270"/>
    <mergeCell ref="J1262:J1264"/>
    <mergeCell ref="J1258:J1260"/>
    <mergeCell ref="J1256:J1257"/>
    <mergeCell ref="J1347:J1349"/>
    <mergeCell ref="J1334:J1335"/>
    <mergeCell ref="J1329:J1332"/>
    <mergeCell ref="J1327:J1328"/>
    <mergeCell ref="J1325:J1326"/>
    <mergeCell ref="J1344:J1346"/>
    <mergeCell ref="J1253:J1254"/>
    <mergeCell ref="J1248:J1250"/>
    <mergeCell ref="J1239:J1240"/>
    <mergeCell ref="J1243:J1245"/>
    <mergeCell ref="J1538:J1539"/>
    <mergeCell ref="J1535:J1536"/>
    <mergeCell ref="J1513:J1514"/>
    <mergeCell ref="J1510:J1511"/>
    <mergeCell ref="J1504:J1506"/>
    <mergeCell ref="J1387:J1388"/>
    <mergeCell ref="J1378:J1379"/>
    <mergeCell ref="J1376:J1377"/>
    <mergeCell ref="J1354:J1355"/>
    <mergeCell ref="J1788:J1789"/>
    <mergeCell ref="J1780:J1782"/>
    <mergeCell ref="J1777:J1779"/>
    <mergeCell ref="J1775:J1776"/>
    <mergeCell ref="J1766:J1768"/>
    <mergeCell ref="J1756:J1757"/>
    <mergeCell ref="J1949:J1951"/>
    <mergeCell ref="J1561:J1562"/>
    <mergeCell ref="J1559:J1560"/>
    <mergeCell ref="J1600:J1601"/>
    <mergeCell ref="J1650:J1651"/>
    <mergeCell ref="J1673:J1678"/>
    <mergeCell ref="J1689:J1690"/>
    <mergeCell ref="J1694:J1699"/>
    <mergeCell ref="J1713:J1717"/>
    <mergeCell ref="J1700:J1702"/>
    <mergeCell ref="J1682:J1683"/>
    <mergeCell ref="J1652:J1668"/>
    <mergeCell ref="J1647:J1649"/>
    <mergeCell ref="J1645:J1646"/>
    <mergeCell ref="J1639:J1640"/>
    <mergeCell ref="J1616:J1621"/>
    <mergeCell ref="J1614:J1615"/>
    <mergeCell ref="J1612:J1613"/>
    <mergeCell ref="J2012:J2013"/>
    <mergeCell ref="J1997:J1999"/>
    <mergeCell ref="J1975:J1979"/>
    <mergeCell ref="J1992:J1993"/>
    <mergeCell ref="J1994:J1996"/>
    <mergeCell ref="J1718:J1719"/>
    <mergeCell ref="J1720:J1721"/>
    <mergeCell ref="J1734:J1737"/>
    <mergeCell ref="J1747:J1748"/>
    <mergeCell ref="J1743:J1744"/>
    <mergeCell ref="J1740:J1742"/>
    <mergeCell ref="J1738:J1739"/>
    <mergeCell ref="J1724:J1725"/>
    <mergeCell ref="J1886:J1889"/>
    <mergeCell ref="J1833:J1834"/>
    <mergeCell ref="J1828:J1832"/>
    <mergeCell ref="J1824:J1826"/>
    <mergeCell ref="J1819:J1823"/>
    <mergeCell ref="J1811:J1815"/>
    <mergeCell ref="J1799:J1800"/>
    <mergeCell ref="J1797:J1798"/>
    <mergeCell ref="J2010:J2011"/>
    <mergeCell ref="J1794:J1796"/>
    <mergeCell ref="J1792:J1793"/>
    <mergeCell ref="J1626:J1629"/>
    <mergeCell ref="J1602:J1604"/>
    <mergeCell ref="J1597:J1599"/>
    <mergeCell ref="J1588:J1590"/>
    <mergeCell ref="J1584:J1587"/>
    <mergeCell ref="J1576:J1577"/>
    <mergeCell ref="J1573:J1575"/>
    <mergeCell ref="J1567:J1570"/>
    <mergeCell ref="J1168:J1169"/>
    <mergeCell ref="J1607:J1608"/>
    <mergeCell ref="J1605:J1606"/>
    <mergeCell ref="J1389:J1390"/>
    <mergeCell ref="J1405:J1409"/>
    <mergeCell ref="J1496:J1498"/>
    <mergeCell ref="J1475:J1476"/>
    <mergeCell ref="J1472:J1473"/>
    <mergeCell ref="J1465:J1466"/>
    <mergeCell ref="J1438:J1439"/>
    <mergeCell ref="J1398:J1400"/>
    <mergeCell ref="J1395:J1397"/>
    <mergeCell ref="J1556:J1558"/>
    <mergeCell ref="J1551:J1553"/>
    <mergeCell ref="J1548:J1550"/>
    <mergeCell ref="J1541:J1542"/>
    <mergeCell ref="J1138:J1139"/>
    <mergeCell ref="J1166:J1167"/>
    <mergeCell ref="J707:J711"/>
    <mergeCell ref="J788:J795"/>
    <mergeCell ref="J798:J799"/>
    <mergeCell ref="J782:J784"/>
    <mergeCell ref="J780:J781"/>
    <mergeCell ref="J765:J770"/>
    <mergeCell ref="J756:J763"/>
    <mergeCell ref="J726:J727"/>
    <mergeCell ref="J715:J717"/>
    <mergeCell ref="J1006:J1010"/>
    <mergeCell ref="J803:J805"/>
    <mergeCell ref="J806:J810"/>
    <mergeCell ref="J812:J814"/>
    <mergeCell ref="J906:J909"/>
    <mergeCell ref="J910:J915"/>
    <mergeCell ref="J945:J950"/>
    <mergeCell ref="J923:J925"/>
    <mergeCell ref="J1110:J1111"/>
    <mergeCell ref="J1124:J1125"/>
    <mergeCell ref="J1115:J1117"/>
    <mergeCell ref="J1112:J1113"/>
    <mergeCell ref="J1082:J1086"/>
    <mergeCell ref="J375:J376"/>
    <mergeCell ref="J286:J288"/>
    <mergeCell ref="J283:J285"/>
    <mergeCell ref="J267:J270"/>
    <mergeCell ref="J257:J262"/>
    <mergeCell ref="J255:J256"/>
    <mergeCell ref="J245:J247"/>
    <mergeCell ref="J235:J236"/>
    <mergeCell ref="J24:J25"/>
    <mergeCell ref="J44:J47"/>
    <mergeCell ref="J56:J57"/>
    <mergeCell ref="J58:J59"/>
    <mergeCell ref="J62:J63"/>
    <mergeCell ref="J69:J70"/>
    <mergeCell ref="J82:J83"/>
    <mergeCell ref="J128:J129"/>
    <mergeCell ref="J130:J131"/>
    <mergeCell ref="J99:J101"/>
    <mergeCell ref="J71:J72"/>
    <mergeCell ref="J64:J65"/>
    <mergeCell ref="J38:J39"/>
    <mergeCell ref="J35:J37"/>
    <mergeCell ref="J26:J29"/>
    <mergeCell ref="J229:J230"/>
    <mergeCell ref="J222:J223"/>
    <mergeCell ref="J147:J149"/>
    <mergeCell ref="J145:J146"/>
    <mergeCell ref="J140:J144"/>
    <mergeCell ref="J199:J202"/>
    <mergeCell ref="G1975:G1979"/>
    <mergeCell ref="G1988:G1990"/>
    <mergeCell ref="G1992:G1993"/>
    <mergeCell ref="G1994:G1996"/>
    <mergeCell ref="G1843:G1846"/>
    <mergeCell ref="G1849:G1850"/>
    <mergeCell ref="G1851:G1852"/>
    <mergeCell ref="G1858:G1859"/>
    <mergeCell ref="G1862:G1863"/>
    <mergeCell ref="G1864:G1867"/>
    <mergeCell ref="G1868:G1869"/>
    <mergeCell ref="G1870:G1871"/>
    <mergeCell ref="G1873:G1874"/>
    <mergeCell ref="G1811:G1812"/>
    <mergeCell ref="G1814:G1815"/>
    <mergeCell ref="G1817:G1818"/>
    <mergeCell ref="G1819:G1823"/>
    <mergeCell ref="G1824:G1826"/>
    <mergeCell ref="G1828:G1832"/>
    <mergeCell ref="G1913:G1914"/>
    <mergeCell ref="G1916:G1917"/>
    <mergeCell ref="G1920:G1921"/>
    <mergeCell ref="G1922:G1924"/>
    <mergeCell ref="G1926:G1927"/>
    <mergeCell ref="G1928:G1930"/>
    <mergeCell ref="G1931:G1932"/>
    <mergeCell ref="G1933:G1935"/>
    <mergeCell ref="G1936:G1937"/>
    <mergeCell ref="G1875:G1876"/>
    <mergeCell ref="G1878:G1879"/>
    <mergeCell ref="G1880:G1881"/>
    <mergeCell ref="G1882:G1883"/>
    <mergeCell ref="G1886:G1889"/>
    <mergeCell ref="G1898:G1903"/>
    <mergeCell ref="G1904:G1905"/>
    <mergeCell ref="G1907:G1909"/>
    <mergeCell ref="G1910:G1912"/>
    <mergeCell ref="G2010:G2011"/>
    <mergeCell ref="G2012:G2013"/>
    <mergeCell ref="G1939:G1940"/>
    <mergeCell ref="G1941:G1942"/>
    <mergeCell ref="G1944:G1946"/>
    <mergeCell ref="G1947:G1948"/>
    <mergeCell ref="G1949:G1951"/>
    <mergeCell ref="G1953:G1954"/>
    <mergeCell ref="G1955:G1958"/>
    <mergeCell ref="G1966:G1967"/>
    <mergeCell ref="G1969:G1970"/>
    <mergeCell ref="G2001:G2004"/>
    <mergeCell ref="G2005:G2009"/>
    <mergeCell ref="G1997:G1999"/>
    <mergeCell ref="G1833:G1834"/>
    <mergeCell ref="G1836:G1837"/>
    <mergeCell ref="G1838:G1839"/>
    <mergeCell ref="G1780:G1782"/>
    <mergeCell ref="G1783:G1784"/>
    <mergeCell ref="G1790:G1791"/>
    <mergeCell ref="G1792:G1793"/>
    <mergeCell ref="G1794:G1796"/>
    <mergeCell ref="G1797:G1798"/>
    <mergeCell ref="G1799:G1800"/>
    <mergeCell ref="G1804:G1805"/>
    <mergeCell ref="G1809:G1810"/>
    <mergeCell ref="G1756:G1757"/>
    <mergeCell ref="G1758:G1759"/>
    <mergeCell ref="G1760:G1761"/>
    <mergeCell ref="G1762:G1764"/>
    <mergeCell ref="G1766:G1768"/>
    <mergeCell ref="G1769:G1770"/>
    <mergeCell ref="G1771:G1772"/>
    <mergeCell ref="G1775:G1776"/>
    <mergeCell ref="G1777:G1779"/>
    <mergeCell ref="G1724:G1725"/>
    <mergeCell ref="G1726:G1727"/>
    <mergeCell ref="G1728:G1729"/>
    <mergeCell ref="G1734:G1735"/>
    <mergeCell ref="G1736:G1737"/>
    <mergeCell ref="G1738:G1739"/>
    <mergeCell ref="G1740:G1742"/>
    <mergeCell ref="G1743:G1744"/>
    <mergeCell ref="G1747:G1748"/>
    <mergeCell ref="G1689:G1690"/>
    <mergeCell ref="G1691:G1692"/>
    <mergeCell ref="G1694:G1699"/>
    <mergeCell ref="G1700:G1702"/>
    <mergeCell ref="G1703:G1707"/>
    <mergeCell ref="G1709:G1711"/>
    <mergeCell ref="G1713:G1717"/>
    <mergeCell ref="G1718:G1719"/>
    <mergeCell ref="G1720:G1721"/>
    <mergeCell ref="G1650:G1651"/>
    <mergeCell ref="G1652:G1656"/>
    <mergeCell ref="G1657:G1658"/>
    <mergeCell ref="G1659:G1662"/>
    <mergeCell ref="G1671:G1672"/>
    <mergeCell ref="G1673:G1678"/>
    <mergeCell ref="G1679:G1681"/>
    <mergeCell ref="G1682:G1683"/>
    <mergeCell ref="G1684:G1685"/>
    <mergeCell ref="G1614:G1615"/>
    <mergeCell ref="G1616:G1621"/>
    <mergeCell ref="G1623:G1625"/>
    <mergeCell ref="G1635:G1636"/>
    <mergeCell ref="G1639:G1640"/>
    <mergeCell ref="G1642:G1643"/>
    <mergeCell ref="G1645:G1646"/>
    <mergeCell ref="G1647:G1649"/>
    <mergeCell ref="G1626:G1629"/>
    <mergeCell ref="G1584:G1587"/>
    <mergeCell ref="G1588:G1590"/>
    <mergeCell ref="G1595:G1596"/>
    <mergeCell ref="G1597:G1599"/>
    <mergeCell ref="G1600:G1601"/>
    <mergeCell ref="G1602:G1604"/>
    <mergeCell ref="G1605:G1606"/>
    <mergeCell ref="G1607:G1608"/>
    <mergeCell ref="G1612:G1613"/>
    <mergeCell ref="G1548:G1550"/>
    <mergeCell ref="G1551:G1553"/>
    <mergeCell ref="G1556:G1558"/>
    <mergeCell ref="G1559:G1560"/>
    <mergeCell ref="G1561:G1562"/>
    <mergeCell ref="G1567:G1570"/>
    <mergeCell ref="G1571:G1572"/>
    <mergeCell ref="G1573:G1574"/>
    <mergeCell ref="G1576:G1577"/>
    <mergeCell ref="G1515:G1516"/>
    <mergeCell ref="G1517:G1518"/>
    <mergeCell ref="G1519:G1520"/>
    <mergeCell ref="G1523:G1524"/>
    <mergeCell ref="G1527:G1528"/>
    <mergeCell ref="G1529:G1531"/>
    <mergeCell ref="G1532:G1534"/>
    <mergeCell ref="G1538:G1539"/>
    <mergeCell ref="G1541:G1542"/>
    <mergeCell ref="G1486:G1487"/>
    <mergeCell ref="G1489:G1491"/>
    <mergeCell ref="G1492:G1493"/>
    <mergeCell ref="G1496:G1498"/>
    <mergeCell ref="G1502:G1503"/>
    <mergeCell ref="G1504:G1506"/>
    <mergeCell ref="G1507:G1508"/>
    <mergeCell ref="G1510:G1511"/>
    <mergeCell ref="G1513:G1514"/>
    <mergeCell ref="G1454:G1456"/>
    <mergeCell ref="G1457:G1458"/>
    <mergeCell ref="G1465:G1466"/>
    <mergeCell ref="G1468:G1470"/>
    <mergeCell ref="G1472:G1473"/>
    <mergeCell ref="G1475:G1476"/>
    <mergeCell ref="G1477:G1478"/>
    <mergeCell ref="G1479:G1481"/>
    <mergeCell ref="G1482:G1484"/>
    <mergeCell ref="G1423:G1424"/>
    <mergeCell ref="G1425:G1427"/>
    <mergeCell ref="G1428:G1429"/>
    <mergeCell ref="G1430:G1434"/>
    <mergeCell ref="G1435:G1437"/>
    <mergeCell ref="G1438:G1439"/>
    <mergeCell ref="G1443:G1444"/>
    <mergeCell ref="G1445:G1446"/>
    <mergeCell ref="G1448:G1453"/>
    <mergeCell ref="G1393:G1394"/>
    <mergeCell ref="G1395:G1397"/>
    <mergeCell ref="G1398:G1400"/>
    <mergeCell ref="G1401:G1402"/>
    <mergeCell ref="G1405:G1409"/>
    <mergeCell ref="G1410:G1412"/>
    <mergeCell ref="G1413:G1415"/>
    <mergeCell ref="G1419:G1420"/>
    <mergeCell ref="G1421:G1422"/>
    <mergeCell ref="G1360:G1361"/>
    <mergeCell ref="G1372:G1373"/>
    <mergeCell ref="G1374:G1375"/>
    <mergeCell ref="G1376:G1377"/>
    <mergeCell ref="G1378:G1381"/>
    <mergeCell ref="G1382:G1384"/>
    <mergeCell ref="G1385:G1386"/>
    <mergeCell ref="G1387:G1388"/>
    <mergeCell ref="G1389:G1390"/>
    <mergeCell ref="G1334:G1335"/>
    <mergeCell ref="G1339:G1340"/>
    <mergeCell ref="G1342:G1343"/>
    <mergeCell ref="G1344:G1346"/>
    <mergeCell ref="G1347:G1349"/>
    <mergeCell ref="G1350:G1351"/>
    <mergeCell ref="G1352:G1353"/>
    <mergeCell ref="G1354:G1355"/>
    <mergeCell ref="G1358:G1359"/>
    <mergeCell ref="G1299:G1301"/>
    <mergeCell ref="G1302:G1303"/>
    <mergeCell ref="G1305:G1306"/>
    <mergeCell ref="G1311:G1312"/>
    <mergeCell ref="G1313:G1314"/>
    <mergeCell ref="G1322:G1323"/>
    <mergeCell ref="G1325:G1326"/>
    <mergeCell ref="G1327:G1328"/>
    <mergeCell ref="G1329:G1332"/>
    <mergeCell ref="G1256:G1257"/>
    <mergeCell ref="G1258:G1260"/>
    <mergeCell ref="G1262:G1264"/>
    <mergeCell ref="G1266:G1270"/>
    <mergeCell ref="G1271:G1272"/>
    <mergeCell ref="G1280:G1285"/>
    <mergeCell ref="G1287:G1289"/>
    <mergeCell ref="G1290:G1291"/>
    <mergeCell ref="G1297:G1298"/>
    <mergeCell ref="G1219:G1222"/>
    <mergeCell ref="G1223:G1225"/>
    <mergeCell ref="G1230:G1231"/>
    <mergeCell ref="G1232:G1233"/>
    <mergeCell ref="G1236:G1237"/>
    <mergeCell ref="G1239:G1240"/>
    <mergeCell ref="G1243:G1245"/>
    <mergeCell ref="G1248:G1250"/>
    <mergeCell ref="G1253:G1254"/>
    <mergeCell ref="G1198:G1199"/>
    <mergeCell ref="G1200:G1201"/>
    <mergeCell ref="G1202:G1204"/>
    <mergeCell ref="G1205:G1206"/>
    <mergeCell ref="G1207:G1208"/>
    <mergeCell ref="G1209:G1210"/>
    <mergeCell ref="G1211:G1212"/>
    <mergeCell ref="G1213:G1215"/>
    <mergeCell ref="G1216:G1217"/>
    <mergeCell ref="G1174:G1175"/>
    <mergeCell ref="G1178:G1179"/>
    <mergeCell ref="G1180:G1181"/>
    <mergeCell ref="G1184:G1185"/>
    <mergeCell ref="G1186:G1188"/>
    <mergeCell ref="G1189:G1190"/>
    <mergeCell ref="G1191:G1192"/>
    <mergeCell ref="G1193:G1194"/>
    <mergeCell ref="G1195:G1196"/>
    <mergeCell ref="G1146:G1147"/>
    <mergeCell ref="G1148:G1149"/>
    <mergeCell ref="G1151:G1152"/>
    <mergeCell ref="G1154:G1155"/>
    <mergeCell ref="G1156:G1157"/>
    <mergeCell ref="G1161:G1165"/>
    <mergeCell ref="G1166:G1167"/>
    <mergeCell ref="G1168:G1169"/>
    <mergeCell ref="G1172:G1173"/>
    <mergeCell ref="G1115:G1117"/>
    <mergeCell ref="G1124:G1125"/>
    <mergeCell ref="G1126:G1127"/>
    <mergeCell ref="G1128:G1129"/>
    <mergeCell ref="G1130:G1131"/>
    <mergeCell ref="G1138:G1139"/>
    <mergeCell ref="G1140:G1141"/>
    <mergeCell ref="G1142:G1143"/>
    <mergeCell ref="G1144:G1145"/>
    <mergeCell ref="G1049:G1051"/>
    <mergeCell ref="G1053:G1055"/>
    <mergeCell ref="G1061:G1064"/>
    <mergeCell ref="G1066:G1067"/>
    <mergeCell ref="G1069:G1070"/>
    <mergeCell ref="G1078:G1079"/>
    <mergeCell ref="G1082:G1086"/>
    <mergeCell ref="G1098:G1099"/>
    <mergeCell ref="G1110:G1111"/>
    <mergeCell ref="G968:G975"/>
    <mergeCell ref="G976:G980"/>
    <mergeCell ref="G984:G991"/>
    <mergeCell ref="G993:G1000"/>
    <mergeCell ref="G1001:G1002"/>
    <mergeCell ref="G1006:G1010"/>
    <mergeCell ref="G1029:G1031"/>
    <mergeCell ref="G1038:G1040"/>
    <mergeCell ref="G1046:G1047"/>
    <mergeCell ref="G926:G931"/>
    <mergeCell ref="G932:G935"/>
    <mergeCell ref="G936:G937"/>
    <mergeCell ref="G939:G943"/>
    <mergeCell ref="G945:G950"/>
    <mergeCell ref="G952:G953"/>
    <mergeCell ref="G954:G956"/>
    <mergeCell ref="G957:G959"/>
    <mergeCell ref="G961:G966"/>
    <mergeCell ref="G890:G895"/>
    <mergeCell ref="G896:G897"/>
    <mergeCell ref="G898:G899"/>
    <mergeCell ref="G903:G904"/>
    <mergeCell ref="G906:G909"/>
    <mergeCell ref="G910:G914"/>
    <mergeCell ref="G916:G918"/>
    <mergeCell ref="G919:G920"/>
    <mergeCell ref="G923:G924"/>
    <mergeCell ref="G859:G860"/>
    <mergeCell ref="G862:G865"/>
    <mergeCell ref="G866:G867"/>
    <mergeCell ref="G868:G870"/>
    <mergeCell ref="G871:G872"/>
    <mergeCell ref="G875:G877"/>
    <mergeCell ref="G878:G880"/>
    <mergeCell ref="G881:G883"/>
    <mergeCell ref="G884:G889"/>
    <mergeCell ref="G812:G814"/>
    <mergeCell ref="G816:G817"/>
    <mergeCell ref="G819:G822"/>
    <mergeCell ref="G835:G837"/>
    <mergeCell ref="G838:G842"/>
    <mergeCell ref="G844:G845"/>
    <mergeCell ref="G847:G848"/>
    <mergeCell ref="G852:G853"/>
    <mergeCell ref="G854:G855"/>
    <mergeCell ref="G773:G776"/>
    <mergeCell ref="G780:G781"/>
    <mergeCell ref="G782:G784"/>
    <mergeCell ref="G785:G787"/>
    <mergeCell ref="G788:G795"/>
    <mergeCell ref="G796:G797"/>
    <mergeCell ref="G798:G799"/>
    <mergeCell ref="G803:G805"/>
    <mergeCell ref="G806:G810"/>
    <mergeCell ref="G777:G779"/>
    <mergeCell ref="G56:G57"/>
    <mergeCell ref="G8:G10"/>
    <mergeCell ref="G18:G19"/>
    <mergeCell ref="G20:G21"/>
    <mergeCell ref="G22:G23"/>
    <mergeCell ref="G24:G25"/>
    <mergeCell ref="G26:G29"/>
    <mergeCell ref="G35:G37"/>
    <mergeCell ref="G38:G39"/>
    <mergeCell ref="G44:G47"/>
    <mergeCell ref="G49:G52"/>
    <mergeCell ref="G128:G129"/>
    <mergeCell ref="G130:G131"/>
    <mergeCell ref="G132:G133"/>
    <mergeCell ref="G140:G144"/>
    <mergeCell ref="G96:G98"/>
    <mergeCell ref="G58:G59"/>
    <mergeCell ref="G62:G63"/>
    <mergeCell ref="G64:G65"/>
    <mergeCell ref="G69:G70"/>
    <mergeCell ref="G71:G72"/>
    <mergeCell ref="G76:G77"/>
    <mergeCell ref="G79:G80"/>
    <mergeCell ref="G82:G83"/>
    <mergeCell ref="G84:G85"/>
    <mergeCell ref="G87:G88"/>
    <mergeCell ref="G92:G95"/>
    <mergeCell ref="J1:J5"/>
    <mergeCell ref="G222:G223"/>
    <mergeCell ref="G229:G230"/>
    <mergeCell ref="G235:G236"/>
    <mergeCell ref="G237:G239"/>
    <mergeCell ref="G240:G243"/>
    <mergeCell ref="G245:G247"/>
    <mergeCell ref="G195:G196"/>
    <mergeCell ref="G197:G198"/>
    <mergeCell ref="G199:G202"/>
    <mergeCell ref="G203:G205"/>
    <mergeCell ref="G217:G219"/>
    <mergeCell ref="G220:G221"/>
    <mergeCell ref="G177:G180"/>
    <mergeCell ref="G182:G183"/>
    <mergeCell ref="G185:G186"/>
    <mergeCell ref="G187:G188"/>
    <mergeCell ref="G189:G191"/>
    <mergeCell ref="G192:G193"/>
    <mergeCell ref="G175:G176"/>
    <mergeCell ref="G147:G149"/>
    <mergeCell ref="G150:G151"/>
    <mergeCell ref="G152:G153"/>
    <mergeCell ref="G154:G155"/>
    <mergeCell ref="G264:G266"/>
    <mergeCell ref="G267:G270"/>
    <mergeCell ref="G277:G278"/>
    <mergeCell ref="G279:G280"/>
    <mergeCell ref="G281:G282"/>
    <mergeCell ref="G255:G256"/>
    <mergeCell ref="G257:G262"/>
    <mergeCell ref="A1:A5"/>
    <mergeCell ref="D1:G5"/>
    <mergeCell ref="G156:G157"/>
    <mergeCell ref="G160:G161"/>
    <mergeCell ref="G163:G164"/>
    <mergeCell ref="G165:G166"/>
    <mergeCell ref="G167:G168"/>
    <mergeCell ref="G169:G171"/>
    <mergeCell ref="G172:G173"/>
    <mergeCell ref="G145:G146"/>
    <mergeCell ref="G99:G101"/>
    <mergeCell ref="G102:G105"/>
    <mergeCell ref="G106:G109"/>
    <mergeCell ref="G113:G114"/>
    <mergeCell ref="G118:G119"/>
    <mergeCell ref="G120:G121"/>
    <mergeCell ref="G122:G123"/>
    <mergeCell ref="G309:G311"/>
    <mergeCell ref="G314:G315"/>
    <mergeCell ref="G319:G320"/>
    <mergeCell ref="G323:G324"/>
    <mergeCell ref="G325:G326"/>
    <mergeCell ref="G283:G285"/>
    <mergeCell ref="G286:G288"/>
    <mergeCell ref="G290:G292"/>
    <mergeCell ref="G298:G300"/>
    <mergeCell ref="G301:G303"/>
    <mergeCell ref="G343:G345"/>
    <mergeCell ref="G347:G348"/>
    <mergeCell ref="G351:G353"/>
    <mergeCell ref="G354:G355"/>
    <mergeCell ref="G356:G357"/>
    <mergeCell ref="G328:G329"/>
    <mergeCell ref="G330:G331"/>
    <mergeCell ref="G332:G336"/>
    <mergeCell ref="G337:G339"/>
    <mergeCell ref="G340:G342"/>
    <mergeCell ref="G375:G376"/>
    <mergeCell ref="G377:G378"/>
    <mergeCell ref="G381:G382"/>
    <mergeCell ref="G383:G385"/>
    <mergeCell ref="G386:G387"/>
    <mergeCell ref="G361:G362"/>
    <mergeCell ref="G363:G364"/>
    <mergeCell ref="G366:G368"/>
    <mergeCell ref="G369:G370"/>
    <mergeCell ref="G372:G374"/>
    <mergeCell ref="G407:G408"/>
    <mergeCell ref="G409:G410"/>
    <mergeCell ref="G411:G414"/>
    <mergeCell ref="G415:G416"/>
    <mergeCell ref="G418:G422"/>
    <mergeCell ref="G389:G392"/>
    <mergeCell ref="G393:G396"/>
    <mergeCell ref="G397:G399"/>
    <mergeCell ref="G402:G403"/>
    <mergeCell ref="G404:G405"/>
    <mergeCell ref="G447:G448"/>
    <mergeCell ref="G450:G455"/>
    <mergeCell ref="G461:G462"/>
    <mergeCell ref="G463:G464"/>
    <mergeCell ref="G465:G466"/>
    <mergeCell ref="G427:G428"/>
    <mergeCell ref="G433:G435"/>
    <mergeCell ref="G437:G440"/>
    <mergeCell ref="G442:G444"/>
    <mergeCell ref="G445:G446"/>
    <mergeCell ref="G485:G487"/>
    <mergeCell ref="G488:G490"/>
    <mergeCell ref="G492:G496"/>
    <mergeCell ref="G497:G498"/>
    <mergeCell ref="G501:G502"/>
    <mergeCell ref="G468:G471"/>
    <mergeCell ref="G472:G473"/>
    <mergeCell ref="G474:G475"/>
    <mergeCell ref="G478:G481"/>
    <mergeCell ref="G482:G483"/>
    <mergeCell ref="G520:G521"/>
    <mergeCell ref="G524:G525"/>
    <mergeCell ref="G529:G530"/>
    <mergeCell ref="G532:G537"/>
    <mergeCell ref="G538:G541"/>
    <mergeCell ref="G503:G504"/>
    <mergeCell ref="G506:G508"/>
    <mergeCell ref="G509:G511"/>
    <mergeCell ref="G513:G515"/>
    <mergeCell ref="G516:G517"/>
    <mergeCell ref="G556:G557"/>
    <mergeCell ref="G580:G581"/>
    <mergeCell ref="G583:G584"/>
    <mergeCell ref="G585:G586"/>
    <mergeCell ref="G587:G588"/>
    <mergeCell ref="G543:G544"/>
    <mergeCell ref="G545:G546"/>
    <mergeCell ref="G547:G548"/>
    <mergeCell ref="G549:G551"/>
    <mergeCell ref="G553:G555"/>
    <mergeCell ref="G613:G614"/>
    <mergeCell ref="G615:G616"/>
    <mergeCell ref="G618:G619"/>
    <mergeCell ref="G621:G623"/>
    <mergeCell ref="G624:G625"/>
    <mergeCell ref="G589:G590"/>
    <mergeCell ref="G592:G593"/>
    <mergeCell ref="G600:G601"/>
    <mergeCell ref="G603:G604"/>
    <mergeCell ref="G606:G609"/>
    <mergeCell ref="G682:G689"/>
    <mergeCell ref="G694:G695"/>
    <mergeCell ref="G702:G703"/>
    <mergeCell ref="G646:G648"/>
    <mergeCell ref="G655:G661"/>
    <mergeCell ref="G662:G663"/>
    <mergeCell ref="G664:G667"/>
    <mergeCell ref="G668:G670"/>
    <mergeCell ref="G630:G631"/>
    <mergeCell ref="G632:G634"/>
    <mergeCell ref="G635:G636"/>
    <mergeCell ref="G638:G643"/>
    <mergeCell ref="G644:G645"/>
    <mergeCell ref="J84:J90"/>
    <mergeCell ref="J638:J643"/>
    <mergeCell ref="J1059:J1064"/>
    <mergeCell ref="J1838:J1839"/>
    <mergeCell ref="J1904:J1905"/>
    <mergeCell ref="J1922:J1924"/>
    <mergeCell ref="G765:G770"/>
    <mergeCell ref="G743:G746"/>
    <mergeCell ref="G747:G748"/>
    <mergeCell ref="G749:G750"/>
    <mergeCell ref="G751:G755"/>
    <mergeCell ref="G756:G763"/>
    <mergeCell ref="G726:G727"/>
    <mergeCell ref="G728:G732"/>
    <mergeCell ref="G733:G736"/>
    <mergeCell ref="G737:G738"/>
    <mergeCell ref="G739:G740"/>
    <mergeCell ref="G704:G705"/>
    <mergeCell ref="G707:G711"/>
    <mergeCell ref="G713:G714"/>
    <mergeCell ref="G715:G717"/>
    <mergeCell ref="G724:G725"/>
    <mergeCell ref="G677:G679"/>
    <mergeCell ref="G680:G681"/>
  </mergeCells>
  <conditionalFormatting sqref="G277:G278">
    <cfRule type="expression" dxfId="2265" priority="1167">
      <formula>AR277&gt;4099</formula>
    </cfRule>
  </conditionalFormatting>
  <hyperlinks>
    <hyperlink ref="G388" location="'Figure 6(3)'!A1" display="See Figure 6(3)" xr:uid="{00000000-0004-0000-0900-000000000000}"/>
    <hyperlink ref="G380" location="'Figure 6(3)'!A1" display="See Figure 6(3)" xr:uid="{00000000-0004-0000-0900-000001000000}"/>
    <hyperlink ref="G467" location="'Table 602.1.12'!A1" display="See Table 602.1.12" xr:uid="{00000000-0004-0000-0900-000002000000}"/>
    <hyperlink ref="G523" location="'Table 604.1'!A1" display="See Table 604.1" xr:uid="{00000000-0004-0000-0900-000003000000}"/>
    <hyperlink ref="G856" location="'Table 701.4.3.2(2)'!A1" display="See Table 701.4.3.2(2)" xr:uid="{00000000-0004-0000-0900-000004000000}"/>
    <hyperlink ref="G951" location="'Table 703.2.1(a)'!A1" display="See Table 703.2.1(a)" xr:uid="{00000000-0004-0000-0900-000005000000}"/>
    <hyperlink ref="G1158" location="'Table 703.7.1(7)'!A1" display="See Table 703.7.1(7)" xr:uid="{00000000-0004-0000-0900-000006000000}"/>
    <hyperlink ref="G967" location="'Table 703.2.5.1'!A1" display="See Table 703.2.5.1" xr:uid="{00000000-0004-0000-0900-000007000000}"/>
    <hyperlink ref="G1417" location="'Table 801.1(1)'!A1" display="See Table 801.1(1)" xr:uid="{00000000-0004-0000-0900-000008000000}"/>
    <hyperlink ref="G1418" location="'Table 801.1(2)'!A1" display="See Table 801.1(2)" xr:uid="{00000000-0004-0000-0900-000009000000}"/>
    <hyperlink ref="G1688" location="'Table 901.9.1'!A1" display="See Table 901.9.1" xr:uid="{00000000-0004-0000-0900-00000A000000}"/>
    <hyperlink ref="G1693" location="'Table 901.9.2'!A1" display="See Table 901.9.2" xr:uid="{00000000-0004-0000-0900-00000B000000}"/>
    <hyperlink ref="G1712" location="'Table 901.10(3)'!A1" display="See Table 901.10(3)" xr:uid="{00000000-0004-0000-0900-00000C000000}"/>
    <hyperlink ref="J1997" r:id="rId1" display="http://www.ngbs.com/" xr:uid="{00000000-0004-0000-0900-00000D000000}"/>
  </hyperlinks>
  <pageMargins left="0.7" right="0.7" top="0.75" bottom="0.75" header="0.3" footer="0.3"/>
  <pageSetup scale="51" fitToHeight="0" orientation="portrait" r:id="rId2"/>
  <rowBreaks count="5" manualBreakCount="5">
    <brk id="262" max="16383" man="1"/>
    <brk id="771" max="16383" man="1"/>
    <brk id="1402" max="16383" man="1"/>
    <brk id="1563" max="16383" man="1"/>
    <brk id="1834"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B1:M25"/>
  <sheetViews>
    <sheetView showGridLines="0" zoomScaleNormal="100" workbookViewId="0"/>
  </sheetViews>
  <sheetFormatPr defaultRowHeight="14.5" x14ac:dyDescent="0.35"/>
  <cols>
    <col min="2" max="2" width="3.7265625" customWidth="1"/>
    <col min="3" max="3" width="62.26953125" bestFit="1" customWidth="1"/>
    <col min="8" max="8" width="2.26953125" customWidth="1"/>
    <col min="11" max="11" width="11" customWidth="1"/>
    <col min="12" max="12" width="8" customWidth="1"/>
  </cols>
  <sheetData>
    <row r="1" spans="2:13" x14ac:dyDescent="0.35">
      <c r="D1" s="834" t="s">
        <v>4629</v>
      </c>
      <c r="E1" s="834"/>
      <c r="F1" s="834"/>
      <c r="G1" s="834"/>
      <c r="H1" s="834"/>
      <c r="I1" s="834"/>
      <c r="J1" s="834"/>
      <c r="K1" s="834"/>
      <c r="L1" s="834"/>
      <c r="M1" s="834"/>
    </row>
    <row r="2" spans="2:13" x14ac:dyDescent="0.35">
      <c r="D2" s="834"/>
      <c r="E2" s="834"/>
      <c r="F2" s="834"/>
      <c r="G2" s="834"/>
      <c r="H2" s="834"/>
      <c r="I2" s="834"/>
      <c r="J2" s="834"/>
      <c r="K2" s="834"/>
      <c r="L2" s="834"/>
      <c r="M2" s="834"/>
    </row>
    <row r="3" spans="2:13" x14ac:dyDescent="0.35">
      <c r="D3" s="834"/>
      <c r="E3" s="834"/>
      <c r="F3" s="834"/>
      <c r="G3" s="834"/>
      <c r="H3" s="834"/>
      <c r="I3" s="834"/>
      <c r="J3" s="834"/>
      <c r="K3" s="834"/>
      <c r="L3" s="834"/>
      <c r="M3" s="834"/>
    </row>
    <row r="4" spans="2:13" x14ac:dyDescent="0.35">
      <c r="D4" s="834"/>
      <c r="E4" s="834"/>
      <c r="F4" s="834"/>
      <c r="G4" s="834"/>
      <c r="H4" s="834"/>
      <c r="I4" s="834"/>
      <c r="J4" s="834"/>
      <c r="K4" s="834"/>
      <c r="L4" s="834"/>
      <c r="M4" s="834"/>
    </row>
    <row r="5" spans="2:13" x14ac:dyDescent="0.35">
      <c r="D5" s="834"/>
      <c r="E5" s="834"/>
      <c r="F5" s="834"/>
      <c r="G5" s="834"/>
      <c r="H5" s="834"/>
      <c r="I5" s="834"/>
      <c r="J5" s="834"/>
      <c r="K5" s="834"/>
      <c r="L5" s="834"/>
      <c r="M5" s="834"/>
    </row>
    <row r="6" spans="2:13" x14ac:dyDescent="0.35">
      <c r="D6" s="44"/>
      <c r="E6" s="44"/>
      <c r="F6" s="44"/>
      <c r="G6" s="44"/>
      <c r="H6" s="44"/>
      <c r="I6" s="44"/>
      <c r="J6" s="44"/>
      <c r="K6" s="44"/>
      <c r="L6" s="44"/>
      <c r="M6" s="44"/>
    </row>
    <row r="7" spans="2:13" ht="21" x14ac:dyDescent="0.5">
      <c r="C7" s="391" t="s">
        <v>4093</v>
      </c>
    </row>
    <row r="8" spans="2:13" x14ac:dyDescent="0.35">
      <c r="E8" s="416" t="str">
        <f>IF(LEN('Overview (Design)'!G20)=0,"","Project Name: ")</f>
        <v/>
      </c>
      <c r="F8" s="259" t="str">
        <f>IF(LEN('Overview (Design)'!G20)=0,"",'Overview (Design)'!G20)</f>
        <v/>
      </c>
    </row>
    <row r="9" spans="2:13" x14ac:dyDescent="0.35">
      <c r="B9" s="395" t="str">
        <f>IF(startError,"û","ü")</f>
        <v>ü</v>
      </c>
      <c r="C9" s="396" t="s">
        <v>4603</v>
      </c>
      <c r="E9" s="259" t="s">
        <v>4610</v>
      </c>
      <c r="F9" s="259" t="str">
        <f>IF(LEN(dstHomeAddress)=0,"",dstHomeAddress&amp;", ")&amp;IF(LEN(dstCity)=0,"",dstCity&amp;", ")&amp;dstState&amp;" "&amp;dstZIP</f>
        <v>123 Example Drive, Durham, North Carolina 27703</v>
      </c>
    </row>
    <row r="10" spans="2:13" x14ac:dyDescent="0.35">
      <c r="C10" s="400"/>
    </row>
    <row r="11" spans="2:13" x14ac:dyDescent="0.35">
      <c r="D11" s="836" t="s">
        <v>4102</v>
      </c>
      <c r="E11" s="836"/>
      <c r="F11" s="836"/>
      <c r="G11" s="836"/>
      <c r="I11" s="835" t="s">
        <v>266</v>
      </c>
      <c r="J11" s="389"/>
      <c r="K11" s="835" t="s">
        <v>4097</v>
      </c>
      <c r="L11" s="835" t="s">
        <v>4098</v>
      </c>
    </row>
    <row r="12" spans="2:13" x14ac:dyDescent="0.35">
      <c r="D12" s="387" t="s">
        <v>310</v>
      </c>
      <c r="E12" s="387" t="s">
        <v>311</v>
      </c>
      <c r="F12" s="387" t="s">
        <v>312</v>
      </c>
      <c r="G12" s="387" t="s">
        <v>308</v>
      </c>
      <c r="I12" s="835"/>
      <c r="J12" s="389"/>
      <c r="K12" s="835"/>
      <c r="L12" s="835"/>
    </row>
    <row r="13" spans="2:13" x14ac:dyDescent="0.35">
      <c r="C13" s="386" t="s">
        <v>4087</v>
      </c>
      <c r="D13" s="390">
        <v>50</v>
      </c>
      <c r="E13" s="390">
        <v>64</v>
      </c>
      <c r="F13" s="390">
        <v>93</v>
      </c>
      <c r="G13" s="390">
        <v>121</v>
      </c>
      <c r="I13" s="392">
        <f ca="1">Points!H15</f>
        <v>69</v>
      </c>
      <c r="K13" s="395" t="str">
        <f>IF('Ch5'!$AG$3,"û","ü")</f>
        <v>ü</v>
      </c>
      <c r="L13" s="395" t="str">
        <f ca="1">IF('Ch5'!$AI$3,"û","ü")</f>
        <v>ü</v>
      </c>
    </row>
    <row r="14" spans="2:13" x14ac:dyDescent="0.35">
      <c r="C14" s="386" t="s">
        <v>4086</v>
      </c>
      <c r="D14" s="390">
        <v>43</v>
      </c>
      <c r="E14" s="390">
        <v>59</v>
      </c>
      <c r="F14" s="390">
        <v>89</v>
      </c>
      <c r="G14" s="390">
        <v>119</v>
      </c>
      <c r="I14" s="392">
        <f ca="1">Points!H16</f>
        <v>61</v>
      </c>
      <c r="K14" s="395" t="str">
        <f>IF('Ch6'!$AG$3,"û","ü")</f>
        <v>ü</v>
      </c>
      <c r="L14" s="395" t="str">
        <f ca="1">IF('Ch6'!$AI$3,"û","ü")</f>
        <v>ü</v>
      </c>
    </row>
    <row r="15" spans="2:13" x14ac:dyDescent="0.35">
      <c r="C15" s="386" t="s">
        <v>4088</v>
      </c>
      <c r="D15" s="390">
        <v>30</v>
      </c>
      <c r="E15" s="390">
        <v>45</v>
      </c>
      <c r="F15" s="390">
        <v>60</v>
      </c>
      <c r="G15" s="390">
        <v>70</v>
      </c>
      <c r="I15" s="392">
        <f ca="1">Points!H17</f>
        <v>50</v>
      </c>
      <c r="K15" s="395" t="str">
        <f ca="1">IF('Ch7'!$AG$3,"û","ü")</f>
        <v>ü</v>
      </c>
      <c r="L15" s="395" t="str">
        <f ca="1">IF('Ch7'!$AI$3,"û","ü")</f>
        <v>ü</v>
      </c>
    </row>
    <row r="16" spans="2:13" x14ac:dyDescent="0.35">
      <c r="C16" s="386" t="s">
        <v>4089</v>
      </c>
      <c r="D16" s="390">
        <v>25</v>
      </c>
      <c r="E16" s="390">
        <v>39</v>
      </c>
      <c r="F16" s="390">
        <v>67</v>
      </c>
      <c r="G16" s="390">
        <v>92</v>
      </c>
      <c r="I16" s="392">
        <f ca="1">Points!H18</f>
        <v>36</v>
      </c>
      <c r="K16" s="395" t="str">
        <f>IF('Ch8'!$AG$3,"û","ü")</f>
        <v>ü</v>
      </c>
      <c r="L16" s="395" t="str">
        <f ca="1">IF('Ch8'!$AI$3,"û","ü")</f>
        <v>ü</v>
      </c>
    </row>
    <row r="17" spans="3:12" x14ac:dyDescent="0.35">
      <c r="C17" s="386" t="s">
        <v>4090</v>
      </c>
      <c r="D17" s="390">
        <v>25</v>
      </c>
      <c r="E17" s="390">
        <v>42</v>
      </c>
      <c r="F17" s="390">
        <v>69</v>
      </c>
      <c r="G17" s="390">
        <v>97</v>
      </c>
      <c r="I17" s="392">
        <f ca="1">Points!H19</f>
        <v>38</v>
      </c>
      <c r="K17" s="395" t="str">
        <f>IF('Ch9'!$AG$3,"û","ü")</f>
        <v>ü</v>
      </c>
      <c r="L17" s="395" t="str">
        <f ca="1">IF('Ch9'!$AI$3,"û","ü")</f>
        <v>ü</v>
      </c>
    </row>
    <row r="18" spans="3:12" x14ac:dyDescent="0.35">
      <c r="C18" s="386" t="s">
        <v>4091</v>
      </c>
      <c r="D18" s="390">
        <v>8</v>
      </c>
      <c r="E18" s="390">
        <v>10</v>
      </c>
      <c r="F18" s="390">
        <v>11</v>
      </c>
      <c r="G18" s="390">
        <v>12</v>
      </c>
      <c r="I18" s="392">
        <f>Points!H20</f>
        <v>9</v>
      </c>
      <c r="K18" s="395" t="str">
        <f ca="1">IF('Ch10'!$AG$3,"û","ü")</f>
        <v>ü</v>
      </c>
      <c r="L18" s="395" t="str">
        <f>IF('Ch10'!$AI$3,"û","ü")</f>
        <v>ü</v>
      </c>
    </row>
    <row r="19" spans="3:12" x14ac:dyDescent="0.35">
      <c r="C19" s="386" t="s">
        <v>4084</v>
      </c>
      <c r="D19" s="390">
        <v>50</v>
      </c>
      <c r="E19" s="390">
        <v>75</v>
      </c>
      <c r="F19" s="390">
        <v>100</v>
      </c>
      <c r="G19" s="390">
        <v>100</v>
      </c>
      <c r="I19" s="392"/>
    </row>
    <row r="20" spans="3:12" x14ac:dyDescent="0.35">
      <c r="C20" s="386" t="s">
        <v>4095</v>
      </c>
      <c r="D20" s="390">
        <f>MAX(0,ROUNDDOWN(('Overview (Design)'!$G$22-4000)/100,0))</f>
        <v>0</v>
      </c>
      <c r="E20" s="390">
        <f>MAX(0,ROUNDDOWN(('Overview (Design)'!$G$22-4000)/100,0))</f>
        <v>0</v>
      </c>
      <c r="F20" s="390">
        <f>MAX(0,ROUNDDOWN(('Overview (Design)'!$G$22-4000)/100,0))</f>
        <v>0</v>
      </c>
      <c r="G20" s="390">
        <f>MAX(0,ROUNDDOWN(('Overview (Design)'!$G$22-4000)/100,0))</f>
        <v>0</v>
      </c>
      <c r="I20" s="392"/>
    </row>
    <row r="21" spans="3:12" x14ac:dyDescent="0.35">
      <c r="C21" s="397" t="s">
        <v>4085</v>
      </c>
      <c r="D21" s="390">
        <f>SUM(D13:D20)</f>
        <v>231</v>
      </c>
      <c r="E21" s="390">
        <f>SUM(E13:E20)</f>
        <v>334</v>
      </c>
      <c r="F21" s="390">
        <f>SUM(F13:F20)</f>
        <v>489</v>
      </c>
      <c r="G21" s="390">
        <f>SUM(G13:G20)</f>
        <v>611</v>
      </c>
      <c r="I21" s="392">
        <f ca="1">SUM(I13:I18)</f>
        <v>263</v>
      </c>
    </row>
    <row r="23" spans="3:12" x14ac:dyDescent="0.35">
      <c r="C23" s="386" t="s">
        <v>4092</v>
      </c>
      <c r="D23" s="393">
        <f ca="1">Points!J21</f>
        <v>82</v>
      </c>
      <c r="E23" s="393">
        <f ca="1">Points!K21</f>
        <v>4</v>
      </c>
      <c r="F23" s="393">
        <f ca="1">Points!L21</f>
        <v>-126</v>
      </c>
      <c r="G23" s="393">
        <f ca="1">Points!M21</f>
        <v>-248</v>
      </c>
      <c r="H23" s="398"/>
    </row>
    <row r="25" spans="3:12" ht="18.5" x14ac:dyDescent="0.35">
      <c r="C25" s="394" t="s">
        <v>4094</v>
      </c>
      <c r="D25" s="831" t="str">
        <f ca="1">Points!R22</f>
        <v>Bronze</v>
      </c>
      <c r="E25" s="832"/>
      <c r="F25" s="832"/>
      <c r="G25" s="833"/>
      <c r="H25" s="399"/>
    </row>
  </sheetData>
  <sheetProtection algorithmName="SHA-512" hashValue="3rI/4hvvg+/o4DiW+p1hw/nl/LWwy6m7W6Ij+mwk8aW13XUuZVNb0ErX77SPELEwh8FmyU8JOdGP+vi3apGesQ==" saltValue="gEKWYLLkuF7L9mP3kHVT+w==" spinCount="100000" sheet="1" objects="1" scenarios="1" selectLockedCells="1" selectUnlockedCells="1"/>
  <mergeCells count="6">
    <mergeCell ref="D25:G25"/>
    <mergeCell ref="D1:M5"/>
    <mergeCell ref="K11:K12"/>
    <mergeCell ref="L11:L12"/>
    <mergeCell ref="I11:I12"/>
    <mergeCell ref="D11:G11"/>
  </mergeCells>
  <conditionalFormatting sqref="B9">
    <cfRule type="expression" dxfId="2264" priority="1">
      <formula>$B$9="ü"</formula>
    </cfRule>
    <cfRule type="expression" dxfId="2263" priority="3">
      <formula>$B$9="û"</formula>
    </cfRule>
  </conditionalFormatting>
  <conditionalFormatting sqref="D25">
    <cfRule type="expression" dxfId="2262" priority="12">
      <formula>D25="Gold"</formula>
    </cfRule>
    <cfRule type="expression" dxfId="2261" priority="13">
      <formula>D25="Silver"</formula>
    </cfRule>
    <cfRule type="expression" dxfId="2260" priority="14">
      <formula>D25="Bronze"</formula>
    </cfRule>
    <cfRule type="expression" dxfId="2259" priority="15">
      <formula>D25="Emerald"</formula>
    </cfRule>
  </conditionalFormatting>
  <conditionalFormatting sqref="D12:G12">
    <cfRule type="expression" dxfId="2258" priority="4">
      <formula>D12="Gold"</formula>
    </cfRule>
    <cfRule type="expression" dxfId="2257" priority="5">
      <formula>D12="Silver"</formula>
    </cfRule>
    <cfRule type="expression" dxfId="2256" priority="6">
      <formula>D12="Bronze"</formula>
    </cfRule>
    <cfRule type="expression" dxfId="2255" priority="7">
      <formula>D12="Emerald"</formula>
    </cfRule>
  </conditionalFormatting>
  <conditionalFormatting sqref="D13:G21">
    <cfRule type="cellIs" dxfId="2254" priority="27" operator="lessThanOrEqual">
      <formula>$I13</formula>
    </cfRule>
  </conditionalFormatting>
  <conditionalFormatting sqref="D19:G19">
    <cfRule type="cellIs" dxfId="2253" priority="16" operator="lessThanOrEqual">
      <formula>D$23</formula>
    </cfRule>
  </conditionalFormatting>
  <conditionalFormatting sqref="F15">
    <cfRule type="expression" dxfId="2252" priority="26">
      <formula>Ch7Max&lt;3</formula>
    </cfRule>
  </conditionalFormatting>
  <conditionalFormatting sqref="F16:G16">
    <cfRule type="expression" dxfId="2251" priority="28">
      <formula>Ch8Max=2</formula>
    </cfRule>
  </conditionalFormatting>
  <conditionalFormatting sqref="G15">
    <cfRule type="expression" dxfId="2250" priority="25">
      <formula>Ch7Max&lt;4</formula>
    </cfRule>
  </conditionalFormatting>
  <conditionalFormatting sqref="K13:L18">
    <cfRule type="expression" dxfId="2249" priority="2">
      <formula>K13="ü"</formula>
    </cfRule>
    <cfRule type="expression" dxfId="2248" priority="23">
      <formula>K13="û"</formula>
    </cfRule>
  </conditionalFormatting>
  <pageMargins left="0.7" right="0.7" top="0.75" bottom="0.75" header="0.3" footer="0.3"/>
  <pageSetup scale="56"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1"/>
    <pageSetUpPr fitToPage="1"/>
  </sheetPr>
  <dimension ref="A2:ED18"/>
  <sheetViews>
    <sheetView topLeftCell="EK1" zoomScaleNormal="100" workbookViewId="0"/>
  </sheetViews>
  <sheetFormatPr defaultRowHeight="14.5" x14ac:dyDescent="0.35"/>
  <cols>
    <col min="1" max="1" width="6.26953125" hidden="1" customWidth="1"/>
    <col min="2" max="2" width="10.54296875" hidden="1" customWidth="1"/>
    <col min="3" max="3" width="8.7265625" hidden="1" customWidth="1"/>
    <col min="4" max="4" width="15.7265625" hidden="1" customWidth="1"/>
    <col min="5" max="5" width="25.81640625" hidden="1" customWidth="1"/>
    <col min="6" max="8" width="24.54296875" hidden="1" customWidth="1"/>
    <col min="9" max="10" width="13.26953125" hidden="1" customWidth="1"/>
    <col min="11" max="13" width="24.54296875" hidden="1" customWidth="1"/>
    <col min="14" max="14" width="21.81640625" hidden="1" customWidth="1"/>
    <col min="15" max="15" width="13.7265625" hidden="1" customWidth="1"/>
    <col min="16" max="16" width="20.26953125" hidden="1" customWidth="1"/>
    <col min="17" max="17" width="7.453125" hidden="1" customWidth="1"/>
    <col min="18" max="18" width="17.7265625" hidden="1" customWidth="1"/>
    <col min="19" max="19" width="18.81640625" hidden="1" customWidth="1"/>
    <col min="20" max="20" width="14.453125" hidden="1" customWidth="1"/>
    <col min="21" max="21" width="12.54296875" hidden="1" customWidth="1"/>
    <col min="22" max="22" width="10.7265625" hidden="1" customWidth="1"/>
    <col min="23" max="23" width="18.1796875" hidden="1" customWidth="1"/>
    <col min="24" max="24" width="8.26953125" hidden="1" customWidth="1"/>
    <col min="25" max="25" width="9.54296875" hidden="1" customWidth="1"/>
    <col min="26" max="26" width="14" hidden="1" customWidth="1"/>
    <col min="27" max="27" width="15.26953125" hidden="1" customWidth="1"/>
    <col min="28" max="28" width="10.7265625" hidden="1" customWidth="1"/>
    <col min="29" max="31" width="10.26953125" hidden="1" customWidth="1"/>
    <col min="32" max="32" width="9.7265625" hidden="1" customWidth="1"/>
    <col min="33" max="34" width="10.26953125" hidden="1" customWidth="1"/>
    <col min="35" max="35" width="8.26953125" hidden="1" customWidth="1"/>
    <col min="36" max="36" width="9.26953125" hidden="1" customWidth="1"/>
    <col min="37" max="38" width="10.26953125" hidden="1" customWidth="1"/>
    <col min="39" max="39" width="8.26953125" hidden="1" customWidth="1"/>
    <col min="40" max="40" width="12.7265625" hidden="1" customWidth="1"/>
    <col min="41" max="41" width="10.26953125" hidden="1" customWidth="1"/>
    <col min="42" max="42" width="10.453125" hidden="1" customWidth="1"/>
    <col min="43" max="43" width="10.1796875" hidden="1" customWidth="1"/>
    <col min="44" max="46" width="10.453125" hidden="1" customWidth="1"/>
    <col min="47" max="48" width="14.453125" hidden="1" customWidth="1"/>
    <col min="49" max="49" width="18" hidden="1" customWidth="1"/>
    <col min="50" max="50" width="14.453125" hidden="1" customWidth="1"/>
    <col min="51" max="51" width="10.26953125" hidden="1" customWidth="1"/>
    <col min="52" max="52" width="12.26953125" hidden="1" customWidth="1"/>
    <col min="53" max="53" width="15.26953125" hidden="1" customWidth="1"/>
    <col min="54" max="55" width="11.26953125" hidden="1" customWidth="1"/>
    <col min="56" max="56" width="13.453125" hidden="1" customWidth="1"/>
    <col min="57" max="64" width="13.81640625" hidden="1" customWidth="1"/>
    <col min="65" max="65" width="11.26953125" hidden="1" customWidth="1"/>
    <col min="66" max="66" width="11.453125" hidden="1" customWidth="1"/>
    <col min="67" max="67" width="11.26953125" hidden="1" customWidth="1"/>
    <col min="68" max="68" width="11.453125" hidden="1" customWidth="1"/>
    <col min="69" max="70" width="11.7265625" hidden="1" customWidth="1"/>
    <col min="71" max="72" width="15.54296875" hidden="1" customWidth="1"/>
    <col min="73" max="73" width="14.7265625" hidden="1" customWidth="1"/>
    <col min="74" max="74" width="13.54296875" hidden="1" customWidth="1"/>
    <col min="75" max="78" width="18.7265625" hidden="1" customWidth="1"/>
    <col min="79" max="79" width="8.26953125" hidden="1" customWidth="1"/>
    <col min="80" max="80" width="18.7265625" hidden="1" customWidth="1"/>
    <col min="81" max="81" width="11" hidden="1" customWidth="1"/>
    <col min="82" max="82" width="10.7265625" hidden="1" customWidth="1"/>
    <col min="83" max="83" width="21.7265625" hidden="1" customWidth="1"/>
    <col min="84" max="84" width="14.453125" hidden="1" customWidth="1"/>
    <col min="85" max="85" width="15.453125" hidden="1" customWidth="1"/>
    <col min="86" max="86" width="22.453125" hidden="1" customWidth="1"/>
    <col min="87" max="87" width="14.453125" hidden="1" customWidth="1"/>
    <col min="88" max="91" width="12.26953125" hidden="1" customWidth="1"/>
    <col min="92" max="93" width="10.26953125" hidden="1" customWidth="1"/>
    <col min="94" max="94" width="12.26953125" hidden="1" customWidth="1"/>
    <col min="95" max="96" width="14.453125" hidden="1" customWidth="1"/>
    <col min="97" max="97" width="12.26953125" hidden="1" customWidth="1"/>
    <col min="98" max="98" width="14.453125" hidden="1" customWidth="1"/>
    <col min="99" max="99" width="10.26953125" hidden="1" customWidth="1"/>
    <col min="100" max="100" width="0" hidden="1" customWidth="1"/>
    <col min="101" max="101" width="10.26953125" hidden="1" customWidth="1"/>
    <col min="102" max="102" width="16.453125" hidden="1" customWidth="1"/>
    <col min="103" max="104" width="10.26953125" hidden="1" customWidth="1"/>
    <col min="105" max="105" width="13.1796875" hidden="1" customWidth="1"/>
    <col min="106" max="107" width="10.26953125" hidden="1" customWidth="1"/>
    <col min="108" max="108" width="12.26953125" hidden="1" customWidth="1"/>
    <col min="109" max="110" width="10.26953125" hidden="1" customWidth="1"/>
    <col min="111" max="112" width="15.7265625" hidden="1" customWidth="1"/>
    <col min="113" max="114" width="12.26953125" hidden="1" customWidth="1"/>
    <col min="115" max="116" width="10.26953125" hidden="1" customWidth="1"/>
    <col min="117" max="122" width="12.26953125" hidden="1" customWidth="1"/>
    <col min="123" max="123" width="12.453125" hidden="1" customWidth="1"/>
    <col min="124" max="125" width="10.26953125" hidden="1" customWidth="1"/>
    <col min="126" max="126" width="10.453125" hidden="1" customWidth="1"/>
    <col min="127" max="127" width="10.1796875" hidden="1" customWidth="1"/>
    <col min="128" max="128" width="10.453125" hidden="1" customWidth="1"/>
    <col min="129" max="129" width="10.7265625" hidden="1" customWidth="1"/>
    <col min="130" max="130" width="11.26953125" hidden="1" customWidth="1"/>
    <col min="131" max="132" width="10.26953125" hidden="1" customWidth="1"/>
    <col min="133" max="134" width="8.26953125" hidden="1" customWidth="1"/>
    <col min="135" max="140" width="0" hidden="1" customWidth="1"/>
  </cols>
  <sheetData>
    <row r="2" spans="1:134" x14ac:dyDescent="0.35">
      <c r="A2" t="s">
        <v>90</v>
      </c>
      <c r="B2" t="s">
        <v>196</v>
      </c>
      <c r="AB2" t="s">
        <v>301</v>
      </c>
      <c r="AN2" t="s">
        <v>3184</v>
      </c>
      <c r="CB2" t="s">
        <v>3188</v>
      </c>
      <c r="CV2" t="s">
        <v>3772</v>
      </c>
      <c r="DI2" t="s">
        <v>3916</v>
      </c>
    </row>
    <row r="4" spans="1:134" x14ac:dyDescent="0.35">
      <c r="A4" t="s">
        <v>245</v>
      </c>
      <c r="B4" s="1" t="s">
        <v>276</v>
      </c>
      <c r="C4" s="1"/>
      <c r="D4" t="str">
        <f>'Overview (Design)'!E18</f>
        <v>ddSingleOrMulti</v>
      </c>
      <c r="E4" t="str">
        <f>'Overview (Design)'!E29</f>
        <v>ddFoundation</v>
      </c>
      <c r="F4" t="str">
        <f>'Overview (Design)'!E31</f>
        <v>ddHeat1</v>
      </c>
      <c r="G4" t="str">
        <f>'Overview (Design)'!E32</f>
        <v>ddHeat2</v>
      </c>
      <c r="H4" t="str">
        <f>'Overview (Design)'!E33</f>
        <v>ddHeat3</v>
      </c>
      <c r="I4" t="str">
        <f>'Overview (Design)'!E34</f>
        <v>ddFuel</v>
      </c>
      <c r="J4" t="str">
        <f>'Overview (Design)'!E35</f>
        <v>ddHDucts</v>
      </c>
      <c r="K4" t="str">
        <f>'Overview (Design)'!E36</f>
        <v>ddCool1</v>
      </c>
      <c r="L4" t="str">
        <f>'Overview (Design)'!E37</f>
        <v>ddCool2</v>
      </c>
      <c r="M4" t="str">
        <f>'Overview (Design)'!E38</f>
        <v>ddCool3</v>
      </c>
      <c r="N4" t="str">
        <f>'Overview (Design)'!E39</f>
        <v>ddCDucts</v>
      </c>
      <c r="O4" t="str">
        <f>'Overview (Design)'!E45</f>
        <v>ddRenewable</v>
      </c>
      <c r="P4" t="str">
        <f>'Overview (Design)'!E46</f>
        <v>ddTEInsulation</v>
      </c>
      <c r="Q4" t="str">
        <f>'Overview (Design)'!E47</f>
        <v>ddAttic</v>
      </c>
      <c r="R4" t="str">
        <f>'Overview (Design)'!E48</f>
        <v>ddAttachedGarage</v>
      </c>
      <c r="S4" t="str">
        <f>'Overview (Design)'!E49</f>
        <v>ddRecessedLighting</v>
      </c>
      <c r="T4" t="str">
        <f>'Overview (Design)'!E52</f>
        <v>ddPassiveSolar</v>
      </c>
      <c r="U4" t="str">
        <f>'Overview (Design)'!E53</f>
        <v>ddMassWalls</v>
      </c>
      <c r="V4" t="str">
        <f>'Overview (Design)'!E54</f>
        <v>ddDuctless</v>
      </c>
      <c r="W4" t="str">
        <f>'Overview (Design)'!E55</f>
        <v>ddRadiantHydronic</v>
      </c>
      <c r="X4" t="str">
        <f>'Overview (Design)'!E56</f>
        <v>ddTLWH</v>
      </c>
      <c r="Y4" t="str">
        <f>'Overview (Design)'!E57</f>
        <v>ddCToilet</v>
      </c>
      <c r="Z4" t="str">
        <f>'Overview (Design)'!E59</f>
        <v>ddEnergyCode</v>
      </c>
      <c r="AA4" t="str">
        <f>'Overview (Design)'!E60</f>
        <v>ddBuildingCode</v>
      </c>
      <c r="AB4" t="str">
        <f>'Ch5'!U40</f>
        <v>dd501_2_6</v>
      </c>
      <c r="AC4" t="str">
        <f>'Ch5'!U73</f>
        <v>dd503_2_3</v>
      </c>
      <c r="AD4" t="str">
        <f>'Ch5'!U108</f>
        <v>dd503_4_3</v>
      </c>
      <c r="AE4" t="str">
        <f>'Ch5'!U115</f>
        <v>dd503_4_4</v>
      </c>
      <c r="AF4" t="str">
        <f>'Ch5'!U122</f>
        <v>dd503_5</v>
      </c>
      <c r="AG4" t="str">
        <f>'Ch5'!U124</f>
        <v>dd503_5_1</v>
      </c>
      <c r="AH4" t="str">
        <f>'Ch5'!U136</f>
        <v>dd503_5_5</v>
      </c>
      <c r="AI4" t="str">
        <f>'Ch5'!U165</f>
        <v>dd503_7</v>
      </c>
      <c r="AJ4" t="str">
        <f>'Ch5'!U172</f>
        <v>dd503_8</v>
      </c>
      <c r="AK4" t="str">
        <f>'Ch5'!U227</f>
        <v>dd505_1_3</v>
      </c>
      <c r="AL4" t="str">
        <f>'Ch5'!U231</f>
        <v>dd505_1_4</v>
      </c>
      <c r="AM4" t="str">
        <f>'Ch5'!U250</f>
        <v>dd505_3</v>
      </c>
      <c r="AN4" t="str">
        <f>'Ch6'!U56</f>
        <v>dd601_6</v>
      </c>
      <c r="AO4" t="str">
        <f>'Ch6'!U63</f>
        <v>dd601_7_a</v>
      </c>
      <c r="AP4" t="str">
        <f>'Ch6'!U64</f>
        <v>dd601_7_b</v>
      </c>
      <c r="AQ4" t="str">
        <f>'Ch6'!U65</f>
        <v>dd601_7_c</v>
      </c>
      <c r="AR4" t="str">
        <f>'Ch6'!U69</f>
        <v>dd601_7_d</v>
      </c>
      <c r="AS4" t="str">
        <f>'Ch6'!U71</f>
        <v>dd601_7_e</v>
      </c>
      <c r="AT4" t="str">
        <f>'Ch6'!U97</f>
        <v>dd602_1_1_1</v>
      </c>
      <c r="AU4" t="str">
        <f>'Ch6'!U117</f>
        <v>dd602_1_4_1_2</v>
      </c>
      <c r="AV4" t="str">
        <f>'Ch6'!U123</f>
        <v>dd602_1_4_2_2</v>
      </c>
      <c r="AW4" t="str">
        <f>'Ch6'!U126</f>
        <v>dd602_1_5</v>
      </c>
      <c r="AX4" t="str">
        <f>'Ch6'!U150</f>
        <v>dd602_1_7_1_2</v>
      </c>
      <c r="AY4" t="str">
        <f>'Ch6'!U161</f>
        <v>dd602_1_8</v>
      </c>
      <c r="AZ4" t="str">
        <f>'Ch6'!U187</f>
        <v>dd602_1_9_5</v>
      </c>
      <c r="BA4" t="str">
        <f>'Ch6'!U197</f>
        <v>dd602_1_10</v>
      </c>
      <c r="BB4" t="str">
        <f>'Ch6'!U209</f>
        <v>dd602_1_11</v>
      </c>
      <c r="BC4" t="str">
        <f>'Ch6'!U214</f>
        <v>dd602_1_13</v>
      </c>
      <c r="BD4" t="str">
        <f>'Ch6'!U220</f>
        <v>dd602_1_14_1</v>
      </c>
      <c r="BE4" t="str">
        <f>'Ch6'!U319</f>
        <v>dd606_1_a</v>
      </c>
      <c r="BF4" t="str">
        <f>'Ch6'!U320</f>
        <v>dd606_1_b</v>
      </c>
      <c r="BG4" t="str">
        <f>'Ch6'!U321</f>
        <v>dd606_1_c</v>
      </c>
      <c r="BH4" t="str">
        <f>'Ch6'!U322</f>
        <v>dd606_1_d</v>
      </c>
      <c r="BI4" t="str">
        <f>'Ch6'!U323</f>
        <v>dd606_1_e</v>
      </c>
      <c r="BJ4" t="str">
        <f>'Ch6'!U324</f>
        <v>dd606_1_f</v>
      </c>
      <c r="BK4" t="str">
        <f>'Ch6'!U325</f>
        <v>dd606_1_g</v>
      </c>
      <c r="BL4" t="str">
        <f>'Ch6'!U326</f>
        <v>dd606_1_h</v>
      </c>
      <c r="BM4" t="str">
        <f>'Ch6'!U346</f>
        <v>dd606_2_1a</v>
      </c>
      <c r="BN4" t="str">
        <f>'Ch6'!U347</f>
        <v>dd606_2_1b</v>
      </c>
      <c r="BO4" t="str">
        <f>'Ch6'!U349</f>
        <v>dd606_2_2a</v>
      </c>
      <c r="BP4" t="str">
        <f>'Ch6'!U350</f>
        <v>dd606_2_2b</v>
      </c>
      <c r="BQ4" t="str">
        <f>'Ch6'!U352</f>
        <v>dd606_3</v>
      </c>
      <c r="BR4" t="str">
        <f>'Ch6'!U367</f>
        <v>dd608_1</v>
      </c>
      <c r="BS4" t="str">
        <f>'Ch6'!U377</f>
        <v>dd609_1a</v>
      </c>
      <c r="BT4" t="str">
        <f>'Ch6'!U380</f>
        <v>dd609_1b</v>
      </c>
      <c r="BU4" t="str">
        <f>'Ch6'!U416</f>
        <v>dd610_1_2_1a</v>
      </c>
      <c r="BV4" t="str">
        <f>'Ch6'!U423</f>
        <v>dd610_1_2_1b</v>
      </c>
      <c r="BW4" t="str">
        <f>'Ch6'!U429</f>
        <v>dd610_1_2_2a</v>
      </c>
      <c r="BX4" t="str">
        <f>'Ch6'!U435</f>
        <v>dd610_1_2_2b</v>
      </c>
      <c r="BY4" t="str">
        <f>'Ch6'!U441</f>
        <v>dd610_1_2_2c</v>
      </c>
      <c r="BZ4" t="str">
        <f>'Ch6'!U447</f>
        <v>dd610_1_2_2_f</v>
      </c>
      <c r="CA4" t="str">
        <f>'Ch6'!U453</f>
        <v>dd611_1</v>
      </c>
      <c r="CB4" t="str">
        <f>'Ch7'!U12</f>
        <v>dd701_1</v>
      </c>
      <c r="CC4" t="str">
        <f>'Ch7'!U14</f>
        <v>dd701_1_</v>
      </c>
      <c r="CD4" t="str">
        <f>'Ch7'!U26</f>
        <v>dd701_1_4</v>
      </c>
      <c r="CE4" t="str">
        <f>'Ch7'!U43</f>
        <v>dd701_4_1_2</v>
      </c>
      <c r="CF4" t="str">
        <f>'Ch7'!U127</f>
        <v>dd701_4_3_3_5</v>
      </c>
      <c r="CG4" t="str">
        <f>'Ch7'!U176</f>
        <v>dd703_1_3</v>
      </c>
      <c r="CH4" t="str">
        <f>'Ch7'!U198</f>
        <v>dd703_2_5_1</v>
      </c>
      <c r="CI4" t="str">
        <f>'Ch7'!U205</f>
        <v>dd703_2_5_1_1</v>
      </c>
      <c r="CJ4" t="str">
        <f>'Ch7'!U213</f>
        <v>dd703_2_5_2</v>
      </c>
      <c r="CK4" t="str">
        <f>'Ch7'!U221</f>
        <v>dd703_2_5_2_1</v>
      </c>
      <c r="CL4" t="str">
        <f>'Ch7'!U231</f>
        <v>dd703_3_0_1</v>
      </c>
      <c r="CM4" t="str">
        <f>'Ch7'!U237</f>
        <v>dd703_3_0_2</v>
      </c>
      <c r="CN4" t="str">
        <f>'Ch7'!U320</f>
        <v>dd703_4_4</v>
      </c>
      <c r="CO4" t="str">
        <f>'Ch7'!U331</f>
        <v>dd703_5_1</v>
      </c>
      <c r="CP4" t="str">
        <f>'Ch7'!U470</f>
        <v>dd705_2_1_1</v>
      </c>
      <c r="CQ4" t="str">
        <f>'Ch7'!U477</f>
        <v>dd705_2_1_3_1</v>
      </c>
      <c r="CR4" t="str">
        <f>'Ch7'!U481</f>
        <v>dd705_2_1_3_2</v>
      </c>
      <c r="CS4" t="str">
        <f>'Ch7'!U486</f>
        <v>dd705_2_1_4</v>
      </c>
      <c r="CT4" t="str">
        <f>'Ch7'!U545</f>
        <v>dd705_6_2_3</v>
      </c>
      <c r="CU4" t="str">
        <f>'Ch7'!U585</f>
        <v>dd706_2_2</v>
      </c>
      <c r="CV4" t="str">
        <f>'Ch8'!U12</f>
        <v>dd801_1</v>
      </c>
      <c r="CW4" t="str">
        <f>'Ch8'!U47</f>
        <v>dd801_2_2</v>
      </c>
      <c r="CX4" t="str">
        <f>'Ch8'!U54</f>
        <v>dd801_3_1</v>
      </c>
      <c r="CY4" t="str">
        <f>'Ch8'!U63</f>
        <v>dd801_3_2</v>
      </c>
      <c r="CZ4" t="str">
        <f>'Ch8'!U68</f>
        <v>dd801_3_3</v>
      </c>
      <c r="DA4" t="str">
        <f>'Ch8'!U73</f>
        <v>dd801_4_1_1</v>
      </c>
      <c r="DB4" t="str">
        <f>'Ch8'!U78</f>
        <v>dd801_4_2</v>
      </c>
      <c r="DC4" t="str">
        <f>'Ch8'!U85</f>
        <v>dd801_5_2</v>
      </c>
      <c r="DD4" t="str">
        <f>'Ch8'!U94</f>
        <v>dd801_5_4_a</v>
      </c>
      <c r="DE4" t="str">
        <f>'Ch8'!U110</f>
        <v>dd801_6_3</v>
      </c>
      <c r="DF4" t="str">
        <f>'Ch8'!U127</f>
        <v>dd801_7_1</v>
      </c>
      <c r="DG4" t="str">
        <f>'Ch8'!U141</f>
        <v>dd801_7_2_1</v>
      </c>
      <c r="DH4" t="str">
        <f>'Ch8'!U151</f>
        <v>dd802_1_1</v>
      </c>
      <c r="DI4" t="str">
        <f>'Ch9'!U23</f>
        <v>dd901_1_3_1</v>
      </c>
      <c r="DJ4" t="str">
        <f>'Ch9'!U26</f>
        <v>dd901_1_3_2</v>
      </c>
      <c r="DK4" t="str">
        <f>'Ch9'!U29</f>
        <v>dd901_1_4</v>
      </c>
      <c r="DL4" t="str">
        <f>'Ch9'!U36</f>
        <v>dd901_1_6</v>
      </c>
      <c r="DM4" t="str">
        <f>'Ch9'!U42</f>
        <v>dd901_2_1_1</v>
      </c>
      <c r="DN4" t="str">
        <f>'Ch9'!U45</f>
        <v>dd901_2_1_2</v>
      </c>
      <c r="DO4" t="str">
        <f>'Ch9'!U47</f>
        <v>dd901_2_1_3</v>
      </c>
      <c r="DP4" t="str">
        <f>'Ch9'!U50</f>
        <v>dd901_2_1_4</v>
      </c>
      <c r="DQ4" t="str">
        <f>'Ch9'!U52</f>
        <v>dd901_2_1_5</v>
      </c>
      <c r="DR4" t="str">
        <f>'Ch9'!U57</f>
        <v>dd901_3_1_a</v>
      </c>
      <c r="DS4" t="str">
        <f>'Ch9'!U59</f>
        <v>dd901_3_1_b</v>
      </c>
      <c r="DT4" t="str">
        <f>'Ch9'!U71</f>
        <v>dd901_4_1</v>
      </c>
      <c r="DU4" t="str">
        <f>'Ch9'!U76</f>
        <v>dd901_4_a</v>
      </c>
      <c r="DV4" t="str">
        <f>'Ch9'!U77</f>
        <v>dd901_4_b</v>
      </c>
      <c r="DW4" t="str">
        <f>'Ch9'!U78</f>
        <v>dd901_4_c</v>
      </c>
      <c r="DX4" t="str">
        <f>'Ch9'!U79</f>
        <v>dd901_4_d</v>
      </c>
      <c r="DY4" t="str">
        <f>'Ch9'!U163</f>
        <v>dd901_12</v>
      </c>
      <c r="DZ4" t="str">
        <f>'Ch9'!U183</f>
        <v>dd902_1_2_</v>
      </c>
      <c r="EA4" t="str">
        <f>'Ch9'!U211</f>
        <v>dd902_2_1</v>
      </c>
      <c r="EB4" t="str">
        <f>'Ch9'!U230</f>
        <v>dd902_3_1</v>
      </c>
      <c r="EC4" t="str">
        <f>'Ch9'!U248</f>
        <v>dd903_1</v>
      </c>
      <c r="ED4" t="str">
        <f>'Ch9'!U252</f>
        <v>dd903_2</v>
      </c>
    </row>
    <row r="5" spans="1:134" x14ac:dyDescent="0.35">
      <c r="B5" t="b">
        <v>1</v>
      </c>
      <c r="D5" s="4" t="s">
        <v>197</v>
      </c>
      <c r="E5" s="4" t="s">
        <v>198</v>
      </c>
      <c r="F5" s="4" t="s">
        <v>206</v>
      </c>
      <c r="G5" s="4" t="s">
        <v>206</v>
      </c>
      <c r="H5" s="4" t="s">
        <v>206</v>
      </c>
      <c r="I5" s="4" t="s">
        <v>211</v>
      </c>
      <c r="J5" s="4" t="s">
        <v>3626</v>
      </c>
      <c r="K5" s="4" t="s">
        <v>208</v>
      </c>
      <c r="L5" s="4" t="s">
        <v>208</v>
      </c>
      <c r="M5" s="4" t="s">
        <v>208</v>
      </c>
      <c r="N5" s="4" t="s">
        <v>3626</v>
      </c>
      <c r="O5" s="4" t="s">
        <v>216</v>
      </c>
      <c r="P5" s="4" t="s">
        <v>221</v>
      </c>
      <c r="Q5" s="4" t="s">
        <v>216</v>
      </c>
      <c r="R5" s="4" t="s">
        <v>231</v>
      </c>
      <c r="S5" s="4" t="s">
        <v>231</v>
      </c>
      <c r="T5" s="4" t="s">
        <v>231</v>
      </c>
      <c r="U5" s="4" t="s">
        <v>231</v>
      </c>
      <c r="V5" s="4" t="s">
        <v>231</v>
      </c>
      <c r="W5" s="4" t="s">
        <v>231</v>
      </c>
      <c r="X5" s="4" t="s">
        <v>231</v>
      </c>
      <c r="Y5" s="4" t="s">
        <v>231</v>
      </c>
      <c r="Z5" s="4" t="s">
        <v>233</v>
      </c>
      <c r="AA5" s="4" t="s">
        <v>237</v>
      </c>
      <c r="AB5" t="s">
        <v>121</v>
      </c>
      <c r="AC5" t="s">
        <v>121</v>
      </c>
      <c r="AD5" t="s">
        <v>121</v>
      </c>
      <c r="AE5" t="s">
        <v>121</v>
      </c>
      <c r="AF5" t="s">
        <v>832</v>
      </c>
      <c r="AG5" t="s">
        <v>121</v>
      </c>
      <c r="AH5" t="s">
        <v>121</v>
      </c>
      <c r="AI5" s="79" t="s">
        <v>270</v>
      </c>
      <c r="AJ5" t="s">
        <v>3165</v>
      </c>
      <c r="AK5" t="s">
        <v>121</v>
      </c>
      <c r="AL5" t="s">
        <v>121</v>
      </c>
      <c r="AM5" s="79" t="s">
        <v>270</v>
      </c>
      <c r="AN5" t="s">
        <v>3185</v>
      </c>
      <c r="AO5" t="s">
        <v>3735</v>
      </c>
      <c r="AP5" t="s">
        <v>3735</v>
      </c>
      <c r="AQ5" t="s">
        <v>3735</v>
      </c>
      <c r="AR5" t="s">
        <v>3735</v>
      </c>
      <c r="AS5" t="s">
        <v>3735</v>
      </c>
      <c r="AT5" t="s">
        <v>3239</v>
      </c>
      <c r="AU5" t="s">
        <v>3239</v>
      </c>
      <c r="AV5" t="s">
        <v>3239</v>
      </c>
      <c r="AW5" t="s">
        <v>3244</v>
      </c>
      <c r="AX5" t="s">
        <v>3239</v>
      </c>
      <c r="AY5" t="s">
        <v>3239</v>
      </c>
      <c r="AZ5" t="s">
        <v>121</v>
      </c>
      <c r="BA5" t="s">
        <v>3248</v>
      </c>
      <c r="BB5" t="s">
        <v>3239</v>
      </c>
      <c r="BC5" t="s">
        <v>3239</v>
      </c>
      <c r="BD5" t="s">
        <v>3239</v>
      </c>
      <c r="BE5" t="s">
        <v>3277</v>
      </c>
      <c r="BF5" t="s">
        <v>3277</v>
      </c>
      <c r="BG5" t="s">
        <v>3277</v>
      </c>
      <c r="BH5" t="s">
        <v>3277</v>
      </c>
      <c r="BI5" t="s">
        <v>3277</v>
      </c>
      <c r="BJ5" t="s">
        <v>3277</v>
      </c>
      <c r="BK5" t="s">
        <v>3277</v>
      </c>
      <c r="BL5" t="s">
        <v>3277</v>
      </c>
      <c r="BM5" t="s">
        <v>3729</v>
      </c>
      <c r="BN5" t="s">
        <v>3729</v>
      </c>
      <c r="BO5" t="s">
        <v>3729</v>
      </c>
      <c r="BP5" t="s">
        <v>3729</v>
      </c>
      <c r="BQ5" t="s">
        <v>3283</v>
      </c>
      <c r="BR5" t="s">
        <v>3288</v>
      </c>
      <c r="BS5" t="s">
        <v>3295</v>
      </c>
      <c r="BT5" t="s">
        <v>3295</v>
      </c>
      <c r="BU5" t="s">
        <v>3311</v>
      </c>
      <c r="BV5" t="s">
        <v>3311</v>
      </c>
      <c r="BW5" t="s">
        <v>3317</v>
      </c>
      <c r="BX5" t="s">
        <v>3317</v>
      </c>
      <c r="BY5" t="s">
        <v>3317</v>
      </c>
      <c r="BZ5" t="s">
        <v>3317</v>
      </c>
      <c r="CA5" s="79" t="s">
        <v>3327</v>
      </c>
      <c r="CB5" t="s">
        <v>3189</v>
      </c>
      <c r="CC5" t="s">
        <v>4772</v>
      </c>
      <c r="CD5" t="s">
        <v>3194</v>
      </c>
      <c r="CE5" t="s">
        <v>3239</v>
      </c>
      <c r="CF5" t="s">
        <v>3239</v>
      </c>
      <c r="CG5" t="s">
        <v>4797</v>
      </c>
      <c r="CH5" t="s">
        <v>3239</v>
      </c>
      <c r="CI5" t="s">
        <v>3239</v>
      </c>
      <c r="CJ5" t="s">
        <v>121</v>
      </c>
      <c r="CK5" t="s">
        <v>3239</v>
      </c>
      <c r="CL5" t="s">
        <v>231</v>
      </c>
      <c r="CM5" t="s">
        <v>231</v>
      </c>
      <c r="CN5" s="79" t="s">
        <v>270</v>
      </c>
      <c r="CO5" s="12" t="s">
        <v>3887</v>
      </c>
      <c r="CP5" s="79" t="s">
        <v>270</v>
      </c>
      <c r="CQ5" t="s">
        <v>121</v>
      </c>
      <c r="CR5" t="s">
        <v>121</v>
      </c>
      <c r="CS5" s="79" t="s">
        <v>270</v>
      </c>
      <c r="CT5" s="79" t="s">
        <v>270</v>
      </c>
      <c r="CU5" t="s">
        <v>121</v>
      </c>
      <c r="CV5" s="12" t="s">
        <v>270</v>
      </c>
      <c r="CW5" s="12" t="s">
        <v>272</v>
      </c>
      <c r="CX5" t="s">
        <v>3827</v>
      </c>
      <c r="CY5" t="s">
        <v>121</v>
      </c>
      <c r="CZ5" t="s">
        <v>3831</v>
      </c>
      <c r="DA5" t="s">
        <v>3833</v>
      </c>
      <c r="DB5" t="s">
        <v>3838</v>
      </c>
      <c r="DC5" t="s">
        <v>3838</v>
      </c>
      <c r="DD5" t="s">
        <v>3844</v>
      </c>
      <c r="DE5" t="s">
        <v>3239</v>
      </c>
      <c r="DF5" s="12" t="s">
        <v>270</v>
      </c>
      <c r="DG5" t="s">
        <v>3853</v>
      </c>
      <c r="DH5" t="s">
        <v>3853</v>
      </c>
      <c r="DI5" t="s">
        <v>121</v>
      </c>
      <c r="DJ5" t="s">
        <v>121</v>
      </c>
      <c r="DK5" t="s">
        <v>3239</v>
      </c>
      <c r="DL5" s="12" t="s">
        <v>270</v>
      </c>
      <c r="DM5" t="s">
        <v>3239</v>
      </c>
      <c r="DN5" t="s">
        <v>3239</v>
      </c>
      <c r="DO5" t="s">
        <v>3239</v>
      </c>
      <c r="DP5" t="s">
        <v>3239</v>
      </c>
      <c r="DQ5" t="s">
        <v>3239</v>
      </c>
      <c r="DR5" t="s">
        <v>3239</v>
      </c>
      <c r="DS5" t="s">
        <v>3239</v>
      </c>
      <c r="DT5" t="s">
        <v>3239</v>
      </c>
      <c r="DU5" s="79" t="s">
        <v>272</v>
      </c>
      <c r="DV5" s="79" t="s">
        <v>272</v>
      </c>
      <c r="DW5" s="79" t="s">
        <v>272</v>
      </c>
      <c r="DX5" s="79" t="s">
        <v>272</v>
      </c>
      <c r="DY5" t="s">
        <v>3239</v>
      </c>
      <c r="DZ5" t="s">
        <v>3239</v>
      </c>
      <c r="EA5" s="12" t="s">
        <v>270</v>
      </c>
      <c r="EB5" t="s">
        <v>121</v>
      </c>
      <c r="EC5" s="12" t="s">
        <v>270</v>
      </c>
      <c r="ED5" s="12" t="s">
        <v>270</v>
      </c>
    </row>
    <row r="6" spans="1:134" x14ac:dyDescent="0.35">
      <c r="B6" t="b">
        <v>0</v>
      </c>
      <c r="D6" s="4" t="s">
        <v>382</v>
      </c>
      <c r="E6" s="4" t="s">
        <v>199</v>
      </c>
      <c r="F6" s="4" t="s">
        <v>207</v>
      </c>
      <c r="G6" s="4" t="s">
        <v>207</v>
      </c>
      <c r="H6" s="4" t="s">
        <v>207</v>
      </c>
      <c r="I6" s="4" t="s">
        <v>212</v>
      </c>
      <c r="J6" s="4" t="s">
        <v>3627</v>
      </c>
      <c r="K6" s="4" t="s">
        <v>3630</v>
      </c>
      <c r="L6" s="4" t="s">
        <v>3630</v>
      </c>
      <c r="M6" s="4" t="s">
        <v>3630</v>
      </c>
      <c r="N6" s="4" t="s">
        <v>3627</v>
      </c>
      <c r="O6" s="4" t="s">
        <v>217</v>
      </c>
      <c r="P6" s="4" t="s">
        <v>222</v>
      </c>
      <c r="Q6" s="4" t="s">
        <v>229</v>
      </c>
      <c r="R6" s="4" t="s">
        <v>232</v>
      </c>
      <c r="S6" s="4" t="s">
        <v>232</v>
      </c>
      <c r="T6" s="4" t="s">
        <v>232</v>
      </c>
      <c r="U6" s="4" t="s">
        <v>232</v>
      </c>
      <c r="V6" s="4" t="s">
        <v>232</v>
      </c>
      <c r="W6" s="4" t="s">
        <v>232</v>
      </c>
      <c r="X6" s="4" t="s">
        <v>232</v>
      </c>
      <c r="Y6" s="4" t="s">
        <v>232</v>
      </c>
      <c r="Z6" s="4" t="s">
        <v>234</v>
      </c>
      <c r="AA6" s="4" t="s">
        <v>238</v>
      </c>
      <c r="AB6" t="s">
        <v>122</v>
      </c>
      <c r="AC6" t="s">
        <v>122</v>
      </c>
      <c r="AD6" t="s">
        <v>122</v>
      </c>
      <c r="AE6" t="s">
        <v>122</v>
      </c>
      <c r="AF6" t="s">
        <v>833</v>
      </c>
      <c r="AG6" t="s">
        <v>122</v>
      </c>
      <c r="AH6" t="s">
        <v>122</v>
      </c>
      <c r="AI6" s="79" t="s">
        <v>272</v>
      </c>
      <c r="AJ6" t="s">
        <v>3166</v>
      </c>
      <c r="AK6" t="s">
        <v>122</v>
      </c>
      <c r="AL6" t="s">
        <v>122</v>
      </c>
      <c r="AM6" s="79" t="s">
        <v>272</v>
      </c>
      <c r="AN6" t="s">
        <v>3186</v>
      </c>
      <c r="AO6" t="s">
        <v>3736</v>
      </c>
      <c r="AP6" t="s">
        <v>3736</v>
      </c>
      <c r="AQ6" t="s">
        <v>3736</v>
      </c>
      <c r="AR6" t="s">
        <v>3736</v>
      </c>
      <c r="AS6" t="s">
        <v>3736</v>
      </c>
      <c r="AT6" t="s">
        <v>3240</v>
      </c>
      <c r="AU6" t="s">
        <v>3240</v>
      </c>
      <c r="AV6" t="s">
        <v>3240</v>
      </c>
      <c r="AW6" t="s">
        <v>3245</v>
      </c>
      <c r="AX6" t="s">
        <v>3240</v>
      </c>
      <c r="AY6" t="s">
        <v>3240</v>
      </c>
      <c r="AZ6" t="s">
        <v>122</v>
      </c>
      <c r="BA6" t="s">
        <v>3249</v>
      </c>
      <c r="BB6" t="s">
        <v>3240</v>
      </c>
      <c r="BC6" t="s">
        <v>3240</v>
      </c>
      <c r="BD6" t="s">
        <v>3240</v>
      </c>
      <c r="BE6" t="s">
        <v>3278</v>
      </c>
      <c r="BF6" t="s">
        <v>3278</v>
      </c>
      <c r="BG6" t="s">
        <v>3278</v>
      </c>
      <c r="BH6" t="s">
        <v>3278</v>
      </c>
      <c r="BI6" t="s">
        <v>3278</v>
      </c>
      <c r="BJ6" t="s">
        <v>3278</v>
      </c>
      <c r="BK6" t="s">
        <v>3278</v>
      </c>
      <c r="BL6" t="s">
        <v>3278</v>
      </c>
      <c r="BM6" t="s">
        <v>3730</v>
      </c>
      <c r="BN6" t="s">
        <v>3730</v>
      </c>
      <c r="BO6" t="s">
        <v>3730</v>
      </c>
      <c r="BP6" t="s">
        <v>3730</v>
      </c>
      <c r="BQ6" t="s">
        <v>3284</v>
      </c>
      <c r="BR6" t="s">
        <v>3289</v>
      </c>
      <c r="BS6" t="s">
        <v>3296</v>
      </c>
      <c r="BT6" t="s">
        <v>3296</v>
      </c>
      <c r="BU6" t="s">
        <v>3312</v>
      </c>
      <c r="BV6" t="s">
        <v>3312</v>
      </c>
      <c r="BW6" t="s">
        <v>3318</v>
      </c>
      <c r="BX6" t="s">
        <v>3318</v>
      </c>
      <c r="BY6" t="s">
        <v>3318</v>
      </c>
      <c r="BZ6" t="s">
        <v>3318</v>
      </c>
      <c r="CA6" s="79" t="s">
        <v>3328</v>
      </c>
      <c r="CB6" t="s">
        <v>3190</v>
      </c>
      <c r="CC6" t="s">
        <v>4773</v>
      </c>
      <c r="CD6" t="s">
        <v>3195</v>
      </c>
      <c r="CE6" t="s">
        <v>3240</v>
      </c>
      <c r="CF6" t="s">
        <v>3240</v>
      </c>
      <c r="CG6" t="s">
        <v>4798</v>
      </c>
      <c r="CH6" t="s">
        <v>3240</v>
      </c>
      <c r="CI6" t="s">
        <v>3240</v>
      </c>
      <c r="CJ6" t="s">
        <v>122</v>
      </c>
      <c r="CK6" t="s">
        <v>3240</v>
      </c>
      <c r="CL6" t="s">
        <v>232</v>
      </c>
      <c r="CM6" t="s">
        <v>232</v>
      </c>
      <c r="CN6" s="79" t="s">
        <v>272</v>
      </c>
      <c r="CO6" s="12" t="s">
        <v>3888</v>
      </c>
      <c r="CP6" s="79" t="s">
        <v>272</v>
      </c>
      <c r="CQ6" t="s">
        <v>122</v>
      </c>
      <c r="CR6" t="s">
        <v>122</v>
      </c>
      <c r="CS6" s="79" t="s">
        <v>272</v>
      </c>
      <c r="CT6" s="79" t="s">
        <v>272</v>
      </c>
      <c r="CU6" t="s">
        <v>122</v>
      </c>
      <c r="CV6" s="12" t="s">
        <v>272</v>
      </c>
      <c r="CW6" s="12" t="s">
        <v>274</v>
      </c>
      <c r="CX6" t="s">
        <v>3828</v>
      </c>
      <c r="CY6" t="s">
        <v>122</v>
      </c>
      <c r="CZ6" t="s">
        <v>3832</v>
      </c>
      <c r="DA6" t="s">
        <v>3834</v>
      </c>
      <c r="DB6" t="s">
        <v>3839</v>
      </c>
      <c r="DC6" t="s">
        <v>3839</v>
      </c>
      <c r="DD6" t="s">
        <v>3845</v>
      </c>
      <c r="DE6" t="s">
        <v>3240</v>
      </c>
      <c r="DF6" s="12" t="s">
        <v>3848</v>
      </c>
      <c r="DG6" t="s">
        <v>3854</v>
      </c>
      <c r="DH6" t="s">
        <v>3854</v>
      </c>
      <c r="DI6" t="s">
        <v>122</v>
      </c>
      <c r="DJ6" t="s">
        <v>122</v>
      </c>
      <c r="DK6" t="s">
        <v>3240</v>
      </c>
      <c r="DL6" s="12" t="s">
        <v>272</v>
      </c>
      <c r="DM6" t="s">
        <v>3240</v>
      </c>
      <c r="DN6" t="s">
        <v>3240</v>
      </c>
      <c r="DO6" t="s">
        <v>3240</v>
      </c>
      <c r="DP6" t="s">
        <v>3240</v>
      </c>
      <c r="DQ6" t="s">
        <v>3240</v>
      </c>
      <c r="DR6" t="s">
        <v>3240</v>
      </c>
      <c r="DS6" t="s">
        <v>3240</v>
      </c>
      <c r="DT6" t="s">
        <v>3240</v>
      </c>
      <c r="DU6" s="79" t="s">
        <v>274</v>
      </c>
      <c r="DV6" s="79" t="s">
        <v>274</v>
      </c>
      <c r="DW6" s="79" t="s">
        <v>274</v>
      </c>
      <c r="DX6" s="79" t="s">
        <v>274</v>
      </c>
      <c r="DY6" t="s">
        <v>3240</v>
      </c>
      <c r="DZ6" t="s">
        <v>3240</v>
      </c>
      <c r="EA6" s="12" t="s">
        <v>272</v>
      </c>
      <c r="EB6" t="s">
        <v>122</v>
      </c>
      <c r="EC6" s="12" t="s">
        <v>272</v>
      </c>
      <c r="ED6" s="12" t="s">
        <v>272</v>
      </c>
    </row>
    <row r="7" spans="1:134" x14ac:dyDescent="0.35">
      <c r="E7" s="4" t="s">
        <v>200</v>
      </c>
      <c r="F7" s="4" t="s">
        <v>208</v>
      </c>
      <c r="G7" s="4" t="s">
        <v>208</v>
      </c>
      <c r="H7" s="4" t="s">
        <v>208</v>
      </c>
      <c r="I7" s="4" t="s">
        <v>213</v>
      </c>
      <c r="J7" s="4" t="s">
        <v>3628</v>
      </c>
      <c r="K7" s="4" t="s">
        <v>210</v>
      </c>
      <c r="L7" s="4" t="s">
        <v>210</v>
      </c>
      <c r="M7" s="4" t="s">
        <v>210</v>
      </c>
      <c r="N7" s="4" t="s">
        <v>3628</v>
      </c>
      <c r="O7" s="4" t="s">
        <v>218</v>
      </c>
      <c r="P7" s="4" t="s">
        <v>223</v>
      </c>
      <c r="Q7" s="4" t="s">
        <v>230</v>
      </c>
      <c r="Z7" s="4" t="s">
        <v>235</v>
      </c>
      <c r="AA7" s="4" t="s">
        <v>239</v>
      </c>
      <c r="AB7" t="s">
        <v>123</v>
      </c>
      <c r="AC7" t="s">
        <v>123</v>
      </c>
      <c r="AD7" t="s">
        <v>123</v>
      </c>
      <c r="AE7" t="s">
        <v>123</v>
      </c>
      <c r="AF7" t="s">
        <v>834</v>
      </c>
      <c r="AG7" t="s">
        <v>123</v>
      </c>
      <c r="AH7" t="s">
        <v>123</v>
      </c>
      <c r="AJ7" t="s">
        <v>3167</v>
      </c>
      <c r="AK7" t="s">
        <v>123</v>
      </c>
      <c r="AL7" t="s">
        <v>123</v>
      </c>
      <c r="AM7" s="79" t="s">
        <v>274</v>
      </c>
      <c r="AN7" t="s">
        <v>3187</v>
      </c>
      <c r="AO7" t="s">
        <v>3737</v>
      </c>
      <c r="AP7" t="s">
        <v>3737</v>
      </c>
      <c r="AQ7" t="s">
        <v>3737</v>
      </c>
      <c r="AR7" t="s">
        <v>3737</v>
      </c>
      <c r="AS7" t="s">
        <v>3737</v>
      </c>
      <c r="AT7" t="s">
        <v>3241</v>
      </c>
      <c r="AU7" t="s">
        <v>3241</v>
      </c>
      <c r="AV7" t="s">
        <v>3241</v>
      </c>
      <c r="AW7" t="s">
        <v>3246</v>
      </c>
      <c r="AX7" t="s">
        <v>3241</v>
      </c>
      <c r="AY7" t="s">
        <v>3241</v>
      </c>
      <c r="BA7" t="s">
        <v>3250</v>
      </c>
      <c r="BB7" t="s">
        <v>3241</v>
      </c>
      <c r="BC7" t="s">
        <v>3241</v>
      </c>
      <c r="BD7" t="s">
        <v>3241</v>
      </c>
      <c r="BM7" t="s">
        <v>3731</v>
      </c>
      <c r="BN7" t="s">
        <v>3731</v>
      </c>
      <c r="BO7" t="s">
        <v>3731</v>
      </c>
      <c r="BP7" t="s">
        <v>3731</v>
      </c>
      <c r="BQ7" t="s">
        <v>3285</v>
      </c>
      <c r="BR7" t="s">
        <v>3290</v>
      </c>
      <c r="BS7" t="s">
        <v>3297</v>
      </c>
      <c r="BT7" t="s">
        <v>3297</v>
      </c>
      <c r="BU7" t="s">
        <v>3313</v>
      </c>
      <c r="BV7" t="s">
        <v>3313</v>
      </c>
      <c r="CA7" s="79" t="s">
        <v>3329</v>
      </c>
      <c r="CB7" t="s">
        <v>3191</v>
      </c>
      <c r="CC7" t="s">
        <v>4774</v>
      </c>
      <c r="CE7" t="s">
        <v>3600</v>
      </c>
      <c r="CF7" t="s">
        <v>3241</v>
      </c>
      <c r="CH7" t="s">
        <v>4729</v>
      </c>
      <c r="CI7" t="s">
        <v>3241</v>
      </c>
      <c r="CJ7" t="s">
        <v>123</v>
      </c>
      <c r="CK7" t="s">
        <v>3241</v>
      </c>
      <c r="CN7" s="79" t="s">
        <v>274</v>
      </c>
      <c r="CO7" s="12" t="s">
        <v>3848</v>
      </c>
      <c r="CV7" s="12" t="s">
        <v>274</v>
      </c>
      <c r="CX7" t="s">
        <v>3829</v>
      </c>
      <c r="CY7" s="79" t="s">
        <v>123</v>
      </c>
      <c r="CZ7" t="s">
        <v>3836</v>
      </c>
      <c r="DA7" t="s">
        <v>3835</v>
      </c>
      <c r="DB7" t="s">
        <v>3840</v>
      </c>
      <c r="DC7" t="s">
        <v>3840</v>
      </c>
      <c r="DD7" t="s">
        <v>3846</v>
      </c>
      <c r="DE7" t="s">
        <v>3241</v>
      </c>
      <c r="DF7" s="12" t="s">
        <v>3849</v>
      </c>
      <c r="DG7" t="s">
        <v>3855</v>
      </c>
      <c r="DH7" t="s">
        <v>3859</v>
      </c>
      <c r="DK7" t="s">
        <v>3241</v>
      </c>
      <c r="DM7" t="s">
        <v>3241</v>
      </c>
      <c r="DN7" t="s">
        <v>3241</v>
      </c>
      <c r="DO7" t="s">
        <v>3241</v>
      </c>
      <c r="DP7" t="s">
        <v>3241</v>
      </c>
      <c r="DQ7" t="s">
        <v>3241</v>
      </c>
      <c r="DR7" t="s">
        <v>3241</v>
      </c>
      <c r="DS7" t="s">
        <v>3241</v>
      </c>
      <c r="DT7" t="s">
        <v>3241</v>
      </c>
      <c r="DU7" s="79" t="s">
        <v>283</v>
      </c>
      <c r="DV7" s="79" t="s">
        <v>283</v>
      </c>
      <c r="DW7" s="79" t="s">
        <v>283</v>
      </c>
      <c r="DX7" s="79" t="s">
        <v>283</v>
      </c>
      <c r="DY7" t="s">
        <v>4320</v>
      </c>
      <c r="DZ7" t="s">
        <v>3241</v>
      </c>
      <c r="EA7" s="79" t="s">
        <v>274</v>
      </c>
      <c r="EB7" t="s">
        <v>3241</v>
      </c>
    </row>
    <row r="8" spans="1:134" x14ac:dyDescent="0.35">
      <c r="E8" s="4" t="s">
        <v>201</v>
      </c>
      <c r="F8" s="4" t="s">
        <v>209</v>
      </c>
      <c r="G8" s="4" t="s">
        <v>209</v>
      </c>
      <c r="H8" s="4" t="s">
        <v>209</v>
      </c>
      <c r="I8" s="4" t="s">
        <v>214</v>
      </c>
      <c r="J8" s="4"/>
      <c r="K8" s="4" t="s">
        <v>3629</v>
      </c>
      <c r="L8" s="4" t="s">
        <v>3629</v>
      </c>
      <c r="M8" s="4" t="s">
        <v>3629</v>
      </c>
      <c r="N8" s="4"/>
      <c r="O8" s="4" t="s">
        <v>219</v>
      </c>
      <c r="P8" s="4" t="s">
        <v>224</v>
      </c>
      <c r="Q8" s="4" t="s">
        <v>205</v>
      </c>
      <c r="Z8" s="4" t="s">
        <v>236</v>
      </c>
      <c r="AA8" s="4" t="s">
        <v>240</v>
      </c>
      <c r="AG8" t="s">
        <v>420</v>
      </c>
      <c r="AH8" t="s">
        <v>420</v>
      </c>
      <c r="AJ8" t="s">
        <v>3168</v>
      </c>
      <c r="AM8" s="79" t="s">
        <v>283</v>
      </c>
      <c r="AW8" t="s">
        <v>3247</v>
      </c>
      <c r="BM8" t="s">
        <v>3732</v>
      </c>
      <c r="BN8" t="s">
        <v>3732</v>
      </c>
      <c r="BO8" t="s">
        <v>3732</v>
      </c>
      <c r="BP8" t="s">
        <v>3732</v>
      </c>
      <c r="BS8" t="s">
        <v>3298</v>
      </c>
      <c r="BT8" t="s">
        <v>3298</v>
      </c>
      <c r="BU8" t="s">
        <v>3314</v>
      </c>
      <c r="BV8" t="s">
        <v>3314</v>
      </c>
      <c r="CA8" s="79" t="s">
        <v>3330</v>
      </c>
      <c r="CB8" t="s">
        <v>3192</v>
      </c>
      <c r="CC8" t="s">
        <v>4775</v>
      </c>
      <c r="CE8" t="s">
        <v>3601</v>
      </c>
      <c r="CO8" s="12" t="s">
        <v>3849</v>
      </c>
      <c r="CV8" s="12" t="s">
        <v>283</v>
      </c>
      <c r="CX8" t="s">
        <v>3830</v>
      </c>
      <c r="DF8" s="12" t="s">
        <v>3850</v>
      </c>
      <c r="DH8" t="s">
        <v>3858</v>
      </c>
      <c r="DU8" s="79" t="s">
        <v>289</v>
      </c>
      <c r="DV8" s="79" t="s">
        <v>289</v>
      </c>
      <c r="DW8" s="79" t="s">
        <v>289</v>
      </c>
      <c r="DX8" s="79" t="s">
        <v>289</v>
      </c>
      <c r="EA8" s="79" t="s">
        <v>283</v>
      </c>
    </row>
    <row r="9" spans="1:134" x14ac:dyDescent="0.35">
      <c r="E9" s="4" t="s">
        <v>202</v>
      </c>
      <c r="F9" s="4" t="s">
        <v>210</v>
      </c>
      <c r="G9" s="4" t="s">
        <v>210</v>
      </c>
      <c r="H9" s="4" t="s">
        <v>210</v>
      </c>
      <c r="I9" s="4" t="s">
        <v>215</v>
      </c>
      <c r="J9" s="4"/>
      <c r="K9" s="4" t="s">
        <v>205</v>
      </c>
      <c r="L9" s="4" t="s">
        <v>205</v>
      </c>
      <c r="M9" s="4" t="s">
        <v>205</v>
      </c>
      <c r="N9" s="4"/>
      <c r="O9" s="4" t="s">
        <v>220</v>
      </c>
      <c r="P9" s="4" t="s">
        <v>225</v>
      </c>
      <c r="Z9" s="4" t="s">
        <v>4674</v>
      </c>
      <c r="AA9" s="4" t="s">
        <v>4677</v>
      </c>
      <c r="AJ9" t="s">
        <v>3169</v>
      </c>
      <c r="AM9" s="79" t="s">
        <v>289</v>
      </c>
      <c r="BM9" t="s">
        <v>3733</v>
      </c>
      <c r="BN9" t="s">
        <v>3733</v>
      </c>
      <c r="BO9" t="s">
        <v>3733</v>
      </c>
      <c r="BP9" t="s">
        <v>3733</v>
      </c>
      <c r="BS9" t="s">
        <v>3305</v>
      </c>
      <c r="BT9" t="s">
        <v>3299</v>
      </c>
      <c r="BU9" t="s">
        <v>3315</v>
      </c>
      <c r="BV9" t="s">
        <v>3315</v>
      </c>
      <c r="CA9" s="79" t="s">
        <v>3331</v>
      </c>
      <c r="CC9" t="s">
        <v>205</v>
      </c>
      <c r="CO9" s="12" t="s">
        <v>274</v>
      </c>
      <c r="CV9" s="12" t="s">
        <v>3773</v>
      </c>
      <c r="DF9" s="12" t="s">
        <v>3851</v>
      </c>
      <c r="DU9" s="79" t="s">
        <v>291</v>
      </c>
      <c r="DV9" s="79" t="s">
        <v>291</v>
      </c>
      <c r="DW9" s="79" t="s">
        <v>291</v>
      </c>
      <c r="DX9" s="79" t="s">
        <v>291</v>
      </c>
    </row>
    <row r="10" spans="1:134" x14ac:dyDescent="0.35">
      <c r="E10" s="4" t="s">
        <v>203</v>
      </c>
      <c r="F10" s="4" t="s">
        <v>3629</v>
      </c>
      <c r="G10" s="4" t="s">
        <v>3629</v>
      </c>
      <c r="H10" s="4" t="s">
        <v>3629</v>
      </c>
      <c r="I10" s="4" t="s">
        <v>205</v>
      </c>
      <c r="J10" s="4"/>
      <c r="K10" s="4" t="s">
        <v>216</v>
      </c>
      <c r="L10" s="4" t="s">
        <v>216</v>
      </c>
      <c r="M10" s="4" t="s">
        <v>216</v>
      </c>
      <c r="N10" s="4"/>
      <c r="O10" s="4" t="s">
        <v>205</v>
      </c>
      <c r="P10" s="4" t="s">
        <v>226</v>
      </c>
      <c r="Z10" s="4" t="s">
        <v>4706</v>
      </c>
      <c r="AA10" s="4" t="s">
        <v>4708</v>
      </c>
      <c r="AJ10" s="79" t="s">
        <v>835</v>
      </c>
      <c r="BM10" t="s">
        <v>3734</v>
      </c>
      <c r="BN10" t="s">
        <v>3734</v>
      </c>
      <c r="BO10" t="s">
        <v>3734</v>
      </c>
      <c r="BP10" t="s">
        <v>3734</v>
      </c>
      <c r="BT10" t="s">
        <v>3300</v>
      </c>
      <c r="CA10" s="79" t="s">
        <v>3332</v>
      </c>
      <c r="CO10" s="12" t="s">
        <v>283</v>
      </c>
      <c r="CV10" s="12" t="s">
        <v>289</v>
      </c>
    </row>
    <row r="11" spans="1:134" x14ac:dyDescent="0.35">
      <c r="E11" s="4" t="s">
        <v>204</v>
      </c>
      <c r="F11" s="4" t="s">
        <v>205</v>
      </c>
      <c r="G11" s="4" t="s">
        <v>205</v>
      </c>
      <c r="H11" s="4" t="s">
        <v>205</v>
      </c>
      <c r="L11" s="4"/>
      <c r="M11" s="4"/>
      <c r="N11" s="4"/>
      <c r="P11" s="4" t="s">
        <v>227</v>
      </c>
      <c r="Z11" s="4" t="s">
        <v>205</v>
      </c>
      <c r="AA11" s="4" t="s">
        <v>241</v>
      </c>
      <c r="BM11" t="s">
        <v>205</v>
      </c>
      <c r="BN11" t="s">
        <v>205</v>
      </c>
      <c r="BO11" t="s">
        <v>205</v>
      </c>
      <c r="BP11" t="s">
        <v>205</v>
      </c>
      <c r="BT11" t="s">
        <v>3301</v>
      </c>
      <c r="CA11" s="79" t="s">
        <v>3333</v>
      </c>
    </row>
    <row r="12" spans="1:134" x14ac:dyDescent="0.35">
      <c r="E12" s="4" t="s">
        <v>205</v>
      </c>
      <c r="F12" s="4" t="s">
        <v>216</v>
      </c>
      <c r="G12" s="4" t="s">
        <v>216</v>
      </c>
      <c r="H12" s="4" t="s">
        <v>216</v>
      </c>
      <c r="P12" s="4" t="s">
        <v>228</v>
      </c>
      <c r="AA12" s="4" t="s">
        <v>242</v>
      </c>
      <c r="BT12" t="s">
        <v>3302</v>
      </c>
      <c r="CA12" s="79" t="s">
        <v>3334</v>
      </c>
    </row>
    <row r="13" spans="1:134" x14ac:dyDescent="0.35">
      <c r="P13" s="4" t="s">
        <v>205</v>
      </c>
      <c r="AA13" s="4" t="s">
        <v>243</v>
      </c>
      <c r="BT13" t="s">
        <v>3303</v>
      </c>
      <c r="CA13" s="79" t="s">
        <v>3335</v>
      </c>
    </row>
    <row r="14" spans="1:134" x14ac:dyDescent="0.35">
      <c r="AA14" s="4" t="s">
        <v>244</v>
      </c>
      <c r="BT14" t="s">
        <v>3304</v>
      </c>
      <c r="CA14" s="79" t="s">
        <v>3336</v>
      </c>
    </row>
    <row r="15" spans="1:134" x14ac:dyDescent="0.35">
      <c r="AA15" s="4" t="s">
        <v>4678</v>
      </c>
    </row>
    <row r="16" spans="1:134" x14ac:dyDescent="0.35">
      <c r="AA16" s="4" t="s">
        <v>4707</v>
      </c>
    </row>
    <row r="17" spans="27:27" x14ac:dyDescent="0.35">
      <c r="AA17" s="4" t="s">
        <v>205</v>
      </c>
    </row>
    <row r="18" spans="27:27" x14ac:dyDescent="0.35">
      <c r="AA18" s="4" t="s">
        <v>216</v>
      </c>
    </row>
  </sheetData>
  <sheetProtection algorithmName="SHA-512" hashValue="NuODnxmwxEgZHvKurAM94Lnw7L30utaFYauHvL7bjsF2hXFiuvJYgMHT0rCY+6meva5zGmkClvlZbAT4KEv+IA==" saltValue="+yKnShhzBw5vP2wRLmyiRw==" spinCount="100000" sheet="1" objects="1" scenarios="1" selectLockedCells="1" selectUnlockedCells="1"/>
  <phoneticPr fontId="94" type="noConversion"/>
  <pageMargins left="0.7" right="0.7" top="0.75" bottom="0.75" header="0.3" footer="0.3"/>
  <pageSetup scale="1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1"/>
    <pageSetUpPr fitToPage="1"/>
  </sheetPr>
  <dimension ref="A3:AC23"/>
  <sheetViews>
    <sheetView topLeftCell="AD1" zoomScaleNormal="100" workbookViewId="0"/>
  </sheetViews>
  <sheetFormatPr defaultRowHeight="14.5" x14ac:dyDescent="0.35"/>
  <cols>
    <col min="1" max="29" width="0" hidden="1" customWidth="1"/>
  </cols>
  <sheetData>
    <row r="3" spans="1:29" x14ac:dyDescent="0.35">
      <c r="A3" t="s">
        <v>303</v>
      </c>
      <c r="B3" t="b">
        <f>OR('Overview (Design)'!G14="",'Overview (Design)'!G15="",'Overview (Design)'!G18="",AND('Overview (Design)'!G18=INDEX(ddSingleOrMulti,2),OR('Overview (Design)'!G19="",'Overview (Design)'!G20="")),'Overview (Design)'!G22="",'Overview (Design)'!G23="",'Overview (Design)'!G24="",'Overview (Design)'!G29="",'Overview (Design)'!G31="",'Overview (Design)'!G35="",'Overview (Design)'!G36="",'Overview (Design)'!G39="",'Overview (Design)'!G41="",'Overview (Design)'!G43="",'Overview (Design)'!G47="",'Overview (Design)'!L11="!!")</f>
        <v>0</v>
      </c>
    </row>
    <row r="4" spans="1:29" x14ac:dyDescent="0.35">
      <c r="A4" t="s">
        <v>329</v>
      </c>
      <c r="B4" t="b">
        <f>OR('Overview (Verification)'!P12="",'Overview (Verification)'!P13="",'Overview (Verification)'!P16="",'Overview (Verification)'!P20="",'Overview (Verification)'!P21="",'Overview (Verification)'!P22="",'Overview (Verification)'!P27="",'Overview (Verification)'!P29="",'Overview (Verification)'!P33="",'Overview (Verification)'!P34="",'Overview (Verification)'!P37="",'Overview (Verification)'!P39="",'Overview (Verification)'!P41="",'Overview (Verification)'!P45="")</f>
        <v>0</v>
      </c>
    </row>
    <row r="10" spans="1:29" x14ac:dyDescent="0.35">
      <c r="G10" s="6" t="s">
        <v>340</v>
      </c>
      <c r="H10" t="s">
        <v>312</v>
      </c>
      <c r="M10" t="s">
        <v>4564</v>
      </c>
      <c r="N10">
        <f ca="1">IF('Ch7'!W12=INDEX(INDIRECT('Ch7'!U12),1),4,IF('Ch7'!W26=INDEX(INDIRECT('Ch7'!U26),2),2,IF('Ch7'!W26=INDEX(INDIRECT('Ch7'!U26),2),1,3)))</f>
        <v>3</v>
      </c>
      <c r="S10" s="6" t="s">
        <v>339</v>
      </c>
      <c r="T10" t="str">
        <f>IF(LEN('Verification Report'!L1)=0,"None Chosen",'Verification Report'!L1)</f>
        <v>Bronze</v>
      </c>
      <c r="X10" t="s">
        <v>3197</v>
      </c>
      <c r="Y10" s="1">
        <f ca="1">IF('Verification Report'!W776=INDEX(INDIRECT('Ch7'!U12),1),4,IF('Verification Report'!W790=INDEX(INDIRECT('Ch7'!U26),2),2,IF('Verification Report'!W790=INDEX(INDIRECT('Ch7'!U26),1),2,3)))</f>
        <v>3</v>
      </c>
    </row>
    <row r="11" spans="1:29" x14ac:dyDescent="0.35">
      <c r="M11" t="s">
        <v>4565</v>
      </c>
      <c r="N11">
        <f ca="1">IF('Ch8'!O91&gt;0,4,2)</f>
        <v>4</v>
      </c>
      <c r="X11" t="s">
        <v>3843</v>
      </c>
      <c r="Y11" s="1">
        <f ca="1">IF('Verification Report'!O1487&gt;0,4,2)</f>
        <v>4</v>
      </c>
    </row>
    <row r="12" spans="1:29" x14ac:dyDescent="0.35">
      <c r="C12" t="s">
        <v>313</v>
      </c>
      <c r="G12" t="s">
        <v>326</v>
      </c>
      <c r="S12" t="s">
        <v>327</v>
      </c>
    </row>
    <row r="14" spans="1:29" x14ac:dyDescent="0.35">
      <c r="C14" t="s">
        <v>310</v>
      </c>
      <c r="D14" t="s">
        <v>311</v>
      </c>
      <c r="E14" t="s">
        <v>312</v>
      </c>
      <c r="F14" t="s">
        <v>308</v>
      </c>
      <c r="H14" t="s">
        <v>314</v>
      </c>
      <c r="J14" t="s">
        <v>315</v>
      </c>
      <c r="K14" t="s">
        <v>315</v>
      </c>
      <c r="L14" t="s">
        <v>315</v>
      </c>
      <c r="M14" t="s">
        <v>315</v>
      </c>
      <c r="N14" t="s">
        <v>316</v>
      </c>
      <c r="P14" t="s">
        <v>317</v>
      </c>
      <c r="T14" t="s">
        <v>314</v>
      </c>
      <c r="V14" t="s">
        <v>315</v>
      </c>
      <c r="Y14" t="s">
        <v>316</v>
      </c>
      <c r="AA14" t="s">
        <v>341</v>
      </c>
    </row>
    <row r="15" spans="1:29" x14ac:dyDescent="0.35">
      <c r="A15">
        <v>5</v>
      </c>
      <c r="B15" t="s">
        <v>318</v>
      </c>
      <c r="C15">
        <v>50</v>
      </c>
      <c r="D15">
        <v>64</v>
      </c>
      <c r="E15">
        <v>93</v>
      </c>
      <c r="F15">
        <v>121</v>
      </c>
      <c r="G15" s="6" t="str">
        <f t="shared" ref="G15:G20" si="0">"Ch"&amp;$A15&amp;"Points"</f>
        <v>Ch5Points</v>
      </c>
      <c r="H15" s="1">
        <f ca="1">ROUNDDOWN(SUM('Ch5'!O:O),0)</f>
        <v>69</v>
      </c>
      <c r="I15" s="6" t="str">
        <f t="shared" ref="I15:I20" si="1">"Ch"&amp;$A15&amp;"Add"</f>
        <v>Ch5Add</v>
      </c>
      <c r="J15">
        <f t="shared" ref="J15:M20" ca="1" si="2">$H15-C15</f>
        <v>19</v>
      </c>
      <c r="K15">
        <f t="shared" ca="1" si="2"/>
        <v>5</v>
      </c>
      <c r="L15">
        <f t="shared" ca="1" si="2"/>
        <v>-24</v>
      </c>
      <c r="M15">
        <f t="shared" ca="1" si="2"/>
        <v>-52</v>
      </c>
      <c r="N15">
        <f ca="1">IFERROR(MATCH(H15,C15:F15,1),0)</f>
        <v>2</v>
      </c>
      <c r="O15" s="6" t="str">
        <f t="shared" ref="O15:O20" si="3">"Ch"&amp;$A15&amp;"NLev"</f>
        <v>Ch5NLev</v>
      </c>
      <c r="P15">
        <f t="shared" ref="P15:P20" ca="1" si="4">IF(N15=4,0,INDEX(C15:F15,N15+1)-H15)</f>
        <v>24</v>
      </c>
      <c r="Q15" s="6" t="str">
        <f t="shared" ref="Q15:Q20" si="5">"Ch"&amp;$A15&amp;"Level"</f>
        <v>Ch5Level</v>
      </c>
      <c r="R15" t="str">
        <f t="shared" ref="R15:R22" ca="1" si="6">IFERROR(INDEX($C$14:$F$14,N15),"None")</f>
        <v>Silver</v>
      </c>
      <c r="S15" s="6" t="str">
        <f t="shared" ref="S15:S20" si="7">"Ch"&amp;$A15&amp;"PointsFinal"</f>
        <v>Ch5PointsFinal</v>
      </c>
      <c r="T15" s="1">
        <f ca="1">ROUNDDOWN(SUMIFS('Verification Report'!O:O,'Verification Report'!A:A, 5),0)</f>
        <v>60</v>
      </c>
      <c r="U15" s="6" t="str">
        <f t="shared" ref="U15:U20" si="8">"Ch"&amp;$A15&amp;"AddFinal"</f>
        <v>Ch5AddFinal</v>
      </c>
      <c r="V15">
        <f t="shared" ref="V15:V20" ca="1" si="9">MAX(IFERROR(T15-INDEX(C15:F15,MAX(1,MIN(Y$15:Y$20))),0),0)</f>
        <v>10</v>
      </c>
      <c r="W15" s="6" t="str">
        <f t="shared" ref="W15:W20" si="10">"Ch"&amp;$A15&amp;"AddGoal"</f>
        <v>Ch5AddGoal</v>
      </c>
      <c r="X15">
        <f t="shared" ref="X15:X20" ca="1" si="11">MAX(IFERROR($T15-INDEX($C15:$F15,MATCH(verGoalLevel,$C$14:$F$14,0)),0),0)</f>
        <v>10</v>
      </c>
      <c r="Y15">
        <f ca="1">IFERROR(MATCH(T15,C15:F15,1),0)</f>
        <v>1</v>
      </c>
      <c r="Z15" s="6" t="str">
        <f t="shared" ref="Z15:Z20" si="12">"Ch"&amp;$A15&amp;"GLevFinal"</f>
        <v>Ch5GLevFinal</v>
      </c>
      <c r="AA15">
        <f t="shared" ref="AA15:AA20" ca="1" si="13">MAX(IFERROR(INDEX($C15:$F15,MATCH(verGoalLevel,$C$14:$F$14,0))-$T15,0),0)</f>
        <v>0</v>
      </c>
      <c r="AB15" s="6" t="str">
        <f t="shared" ref="AB15:AB20" si="14">"Ch"&amp;$A15&amp;"LevelFinal"</f>
        <v>Ch5LevelFinal</v>
      </c>
      <c r="AC15" t="str">
        <f t="shared" ref="AC15:AC22" ca="1" si="15">IFERROR(INDEX($C$14:$F$14,Y15),"None")</f>
        <v>Bronze</v>
      </c>
    </row>
    <row r="16" spans="1:29" x14ac:dyDescent="0.35">
      <c r="A16">
        <v>6</v>
      </c>
      <c r="B16" t="s">
        <v>319</v>
      </c>
      <c r="C16">
        <v>43</v>
      </c>
      <c r="D16">
        <v>59</v>
      </c>
      <c r="E16">
        <v>89</v>
      </c>
      <c r="F16">
        <v>119</v>
      </c>
      <c r="G16" s="6" t="str">
        <f t="shared" si="0"/>
        <v>Ch6Points</v>
      </c>
      <c r="H16">
        <f ca="1">SUM('Ch6'!O:O)</f>
        <v>61</v>
      </c>
      <c r="I16" s="6" t="str">
        <f t="shared" si="1"/>
        <v>Ch6Add</v>
      </c>
      <c r="J16">
        <f t="shared" ca="1" si="2"/>
        <v>18</v>
      </c>
      <c r="K16">
        <f t="shared" ca="1" si="2"/>
        <v>2</v>
      </c>
      <c r="L16">
        <f t="shared" ca="1" si="2"/>
        <v>-28</v>
      </c>
      <c r="M16">
        <f t="shared" ca="1" si="2"/>
        <v>-58</v>
      </c>
      <c r="N16">
        <f ca="1">IFERROR(MATCH(H16,C16:F16,1),0)</f>
        <v>2</v>
      </c>
      <c r="O16" s="6" t="str">
        <f t="shared" si="3"/>
        <v>Ch6NLev</v>
      </c>
      <c r="P16">
        <f t="shared" ca="1" si="4"/>
        <v>28</v>
      </c>
      <c r="Q16" s="6" t="str">
        <f t="shared" si="5"/>
        <v>Ch6Level</v>
      </c>
      <c r="R16" t="str">
        <f t="shared" ca="1" si="6"/>
        <v>Silver</v>
      </c>
      <c r="S16" s="6" t="str">
        <f t="shared" si="7"/>
        <v>Ch6PointsFinal</v>
      </c>
      <c r="T16">
        <f ca="1">SUMIFS('Verification Report'!O:O,'Verification Report'!A:A, 6)</f>
        <v>46</v>
      </c>
      <c r="U16" s="6" t="str">
        <f t="shared" si="8"/>
        <v>Ch6AddFinal</v>
      </c>
      <c r="V16">
        <f t="shared" ca="1" si="9"/>
        <v>3</v>
      </c>
      <c r="W16" s="6" t="str">
        <f t="shared" si="10"/>
        <v>Ch6AddGoal</v>
      </c>
      <c r="X16">
        <f t="shared" ca="1" si="11"/>
        <v>3</v>
      </c>
      <c r="Y16">
        <f ca="1">IFERROR(MATCH(T16,C16:F16,1),0)</f>
        <v>1</v>
      </c>
      <c r="Z16" s="6" t="str">
        <f t="shared" si="12"/>
        <v>Ch6GLevFinal</v>
      </c>
      <c r="AA16">
        <f t="shared" ca="1" si="13"/>
        <v>0</v>
      </c>
      <c r="AB16" s="6" t="str">
        <f t="shared" si="14"/>
        <v>Ch6LevelFinal</v>
      </c>
      <c r="AC16" t="str">
        <f t="shared" ca="1" si="15"/>
        <v>Bronze</v>
      </c>
    </row>
    <row r="17" spans="1:29" x14ac:dyDescent="0.35">
      <c r="A17">
        <v>7</v>
      </c>
      <c r="B17" t="s">
        <v>320</v>
      </c>
      <c r="C17">
        <v>30</v>
      </c>
      <c r="D17">
        <v>45</v>
      </c>
      <c r="E17">
        <v>60</v>
      </c>
      <c r="F17">
        <v>70</v>
      </c>
      <c r="G17" s="6" t="str">
        <f t="shared" si="0"/>
        <v>Ch7Points</v>
      </c>
      <c r="H17">
        <f ca="1">SUM('Ch7'!O:O)</f>
        <v>50</v>
      </c>
      <c r="I17" s="6" t="str">
        <f t="shared" si="1"/>
        <v>Ch7Add</v>
      </c>
      <c r="J17">
        <f t="shared" ca="1" si="2"/>
        <v>20</v>
      </c>
      <c r="K17">
        <f t="shared" ca="1" si="2"/>
        <v>5</v>
      </c>
      <c r="L17">
        <f t="shared" ca="1" si="2"/>
        <v>-10</v>
      </c>
      <c r="M17">
        <f t="shared" ca="1" si="2"/>
        <v>-20</v>
      </c>
      <c r="N17" s="1">
        <f ca="1">MIN(IFERROR(MATCH(H17,$C17:$F17,1),0),N10)</f>
        <v>2</v>
      </c>
      <c r="O17" s="6" t="str">
        <f t="shared" si="3"/>
        <v>Ch7NLev</v>
      </c>
      <c r="P17">
        <f t="shared" ca="1" si="4"/>
        <v>10</v>
      </c>
      <c r="Q17" s="6" t="str">
        <f t="shared" si="5"/>
        <v>Ch7Level</v>
      </c>
      <c r="R17" t="str">
        <f t="shared" ca="1" si="6"/>
        <v>Silver</v>
      </c>
      <c r="S17" s="6" t="str">
        <f t="shared" si="7"/>
        <v>Ch7PointsFinal</v>
      </c>
      <c r="T17">
        <f ca="1">SUMIFS('Verification Report'!O:O,'Verification Report'!A:A, 7)</f>
        <v>64</v>
      </c>
      <c r="U17" s="6" t="str">
        <f t="shared" si="8"/>
        <v>Ch7AddFinal</v>
      </c>
      <c r="V17">
        <f t="shared" ca="1" si="9"/>
        <v>34</v>
      </c>
      <c r="W17" s="6" t="str">
        <f t="shared" si="10"/>
        <v>Ch7AddGoal</v>
      </c>
      <c r="X17">
        <f t="shared" ca="1" si="11"/>
        <v>34</v>
      </c>
      <c r="Y17" s="1">
        <f ca="1">MIN(IFERROR(MATCH(T17,$C17:$F17,1),0),Y10)</f>
        <v>3</v>
      </c>
      <c r="Z17" s="6" t="str">
        <f t="shared" si="12"/>
        <v>Ch7GLevFinal</v>
      </c>
      <c r="AA17">
        <f t="shared" ca="1" si="13"/>
        <v>0</v>
      </c>
      <c r="AB17" s="6" t="str">
        <f t="shared" si="14"/>
        <v>Ch7LevelFinal</v>
      </c>
      <c r="AC17" t="str">
        <f t="shared" ca="1" si="15"/>
        <v>Gold</v>
      </c>
    </row>
    <row r="18" spans="1:29" x14ac:dyDescent="0.35">
      <c r="A18">
        <v>8</v>
      </c>
      <c r="B18" t="s">
        <v>321</v>
      </c>
      <c r="C18">
        <v>25</v>
      </c>
      <c r="D18">
        <v>39</v>
      </c>
      <c r="E18">
        <v>67</v>
      </c>
      <c r="F18">
        <v>92</v>
      </c>
      <c r="G18" s="6" t="str">
        <f t="shared" si="0"/>
        <v>Ch8Points</v>
      </c>
      <c r="H18">
        <f ca="1">SUM('Ch8'!O:O)</f>
        <v>36</v>
      </c>
      <c r="I18" s="6" t="str">
        <f t="shared" si="1"/>
        <v>Ch8Add</v>
      </c>
      <c r="J18">
        <f t="shared" ca="1" si="2"/>
        <v>11</v>
      </c>
      <c r="K18">
        <f t="shared" ca="1" si="2"/>
        <v>-3</v>
      </c>
      <c r="L18">
        <f t="shared" ca="1" si="2"/>
        <v>-31</v>
      </c>
      <c r="M18">
        <f t="shared" ca="1" si="2"/>
        <v>-56</v>
      </c>
      <c r="N18" s="1">
        <f ca="1">MIN(IFERROR(MATCH(H18,$C18:$F18,1),0),N11)</f>
        <v>1</v>
      </c>
      <c r="O18" s="6" t="str">
        <f t="shared" si="3"/>
        <v>Ch8NLev</v>
      </c>
      <c r="P18">
        <f t="shared" ca="1" si="4"/>
        <v>3</v>
      </c>
      <c r="Q18" s="6" t="str">
        <f t="shared" si="5"/>
        <v>Ch8Level</v>
      </c>
      <c r="R18" t="str">
        <f t="shared" ca="1" si="6"/>
        <v>Bronze</v>
      </c>
      <c r="S18" s="6" t="str">
        <f t="shared" si="7"/>
        <v>Ch8PointsFinal</v>
      </c>
      <c r="T18">
        <f ca="1">SUMIFS('Verification Report'!O:O,'Verification Report'!A:A, 8)</f>
        <v>37</v>
      </c>
      <c r="U18" s="6" t="str">
        <f t="shared" si="8"/>
        <v>Ch8AddFinal</v>
      </c>
      <c r="V18">
        <f t="shared" ca="1" si="9"/>
        <v>12</v>
      </c>
      <c r="W18" s="6" t="str">
        <f t="shared" si="10"/>
        <v>Ch8AddGoal</v>
      </c>
      <c r="X18">
        <f t="shared" ca="1" si="11"/>
        <v>12</v>
      </c>
      <c r="Y18" s="1">
        <f ca="1">MIN(IFERROR(MATCH(T18,$C18:$F18,1),0),Y11)</f>
        <v>1</v>
      </c>
      <c r="Z18" s="6" t="str">
        <f t="shared" si="12"/>
        <v>Ch8GLevFinal</v>
      </c>
      <c r="AA18">
        <f t="shared" ca="1" si="13"/>
        <v>0</v>
      </c>
      <c r="AB18" s="6" t="str">
        <f t="shared" si="14"/>
        <v>Ch8LevelFinal</v>
      </c>
      <c r="AC18" t="str">
        <f t="shared" ca="1" si="15"/>
        <v>Bronze</v>
      </c>
    </row>
    <row r="19" spans="1:29" x14ac:dyDescent="0.35">
      <c r="A19">
        <v>9</v>
      </c>
      <c r="B19" t="s">
        <v>322</v>
      </c>
      <c r="C19">
        <v>25</v>
      </c>
      <c r="D19">
        <v>42</v>
      </c>
      <c r="E19">
        <v>69</v>
      </c>
      <c r="F19">
        <v>97</v>
      </c>
      <c r="G19" s="6" t="str">
        <f t="shared" si="0"/>
        <v>Ch9Points</v>
      </c>
      <c r="H19">
        <f ca="1">SUM('Ch9'!O:O)</f>
        <v>38</v>
      </c>
      <c r="I19" s="6" t="str">
        <f t="shared" si="1"/>
        <v>Ch9Add</v>
      </c>
      <c r="J19">
        <f t="shared" ca="1" si="2"/>
        <v>13</v>
      </c>
      <c r="K19">
        <f t="shared" ca="1" si="2"/>
        <v>-4</v>
      </c>
      <c r="L19">
        <f t="shared" ca="1" si="2"/>
        <v>-31</v>
      </c>
      <c r="M19">
        <f t="shared" ca="1" si="2"/>
        <v>-59</v>
      </c>
      <c r="N19">
        <f ca="1">IFERROR(MATCH(H19,C19:F19,1),0)</f>
        <v>1</v>
      </c>
      <c r="O19" s="6" t="str">
        <f t="shared" si="3"/>
        <v>Ch9NLev</v>
      </c>
      <c r="P19">
        <f t="shared" ca="1" si="4"/>
        <v>4</v>
      </c>
      <c r="Q19" s="6" t="str">
        <f t="shared" si="5"/>
        <v>Ch9Level</v>
      </c>
      <c r="R19" t="str">
        <f t="shared" ca="1" si="6"/>
        <v>Bronze</v>
      </c>
      <c r="S19" s="6" t="str">
        <f t="shared" si="7"/>
        <v>Ch9PointsFinal</v>
      </c>
      <c r="T19">
        <f ca="1">SUMIFS('Verification Report'!O:O,'Verification Report'!A:A, 9)</f>
        <v>43</v>
      </c>
      <c r="U19" s="6" t="str">
        <f t="shared" si="8"/>
        <v>Ch9AddFinal</v>
      </c>
      <c r="V19">
        <f t="shared" ca="1" si="9"/>
        <v>18</v>
      </c>
      <c r="W19" s="6" t="str">
        <f t="shared" si="10"/>
        <v>Ch9AddGoal</v>
      </c>
      <c r="X19">
        <f t="shared" ca="1" si="11"/>
        <v>18</v>
      </c>
      <c r="Y19">
        <f ca="1">IFERROR(MATCH(T19,C19:F19,1),0)</f>
        <v>2</v>
      </c>
      <c r="Z19" s="6" t="str">
        <f t="shared" si="12"/>
        <v>Ch9GLevFinal</v>
      </c>
      <c r="AA19">
        <f t="shared" ca="1" si="13"/>
        <v>0</v>
      </c>
      <c r="AB19" s="6" t="str">
        <f t="shared" si="14"/>
        <v>Ch9LevelFinal</v>
      </c>
      <c r="AC19" t="str">
        <f t="shared" ca="1" si="15"/>
        <v>Silver</v>
      </c>
    </row>
    <row r="20" spans="1:29" x14ac:dyDescent="0.35">
      <c r="A20">
        <v>10</v>
      </c>
      <c r="B20" t="s">
        <v>323</v>
      </c>
      <c r="C20">
        <v>8</v>
      </c>
      <c r="D20">
        <v>10</v>
      </c>
      <c r="E20">
        <v>11</v>
      </c>
      <c r="F20">
        <v>12</v>
      </c>
      <c r="G20" s="6" t="str">
        <f t="shared" si="0"/>
        <v>Ch10Points</v>
      </c>
      <c r="H20">
        <f>SUM('Ch10'!O:O)</f>
        <v>9</v>
      </c>
      <c r="I20" s="6" t="str">
        <f t="shared" si="1"/>
        <v>Ch10Add</v>
      </c>
      <c r="J20">
        <f t="shared" si="2"/>
        <v>1</v>
      </c>
      <c r="K20">
        <f t="shared" si="2"/>
        <v>-1</v>
      </c>
      <c r="L20">
        <f t="shared" si="2"/>
        <v>-2</v>
      </c>
      <c r="M20">
        <f t="shared" si="2"/>
        <v>-3</v>
      </c>
      <c r="N20">
        <f>IFERROR(MATCH(H20,C20:F20,1),0)</f>
        <v>1</v>
      </c>
      <c r="O20" s="6" t="str">
        <f t="shared" si="3"/>
        <v>Ch10NLev</v>
      </c>
      <c r="P20">
        <f t="shared" si="4"/>
        <v>1</v>
      </c>
      <c r="Q20" s="6" t="str">
        <f t="shared" si="5"/>
        <v>Ch10Level</v>
      </c>
      <c r="R20" t="str">
        <f t="shared" si="6"/>
        <v>Bronze</v>
      </c>
      <c r="S20" s="6" t="str">
        <f t="shared" si="7"/>
        <v>Ch10PointsFinal</v>
      </c>
      <c r="T20">
        <f>SUMIFS('Verification Report'!O:O,'Verification Report'!A:A, 10)</f>
        <v>8</v>
      </c>
      <c r="U20" s="6" t="str">
        <f t="shared" si="8"/>
        <v>Ch10AddFinal</v>
      </c>
      <c r="V20">
        <f t="shared" ca="1" si="9"/>
        <v>0</v>
      </c>
      <c r="W20" s="6" t="str">
        <f t="shared" si="10"/>
        <v>Ch10AddGoal</v>
      </c>
      <c r="X20">
        <f t="shared" si="11"/>
        <v>0</v>
      </c>
      <c r="Y20">
        <f>IFERROR(MATCH(T20,C20:F20,1),0)</f>
        <v>1</v>
      </c>
      <c r="Z20" s="6" t="str">
        <f t="shared" si="12"/>
        <v>Ch10GLevFinal</v>
      </c>
      <c r="AA20">
        <f t="shared" si="13"/>
        <v>0</v>
      </c>
      <c r="AB20" s="6" t="str">
        <f t="shared" si="14"/>
        <v>Ch10LevelFinal</v>
      </c>
      <c r="AC20" t="str">
        <f t="shared" si="15"/>
        <v>Bronze</v>
      </c>
    </row>
    <row r="21" spans="1:29" x14ac:dyDescent="0.35">
      <c r="A21">
        <f>'Overview (Design)'!$G$22</f>
        <v>2644</v>
      </c>
      <c r="B21" t="s">
        <v>384</v>
      </c>
      <c r="C21">
        <f>50+MAX(0,ROUNDDOWN(($A21-4000)/100,0))</f>
        <v>50</v>
      </c>
      <c r="D21">
        <f>75+MAX(0,ROUNDDOWN(($A21-4000)/100,0))</f>
        <v>75</v>
      </c>
      <c r="E21">
        <f>100+MAX(0,ROUNDDOWN(($A21-4000)/100,0))</f>
        <v>100</v>
      </c>
      <c r="F21">
        <f>100+MAX(0,ROUNDDOWN(($A21-4000)/100,0))</f>
        <v>100</v>
      </c>
      <c r="J21">
        <f ca="1">SUM(J15:J20)</f>
        <v>82</v>
      </c>
      <c r="K21">
        <f ca="1">SUM(K15:K20)</f>
        <v>4</v>
      </c>
      <c r="L21">
        <f ca="1">SUM(L15:L20)</f>
        <v>-126</v>
      </c>
      <c r="M21">
        <f ca="1">SUM(M15:M20)</f>
        <v>-248</v>
      </c>
      <c r="N21">
        <f ca="1">IF(M21&gt;=F21,4,IF(L21&gt;=E21,3,IF(K21&gt;=D21,2,IF(J21&gt;=C21,1,0))))</f>
        <v>1</v>
      </c>
      <c r="R21" t="str">
        <f t="shared" ca="1" si="6"/>
        <v>Bronze</v>
      </c>
      <c r="V21">
        <f ca="1">SUM(V15:V20)</f>
        <v>77</v>
      </c>
      <c r="Y21">
        <f ca="1">IFERROR(MATCH(V21,C22:F22,1),MAX(0,MIN(Y15:Y20)-1))</f>
        <v>2</v>
      </c>
      <c r="AC21" t="str">
        <f t="shared" ca="1" si="15"/>
        <v>Silver</v>
      </c>
    </row>
    <row r="22" spans="1:29" x14ac:dyDescent="0.35">
      <c r="A22">
        <f>IF(LEN('Overview (Verification)'!$P$20)=0,0,'Overview (Verification)'!$P$20)</f>
        <v>2644</v>
      </c>
      <c r="B22" t="s">
        <v>385</v>
      </c>
      <c r="C22">
        <f>50+MAX(0,ROUNDDOWN(($A22-4000)/100,0))</f>
        <v>50</v>
      </c>
      <c r="D22">
        <f>75+MAX(0,ROUNDDOWN(($A22-4000)/100,0))</f>
        <v>75</v>
      </c>
      <c r="E22">
        <f>100+MAX(0,ROUNDDOWN(($A22-4000)/100,0))</f>
        <v>100</v>
      </c>
      <c r="F22">
        <f>100+MAX(0,ROUNDDOWN(($A22-4000)/100,0))</f>
        <v>100</v>
      </c>
      <c r="N22">
        <f ca="1">MIN(N15:N21)</f>
        <v>1</v>
      </c>
      <c r="R22" t="str">
        <f t="shared" ca="1" si="6"/>
        <v>Bronze</v>
      </c>
      <c r="Y22">
        <f ca="1">MIN(Y15:Y21)</f>
        <v>1</v>
      </c>
      <c r="AC22" t="str">
        <f t="shared" ca="1" si="15"/>
        <v>Bronze</v>
      </c>
    </row>
    <row r="23" spans="1:29" x14ac:dyDescent="0.35">
      <c r="C23">
        <v>231</v>
      </c>
      <c r="D23">
        <v>334</v>
      </c>
      <c r="E23">
        <v>489</v>
      </c>
      <c r="F23">
        <v>611</v>
      </c>
    </row>
  </sheetData>
  <sheetProtection algorithmName="SHA-512" hashValue="oiLTos3bF5T1SG20XtMWlMNVYVro+Smvk8izaalR2Qmt95JYPlBaCtX3cTypb2AWxALGUOpboFvrXNiKaRnIIQ==" saltValue="VX69rvlbkM0GlPZ9NrSgiA==" spinCount="100000" sheet="1" objects="1" scenarios="1" selectLockedCells="1" selectUnlockedCells="1"/>
  <pageMargins left="0.7" right="0.7" top="0.75" bottom="0.75" header="0.3" footer="0.3"/>
  <pageSetup scale="34"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1"/>
    <pageSetUpPr fitToPage="1"/>
  </sheetPr>
  <dimension ref="A1:U38"/>
  <sheetViews>
    <sheetView topLeftCell="V1" zoomScaleNormal="100" workbookViewId="0"/>
  </sheetViews>
  <sheetFormatPr defaultRowHeight="14.5" x14ac:dyDescent="0.35"/>
  <cols>
    <col min="1" max="1" width="0" hidden="1" customWidth="1"/>
    <col min="2" max="2" width="8.26953125" hidden="1" customWidth="1"/>
    <col min="3" max="3" width="3.54296875" hidden="1" customWidth="1"/>
    <col min="4" max="11" width="3" hidden="1" customWidth="1"/>
    <col min="12" max="12" width="0" hidden="1" customWidth="1"/>
    <col min="13" max="13" width="7.26953125" hidden="1" customWidth="1"/>
    <col min="14" max="21" width="4.7265625" hidden="1" customWidth="1"/>
  </cols>
  <sheetData>
    <row r="1" spans="1:21" x14ac:dyDescent="0.35">
      <c r="B1" t="s">
        <v>1054</v>
      </c>
      <c r="M1" t="s">
        <v>1062</v>
      </c>
    </row>
    <row r="3" spans="1:21" x14ac:dyDescent="0.35">
      <c r="B3" s="259" t="s">
        <v>375</v>
      </c>
    </row>
    <row r="5" spans="1:21" x14ac:dyDescent="0.35">
      <c r="B5" t="s">
        <v>3760</v>
      </c>
      <c r="C5">
        <f>'Overview (Design)'!N15</f>
        <v>4</v>
      </c>
      <c r="M5" t="s">
        <v>3760</v>
      </c>
      <c r="N5">
        <f>'Overview (Design)'!N15</f>
        <v>4</v>
      </c>
      <c r="O5" s="314"/>
    </row>
    <row r="6" spans="1:21" x14ac:dyDescent="0.35">
      <c r="B6" t="s">
        <v>3761</v>
      </c>
      <c r="C6" t="str">
        <f>'Overview (Design)'!Q15</f>
        <v xml:space="preserve"> </v>
      </c>
      <c r="M6" t="s">
        <v>4024</v>
      </c>
      <c r="N6" s="314">
        <f>MAX('Ch7'!W75,'Ch7'!W531)</f>
        <v>3</v>
      </c>
      <c r="O6" s="314">
        <f>MAX('Ch7'!W78,'Ch7'!W533)</f>
        <v>0</v>
      </c>
    </row>
    <row r="7" spans="1:21" x14ac:dyDescent="0.35">
      <c r="B7" t="s">
        <v>3762</v>
      </c>
      <c r="C7">
        <f>'Ch7'!W184</f>
        <v>0</v>
      </c>
      <c r="D7" s="258"/>
      <c r="M7" t="s">
        <v>4025</v>
      </c>
      <c r="N7">
        <f>IF(N6&lt;=1,1,IF(N6&lt;=2,2,IF(N6&lt;=3,3,IF(N6&lt;=4,4,0))))</f>
        <v>3</v>
      </c>
      <c r="O7">
        <f>IF(O6&lt;=0.13,1,IF(O6&lt;=0.18,2,IF(O6&lt;=0.23,3,IF(O6&lt;=0.28,4,0))))</f>
        <v>1</v>
      </c>
    </row>
    <row r="9" spans="1:21" x14ac:dyDescent="0.35">
      <c r="C9" t="s">
        <v>3759</v>
      </c>
      <c r="D9">
        <v>1</v>
      </c>
      <c r="E9">
        <v>2</v>
      </c>
      <c r="F9">
        <v>3</v>
      </c>
      <c r="G9">
        <v>4</v>
      </c>
      <c r="H9">
        <v>5</v>
      </c>
      <c r="I9">
        <v>6</v>
      </c>
      <c r="J9">
        <v>7</v>
      </c>
      <c r="K9">
        <v>8</v>
      </c>
      <c r="N9">
        <v>1</v>
      </c>
      <c r="O9">
        <v>2</v>
      </c>
      <c r="P9">
        <v>3</v>
      </c>
      <c r="Q9">
        <v>4</v>
      </c>
      <c r="R9">
        <v>5</v>
      </c>
      <c r="S9">
        <v>6</v>
      </c>
      <c r="T9">
        <v>7</v>
      </c>
      <c r="U9">
        <v>8</v>
      </c>
    </row>
    <row r="10" spans="1:21" x14ac:dyDescent="0.35">
      <c r="A10">
        <v>1</v>
      </c>
      <c r="B10" s="258">
        <v>0</v>
      </c>
      <c r="C10">
        <v>0</v>
      </c>
      <c r="D10">
        <v>0</v>
      </c>
      <c r="E10">
        <v>0</v>
      </c>
      <c r="F10">
        <v>0</v>
      </c>
      <c r="G10">
        <v>0</v>
      </c>
      <c r="H10">
        <v>0</v>
      </c>
      <c r="I10">
        <v>0</v>
      </c>
      <c r="J10">
        <v>0</v>
      </c>
      <c r="K10">
        <v>0</v>
      </c>
      <c r="M10">
        <v>1</v>
      </c>
      <c r="N10">
        <v>4</v>
      </c>
      <c r="O10">
        <v>7</v>
      </c>
      <c r="P10">
        <v>5</v>
      </c>
      <c r="Q10">
        <v>7</v>
      </c>
      <c r="R10">
        <v>7</v>
      </c>
      <c r="S10">
        <v>10</v>
      </c>
      <c r="T10">
        <v>15</v>
      </c>
      <c r="U10">
        <v>11</v>
      </c>
    </row>
    <row r="11" spans="1:21" x14ac:dyDescent="0.35">
      <c r="A11">
        <v>2</v>
      </c>
      <c r="B11" s="258">
        <v>0.05</v>
      </c>
      <c r="C11">
        <v>1</v>
      </c>
      <c r="D11">
        <v>2</v>
      </c>
      <c r="E11">
        <v>3</v>
      </c>
      <c r="F11">
        <v>3</v>
      </c>
      <c r="G11">
        <v>3</v>
      </c>
      <c r="H11">
        <v>3</v>
      </c>
      <c r="I11">
        <v>3</v>
      </c>
      <c r="J11">
        <v>3</v>
      </c>
      <c r="K11">
        <v>3</v>
      </c>
      <c r="M11">
        <v>2</v>
      </c>
      <c r="N11">
        <v>3</v>
      </c>
      <c r="O11">
        <v>5</v>
      </c>
      <c r="P11">
        <v>3</v>
      </c>
      <c r="Q11">
        <v>4</v>
      </c>
      <c r="R11">
        <v>4</v>
      </c>
      <c r="S11">
        <v>6</v>
      </c>
      <c r="T11">
        <v>8</v>
      </c>
      <c r="U11">
        <v>7</v>
      </c>
    </row>
    <row r="12" spans="1:21" x14ac:dyDescent="0.35">
      <c r="A12">
        <v>3</v>
      </c>
      <c r="B12" s="258">
        <v>0.1</v>
      </c>
      <c r="C12">
        <v>1</v>
      </c>
      <c r="D12">
        <v>3</v>
      </c>
      <c r="E12">
        <v>6</v>
      </c>
      <c r="F12">
        <v>5</v>
      </c>
      <c r="G12">
        <v>6</v>
      </c>
      <c r="H12">
        <v>6</v>
      </c>
      <c r="I12">
        <v>6</v>
      </c>
      <c r="J12">
        <v>5</v>
      </c>
      <c r="K12">
        <v>7</v>
      </c>
      <c r="M12">
        <v>3</v>
      </c>
      <c r="N12">
        <v>2</v>
      </c>
      <c r="O12">
        <v>4</v>
      </c>
    </row>
    <row r="13" spans="1:21" x14ac:dyDescent="0.35">
      <c r="A13">
        <v>4</v>
      </c>
      <c r="B13" s="258">
        <v>0.15</v>
      </c>
      <c r="C13">
        <v>2</v>
      </c>
      <c r="D13">
        <v>5</v>
      </c>
      <c r="E13">
        <v>9</v>
      </c>
      <c r="F13">
        <v>8</v>
      </c>
      <c r="G13">
        <v>9</v>
      </c>
      <c r="H13">
        <v>9</v>
      </c>
      <c r="I13">
        <v>9</v>
      </c>
      <c r="J13">
        <v>8</v>
      </c>
      <c r="K13">
        <v>10</v>
      </c>
      <c r="M13">
        <v>4</v>
      </c>
      <c r="N13">
        <v>1</v>
      </c>
      <c r="O13">
        <v>2</v>
      </c>
    </row>
    <row r="14" spans="1:21" x14ac:dyDescent="0.35">
      <c r="A14">
        <v>5</v>
      </c>
      <c r="B14" s="258">
        <v>0.2</v>
      </c>
      <c r="C14">
        <v>3</v>
      </c>
      <c r="D14">
        <v>6</v>
      </c>
      <c r="E14">
        <v>12</v>
      </c>
      <c r="F14">
        <v>10</v>
      </c>
      <c r="G14">
        <v>12</v>
      </c>
      <c r="H14">
        <v>12</v>
      </c>
      <c r="I14">
        <v>12</v>
      </c>
      <c r="J14">
        <v>11</v>
      </c>
      <c r="K14">
        <v>13</v>
      </c>
    </row>
    <row r="15" spans="1:21" x14ac:dyDescent="0.35">
      <c r="A15">
        <v>6</v>
      </c>
      <c r="B15" s="258">
        <v>0.25</v>
      </c>
      <c r="C15">
        <v>4</v>
      </c>
      <c r="D15">
        <v>8</v>
      </c>
      <c r="E15">
        <v>15</v>
      </c>
      <c r="F15">
        <v>13</v>
      </c>
      <c r="G15">
        <v>16</v>
      </c>
      <c r="H15">
        <v>14</v>
      </c>
      <c r="I15">
        <v>15</v>
      </c>
      <c r="J15">
        <v>14</v>
      </c>
      <c r="K15">
        <v>17</v>
      </c>
    </row>
    <row r="16" spans="1:21" x14ac:dyDescent="0.35">
      <c r="A16">
        <v>7</v>
      </c>
      <c r="B16" s="258">
        <v>0.3</v>
      </c>
      <c r="C16">
        <v>5</v>
      </c>
      <c r="D16">
        <v>10</v>
      </c>
      <c r="E16">
        <v>18</v>
      </c>
      <c r="F16">
        <v>16</v>
      </c>
      <c r="G16">
        <v>19</v>
      </c>
      <c r="H16">
        <v>17</v>
      </c>
      <c r="I16">
        <v>18</v>
      </c>
      <c r="J16">
        <v>16</v>
      </c>
      <c r="K16">
        <v>20</v>
      </c>
    </row>
    <row r="17" spans="1:21" x14ac:dyDescent="0.35">
      <c r="A17">
        <v>8</v>
      </c>
      <c r="B17" s="258">
        <v>0.35</v>
      </c>
      <c r="C17">
        <v>5</v>
      </c>
      <c r="D17">
        <v>11</v>
      </c>
      <c r="E17">
        <v>21</v>
      </c>
      <c r="F17">
        <v>18</v>
      </c>
      <c r="G17">
        <v>22</v>
      </c>
      <c r="H17">
        <v>20</v>
      </c>
      <c r="I17">
        <v>21</v>
      </c>
      <c r="J17">
        <v>19</v>
      </c>
      <c r="K17">
        <v>23</v>
      </c>
    </row>
    <row r="19" spans="1:21" x14ac:dyDescent="0.35">
      <c r="B19" t="s">
        <v>3763</v>
      </c>
      <c r="C19">
        <f>IF(C6="Tropical",INDEX(C10:C17,MATCH(C7,B10:B17,1)),INDEX(D10:K17,MATCH(C7,B10:B17,1),MATCH(C5,D9:K9,1)))</f>
        <v>0</v>
      </c>
      <c r="M19" t="s">
        <v>3763</v>
      </c>
      <c r="N19">
        <f>IF(N6=0,0,IFERROR(INDEX($N$10:$U$13,N7,$N$5),0))</f>
        <v>0</v>
      </c>
      <c r="O19">
        <f>IF(O6=0,0,IFERROR(INDEX($N$10:$U$13,O7,$N$5),0))</f>
        <v>0</v>
      </c>
    </row>
    <row r="22" spans="1:21" x14ac:dyDescent="0.35">
      <c r="B22" s="259" t="s">
        <v>3764</v>
      </c>
    </row>
    <row r="24" spans="1:21" x14ac:dyDescent="0.35">
      <c r="B24" t="s">
        <v>3760</v>
      </c>
      <c r="C24">
        <f>'Overview (Verification)'!W13</f>
        <v>4</v>
      </c>
      <c r="M24" t="s">
        <v>3760</v>
      </c>
      <c r="N24">
        <f>'Overview (Verification)'!W13</f>
        <v>4</v>
      </c>
    </row>
    <row r="25" spans="1:21" x14ac:dyDescent="0.35">
      <c r="B25" t="s">
        <v>3761</v>
      </c>
      <c r="C25" t="str">
        <f>'Overview (Verification)'!Z13</f>
        <v xml:space="preserve"> </v>
      </c>
      <c r="M25" t="s">
        <v>4024</v>
      </c>
      <c r="N25" s="314">
        <f>MAX('Verification Report'!W839,'Verification Report'!W1295)</f>
        <v>3</v>
      </c>
      <c r="O25" s="314">
        <f>MAX('Verification Report'!W842,'Verification Report'!W1297)</f>
        <v>0</v>
      </c>
    </row>
    <row r="26" spans="1:21" x14ac:dyDescent="0.35">
      <c r="B26" t="s">
        <v>3762</v>
      </c>
      <c r="C26">
        <f>'Verification Report'!W948</f>
        <v>0</v>
      </c>
      <c r="D26" s="258"/>
      <c r="M26" t="s">
        <v>4025</v>
      </c>
      <c r="N26">
        <f>IF(N25&lt;=1,1,IF(N25&lt;=2,2,IF(N25&lt;=3,3,IF(N25&lt;=4,4,0))))</f>
        <v>3</v>
      </c>
      <c r="O26">
        <f>IF(O25&lt;=0.13,1,IF(O25&lt;=0.18,2,IF(O25&lt;=0.23,3,IF(O25&lt;=0.28,4,0))))</f>
        <v>1</v>
      </c>
    </row>
    <row r="28" spans="1:21" x14ac:dyDescent="0.35">
      <c r="C28" t="s">
        <v>3759</v>
      </c>
      <c r="D28">
        <v>1</v>
      </c>
      <c r="E28">
        <v>2</v>
      </c>
      <c r="F28">
        <v>3</v>
      </c>
      <c r="G28">
        <v>4</v>
      </c>
      <c r="H28">
        <v>5</v>
      </c>
      <c r="I28">
        <v>6</v>
      </c>
      <c r="J28">
        <v>7</v>
      </c>
      <c r="K28">
        <v>8</v>
      </c>
      <c r="N28">
        <v>1</v>
      </c>
      <c r="O28">
        <v>2</v>
      </c>
      <c r="P28">
        <v>3</v>
      </c>
      <c r="Q28">
        <v>4</v>
      </c>
      <c r="R28">
        <v>5</v>
      </c>
      <c r="S28">
        <v>6</v>
      </c>
      <c r="T28">
        <v>7</v>
      </c>
      <c r="U28">
        <v>8</v>
      </c>
    </row>
    <row r="29" spans="1:21" x14ac:dyDescent="0.35">
      <c r="A29">
        <v>1</v>
      </c>
      <c r="B29" s="258">
        <v>0</v>
      </c>
      <c r="C29">
        <v>0</v>
      </c>
      <c r="D29">
        <v>0</v>
      </c>
      <c r="E29">
        <v>0</v>
      </c>
      <c r="F29">
        <v>0</v>
      </c>
      <c r="G29">
        <v>0</v>
      </c>
      <c r="H29">
        <v>0</v>
      </c>
      <c r="I29">
        <v>0</v>
      </c>
      <c r="J29">
        <v>0</v>
      </c>
      <c r="K29">
        <v>0</v>
      </c>
      <c r="M29">
        <v>1</v>
      </c>
      <c r="N29">
        <v>4</v>
      </c>
      <c r="O29">
        <v>7</v>
      </c>
      <c r="P29">
        <v>5</v>
      </c>
      <c r="Q29">
        <v>7</v>
      </c>
      <c r="R29">
        <v>7</v>
      </c>
      <c r="S29">
        <v>10</v>
      </c>
      <c r="T29">
        <v>15</v>
      </c>
      <c r="U29">
        <v>11</v>
      </c>
    </row>
    <row r="30" spans="1:21" x14ac:dyDescent="0.35">
      <c r="A30">
        <v>2</v>
      </c>
      <c r="B30" s="258">
        <v>0.05</v>
      </c>
      <c r="C30">
        <v>1</v>
      </c>
      <c r="D30">
        <v>2</v>
      </c>
      <c r="E30">
        <v>3</v>
      </c>
      <c r="F30">
        <v>3</v>
      </c>
      <c r="G30">
        <v>3</v>
      </c>
      <c r="H30">
        <v>3</v>
      </c>
      <c r="I30">
        <v>3</v>
      </c>
      <c r="J30">
        <v>3</v>
      </c>
      <c r="K30">
        <v>3</v>
      </c>
      <c r="M30">
        <v>2</v>
      </c>
      <c r="N30">
        <v>3</v>
      </c>
      <c r="O30">
        <v>5</v>
      </c>
      <c r="P30">
        <v>3</v>
      </c>
      <c r="Q30">
        <v>4</v>
      </c>
      <c r="R30">
        <v>4</v>
      </c>
      <c r="S30">
        <v>6</v>
      </c>
      <c r="T30">
        <v>8</v>
      </c>
      <c r="U30">
        <v>7</v>
      </c>
    </row>
    <row r="31" spans="1:21" x14ac:dyDescent="0.35">
      <c r="A31">
        <v>3</v>
      </c>
      <c r="B31" s="258">
        <v>0.1</v>
      </c>
      <c r="C31">
        <v>1</v>
      </c>
      <c r="D31">
        <v>3</v>
      </c>
      <c r="E31">
        <v>6</v>
      </c>
      <c r="F31">
        <v>5</v>
      </c>
      <c r="G31">
        <v>6</v>
      </c>
      <c r="H31">
        <v>6</v>
      </c>
      <c r="I31">
        <v>6</v>
      </c>
      <c r="J31">
        <v>5</v>
      </c>
      <c r="K31">
        <v>7</v>
      </c>
      <c r="M31">
        <v>3</v>
      </c>
      <c r="N31">
        <v>2</v>
      </c>
      <c r="O31">
        <v>4</v>
      </c>
    </row>
    <row r="32" spans="1:21" x14ac:dyDescent="0.35">
      <c r="A32">
        <v>4</v>
      </c>
      <c r="B32" s="258">
        <v>0.15</v>
      </c>
      <c r="C32">
        <v>2</v>
      </c>
      <c r="D32">
        <v>5</v>
      </c>
      <c r="E32">
        <v>9</v>
      </c>
      <c r="F32">
        <v>8</v>
      </c>
      <c r="G32">
        <v>9</v>
      </c>
      <c r="H32">
        <v>9</v>
      </c>
      <c r="I32">
        <v>9</v>
      </c>
      <c r="J32">
        <v>8</v>
      </c>
      <c r="K32">
        <v>10</v>
      </c>
      <c r="M32">
        <v>4</v>
      </c>
      <c r="N32">
        <v>1</v>
      </c>
      <c r="O32">
        <v>2</v>
      </c>
    </row>
    <row r="33" spans="1:15" x14ac:dyDescent="0.35">
      <c r="A33">
        <v>5</v>
      </c>
      <c r="B33" s="258">
        <v>0.2</v>
      </c>
      <c r="C33">
        <v>3</v>
      </c>
      <c r="D33">
        <v>6</v>
      </c>
      <c r="E33">
        <v>12</v>
      </c>
      <c r="F33">
        <v>10</v>
      </c>
      <c r="G33">
        <v>12</v>
      </c>
      <c r="H33">
        <v>12</v>
      </c>
      <c r="I33">
        <v>12</v>
      </c>
      <c r="J33">
        <v>11</v>
      </c>
      <c r="K33">
        <v>13</v>
      </c>
    </row>
    <row r="34" spans="1:15" x14ac:dyDescent="0.35">
      <c r="A34">
        <v>6</v>
      </c>
      <c r="B34" s="258">
        <v>0.25</v>
      </c>
      <c r="C34">
        <v>4</v>
      </c>
      <c r="D34">
        <v>8</v>
      </c>
      <c r="E34">
        <v>15</v>
      </c>
      <c r="F34">
        <v>13</v>
      </c>
      <c r="G34">
        <v>16</v>
      </c>
      <c r="H34">
        <v>14</v>
      </c>
      <c r="I34">
        <v>15</v>
      </c>
      <c r="J34">
        <v>14</v>
      </c>
      <c r="K34">
        <v>17</v>
      </c>
    </row>
    <row r="35" spans="1:15" x14ac:dyDescent="0.35">
      <c r="A35">
        <v>7</v>
      </c>
      <c r="B35" s="258">
        <v>0.3</v>
      </c>
      <c r="C35">
        <v>5</v>
      </c>
      <c r="D35">
        <v>10</v>
      </c>
      <c r="E35">
        <v>18</v>
      </c>
      <c r="F35">
        <v>16</v>
      </c>
      <c r="G35">
        <v>19</v>
      </c>
      <c r="H35">
        <v>17</v>
      </c>
      <c r="I35">
        <v>18</v>
      </c>
      <c r="J35">
        <v>16</v>
      </c>
      <c r="K35">
        <v>20</v>
      </c>
    </row>
    <row r="36" spans="1:15" x14ac:dyDescent="0.35">
      <c r="A36">
        <v>8</v>
      </c>
      <c r="B36" s="258">
        <v>0.35</v>
      </c>
      <c r="C36">
        <v>5</v>
      </c>
      <c r="D36">
        <v>11</v>
      </c>
      <c r="E36">
        <v>21</v>
      </c>
      <c r="F36">
        <v>18</v>
      </c>
      <c r="G36">
        <v>22</v>
      </c>
      <c r="H36">
        <v>20</v>
      </c>
      <c r="I36">
        <v>21</v>
      </c>
      <c r="J36">
        <v>19</v>
      </c>
      <c r="K36">
        <v>23</v>
      </c>
    </row>
    <row r="38" spans="1:15" x14ac:dyDescent="0.35">
      <c r="B38" t="s">
        <v>3763</v>
      </c>
      <c r="C38">
        <f>IF(C25="Tropical",INDEX(C29:C36,MATCH(C26,B29:B36,1)),INDEX(D29:K36,MATCH(C26,B29:B36,1),MATCH(C24,D28:K28,1)))</f>
        <v>0</v>
      </c>
      <c r="M38" t="s">
        <v>3763</v>
      </c>
      <c r="N38">
        <f>IF(N25=0,0,IFERROR(INDEX($N$29:$U$32,N26,$N$24),0))</f>
        <v>0</v>
      </c>
      <c r="O38">
        <f>IF(O25=0,0,IFERROR(INDEX($N$29:$U$32,O26,$N$24),0))</f>
        <v>0</v>
      </c>
    </row>
  </sheetData>
  <sheetProtection algorithmName="SHA-512" hashValue="kqkmbRGtOuToGU0GDt/iWLKrK6/oY9d73Nf73/4MJq794Cl64nrgnT17ETwVdtSKZ+FF+sVYDss7q2eD6XUT4g==" saltValue="GoIEtXIwwGut1lvlGHUCRw==" spinCount="100000" sheet="1" objects="1" scenarios="1" selectLockedCells="1" selectUnlockedCells="1"/>
  <pageMargins left="0.7" right="0.7" top="0.75" bottom="0.75" header="0.3" footer="0.3"/>
  <pageSetup scale="91"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Z62"/>
  <sheetViews>
    <sheetView showGridLines="0" zoomScaleNormal="100" workbookViewId="0">
      <pane ySplit="6" topLeftCell="A7" activePane="bottomLeft" state="frozen"/>
      <selection pane="bottomLeft" activeCell="I8" sqref="I8"/>
    </sheetView>
  </sheetViews>
  <sheetFormatPr defaultColWidth="9.1796875" defaultRowHeight="14.5" x14ac:dyDescent="0.35"/>
  <cols>
    <col min="5" max="13" width="9.1796875" customWidth="1"/>
    <col min="14" max="14" width="16.81640625" hidden="1" customWidth="1"/>
    <col min="15" max="15" width="17.453125" hidden="1" customWidth="1"/>
  </cols>
  <sheetData>
    <row r="1" spans="1:26" x14ac:dyDescent="0.35">
      <c r="A1" s="868"/>
      <c r="B1" s="868"/>
      <c r="C1" s="868"/>
      <c r="D1" s="881" t="s">
        <v>4629</v>
      </c>
      <c r="E1" s="868"/>
      <c r="F1" s="868"/>
      <c r="G1" s="868"/>
      <c r="H1" s="868"/>
      <c r="I1" s="868"/>
      <c r="J1" s="868"/>
      <c r="K1" s="868"/>
      <c r="L1" s="868"/>
      <c r="M1" s="868"/>
      <c r="N1" s="868"/>
      <c r="O1" s="868"/>
      <c r="P1" s="868"/>
      <c r="Q1" s="868"/>
      <c r="R1" s="868"/>
      <c r="S1" s="868"/>
      <c r="T1" s="868"/>
      <c r="U1" s="868"/>
      <c r="V1" s="868"/>
      <c r="W1" s="868"/>
      <c r="X1" s="868"/>
      <c r="Y1" s="882"/>
    </row>
    <row r="2" spans="1:26" x14ac:dyDescent="0.35">
      <c r="A2" s="834"/>
      <c r="B2" s="834"/>
      <c r="C2" s="834"/>
      <c r="D2" s="883"/>
      <c r="E2" s="834"/>
      <c r="F2" s="834"/>
      <c r="G2" s="834"/>
      <c r="H2" s="834"/>
      <c r="I2" s="834"/>
      <c r="J2" s="834"/>
      <c r="K2" s="834"/>
      <c r="L2" s="834"/>
      <c r="M2" s="834"/>
      <c r="N2" s="834"/>
      <c r="O2" s="834"/>
      <c r="P2" s="834"/>
      <c r="Q2" s="834"/>
      <c r="R2" s="834"/>
      <c r="S2" s="834"/>
      <c r="T2" s="834"/>
      <c r="U2" s="834"/>
      <c r="V2" s="834"/>
      <c r="W2" s="834"/>
      <c r="X2" s="834"/>
      <c r="Y2" s="884"/>
    </row>
    <row r="3" spans="1:26" ht="15" customHeight="1" x14ac:dyDescent="0.35">
      <c r="A3" s="834"/>
      <c r="B3" s="834"/>
      <c r="C3" s="834"/>
      <c r="D3" s="885"/>
      <c r="E3" s="886"/>
      <c r="F3" s="886"/>
      <c r="G3" s="886"/>
      <c r="H3" s="886"/>
      <c r="I3" s="886"/>
      <c r="J3" s="886"/>
      <c r="K3" s="886"/>
      <c r="L3" s="886"/>
      <c r="M3" s="886"/>
      <c r="N3" s="886"/>
      <c r="O3" s="886"/>
      <c r="P3" s="886"/>
      <c r="Q3" s="886"/>
      <c r="R3" s="886"/>
      <c r="S3" s="886"/>
      <c r="T3" s="886"/>
      <c r="U3" s="886"/>
      <c r="V3" s="886"/>
      <c r="W3" s="886"/>
      <c r="X3" s="886"/>
      <c r="Y3" s="887"/>
    </row>
    <row r="4" spans="1:26" x14ac:dyDescent="0.35">
      <c r="A4" s="834"/>
      <c r="B4" s="834"/>
      <c r="C4" s="834"/>
      <c r="D4" s="869" t="s">
        <v>378</v>
      </c>
      <c r="E4" s="870"/>
      <c r="F4" s="870"/>
      <c r="G4" s="870"/>
      <c r="H4" s="870"/>
      <c r="I4" s="870"/>
      <c r="J4" s="870"/>
      <c r="K4" s="870"/>
      <c r="L4" s="870"/>
      <c r="M4" s="871"/>
      <c r="P4" s="875" t="s">
        <v>4566</v>
      </c>
      <c r="Q4" s="876"/>
      <c r="R4" s="876"/>
      <c r="S4" s="876"/>
      <c r="T4" s="876"/>
      <c r="U4" s="876"/>
      <c r="V4" s="876"/>
      <c r="W4" s="876"/>
      <c r="X4" s="876"/>
      <c r="Y4" s="877"/>
    </row>
    <row r="5" spans="1:26" x14ac:dyDescent="0.35">
      <c r="A5" s="834"/>
      <c r="B5" s="834"/>
      <c r="C5" s="834"/>
      <c r="D5" s="872"/>
      <c r="E5" s="873"/>
      <c r="F5" s="873"/>
      <c r="G5" s="873"/>
      <c r="H5" s="873"/>
      <c r="I5" s="873"/>
      <c r="J5" s="873"/>
      <c r="K5" s="873"/>
      <c r="L5" s="873"/>
      <c r="M5" s="874"/>
      <c r="P5" s="878"/>
      <c r="Q5" s="879"/>
      <c r="R5" s="879"/>
      <c r="S5" s="879"/>
      <c r="T5" s="879"/>
      <c r="U5" s="879"/>
      <c r="V5" s="879"/>
      <c r="W5" s="879"/>
      <c r="X5" s="879"/>
      <c r="Y5" s="880"/>
    </row>
    <row r="6" spans="1:26" ht="18.5" x14ac:dyDescent="0.45">
      <c r="A6" s="11" t="s">
        <v>4304</v>
      </c>
      <c r="B6" s="11"/>
      <c r="C6" s="11"/>
      <c r="D6" s="11"/>
      <c r="E6" s="848" t="s">
        <v>375</v>
      </c>
      <c r="F6" s="849"/>
      <c r="G6" s="849"/>
      <c r="H6" s="850"/>
      <c r="I6" s="29" t="s">
        <v>377</v>
      </c>
      <c r="J6" s="848" t="s">
        <v>376</v>
      </c>
      <c r="K6" s="849"/>
      <c r="L6" s="849"/>
      <c r="M6" s="850"/>
      <c r="N6" t="s">
        <v>260</v>
      </c>
      <c r="O6" t="s">
        <v>260</v>
      </c>
      <c r="P6" s="11" t="s">
        <v>333</v>
      </c>
      <c r="Q6" s="11"/>
      <c r="R6" s="11"/>
      <c r="S6" s="11"/>
      <c r="T6" s="11"/>
      <c r="U6" s="11"/>
      <c r="V6" s="11"/>
      <c r="W6" s="11"/>
      <c r="X6" s="11"/>
      <c r="Y6" s="11"/>
    </row>
    <row r="7" spans="1:26" x14ac:dyDescent="0.35">
      <c r="N7" t="s">
        <v>246</v>
      </c>
      <c r="O7" t="s">
        <v>247</v>
      </c>
    </row>
    <row r="8" spans="1:26" x14ac:dyDescent="0.35">
      <c r="A8" s="648" t="s">
        <v>124</v>
      </c>
      <c r="B8" s="648"/>
      <c r="C8" s="648"/>
      <c r="D8" s="648"/>
      <c r="E8" s="837" t="str">
        <f>IF(LEN('Overview (Design)'!G10)=0,"",'Overview (Design)'!G10)</f>
        <v>ABC Builder</v>
      </c>
      <c r="F8" s="838"/>
      <c r="G8" s="838"/>
      <c r="H8" s="839"/>
      <c r="I8" s="28" t="b">
        <v>1</v>
      </c>
      <c r="J8" s="659"/>
      <c r="K8" s="659"/>
      <c r="L8" s="659"/>
      <c r="M8" s="659"/>
      <c r="N8" s="2"/>
      <c r="O8" s="2" t="s">
        <v>343</v>
      </c>
      <c r="P8" s="852" t="str">
        <f t="shared" ref="P8:P14" si="0">IF(LEN(IF(I8,E8,J8))=0,"",IF(I8,E8,J8))</f>
        <v>ABC Builder</v>
      </c>
      <c r="Q8" s="852"/>
      <c r="R8" s="852"/>
      <c r="S8" s="852"/>
      <c r="U8" s="654" t="s">
        <v>3862</v>
      </c>
      <c r="V8" s="655"/>
      <c r="W8" s="416"/>
      <c r="X8" s="259"/>
      <c r="Y8" s="259"/>
    </row>
    <row r="9" spans="1:26" x14ac:dyDescent="0.35">
      <c r="A9" s="648" t="s">
        <v>125</v>
      </c>
      <c r="B9" s="648"/>
      <c r="C9" s="648"/>
      <c r="D9" s="648"/>
      <c r="E9" s="837" t="str">
        <f>IF(LEN('Overview (Design)'!G11)=0,"",'Overview (Design)'!G11)</f>
        <v>123 Example Drive</v>
      </c>
      <c r="F9" s="838"/>
      <c r="G9" s="838"/>
      <c r="H9" s="839"/>
      <c r="I9" s="28" t="b">
        <v>1</v>
      </c>
      <c r="J9" s="659"/>
      <c r="K9" s="659"/>
      <c r="L9" s="659"/>
      <c r="M9" s="659"/>
      <c r="N9" s="2"/>
      <c r="O9" s="2" t="s">
        <v>344</v>
      </c>
      <c r="P9" s="852" t="str">
        <f t="shared" si="0"/>
        <v>123 Example Drive</v>
      </c>
      <c r="Q9" s="852" t="str">
        <f t="shared" ref="Q9:S13" si="1">IF(LEN(IF(J9,F9,K9))=0,"",IF(J9,F9,K9))</f>
        <v/>
      </c>
      <c r="R9" s="852" t="str">
        <f t="shared" si="1"/>
        <v/>
      </c>
      <c r="S9" s="852" t="str">
        <f t="shared" si="1"/>
        <v/>
      </c>
      <c r="U9" s="432">
        <f>W13</f>
        <v>4</v>
      </c>
      <c r="V9" s="433" t="str">
        <f>X13</f>
        <v>Moist</v>
      </c>
      <c r="W9" s="433" t="str">
        <f>Y13</f>
        <v xml:space="preserve"> </v>
      </c>
      <c r="X9" s="433"/>
      <c r="Y9" s="434" t="str">
        <f>Z13</f>
        <v xml:space="preserve"> </v>
      </c>
    </row>
    <row r="10" spans="1:26" x14ac:dyDescent="0.35">
      <c r="A10" s="648" t="s">
        <v>130</v>
      </c>
      <c r="B10" s="648"/>
      <c r="C10" s="648"/>
      <c r="D10" s="648"/>
      <c r="E10" s="837" t="str">
        <f>IF(LEN('Overview (Design)'!G12)=0,"",'Overview (Design)'!G12)</f>
        <v>Lot 1A</v>
      </c>
      <c r="F10" s="838"/>
      <c r="G10" s="838"/>
      <c r="H10" s="839"/>
      <c r="I10" s="28" t="b">
        <v>1</v>
      </c>
      <c r="J10" s="659"/>
      <c r="K10" s="659"/>
      <c r="L10" s="659"/>
      <c r="M10" s="659"/>
      <c r="N10" s="2"/>
      <c r="O10" s="2" t="s">
        <v>345</v>
      </c>
      <c r="P10" s="852" t="str">
        <f t="shared" si="0"/>
        <v>Lot 1A</v>
      </c>
      <c r="Q10" s="852" t="str">
        <f t="shared" si="1"/>
        <v/>
      </c>
      <c r="R10" s="852" t="str">
        <f t="shared" si="1"/>
        <v/>
      </c>
      <c r="S10" s="852" t="str">
        <f t="shared" si="1"/>
        <v/>
      </c>
    </row>
    <row r="11" spans="1:26" x14ac:dyDescent="0.35">
      <c r="A11" s="648" t="s">
        <v>126</v>
      </c>
      <c r="B11" s="648"/>
      <c r="C11" s="648"/>
      <c r="D11" s="648"/>
      <c r="E11" s="837" t="str">
        <f>IF(LEN('Overview (Design)'!G13)=0,"",'Overview (Design)'!G13)</f>
        <v>Durham</v>
      </c>
      <c r="F11" s="838"/>
      <c r="G11" s="838"/>
      <c r="H11" s="839"/>
      <c r="I11" s="28" t="b">
        <v>1</v>
      </c>
      <c r="J11" s="659"/>
      <c r="K11" s="659"/>
      <c r="L11" s="659"/>
      <c r="M11" s="659"/>
      <c r="N11" s="2"/>
      <c r="O11" s="2" t="s">
        <v>346</v>
      </c>
      <c r="P11" s="852" t="str">
        <f t="shared" si="0"/>
        <v>Durham</v>
      </c>
      <c r="Q11" s="852" t="str">
        <f t="shared" si="1"/>
        <v/>
      </c>
      <c r="R11" s="852" t="str">
        <f t="shared" si="1"/>
        <v/>
      </c>
      <c r="S11" s="852" t="str">
        <f t="shared" si="1"/>
        <v/>
      </c>
    </row>
    <row r="12" spans="1:26" x14ac:dyDescent="0.35">
      <c r="A12" s="648" t="s">
        <v>128</v>
      </c>
      <c r="B12" s="648"/>
      <c r="C12" s="648"/>
      <c r="D12" s="648"/>
      <c r="E12" s="837" t="str">
        <f>IF(LEN('Overview (Design)'!G14)=0,"",'Overview (Design)'!G14)</f>
        <v>North Carolina</v>
      </c>
      <c r="F12" s="838"/>
      <c r="G12" s="838"/>
      <c r="H12" s="839"/>
      <c r="I12" s="28" t="b">
        <v>1</v>
      </c>
      <c r="J12" s="659"/>
      <c r="K12" s="659"/>
      <c r="L12" s="659"/>
      <c r="M12" s="659"/>
      <c r="N12" s="5" t="s">
        <v>180</v>
      </c>
      <c r="O12" s="2" t="s">
        <v>347</v>
      </c>
      <c r="P12" s="861" t="str">
        <f t="shared" si="0"/>
        <v>North Carolina</v>
      </c>
      <c r="Q12" s="861" t="str">
        <f t="shared" si="1"/>
        <v/>
      </c>
      <c r="R12" s="861" t="str">
        <f t="shared" si="1"/>
        <v/>
      </c>
      <c r="S12" s="861" t="str">
        <f t="shared" si="1"/>
        <v/>
      </c>
      <c r="T12" s="596" t="s">
        <v>2</v>
      </c>
      <c r="U12" s="596" t="s">
        <v>4</v>
      </c>
      <c r="V12" s="397" t="str">
        <f>Geography!D1</f>
        <v>Radon</v>
      </c>
      <c r="W12" s="596" t="str">
        <f>Geography!E1</f>
        <v>Climate</v>
      </c>
      <c r="X12" s="594" t="str">
        <f>Geography!F1</f>
        <v>Moist</v>
      </c>
      <c r="Y12" s="594" t="str">
        <f>Geography!G1</f>
        <v>WarmHumid</v>
      </c>
      <c r="Z12" s="594" t="str">
        <f>Geography!H1</f>
        <v>Tropical</v>
      </c>
    </row>
    <row r="13" spans="1:26" x14ac:dyDescent="0.35">
      <c r="A13" s="648" t="s">
        <v>127</v>
      </c>
      <c r="B13" s="648"/>
      <c r="C13" s="648"/>
      <c r="D13" s="648"/>
      <c r="E13" s="837" t="str">
        <f>IF(LEN('Overview (Design)'!G15)=0,"",'Overview (Design)'!G15)</f>
        <v xml:space="preserve">Chatham  </v>
      </c>
      <c r="F13" s="838"/>
      <c r="G13" s="838"/>
      <c r="H13" s="839"/>
      <c r="I13" s="28" t="b">
        <v>1</v>
      </c>
      <c r="J13" s="659"/>
      <c r="K13" s="659"/>
      <c r="L13" s="659"/>
      <c r="M13" s="659"/>
      <c r="N13" s="5" t="s">
        <v>181</v>
      </c>
      <c r="O13" s="2" t="s">
        <v>348</v>
      </c>
      <c r="P13" s="861" t="str">
        <f t="shared" si="0"/>
        <v xml:space="preserve">Chatham  </v>
      </c>
      <c r="Q13" s="861" t="str">
        <f t="shared" si="1"/>
        <v/>
      </c>
      <c r="R13" s="861" t="str">
        <f t="shared" si="1"/>
        <v/>
      </c>
      <c r="S13" s="861" t="str">
        <f t="shared" si="1"/>
        <v/>
      </c>
      <c r="T13" s="597" t="str">
        <f>P12</f>
        <v>North Carolina</v>
      </c>
      <c r="U13" s="597" t="str">
        <f>P13</f>
        <v xml:space="preserve">Chatham  </v>
      </c>
      <c r="V13" s="397">
        <f>IFERROR(DGET(dbState,V12,$T$12:$U$13),"!!")</f>
        <v>3</v>
      </c>
      <c r="W13" s="596">
        <f>IFERROR(DGET(dbState,W12,$T$12:$U$13),"!!")</f>
        <v>4</v>
      </c>
      <c r="X13" s="594" t="str">
        <f>IFERROR(DGET(dbState,X12,$T$12:$U$13),"!!")</f>
        <v>Moist</v>
      </c>
      <c r="Y13" s="594" t="str">
        <f>IFERROR(DGET(dbState,Y12,$T$12:$U$13),"!!")</f>
        <v xml:space="preserve"> </v>
      </c>
      <c r="Z13" s="594" t="str">
        <f>IFERROR(DGET(dbState,Z12,$T$12:$U$13),"!!")</f>
        <v xml:space="preserve"> </v>
      </c>
    </row>
    <row r="14" spans="1:26" x14ac:dyDescent="0.35">
      <c r="A14" s="648" t="s">
        <v>129</v>
      </c>
      <c r="B14" s="648"/>
      <c r="C14" s="648"/>
      <c r="D14" s="648"/>
      <c r="E14" s="837" t="str">
        <f>IF(LEN('Overview (Design)'!G16)=0,"",'Overview (Design)'!G16)</f>
        <v>27703</v>
      </c>
      <c r="F14" s="838"/>
      <c r="G14" s="838"/>
      <c r="H14" s="839"/>
      <c r="I14" s="28" t="b">
        <v>1</v>
      </c>
      <c r="J14" s="540" t="s">
        <v>4827</v>
      </c>
      <c r="K14" s="2"/>
      <c r="L14" s="2"/>
      <c r="M14" s="2"/>
      <c r="N14" s="2"/>
      <c r="O14" s="2" t="s">
        <v>349</v>
      </c>
      <c r="P14" s="25" t="str">
        <f t="shared" si="0"/>
        <v>27703</v>
      </c>
      <c r="Q14" s="2"/>
      <c r="R14" s="2"/>
      <c r="S14" s="2"/>
    </row>
    <row r="15" spans="1:26" x14ac:dyDescent="0.35">
      <c r="A15" s="648"/>
      <c r="B15" s="648"/>
      <c r="C15" s="648"/>
      <c r="D15" s="648"/>
      <c r="E15" s="2"/>
      <c r="F15" s="2"/>
      <c r="G15" s="2"/>
      <c r="H15" s="2"/>
      <c r="I15" s="6"/>
      <c r="J15" s="2"/>
      <c r="K15" s="2"/>
      <c r="L15" s="2"/>
      <c r="M15" s="2"/>
      <c r="N15" s="2"/>
      <c r="O15" s="2"/>
      <c r="P15" s="2"/>
      <c r="Q15" s="2"/>
      <c r="R15" s="2"/>
      <c r="S15" s="2"/>
    </row>
    <row r="16" spans="1:26" x14ac:dyDescent="0.35">
      <c r="A16" s="648" t="s">
        <v>380</v>
      </c>
      <c r="B16" s="648"/>
      <c r="C16" s="648"/>
      <c r="D16" s="648"/>
      <c r="E16" s="837" t="str">
        <f>IF(LEN('Overview (Design)'!G18)=0,"",'Overview (Design)'!G18)</f>
        <v>Single-Family</v>
      </c>
      <c r="F16" s="838"/>
      <c r="G16" s="838"/>
      <c r="H16" s="839"/>
      <c r="I16" s="28" t="b">
        <v>1</v>
      </c>
      <c r="J16" s="867"/>
      <c r="K16" s="867"/>
      <c r="L16" s="2"/>
      <c r="M16" s="2"/>
      <c r="N16" s="2" t="s">
        <v>182</v>
      </c>
      <c r="O16" s="2" t="s">
        <v>350</v>
      </c>
      <c r="P16" s="862" t="str">
        <f>IF(LEN(IF(I16,E16,J16))=0,"",IF(I16,E16,J16))</f>
        <v>Single-Family</v>
      </c>
      <c r="Q16" s="863" t="str">
        <f>IF(LEN(IF(J16,F16,K16))=0,"",IF(J16,F16,K16))</f>
        <v/>
      </c>
      <c r="R16" s="2"/>
      <c r="S16" s="2"/>
    </row>
    <row r="17" spans="1:25" x14ac:dyDescent="0.35">
      <c r="A17" s="864" t="s">
        <v>159</v>
      </c>
      <c r="B17" s="865"/>
      <c r="C17" s="865"/>
      <c r="D17" s="866"/>
      <c r="E17" s="837" t="str">
        <f>IF(LEN('Overview (Design)'!G19)=0,"",'Overview (Design)'!G19)</f>
        <v/>
      </c>
      <c r="F17" s="838"/>
      <c r="G17" s="838"/>
      <c r="H17" s="839"/>
      <c r="I17" s="28" t="b">
        <v>1</v>
      </c>
      <c r="J17" s="7"/>
      <c r="L17" s="2"/>
      <c r="M17" s="2"/>
      <c r="N17" s="2"/>
      <c r="O17" s="2" t="s">
        <v>351</v>
      </c>
      <c r="P17" s="25" t="str">
        <f>IF(LEN(IF(I17,E17,J17))=0,"",IF(I17,E17,J17))</f>
        <v/>
      </c>
      <c r="Q17" s="2"/>
      <c r="R17" s="2"/>
      <c r="S17" s="2"/>
    </row>
    <row r="18" spans="1:25" x14ac:dyDescent="0.35">
      <c r="A18" s="864" t="s">
        <v>160</v>
      </c>
      <c r="B18" s="865"/>
      <c r="C18" s="865"/>
      <c r="D18" s="866"/>
      <c r="E18" s="837" t="str">
        <f>IF(LEN('Overview (Design)'!G20)=0,"",'Overview (Design)'!G20)</f>
        <v/>
      </c>
      <c r="F18" s="838"/>
      <c r="G18" s="838"/>
      <c r="H18" s="839"/>
      <c r="I18" s="28" t="b">
        <v>1</v>
      </c>
      <c r="J18" s="659"/>
      <c r="K18" s="659"/>
      <c r="L18" s="659"/>
      <c r="M18" s="659"/>
      <c r="N18" s="2"/>
      <c r="O18" s="2" t="s">
        <v>352</v>
      </c>
      <c r="P18" s="852" t="str">
        <f>IF(LEN(IF(I18,E18,J18))=0,"",IF(I18,E18,J18))</f>
        <v/>
      </c>
      <c r="Q18" s="852" t="str">
        <f>IF(LEN(IF(J18,F18,K18))=0,"",IF(J18,F18,K18))</f>
        <v/>
      </c>
      <c r="R18" s="852" t="str">
        <f>IF(LEN(IF(K18,G18,L18))=0,"",IF(K18,G18,L18))</f>
        <v/>
      </c>
      <c r="S18" s="852" t="str">
        <f>IF(LEN(IF(L18,H18,M18))=0,"",IF(L18,H18,M18))</f>
        <v/>
      </c>
    </row>
    <row r="19" spans="1:25" x14ac:dyDescent="0.35">
      <c r="A19" s="678"/>
      <c r="B19" s="678"/>
      <c r="C19" s="678"/>
      <c r="D19" s="678"/>
      <c r="E19" s="2"/>
      <c r="F19" s="2"/>
      <c r="G19" s="2"/>
      <c r="H19" s="2"/>
      <c r="N19" s="2"/>
      <c r="O19" s="2"/>
    </row>
    <row r="20" spans="1:25" ht="15" customHeight="1" x14ac:dyDescent="0.35">
      <c r="A20" s="648" t="s">
        <v>131</v>
      </c>
      <c r="B20" s="648"/>
      <c r="C20" s="648"/>
      <c r="D20" s="648"/>
      <c r="E20" s="837">
        <f>IF(LEN('Overview (Design)'!G22)=0,"",'Overview (Design)'!G22)</f>
        <v>2644</v>
      </c>
      <c r="F20" s="838"/>
      <c r="G20" s="838"/>
      <c r="H20" s="839"/>
      <c r="I20" s="28" t="b">
        <v>1</v>
      </c>
      <c r="J20" s="7"/>
      <c r="K20" s="3" t="s">
        <v>149</v>
      </c>
      <c r="L20" s="6"/>
      <c r="M20" s="6"/>
      <c r="N20" s="2"/>
      <c r="O20" s="2" t="s">
        <v>353</v>
      </c>
      <c r="P20" s="26">
        <f>IF(LEN(IF(I20,E20,J20))=0,"",IF(I20,E20,J20))</f>
        <v>2644</v>
      </c>
      <c r="Q20" s="3" t="s">
        <v>149</v>
      </c>
      <c r="R20" s="859" t="s">
        <v>381</v>
      </c>
      <c r="S20" s="859"/>
      <c r="T20" s="859"/>
      <c r="U20" s="859"/>
      <c r="V20" s="859"/>
      <c r="W20" s="859"/>
      <c r="X20" s="2"/>
      <c r="Y20" s="2"/>
    </row>
    <row r="21" spans="1:25" x14ac:dyDescent="0.35">
      <c r="A21" s="648" t="s">
        <v>132</v>
      </c>
      <c r="B21" s="648"/>
      <c r="C21" s="648"/>
      <c r="D21" s="648"/>
      <c r="E21" s="837">
        <f>IF(LEN('Overview (Design)'!G23)=0,"",'Overview (Design)'!G23)</f>
        <v>2644</v>
      </c>
      <c r="F21" s="838"/>
      <c r="G21" s="838"/>
      <c r="H21" s="839"/>
      <c r="I21" s="28" t="b">
        <v>1</v>
      </c>
      <c r="J21" s="7"/>
      <c r="K21" s="3" t="s">
        <v>150</v>
      </c>
      <c r="L21" s="6"/>
      <c r="M21" s="6"/>
      <c r="N21" s="2"/>
      <c r="O21" s="2" t="s">
        <v>354</v>
      </c>
      <c r="P21" s="25">
        <f>IF(LEN(IF(I21,E21,J21))=0,"",IF(I21,E21,J21))</f>
        <v>2644</v>
      </c>
      <c r="Q21" s="3" t="s">
        <v>150</v>
      </c>
      <c r="R21" s="859"/>
      <c r="S21" s="859"/>
      <c r="T21" s="859"/>
      <c r="U21" s="859"/>
      <c r="V21" s="859"/>
      <c r="W21" s="859"/>
    </row>
    <row r="22" spans="1:25" x14ac:dyDescent="0.35">
      <c r="A22" s="648" t="s">
        <v>3743</v>
      </c>
      <c r="B22" s="648"/>
      <c r="C22" s="648"/>
      <c r="D22" s="648"/>
      <c r="E22" s="837">
        <f>IF(LEN('Overview (Design)'!G24)=0,"",'Overview (Design)'!G24)</f>
        <v>2</v>
      </c>
      <c r="F22" s="838"/>
      <c r="G22" s="838"/>
      <c r="H22" s="839"/>
      <c r="I22" s="28" t="b">
        <v>1</v>
      </c>
      <c r="J22" s="7"/>
      <c r="K22" s="3"/>
      <c r="L22" s="6"/>
      <c r="M22" s="6"/>
      <c r="N22" s="2"/>
      <c r="O22" s="2" t="s">
        <v>4073</v>
      </c>
      <c r="P22" s="25">
        <f>IF(LEN(IF(I22,E22,J22))=0,"",IF(I22,E22,J22))</f>
        <v>2</v>
      </c>
      <c r="Q22" s="3"/>
      <c r="R22" s="216"/>
      <c r="S22" s="216"/>
      <c r="T22" s="216"/>
      <c r="U22" s="216"/>
      <c r="V22" s="216"/>
      <c r="W22" s="216"/>
    </row>
    <row r="23" spans="1:25" x14ac:dyDescent="0.35">
      <c r="A23" s="677"/>
      <c r="B23" s="677"/>
      <c r="C23" s="677"/>
      <c r="D23" s="677"/>
      <c r="E23" s="2"/>
      <c r="F23" s="2"/>
      <c r="G23" s="2"/>
      <c r="H23" s="2"/>
      <c r="N23" s="2"/>
      <c r="O23" s="2"/>
    </row>
    <row r="24" spans="1:25" x14ac:dyDescent="0.35">
      <c r="A24" s="648" t="s">
        <v>133</v>
      </c>
      <c r="B24" s="648"/>
      <c r="C24" s="648"/>
      <c r="D24" s="648"/>
      <c r="E24" s="842" t="str">
        <f>IF(LEN('Overview (Design)'!G26)=0,"",'Overview (Design)'!G26)</f>
        <v/>
      </c>
      <c r="F24" s="843"/>
      <c r="G24" s="843"/>
      <c r="H24" s="844"/>
      <c r="I24" s="28" t="b">
        <v>1</v>
      </c>
      <c r="J24" s="851"/>
      <c r="K24" s="851"/>
      <c r="L24" s="851"/>
      <c r="M24" s="851"/>
      <c r="N24" s="2"/>
      <c r="O24" s="2" t="s">
        <v>355</v>
      </c>
      <c r="P24" s="853" t="str">
        <f t="shared" ref="P24:P47" si="2">IF(LEN(IF(I24,E24,J24))=0,"",IF(I24,E24,J24))</f>
        <v/>
      </c>
      <c r="Q24" s="854" t="str">
        <f t="shared" ref="Q24:S25" si="3">IF(LEN(IF(J24,F24,K24))=0,"",IF(J24,F24,K24))</f>
        <v/>
      </c>
      <c r="R24" s="854" t="str">
        <f t="shared" si="3"/>
        <v/>
      </c>
      <c r="S24" s="855" t="str">
        <f t="shared" si="3"/>
        <v/>
      </c>
    </row>
    <row r="25" spans="1:25" x14ac:dyDescent="0.35">
      <c r="A25" s="416"/>
      <c r="B25" s="416"/>
      <c r="C25" s="416"/>
      <c r="D25" s="416"/>
      <c r="E25" s="845"/>
      <c r="F25" s="846"/>
      <c r="G25" s="846"/>
      <c r="H25" s="847"/>
      <c r="J25" s="851"/>
      <c r="K25" s="851"/>
      <c r="L25" s="851"/>
      <c r="M25" s="851"/>
      <c r="N25" s="2"/>
      <c r="O25" s="2"/>
      <c r="P25" s="856" t="str">
        <f t="shared" si="2"/>
        <v/>
      </c>
      <c r="Q25" s="857" t="str">
        <f t="shared" si="3"/>
        <v/>
      </c>
      <c r="R25" s="857" t="str">
        <f t="shared" si="3"/>
        <v/>
      </c>
      <c r="S25" s="858" t="str">
        <f t="shared" si="3"/>
        <v/>
      </c>
    </row>
    <row r="26" spans="1:25" x14ac:dyDescent="0.35">
      <c r="A26" s="648" t="s">
        <v>134</v>
      </c>
      <c r="B26" s="648"/>
      <c r="C26" s="648"/>
      <c r="D26" s="840"/>
      <c r="E26" s="837" t="str">
        <f>IF(LEN('Overview (Design)'!G28)=0,"",'Overview (Design)'!G28)</f>
        <v/>
      </c>
      <c r="F26" s="838"/>
      <c r="G26" s="838"/>
      <c r="H26" s="839"/>
      <c r="I26" s="28" t="b">
        <v>1</v>
      </c>
      <c r="J26" s="7"/>
      <c r="N26" s="2"/>
      <c r="O26" s="2" t="s">
        <v>356</v>
      </c>
      <c r="P26" s="25" t="str">
        <f t="shared" si="2"/>
        <v/>
      </c>
    </row>
    <row r="27" spans="1:25" x14ac:dyDescent="0.35">
      <c r="A27" s="648" t="s">
        <v>135</v>
      </c>
      <c r="B27" s="648"/>
      <c r="C27" s="648"/>
      <c r="D27" s="840"/>
      <c r="E27" s="837" t="str">
        <f>IF(LEN('Overview (Design)'!G29)=0,"",'Overview (Design)'!G29)</f>
        <v>Conditioned crawlspace</v>
      </c>
      <c r="F27" s="838"/>
      <c r="G27" s="838"/>
      <c r="H27" s="839"/>
      <c r="I27" s="28" t="b">
        <v>1</v>
      </c>
      <c r="J27" s="659"/>
      <c r="K27" s="659"/>
      <c r="L27" s="659"/>
      <c r="M27" s="659"/>
      <c r="N27" s="2" t="s">
        <v>183</v>
      </c>
      <c r="O27" s="2" t="s">
        <v>357</v>
      </c>
      <c r="P27" s="861" t="str">
        <f t="shared" si="2"/>
        <v>Conditioned crawlspace</v>
      </c>
      <c r="Q27" s="861" t="str">
        <f>IF(LEN(IF(J27,F27,K27))=0,"",IF(J27,F27,K27))</f>
        <v/>
      </c>
      <c r="R27" s="861" t="str">
        <f>IF(LEN(IF(K27,G27,L27))=0,"",IF(K27,G27,L27))</f>
        <v/>
      </c>
      <c r="S27" s="861" t="str">
        <f>IF(LEN(IF(L27,H27,M27))=0,"",IF(L27,H27,M27))</f>
        <v/>
      </c>
    </row>
    <row r="28" spans="1:25" x14ac:dyDescent="0.35">
      <c r="A28" s="259"/>
      <c r="B28" s="259"/>
      <c r="C28" s="259"/>
      <c r="D28" s="259"/>
      <c r="E28" s="321"/>
      <c r="F28" s="322"/>
      <c r="G28" s="322"/>
      <c r="H28" s="323"/>
      <c r="T28" s="841" t="s">
        <v>386</v>
      </c>
      <c r="U28" s="841"/>
      <c r="V28" s="841"/>
      <c r="W28" s="841"/>
      <c r="X28" s="841"/>
      <c r="Y28" s="841"/>
    </row>
    <row r="29" spans="1:25" x14ac:dyDescent="0.35">
      <c r="A29" s="648" t="s">
        <v>3602</v>
      </c>
      <c r="B29" s="648"/>
      <c r="C29" s="648"/>
      <c r="D29" s="840"/>
      <c r="E29" s="837" t="str">
        <f>IF(LEN('Overview (Design)'!G31)=0,"",'Overview (Design)'!G31)</f>
        <v>Furnace</v>
      </c>
      <c r="F29" s="838"/>
      <c r="G29" s="838"/>
      <c r="H29" s="839"/>
      <c r="I29" s="28" t="b">
        <v>1</v>
      </c>
      <c r="J29" s="659"/>
      <c r="K29" s="659"/>
      <c r="L29" s="659"/>
      <c r="N29" s="2" t="s">
        <v>3606</v>
      </c>
      <c r="O29" s="2" t="s">
        <v>358</v>
      </c>
      <c r="P29" s="861" t="str">
        <f t="shared" si="2"/>
        <v>Furnace</v>
      </c>
      <c r="Q29" s="861" t="str">
        <f t="shared" ref="Q29:R31" si="4">IF(LEN(IF(J29,F29,K29))=0,"",IF(J29,F29,K29))</f>
        <v/>
      </c>
      <c r="R29" s="861" t="str">
        <f t="shared" si="4"/>
        <v/>
      </c>
      <c r="T29" s="860"/>
      <c r="U29" s="860"/>
      <c r="V29" s="860"/>
      <c r="W29" s="860"/>
      <c r="X29" s="860"/>
      <c r="Y29" s="860"/>
    </row>
    <row r="30" spans="1:25" x14ac:dyDescent="0.35">
      <c r="A30" s="648" t="s">
        <v>3609</v>
      </c>
      <c r="B30" s="648"/>
      <c r="C30" s="648"/>
      <c r="D30" s="840"/>
      <c r="E30" s="837" t="str">
        <f>IF(LEN('Overview (Design)'!G32)=0,"",'Overview (Design)'!G32)</f>
        <v/>
      </c>
      <c r="F30" s="838"/>
      <c r="G30" s="838"/>
      <c r="H30" s="839"/>
      <c r="I30" s="28" t="b">
        <v>1</v>
      </c>
      <c r="J30" s="659"/>
      <c r="K30" s="659"/>
      <c r="L30" s="659"/>
      <c r="N30" s="2" t="s">
        <v>3607</v>
      </c>
      <c r="O30" s="2" t="s">
        <v>359</v>
      </c>
      <c r="P30" s="852" t="str">
        <f t="shared" si="2"/>
        <v/>
      </c>
      <c r="Q30" s="852" t="str">
        <f t="shared" si="4"/>
        <v/>
      </c>
      <c r="R30" s="852" t="str">
        <f t="shared" si="4"/>
        <v/>
      </c>
      <c r="T30" s="860"/>
      <c r="U30" s="860"/>
      <c r="V30" s="860"/>
      <c r="W30" s="860"/>
      <c r="X30" s="860"/>
      <c r="Y30" s="860"/>
    </row>
    <row r="31" spans="1:25" x14ac:dyDescent="0.35">
      <c r="A31" s="648" t="s">
        <v>3610</v>
      </c>
      <c r="B31" s="648"/>
      <c r="C31" s="648"/>
      <c r="D31" s="840"/>
      <c r="E31" s="837" t="str">
        <f>IF(LEN('Overview (Design)'!G33)=0,"",'Overview (Design)'!G33)</f>
        <v/>
      </c>
      <c r="F31" s="838"/>
      <c r="G31" s="838"/>
      <c r="H31" s="839"/>
      <c r="I31" s="28" t="b">
        <v>1</v>
      </c>
      <c r="J31" s="659"/>
      <c r="K31" s="659"/>
      <c r="L31" s="659"/>
      <c r="N31" s="2" t="s">
        <v>3608</v>
      </c>
      <c r="O31" s="2" t="s">
        <v>360</v>
      </c>
      <c r="P31" s="852" t="str">
        <f t="shared" si="2"/>
        <v/>
      </c>
      <c r="Q31" s="852" t="str">
        <f t="shared" si="4"/>
        <v/>
      </c>
      <c r="R31" s="852" t="str">
        <f t="shared" si="4"/>
        <v/>
      </c>
      <c r="T31" s="860"/>
      <c r="U31" s="860"/>
      <c r="V31" s="860"/>
      <c r="W31" s="860"/>
      <c r="X31" s="860"/>
      <c r="Y31" s="860"/>
    </row>
    <row r="32" spans="1:25" x14ac:dyDescent="0.35">
      <c r="A32" s="648" t="s">
        <v>136</v>
      </c>
      <c r="B32" s="648"/>
      <c r="C32" s="648"/>
      <c r="D32" s="840"/>
      <c r="E32" s="837" t="str">
        <f>IF(LEN('Overview (Design)'!G34)=0,"",'Overview (Design)'!G34)</f>
        <v/>
      </c>
      <c r="F32" s="838"/>
      <c r="G32" s="838"/>
      <c r="H32" s="839"/>
      <c r="I32" s="28" t="b">
        <v>1</v>
      </c>
      <c r="J32" s="659"/>
      <c r="K32" s="659"/>
      <c r="L32" s="659"/>
      <c r="N32" s="2" t="s">
        <v>184</v>
      </c>
      <c r="O32" s="2" t="s">
        <v>361</v>
      </c>
      <c r="P32" s="852" t="str">
        <f t="shared" si="2"/>
        <v/>
      </c>
      <c r="Q32" s="852" t="str">
        <f t="shared" ref="Q32:Q37" si="5">IF(LEN(IF(J32,F32,K32))=0,"",IF(J32,F32,K32))</f>
        <v/>
      </c>
    </row>
    <row r="33" spans="1:25" x14ac:dyDescent="0.35">
      <c r="A33" s="648" t="s">
        <v>3620</v>
      </c>
      <c r="B33" s="648"/>
      <c r="C33" s="648"/>
      <c r="D33" s="840"/>
      <c r="E33" s="837" t="str">
        <f>IF(LEN('Overview (Design)'!G35)=0,"",'Overview (Design)'!G35)</f>
        <v>Ducted</v>
      </c>
      <c r="F33" s="838"/>
      <c r="G33" s="838"/>
      <c r="H33" s="839"/>
      <c r="I33" s="28" t="b">
        <v>1</v>
      </c>
      <c r="J33" s="659"/>
      <c r="K33" s="659"/>
      <c r="L33" s="659"/>
      <c r="N33" s="2" t="s">
        <v>3621</v>
      </c>
      <c r="O33" s="2" t="s">
        <v>4074</v>
      </c>
      <c r="P33" s="852" t="str">
        <f t="shared" ref="P33:P42" si="6">IF(LEN(IF(I33,E33,J33))=0,"",IF(I33,E33,J33))</f>
        <v>Ducted</v>
      </c>
      <c r="Q33" s="852" t="str">
        <f t="shared" si="5"/>
        <v/>
      </c>
    </row>
    <row r="34" spans="1:25" x14ac:dyDescent="0.35">
      <c r="A34" s="648" t="s">
        <v>3611</v>
      </c>
      <c r="B34" s="648"/>
      <c r="C34" s="648"/>
      <c r="D34" s="840"/>
      <c r="E34" s="837" t="str">
        <f>IF(LEN('Overview (Design)'!G36)=0,"",'Overview (Design)'!G36)</f>
        <v>Electric Air Conditiner</v>
      </c>
      <c r="F34" s="838"/>
      <c r="G34" s="838"/>
      <c r="H34" s="839"/>
      <c r="I34" s="28" t="b">
        <v>1</v>
      </c>
      <c r="J34" s="659"/>
      <c r="K34" s="659"/>
      <c r="L34" s="659"/>
      <c r="N34" s="2" t="s">
        <v>3614</v>
      </c>
      <c r="O34" s="2" t="s">
        <v>4075</v>
      </c>
      <c r="P34" s="852" t="str">
        <f t="shared" si="6"/>
        <v>Electric Air Conditiner</v>
      </c>
      <c r="Q34" s="852" t="str">
        <f t="shared" si="5"/>
        <v/>
      </c>
      <c r="T34" s="860"/>
      <c r="U34" s="860"/>
      <c r="V34" s="860"/>
      <c r="W34" s="860"/>
      <c r="X34" s="860"/>
      <c r="Y34" s="860"/>
    </row>
    <row r="35" spans="1:25" x14ac:dyDescent="0.35">
      <c r="A35" s="648" t="s">
        <v>3612</v>
      </c>
      <c r="B35" s="648"/>
      <c r="C35" s="648"/>
      <c r="D35" s="840"/>
      <c r="E35" s="837" t="str">
        <f>IF(LEN('Overview (Design)'!G37)=0,"",'Overview (Design)'!G37)</f>
        <v/>
      </c>
      <c r="F35" s="838"/>
      <c r="G35" s="838"/>
      <c r="H35" s="839"/>
      <c r="I35" s="28" t="b">
        <v>1</v>
      </c>
      <c r="J35" s="659"/>
      <c r="K35" s="659"/>
      <c r="L35" s="659"/>
      <c r="N35" s="2" t="s">
        <v>3616</v>
      </c>
      <c r="O35" s="2" t="s">
        <v>4076</v>
      </c>
      <c r="P35" s="852" t="str">
        <f t="shared" si="6"/>
        <v/>
      </c>
      <c r="Q35" s="852" t="str">
        <f t="shared" si="5"/>
        <v/>
      </c>
      <c r="T35" s="860"/>
      <c r="U35" s="860"/>
      <c r="V35" s="860"/>
      <c r="W35" s="860"/>
      <c r="X35" s="860"/>
      <c r="Y35" s="860"/>
    </row>
    <row r="36" spans="1:25" x14ac:dyDescent="0.35">
      <c r="A36" s="648" t="s">
        <v>3613</v>
      </c>
      <c r="B36" s="648"/>
      <c r="C36" s="648"/>
      <c r="D36" s="840"/>
      <c r="E36" s="837" t="str">
        <f>IF(LEN('Overview (Design)'!G38)=0,"",'Overview (Design)'!G38)</f>
        <v/>
      </c>
      <c r="F36" s="838"/>
      <c r="G36" s="838"/>
      <c r="H36" s="839"/>
      <c r="I36" s="28" t="b">
        <v>1</v>
      </c>
      <c r="J36" s="659"/>
      <c r="K36" s="659"/>
      <c r="L36" s="659"/>
      <c r="N36" s="2" t="s">
        <v>3618</v>
      </c>
      <c r="O36" s="2" t="s">
        <v>4077</v>
      </c>
      <c r="P36" s="852" t="str">
        <f t="shared" si="6"/>
        <v/>
      </c>
      <c r="Q36" s="852" t="str">
        <f t="shared" si="5"/>
        <v/>
      </c>
      <c r="T36" s="860"/>
      <c r="U36" s="860"/>
      <c r="V36" s="860"/>
      <c r="W36" s="860"/>
      <c r="X36" s="860"/>
      <c r="Y36" s="860"/>
    </row>
    <row r="37" spans="1:25" x14ac:dyDescent="0.35">
      <c r="A37" s="648" t="s">
        <v>3623</v>
      </c>
      <c r="B37" s="648"/>
      <c r="C37" s="648"/>
      <c r="D37" s="840"/>
      <c r="E37" s="837" t="str">
        <f>IF(LEN('Overview (Design)'!G39)=0,"",'Overview (Design)'!G39)</f>
        <v>Ducted</v>
      </c>
      <c r="F37" s="838"/>
      <c r="G37" s="838"/>
      <c r="H37" s="839"/>
      <c r="I37" s="28" t="b">
        <v>1</v>
      </c>
      <c r="J37" s="659"/>
      <c r="K37" s="659"/>
      <c r="N37" s="2" t="s">
        <v>3624</v>
      </c>
      <c r="O37" s="2" t="s">
        <v>4078</v>
      </c>
      <c r="P37" s="852" t="str">
        <f t="shared" si="6"/>
        <v>Ducted</v>
      </c>
      <c r="Q37" s="852" t="str">
        <f t="shared" si="5"/>
        <v/>
      </c>
    </row>
    <row r="38" spans="1:25" x14ac:dyDescent="0.35">
      <c r="A38" s="259"/>
      <c r="B38" s="259"/>
      <c r="C38" s="259"/>
      <c r="D38" s="259"/>
    </row>
    <row r="39" spans="1:25" x14ac:dyDescent="0.35">
      <c r="A39" s="648" t="s">
        <v>3748</v>
      </c>
      <c r="B39" s="648"/>
      <c r="C39" s="648"/>
      <c r="D39" s="840"/>
      <c r="E39" s="837">
        <f>IF(LEN('Overview (Design)'!G41)=0,"",'Overview (Design)'!G41)</f>
        <v>0.22</v>
      </c>
      <c r="F39" s="838"/>
      <c r="G39" s="838"/>
      <c r="H39" s="839"/>
      <c r="I39" s="28" t="b">
        <v>1</v>
      </c>
      <c r="J39" s="7"/>
      <c r="O39" s="2" t="s">
        <v>4079</v>
      </c>
      <c r="P39" s="25">
        <f t="shared" si="6"/>
        <v>0.22</v>
      </c>
    </row>
    <row r="40" spans="1:25" x14ac:dyDescent="0.35">
      <c r="A40" s="648" t="s">
        <v>3744</v>
      </c>
      <c r="B40" s="648"/>
      <c r="C40" s="648"/>
      <c r="D40" s="840"/>
      <c r="E40" s="837" t="str">
        <f>IF(LEN('Overview (Design)'!G42)=0,"",'Overview (Design)'!G42)</f>
        <v/>
      </c>
      <c r="F40" s="838"/>
      <c r="G40" s="838"/>
      <c r="H40" s="839"/>
      <c r="I40" s="28" t="b">
        <v>1</v>
      </c>
      <c r="J40" s="7"/>
      <c r="O40" s="2" t="s">
        <v>4080</v>
      </c>
      <c r="P40" s="25" t="str">
        <f t="shared" si="6"/>
        <v/>
      </c>
    </row>
    <row r="41" spans="1:25" x14ac:dyDescent="0.35">
      <c r="A41" s="648" t="s">
        <v>3749</v>
      </c>
      <c r="B41" s="648"/>
      <c r="C41" s="648"/>
      <c r="D41" s="840"/>
      <c r="E41" s="837">
        <f>IF(LEN('Overview (Design)'!G43)=0,"",'Overview (Design)'!G43)</f>
        <v>0.32</v>
      </c>
      <c r="F41" s="838"/>
      <c r="G41" s="838"/>
      <c r="H41" s="839"/>
      <c r="I41" s="28" t="b">
        <v>1</v>
      </c>
      <c r="J41" s="7"/>
      <c r="O41" s="2" t="s">
        <v>4081</v>
      </c>
      <c r="P41" s="25">
        <f t="shared" si="6"/>
        <v>0.32</v>
      </c>
    </row>
    <row r="42" spans="1:25" x14ac:dyDescent="0.35">
      <c r="A42" s="648" t="s">
        <v>3745</v>
      </c>
      <c r="B42" s="648"/>
      <c r="C42" s="648"/>
      <c r="D42" s="840"/>
      <c r="E42" s="837" t="str">
        <f>IF(LEN('Overview (Design)'!G44)=0,"",'Overview (Design)'!G44)</f>
        <v/>
      </c>
      <c r="F42" s="838"/>
      <c r="G42" s="838"/>
      <c r="H42" s="839"/>
      <c r="I42" s="28" t="b">
        <v>1</v>
      </c>
      <c r="J42" s="7"/>
      <c r="O42" s="2" t="s">
        <v>4082</v>
      </c>
      <c r="P42" s="25" t="str">
        <f t="shared" si="6"/>
        <v/>
      </c>
    </row>
    <row r="43" spans="1:25" x14ac:dyDescent="0.35">
      <c r="A43" s="648" t="s">
        <v>137</v>
      </c>
      <c r="B43" s="648"/>
      <c r="C43" s="648"/>
      <c r="D43" s="648"/>
      <c r="E43" s="837" t="str">
        <f>IF(LEN('Overview (Design)'!G45)=0,"",'Overview (Design)'!G45)</f>
        <v/>
      </c>
      <c r="F43" s="838"/>
      <c r="G43" s="838"/>
      <c r="H43" s="839"/>
      <c r="I43" s="28" t="b">
        <v>1</v>
      </c>
      <c r="J43" s="659"/>
      <c r="K43" s="659"/>
      <c r="N43" s="2" t="s">
        <v>185</v>
      </c>
      <c r="O43" s="2" t="s">
        <v>362</v>
      </c>
      <c r="P43" s="852" t="str">
        <f t="shared" si="2"/>
        <v/>
      </c>
      <c r="Q43" s="852" t="str">
        <f>IF(LEN(IF(J43,F43,K43))=0,"",IF(J43,F43,K43))</f>
        <v/>
      </c>
    </row>
    <row r="44" spans="1:25" x14ac:dyDescent="0.35">
      <c r="A44" s="648" t="s">
        <v>138</v>
      </c>
      <c r="B44" s="648"/>
      <c r="C44" s="648"/>
      <c r="D44" s="648"/>
      <c r="E44" s="837" t="str">
        <f>IF(LEN('Overview (Design)'!G46)=0,"",'Overview (Design)'!G46)</f>
        <v/>
      </c>
      <c r="F44" s="838"/>
      <c r="G44" s="838"/>
      <c r="H44" s="839"/>
      <c r="I44" s="28" t="b">
        <v>1</v>
      </c>
      <c r="J44" s="659"/>
      <c r="K44" s="659"/>
      <c r="L44" s="659"/>
      <c r="N44" s="2" t="s">
        <v>186</v>
      </c>
      <c r="O44" s="2" t="s">
        <v>363</v>
      </c>
      <c r="P44" s="852" t="str">
        <f t="shared" si="2"/>
        <v/>
      </c>
      <c r="Q44" s="852" t="str">
        <f>IF(LEN(IF(J44,F44,K44))=0,"",IF(J44,F44,K44))</f>
        <v/>
      </c>
      <c r="R44" s="852" t="str">
        <f>IF(LEN(IF(K44,G44,L44))=0,"",IF(K44,G44,L44))</f>
        <v/>
      </c>
    </row>
    <row r="45" spans="1:25" x14ac:dyDescent="0.35">
      <c r="A45" s="648" t="s">
        <v>139</v>
      </c>
      <c r="B45" s="648"/>
      <c r="C45" s="648"/>
      <c r="D45" s="648"/>
      <c r="E45" s="837" t="str">
        <f>IF(LEN('Overview (Design)'!G47)=0,"",'Overview (Design)'!G47)</f>
        <v>Vented</v>
      </c>
      <c r="F45" s="838"/>
      <c r="G45" s="838"/>
      <c r="H45" s="839"/>
      <c r="I45" s="28" t="b">
        <v>1</v>
      </c>
      <c r="J45" s="659"/>
      <c r="K45" s="659"/>
      <c r="N45" s="2" t="s">
        <v>187</v>
      </c>
      <c r="O45" s="2" t="s">
        <v>364</v>
      </c>
      <c r="P45" s="861" t="str">
        <f t="shared" si="2"/>
        <v>Vented</v>
      </c>
      <c r="Q45" s="861" t="str">
        <f>IF(LEN(IF(J45,F45,K45))=0,"",IF(J45,F45,K45))</f>
        <v/>
      </c>
    </row>
    <row r="46" spans="1:25" x14ac:dyDescent="0.35">
      <c r="A46" s="648" t="s">
        <v>140</v>
      </c>
      <c r="B46" s="648"/>
      <c r="C46" s="648"/>
      <c r="D46" s="648"/>
      <c r="E46" s="837" t="str">
        <f>IF(LEN('Overview (Design)'!G48)=0,"",'Overview (Design)'!G48)</f>
        <v>Yes</v>
      </c>
      <c r="F46" s="838"/>
      <c r="G46" s="838"/>
      <c r="H46" s="839"/>
      <c r="I46" s="28" t="b">
        <v>1</v>
      </c>
      <c r="J46" s="7"/>
      <c r="N46" s="2" t="s">
        <v>188</v>
      </c>
      <c r="O46" s="2" t="s">
        <v>365</v>
      </c>
      <c r="P46" s="25" t="str">
        <f t="shared" si="2"/>
        <v>Yes</v>
      </c>
    </row>
    <row r="47" spans="1:25" x14ac:dyDescent="0.35">
      <c r="A47" s="648" t="s">
        <v>141</v>
      </c>
      <c r="B47" s="648"/>
      <c r="C47" s="648"/>
      <c r="D47" s="648"/>
      <c r="E47" s="837" t="str">
        <f>IF(LEN('Overview (Design)'!G49)=0,"",'Overview (Design)'!G49)</f>
        <v/>
      </c>
      <c r="F47" s="838"/>
      <c r="G47" s="838"/>
      <c r="H47" s="839"/>
      <c r="I47" s="28" t="b">
        <v>1</v>
      </c>
      <c r="J47" s="7"/>
      <c r="N47" s="2" t="s">
        <v>189</v>
      </c>
      <c r="O47" s="2" t="s">
        <v>366</v>
      </c>
      <c r="P47" s="25" t="str">
        <f t="shared" si="2"/>
        <v/>
      </c>
    </row>
    <row r="48" spans="1:25" x14ac:dyDescent="0.35">
      <c r="A48" s="678"/>
      <c r="B48" s="678"/>
      <c r="C48" s="678"/>
      <c r="D48" s="678"/>
      <c r="E48" s="2"/>
      <c r="F48" s="2"/>
      <c r="G48" s="2"/>
      <c r="H48" s="2"/>
      <c r="J48" s="2"/>
      <c r="N48" s="2"/>
      <c r="O48" s="2"/>
      <c r="P48" s="2"/>
    </row>
    <row r="49" spans="1:25" x14ac:dyDescent="0.35">
      <c r="A49" s="648" t="s">
        <v>142</v>
      </c>
      <c r="B49" s="648"/>
      <c r="C49" s="648"/>
      <c r="D49" s="259"/>
      <c r="E49" s="2"/>
      <c r="F49" s="2"/>
      <c r="G49" s="2"/>
      <c r="H49" s="2"/>
      <c r="J49" s="2"/>
      <c r="N49" s="2"/>
      <c r="O49" s="2"/>
      <c r="P49" s="2"/>
    </row>
    <row r="50" spans="1:25" x14ac:dyDescent="0.35">
      <c r="A50" s="648" t="s">
        <v>143</v>
      </c>
      <c r="B50" s="648"/>
      <c r="C50" s="648"/>
      <c r="D50" s="648"/>
      <c r="E50" s="837" t="str">
        <f>IF(LEN('Overview (Design)'!G52)=0,"",'Overview (Design)'!G52)</f>
        <v/>
      </c>
      <c r="F50" s="838"/>
      <c r="G50" s="838"/>
      <c r="H50" s="839"/>
      <c r="I50" s="28" t="b">
        <v>1</v>
      </c>
      <c r="J50" s="539"/>
      <c r="N50" s="2" t="s">
        <v>190</v>
      </c>
      <c r="O50" s="2" t="s">
        <v>367</v>
      </c>
      <c r="P50" s="27" t="str">
        <f t="shared" ref="P50:P55" si="7">IF(LEN(IF(I50,E50,J50))=0,"",IF(I50,E50,J50))</f>
        <v/>
      </c>
    </row>
    <row r="51" spans="1:25" x14ac:dyDescent="0.35">
      <c r="A51" s="648" t="s">
        <v>144</v>
      </c>
      <c r="B51" s="648"/>
      <c r="C51" s="648"/>
      <c r="D51" s="648"/>
      <c r="E51" s="837" t="str">
        <f>IF(LEN('Overview (Design)'!G53)=0,"",'Overview (Design)'!G53)</f>
        <v/>
      </c>
      <c r="F51" s="838"/>
      <c r="G51" s="838"/>
      <c r="H51" s="839"/>
      <c r="I51" s="28" t="b">
        <v>1</v>
      </c>
      <c r="J51" s="7"/>
      <c r="N51" s="2" t="s">
        <v>191</v>
      </c>
      <c r="O51" s="2" t="s">
        <v>368</v>
      </c>
      <c r="P51" s="25" t="str">
        <f t="shared" si="7"/>
        <v/>
      </c>
    </row>
    <row r="52" spans="1:25" x14ac:dyDescent="0.35">
      <c r="A52" s="648" t="s">
        <v>145</v>
      </c>
      <c r="B52" s="648"/>
      <c r="C52" s="648"/>
      <c r="D52" s="648"/>
      <c r="E52" s="837" t="str">
        <f>IF(LEN('Overview (Design)'!G54)=0,"",'Overview (Design)'!G54)</f>
        <v/>
      </c>
      <c r="F52" s="838"/>
      <c r="G52" s="838"/>
      <c r="H52" s="839"/>
      <c r="I52" s="28" t="b">
        <v>1</v>
      </c>
      <c r="J52" s="7"/>
      <c r="N52" s="2" t="s">
        <v>192</v>
      </c>
      <c r="O52" s="2" t="s">
        <v>369</v>
      </c>
      <c r="P52" s="25" t="str">
        <f t="shared" si="7"/>
        <v/>
      </c>
    </row>
    <row r="53" spans="1:25" x14ac:dyDescent="0.35">
      <c r="A53" s="648" t="s">
        <v>146</v>
      </c>
      <c r="B53" s="648"/>
      <c r="C53" s="648"/>
      <c r="D53" s="648"/>
      <c r="E53" s="837" t="str">
        <f>IF(LEN('Overview (Design)'!G55)=0,"",'Overview (Design)'!G55)</f>
        <v/>
      </c>
      <c r="F53" s="838"/>
      <c r="G53" s="838"/>
      <c r="H53" s="839"/>
      <c r="I53" s="28" t="b">
        <v>1</v>
      </c>
      <c r="J53" s="7"/>
      <c r="N53" s="2" t="s">
        <v>193</v>
      </c>
      <c r="O53" s="2" t="s">
        <v>370</v>
      </c>
      <c r="P53" s="25" t="str">
        <f t="shared" si="7"/>
        <v/>
      </c>
    </row>
    <row r="54" spans="1:25" x14ac:dyDescent="0.35">
      <c r="A54" s="685" t="s">
        <v>248</v>
      </c>
      <c r="B54" s="685"/>
      <c r="C54" s="685"/>
      <c r="D54" s="685"/>
      <c r="E54" s="837" t="str">
        <f>IF(LEN('Overview (Design)'!G56)=0,"",'Overview (Design)'!G56)</f>
        <v/>
      </c>
      <c r="F54" s="838"/>
      <c r="G54" s="838"/>
      <c r="H54" s="839"/>
      <c r="I54" s="28" t="b">
        <v>1</v>
      </c>
      <c r="J54" s="7"/>
      <c r="N54" s="2" t="s">
        <v>252</v>
      </c>
      <c r="O54" s="2" t="s">
        <v>371</v>
      </c>
      <c r="P54" s="25" t="str">
        <f t="shared" si="7"/>
        <v/>
      </c>
    </row>
    <row r="55" spans="1:25" ht="14.5" customHeight="1" x14ac:dyDescent="0.35">
      <c r="A55" s="686" t="s">
        <v>249</v>
      </c>
      <c r="B55" s="686"/>
      <c r="C55" s="686"/>
      <c r="D55" s="686"/>
      <c r="E55" s="837" t="str">
        <f>IF(LEN('Overview (Design)'!G57)=0,"",'Overview (Design)'!G57)</f>
        <v/>
      </c>
      <c r="F55" s="838"/>
      <c r="G55" s="838"/>
      <c r="H55" s="839"/>
      <c r="I55" s="28" t="b">
        <v>1</v>
      </c>
      <c r="J55" s="7"/>
      <c r="N55" s="2" t="s">
        <v>253</v>
      </c>
      <c r="O55" s="2" t="s">
        <v>372</v>
      </c>
      <c r="P55" s="25" t="str">
        <f t="shared" si="7"/>
        <v/>
      </c>
    </row>
    <row r="56" spans="1:25" x14ac:dyDescent="0.35">
      <c r="A56" s="677"/>
      <c r="B56" s="677"/>
      <c r="C56" s="677"/>
      <c r="D56" s="677"/>
      <c r="E56" s="2"/>
      <c r="F56" s="2"/>
      <c r="G56" s="2"/>
      <c r="H56" s="2"/>
      <c r="J56" s="2"/>
      <c r="N56" s="2"/>
      <c r="O56" s="2"/>
      <c r="P56" s="2"/>
    </row>
    <row r="57" spans="1:25" x14ac:dyDescent="0.35">
      <c r="A57" s="648" t="s">
        <v>147</v>
      </c>
      <c r="B57" s="648"/>
      <c r="C57" s="648"/>
      <c r="D57" s="648"/>
      <c r="E57" s="837" t="str">
        <f>IF(LEN('Overview (Design)'!G59)=0,"",'Overview (Design)'!G59)</f>
        <v/>
      </c>
      <c r="F57" s="838"/>
      <c r="G57" s="838"/>
      <c r="H57" s="839"/>
      <c r="I57" s="28" t="b">
        <v>1</v>
      </c>
      <c r="J57" s="659"/>
      <c r="K57" s="659"/>
      <c r="N57" s="2" t="s">
        <v>194</v>
      </c>
      <c r="O57" s="2" t="s">
        <v>373</v>
      </c>
      <c r="P57" s="852" t="str">
        <f>IF(LEN(IF(I57,E57,J57))=0,"",IF(I57,E57,J57))</f>
        <v/>
      </c>
      <c r="Q57" s="852" t="str">
        <f>IF(LEN(IF(J57,F57,K57))=0,"",IF(J57,F57,K57))</f>
        <v/>
      </c>
    </row>
    <row r="58" spans="1:25" x14ac:dyDescent="0.35">
      <c r="A58" s="648" t="s">
        <v>148</v>
      </c>
      <c r="B58" s="648"/>
      <c r="C58" s="648"/>
      <c r="D58" s="648"/>
      <c r="E58" s="837" t="str">
        <f>IF(LEN('Overview (Design)'!G60)=0,"",'Overview (Design)'!G60)</f>
        <v/>
      </c>
      <c r="F58" s="838"/>
      <c r="G58" s="838"/>
      <c r="H58" s="839"/>
      <c r="I58" s="28" t="b">
        <v>1</v>
      </c>
      <c r="J58" s="659"/>
      <c r="K58" s="659"/>
      <c r="N58" s="2" t="s">
        <v>195</v>
      </c>
      <c r="O58" s="2" t="s">
        <v>374</v>
      </c>
      <c r="P58" s="852" t="str">
        <f>IF(LEN(IF(I58,E58,J58))=0,"",IF(I58,E58,J58))</f>
        <v/>
      </c>
      <c r="Q58" s="852" t="str">
        <f>IF(LEN(IF(J58,F58,K58))=0,"",IF(J58,F58,K58))</f>
        <v/>
      </c>
    </row>
    <row r="59" spans="1:25" x14ac:dyDescent="0.35">
      <c r="A59" s="416"/>
      <c r="B59" s="416"/>
      <c r="C59" s="416"/>
      <c r="D59" s="416"/>
      <c r="E59" s="2"/>
      <c r="F59" s="2"/>
      <c r="G59" s="2"/>
      <c r="H59" s="2"/>
    </row>
    <row r="60" spans="1:25" x14ac:dyDescent="0.35">
      <c r="A60" s="648" t="s">
        <v>4104</v>
      </c>
      <c r="B60" s="648"/>
      <c r="C60" s="648"/>
      <c r="D60" s="648"/>
      <c r="E60" s="2"/>
      <c r="F60" s="2"/>
      <c r="G60" s="2"/>
      <c r="H60" s="2"/>
      <c r="J60" s="888"/>
      <c r="K60" s="888"/>
      <c r="O60" s="2" t="s">
        <v>4612</v>
      </c>
      <c r="P60" s="889" t="str">
        <f>IF(LEN(J60)&gt;0,J60,"")</f>
        <v/>
      </c>
      <c r="Q60" s="890"/>
    </row>
    <row r="62" spans="1:25" ht="18.5" x14ac:dyDescent="0.45">
      <c r="A62" s="11"/>
      <c r="B62" s="11"/>
      <c r="C62" s="11"/>
      <c r="D62" s="11"/>
      <c r="E62" s="11"/>
      <c r="F62" s="11"/>
      <c r="G62" s="11"/>
      <c r="H62" s="11"/>
      <c r="I62" s="11"/>
      <c r="J62" s="11"/>
      <c r="K62" s="11"/>
      <c r="L62" s="11"/>
      <c r="M62" s="11"/>
      <c r="N62" s="11"/>
      <c r="O62" s="11"/>
      <c r="P62" s="11"/>
      <c r="Q62" s="11"/>
      <c r="R62" s="11"/>
      <c r="S62" s="11"/>
      <c r="T62" s="11"/>
      <c r="U62" s="11"/>
      <c r="V62" s="11"/>
      <c r="W62" s="11"/>
      <c r="X62" s="11"/>
      <c r="Y62" s="11"/>
    </row>
  </sheetData>
  <sheetProtection algorithmName="SHA-512" hashValue="18VaIqyqaFKua0JXJpuvnQcQBG8y7Opdlin3ad22lo6gT6wROcnfoftrUGs7a9MMNGI0ou6gCDTr8vEUmuKomw==" saltValue="SxCQX2SFdFTT2E2Yl77/ng==" spinCount="100000" sheet="1" objects="1" scenarios="1" selectLockedCells="1" autoFilter="0"/>
  <mergeCells count="156">
    <mergeCell ref="A60:D60"/>
    <mergeCell ref="J60:K60"/>
    <mergeCell ref="P60:Q60"/>
    <mergeCell ref="T34:Y34"/>
    <mergeCell ref="T35:Y35"/>
    <mergeCell ref="T36:Y36"/>
    <mergeCell ref="J32:L32"/>
    <mergeCell ref="J33:L33"/>
    <mergeCell ref="J34:L34"/>
    <mergeCell ref="J35:L35"/>
    <mergeCell ref="J36:L36"/>
    <mergeCell ref="J37:K37"/>
    <mergeCell ref="P33:Q33"/>
    <mergeCell ref="P34:Q34"/>
    <mergeCell ref="P35:Q35"/>
    <mergeCell ref="P36:Q36"/>
    <mergeCell ref="P37:Q37"/>
    <mergeCell ref="A43:D43"/>
    <mergeCell ref="A41:D41"/>
    <mergeCell ref="A42:D42"/>
    <mergeCell ref="U8:V8"/>
    <mergeCell ref="A1:C5"/>
    <mergeCell ref="D4:M5"/>
    <mergeCell ref="P4:Y5"/>
    <mergeCell ref="D1:Y3"/>
    <mergeCell ref="A58:D58"/>
    <mergeCell ref="P58:Q58"/>
    <mergeCell ref="A53:D53"/>
    <mergeCell ref="A54:D54"/>
    <mergeCell ref="A55:D55"/>
    <mergeCell ref="A56:D56"/>
    <mergeCell ref="A57:D57"/>
    <mergeCell ref="P57:Q57"/>
    <mergeCell ref="E58:H58"/>
    <mergeCell ref="E54:H54"/>
    <mergeCell ref="E55:H55"/>
    <mergeCell ref="E57:H57"/>
    <mergeCell ref="J58:K58"/>
    <mergeCell ref="J57:K57"/>
    <mergeCell ref="E53:H53"/>
    <mergeCell ref="A31:D31"/>
    <mergeCell ref="P31:R31"/>
    <mergeCell ref="A32:D32"/>
    <mergeCell ref="P32:Q32"/>
    <mergeCell ref="T30:Y30"/>
    <mergeCell ref="P43:Q43"/>
    <mergeCell ref="A52:D52"/>
    <mergeCell ref="A44:D44"/>
    <mergeCell ref="P44:R44"/>
    <mergeCell ref="A45:D45"/>
    <mergeCell ref="P45:Q45"/>
    <mergeCell ref="A46:D46"/>
    <mergeCell ref="E45:H45"/>
    <mergeCell ref="A47:D47"/>
    <mergeCell ref="A48:D48"/>
    <mergeCell ref="A49:C49"/>
    <mergeCell ref="A50:D50"/>
    <mergeCell ref="A51:D51"/>
    <mergeCell ref="E46:H46"/>
    <mergeCell ref="E47:H47"/>
    <mergeCell ref="E50:H50"/>
    <mergeCell ref="E51:H51"/>
    <mergeCell ref="J44:L44"/>
    <mergeCell ref="E52:H52"/>
    <mergeCell ref="J45:K45"/>
    <mergeCell ref="E44:H44"/>
    <mergeCell ref="T31:Y31"/>
    <mergeCell ref="E42:H42"/>
    <mergeCell ref="A17:D17"/>
    <mergeCell ref="A18:D18"/>
    <mergeCell ref="P18:S18"/>
    <mergeCell ref="E16:H16"/>
    <mergeCell ref="E17:H17"/>
    <mergeCell ref="E18:H18"/>
    <mergeCell ref="J16:K16"/>
    <mergeCell ref="J18:M18"/>
    <mergeCell ref="A30:D30"/>
    <mergeCell ref="P30:R30"/>
    <mergeCell ref="A20:D20"/>
    <mergeCell ref="A21:D21"/>
    <mergeCell ref="A23:D23"/>
    <mergeCell ref="A24:D24"/>
    <mergeCell ref="E20:H20"/>
    <mergeCell ref="A26:D26"/>
    <mergeCell ref="A27:D27"/>
    <mergeCell ref="P27:S27"/>
    <mergeCell ref="A29:D29"/>
    <mergeCell ref="P29:R29"/>
    <mergeCell ref="J27:M27"/>
    <mergeCell ref="J29:L29"/>
    <mergeCell ref="E21:H21"/>
    <mergeCell ref="E30:H30"/>
    <mergeCell ref="A8:D8"/>
    <mergeCell ref="P8:S8"/>
    <mergeCell ref="E8:H8"/>
    <mergeCell ref="A19:D19"/>
    <mergeCell ref="A12:D12"/>
    <mergeCell ref="P12:S12"/>
    <mergeCell ref="A13:D13"/>
    <mergeCell ref="P13:S13"/>
    <mergeCell ref="A14:D14"/>
    <mergeCell ref="A15:D15"/>
    <mergeCell ref="E12:H12"/>
    <mergeCell ref="E13:H13"/>
    <mergeCell ref="E14:H14"/>
    <mergeCell ref="A16:D16"/>
    <mergeCell ref="P16:Q16"/>
    <mergeCell ref="J10:M10"/>
    <mergeCell ref="J11:M11"/>
    <mergeCell ref="J12:M12"/>
    <mergeCell ref="J13:M13"/>
    <mergeCell ref="A9:D9"/>
    <mergeCell ref="P9:S9"/>
    <mergeCell ref="A10:D10"/>
    <mergeCell ref="P10:S10"/>
    <mergeCell ref="A11:D11"/>
    <mergeCell ref="T28:Y28"/>
    <mergeCell ref="J31:L31"/>
    <mergeCell ref="J43:K43"/>
    <mergeCell ref="E24:H25"/>
    <mergeCell ref="E6:H6"/>
    <mergeCell ref="J6:M6"/>
    <mergeCell ref="J8:M8"/>
    <mergeCell ref="J9:M9"/>
    <mergeCell ref="E26:H26"/>
    <mergeCell ref="E27:H27"/>
    <mergeCell ref="E29:H29"/>
    <mergeCell ref="E10:H10"/>
    <mergeCell ref="E11:H11"/>
    <mergeCell ref="J24:M25"/>
    <mergeCell ref="E31:H31"/>
    <mergeCell ref="E32:H32"/>
    <mergeCell ref="E43:H43"/>
    <mergeCell ref="P11:S11"/>
    <mergeCell ref="E9:H9"/>
    <mergeCell ref="P24:S25"/>
    <mergeCell ref="J30:L30"/>
    <mergeCell ref="R20:W21"/>
    <mergeCell ref="T29:Y29"/>
    <mergeCell ref="E41:H41"/>
    <mergeCell ref="A22:D22"/>
    <mergeCell ref="E22:H22"/>
    <mergeCell ref="E33:H33"/>
    <mergeCell ref="E34:H34"/>
    <mergeCell ref="E35:H35"/>
    <mergeCell ref="E36:H36"/>
    <mergeCell ref="E37:H37"/>
    <mergeCell ref="E39:H39"/>
    <mergeCell ref="E40:H40"/>
    <mergeCell ref="A33:D33"/>
    <mergeCell ref="A34:D34"/>
    <mergeCell ref="A35:D35"/>
    <mergeCell ref="A36:D36"/>
    <mergeCell ref="A37:D37"/>
    <mergeCell ref="A39:D39"/>
    <mergeCell ref="A40:D40"/>
  </mergeCells>
  <conditionalFormatting sqref="I8">
    <cfRule type="expression" dxfId="2247" priority="69">
      <formula>LEN(TRIM($I$8))&gt;0</formula>
    </cfRule>
  </conditionalFormatting>
  <conditionalFormatting sqref="I9">
    <cfRule type="expression" dxfId="2246" priority="68">
      <formula>LEN(TRIM($I$9))&gt;0</formula>
    </cfRule>
  </conditionalFormatting>
  <conditionalFormatting sqref="I10">
    <cfRule type="expression" dxfId="2245" priority="67">
      <formula>LEN(TRIM($I$10))&gt;0</formula>
    </cfRule>
  </conditionalFormatting>
  <conditionalFormatting sqref="I11">
    <cfRule type="expression" dxfId="2244" priority="66">
      <formula>LEN(TRIM($I$11))&gt;0</formula>
    </cfRule>
  </conditionalFormatting>
  <conditionalFormatting sqref="I12">
    <cfRule type="expression" dxfId="2243" priority="65">
      <formula>LEN(TRIM($I$12))&gt;0</formula>
    </cfRule>
  </conditionalFormatting>
  <conditionalFormatting sqref="I13">
    <cfRule type="expression" dxfId="2242" priority="64">
      <formula>LEN(TRIM($I$13))&gt;0</formula>
    </cfRule>
  </conditionalFormatting>
  <conditionalFormatting sqref="I14">
    <cfRule type="expression" dxfId="2241" priority="63">
      <formula>LEN(TRIM($I$14))&gt;0</formula>
    </cfRule>
  </conditionalFormatting>
  <conditionalFormatting sqref="I16">
    <cfRule type="expression" dxfId="2240" priority="62">
      <formula>LEN(TRIM($I$16))&gt;0</formula>
    </cfRule>
  </conditionalFormatting>
  <conditionalFormatting sqref="I17">
    <cfRule type="expression" dxfId="2239" priority="61">
      <formula>LEN(TRIM($I$17))&gt;0</formula>
    </cfRule>
  </conditionalFormatting>
  <conditionalFormatting sqref="I18">
    <cfRule type="expression" dxfId="2238" priority="60">
      <formula>LEN(TRIM($I$18))&gt;0</formula>
    </cfRule>
  </conditionalFormatting>
  <conditionalFormatting sqref="I20">
    <cfRule type="expression" dxfId="2237" priority="59">
      <formula>LEN(TRIM($I$20))&gt;0</formula>
    </cfRule>
  </conditionalFormatting>
  <conditionalFormatting sqref="I21">
    <cfRule type="expression" dxfId="2236" priority="58">
      <formula>LEN(TRIM($I$21))&gt;0</formula>
    </cfRule>
  </conditionalFormatting>
  <conditionalFormatting sqref="I22">
    <cfRule type="expression" dxfId="2235" priority="37">
      <formula>LEN(TRIM($I$22))&gt;0</formula>
    </cfRule>
  </conditionalFormatting>
  <conditionalFormatting sqref="I24">
    <cfRule type="expression" dxfId="2234" priority="57">
      <formula>LEN(TRIM($I$24))&gt;0</formula>
    </cfRule>
  </conditionalFormatting>
  <conditionalFormatting sqref="I26">
    <cfRule type="expression" dxfId="2233" priority="56">
      <formula>LEN(TRIM($I$26))&gt;0</formula>
    </cfRule>
  </conditionalFormatting>
  <conditionalFormatting sqref="I27">
    <cfRule type="expression" dxfId="2232" priority="55">
      <formula>LEN(TRIM($I$27))&gt;0</formula>
    </cfRule>
  </conditionalFormatting>
  <conditionalFormatting sqref="I29">
    <cfRule type="expression" dxfId="2231" priority="54">
      <formula>LEN(TRIM($I$29))&gt;0</formula>
    </cfRule>
  </conditionalFormatting>
  <conditionalFormatting sqref="I30">
    <cfRule type="expression" dxfId="2230" priority="53">
      <formula>LEN(TRIM($I$30))&gt;0</formula>
    </cfRule>
  </conditionalFormatting>
  <conditionalFormatting sqref="I31">
    <cfRule type="expression" dxfId="2229" priority="52">
      <formula>LEN(TRIM($I$31))&gt;0</formula>
    </cfRule>
  </conditionalFormatting>
  <conditionalFormatting sqref="I32">
    <cfRule type="expression" dxfId="2228" priority="51">
      <formula>LEN(TRIM($I$32))&gt;0</formula>
    </cfRule>
  </conditionalFormatting>
  <conditionalFormatting sqref="I33">
    <cfRule type="expression" dxfId="2227" priority="36">
      <formula>LEN(TRIM($I$33))&gt;0</formula>
    </cfRule>
  </conditionalFormatting>
  <conditionalFormatting sqref="I34">
    <cfRule type="expression" dxfId="2226" priority="35">
      <formula>LEN(TRIM($I$34))&gt;0</formula>
    </cfRule>
  </conditionalFormatting>
  <conditionalFormatting sqref="I35">
    <cfRule type="expression" dxfId="2225" priority="34">
      <formula>LEN(TRIM($I$35))&gt;0</formula>
    </cfRule>
  </conditionalFormatting>
  <conditionalFormatting sqref="I36">
    <cfRule type="expression" dxfId="2224" priority="33">
      <formula>LEN(TRIM($I$36))&gt;0</formula>
    </cfRule>
  </conditionalFormatting>
  <conditionalFormatting sqref="I37">
    <cfRule type="expression" dxfId="2223" priority="32">
      <formula>LEN(TRIM($I$37))&gt;0</formula>
    </cfRule>
  </conditionalFormatting>
  <conditionalFormatting sqref="I39">
    <cfRule type="expression" dxfId="2222" priority="30">
      <formula>LEN(TRIM($I$39))&gt;0</formula>
    </cfRule>
  </conditionalFormatting>
  <conditionalFormatting sqref="I40">
    <cfRule type="expression" dxfId="2221" priority="29">
      <formula>LEN(TRIM($I$40))&gt;0</formula>
    </cfRule>
  </conditionalFormatting>
  <conditionalFormatting sqref="I41">
    <cfRule type="expression" dxfId="2220" priority="28">
      <formula>LEN(TRIM($I$41))&gt;0</formula>
    </cfRule>
  </conditionalFormatting>
  <conditionalFormatting sqref="I42">
    <cfRule type="expression" dxfId="2219" priority="27">
      <formula>LEN(TRIM($I$42))&gt;0</formula>
    </cfRule>
  </conditionalFormatting>
  <conditionalFormatting sqref="I43">
    <cfRule type="expression" dxfId="2218" priority="50">
      <formula>LEN(TRIM($I$43))&gt;0</formula>
    </cfRule>
  </conditionalFormatting>
  <conditionalFormatting sqref="I44">
    <cfRule type="expression" dxfId="2217" priority="49">
      <formula>LEN(TRIM($I$44))&gt;0</formula>
    </cfRule>
  </conditionalFormatting>
  <conditionalFormatting sqref="I45">
    <cfRule type="expression" dxfId="2216" priority="48">
      <formula>LEN(TRIM($I$45))&gt;0</formula>
    </cfRule>
  </conditionalFormatting>
  <conditionalFormatting sqref="I46">
    <cfRule type="expression" dxfId="2215" priority="47">
      <formula>LEN(TRIM($I$46))&gt;0</formula>
    </cfRule>
  </conditionalFormatting>
  <conditionalFormatting sqref="I47">
    <cfRule type="expression" dxfId="2214" priority="46">
      <formula>LEN(TRIM($I$47))&gt;0</formula>
    </cfRule>
  </conditionalFormatting>
  <conditionalFormatting sqref="I50">
    <cfRule type="expression" dxfId="2213" priority="45">
      <formula>LEN(TRIM($I$50))&gt;0</formula>
    </cfRule>
  </conditionalFormatting>
  <conditionalFormatting sqref="I51">
    <cfRule type="expression" dxfId="2212" priority="44">
      <formula>LEN(TRIM($I$51))&gt;0</formula>
    </cfRule>
  </conditionalFormatting>
  <conditionalFormatting sqref="I52">
    <cfRule type="expression" dxfId="2211" priority="43">
      <formula>LEN(TRIM($I$52))&gt;0</formula>
    </cfRule>
  </conditionalFormatting>
  <conditionalFormatting sqref="I53">
    <cfRule type="expression" dxfId="2210" priority="42">
      <formula>LEN(TRIM($I$53))&gt;0</formula>
    </cfRule>
  </conditionalFormatting>
  <conditionalFormatting sqref="I54">
    <cfRule type="expression" dxfId="2209" priority="41">
      <formula>LEN(TRIM($I$54))&gt;0</formula>
    </cfRule>
  </conditionalFormatting>
  <conditionalFormatting sqref="I55">
    <cfRule type="expression" dxfId="2208" priority="40">
      <formula>LEN(TRIM($I$55))&gt;0</formula>
    </cfRule>
  </conditionalFormatting>
  <conditionalFormatting sqref="I57">
    <cfRule type="expression" dxfId="2207" priority="39">
      <formula>LEN(TRIM($I$57))&gt;0</formula>
    </cfRule>
  </conditionalFormatting>
  <conditionalFormatting sqref="I58">
    <cfRule type="expression" dxfId="2206" priority="38">
      <formula>LEN(TRIM($I$58))&gt;0</formula>
    </cfRule>
  </conditionalFormatting>
  <conditionalFormatting sqref="J33:J37">
    <cfRule type="notContainsBlanks" dxfId="2205" priority="8">
      <formula>LEN(TRIM(J33))&gt;0</formula>
    </cfRule>
    <cfRule type="expression" dxfId="2204" priority="7">
      <formula>I33</formula>
    </cfRule>
  </conditionalFormatting>
  <conditionalFormatting sqref="J39:J42">
    <cfRule type="notContainsBlanks" dxfId="2203" priority="3">
      <formula>LEN(TRIM(J39))&gt;0</formula>
    </cfRule>
  </conditionalFormatting>
  <conditionalFormatting sqref="J8:M14 J16:M16 J17 L17:M17 J18:M18 J20:J22 J24 J26:M27 J29:L36 J39:J42 J43:L47 J50:J55 J57:K58">
    <cfRule type="expression" dxfId="2202" priority="73">
      <formula>I8</formula>
    </cfRule>
  </conditionalFormatting>
  <conditionalFormatting sqref="P4:Y5">
    <cfRule type="expression" dxfId="2201" priority="70">
      <formula>startError</formula>
    </cfRule>
  </conditionalFormatting>
  <conditionalFormatting sqref="T29:T31">
    <cfRule type="expression" dxfId="2200" priority="71" stopIfTrue="1">
      <formula>OR(AND(E29="Other",I29),J29="Other")</formula>
    </cfRule>
    <cfRule type="expression" dxfId="2199" priority="72">
      <formula>TRUE</formula>
    </cfRule>
  </conditionalFormatting>
  <conditionalFormatting sqref="T34:T36">
    <cfRule type="expression" dxfId="2198" priority="1" stopIfTrue="1">
      <formula>OR(AND(E34="Other",I34),J34="Other")</formula>
    </cfRule>
    <cfRule type="expression" dxfId="2197" priority="2">
      <formula>TRUE</formula>
    </cfRule>
  </conditionalFormatting>
  <conditionalFormatting sqref="T29:Y31 T34:Y36 J8:M14 J16:M16 L17:M17 J17:J18 J20:J22 J24 J26:M27 J29:L36 J43:L47 J50:J55 J57:K58 J60">
    <cfRule type="notContainsBlanks" dxfId="2196" priority="74">
      <formula>LEN(TRIM(J8))&gt;0</formula>
    </cfRule>
  </conditionalFormatting>
  <dataValidations xWindow="570" yWindow="734" count="25">
    <dataValidation type="whole" allowBlank="1" showInputMessage="1" showErrorMessage="1" error="Must enter a whole number." sqref="P17 J17" xr:uid="{00000000-0002-0000-0E00-000000000000}">
      <formula1>0</formula1>
      <formula2>100000000000</formula2>
    </dataValidation>
    <dataValidation type="list" allowBlank="1" showInputMessage="1" showErrorMessage="1" error="Please use the dropdown." sqref="P50 J50" xr:uid="{00000000-0002-0000-0E00-000001000000}">
      <formula1>INDIRECT($N$50)</formula1>
    </dataValidation>
    <dataValidation type="list" allowBlank="1" showInputMessage="1" showErrorMessage="1" error="Please use the dropdown." sqref="J58:K58 P58:Q58" xr:uid="{00000000-0002-0000-0E00-000002000000}">
      <formula1>INDIRECT($N$58)</formula1>
    </dataValidation>
    <dataValidation type="list" allowBlank="1" showInputMessage="1" showErrorMessage="1" error="Please use the dropdown." sqref="P57:Q57 J57:K57" xr:uid="{00000000-0002-0000-0E00-000003000000}">
      <formula1>INDIRECT($N$57)</formula1>
    </dataValidation>
    <dataValidation type="list" allowBlank="1" showInputMessage="1" showErrorMessage="1" error="Please use the dropdown." sqref="P55 J55" xr:uid="{00000000-0002-0000-0E00-000004000000}">
      <formula1>INDIRECT($N$55)</formula1>
    </dataValidation>
    <dataValidation type="list" allowBlank="1" showInputMessage="1" showErrorMessage="1" error="Please use the dropdown." sqref="P54 J54" xr:uid="{00000000-0002-0000-0E00-000005000000}">
      <formula1>INDIRECT($N$54)</formula1>
    </dataValidation>
    <dataValidation type="list" allowBlank="1" showInputMessage="1" showErrorMessage="1" error="Please use the dropdown." sqref="P53 J53" xr:uid="{00000000-0002-0000-0E00-000006000000}">
      <formula1>INDIRECT($N$53)</formula1>
    </dataValidation>
    <dataValidation type="list" allowBlank="1" showInputMessage="1" showErrorMessage="1" error="Please use the dropdown." sqref="P52 J52" xr:uid="{00000000-0002-0000-0E00-000007000000}">
      <formula1>INDIRECT($N$52)</formula1>
    </dataValidation>
    <dataValidation type="list" allowBlank="1" showInputMessage="1" showErrorMessage="1" error="Please use the dropdown." sqref="P51 J51" xr:uid="{00000000-0002-0000-0E00-000008000000}">
      <formula1>INDIRECT($N$51)</formula1>
    </dataValidation>
    <dataValidation type="list" allowBlank="1" showInputMessage="1" showErrorMessage="1" error="Please use the dropdown." sqref="P47 J47" xr:uid="{00000000-0002-0000-0E00-000009000000}">
      <formula1>INDIRECT($N$47)</formula1>
    </dataValidation>
    <dataValidation type="list" allowBlank="1" showInputMessage="1" showErrorMessage="1" error="Please use the dropdown." sqref="P46 J46" xr:uid="{00000000-0002-0000-0E00-00000A000000}">
      <formula1>INDIRECT($N$46)</formula1>
    </dataValidation>
    <dataValidation type="list" allowBlank="1" showInputMessage="1" showErrorMessage="1" error="Please use the dropdown." sqref="P45:Q45 J45:K45" xr:uid="{00000000-0002-0000-0E00-00000B000000}">
      <formula1>INDIRECT($N$45)</formula1>
    </dataValidation>
    <dataValidation type="list" allowBlank="1" showInputMessage="1" showErrorMessage="1" error="Please use the dropdown." sqref="P44:R44 J44:L44" xr:uid="{00000000-0002-0000-0E00-00000C000000}">
      <formula1>INDIRECT($N$44)</formula1>
    </dataValidation>
    <dataValidation type="list" allowBlank="1" showInputMessage="1" showErrorMessage="1" error="Please use the dropdown." sqref="P43:Q43 J43:K43" xr:uid="{00000000-0002-0000-0E00-00000D000000}">
      <formula1>INDIRECT($N$43)</formula1>
    </dataValidation>
    <dataValidation type="list" allowBlank="1" showInputMessage="1" showErrorMessage="1" error="Please use the dropdown." sqref="P39:P42 P32:Q37" xr:uid="{00000000-0002-0000-0E00-00000E000000}">
      <formula1>INDIRECT($N$32)</formula1>
    </dataValidation>
    <dataValidation type="list" allowBlank="1" showInputMessage="1" showErrorMessage="1" error="Please use the dropdown." sqref="P31:R31 J31:L31" xr:uid="{00000000-0002-0000-0E00-00000F000000}">
      <formula1>INDIRECT($N$31)</formula1>
    </dataValidation>
    <dataValidation type="list" allowBlank="1" showInputMessage="1" showErrorMessage="1" error="Please use the dropdown." sqref="P30:R30 J30:L30" xr:uid="{00000000-0002-0000-0E00-000010000000}">
      <formula1>INDIRECT($N$30)</formula1>
    </dataValidation>
    <dataValidation type="list" allowBlank="1" showInputMessage="1" showErrorMessage="1" error="Please use the dropdown." sqref="P29:R29 J29:L29" xr:uid="{00000000-0002-0000-0E00-000011000000}">
      <formula1>INDIRECT($N$29)</formula1>
    </dataValidation>
    <dataValidation type="list" allowBlank="1" showInputMessage="1" showErrorMessage="1" error="Please use the dropdown." sqref="J27:M27 P27:S27" xr:uid="{00000000-0002-0000-0E00-000012000000}">
      <formula1>INDIRECT($N$27)</formula1>
    </dataValidation>
    <dataValidation type="list" allowBlank="1" showInputMessage="1" showErrorMessage="1" error="Please use the dropdown." sqref="P16:Q16 J16:K16" xr:uid="{00000000-0002-0000-0E00-000013000000}">
      <formula1>INDIRECT($N$16)</formula1>
    </dataValidation>
    <dataValidation type="list" allowBlank="1" showDropDown="1" showInputMessage="1" showErrorMessage="1" error="Use Checkbox" prompt="Use Checkbox" sqref="I29:I37 I50:I55 I20:I22 I24 I8:I14 I16:I18 I26:I27 I39:I47 I57:I58" xr:uid="{00000000-0002-0000-0E00-000014000000}">
      <formula1>TorF</formula1>
    </dataValidation>
    <dataValidation type="list" allowBlank="1" showInputMessage="1" showErrorMessage="1" error="Please use the dropdown." sqref="J35:L35 J32:L32 J33:L33 J34:L34 J36:L36 J37:K37" xr:uid="{00000000-0002-0000-0E00-000015000000}">
      <formula1>INDIRECT(N32)</formula1>
    </dataValidation>
    <dataValidation type="decimal" allowBlank="1" showInputMessage="1" showErrorMessage="1" error="Enter a decimal between 0 and 1." prompt="Enter the U-value." sqref="J41:J42" xr:uid="{00000000-0002-0000-0E00-000016000000}">
      <formula1>0</formula1>
      <formula2>1</formula2>
    </dataValidation>
    <dataValidation type="decimal" allowBlank="1" showInputMessage="1" showErrorMessage="1" error="Enter a decimal between 0 and 1." prompt="Enter the SHGC value." sqref="J39:J40" xr:uid="{00000000-0002-0000-0E00-000017000000}">
      <formula1>0</formula1>
      <formula2>1</formula2>
    </dataValidation>
    <dataValidation type="whole" allowBlank="1" showInputMessage="1" showErrorMessage="1" error="Enter a whole number between 1 and 1000." prompt="Enter the number of stories above grade." sqref="J22" xr:uid="{00000000-0002-0000-0E00-000018000000}">
      <formula1>1</formula1>
      <formula2>1000</formula2>
    </dataValidation>
  </dataValidations>
  <pageMargins left="0.7" right="0.7" top="0.75" bottom="0.75" header="0.3" footer="0.3"/>
  <pageSetup scale="4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92" r:id="rId4" name="Check Box 44">
              <controlPr locked="0" defaultSize="0" autoFill="0" autoLine="0" autoPict="0">
                <anchor moveWithCells="1">
                  <from>
                    <xdr:col>8</xdr:col>
                    <xdr:colOff>0</xdr:colOff>
                    <xdr:row>7</xdr:row>
                    <xdr:rowOff>0</xdr:rowOff>
                  </from>
                  <to>
                    <xdr:col>8</xdr:col>
                    <xdr:colOff>184150</xdr:colOff>
                    <xdr:row>7</xdr:row>
                    <xdr:rowOff>184150</xdr:rowOff>
                  </to>
                </anchor>
              </controlPr>
            </control>
          </mc:Choice>
        </mc:AlternateContent>
        <mc:AlternateContent xmlns:mc="http://schemas.openxmlformats.org/markup-compatibility/2006">
          <mc:Choice Requires="x14">
            <control shapeId="27693" r:id="rId5" name="Check Box 45">
              <controlPr locked="0" defaultSize="0" autoFill="0" autoLine="0" autoPict="0">
                <anchor moveWithCells="1">
                  <from>
                    <xdr:col>8</xdr:col>
                    <xdr:colOff>0</xdr:colOff>
                    <xdr:row>8</xdr:row>
                    <xdr:rowOff>0</xdr:rowOff>
                  </from>
                  <to>
                    <xdr:col>8</xdr:col>
                    <xdr:colOff>184150</xdr:colOff>
                    <xdr:row>8</xdr:row>
                    <xdr:rowOff>184150</xdr:rowOff>
                  </to>
                </anchor>
              </controlPr>
            </control>
          </mc:Choice>
        </mc:AlternateContent>
        <mc:AlternateContent xmlns:mc="http://schemas.openxmlformats.org/markup-compatibility/2006">
          <mc:Choice Requires="x14">
            <control shapeId="27694" r:id="rId6" name="Check Box 46">
              <controlPr locked="0" defaultSize="0" autoFill="0" autoLine="0" autoPict="0">
                <anchor moveWithCells="1">
                  <from>
                    <xdr:col>8</xdr:col>
                    <xdr:colOff>0</xdr:colOff>
                    <xdr:row>9</xdr:row>
                    <xdr:rowOff>0</xdr:rowOff>
                  </from>
                  <to>
                    <xdr:col>8</xdr:col>
                    <xdr:colOff>184150</xdr:colOff>
                    <xdr:row>9</xdr:row>
                    <xdr:rowOff>184150</xdr:rowOff>
                  </to>
                </anchor>
              </controlPr>
            </control>
          </mc:Choice>
        </mc:AlternateContent>
        <mc:AlternateContent xmlns:mc="http://schemas.openxmlformats.org/markup-compatibility/2006">
          <mc:Choice Requires="x14">
            <control shapeId="27695" r:id="rId7" name="Check Box 47">
              <controlPr locked="0" defaultSize="0" autoFill="0" autoLine="0" autoPict="0">
                <anchor moveWithCells="1">
                  <from>
                    <xdr:col>8</xdr:col>
                    <xdr:colOff>0</xdr:colOff>
                    <xdr:row>10</xdr:row>
                    <xdr:rowOff>0</xdr:rowOff>
                  </from>
                  <to>
                    <xdr:col>8</xdr:col>
                    <xdr:colOff>184150</xdr:colOff>
                    <xdr:row>10</xdr:row>
                    <xdr:rowOff>184150</xdr:rowOff>
                  </to>
                </anchor>
              </controlPr>
            </control>
          </mc:Choice>
        </mc:AlternateContent>
        <mc:AlternateContent xmlns:mc="http://schemas.openxmlformats.org/markup-compatibility/2006">
          <mc:Choice Requires="x14">
            <control shapeId="27696" r:id="rId8" name="Check Box 48">
              <controlPr locked="0" defaultSize="0" autoFill="0" autoLine="0" autoPict="0">
                <anchor moveWithCells="1">
                  <from>
                    <xdr:col>8</xdr:col>
                    <xdr:colOff>0</xdr:colOff>
                    <xdr:row>11</xdr:row>
                    <xdr:rowOff>0</xdr:rowOff>
                  </from>
                  <to>
                    <xdr:col>8</xdr:col>
                    <xdr:colOff>184150</xdr:colOff>
                    <xdr:row>11</xdr:row>
                    <xdr:rowOff>184150</xdr:rowOff>
                  </to>
                </anchor>
              </controlPr>
            </control>
          </mc:Choice>
        </mc:AlternateContent>
        <mc:AlternateContent xmlns:mc="http://schemas.openxmlformats.org/markup-compatibility/2006">
          <mc:Choice Requires="x14">
            <control shapeId="27697" r:id="rId9" name="Check Box 49">
              <controlPr locked="0" defaultSize="0" autoFill="0" autoLine="0" autoPict="0">
                <anchor moveWithCells="1">
                  <from>
                    <xdr:col>8</xdr:col>
                    <xdr:colOff>0</xdr:colOff>
                    <xdr:row>12</xdr:row>
                    <xdr:rowOff>0</xdr:rowOff>
                  </from>
                  <to>
                    <xdr:col>8</xdr:col>
                    <xdr:colOff>184150</xdr:colOff>
                    <xdr:row>12</xdr:row>
                    <xdr:rowOff>184150</xdr:rowOff>
                  </to>
                </anchor>
              </controlPr>
            </control>
          </mc:Choice>
        </mc:AlternateContent>
        <mc:AlternateContent xmlns:mc="http://schemas.openxmlformats.org/markup-compatibility/2006">
          <mc:Choice Requires="x14">
            <control shapeId="27698" r:id="rId10" name="Check Box 50">
              <controlPr locked="0" defaultSize="0" autoFill="0" autoLine="0" autoPict="0">
                <anchor moveWithCells="1">
                  <from>
                    <xdr:col>8</xdr:col>
                    <xdr:colOff>0</xdr:colOff>
                    <xdr:row>13</xdr:row>
                    <xdr:rowOff>0</xdr:rowOff>
                  </from>
                  <to>
                    <xdr:col>8</xdr:col>
                    <xdr:colOff>184150</xdr:colOff>
                    <xdr:row>13</xdr:row>
                    <xdr:rowOff>184150</xdr:rowOff>
                  </to>
                </anchor>
              </controlPr>
            </control>
          </mc:Choice>
        </mc:AlternateContent>
        <mc:AlternateContent xmlns:mc="http://schemas.openxmlformats.org/markup-compatibility/2006">
          <mc:Choice Requires="x14">
            <control shapeId="27699" r:id="rId11" name="Check Box 51">
              <controlPr locked="0" defaultSize="0" autoFill="0" autoLine="0" autoPict="0">
                <anchor moveWithCells="1">
                  <from>
                    <xdr:col>8</xdr:col>
                    <xdr:colOff>0</xdr:colOff>
                    <xdr:row>15</xdr:row>
                    <xdr:rowOff>0</xdr:rowOff>
                  </from>
                  <to>
                    <xdr:col>8</xdr:col>
                    <xdr:colOff>184150</xdr:colOff>
                    <xdr:row>15</xdr:row>
                    <xdr:rowOff>184150</xdr:rowOff>
                  </to>
                </anchor>
              </controlPr>
            </control>
          </mc:Choice>
        </mc:AlternateContent>
        <mc:AlternateContent xmlns:mc="http://schemas.openxmlformats.org/markup-compatibility/2006">
          <mc:Choice Requires="x14">
            <control shapeId="27700" r:id="rId12" name="Check Box 52">
              <controlPr locked="0" defaultSize="0" autoFill="0" autoLine="0" autoPict="0">
                <anchor moveWithCells="1">
                  <from>
                    <xdr:col>8</xdr:col>
                    <xdr:colOff>0</xdr:colOff>
                    <xdr:row>16</xdr:row>
                    <xdr:rowOff>0</xdr:rowOff>
                  </from>
                  <to>
                    <xdr:col>8</xdr:col>
                    <xdr:colOff>184150</xdr:colOff>
                    <xdr:row>16</xdr:row>
                    <xdr:rowOff>184150</xdr:rowOff>
                  </to>
                </anchor>
              </controlPr>
            </control>
          </mc:Choice>
        </mc:AlternateContent>
        <mc:AlternateContent xmlns:mc="http://schemas.openxmlformats.org/markup-compatibility/2006">
          <mc:Choice Requires="x14">
            <control shapeId="27701" r:id="rId13" name="Check Box 53">
              <controlPr locked="0" defaultSize="0" autoFill="0" autoLine="0" autoPict="0">
                <anchor moveWithCells="1">
                  <from>
                    <xdr:col>8</xdr:col>
                    <xdr:colOff>0</xdr:colOff>
                    <xdr:row>17</xdr:row>
                    <xdr:rowOff>0</xdr:rowOff>
                  </from>
                  <to>
                    <xdr:col>8</xdr:col>
                    <xdr:colOff>184150</xdr:colOff>
                    <xdr:row>17</xdr:row>
                    <xdr:rowOff>184150</xdr:rowOff>
                  </to>
                </anchor>
              </controlPr>
            </control>
          </mc:Choice>
        </mc:AlternateContent>
        <mc:AlternateContent xmlns:mc="http://schemas.openxmlformats.org/markup-compatibility/2006">
          <mc:Choice Requires="x14">
            <control shapeId="27702" r:id="rId14" name="Check Box 54">
              <controlPr locked="0" defaultSize="0" autoFill="0" autoLine="0" autoPict="0">
                <anchor moveWithCells="1">
                  <from>
                    <xdr:col>8</xdr:col>
                    <xdr:colOff>0</xdr:colOff>
                    <xdr:row>19</xdr:row>
                    <xdr:rowOff>0</xdr:rowOff>
                  </from>
                  <to>
                    <xdr:col>8</xdr:col>
                    <xdr:colOff>184150</xdr:colOff>
                    <xdr:row>19</xdr:row>
                    <xdr:rowOff>184150</xdr:rowOff>
                  </to>
                </anchor>
              </controlPr>
            </control>
          </mc:Choice>
        </mc:AlternateContent>
        <mc:AlternateContent xmlns:mc="http://schemas.openxmlformats.org/markup-compatibility/2006">
          <mc:Choice Requires="x14">
            <control shapeId="27703" r:id="rId15" name="Check Box 55">
              <controlPr locked="0" defaultSize="0" autoFill="0" autoLine="0" autoPict="0">
                <anchor moveWithCells="1">
                  <from>
                    <xdr:col>8</xdr:col>
                    <xdr:colOff>0</xdr:colOff>
                    <xdr:row>20</xdr:row>
                    <xdr:rowOff>0</xdr:rowOff>
                  </from>
                  <to>
                    <xdr:col>8</xdr:col>
                    <xdr:colOff>184150</xdr:colOff>
                    <xdr:row>20</xdr:row>
                    <xdr:rowOff>184150</xdr:rowOff>
                  </to>
                </anchor>
              </controlPr>
            </control>
          </mc:Choice>
        </mc:AlternateContent>
        <mc:AlternateContent xmlns:mc="http://schemas.openxmlformats.org/markup-compatibility/2006">
          <mc:Choice Requires="x14">
            <control shapeId="27704" r:id="rId16" name="Check Box 56">
              <controlPr locked="0" defaultSize="0" autoFill="0" autoLine="0" autoPict="0">
                <anchor moveWithCells="1">
                  <from>
                    <xdr:col>8</xdr:col>
                    <xdr:colOff>0</xdr:colOff>
                    <xdr:row>23</xdr:row>
                    <xdr:rowOff>0</xdr:rowOff>
                  </from>
                  <to>
                    <xdr:col>8</xdr:col>
                    <xdr:colOff>184150</xdr:colOff>
                    <xdr:row>23</xdr:row>
                    <xdr:rowOff>184150</xdr:rowOff>
                  </to>
                </anchor>
              </controlPr>
            </control>
          </mc:Choice>
        </mc:AlternateContent>
        <mc:AlternateContent xmlns:mc="http://schemas.openxmlformats.org/markup-compatibility/2006">
          <mc:Choice Requires="x14">
            <control shapeId="27705" r:id="rId17" name="Check Box 57">
              <controlPr locked="0" defaultSize="0" autoFill="0" autoLine="0" autoPict="0">
                <anchor moveWithCells="1">
                  <from>
                    <xdr:col>8</xdr:col>
                    <xdr:colOff>0</xdr:colOff>
                    <xdr:row>25</xdr:row>
                    <xdr:rowOff>0</xdr:rowOff>
                  </from>
                  <to>
                    <xdr:col>8</xdr:col>
                    <xdr:colOff>184150</xdr:colOff>
                    <xdr:row>25</xdr:row>
                    <xdr:rowOff>184150</xdr:rowOff>
                  </to>
                </anchor>
              </controlPr>
            </control>
          </mc:Choice>
        </mc:AlternateContent>
        <mc:AlternateContent xmlns:mc="http://schemas.openxmlformats.org/markup-compatibility/2006">
          <mc:Choice Requires="x14">
            <control shapeId="27706" r:id="rId18" name="Check Box 58">
              <controlPr locked="0" defaultSize="0" autoFill="0" autoLine="0" autoPict="0">
                <anchor moveWithCells="1">
                  <from>
                    <xdr:col>8</xdr:col>
                    <xdr:colOff>0</xdr:colOff>
                    <xdr:row>26</xdr:row>
                    <xdr:rowOff>0</xdr:rowOff>
                  </from>
                  <to>
                    <xdr:col>8</xdr:col>
                    <xdr:colOff>184150</xdr:colOff>
                    <xdr:row>26</xdr:row>
                    <xdr:rowOff>184150</xdr:rowOff>
                  </to>
                </anchor>
              </controlPr>
            </control>
          </mc:Choice>
        </mc:AlternateContent>
        <mc:AlternateContent xmlns:mc="http://schemas.openxmlformats.org/markup-compatibility/2006">
          <mc:Choice Requires="x14">
            <control shapeId="27707" r:id="rId19" name="Check Box 59">
              <controlPr locked="0" defaultSize="0" autoFill="0" autoLine="0" autoPict="0">
                <anchor moveWithCells="1">
                  <from>
                    <xdr:col>8</xdr:col>
                    <xdr:colOff>0</xdr:colOff>
                    <xdr:row>28</xdr:row>
                    <xdr:rowOff>0</xdr:rowOff>
                  </from>
                  <to>
                    <xdr:col>8</xdr:col>
                    <xdr:colOff>184150</xdr:colOff>
                    <xdr:row>28</xdr:row>
                    <xdr:rowOff>184150</xdr:rowOff>
                  </to>
                </anchor>
              </controlPr>
            </control>
          </mc:Choice>
        </mc:AlternateContent>
        <mc:AlternateContent xmlns:mc="http://schemas.openxmlformats.org/markup-compatibility/2006">
          <mc:Choice Requires="x14">
            <control shapeId="27708" r:id="rId20" name="Check Box 60">
              <controlPr locked="0" defaultSize="0" autoFill="0" autoLine="0" autoPict="0">
                <anchor moveWithCells="1">
                  <from>
                    <xdr:col>8</xdr:col>
                    <xdr:colOff>0</xdr:colOff>
                    <xdr:row>29</xdr:row>
                    <xdr:rowOff>0</xdr:rowOff>
                  </from>
                  <to>
                    <xdr:col>8</xdr:col>
                    <xdr:colOff>184150</xdr:colOff>
                    <xdr:row>29</xdr:row>
                    <xdr:rowOff>184150</xdr:rowOff>
                  </to>
                </anchor>
              </controlPr>
            </control>
          </mc:Choice>
        </mc:AlternateContent>
        <mc:AlternateContent xmlns:mc="http://schemas.openxmlformats.org/markup-compatibility/2006">
          <mc:Choice Requires="x14">
            <control shapeId="27709" r:id="rId21" name="Check Box 61">
              <controlPr locked="0" defaultSize="0" autoFill="0" autoLine="0" autoPict="0">
                <anchor moveWithCells="1">
                  <from>
                    <xdr:col>8</xdr:col>
                    <xdr:colOff>0</xdr:colOff>
                    <xdr:row>30</xdr:row>
                    <xdr:rowOff>0</xdr:rowOff>
                  </from>
                  <to>
                    <xdr:col>8</xdr:col>
                    <xdr:colOff>184150</xdr:colOff>
                    <xdr:row>30</xdr:row>
                    <xdr:rowOff>184150</xdr:rowOff>
                  </to>
                </anchor>
              </controlPr>
            </control>
          </mc:Choice>
        </mc:AlternateContent>
        <mc:AlternateContent xmlns:mc="http://schemas.openxmlformats.org/markup-compatibility/2006">
          <mc:Choice Requires="x14">
            <control shapeId="27710" r:id="rId22" name="Check Box 62">
              <controlPr locked="0" defaultSize="0" autoFill="0" autoLine="0" autoPict="0">
                <anchor moveWithCells="1">
                  <from>
                    <xdr:col>8</xdr:col>
                    <xdr:colOff>0</xdr:colOff>
                    <xdr:row>31</xdr:row>
                    <xdr:rowOff>0</xdr:rowOff>
                  </from>
                  <to>
                    <xdr:col>8</xdr:col>
                    <xdr:colOff>184150</xdr:colOff>
                    <xdr:row>31</xdr:row>
                    <xdr:rowOff>184150</xdr:rowOff>
                  </to>
                </anchor>
              </controlPr>
            </control>
          </mc:Choice>
        </mc:AlternateContent>
        <mc:AlternateContent xmlns:mc="http://schemas.openxmlformats.org/markup-compatibility/2006">
          <mc:Choice Requires="x14">
            <control shapeId="27711" r:id="rId23" name="Check Box 63">
              <controlPr locked="0" defaultSize="0" autoFill="0" autoLine="0" autoPict="0">
                <anchor moveWithCells="1">
                  <from>
                    <xdr:col>8</xdr:col>
                    <xdr:colOff>0</xdr:colOff>
                    <xdr:row>42</xdr:row>
                    <xdr:rowOff>0</xdr:rowOff>
                  </from>
                  <to>
                    <xdr:col>8</xdr:col>
                    <xdr:colOff>184150</xdr:colOff>
                    <xdr:row>42</xdr:row>
                    <xdr:rowOff>184150</xdr:rowOff>
                  </to>
                </anchor>
              </controlPr>
            </control>
          </mc:Choice>
        </mc:AlternateContent>
        <mc:AlternateContent xmlns:mc="http://schemas.openxmlformats.org/markup-compatibility/2006">
          <mc:Choice Requires="x14">
            <control shapeId="27712" r:id="rId24" name="Check Box 64">
              <controlPr locked="0" defaultSize="0" autoFill="0" autoLine="0" autoPict="0">
                <anchor moveWithCells="1">
                  <from>
                    <xdr:col>8</xdr:col>
                    <xdr:colOff>0</xdr:colOff>
                    <xdr:row>43</xdr:row>
                    <xdr:rowOff>0</xdr:rowOff>
                  </from>
                  <to>
                    <xdr:col>8</xdr:col>
                    <xdr:colOff>184150</xdr:colOff>
                    <xdr:row>43</xdr:row>
                    <xdr:rowOff>184150</xdr:rowOff>
                  </to>
                </anchor>
              </controlPr>
            </control>
          </mc:Choice>
        </mc:AlternateContent>
        <mc:AlternateContent xmlns:mc="http://schemas.openxmlformats.org/markup-compatibility/2006">
          <mc:Choice Requires="x14">
            <control shapeId="27713" r:id="rId25" name="Check Box 65">
              <controlPr locked="0" defaultSize="0" autoFill="0" autoLine="0" autoPict="0">
                <anchor moveWithCells="1">
                  <from>
                    <xdr:col>8</xdr:col>
                    <xdr:colOff>0</xdr:colOff>
                    <xdr:row>44</xdr:row>
                    <xdr:rowOff>0</xdr:rowOff>
                  </from>
                  <to>
                    <xdr:col>8</xdr:col>
                    <xdr:colOff>184150</xdr:colOff>
                    <xdr:row>44</xdr:row>
                    <xdr:rowOff>184150</xdr:rowOff>
                  </to>
                </anchor>
              </controlPr>
            </control>
          </mc:Choice>
        </mc:AlternateContent>
        <mc:AlternateContent xmlns:mc="http://schemas.openxmlformats.org/markup-compatibility/2006">
          <mc:Choice Requires="x14">
            <control shapeId="27714" r:id="rId26" name="Check Box 66">
              <controlPr locked="0" defaultSize="0" autoFill="0" autoLine="0" autoPict="0">
                <anchor moveWithCells="1">
                  <from>
                    <xdr:col>8</xdr:col>
                    <xdr:colOff>0</xdr:colOff>
                    <xdr:row>45</xdr:row>
                    <xdr:rowOff>0</xdr:rowOff>
                  </from>
                  <to>
                    <xdr:col>8</xdr:col>
                    <xdr:colOff>184150</xdr:colOff>
                    <xdr:row>45</xdr:row>
                    <xdr:rowOff>184150</xdr:rowOff>
                  </to>
                </anchor>
              </controlPr>
            </control>
          </mc:Choice>
        </mc:AlternateContent>
        <mc:AlternateContent xmlns:mc="http://schemas.openxmlformats.org/markup-compatibility/2006">
          <mc:Choice Requires="x14">
            <control shapeId="27715" r:id="rId27" name="Check Box 67">
              <controlPr locked="0" defaultSize="0" autoFill="0" autoLine="0" autoPict="0">
                <anchor moveWithCells="1">
                  <from>
                    <xdr:col>8</xdr:col>
                    <xdr:colOff>0</xdr:colOff>
                    <xdr:row>46</xdr:row>
                    <xdr:rowOff>0</xdr:rowOff>
                  </from>
                  <to>
                    <xdr:col>8</xdr:col>
                    <xdr:colOff>184150</xdr:colOff>
                    <xdr:row>46</xdr:row>
                    <xdr:rowOff>184150</xdr:rowOff>
                  </to>
                </anchor>
              </controlPr>
            </control>
          </mc:Choice>
        </mc:AlternateContent>
        <mc:AlternateContent xmlns:mc="http://schemas.openxmlformats.org/markup-compatibility/2006">
          <mc:Choice Requires="x14">
            <control shapeId="27716" r:id="rId28" name="Check Box 68">
              <controlPr locked="0" defaultSize="0" autoFill="0" autoLine="0" autoPict="0">
                <anchor moveWithCells="1">
                  <from>
                    <xdr:col>8</xdr:col>
                    <xdr:colOff>0</xdr:colOff>
                    <xdr:row>49</xdr:row>
                    <xdr:rowOff>0</xdr:rowOff>
                  </from>
                  <to>
                    <xdr:col>8</xdr:col>
                    <xdr:colOff>184150</xdr:colOff>
                    <xdr:row>49</xdr:row>
                    <xdr:rowOff>184150</xdr:rowOff>
                  </to>
                </anchor>
              </controlPr>
            </control>
          </mc:Choice>
        </mc:AlternateContent>
        <mc:AlternateContent xmlns:mc="http://schemas.openxmlformats.org/markup-compatibility/2006">
          <mc:Choice Requires="x14">
            <control shapeId="27717" r:id="rId29" name="Check Box 69">
              <controlPr locked="0" defaultSize="0" autoFill="0" autoLine="0" autoPict="0">
                <anchor moveWithCells="1">
                  <from>
                    <xdr:col>8</xdr:col>
                    <xdr:colOff>0</xdr:colOff>
                    <xdr:row>50</xdr:row>
                    <xdr:rowOff>0</xdr:rowOff>
                  </from>
                  <to>
                    <xdr:col>8</xdr:col>
                    <xdr:colOff>184150</xdr:colOff>
                    <xdr:row>50</xdr:row>
                    <xdr:rowOff>184150</xdr:rowOff>
                  </to>
                </anchor>
              </controlPr>
            </control>
          </mc:Choice>
        </mc:AlternateContent>
        <mc:AlternateContent xmlns:mc="http://schemas.openxmlformats.org/markup-compatibility/2006">
          <mc:Choice Requires="x14">
            <control shapeId="27718" r:id="rId30" name="Check Box 70">
              <controlPr locked="0" defaultSize="0" autoFill="0" autoLine="0" autoPict="0">
                <anchor moveWithCells="1">
                  <from>
                    <xdr:col>8</xdr:col>
                    <xdr:colOff>0</xdr:colOff>
                    <xdr:row>51</xdr:row>
                    <xdr:rowOff>0</xdr:rowOff>
                  </from>
                  <to>
                    <xdr:col>8</xdr:col>
                    <xdr:colOff>184150</xdr:colOff>
                    <xdr:row>51</xdr:row>
                    <xdr:rowOff>184150</xdr:rowOff>
                  </to>
                </anchor>
              </controlPr>
            </control>
          </mc:Choice>
        </mc:AlternateContent>
        <mc:AlternateContent xmlns:mc="http://schemas.openxmlformats.org/markup-compatibility/2006">
          <mc:Choice Requires="x14">
            <control shapeId="27719" r:id="rId31" name="Check Box 71">
              <controlPr locked="0" defaultSize="0" autoFill="0" autoLine="0" autoPict="0">
                <anchor moveWithCells="1">
                  <from>
                    <xdr:col>8</xdr:col>
                    <xdr:colOff>0</xdr:colOff>
                    <xdr:row>52</xdr:row>
                    <xdr:rowOff>0</xdr:rowOff>
                  </from>
                  <to>
                    <xdr:col>8</xdr:col>
                    <xdr:colOff>184150</xdr:colOff>
                    <xdr:row>52</xdr:row>
                    <xdr:rowOff>184150</xdr:rowOff>
                  </to>
                </anchor>
              </controlPr>
            </control>
          </mc:Choice>
        </mc:AlternateContent>
        <mc:AlternateContent xmlns:mc="http://schemas.openxmlformats.org/markup-compatibility/2006">
          <mc:Choice Requires="x14">
            <control shapeId="27720" r:id="rId32" name="Check Box 72">
              <controlPr locked="0" defaultSize="0" autoFill="0" autoLine="0" autoPict="0">
                <anchor moveWithCells="1">
                  <from>
                    <xdr:col>8</xdr:col>
                    <xdr:colOff>0</xdr:colOff>
                    <xdr:row>53</xdr:row>
                    <xdr:rowOff>0</xdr:rowOff>
                  </from>
                  <to>
                    <xdr:col>8</xdr:col>
                    <xdr:colOff>184150</xdr:colOff>
                    <xdr:row>53</xdr:row>
                    <xdr:rowOff>184150</xdr:rowOff>
                  </to>
                </anchor>
              </controlPr>
            </control>
          </mc:Choice>
        </mc:AlternateContent>
        <mc:AlternateContent xmlns:mc="http://schemas.openxmlformats.org/markup-compatibility/2006">
          <mc:Choice Requires="x14">
            <control shapeId="27721" r:id="rId33" name="Check Box 73">
              <controlPr locked="0" defaultSize="0" autoFill="0" autoLine="0" autoPict="0">
                <anchor moveWithCells="1">
                  <from>
                    <xdr:col>8</xdr:col>
                    <xdr:colOff>0</xdr:colOff>
                    <xdr:row>54</xdr:row>
                    <xdr:rowOff>0</xdr:rowOff>
                  </from>
                  <to>
                    <xdr:col>8</xdr:col>
                    <xdr:colOff>184150</xdr:colOff>
                    <xdr:row>55</xdr:row>
                    <xdr:rowOff>0</xdr:rowOff>
                  </to>
                </anchor>
              </controlPr>
            </control>
          </mc:Choice>
        </mc:AlternateContent>
        <mc:AlternateContent xmlns:mc="http://schemas.openxmlformats.org/markup-compatibility/2006">
          <mc:Choice Requires="x14">
            <control shapeId="27722" r:id="rId34" name="Check Box 74">
              <controlPr locked="0" defaultSize="0" autoFill="0" autoLine="0" autoPict="0">
                <anchor moveWithCells="1">
                  <from>
                    <xdr:col>8</xdr:col>
                    <xdr:colOff>0</xdr:colOff>
                    <xdr:row>56</xdr:row>
                    <xdr:rowOff>0</xdr:rowOff>
                  </from>
                  <to>
                    <xdr:col>8</xdr:col>
                    <xdr:colOff>184150</xdr:colOff>
                    <xdr:row>56</xdr:row>
                    <xdr:rowOff>184150</xdr:rowOff>
                  </to>
                </anchor>
              </controlPr>
            </control>
          </mc:Choice>
        </mc:AlternateContent>
        <mc:AlternateContent xmlns:mc="http://schemas.openxmlformats.org/markup-compatibility/2006">
          <mc:Choice Requires="x14">
            <control shapeId="27723" r:id="rId35" name="Check Box 75">
              <controlPr locked="0" defaultSize="0" autoFill="0" autoLine="0" autoPict="0">
                <anchor moveWithCells="1">
                  <from>
                    <xdr:col>8</xdr:col>
                    <xdr:colOff>0</xdr:colOff>
                    <xdr:row>57</xdr:row>
                    <xdr:rowOff>0</xdr:rowOff>
                  </from>
                  <to>
                    <xdr:col>8</xdr:col>
                    <xdr:colOff>184150</xdr:colOff>
                    <xdr:row>57</xdr:row>
                    <xdr:rowOff>184150</xdr:rowOff>
                  </to>
                </anchor>
              </controlPr>
            </control>
          </mc:Choice>
        </mc:AlternateContent>
        <mc:AlternateContent xmlns:mc="http://schemas.openxmlformats.org/markup-compatibility/2006">
          <mc:Choice Requires="x14">
            <control shapeId="27725" r:id="rId36" name="Check Box 77">
              <controlPr locked="0" defaultSize="0" autoFill="0" autoLine="0" autoPict="0">
                <anchor moveWithCells="1">
                  <from>
                    <xdr:col>8</xdr:col>
                    <xdr:colOff>0</xdr:colOff>
                    <xdr:row>21</xdr:row>
                    <xdr:rowOff>0</xdr:rowOff>
                  </from>
                  <to>
                    <xdr:col>8</xdr:col>
                    <xdr:colOff>184150</xdr:colOff>
                    <xdr:row>21</xdr:row>
                    <xdr:rowOff>184150</xdr:rowOff>
                  </to>
                </anchor>
              </controlPr>
            </control>
          </mc:Choice>
        </mc:AlternateContent>
        <mc:AlternateContent xmlns:mc="http://schemas.openxmlformats.org/markup-compatibility/2006">
          <mc:Choice Requires="x14">
            <control shapeId="27727" r:id="rId37" name="Check Box 79">
              <controlPr locked="0" defaultSize="0" autoFill="0" autoLine="0" autoPict="0">
                <anchor moveWithCells="1">
                  <from>
                    <xdr:col>8</xdr:col>
                    <xdr:colOff>0</xdr:colOff>
                    <xdr:row>32</xdr:row>
                    <xdr:rowOff>0</xdr:rowOff>
                  </from>
                  <to>
                    <xdr:col>8</xdr:col>
                    <xdr:colOff>184150</xdr:colOff>
                    <xdr:row>32</xdr:row>
                    <xdr:rowOff>184150</xdr:rowOff>
                  </to>
                </anchor>
              </controlPr>
            </control>
          </mc:Choice>
        </mc:AlternateContent>
        <mc:AlternateContent xmlns:mc="http://schemas.openxmlformats.org/markup-compatibility/2006">
          <mc:Choice Requires="x14">
            <control shapeId="27728" r:id="rId38" name="Check Box 80">
              <controlPr locked="0" defaultSize="0" autoFill="0" autoLine="0" autoPict="0">
                <anchor moveWithCells="1">
                  <from>
                    <xdr:col>8</xdr:col>
                    <xdr:colOff>0</xdr:colOff>
                    <xdr:row>33</xdr:row>
                    <xdr:rowOff>0</xdr:rowOff>
                  </from>
                  <to>
                    <xdr:col>8</xdr:col>
                    <xdr:colOff>184150</xdr:colOff>
                    <xdr:row>33</xdr:row>
                    <xdr:rowOff>184150</xdr:rowOff>
                  </to>
                </anchor>
              </controlPr>
            </control>
          </mc:Choice>
        </mc:AlternateContent>
        <mc:AlternateContent xmlns:mc="http://schemas.openxmlformats.org/markup-compatibility/2006">
          <mc:Choice Requires="x14">
            <control shapeId="27729" r:id="rId39" name="Check Box 81">
              <controlPr locked="0" defaultSize="0" autoFill="0" autoLine="0" autoPict="0">
                <anchor moveWithCells="1">
                  <from>
                    <xdr:col>8</xdr:col>
                    <xdr:colOff>0</xdr:colOff>
                    <xdr:row>34</xdr:row>
                    <xdr:rowOff>0</xdr:rowOff>
                  </from>
                  <to>
                    <xdr:col>8</xdr:col>
                    <xdr:colOff>184150</xdr:colOff>
                    <xdr:row>34</xdr:row>
                    <xdr:rowOff>184150</xdr:rowOff>
                  </to>
                </anchor>
              </controlPr>
            </control>
          </mc:Choice>
        </mc:AlternateContent>
        <mc:AlternateContent xmlns:mc="http://schemas.openxmlformats.org/markup-compatibility/2006">
          <mc:Choice Requires="x14">
            <control shapeId="27730" r:id="rId40" name="Check Box 82">
              <controlPr locked="0" defaultSize="0" autoFill="0" autoLine="0" autoPict="0">
                <anchor moveWithCells="1">
                  <from>
                    <xdr:col>8</xdr:col>
                    <xdr:colOff>0</xdr:colOff>
                    <xdr:row>35</xdr:row>
                    <xdr:rowOff>0</xdr:rowOff>
                  </from>
                  <to>
                    <xdr:col>8</xdr:col>
                    <xdr:colOff>184150</xdr:colOff>
                    <xdr:row>35</xdr:row>
                    <xdr:rowOff>184150</xdr:rowOff>
                  </to>
                </anchor>
              </controlPr>
            </control>
          </mc:Choice>
        </mc:AlternateContent>
        <mc:AlternateContent xmlns:mc="http://schemas.openxmlformats.org/markup-compatibility/2006">
          <mc:Choice Requires="x14">
            <control shapeId="27731" r:id="rId41" name="Check Box 83">
              <controlPr locked="0" defaultSize="0" autoFill="0" autoLine="0" autoPict="0">
                <anchor moveWithCells="1">
                  <from>
                    <xdr:col>8</xdr:col>
                    <xdr:colOff>0</xdr:colOff>
                    <xdr:row>36</xdr:row>
                    <xdr:rowOff>0</xdr:rowOff>
                  </from>
                  <to>
                    <xdr:col>8</xdr:col>
                    <xdr:colOff>184150</xdr:colOff>
                    <xdr:row>36</xdr:row>
                    <xdr:rowOff>184150</xdr:rowOff>
                  </to>
                </anchor>
              </controlPr>
            </control>
          </mc:Choice>
        </mc:AlternateContent>
        <mc:AlternateContent xmlns:mc="http://schemas.openxmlformats.org/markup-compatibility/2006">
          <mc:Choice Requires="x14">
            <control shapeId="27733" r:id="rId42" name="Check Box 85">
              <controlPr locked="0" defaultSize="0" autoFill="0" autoLine="0" autoPict="0">
                <anchor moveWithCells="1">
                  <from>
                    <xdr:col>8</xdr:col>
                    <xdr:colOff>0</xdr:colOff>
                    <xdr:row>38</xdr:row>
                    <xdr:rowOff>0</xdr:rowOff>
                  </from>
                  <to>
                    <xdr:col>8</xdr:col>
                    <xdr:colOff>184150</xdr:colOff>
                    <xdr:row>38</xdr:row>
                    <xdr:rowOff>184150</xdr:rowOff>
                  </to>
                </anchor>
              </controlPr>
            </control>
          </mc:Choice>
        </mc:AlternateContent>
        <mc:AlternateContent xmlns:mc="http://schemas.openxmlformats.org/markup-compatibility/2006">
          <mc:Choice Requires="x14">
            <control shapeId="27734" r:id="rId43" name="Check Box 86">
              <controlPr locked="0" defaultSize="0" autoFill="0" autoLine="0" autoPict="0">
                <anchor moveWithCells="1">
                  <from>
                    <xdr:col>8</xdr:col>
                    <xdr:colOff>0</xdr:colOff>
                    <xdr:row>39</xdr:row>
                    <xdr:rowOff>0</xdr:rowOff>
                  </from>
                  <to>
                    <xdr:col>8</xdr:col>
                    <xdr:colOff>184150</xdr:colOff>
                    <xdr:row>39</xdr:row>
                    <xdr:rowOff>184150</xdr:rowOff>
                  </to>
                </anchor>
              </controlPr>
            </control>
          </mc:Choice>
        </mc:AlternateContent>
        <mc:AlternateContent xmlns:mc="http://schemas.openxmlformats.org/markup-compatibility/2006">
          <mc:Choice Requires="x14">
            <control shapeId="27735" r:id="rId44" name="Check Box 87">
              <controlPr locked="0" defaultSize="0" autoFill="0" autoLine="0" autoPict="0">
                <anchor moveWithCells="1">
                  <from>
                    <xdr:col>8</xdr:col>
                    <xdr:colOff>0</xdr:colOff>
                    <xdr:row>40</xdr:row>
                    <xdr:rowOff>0</xdr:rowOff>
                  </from>
                  <to>
                    <xdr:col>8</xdr:col>
                    <xdr:colOff>184150</xdr:colOff>
                    <xdr:row>40</xdr:row>
                    <xdr:rowOff>184150</xdr:rowOff>
                  </to>
                </anchor>
              </controlPr>
            </control>
          </mc:Choice>
        </mc:AlternateContent>
        <mc:AlternateContent xmlns:mc="http://schemas.openxmlformats.org/markup-compatibility/2006">
          <mc:Choice Requires="x14">
            <control shapeId="27736" r:id="rId45" name="Check Box 88">
              <controlPr locked="0" defaultSize="0" autoFill="0" autoLine="0" autoPict="0">
                <anchor moveWithCells="1">
                  <from>
                    <xdr:col>8</xdr:col>
                    <xdr:colOff>0</xdr:colOff>
                    <xdr:row>41</xdr:row>
                    <xdr:rowOff>0</xdr:rowOff>
                  </from>
                  <to>
                    <xdr:col>8</xdr:col>
                    <xdr:colOff>184150</xdr:colOff>
                    <xdr:row>41</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2" id="{0EA1F319-CED9-4426-97A2-FECE1454E9D5}">
            <xm:f>IF($P$16=Dropdowns!$D$6,TRUE,FALSE)</xm:f>
            <x14:dxf>
              <font>
                <color theme="1"/>
              </font>
            </x14:dxf>
          </x14:cfRule>
          <xm:sqref>A17:D18</xm:sqref>
        </x14:conditionalFormatting>
        <x14:conditionalFormatting xmlns:xm="http://schemas.microsoft.com/office/excel/2006/main">
          <x14:cfRule type="expression" priority="140" id="{F110A43A-96E7-4A7F-B35C-777AE8CDA7A9}">
            <xm:f>NOT($J$16=Dropdowns!$D$6)</xm:f>
            <x14:dxf>
              <fill>
                <patternFill patternType="darkGrid">
                  <bgColor theme="0"/>
                </patternFill>
              </fill>
            </x14:dxf>
          </x14:cfRule>
          <xm:sqref>J17:J18</xm:sqref>
        </x14:conditionalFormatting>
      </x14:conditionalFormattings>
    </ext>
    <ext xmlns:x14="http://schemas.microsoft.com/office/spreadsheetml/2009/9/main" uri="{CCE6A557-97BC-4b89-ADB6-D9C93CAAB3DF}">
      <x14:dataValidations xmlns:xm="http://schemas.microsoft.com/office/excel/2006/main" xWindow="570" yWindow="734" count="3">
        <x14:dataValidation type="list" allowBlank="1" showInputMessage="1" showErrorMessage="1" xr:uid="{00000000-0002-0000-0E00-000019000000}">
          <x14:formula1>
            <xm:f>OFFSET(Geography!$C$2,MATCH($P$12,Geography!$A$2:$A$3146,0)-1,0,COUNTIF(Geography!$A$2:$A$3146,$P$12),1)</xm:f>
          </x14:formula1>
          <xm:sqref>P13</xm:sqref>
        </x14:dataValidation>
        <x14:dataValidation type="list" allowBlank="1" showInputMessage="1" showErrorMessage="1" xr:uid="{00000000-0002-0000-0E00-00001A000000}">
          <x14:formula1>
            <xm:f>Geography!$J$2:$J$57</xm:f>
          </x14:formula1>
          <xm:sqref>P12 J12:M12</xm:sqref>
        </x14:dataValidation>
        <x14:dataValidation type="list" allowBlank="1" showInputMessage="1" showErrorMessage="1" xr:uid="{00000000-0002-0000-0E00-00001B000000}">
          <x14:formula1>
            <xm:f>OFFSET(Geography!$C$2,MATCH($J$12,Geography!$A$2:$A$3146,0)-1,0,COUNTIF(Geography!$A$2:$A$3146,$J$12),1)</xm:f>
          </x14:formula1>
          <xm:sqref>J13:M13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BJ2015"/>
  <sheetViews>
    <sheetView showGridLines="0" zoomScaleNormal="100" workbookViewId="0">
      <pane ySplit="7" topLeftCell="A8" activePane="bottomLeft" state="frozen"/>
      <selection pane="bottomLeft" activeCell="W1234" sqref="W1234"/>
    </sheetView>
  </sheetViews>
  <sheetFormatPr defaultRowHeight="14.5" x14ac:dyDescent="0.35"/>
  <cols>
    <col min="1" max="1" width="3.26953125" style="403" bestFit="1" customWidth="1"/>
    <col min="2" max="2" width="9.7265625" style="403" hidden="1" customWidth="1"/>
    <col min="3" max="6" width="4.453125" style="403" hidden="1" customWidth="1"/>
    <col min="7" max="8" width="3.1796875" style="403" customWidth="1"/>
    <col min="9" max="9" width="10.453125" customWidth="1"/>
    <col min="10" max="11" width="3.81640625" customWidth="1"/>
    <col min="12" max="12" width="71.7265625" customWidth="1"/>
    <col min="13" max="13" width="13.54296875" customWidth="1"/>
    <col min="14" max="15" width="7.7265625" customWidth="1"/>
    <col min="16" max="21" width="8.81640625" hidden="1" customWidth="1"/>
    <col min="22" max="22" width="3" hidden="1" customWidth="1"/>
    <col min="23" max="23" width="21.453125" customWidth="1"/>
    <col min="24" max="25" width="34.81640625" customWidth="1"/>
    <col min="26" max="26" width="34.81640625" hidden="1" customWidth="1"/>
    <col min="27" max="37" width="9.1796875" hidden="1" customWidth="1"/>
    <col min="38" max="38" width="19" hidden="1" customWidth="1"/>
    <col min="39" max="39" width="3.453125" hidden="1" customWidth="1"/>
    <col min="40" max="40" width="16.1796875" hidden="1" customWidth="1"/>
    <col min="41" max="41" width="3.54296875" hidden="1" customWidth="1"/>
    <col min="42" max="42" width="16.453125" hidden="1" customWidth="1"/>
    <col min="43" max="43" width="3.453125" hidden="1" customWidth="1"/>
    <col min="44" max="44" width="18.54296875" hidden="1" customWidth="1"/>
    <col min="45" max="45" width="4.453125" hidden="1" customWidth="1"/>
    <col min="46" max="61" width="9.1796875" hidden="1" customWidth="1"/>
  </cols>
  <sheetData>
    <row r="1" spans="1:62" ht="15" customHeight="1" x14ac:dyDescent="0.35">
      <c r="A1" s="902" t="s">
        <v>4607</v>
      </c>
      <c r="B1" s="902"/>
      <c r="C1" s="902"/>
      <c r="D1" s="902"/>
      <c r="E1" s="902"/>
      <c r="F1" s="902"/>
      <c r="G1" s="902"/>
      <c r="H1" s="903"/>
      <c r="I1" s="923" t="s">
        <v>379</v>
      </c>
      <c r="J1" s="923"/>
      <c r="K1" s="923"/>
      <c r="L1" s="31" t="s">
        <v>310</v>
      </c>
      <c r="M1" s="924"/>
      <c r="N1" s="925"/>
      <c r="O1" s="926"/>
      <c r="P1" s="20"/>
      <c r="Q1" s="20"/>
      <c r="R1" s="20"/>
      <c r="S1" s="20"/>
      <c r="T1" s="20"/>
      <c r="U1" s="20"/>
      <c r="V1" s="20"/>
      <c r="W1" s="933" t="s">
        <v>4629</v>
      </c>
      <c r="X1" s="909" t="s">
        <v>4567</v>
      </c>
      <c r="Y1" s="910"/>
      <c r="Z1" s="560"/>
      <c r="AF1" s="6" t="s">
        <v>342</v>
      </c>
      <c r="AG1" t="str">
        <f ca="1">IF(LEN(Ch5GLevFinal)=1,"     ", IF(LEN(Ch5GLevFinal)=2, "   ",""))&amp;Ch5GLevFinal</f>
        <v xml:space="preserve">     0</v>
      </c>
      <c r="AH1" t="str">
        <f ca="1">IF(LEN(Ch6GLevFinal)=1,"    ", IF(LEN(Ch6GLevFinal)=2, "   ",""))&amp;Ch6GLevFinal</f>
        <v xml:space="preserve">    0</v>
      </c>
      <c r="AI1" t="str">
        <f ca="1">IF(LEN(Ch7GLevFinal)=1,"   ","")&amp;Ch7GLevFinal</f>
        <v xml:space="preserve">   0</v>
      </c>
      <c r="AJ1" t="str">
        <f ca="1">IF(LEN(Ch8GLevFinal)=1,"  ","")&amp;Ch8GLevFinal</f>
        <v xml:space="preserve">  0</v>
      </c>
      <c r="AK1" t="str">
        <f ca="1">IF(LEN(Ch9GLevFinal)=1,"   ","")&amp;Ch9GLevFinal</f>
        <v xml:space="preserve">   0</v>
      </c>
      <c r="AL1" t="str">
        <f>IF(LEN(Ch10GLevFinal)=1,"  ","")&amp;Ch10GLevFinal</f>
        <v xml:space="preserve">  0</v>
      </c>
      <c r="AM1" t="s">
        <v>335</v>
      </c>
    </row>
    <row r="2" spans="1:62" x14ac:dyDescent="0.35">
      <c r="A2" s="902"/>
      <c r="B2" s="902"/>
      <c r="C2" s="902"/>
      <c r="D2" s="902"/>
      <c r="E2" s="902"/>
      <c r="F2" s="902"/>
      <c r="G2" s="902"/>
      <c r="H2" s="903"/>
      <c r="I2" s="639" t="str">
        <f ca="1">"Goal Level: "&amp;verGoalLevel&amp;",  Overall Level: "&amp; AM2</f>
        <v>Goal Level: Bronze,  Overall Level: Bronze</v>
      </c>
      <c r="J2" s="639"/>
      <c r="K2" s="639"/>
      <c r="L2" s="639"/>
      <c r="M2" s="927"/>
      <c r="N2" s="642"/>
      <c r="O2" s="928"/>
      <c r="P2" s="20"/>
      <c r="Q2" s="20"/>
      <c r="R2" s="20"/>
      <c r="S2" s="20"/>
      <c r="T2" s="20"/>
      <c r="U2" s="20"/>
      <c r="V2" s="20"/>
      <c r="W2" s="933"/>
      <c r="X2" s="909" t="s">
        <v>3726</v>
      </c>
      <c r="Y2" s="910"/>
      <c r="Z2" s="560"/>
      <c r="AF2" s="6" t="s">
        <v>334</v>
      </c>
      <c r="AG2" t="str">
        <f ca="1">IF(LEN(Ch5AddGoal)=1,"     ", IF(LEN(Ch5AddGoal)=2, "   ",""))&amp;Ch5AddGoal</f>
        <v xml:space="preserve">   10</v>
      </c>
      <c r="AH2" t="str">
        <f ca="1">IF(LEN(Ch6AddGoal)=1,"    ", IF(LEN(Ch6AddGoal)=2, "   ",""))&amp;Ch6AddGoal</f>
        <v xml:space="preserve">    3</v>
      </c>
      <c r="AI2" t="str">
        <f ca="1">IF(LEN(Ch7AddGoal)=1,"   ","")&amp;Ch7AddGoal</f>
        <v>34</v>
      </c>
      <c r="AJ2" t="str">
        <f ca="1">IF(LEN(Ch8AddGoal)=1,"  ","")&amp;Ch8AddGoal</f>
        <v>12</v>
      </c>
      <c r="AK2" t="str">
        <f ca="1">IF(LEN(Ch9AddGoal)=1,"   ","")&amp;Ch9AddGoal</f>
        <v>18</v>
      </c>
      <c r="AL2" t="str">
        <f>IF(LEN(Ch10AddGoal)=1,"  ","")&amp;Ch10AddGoal</f>
        <v xml:space="preserve">  0</v>
      </c>
      <c r="AM2" t="str">
        <f ca="1">Points!AC22</f>
        <v>Bronze</v>
      </c>
    </row>
    <row r="3" spans="1:62" x14ac:dyDescent="0.35">
      <c r="A3" s="902"/>
      <c r="B3" s="902"/>
      <c r="C3" s="902"/>
      <c r="D3" s="902"/>
      <c r="E3" s="902"/>
      <c r="F3" s="902"/>
      <c r="G3" s="902"/>
      <c r="H3" s="903"/>
      <c r="I3" s="931" t="str">
        <f ca="1" xml:space="preserve"> "                  Points to Goal Level:     Ch5:  "&amp;AG1&amp;",    Ch6:  "&amp;AH1&amp;",    Ch7:  "&amp;AI1&amp;",    Ch8:  "&amp;AJ1&amp;",    Ch9:  "&amp;AK1&amp;",    Ch10:  "&amp;AL1</f>
        <v xml:space="preserve">                  Points to Goal Level:     Ch5:       0,    Ch6:      0,    Ch7:     0,    Ch8:    0,    Ch9:     0,    Ch10:    0</v>
      </c>
      <c r="J3" s="931"/>
      <c r="K3" s="931"/>
      <c r="L3" s="931"/>
      <c r="M3" s="927"/>
      <c r="N3" s="642"/>
      <c r="O3" s="928"/>
      <c r="P3" s="20"/>
      <c r="Q3" s="20"/>
      <c r="R3" s="20"/>
      <c r="S3" s="20"/>
      <c r="T3" s="20"/>
      <c r="U3" s="20"/>
      <c r="V3" s="20"/>
      <c r="W3" s="934"/>
      <c r="X3" s="909" t="s">
        <v>3727</v>
      </c>
      <c r="Y3" s="910"/>
      <c r="Z3" s="560"/>
      <c r="AF3" s="6" t="s">
        <v>330</v>
      </c>
      <c r="AG3" t="b">
        <f ca="1">OR(ReportType="",IF(ReportType="Rough",OR(AF:AF),OR(AE:AE)))</f>
        <v>0</v>
      </c>
      <c r="AH3" s="6" t="s">
        <v>331</v>
      </c>
      <c r="AI3" t="b">
        <f ca="1">OR(AD:AD)</f>
        <v>0</v>
      </c>
    </row>
    <row r="4" spans="1:62" ht="15" customHeight="1" x14ac:dyDescent="0.35">
      <c r="A4" s="807" t="s">
        <v>4109</v>
      </c>
      <c r="C4" s="601"/>
      <c r="D4" s="601"/>
      <c r="E4" s="601"/>
      <c r="G4" s="807" t="s">
        <v>336</v>
      </c>
      <c r="H4" s="807" t="s">
        <v>4352</v>
      </c>
      <c r="I4" s="931" t="str">
        <f ca="1" xml:space="preserve"> "      Add'l Pts above goal level:     Ch5:  "&amp;AG2&amp;",    Ch6:  "&amp;AH2&amp;",    Ch7:  "&amp;AI2&amp;",    Ch8:  "&amp;AJ2&amp;",    Ch9:  "&amp;AK2&amp;",    Ch10:  "&amp;AL2</f>
        <v xml:space="preserve">      Add'l Pts above goal level:     Ch5:     10,    Ch6:      3,    Ch7:  34,    Ch8:  12,    Ch9:  18,    Ch10:    0</v>
      </c>
      <c r="J4" s="931"/>
      <c r="K4" s="931"/>
      <c r="L4" s="931"/>
      <c r="M4" s="927"/>
      <c r="N4" s="642"/>
      <c r="O4" s="928"/>
      <c r="P4" s="20"/>
      <c r="Q4" s="20"/>
      <c r="R4" s="20"/>
      <c r="S4" s="20"/>
      <c r="T4" s="20"/>
      <c r="U4" s="20"/>
      <c r="V4" s="20"/>
      <c r="W4" s="257" t="s">
        <v>3725</v>
      </c>
      <c r="X4" s="912" t="str">
        <f>IF('Overview (Verification)'!P11="","",'Overview (Verification)'!P9&amp;", "&amp;'Overview (Verification)'!P11&amp;", "&amp;'Overview (Verification)'!P12&amp;"  "&amp;'Overview (Verification)'!P14)</f>
        <v>123 Example Drive, Durham, North Carolina  27703</v>
      </c>
      <c r="Y4" s="913"/>
      <c r="Z4" s="561"/>
      <c r="AF4" s="6"/>
      <c r="AH4" s="6"/>
    </row>
    <row r="5" spans="1:62" ht="15" customHeight="1" x14ac:dyDescent="0.35">
      <c r="A5" s="807"/>
      <c r="C5" s="602"/>
      <c r="D5" s="602"/>
      <c r="E5" s="602"/>
      <c r="G5" s="807"/>
      <c r="H5" s="807"/>
      <c r="I5" s="923" t="s">
        <v>4315</v>
      </c>
      <c r="J5" s="923"/>
      <c r="K5" s="923"/>
      <c r="L5" s="30" t="s">
        <v>333</v>
      </c>
      <c r="M5" s="929"/>
      <c r="N5" s="841"/>
      <c r="O5" s="930"/>
      <c r="P5" s="20"/>
      <c r="Q5" s="20"/>
      <c r="R5" s="20"/>
      <c r="S5" s="20"/>
      <c r="T5" s="20"/>
      <c r="U5" s="20"/>
      <c r="V5" s="20"/>
      <c r="W5" s="256" t="s">
        <v>130</v>
      </c>
      <c r="X5" s="914" t="str">
        <f>IF('Overview (Verification)'!P10="","",'Overview (Verification)'!P10)</f>
        <v>Lot 1A</v>
      </c>
      <c r="Y5" s="915"/>
      <c r="Z5" s="561"/>
      <c r="AF5" s="6"/>
      <c r="AH5" s="6"/>
    </row>
    <row r="6" spans="1:62" ht="15" customHeight="1" x14ac:dyDescent="0.35">
      <c r="A6" s="807"/>
      <c r="C6" s="602"/>
      <c r="D6" s="602"/>
      <c r="E6" s="602"/>
      <c r="G6" s="807"/>
      <c r="H6" s="807"/>
      <c r="I6" s="703" t="s">
        <v>261</v>
      </c>
      <c r="J6" s="703"/>
      <c r="K6" s="704"/>
      <c r="L6" s="705" t="s">
        <v>328</v>
      </c>
      <c r="M6" s="705" t="s">
        <v>262</v>
      </c>
      <c r="N6" s="911" t="s">
        <v>266</v>
      </c>
      <c r="O6" s="911" t="s">
        <v>338</v>
      </c>
      <c r="P6" s="22" t="s">
        <v>332</v>
      </c>
      <c r="Q6" s="22" t="s">
        <v>333</v>
      </c>
      <c r="R6" s="22" t="s">
        <v>263</v>
      </c>
      <c r="S6" s="22" t="s">
        <v>264</v>
      </c>
      <c r="T6" s="22" t="s">
        <v>0</v>
      </c>
      <c r="U6" s="22" t="s">
        <v>383</v>
      </c>
      <c r="V6" s="22"/>
      <c r="W6" s="705" t="s">
        <v>265</v>
      </c>
      <c r="X6" s="705" t="s">
        <v>4575</v>
      </c>
      <c r="Y6" s="728" t="s">
        <v>4574</v>
      </c>
      <c r="Z6" s="893" t="s">
        <v>4631</v>
      </c>
      <c r="AA6" t="s">
        <v>4633</v>
      </c>
      <c r="AC6" s="2" t="s">
        <v>325</v>
      </c>
      <c r="AD6" s="2" t="s">
        <v>0</v>
      </c>
      <c r="AE6" s="2" t="s">
        <v>324</v>
      </c>
      <c r="AF6" s="6" t="s">
        <v>4365</v>
      </c>
    </row>
    <row r="7" spans="1:62" x14ac:dyDescent="0.35">
      <c r="B7" s="598"/>
      <c r="C7" s="598"/>
      <c r="D7" s="598"/>
      <c r="E7" s="598"/>
      <c r="I7" s="703"/>
      <c r="J7" s="703"/>
      <c r="K7" s="704"/>
      <c r="L7" s="705"/>
      <c r="M7" s="705"/>
      <c r="N7" s="911"/>
      <c r="O7" s="911"/>
      <c r="P7" s="22"/>
      <c r="Q7" s="22"/>
      <c r="R7" s="22"/>
      <c r="S7" s="22"/>
      <c r="T7" s="22"/>
      <c r="U7" s="22"/>
      <c r="V7" s="22"/>
      <c r="W7" s="705"/>
      <c r="X7" s="705"/>
      <c r="Y7" s="729"/>
      <c r="Z7" s="894"/>
      <c r="AA7" t="str">
        <f>'Photo Review'!H10</f>
        <v>Not OK</v>
      </c>
      <c r="AC7" s="2"/>
      <c r="AD7" s="2"/>
      <c r="AE7" s="2"/>
    </row>
    <row r="8" spans="1:62" ht="18.5" x14ac:dyDescent="0.45">
      <c r="A8" s="403">
        <v>5</v>
      </c>
      <c r="B8" s="603"/>
      <c r="C8" s="603"/>
      <c r="D8" s="603"/>
      <c r="E8" s="603"/>
      <c r="F8" s="603"/>
      <c r="H8" s="403" t="s">
        <v>4323</v>
      </c>
      <c r="I8" s="14" t="s">
        <v>805</v>
      </c>
      <c r="J8" s="14"/>
      <c r="K8" s="14"/>
      <c r="L8" s="15"/>
      <c r="M8" s="16"/>
      <c r="N8" s="16"/>
      <c r="O8" s="16"/>
      <c r="P8" t="s">
        <v>260</v>
      </c>
      <c r="Q8" t="s">
        <v>260</v>
      </c>
      <c r="R8" t="s">
        <v>260</v>
      </c>
      <c r="S8" t="s">
        <v>260</v>
      </c>
      <c r="T8" t="s">
        <v>260</v>
      </c>
      <c r="U8" t="s">
        <v>260</v>
      </c>
      <c r="V8" t="s">
        <v>260</v>
      </c>
      <c r="W8" s="15"/>
      <c r="X8" s="15"/>
      <c r="Y8" s="15"/>
      <c r="Z8" s="568" t="s">
        <v>260</v>
      </c>
      <c r="AA8" s="2" t="s">
        <v>260</v>
      </c>
      <c r="AB8" s="2" t="s">
        <v>260</v>
      </c>
      <c r="AC8" s="2" t="s">
        <v>260</v>
      </c>
      <c r="AD8" s="2" t="s">
        <v>260</v>
      </c>
      <c r="AE8" s="2" t="s">
        <v>260</v>
      </c>
      <c r="AF8" s="2" t="s">
        <v>260</v>
      </c>
      <c r="AG8" s="2" t="s">
        <v>260</v>
      </c>
      <c r="AH8" s="2" t="s">
        <v>260</v>
      </c>
      <c r="AI8" s="2" t="s">
        <v>260</v>
      </c>
      <c r="AJ8" s="2" t="s">
        <v>260</v>
      </c>
      <c r="AK8" s="2" t="s">
        <v>260</v>
      </c>
      <c r="AL8" s="2" t="s">
        <v>260</v>
      </c>
      <c r="AM8" s="2" t="s">
        <v>260</v>
      </c>
      <c r="AN8" s="2" t="s">
        <v>260</v>
      </c>
      <c r="AO8" s="2" t="s">
        <v>260</v>
      </c>
      <c r="AP8" s="2" t="s">
        <v>260</v>
      </c>
      <c r="AQ8" s="2" t="s">
        <v>260</v>
      </c>
      <c r="AR8" s="2" t="s">
        <v>260</v>
      </c>
      <c r="AS8" s="2" t="s">
        <v>260</v>
      </c>
      <c r="AT8" s="2" t="s">
        <v>260</v>
      </c>
      <c r="AU8" s="2" t="s">
        <v>260</v>
      </c>
      <c r="AV8" s="2" t="s">
        <v>260</v>
      </c>
      <c r="AW8" s="2" t="s">
        <v>260</v>
      </c>
      <c r="AX8" s="2" t="s">
        <v>260</v>
      </c>
      <c r="AY8" s="2" t="s">
        <v>260</v>
      </c>
      <c r="AZ8" s="2" t="s">
        <v>260</v>
      </c>
      <c r="BA8" s="2" t="s">
        <v>260</v>
      </c>
      <c r="BB8" s="2" t="s">
        <v>260</v>
      </c>
      <c r="BC8" s="2" t="s">
        <v>260</v>
      </c>
      <c r="BD8" s="2" t="s">
        <v>260</v>
      </c>
      <c r="BE8" s="2" t="s">
        <v>260</v>
      </c>
      <c r="BF8" s="2" t="s">
        <v>260</v>
      </c>
      <c r="BG8" s="2" t="s">
        <v>260</v>
      </c>
      <c r="BH8" s="2" t="s">
        <v>260</v>
      </c>
      <c r="BI8" s="2" t="s">
        <v>260</v>
      </c>
    </row>
    <row r="9" spans="1:62" x14ac:dyDescent="0.35">
      <c r="A9" s="403">
        <v>5</v>
      </c>
      <c r="B9" s="604" t="s">
        <v>267</v>
      </c>
      <c r="C9" s="604"/>
      <c r="D9" s="604"/>
      <c r="E9" s="604"/>
      <c r="F9" s="604"/>
      <c r="H9" s="605"/>
      <c r="I9" s="50" t="s">
        <v>267</v>
      </c>
      <c r="J9" s="50"/>
      <c r="K9" s="50"/>
      <c r="L9" s="706" t="s">
        <v>268</v>
      </c>
      <c r="M9" s="35"/>
      <c r="N9" s="44"/>
      <c r="O9" s="44"/>
      <c r="R9" t="b">
        <v>0</v>
      </c>
      <c r="S9" t="b">
        <v>1</v>
      </c>
      <c r="T9" t="b">
        <v>0</v>
      </c>
      <c r="AM9" s="12"/>
      <c r="AO9" s="12"/>
    </row>
    <row r="10" spans="1:62" x14ac:dyDescent="0.35">
      <c r="A10" s="403">
        <v>5</v>
      </c>
      <c r="B10" s="604" t="s">
        <v>267</v>
      </c>
      <c r="C10" s="604"/>
      <c r="D10" s="604"/>
      <c r="E10" s="604"/>
      <c r="F10" s="604"/>
      <c r="H10" s="605"/>
      <c r="I10" s="50"/>
      <c r="J10" s="50"/>
      <c r="K10" s="50"/>
      <c r="L10" s="706"/>
      <c r="M10" s="35"/>
      <c r="N10" s="44"/>
      <c r="O10" s="44"/>
      <c r="AX10" s="6" t="str">
        <f>'Overview (Verification)'!A8</f>
        <v>Builder Name:</v>
      </c>
      <c r="AY10" t="str">
        <f>IF(LEN('Overview (Verification)'!P8)=0,0,'Overview (Verification)'!P8)</f>
        <v>ABC Builder</v>
      </c>
    </row>
    <row r="11" spans="1:62" x14ac:dyDescent="0.35">
      <c r="A11" s="403">
        <v>5</v>
      </c>
      <c r="B11" s="604" t="s">
        <v>267</v>
      </c>
      <c r="C11" s="604"/>
      <c r="D11" s="604"/>
      <c r="E11" s="604"/>
      <c r="F11" s="604"/>
      <c r="H11" s="605"/>
      <c r="I11" s="50"/>
      <c r="J11" s="50"/>
      <c r="K11" s="50"/>
      <c r="L11" s="706"/>
      <c r="M11" s="35"/>
      <c r="N11" s="44"/>
      <c r="O11" s="44"/>
      <c r="AX11" s="6" t="str">
        <f>'Overview (Verification)'!A9</f>
        <v>Physical Address of Home:</v>
      </c>
      <c r="AY11" t="str">
        <f>IF(LEN('Overview (Verification)'!P9)=0,0,'Overview (Verification)'!P9)</f>
        <v>123 Example Drive</v>
      </c>
    </row>
    <row r="12" spans="1:62" ht="18.5" x14ac:dyDescent="0.45">
      <c r="A12" s="403">
        <v>5</v>
      </c>
      <c r="B12" s="604" t="s">
        <v>808</v>
      </c>
      <c r="C12" s="604"/>
      <c r="D12" s="604"/>
      <c r="E12" s="604"/>
      <c r="F12" s="604"/>
      <c r="G12" s="403" t="s">
        <v>4326</v>
      </c>
      <c r="H12" s="403" t="s">
        <v>4323</v>
      </c>
      <c r="I12" s="51" t="s">
        <v>804</v>
      </c>
      <c r="J12" s="51"/>
      <c r="K12" s="51"/>
      <c r="L12" s="45"/>
      <c r="M12" s="36"/>
      <c r="N12" s="37"/>
      <c r="O12" s="37"/>
      <c r="P12" s="15"/>
      <c r="Q12" s="15"/>
      <c r="R12" s="15"/>
      <c r="S12" s="15"/>
      <c r="T12" s="15"/>
      <c r="U12" s="15"/>
      <c r="V12" s="15"/>
      <c r="W12" s="15"/>
      <c r="X12" s="15"/>
      <c r="Y12" s="15"/>
      <c r="Z12" s="15"/>
      <c r="AX12" s="6" t="str">
        <f>'Overview (Verification)'!A10</f>
        <v>Community/Lot #:</v>
      </c>
      <c r="AY12" t="str">
        <f>IF(LEN('Overview (Verification)'!P10)=0,0,'Overview (Verification)'!P10)</f>
        <v>Lot 1A</v>
      </c>
    </row>
    <row r="13" spans="1:62" ht="15" customHeight="1" x14ac:dyDescent="0.35">
      <c r="A13" s="403">
        <v>5</v>
      </c>
      <c r="B13" s="604" t="s">
        <v>269</v>
      </c>
      <c r="C13" s="604"/>
      <c r="D13" s="604"/>
      <c r="E13" s="604"/>
      <c r="F13" s="604"/>
      <c r="G13" s="403" t="str">
        <f>IF(N13&gt;0,"P","")</f>
        <v/>
      </c>
      <c r="H13" s="403" t="s">
        <v>4323</v>
      </c>
      <c r="I13" s="50" t="s">
        <v>269</v>
      </c>
      <c r="J13" s="50"/>
      <c r="K13" s="50"/>
      <c r="L13" s="576" t="s">
        <v>4709</v>
      </c>
      <c r="M13" s="35"/>
      <c r="N13" s="54">
        <f>'Ch5'!O14</f>
        <v>0</v>
      </c>
      <c r="O13" s="54">
        <f>MAX(M14*S14*W14,M16*S16*W16+M17*S17*W17+M18*S18*W18)</f>
        <v>0</v>
      </c>
      <c r="P13" s="54"/>
      <c r="Q13" s="54"/>
      <c r="W13" t="s">
        <v>277</v>
      </c>
      <c r="X13" s="688"/>
      <c r="Y13" s="891" t="str">
        <f>IF(LEN('Ch5'!X14)=0,"None",'Ch5'!X14)</f>
        <v>None</v>
      </c>
      <c r="Z13" s="892"/>
      <c r="AN13" t="str">
        <f>SUBSTITUTE(SUBSTITUTE(SUBSTITUTE("vpc"&amp;$B13&amp;$C13&amp;$D13&amp;$E13&amp;$F13,".","_"),"(","_"),")","")</f>
        <v>vpc501_1</v>
      </c>
      <c r="AO13">
        <f>O13</f>
        <v>0</v>
      </c>
      <c r="AR13" t="str">
        <f>SUBSTITUTE(SUBSTITUTE(SUBSTITUTE("vnt"&amp;$B13&amp;$C13&amp;$D13&amp;$E13&amp;$F13,".","_"),"(","_"),")","")</f>
        <v>vnt501_1</v>
      </c>
      <c r="AS13">
        <f>X13</f>
        <v>0</v>
      </c>
      <c r="AX13" s="6" t="str">
        <f>'Overview (Verification)'!A11</f>
        <v>City:</v>
      </c>
      <c r="AY13" t="str">
        <f>IF(LEN('Overview (Verification)'!P11)=0,0,'Overview (Verification)'!P11)</f>
        <v>Durham</v>
      </c>
      <c r="BJ13" s="573" t="s">
        <v>4670</v>
      </c>
    </row>
    <row r="14" spans="1:62" x14ac:dyDescent="0.35">
      <c r="A14" s="403">
        <v>5</v>
      </c>
      <c r="B14" s="604" t="s">
        <v>269</v>
      </c>
      <c r="C14" s="604" t="s">
        <v>270</v>
      </c>
      <c r="D14" s="604"/>
      <c r="E14" s="604"/>
      <c r="F14" s="604"/>
      <c r="G14" s="403" t="str">
        <f>G13</f>
        <v/>
      </c>
      <c r="H14" s="403" t="s">
        <v>4323</v>
      </c>
      <c r="I14" s="50"/>
      <c r="J14" s="115" t="s">
        <v>270</v>
      </c>
      <c r="K14" s="115"/>
      <c r="L14" s="578" t="s">
        <v>4710</v>
      </c>
      <c r="M14" s="371">
        <v>15</v>
      </c>
      <c r="N14" s="54"/>
      <c r="O14" s="54"/>
      <c r="P14" s="54" t="b">
        <v>1</v>
      </c>
      <c r="Q14" s="54" t="b">
        <v>1</v>
      </c>
      <c r="R14" t="b">
        <v>0</v>
      </c>
      <c r="S14" t="b">
        <v>1</v>
      </c>
      <c r="T14" t="b">
        <v>0</v>
      </c>
      <c r="W14" s="17"/>
      <c r="X14" s="688"/>
      <c r="Y14" s="891"/>
      <c r="Z14" s="892"/>
      <c r="AL14" t="str">
        <f>SUBSTITUTE(SUBSTITUTE(SUBSTITUTE("vpa"&amp;$B14&amp;$C14&amp;$D14&amp;$E14&amp;$F14,".","_"),"(","_"),")","")</f>
        <v>vpa501_1_1</v>
      </c>
      <c r="AM14">
        <f>M14</f>
        <v>15</v>
      </c>
      <c r="AP14" t="str">
        <f>SUBSTITUTE(SUBSTITUTE(SUBSTITUTE("vch"&amp;$B14&amp;$C14&amp;$D14&amp;$E14&amp;$F14,".","_"),"(","_"),")","")</f>
        <v>vch501_1_1</v>
      </c>
      <c r="AQ14">
        <f>W14</f>
        <v>0</v>
      </c>
      <c r="AX14" s="6" t="str">
        <f>'Overview (Verification)'!A12</f>
        <v>State:</v>
      </c>
      <c r="AY14" t="str">
        <f>IF(LEN('Overview (Verification)'!P12)=0,0,'Overview (Verification)'!P12)</f>
        <v>North Carolina</v>
      </c>
      <c r="BC14" t="str">
        <f>'Overview (Verification)'!T12</f>
        <v>State</v>
      </c>
      <c r="BD14" t="str">
        <f>'Overview (Verification)'!U12</f>
        <v>County</v>
      </c>
      <c r="BE14" t="str">
        <f>'Overview (Verification)'!V12</f>
        <v>Radon</v>
      </c>
      <c r="BF14" t="str">
        <f>'Overview (Verification)'!W12</f>
        <v>Climate</v>
      </c>
      <c r="BG14" t="str">
        <f>'Overview (Verification)'!X12</f>
        <v>Moist</v>
      </c>
      <c r="BH14" t="str">
        <f>'Overview (Verification)'!Y12</f>
        <v>WarmHumid</v>
      </c>
      <c r="BJ14" s="573" t="s">
        <v>4670</v>
      </c>
    </row>
    <row r="15" spans="1:62" x14ac:dyDescent="0.35">
      <c r="A15" s="403">
        <v>5</v>
      </c>
      <c r="B15" s="604" t="s">
        <v>269</v>
      </c>
      <c r="C15" s="604" t="s">
        <v>272</v>
      </c>
      <c r="D15" s="604"/>
      <c r="E15" s="604"/>
      <c r="F15" s="604"/>
      <c r="G15" s="403" t="str">
        <f t="shared" ref="G15:G16" si="0">G14</f>
        <v/>
      </c>
      <c r="I15" s="50"/>
      <c r="J15" s="579" t="s">
        <v>272</v>
      </c>
      <c r="K15" s="50"/>
      <c r="L15" s="217" t="s">
        <v>4711</v>
      </c>
      <c r="M15" s="577"/>
      <c r="N15" s="54"/>
      <c r="O15" s="54"/>
      <c r="P15" s="54"/>
      <c r="Q15" s="54"/>
      <c r="X15" s="688"/>
      <c r="Y15" s="891"/>
      <c r="Z15" s="892"/>
      <c r="AX15" s="6" t="str">
        <f>'Overview (Verification)'!A13</f>
        <v>County:</v>
      </c>
      <c r="AY15" t="str">
        <f>IF(LEN('Overview (Verification)'!P13)=0,0,'Overview (Verification)'!P13)</f>
        <v xml:space="preserve">Chatham  </v>
      </c>
      <c r="BC15" t="str">
        <f>'Overview (Verification)'!T13</f>
        <v>North Carolina</v>
      </c>
      <c r="BD15" t="str">
        <f>'Overview (Verification)'!U13</f>
        <v xml:space="preserve">Chatham  </v>
      </c>
      <c r="BE15">
        <f>'Overview (Verification)'!V13</f>
        <v>3</v>
      </c>
      <c r="BF15">
        <f>'Overview (Verification)'!W13</f>
        <v>4</v>
      </c>
      <c r="BG15" t="str">
        <f>'Overview (Verification)'!X13</f>
        <v>Moist</v>
      </c>
      <c r="BH15" t="str">
        <f>'Overview (Verification)'!Y13</f>
        <v xml:space="preserve"> </v>
      </c>
      <c r="BJ15" s="573"/>
    </row>
    <row r="16" spans="1:62" x14ac:dyDescent="0.35">
      <c r="A16" s="403">
        <v>5</v>
      </c>
      <c r="B16" s="604" t="s">
        <v>269</v>
      </c>
      <c r="C16" s="604" t="s">
        <v>272</v>
      </c>
      <c r="D16" s="604" t="s">
        <v>121</v>
      </c>
      <c r="E16" s="604"/>
      <c r="F16" s="604"/>
      <c r="G16" s="403" t="str">
        <f t="shared" si="0"/>
        <v/>
      </c>
      <c r="H16" s="403" t="s">
        <v>4323</v>
      </c>
      <c r="I16" s="50"/>
      <c r="J16" s="50"/>
      <c r="K16" s="50" t="s">
        <v>121</v>
      </c>
      <c r="L16" s="46" t="s">
        <v>271</v>
      </c>
      <c r="M16" s="577">
        <v>10</v>
      </c>
      <c r="N16" s="54"/>
      <c r="O16" s="54"/>
      <c r="P16" s="54" t="b">
        <v>1</v>
      </c>
      <c r="Q16" s="54" t="b">
        <v>1</v>
      </c>
      <c r="R16" t="b">
        <v>0</v>
      </c>
      <c r="S16" t="b">
        <v>1</v>
      </c>
      <c r="T16" t="b">
        <v>0</v>
      </c>
      <c r="W16" s="17"/>
      <c r="X16" s="688"/>
      <c r="Y16" s="891"/>
      <c r="Z16" s="892"/>
      <c r="AA16">
        <f>'Photo Review'!H16</f>
        <v>0</v>
      </c>
      <c r="AL16" t="str">
        <f t="shared" ref="AL16:AL18" si="1">SUBSTITUTE(SUBSTITUTE(SUBSTITUTE("vpa"&amp;$B16&amp;$C16&amp;$D16&amp;$E16&amp;$F16,".","_"),"(","_"),")","")</f>
        <v>vpa501_1_2_a</v>
      </c>
      <c r="AM16">
        <f>M16</f>
        <v>10</v>
      </c>
      <c r="AP16" t="str">
        <f>SUBSTITUTE(SUBSTITUTE(SUBSTITUTE("vch"&amp;$B16&amp;$C16&amp;$D16&amp;$E16&amp;$F16,".","_"),"(","_"),")","")</f>
        <v>vch501_1_2_a</v>
      </c>
      <c r="AQ16">
        <f>W16</f>
        <v>0</v>
      </c>
      <c r="AX16" s="6" t="str">
        <f>'Overview (Verification)'!A14</f>
        <v>Zip:</v>
      </c>
      <c r="AY16" t="str">
        <f>IF(LEN('Overview (Verification)'!P14)=0,0,'Overview (Verification)'!P14)</f>
        <v>27703</v>
      </c>
      <c r="BJ16" s="573" t="s">
        <v>4670</v>
      </c>
    </row>
    <row r="17" spans="1:62" x14ac:dyDescent="0.35">
      <c r="A17" s="403">
        <v>5</v>
      </c>
      <c r="B17" s="604" t="s">
        <v>269</v>
      </c>
      <c r="C17" s="604" t="s">
        <v>272</v>
      </c>
      <c r="D17" s="604" t="s">
        <v>122</v>
      </c>
      <c r="E17" s="604"/>
      <c r="F17" s="604"/>
      <c r="G17" s="403" t="str">
        <f t="shared" ref="G17:G18" si="2">G16</f>
        <v/>
      </c>
      <c r="H17" s="403" t="s">
        <v>4323</v>
      </c>
      <c r="I17" s="50"/>
      <c r="J17" s="50"/>
      <c r="K17" s="50" t="s">
        <v>122</v>
      </c>
      <c r="L17" s="46" t="s">
        <v>273</v>
      </c>
      <c r="M17" s="577">
        <v>10</v>
      </c>
      <c r="N17" s="54"/>
      <c r="O17" s="54"/>
      <c r="P17" s="54" t="b">
        <v>1</v>
      </c>
      <c r="Q17" s="54" t="b">
        <v>1</v>
      </c>
      <c r="R17" t="b">
        <v>0</v>
      </c>
      <c r="S17" t="b">
        <f>W18&lt;&gt;TRUE</f>
        <v>1</v>
      </c>
      <c r="T17" t="b">
        <f>IF(AND(NOT(S17),W17=TRUE),TRUE,FALSE)</f>
        <v>0</v>
      </c>
      <c r="W17" s="17"/>
      <c r="X17" s="688"/>
      <c r="Y17" s="891"/>
      <c r="Z17" s="892"/>
      <c r="AC17" t="b">
        <f>OR(AD17:AE17)</f>
        <v>0</v>
      </c>
      <c r="AD17" t="b">
        <f>T17</f>
        <v>0</v>
      </c>
      <c r="AL17" t="str">
        <f t="shared" si="1"/>
        <v>vpa501_1_2_b</v>
      </c>
      <c r="AM17">
        <f>M17</f>
        <v>10</v>
      </c>
      <c r="AP17" t="str">
        <f t="shared" ref="AP17:AP18" si="3">SUBSTITUTE(SUBSTITUTE(SUBSTITUTE("vch"&amp;$B17&amp;$C17&amp;$D17&amp;$E17&amp;$F17,".","_"),"(","_"),")","")</f>
        <v>vch501_1_2_b</v>
      </c>
      <c r="AQ17">
        <f>W17</f>
        <v>0</v>
      </c>
      <c r="AX17" s="6"/>
      <c r="BJ17" s="573" t="s">
        <v>4670</v>
      </c>
    </row>
    <row r="18" spans="1:62" ht="15" thickBot="1" x14ac:dyDescent="0.4">
      <c r="A18" s="403">
        <v>5</v>
      </c>
      <c r="B18" s="604" t="s">
        <v>269</v>
      </c>
      <c r="C18" s="604" t="s">
        <v>272</v>
      </c>
      <c r="D18" s="606" t="s">
        <v>123</v>
      </c>
      <c r="E18" s="604"/>
      <c r="F18" s="604"/>
      <c r="G18" s="403" t="str">
        <f t="shared" si="2"/>
        <v/>
      </c>
      <c r="H18" s="403" t="s">
        <v>4323</v>
      </c>
      <c r="I18" s="55"/>
      <c r="J18" s="55"/>
      <c r="K18" s="66" t="s">
        <v>123</v>
      </c>
      <c r="L18" s="56" t="s">
        <v>275</v>
      </c>
      <c r="M18" s="337">
        <v>15</v>
      </c>
      <c r="N18" s="57"/>
      <c r="O18" s="57"/>
      <c r="P18" s="54" t="b">
        <v>1</v>
      </c>
      <c r="Q18" s="54" t="b">
        <v>1</v>
      </c>
      <c r="R18" s="58" t="b">
        <v>0</v>
      </c>
      <c r="S18" s="58" t="b">
        <f>W17&lt;&gt;TRUE</f>
        <v>1</v>
      </c>
      <c r="T18" s="58" t="b">
        <f>IF(AND(NOT(S18),W18=TRUE),TRUE,FALSE)</f>
        <v>0</v>
      </c>
      <c r="U18" s="58"/>
      <c r="V18" s="58"/>
      <c r="W18" s="129"/>
      <c r="X18" s="689"/>
      <c r="Y18" s="905"/>
      <c r="Z18" s="895"/>
      <c r="AC18" t="b">
        <f>OR(AD18:AE18)</f>
        <v>0</v>
      </c>
      <c r="AD18" t="b">
        <f>T18</f>
        <v>0</v>
      </c>
      <c r="AL18" t="str">
        <f t="shared" si="1"/>
        <v>vpa501_1_2_c</v>
      </c>
      <c r="AM18">
        <f>M18</f>
        <v>15</v>
      </c>
      <c r="AP18" t="str">
        <f t="shared" si="3"/>
        <v>vch501_1_2_c</v>
      </c>
      <c r="AQ18">
        <f>W18</f>
        <v>0</v>
      </c>
      <c r="AX18" s="6" t="str">
        <f>'Overview (Verification)'!A16</f>
        <v>Single-Family or Multifamily:</v>
      </c>
      <c r="AY18" t="str">
        <f>IF(LEN('Overview (Verification)'!P16)=0,0,'Overview (Verification)'!P16)</f>
        <v>Single-Family</v>
      </c>
      <c r="BJ18" s="573" t="s">
        <v>4670</v>
      </c>
    </row>
    <row r="19" spans="1:62" ht="15" thickTop="1" x14ac:dyDescent="0.35">
      <c r="A19" s="403">
        <v>5</v>
      </c>
      <c r="B19" s="604" t="s">
        <v>278</v>
      </c>
      <c r="C19" s="604"/>
      <c r="D19" s="604"/>
      <c r="E19" s="604"/>
      <c r="F19" s="604"/>
      <c r="G19" s="600" t="str">
        <f ca="1">IF(COUNTIF(G21:G39,"P")&gt;0,"P","")</f>
        <v>P</v>
      </c>
      <c r="H19" s="403" t="s">
        <v>4323</v>
      </c>
      <c r="I19" s="50" t="s">
        <v>278</v>
      </c>
      <c r="J19" s="50"/>
      <c r="K19" s="50"/>
      <c r="L19" s="706" t="s">
        <v>279</v>
      </c>
      <c r="M19" s="916"/>
      <c r="N19" s="24"/>
      <c r="O19" s="834"/>
      <c r="W19" s="128"/>
      <c r="X19" s="700"/>
      <c r="Y19" s="904" t="str">
        <f>IF(LEN('Ch5'!X20)=0,"None",'Ch5'!X20)</f>
        <v xml:space="preserve"> </v>
      </c>
      <c r="Z19" s="896"/>
      <c r="AR19" t="str">
        <f>SUBSTITUTE(SUBSTITUTE(SUBSTITUTE("vnt"&amp;$B19&amp;$C19&amp;$D19&amp;$E19&amp;$F19,".","_"),"(","_"),")","")</f>
        <v>vnt501_2</v>
      </c>
      <c r="AS19">
        <f>X19</f>
        <v>0</v>
      </c>
      <c r="AX19" s="6" t="str">
        <f>'Overview (Verification)'!A17</f>
        <v>Number of Units:</v>
      </c>
      <c r="AY19">
        <f>IF(LEN('Overview (Verification)'!P17)=0,0,'Overview (Verification)'!P17)</f>
        <v>0</v>
      </c>
      <c r="BJ19" s="573" t="s">
        <v>4670</v>
      </c>
    </row>
    <row r="20" spans="1:62" x14ac:dyDescent="0.35">
      <c r="A20" s="403">
        <v>5</v>
      </c>
      <c r="B20" s="604" t="s">
        <v>278</v>
      </c>
      <c r="C20" s="604"/>
      <c r="D20" s="604"/>
      <c r="E20" s="604"/>
      <c r="F20" s="604"/>
      <c r="G20" s="403" t="str">
        <f ca="1">G19</f>
        <v>P</v>
      </c>
      <c r="H20" s="403" t="s">
        <v>4323</v>
      </c>
      <c r="I20" s="50"/>
      <c r="J20" s="50"/>
      <c r="K20" s="50"/>
      <c r="L20" s="706"/>
      <c r="M20" s="916"/>
      <c r="N20" s="24"/>
      <c r="O20" s="834"/>
      <c r="X20" s="688"/>
      <c r="Y20" s="891"/>
      <c r="Z20" s="892"/>
      <c r="AX20" s="6" t="str">
        <f>'Overview (Verification)'!A18</f>
        <v>Project Name:</v>
      </c>
      <c r="AY20">
        <f>IF(LEN('Overview (Verification)'!P18)=0,0,'Overview (Verification)'!P18)</f>
        <v>0</v>
      </c>
      <c r="BJ20" s="573" t="s">
        <v>4670</v>
      </c>
    </row>
    <row r="21" spans="1:62" x14ac:dyDescent="0.35">
      <c r="A21" s="403">
        <v>5</v>
      </c>
      <c r="B21" s="604" t="s">
        <v>278</v>
      </c>
      <c r="C21" s="604"/>
      <c r="D21" s="604"/>
      <c r="E21" s="604" t="s">
        <v>270</v>
      </c>
      <c r="F21" s="604"/>
      <c r="G21" s="403" t="str">
        <f>IF(N21&gt;0,"P","")</f>
        <v/>
      </c>
      <c r="H21" s="403" t="s">
        <v>4323</v>
      </c>
      <c r="I21" s="50"/>
      <c r="J21" s="50" t="s">
        <v>270</v>
      </c>
      <c r="K21" s="50"/>
      <c r="L21" s="723" t="s">
        <v>280</v>
      </c>
      <c r="M21" s="920" t="s">
        <v>296</v>
      </c>
      <c r="N21" s="917">
        <f>'Ch5'!O22</f>
        <v>0</v>
      </c>
      <c r="O21" s="917">
        <f>M21*W21</f>
        <v>0</v>
      </c>
      <c r="P21" s="54" t="b">
        <v>1</v>
      </c>
      <c r="Q21" s="54" t="b">
        <v>1</v>
      </c>
      <c r="R21" t="b">
        <v>0</v>
      </c>
      <c r="S21" t="b">
        <v>1</v>
      </c>
      <c r="T21" t="b">
        <v>0</v>
      </c>
      <c r="W21" s="17" t="b">
        <v>0</v>
      </c>
      <c r="X21" s="688"/>
      <c r="Y21" s="891" t="str">
        <f>IF(LEN('Ch5'!X22)=0,"None",'Ch5'!X22)</f>
        <v>None</v>
      </c>
      <c r="Z21" s="892"/>
      <c r="AL21" t="str">
        <f>SUBSTITUTE(SUBSTITUTE(SUBSTITUTE("vpa"&amp;$B21&amp;$C21&amp;$D21&amp;$E21&amp;$F21,".","_"),"(","_"),")","")</f>
        <v>vpa501_2_1</v>
      </c>
      <c r="AM21" t="str">
        <f>M21</f>
        <v>6</v>
      </c>
      <c r="AN21" t="str">
        <f>SUBSTITUTE(SUBSTITUTE(SUBSTITUTE("vpc"&amp;$B21&amp;$C21&amp;$D21&amp;$E21&amp;$F21,".","_"),"(","_"),")","")</f>
        <v>vpc501_2_1</v>
      </c>
      <c r="AO21">
        <f>O21</f>
        <v>0</v>
      </c>
      <c r="AP21" t="str">
        <f>SUBSTITUTE(SUBSTITUTE(SUBSTITUTE("vch"&amp;$B21&amp;$C21&amp;$D21&amp;$E21&amp;$F21,".","_"),"(","_"),")","")</f>
        <v>vch501_2_1</v>
      </c>
      <c r="AQ21" t="b">
        <f>W21</f>
        <v>0</v>
      </c>
      <c r="AR21" t="str">
        <f>SUBSTITUTE(SUBSTITUTE(SUBSTITUTE("vnt"&amp;$B21&amp;$C21&amp;$D21&amp;$E21&amp;$F21,".","_"),"(","_"),")","")</f>
        <v>vnt501_2_1</v>
      </c>
      <c r="AS21">
        <f>X21</f>
        <v>0</v>
      </c>
      <c r="AX21" s="6"/>
      <c r="BJ21" s="573" t="s">
        <v>4670</v>
      </c>
    </row>
    <row r="22" spans="1:62" x14ac:dyDescent="0.35">
      <c r="A22" s="403">
        <v>5</v>
      </c>
      <c r="B22" s="604" t="s">
        <v>278</v>
      </c>
      <c r="C22" s="604"/>
      <c r="D22" s="604"/>
      <c r="E22" s="604" t="s">
        <v>270</v>
      </c>
      <c r="F22" s="604"/>
      <c r="G22" s="403" t="str">
        <f>G21</f>
        <v/>
      </c>
      <c r="H22" s="403" t="s">
        <v>4323</v>
      </c>
      <c r="I22" s="50"/>
      <c r="J22" s="115"/>
      <c r="K22" s="115"/>
      <c r="L22" s="724"/>
      <c r="M22" s="921"/>
      <c r="N22" s="918"/>
      <c r="O22" s="918"/>
      <c r="P22" s="24"/>
      <c r="Q22" s="24"/>
      <c r="X22" s="688"/>
      <c r="Y22" s="891"/>
      <c r="Z22" s="892"/>
      <c r="AX22" s="6" t="str">
        <f>'Overview (Verification)'!A20</f>
        <v>Above grade plane finished floor area:</v>
      </c>
      <c r="AY22">
        <f>IF(LEN('Overview (Verification)'!P20)=0,0,'Overview (Verification)'!P20)</f>
        <v>2644</v>
      </c>
      <c r="BJ22" s="573" t="s">
        <v>4670</v>
      </c>
    </row>
    <row r="23" spans="1:62" x14ac:dyDescent="0.35">
      <c r="A23" s="403">
        <v>5</v>
      </c>
      <c r="B23" s="604" t="s">
        <v>278</v>
      </c>
      <c r="C23" s="604"/>
      <c r="D23" s="604"/>
      <c r="E23" s="604" t="s">
        <v>272</v>
      </c>
      <c r="F23" s="604"/>
      <c r="G23" s="403" t="str">
        <f>IF(N23&gt;0,"P","")</f>
        <v/>
      </c>
      <c r="H23" s="403" t="s">
        <v>4323</v>
      </c>
      <c r="I23" s="50"/>
      <c r="J23" s="50" t="s">
        <v>272</v>
      </c>
      <c r="K23" s="50"/>
      <c r="L23" s="707" t="s">
        <v>281</v>
      </c>
      <c r="M23" s="920" t="s">
        <v>297</v>
      </c>
      <c r="N23" s="919">
        <f>'Ch5'!O24</f>
        <v>0</v>
      </c>
      <c r="O23" s="917">
        <f>M23*W23</f>
        <v>3</v>
      </c>
      <c r="P23" s="54" t="b">
        <v>1</v>
      </c>
      <c r="Q23" s="54" t="b">
        <v>1</v>
      </c>
      <c r="R23" t="b">
        <v>0</v>
      </c>
      <c r="S23" t="b">
        <v>1</v>
      </c>
      <c r="T23" t="b">
        <v>0</v>
      </c>
      <c r="W23" s="17" t="b">
        <v>1</v>
      </c>
      <c r="X23" s="688"/>
      <c r="Y23" s="891" t="str">
        <f>IF(LEN('Ch5'!X24)=0,"None",'Ch5'!X24)</f>
        <v>None</v>
      </c>
      <c r="Z23" s="892"/>
      <c r="AL23" t="str">
        <f>SUBSTITUTE(SUBSTITUTE(SUBSTITUTE("vpa"&amp;$B23&amp;$C23&amp;$D23&amp;$E23&amp;$F23,".","_"),"(","_"),")","")</f>
        <v>vpa501_2_2</v>
      </c>
      <c r="AM23" t="str">
        <f>M23</f>
        <v>3</v>
      </c>
      <c r="AN23" t="str">
        <f>SUBSTITUTE(SUBSTITUTE(SUBSTITUTE("vpc"&amp;$B23&amp;$C23&amp;$D23&amp;$E23&amp;$F23,".","_"),"(","_"),")","")</f>
        <v>vpc501_2_2</v>
      </c>
      <c r="AO23">
        <f>O23</f>
        <v>3</v>
      </c>
      <c r="AP23" t="str">
        <f>SUBSTITUTE(SUBSTITUTE(SUBSTITUTE("vch"&amp;$B23&amp;$C23&amp;$D23&amp;$E23&amp;$F23,".","_"),"(","_"),")","")</f>
        <v>vch501_2_2</v>
      </c>
      <c r="AQ23" t="b">
        <f>W23</f>
        <v>1</v>
      </c>
      <c r="AR23" t="str">
        <f>SUBSTITUTE(SUBSTITUTE(SUBSTITUTE("vnt"&amp;$B23&amp;$C23&amp;$D23&amp;$E23&amp;$F23,".","_"),"(","_"),")","")</f>
        <v>vnt501_2_2</v>
      </c>
      <c r="AS23">
        <f>X23</f>
        <v>0</v>
      </c>
      <c r="AX23" s="6" t="str">
        <f>'Overview (Verification)'!A21</f>
        <v>Total conditioned floor area:</v>
      </c>
      <c r="AY23">
        <f>IF(LEN('Overview (Verification)'!P21)=0,0,'Overview (Verification)'!P21)</f>
        <v>2644</v>
      </c>
      <c r="BJ23" s="573" t="s">
        <v>4670</v>
      </c>
    </row>
    <row r="24" spans="1:62" x14ac:dyDescent="0.35">
      <c r="A24" s="403">
        <v>5</v>
      </c>
      <c r="B24" s="604" t="s">
        <v>278</v>
      </c>
      <c r="C24" s="604"/>
      <c r="D24" s="604"/>
      <c r="E24" s="604" t="s">
        <v>272</v>
      </c>
      <c r="F24" s="604"/>
      <c r="G24" s="403" t="str">
        <f>G23</f>
        <v/>
      </c>
      <c r="H24" s="403" t="s">
        <v>4323</v>
      </c>
      <c r="I24" s="50"/>
      <c r="J24" s="115"/>
      <c r="K24" s="115"/>
      <c r="L24" s="709"/>
      <c r="M24" s="921"/>
      <c r="N24" s="918"/>
      <c r="O24" s="918"/>
      <c r="P24" s="24"/>
      <c r="Q24" s="24"/>
      <c r="X24" s="688"/>
      <c r="Y24" s="891"/>
      <c r="Z24" s="892"/>
      <c r="AX24" s="6" t="str">
        <f>'Overview (Verification)'!A22</f>
        <v>Stories above grade:</v>
      </c>
      <c r="AY24">
        <f>IF(LEN('Overview (Verification)'!P22)=0,0,'Overview (Verification)'!P22)</f>
        <v>2</v>
      </c>
      <c r="BJ24" s="573" t="s">
        <v>4670</v>
      </c>
    </row>
    <row r="25" spans="1:62" x14ac:dyDescent="0.35">
      <c r="A25" s="403">
        <v>5</v>
      </c>
      <c r="B25" s="604" t="s">
        <v>278</v>
      </c>
      <c r="C25" s="604"/>
      <c r="D25" s="604"/>
      <c r="E25" s="604" t="s">
        <v>274</v>
      </c>
      <c r="F25" s="604"/>
      <c r="G25" s="403" t="str">
        <f>IF(N25&gt;0,"P","")</f>
        <v>P</v>
      </c>
      <c r="H25" s="403" t="s">
        <v>4323</v>
      </c>
      <c r="I25" s="50"/>
      <c r="J25" s="50" t="s">
        <v>274</v>
      </c>
      <c r="K25" s="50"/>
      <c r="L25" s="723" t="s">
        <v>282</v>
      </c>
      <c r="M25" s="920" t="s">
        <v>298</v>
      </c>
      <c r="N25" s="919">
        <f>'Ch5'!O26</f>
        <v>5</v>
      </c>
      <c r="O25" s="917">
        <f>M25*W25</f>
        <v>5</v>
      </c>
      <c r="P25" s="54" t="b">
        <v>1</v>
      </c>
      <c r="Q25" s="54" t="b">
        <v>1</v>
      </c>
      <c r="R25" t="b">
        <v>0</v>
      </c>
      <c r="S25" t="b">
        <v>1</v>
      </c>
      <c r="T25" t="b">
        <v>0</v>
      </c>
      <c r="W25" s="17" t="b">
        <v>1</v>
      </c>
      <c r="X25" s="688"/>
      <c r="Y25" s="891" t="str">
        <f>IF(LEN('Ch5'!X26)=0,"None",'Ch5'!X26)</f>
        <v>None</v>
      </c>
      <c r="Z25" s="892"/>
      <c r="AA25">
        <f>'Photo Review'!H25</f>
        <v>0</v>
      </c>
      <c r="AL25" t="str">
        <f>SUBSTITUTE(SUBSTITUTE(SUBSTITUTE("vpa"&amp;$B25&amp;$C25&amp;$D25&amp;$E25&amp;$F25,".","_"),"(","_"),")","")</f>
        <v>vpa501_2_3</v>
      </c>
      <c r="AM25" t="str">
        <f>M25</f>
        <v>5</v>
      </c>
      <c r="AN25" t="str">
        <f>SUBSTITUTE(SUBSTITUTE(SUBSTITUTE("vpc"&amp;$B25&amp;$C25&amp;$D25&amp;$E25&amp;$F25,".","_"),"(","_"),")","")</f>
        <v>vpc501_2_3</v>
      </c>
      <c r="AO25">
        <f>O25</f>
        <v>5</v>
      </c>
      <c r="AP25" t="str">
        <f>SUBSTITUTE(SUBSTITUTE(SUBSTITUTE("vch"&amp;$B25&amp;$C25&amp;$D25&amp;$E25&amp;$F25,".","_"),"(","_"),")","")</f>
        <v>vch501_2_3</v>
      </c>
      <c r="AQ25" t="b">
        <f>W25</f>
        <v>1</v>
      </c>
      <c r="AR25" t="str">
        <f>SUBSTITUTE(SUBSTITUTE(SUBSTITUTE("vnt"&amp;$B25&amp;$C25&amp;$D25&amp;$E25&amp;$F25,".","_"),"(","_"),")","")</f>
        <v>vnt501_2_3</v>
      </c>
      <c r="AS25">
        <f>X25</f>
        <v>0</v>
      </c>
      <c r="BJ25" s="573" t="s">
        <v>4670</v>
      </c>
    </row>
    <row r="26" spans="1:62" x14ac:dyDescent="0.35">
      <c r="A26" s="403">
        <v>5</v>
      </c>
      <c r="B26" s="604" t="s">
        <v>278</v>
      </c>
      <c r="C26" s="604"/>
      <c r="D26" s="604"/>
      <c r="E26" s="604" t="s">
        <v>274</v>
      </c>
      <c r="F26" s="604"/>
      <c r="G26" s="403" t="str">
        <f>G25</f>
        <v>P</v>
      </c>
      <c r="H26" s="403" t="s">
        <v>4323</v>
      </c>
      <c r="I26" s="50"/>
      <c r="J26" s="115"/>
      <c r="K26" s="115"/>
      <c r="L26" s="724"/>
      <c r="M26" s="921"/>
      <c r="N26" s="918"/>
      <c r="O26" s="918"/>
      <c r="P26" s="24"/>
      <c r="Q26" s="24"/>
      <c r="X26" s="688"/>
      <c r="Y26" s="891"/>
      <c r="Z26" s="892"/>
      <c r="AX26" s="6" t="str">
        <f>'Overview (Verification)'!A24</f>
        <v xml:space="preserve">Project Description (optional): </v>
      </c>
      <c r="AY26">
        <f>IF(LEN('Overview (Verification)'!P24)=0,0,'Overview (Verification)'!P24)</f>
        <v>0</v>
      </c>
      <c r="BJ26" s="573" t="s">
        <v>4670</v>
      </c>
    </row>
    <row r="27" spans="1:62" x14ac:dyDescent="0.35">
      <c r="A27" s="403">
        <v>5</v>
      </c>
      <c r="B27" s="604" t="s">
        <v>278</v>
      </c>
      <c r="C27" s="604"/>
      <c r="D27" s="604"/>
      <c r="E27" s="604" t="s">
        <v>283</v>
      </c>
      <c r="F27" s="604"/>
      <c r="G27" s="403" t="str">
        <f>IF(N27&gt;0,"P","")</f>
        <v>P</v>
      </c>
      <c r="H27" s="403" t="s">
        <v>4323</v>
      </c>
      <c r="I27" s="50"/>
      <c r="J27" s="50" t="s">
        <v>283</v>
      </c>
      <c r="K27" s="50"/>
      <c r="L27" s="707" t="s">
        <v>284</v>
      </c>
      <c r="M27" s="920" t="s">
        <v>299</v>
      </c>
      <c r="N27" s="919">
        <f>'Ch5'!O28</f>
        <v>4</v>
      </c>
      <c r="O27" s="917">
        <f>IF(LEN(X27)&gt;0,M27*W27,0)</f>
        <v>0</v>
      </c>
      <c r="P27" s="54" t="b">
        <v>1</v>
      </c>
      <c r="Q27" s="54" t="b">
        <v>1</v>
      </c>
      <c r="R27" t="b">
        <v>0</v>
      </c>
      <c r="S27" t="b">
        <v>1</v>
      </c>
      <c r="T27" t="b">
        <v>0</v>
      </c>
      <c r="W27" s="17"/>
      <c r="X27" s="688"/>
      <c r="Y27" s="891" t="str">
        <f>IF(LEN('Ch5'!X28)=0,"None",'Ch5'!X28)</f>
        <v>Post office, gym, school, dog park, deli, coffee shop</v>
      </c>
      <c r="Z27" s="892"/>
      <c r="AC27" t="b">
        <f>OR(AD27:AE27)</f>
        <v>0</v>
      </c>
      <c r="AD27" t="b">
        <f>T27</f>
        <v>0</v>
      </c>
      <c r="AE27" t="b">
        <f>AND(W27=TRUE,LEN(X27)=0)</f>
        <v>0</v>
      </c>
      <c r="AF27" t="b">
        <f>AND(AE27,NOT(Q27))</f>
        <v>0</v>
      </c>
      <c r="AL27" t="str">
        <f>SUBSTITUTE(SUBSTITUTE(SUBSTITUTE("vpa"&amp;$B27&amp;$C27&amp;$D27&amp;$E27&amp;$F27,".","_"),"(","_"),")","")</f>
        <v>vpa501_2_4</v>
      </c>
      <c r="AM27" t="str">
        <f>M27</f>
        <v>4</v>
      </c>
      <c r="AN27" t="str">
        <f>SUBSTITUTE(SUBSTITUTE(SUBSTITUTE("vpc"&amp;$B27&amp;$C27&amp;$D27&amp;$E27&amp;$F27,".","_"),"(","_"),")","")</f>
        <v>vpc501_2_4</v>
      </c>
      <c r="AO27">
        <f>O27</f>
        <v>0</v>
      </c>
      <c r="AP27" t="str">
        <f>SUBSTITUTE(SUBSTITUTE(SUBSTITUTE("vch"&amp;$B27&amp;$C27&amp;$D27&amp;$E27&amp;$F27,".","_"),"(","_"),")","")</f>
        <v>vch501_2_4</v>
      </c>
      <c r="AQ27">
        <f>W27</f>
        <v>0</v>
      </c>
      <c r="AR27" t="str">
        <f>SUBSTITUTE(SUBSTITUTE(SUBSTITUTE("vnt"&amp;$B27&amp;$C27&amp;$D27&amp;$E27&amp;$F27,".","_"),"(","_"),")","")</f>
        <v>vnt501_2_4</v>
      </c>
      <c r="AS27">
        <f>X27</f>
        <v>0</v>
      </c>
      <c r="AX27" s="6"/>
      <c r="BJ27" s="573" t="s">
        <v>4670</v>
      </c>
    </row>
    <row r="28" spans="1:62" x14ac:dyDescent="0.35">
      <c r="A28" s="403">
        <v>5</v>
      </c>
      <c r="B28" s="604" t="s">
        <v>278</v>
      </c>
      <c r="C28" s="604"/>
      <c r="D28" s="604"/>
      <c r="E28" s="604" t="s">
        <v>283</v>
      </c>
      <c r="F28" s="604"/>
      <c r="G28" s="403" t="str">
        <f t="shared" ref="G28:G35" si="4">G27</f>
        <v>P</v>
      </c>
      <c r="H28" s="403" t="s">
        <v>4323</v>
      </c>
      <c r="I28" s="50"/>
      <c r="J28" s="50"/>
      <c r="K28" s="50"/>
      <c r="L28" s="707"/>
      <c r="M28" s="920"/>
      <c r="N28" s="917"/>
      <c r="O28" s="917"/>
      <c r="P28" s="24"/>
      <c r="Q28" s="24"/>
      <c r="X28" s="688"/>
      <c r="Y28" s="891" t="str">
        <f>IF(LEN('Ch5'!X29)=0,"None",'Ch5'!X29:X33)</f>
        <v>None</v>
      </c>
      <c r="Z28" s="892"/>
      <c r="AX28" s="6" t="str">
        <f>'Overview (Verification)'!A26</f>
        <v>HERS Index (if available):</v>
      </c>
      <c r="AY28">
        <f>IF(LEN('Overview (Verification)'!P26)=0,0,'Overview (Verification)'!P26)</f>
        <v>0</v>
      </c>
      <c r="BJ28" s="573" t="s">
        <v>4670</v>
      </c>
    </row>
    <row r="29" spans="1:62" x14ac:dyDescent="0.35">
      <c r="A29" s="403">
        <v>5</v>
      </c>
      <c r="B29" s="604" t="s">
        <v>278</v>
      </c>
      <c r="C29" s="604"/>
      <c r="D29" s="604"/>
      <c r="E29" s="604" t="s">
        <v>283</v>
      </c>
      <c r="F29" s="604"/>
      <c r="G29" s="403" t="str">
        <f t="shared" si="4"/>
        <v>P</v>
      </c>
      <c r="H29" s="403" t="s">
        <v>4323</v>
      </c>
      <c r="I29" s="50"/>
      <c r="J29" s="50"/>
      <c r="K29" s="50"/>
      <c r="L29" s="707"/>
      <c r="M29" s="920"/>
      <c r="N29" s="917"/>
      <c r="O29" s="917"/>
      <c r="P29" s="24"/>
      <c r="Q29" s="24"/>
      <c r="X29" s="688"/>
      <c r="Y29" s="891" t="str">
        <f>IF(LEN('Ch5'!X30)=0,"None",'Ch5'!X30:X34)</f>
        <v>None</v>
      </c>
      <c r="Z29" s="892"/>
      <c r="AX29" s="6" t="str">
        <f>'Overview (Verification)'!A27</f>
        <v>Foundation Type:</v>
      </c>
      <c r="AY29" t="str">
        <f>IF(LEN('Overview (Verification)'!P27)=0,0,'Overview (Verification)'!P27)</f>
        <v>Conditioned crawlspace</v>
      </c>
      <c r="AZ29" s="1">
        <f>IFERROR(MATCH(AY29,ddFoundation,0),0)</f>
        <v>3</v>
      </c>
      <c r="BJ29" s="573" t="s">
        <v>4670</v>
      </c>
    </row>
    <row r="30" spans="1:62" x14ac:dyDescent="0.35">
      <c r="A30" s="403">
        <v>5</v>
      </c>
      <c r="B30" s="604" t="s">
        <v>278</v>
      </c>
      <c r="C30" s="604"/>
      <c r="D30" s="604"/>
      <c r="E30" s="604" t="s">
        <v>283</v>
      </c>
      <c r="F30" s="604"/>
      <c r="G30" s="403" t="str">
        <f t="shared" si="4"/>
        <v>P</v>
      </c>
      <c r="H30" s="403" t="s">
        <v>4323</v>
      </c>
      <c r="I30" s="50"/>
      <c r="J30" s="50"/>
      <c r="K30" s="50"/>
      <c r="L30" s="707"/>
      <c r="M30" s="920"/>
      <c r="N30" s="917"/>
      <c r="O30" s="917"/>
      <c r="P30" s="24"/>
      <c r="Q30" s="24"/>
      <c r="X30" s="688"/>
      <c r="Y30" s="891" t="str">
        <f>IF(LEN('Ch5'!X31)=0,"None",'Ch5'!X31:X35)</f>
        <v>None</v>
      </c>
      <c r="Z30" s="892"/>
      <c r="AX30" s="6"/>
      <c r="BJ30" s="573" t="s">
        <v>4670</v>
      </c>
    </row>
    <row r="31" spans="1:62" x14ac:dyDescent="0.35">
      <c r="A31" s="403">
        <v>5</v>
      </c>
      <c r="B31" s="604" t="s">
        <v>278</v>
      </c>
      <c r="C31" s="604"/>
      <c r="D31" s="604"/>
      <c r="E31" s="604" t="s">
        <v>283</v>
      </c>
      <c r="F31" s="604"/>
      <c r="G31" s="403" t="str">
        <f t="shared" si="4"/>
        <v>P</v>
      </c>
      <c r="H31" s="403" t="s">
        <v>4323</v>
      </c>
      <c r="I31" s="50"/>
      <c r="J31" s="50"/>
      <c r="K31" s="50"/>
      <c r="L31" s="46" t="s">
        <v>285</v>
      </c>
      <c r="M31" s="920"/>
      <c r="N31" s="917"/>
      <c r="O31" s="917"/>
      <c r="P31" s="24"/>
      <c r="Q31" s="24"/>
      <c r="X31" s="688"/>
      <c r="Y31" s="891" t="str">
        <f>IF(LEN('Ch5'!X32)=0,"None",'Ch5'!X32:X36)</f>
        <v>None</v>
      </c>
      <c r="Z31" s="892"/>
      <c r="AX31" s="6" t="str">
        <f>'Overview (Verification)'!A29</f>
        <v>Type of Heating System (main system):</v>
      </c>
      <c r="AY31" t="str">
        <f>IF(LEN('Overview (Verification)'!P29)=0,0,'Overview (Verification)'!P29)</f>
        <v>Furnace</v>
      </c>
      <c r="BJ31" s="573" t="s">
        <v>4670</v>
      </c>
    </row>
    <row r="32" spans="1:62" x14ac:dyDescent="0.35">
      <c r="A32" s="403">
        <v>5</v>
      </c>
      <c r="B32" s="604" t="s">
        <v>278</v>
      </c>
      <c r="C32" s="604"/>
      <c r="D32" s="604"/>
      <c r="E32" s="604" t="s">
        <v>283</v>
      </c>
      <c r="F32" s="604"/>
      <c r="G32" s="403" t="str">
        <f t="shared" si="4"/>
        <v>P</v>
      </c>
      <c r="H32" s="403" t="s">
        <v>4323</v>
      </c>
      <c r="I32" s="50"/>
      <c r="J32" s="50"/>
      <c r="K32" s="50"/>
      <c r="L32" s="46" t="s">
        <v>286</v>
      </c>
      <c r="M32" s="920"/>
      <c r="N32" s="917"/>
      <c r="O32" s="917"/>
      <c r="P32" s="24"/>
      <c r="Q32" s="24"/>
      <c r="X32" s="688"/>
      <c r="Y32" s="891" t="str">
        <f>IF(LEN('Ch5'!X33)=0,"None",'Ch5'!X33:X37)</f>
        <v>None</v>
      </c>
      <c r="Z32" s="892"/>
      <c r="AX32" s="6" t="str">
        <f>'Overview (Verification)'!A30</f>
        <v>Type of Heating System (system 2):</v>
      </c>
      <c r="AY32">
        <f>IF(LEN('Overview (Verification)'!P30)=0,0,'Overview (Verification)'!P30)</f>
        <v>0</v>
      </c>
      <c r="BJ32" s="573" t="s">
        <v>4670</v>
      </c>
    </row>
    <row r="33" spans="1:62" x14ac:dyDescent="0.35">
      <c r="A33" s="403">
        <v>5</v>
      </c>
      <c r="B33" s="604" t="s">
        <v>278</v>
      </c>
      <c r="C33" s="604"/>
      <c r="D33" s="604"/>
      <c r="E33" s="604" t="s">
        <v>283</v>
      </c>
      <c r="F33" s="604"/>
      <c r="G33" s="403" t="str">
        <f t="shared" si="4"/>
        <v>P</v>
      </c>
      <c r="H33" s="403" t="s">
        <v>4323</v>
      </c>
      <c r="I33" s="50"/>
      <c r="J33" s="50"/>
      <c r="K33" s="50"/>
      <c r="L33" s="46" t="s">
        <v>287</v>
      </c>
      <c r="M33" s="920"/>
      <c r="N33" s="917"/>
      <c r="O33" s="917"/>
      <c r="P33" s="24"/>
      <c r="Q33" s="24"/>
      <c r="X33" s="688"/>
      <c r="Y33" s="891" t="str">
        <f>IF(LEN('Ch5'!X34)=0,"None",'Ch5'!X34:X38)</f>
        <v>None</v>
      </c>
      <c r="Z33" s="892"/>
      <c r="AX33" s="6" t="str">
        <f>'Overview (Verification)'!A31</f>
        <v>Type of Heating System (system 3):</v>
      </c>
      <c r="AY33">
        <f>IF(LEN('Overview (Verification)'!P31)=0,0,'Overview (Verification)'!P31)</f>
        <v>0</v>
      </c>
      <c r="BJ33" s="573" t="s">
        <v>4670</v>
      </c>
    </row>
    <row r="34" spans="1:62" x14ac:dyDescent="0.35">
      <c r="A34" s="403">
        <v>5</v>
      </c>
      <c r="B34" s="604" t="s">
        <v>278</v>
      </c>
      <c r="C34" s="604"/>
      <c r="D34" s="604"/>
      <c r="E34" s="604" t="s">
        <v>283</v>
      </c>
      <c r="F34" s="604"/>
      <c r="G34" s="403" t="str">
        <f t="shared" si="4"/>
        <v>P</v>
      </c>
      <c r="H34" s="403" t="s">
        <v>4323</v>
      </c>
      <c r="I34" s="50"/>
      <c r="J34" s="50"/>
      <c r="K34" s="50"/>
      <c r="L34" s="46" t="s">
        <v>288</v>
      </c>
      <c r="M34" s="920"/>
      <c r="N34" s="917"/>
      <c r="O34" s="917"/>
      <c r="P34" s="24"/>
      <c r="Q34" s="24"/>
      <c r="X34" s="688"/>
      <c r="Y34" s="891" t="str">
        <f>IF(LEN('Ch5'!X35)=0,"None",'Ch5'!X35:X39)</f>
        <v>None</v>
      </c>
      <c r="Z34" s="892"/>
      <c r="AX34" s="6" t="str">
        <f>'Overview (Verification)'!A32</f>
        <v>Heating Fuel:</v>
      </c>
      <c r="AY34">
        <f>IF(LEN('Overview (Verification)'!P32)=0,0,'Overview (Verification)'!P32)</f>
        <v>0</v>
      </c>
      <c r="BJ34" s="573" t="s">
        <v>4670</v>
      </c>
    </row>
    <row r="35" spans="1:62" x14ac:dyDescent="0.35">
      <c r="A35" s="403">
        <v>5</v>
      </c>
      <c r="B35" s="604" t="s">
        <v>278</v>
      </c>
      <c r="C35" s="604"/>
      <c r="D35" s="604"/>
      <c r="E35" s="604" t="s">
        <v>283</v>
      </c>
      <c r="F35" s="604"/>
      <c r="G35" s="403" t="str">
        <f t="shared" si="4"/>
        <v>P</v>
      </c>
      <c r="H35" s="403" t="s">
        <v>4323</v>
      </c>
      <c r="I35" s="50"/>
      <c r="J35" s="115"/>
      <c r="K35" s="115"/>
      <c r="L35" s="121" t="s">
        <v>302</v>
      </c>
      <c r="M35" s="921"/>
      <c r="N35" s="918"/>
      <c r="O35" s="918"/>
      <c r="P35" s="24"/>
      <c r="Q35" s="24"/>
      <c r="X35" s="688"/>
      <c r="Y35" s="891" t="str">
        <f>IF(LEN('Ch5'!X36)=0,"None",'Ch5'!X36:X40)</f>
        <v>None</v>
      </c>
      <c r="Z35" s="892"/>
      <c r="AX35" s="6" t="str">
        <f>'Overview (Verification)'!A33</f>
        <v>Heating Ducts:</v>
      </c>
      <c r="AY35" t="str">
        <f>IF(LEN('Overview (Verification)'!P33)=0,0,'Overview (Verification)'!P33)</f>
        <v>Ducted</v>
      </c>
      <c r="BJ35" s="573" t="s">
        <v>4670</v>
      </c>
    </row>
    <row r="36" spans="1:62" x14ac:dyDescent="0.35">
      <c r="A36" s="403">
        <v>5</v>
      </c>
      <c r="B36" s="604" t="s">
        <v>278</v>
      </c>
      <c r="C36" s="604"/>
      <c r="D36" s="604"/>
      <c r="E36" s="604" t="s">
        <v>289</v>
      </c>
      <c r="F36" s="604"/>
      <c r="G36" s="403" t="str">
        <f>IF(N36&gt;0,"P","")</f>
        <v/>
      </c>
      <c r="H36" s="403" t="s">
        <v>4323</v>
      </c>
      <c r="I36" s="50"/>
      <c r="J36" s="50" t="s">
        <v>289</v>
      </c>
      <c r="K36" s="50"/>
      <c r="L36" s="707" t="s">
        <v>290</v>
      </c>
      <c r="M36" s="920" t="s">
        <v>298</v>
      </c>
      <c r="N36" s="919">
        <f>'Ch5'!O37</f>
        <v>0</v>
      </c>
      <c r="O36" s="917">
        <f>M36*W36</f>
        <v>5</v>
      </c>
      <c r="P36" s="54" t="b">
        <v>1</v>
      </c>
      <c r="Q36" s="54" t="b">
        <v>1</v>
      </c>
      <c r="R36" t="b">
        <v>0</v>
      </c>
      <c r="S36" t="b">
        <v>1</v>
      </c>
      <c r="T36" t="b">
        <v>0</v>
      </c>
      <c r="W36" s="17" t="b">
        <v>1</v>
      </c>
      <c r="X36" s="688"/>
      <c r="Y36" s="891" t="str">
        <f>IF(LEN('Ch5'!X37)=0,"None",'Ch5'!X37)</f>
        <v>None</v>
      </c>
      <c r="Z36" s="892"/>
      <c r="AL36" t="str">
        <f>SUBSTITUTE(SUBSTITUTE(SUBSTITUTE("vpa"&amp;$B36&amp;$C36&amp;$D36&amp;$E36&amp;$F36,".","_"),"(","_"),")","")</f>
        <v>vpa501_2_5</v>
      </c>
      <c r="AM36" t="str">
        <f>M36</f>
        <v>5</v>
      </c>
      <c r="AN36" t="str">
        <f>SUBSTITUTE(SUBSTITUTE(SUBSTITUTE("vpc"&amp;$B36&amp;$C36&amp;$D36&amp;$E36&amp;$F36,".","_"),"(","_"),")","")</f>
        <v>vpc501_2_5</v>
      </c>
      <c r="AO36">
        <f>O36</f>
        <v>5</v>
      </c>
      <c r="AP36" t="str">
        <f>SUBSTITUTE(SUBSTITUTE(SUBSTITUTE("vch"&amp;$B36&amp;$C36&amp;$D36&amp;$E36&amp;$F36,".","_"),"(","_"),")","")</f>
        <v>vch501_2_5</v>
      </c>
      <c r="AQ36" t="b">
        <f>W36</f>
        <v>1</v>
      </c>
      <c r="AR36" t="str">
        <f>SUBSTITUTE(SUBSTITUTE(SUBSTITUTE("vnt"&amp;$B36&amp;$C36&amp;$D36&amp;$E36&amp;$F36,".","_"),"(","_"),")","")</f>
        <v>vnt501_2_5</v>
      </c>
      <c r="AS36">
        <f>X36</f>
        <v>0</v>
      </c>
      <c r="AX36" s="6" t="str">
        <f>'Overview (Verification)'!A34</f>
        <v>Type of Cooling System (main system):</v>
      </c>
      <c r="AY36" t="str">
        <f>IF(LEN('Overview (Verification)'!P34)=0,0,'Overview (Verification)'!P34)</f>
        <v>Electric Air Conditiner</v>
      </c>
      <c r="BJ36" s="573" t="s">
        <v>4670</v>
      </c>
    </row>
    <row r="37" spans="1:62" x14ac:dyDescent="0.35">
      <c r="A37" s="403">
        <v>5</v>
      </c>
      <c r="B37" s="604" t="s">
        <v>278</v>
      </c>
      <c r="C37" s="604"/>
      <c r="D37" s="604"/>
      <c r="E37" s="604" t="s">
        <v>289</v>
      </c>
      <c r="F37" s="604"/>
      <c r="G37" s="403" t="str">
        <f t="shared" ref="G37:G38" si="5">G36</f>
        <v/>
      </c>
      <c r="H37" s="403" t="s">
        <v>4323</v>
      </c>
      <c r="I37" s="50"/>
      <c r="J37" s="50"/>
      <c r="K37" s="50"/>
      <c r="L37" s="707"/>
      <c r="M37" s="920"/>
      <c r="N37" s="917"/>
      <c r="O37" s="917"/>
      <c r="P37" s="24"/>
      <c r="Q37" s="24"/>
      <c r="X37" s="688"/>
      <c r="Y37" s="891" t="str">
        <f>IF(LEN('Ch5'!X38)=0,"None",'Ch5'!X38:X42)</f>
        <v>None</v>
      </c>
      <c r="Z37" s="892"/>
      <c r="AX37" s="6" t="str">
        <f>'Overview (Verification)'!A35</f>
        <v>Type of Cooling System (system 2):</v>
      </c>
      <c r="AY37">
        <f>IF(LEN('Overview (Verification)'!P35)=0,0,'Overview (Verification)'!P35)</f>
        <v>0</v>
      </c>
      <c r="BJ37" s="573" t="s">
        <v>4670</v>
      </c>
    </row>
    <row r="38" spans="1:62" x14ac:dyDescent="0.35">
      <c r="A38" s="403">
        <v>5</v>
      </c>
      <c r="B38" s="604" t="s">
        <v>278</v>
      </c>
      <c r="C38" s="604"/>
      <c r="D38" s="604"/>
      <c r="E38" s="604" t="s">
        <v>289</v>
      </c>
      <c r="F38" s="604"/>
      <c r="G38" s="403" t="str">
        <f t="shared" si="5"/>
        <v/>
      </c>
      <c r="H38" s="403" t="s">
        <v>4323</v>
      </c>
      <c r="I38" s="50"/>
      <c r="J38" s="115"/>
      <c r="K38" s="115"/>
      <c r="L38" s="709"/>
      <c r="M38" s="921"/>
      <c r="N38" s="918"/>
      <c r="O38" s="918"/>
      <c r="P38" s="24"/>
      <c r="Q38" s="24"/>
      <c r="X38" s="688"/>
      <c r="Y38" s="891" t="str">
        <f>IF(LEN('Ch5'!X39)=0,"None",'Ch5'!X39:X43)</f>
        <v>None</v>
      </c>
      <c r="Z38" s="892"/>
      <c r="AX38" s="6" t="str">
        <f>'Overview (Verification)'!A36</f>
        <v>Type of Cooling System (system 3):</v>
      </c>
      <c r="AY38">
        <f>IF(LEN('Overview (Verification)'!P36)=0,0,'Overview (Verification)'!P36)</f>
        <v>0</v>
      </c>
      <c r="BJ38" s="573" t="s">
        <v>4670</v>
      </c>
    </row>
    <row r="39" spans="1:62" x14ac:dyDescent="0.35">
      <c r="A39" s="403">
        <v>5</v>
      </c>
      <c r="B39" s="604" t="s">
        <v>278</v>
      </c>
      <c r="C39" s="604"/>
      <c r="D39" s="604"/>
      <c r="E39" s="604" t="s">
        <v>291</v>
      </c>
      <c r="F39" s="604"/>
      <c r="G39" s="403" t="str">
        <f ca="1">IF(N39&gt;0,"P","")</f>
        <v/>
      </c>
      <c r="H39" s="403" t="s">
        <v>4323</v>
      </c>
      <c r="I39" s="50"/>
      <c r="J39" s="50" t="s">
        <v>291</v>
      </c>
      <c r="K39" s="50"/>
      <c r="L39" s="707" t="s">
        <v>292</v>
      </c>
      <c r="M39" s="916"/>
      <c r="N39" s="919">
        <f ca="1">'Ch5'!O40</f>
        <v>0</v>
      </c>
      <c r="O39" s="932">
        <f ca="1">IFERROR(INDEX({2,4,6},MATCH(W39,INDIRECT(U39),0)),0)*S39</f>
        <v>0</v>
      </c>
      <c r="P39" s="54" t="b">
        <v>1</v>
      </c>
      <c r="Q39" s="54" t="b">
        <v>1</v>
      </c>
      <c r="R39" t="b">
        <v>0</v>
      </c>
      <c r="S39" t="b">
        <f ca="1">IF($AY$18=INDEX(INDIRECT("ddSingleOrMulti"),2),TRUE,FALSE)</f>
        <v>0</v>
      </c>
      <c r="T39" t="b">
        <f ca="1">IF(AND(NOT(S39),LEN(W39)&gt;0),TRUE,FALSE)</f>
        <v>0</v>
      </c>
      <c r="U39" t="str">
        <f>SUBSTITUTE(SUBSTITUTE(SUBSTITUTE("dd"&amp;$B39&amp;$C39&amp;$D39&amp;$E39&amp;$F39,".","_"),"(","_"),")","")</f>
        <v>dd501_2_6</v>
      </c>
      <c r="W39" s="9"/>
      <c r="X39" s="688"/>
      <c r="Y39" s="891" t="str">
        <f>IF(LEN('Ch5'!X40)=0,"None",'Ch5'!X40)</f>
        <v>None</v>
      </c>
      <c r="Z39" s="892"/>
      <c r="AC39" t="b">
        <f ca="1">OR(AD39:AE39)</f>
        <v>0</v>
      </c>
      <c r="AD39" t="b">
        <f ca="1">T39</f>
        <v>0</v>
      </c>
      <c r="AN39" t="str">
        <f>SUBSTITUTE(SUBSTITUTE(SUBSTITUTE("vpc"&amp;$B39&amp;$C39&amp;$D39&amp;$E39&amp;$F39,".","_"),"(","_"),")","")</f>
        <v>vpc501_2_6</v>
      </c>
      <c r="AO39">
        <f ca="1">O39</f>
        <v>0</v>
      </c>
      <c r="AP39" t="str">
        <f>SUBSTITUTE(SUBSTITUTE(SUBSTITUTE("vch"&amp;$B39&amp;$C39&amp;$D39&amp;$E39&amp;$F39,".","_"),"(","_"),")","")</f>
        <v>vch501_2_6</v>
      </c>
      <c r="AQ39">
        <f>W39</f>
        <v>0</v>
      </c>
      <c r="AR39" t="str">
        <f>SUBSTITUTE(SUBSTITUTE(SUBSTITUTE("vnt"&amp;$B39&amp;$C39&amp;$D39&amp;$E39&amp;$F39,".","_"),"(","_"),")","")</f>
        <v>vnt501_2_6</v>
      </c>
      <c r="AS39">
        <f>X39</f>
        <v>0</v>
      </c>
      <c r="AX39" s="6" t="str">
        <f>'Overview (Verification)'!A37</f>
        <v>Cooling Ducts:</v>
      </c>
      <c r="AY39" t="str">
        <f>IF(LEN('Overview (Verification)'!P37)=0,0,'Overview (Verification)'!P37)</f>
        <v>Ducted</v>
      </c>
      <c r="BJ39" s="573" t="s">
        <v>4670</v>
      </c>
    </row>
    <row r="40" spans="1:62" x14ac:dyDescent="0.35">
      <c r="A40" s="403">
        <v>5</v>
      </c>
      <c r="B40" s="604" t="s">
        <v>278</v>
      </c>
      <c r="C40" s="604"/>
      <c r="D40" s="604"/>
      <c r="E40" s="604" t="s">
        <v>291</v>
      </c>
      <c r="F40" s="604"/>
      <c r="G40" s="403" t="str">
        <f t="shared" ref="G40:G43" ca="1" si="6">G39</f>
        <v/>
      </c>
      <c r="H40" s="403" t="s">
        <v>4323</v>
      </c>
      <c r="I40" s="50"/>
      <c r="J40" s="50"/>
      <c r="K40" s="50"/>
      <c r="L40" s="707"/>
      <c r="M40" s="916"/>
      <c r="N40" s="917"/>
      <c r="O40" s="932"/>
      <c r="P40" s="24"/>
      <c r="Q40" s="24"/>
      <c r="X40" s="688"/>
      <c r="Y40" s="891" t="str">
        <f>IF(LEN('Ch5'!X41)=0,"None",'Ch5'!X41:X45)</f>
        <v>None</v>
      </c>
      <c r="Z40" s="892"/>
      <c r="AX40" s="6"/>
      <c r="BJ40" s="573" t="s">
        <v>4670</v>
      </c>
    </row>
    <row r="41" spans="1:62" x14ac:dyDescent="0.35">
      <c r="A41" s="403">
        <v>5</v>
      </c>
      <c r="B41" s="604" t="s">
        <v>278</v>
      </c>
      <c r="C41" s="604"/>
      <c r="D41" s="604"/>
      <c r="E41" s="604" t="s">
        <v>291</v>
      </c>
      <c r="F41" s="604" t="s">
        <v>121</v>
      </c>
      <c r="G41" s="403" t="str">
        <f t="shared" ca="1" si="6"/>
        <v/>
      </c>
      <c r="H41" s="403" t="s">
        <v>4323</v>
      </c>
      <c r="I41" s="50"/>
      <c r="J41" s="50"/>
      <c r="K41" s="50" t="s">
        <v>121</v>
      </c>
      <c r="L41" s="46" t="s">
        <v>293</v>
      </c>
      <c r="M41" s="435" t="s">
        <v>300</v>
      </c>
      <c r="N41" s="24"/>
      <c r="O41" s="44"/>
      <c r="X41" s="688"/>
      <c r="Y41" s="891" t="str">
        <f>IF(LEN('Ch5'!X42)=0,"None",'Ch5'!X42:X46)</f>
        <v>None</v>
      </c>
      <c r="Z41" s="892"/>
      <c r="AL41" t="str">
        <f t="shared" ref="AL41:AL43" si="7">SUBSTITUTE(SUBSTITUTE(SUBSTITUTE("vpa"&amp;$B41&amp;$C41&amp;$D41&amp;$E41&amp;$F41,".","_"),"(","_"),")","")</f>
        <v>vpa501_2_6_a</v>
      </c>
      <c r="AM41" t="str">
        <f>M41</f>
        <v>2</v>
      </c>
      <c r="AX41" s="6" t="str">
        <f>'Overview (Verification)'!A39</f>
        <v>Maximum window and door SHGC:</v>
      </c>
      <c r="AY41">
        <f>IF(LEN('Overview (Verification)'!P39)=0,0,'Overview (Verification)'!P39)</f>
        <v>0.22</v>
      </c>
      <c r="BJ41" s="573" t="s">
        <v>4670</v>
      </c>
    </row>
    <row r="42" spans="1:62" x14ac:dyDescent="0.35">
      <c r="A42" s="403">
        <v>5</v>
      </c>
      <c r="B42" s="604" t="s">
        <v>278</v>
      </c>
      <c r="C42" s="604"/>
      <c r="D42" s="604"/>
      <c r="E42" s="604" t="s">
        <v>291</v>
      </c>
      <c r="F42" s="604" t="s">
        <v>122</v>
      </c>
      <c r="G42" s="403" t="str">
        <f t="shared" ca="1" si="6"/>
        <v/>
      </c>
      <c r="H42" s="403" t="s">
        <v>4323</v>
      </c>
      <c r="I42" s="50"/>
      <c r="J42" s="50"/>
      <c r="K42" s="50" t="s">
        <v>122</v>
      </c>
      <c r="L42" s="46" t="s">
        <v>294</v>
      </c>
      <c r="M42" s="435" t="s">
        <v>299</v>
      </c>
      <c r="N42" s="24"/>
      <c r="O42" s="44"/>
      <c r="X42" s="688"/>
      <c r="Y42" s="891" t="str">
        <f>IF(LEN('Ch5'!X43)=0,"None",'Ch5'!X43:X47)</f>
        <v>None</v>
      </c>
      <c r="Z42" s="892"/>
      <c r="AL42" t="str">
        <f t="shared" si="7"/>
        <v>vpa501_2_6_b</v>
      </c>
      <c r="AM42" t="str">
        <f>M42</f>
        <v>4</v>
      </c>
      <c r="AX42" s="6" t="str">
        <f>'Overview (Verification)'!A40</f>
        <v>Maximum skylight SHGC:</v>
      </c>
      <c r="AY42">
        <f>IF(LEN('Overview (Verification)'!P40)=0,0,'Overview (Verification)'!P40)</f>
        <v>0</v>
      </c>
      <c r="BJ42" s="573" t="s">
        <v>4670</v>
      </c>
    </row>
    <row r="43" spans="1:62" x14ac:dyDescent="0.35">
      <c r="A43" s="403">
        <v>5</v>
      </c>
      <c r="B43" s="604" t="s">
        <v>278</v>
      </c>
      <c r="C43" s="604"/>
      <c r="D43" s="604"/>
      <c r="E43" s="604" t="s">
        <v>291</v>
      </c>
      <c r="F43" s="606" t="s">
        <v>123</v>
      </c>
      <c r="G43" s="403" t="str">
        <f t="shared" ca="1" si="6"/>
        <v/>
      </c>
      <c r="H43" s="403" t="s">
        <v>4323</v>
      </c>
      <c r="I43" s="50"/>
      <c r="J43" s="50"/>
      <c r="K43" s="52" t="s">
        <v>123</v>
      </c>
      <c r="L43" s="46" t="s">
        <v>295</v>
      </c>
      <c r="M43" s="435" t="s">
        <v>296</v>
      </c>
      <c r="N43" s="24"/>
      <c r="O43" s="44"/>
      <c r="X43" s="688"/>
      <c r="Y43" s="891" t="str">
        <f>IF(LEN('Ch5'!X44)=0,"None",'Ch5'!X44:X48)</f>
        <v>None</v>
      </c>
      <c r="Z43" s="892"/>
      <c r="AL43" t="str">
        <f t="shared" si="7"/>
        <v>vpa501_2_6_c</v>
      </c>
      <c r="AM43" t="str">
        <f>M43</f>
        <v>6</v>
      </c>
      <c r="AX43" s="6" t="str">
        <f>'Overview (Verification)'!A41</f>
        <v>Maximum window and door U-value:</v>
      </c>
      <c r="AY43">
        <f>IF(LEN('Overview (Verification)'!P41)=0,0,'Overview (Verification)'!P41)</f>
        <v>0.32</v>
      </c>
      <c r="BJ43" s="573" t="s">
        <v>4670</v>
      </c>
    </row>
    <row r="44" spans="1:62" ht="18.5" x14ac:dyDescent="0.45">
      <c r="A44" s="403">
        <v>5</v>
      </c>
      <c r="B44" s="604" t="s">
        <v>532</v>
      </c>
      <c r="C44" s="604"/>
      <c r="D44" s="604"/>
      <c r="E44" s="604"/>
      <c r="F44" s="604"/>
      <c r="G44" s="403" t="s">
        <v>4326</v>
      </c>
      <c r="H44" s="403" t="s">
        <v>4323</v>
      </c>
      <c r="I44" s="38" t="s">
        <v>387</v>
      </c>
      <c r="J44" s="38"/>
      <c r="K44" s="38"/>
      <c r="L44" s="38"/>
      <c r="M44" s="37"/>
      <c r="N44" s="37"/>
      <c r="O44" s="37"/>
      <c r="P44" s="15"/>
      <c r="Q44" s="15"/>
      <c r="R44" s="15"/>
      <c r="S44" s="15"/>
      <c r="T44" s="15"/>
      <c r="U44" s="15"/>
      <c r="V44" s="15"/>
      <c r="W44" s="15"/>
      <c r="X44" s="15"/>
      <c r="Y44" s="15"/>
      <c r="Z44" s="562"/>
      <c r="AX44" s="6" t="str">
        <f>'Overview (Verification)'!A42</f>
        <v>Maximum skylight U-value:</v>
      </c>
      <c r="AY44">
        <f>IF(LEN('Overview (Verification)'!P42)=0,0,'Overview (Verification)'!P42)</f>
        <v>0</v>
      </c>
      <c r="BJ44" s="573" t="s">
        <v>4670</v>
      </c>
    </row>
    <row r="45" spans="1:62" x14ac:dyDescent="0.35">
      <c r="A45" s="403">
        <v>5</v>
      </c>
      <c r="B45" s="604" t="s">
        <v>388</v>
      </c>
      <c r="C45" s="604"/>
      <c r="D45" s="604"/>
      <c r="E45" s="604"/>
      <c r="F45" s="604"/>
      <c r="G45" s="403" t="str">
        <f>IF(N45&gt;0,"P","")</f>
        <v>P</v>
      </c>
      <c r="H45" s="403" t="s">
        <v>4323</v>
      </c>
      <c r="I45" s="33">
        <v>502.1</v>
      </c>
      <c r="J45" s="53"/>
      <c r="K45" s="53"/>
      <c r="L45" s="706" t="s">
        <v>389</v>
      </c>
      <c r="M45" s="922">
        <v>4</v>
      </c>
      <c r="N45" s="917">
        <f>'Ch5'!O46</f>
        <v>4</v>
      </c>
      <c r="O45" s="834">
        <f>M45*W45</f>
        <v>4</v>
      </c>
      <c r="P45" t="b">
        <v>1</v>
      </c>
      <c r="Q45" t="b">
        <v>1</v>
      </c>
      <c r="R45" t="b">
        <v>0</v>
      </c>
      <c r="S45" t="b">
        <v>1</v>
      </c>
      <c r="T45" t="b">
        <v>0</v>
      </c>
      <c r="W45" s="17" t="b">
        <v>1</v>
      </c>
      <c r="X45" s="688"/>
      <c r="Y45" s="891" t="str">
        <f>IF(LEN('Ch5'!X46)=0,"None",'Ch5'!X46)</f>
        <v>None</v>
      </c>
      <c r="Z45" s="892"/>
      <c r="AL45" t="str">
        <f>SUBSTITUTE(SUBSTITUTE(SUBSTITUTE("vpa"&amp;$B45&amp;$C45&amp;$D45&amp;$E45&amp;$F45,".","_"),"(","_"),")","")</f>
        <v>vpa502_1</v>
      </c>
      <c r="AM45">
        <f>M45</f>
        <v>4</v>
      </c>
      <c r="AN45" t="str">
        <f>SUBSTITUTE(SUBSTITUTE(SUBSTITUTE("vpc"&amp;$B45&amp;$C45&amp;$D45&amp;$E45&amp;$F45,".","_"),"(","_"),")","")</f>
        <v>vpc502_1</v>
      </c>
      <c r="AO45">
        <f>O45</f>
        <v>4</v>
      </c>
      <c r="AP45" t="str">
        <f>SUBSTITUTE(SUBSTITUTE(SUBSTITUTE("vch"&amp;$B45&amp;$C45&amp;$D45&amp;$E45&amp;$F45,".","_"),"(","_"),")","")</f>
        <v>vch502_1</v>
      </c>
      <c r="AQ45" t="b">
        <f>W45</f>
        <v>1</v>
      </c>
      <c r="AR45" t="str">
        <f>SUBSTITUTE(SUBSTITUTE(SUBSTITUTE("vnt"&amp;$B45&amp;$C45&amp;$D45&amp;$E45&amp;$F45,".","_"),"(","_"),")","")</f>
        <v>vnt502_1</v>
      </c>
      <c r="AS45">
        <f>X45</f>
        <v>0</v>
      </c>
      <c r="AX45" s="6" t="str">
        <f>'Overview (Verification)'!A43</f>
        <v>Renewable Energy:</v>
      </c>
      <c r="AY45">
        <f>IF(LEN('Overview (Verification)'!P43)=0,0,'Overview (Verification)'!P43)</f>
        <v>0</v>
      </c>
      <c r="BJ45" s="573" t="s">
        <v>4670</v>
      </c>
    </row>
    <row r="46" spans="1:62" x14ac:dyDescent="0.35">
      <c r="A46" s="403">
        <v>5</v>
      </c>
      <c r="B46" s="604" t="s">
        <v>388</v>
      </c>
      <c r="C46" s="604"/>
      <c r="D46" s="604"/>
      <c r="E46" s="604"/>
      <c r="F46" s="604"/>
      <c r="G46" s="403" t="str">
        <f t="shared" ref="G46:G48" si="8">G45</f>
        <v>P</v>
      </c>
      <c r="H46" s="403" t="s">
        <v>4323</v>
      </c>
      <c r="I46" s="53"/>
      <c r="J46" s="53"/>
      <c r="K46" s="53"/>
      <c r="L46" s="706"/>
      <c r="M46" s="922"/>
      <c r="N46" s="917"/>
      <c r="O46" s="834"/>
      <c r="X46" s="688"/>
      <c r="Y46" s="891"/>
      <c r="Z46" s="892"/>
      <c r="AX46" s="6" t="str">
        <f>'Overview (Verification)'!A44</f>
        <v>Thermal Envelope Insulation:</v>
      </c>
      <c r="AY46">
        <f>IF(LEN('Overview (Verification)'!P44)=0,0,'Overview (Verification)'!P44)</f>
        <v>0</v>
      </c>
      <c r="BJ46" s="573" t="s">
        <v>4670</v>
      </c>
    </row>
    <row r="47" spans="1:62" x14ac:dyDescent="0.35">
      <c r="A47" s="403">
        <v>5</v>
      </c>
      <c r="B47" s="604" t="s">
        <v>388</v>
      </c>
      <c r="C47" s="604"/>
      <c r="D47" s="604"/>
      <c r="E47" s="604"/>
      <c r="F47" s="604"/>
      <c r="G47" s="403" t="str">
        <f t="shared" si="8"/>
        <v>P</v>
      </c>
      <c r="H47" s="403" t="s">
        <v>4323</v>
      </c>
      <c r="I47" s="53"/>
      <c r="J47" s="53"/>
      <c r="K47" s="53"/>
      <c r="L47" s="706"/>
      <c r="M47" s="922"/>
      <c r="N47" s="917"/>
      <c r="O47" s="834"/>
      <c r="X47" s="688"/>
      <c r="Y47" s="891"/>
      <c r="Z47" s="892"/>
      <c r="AX47" s="6" t="str">
        <f>'Overview (Verification)'!A45</f>
        <v>Attic Type:</v>
      </c>
      <c r="AY47" t="str">
        <f>IF(LEN('Overview (Verification)'!P45)=0,0,'Overview (Verification)'!P45)</f>
        <v>Vented</v>
      </c>
      <c r="BJ47" s="573" t="s">
        <v>4670</v>
      </c>
    </row>
    <row r="48" spans="1:62" x14ac:dyDescent="0.35">
      <c r="A48" s="403">
        <v>5</v>
      </c>
      <c r="B48" s="604" t="s">
        <v>388</v>
      </c>
      <c r="C48" s="604"/>
      <c r="D48" s="604"/>
      <c r="E48" s="604"/>
      <c r="F48" s="604"/>
      <c r="G48" s="403" t="str">
        <f t="shared" si="8"/>
        <v>P</v>
      </c>
      <c r="H48" s="403" t="s">
        <v>4323</v>
      </c>
      <c r="I48" s="53"/>
      <c r="J48" s="53"/>
      <c r="K48" s="53"/>
      <c r="L48" s="706"/>
      <c r="M48" s="922"/>
      <c r="N48" s="917"/>
      <c r="O48" s="834"/>
      <c r="X48" s="688"/>
      <c r="Y48" s="891"/>
      <c r="Z48" s="892"/>
      <c r="AX48" s="6" t="str">
        <f>'Overview (Verification)'!A46</f>
        <v>Attached Garage:</v>
      </c>
      <c r="AY48" t="str">
        <f>IF(LEN('Overview (Verification)'!P46)=0,0,'Overview (Verification)'!P46)</f>
        <v>Yes</v>
      </c>
      <c r="BJ48" s="573" t="s">
        <v>4670</v>
      </c>
    </row>
    <row r="49" spans="1:62" ht="18.5" x14ac:dyDescent="0.45">
      <c r="A49" s="403">
        <v>5</v>
      </c>
      <c r="B49" s="604" t="s">
        <v>390</v>
      </c>
      <c r="C49" s="604"/>
      <c r="D49" s="604"/>
      <c r="E49" s="604"/>
      <c r="F49" s="604"/>
      <c r="G49" s="403" t="s">
        <v>4326</v>
      </c>
      <c r="H49" s="403" t="s">
        <v>4323</v>
      </c>
      <c r="I49" s="38" t="s">
        <v>391</v>
      </c>
      <c r="J49" s="51"/>
      <c r="K49" s="51"/>
      <c r="L49" s="47"/>
      <c r="M49" s="37"/>
      <c r="N49" s="37"/>
      <c r="O49" s="37"/>
      <c r="P49" s="15"/>
      <c r="Q49" s="15"/>
      <c r="R49" s="15"/>
      <c r="S49" s="15"/>
      <c r="T49" s="15"/>
      <c r="U49" s="15"/>
      <c r="V49" s="15"/>
      <c r="W49" s="15"/>
      <c r="X49" s="15"/>
      <c r="Y49" s="15"/>
      <c r="Z49" s="562"/>
      <c r="AX49" s="6" t="str">
        <f>'Overview (Verification)'!A47</f>
        <v>Recessed Lighting:</v>
      </c>
      <c r="AY49">
        <f>IF(LEN('Overview (Verification)'!P47)=0,0,'Overview (Verification)'!P47)</f>
        <v>0</v>
      </c>
      <c r="BJ49" s="573" t="s">
        <v>4670</v>
      </c>
    </row>
    <row r="50" spans="1:62" x14ac:dyDescent="0.35">
      <c r="A50" s="403">
        <v>5</v>
      </c>
      <c r="B50" s="604" t="s">
        <v>392</v>
      </c>
      <c r="C50" s="604"/>
      <c r="D50" s="604"/>
      <c r="E50" s="604"/>
      <c r="F50" s="604"/>
      <c r="G50" s="605"/>
      <c r="H50" s="605"/>
      <c r="I50" s="441" t="s">
        <v>392</v>
      </c>
      <c r="J50" s="53"/>
      <c r="K50" s="53"/>
      <c r="L50" s="706" t="s">
        <v>393</v>
      </c>
      <c r="M50" s="84"/>
      <c r="N50" s="44"/>
      <c r="O50" s="44"/>
      <c r="X50" s="688"/>
      <c r="Y50" s="891" t="str">
        <f>IF(LEN('Ch5'!X51)=0,"None",'Ch5'!X51)</f>
        <v>None</v>
      </c>
      <c r="Z50" s="892"/>
      <c r="AR50" t="str">
        <f>SUBSTITUTE(SUBSTITUTE(SUBSTITUTE("vnt"&amp;$B50&amp;$C50&amp;$D50&amp;$E50&amp;$F50,".","_"),"(","_"),")","")</f>
        <v>vnt503_0</v>
      </c>
      <c r="AS50">
        <f>X50</f>
        <v>0</v>
      </c>
      <c r="AX50" s="6"/>
      <c r="BJ50" s="573" t="s">
        <v>4670</v>
      </c>
    </row>
    <row r="51" spans="1:62" x14ac:dyDescent="0.35">
      <c r="A51" s="403">
        <v>5</v>
      </c>
      <c r="B51" s="604" t="s">
        <v>392</v>
      </c>
      <c r="C51" s="604"/>
      <c r="D51" s="604"/>
      <c r="E51" s="604"/>
      <c r="F51" s="604"/>
      <c r="G51" s="605"/>
      <c r="H51" s="605"/>
      <c r="I51" s="53"/>
      <c r="J51" s="53"/>
      <c r="K51" s="53"/>
      <c r="L51" s="706"/>
      <c r="M51" s="84"/>
      <c r="N51" s="44"/>
      <c r="O51" s="44"/>
      <c r="X51" s="688"/>
      <c r="Y51" s="891"/>
      <c r="Z51" s="892"/>
      <c r="AX51" s="6" t="str">
        <f>'Overview (Verification)'!A49</f>
        <v>Special Design Features:</v>
      </c>
      <c r="BJ51" s="573" t="s">
        <v>4670</v>
      </c>
    </row>
    <row r="52" spans="1:62" x14ac:dyDescent="0.35">
      <c r="A52" s="403">
        <v>5</v>
      </c>
      <c r="B52" s="604" t="s">
        <v>392</v>
      </c>
      <c r="C52" s="604"/>
      <c r="D52" s="604"/>
      <c r="E52" s="604"/>
      <c r="F52" s="604"/>
      <c r="G52" s="605"/>
      <c r="H52" s="605"/>
      <c r="I52" s="53"/>
      <c r="J52" s="53"/>
      <c r="K52" s="53"/>
      <c r="L52" s="706"/>
      <c r="M52" s="84"/>
      <c r="N52" s="44"/>
      <c r="O52" s="44"/>
      <c r="X52" s="688"/>
      <c r="Y52" s="891"/>
      <c r="Z52" s="892"/>
      <c r="AX52" s="6" t="str">
        <f>'Overview (Verification)'!A50</f>
        <v>Passive Solar:</v>
      </c>
      <c r="AY52">
        <f>IF(LEN('Overview (Verification)'!P50)=0,0,'Overview (Verification)'!P50)</f>
        <v>0</v>
      </c>
      <c r="BJ52" s="573" t="s">
        <v>4670</v>
      </c>
    </row>
    <row r="53" spans="1:62" x14ac:dyDescent="0.35">
      <c r="A53" s="403">
        <v>5</v>
      </c>
      <c r="B53" s="604" t="s">
        <v>392</v>
      </c>
      <c r="C53" s="604"/>
      <c r="D53" s="604"/>
      <c r="E53" s="604"/>
      <c r="F53" s="604"/>
      <c r="G53" s="605"/>
      <c r="H53" s="605"/>
      <c r="I53" s="53"/>
      <c r="J53" s="53"/>
      <c r="K53" s="53"/>
      <c r="L53" s="706"/>
      <c r="M53" s="84"/>
      <c r="N53" s="44"/>
      <c r="O53" s="44"/>
      <c r="X53" s="688"/>
      <c r="Y53" s="891"/>
      <c r="Z53" s="892"/>
      <c r="AX53" s="6" t="str">
        <f>'Overview (Verification)'!A51</f>
        <v>Mass Walls:</v>
      </c>
      <c r="AY53">
        <f>IF(LEN('Overview (Verification)'!P51)=0,0,'Overview (Verification)'!P51)</f>
        <v>0</v>
      </c>
      <c r="BJ53" s="573" t="s">
        <v>4670</v>
      </c>
    </row>
    <row r="54" spans="1:62" ht="15" thickBot="1" x14ac:dyDescent="0.4">
      <c r="A54" s="403">
        <v>5</v>
      </c>
      <c r="B54" s="604" t="s">
        <v>392</v>
      </c>
      <c r="C54" s="604"/>
      <c r="D54" s="604"/>
      <c r="E54" s="604"/>
      <c r="F54" s="604"/>
      <c r="G54" s="605"/>
      <c r="H54" s="605"/>
      <c r="I54" s="60"/>
      <c r="J54" s="60"/>
      <c r="K54" s="60"/>
      <c r="L54" s="61" t="s">
        <v>394</v>
      </c>
      <c r="M54" s="194"/>
      <c r="N54" s="80"/>
      <c r="O54" s="80"/>
      <c r="P54" s="58"/>
      <c r="Q54" s="58"/>
      <c r="R54" s="58"/>
      <c r="S54" s="58"/>
      <c r="T54" s="58"/>
      <c r="U54" s="58"/>
      <c r="V54" s="58"/>
      <c r="W54" s="58"/>
      <c r="X54" s="689"/>
      <c r="Y54" s="905"/>
      <c r="Z54" s="895"/>
      <c r="AX54" s="6" t="str">
        <f>'Overview (Verification)'!A52</f>
        <v>Ductless:</v>
      </c>
      <c r="AY54">
        <f>IF(LEN('Overview (Verification)'!P52)=0,0,'Overview (Verification)'!P52)</f>
        <v>0</v>
      </c>
      <c r="BJ54" s="573" t="s">
        <v>4670</v>
      </c>
    </row>
    <row r="55" spans="1:62" ht="15" thickTop="1" x14ac:dyDescent="0.35">
      <c r="A55" s="403">
        <v>5</v>
      </c>
      <c r="B55" s="604" t="s">
        <v>395</v>
      </c>
      <c r="C55" s="604"/>
      <c r="D55" s="604"/>
      <c r="E55" s="604"/>
      <c r="F55" s="604"/>
      <c r="G55" s="600" t="str">
        <f>IF(COUNTIF(G56:G65,"P")&gt;0,"P","")</f>
        <v>P</v>
      </c>
      <c r="H55" s="605" t="s">
        <v>4324</v>
      </c>
      <c r="I55" s="935" t="s">
        <v>396</v>
      </c>
      <c r="J55" s="935"/>
      <c r="K55" s="935"/>
      <c r="L55" s="935"/>
      <c r="M55" s="196"/>
      <c r="N55" s="195"/>
      <c r="O55" s="195"/>
      <c r="P55" s="62"/>
      <c r="Q55" s="62"/>
      <c r="R55" s="62"/>
      <c r="S55" s="62"/>
      <c r="T55" s="62"/>
      <c r="U55" s="62"/>
      <c r="V55" s="62"/>
      <c r="W55" s="62"/>
      <c r="X55" s="687"/>
      <c r="Y55" s="904" t="str">
        <f>IF(LEN('Ch5'!X56)=0,"None",'Ch5'!X56)</f>
        <v>None</v>
      </c>
      <c r="Z55" s="896"/>
      <c r="AR55" t="str">
        <f>SUBSTITUTE(SUBSTITUTE(SUBSTITUTE("vnt"&amp;$B55&amp;$C55&amp;$D55&amp;$E55&amp;$F55,".","_"),"(","_"),")","")</f>
        <v>vnt503_1</v>
      </c>
      <c r="AS55">
        <f>X55</f>
        <v>0</v>
      </c>
      <c r="AX55" s="6" t="str">
        <f>'Overview (Verification)'!A53</f>
        <v>Radiant/Hydronic:</v>
      </c>
      <c r="AY55">
        <f>IF(LEN('Overview (Verification)'!P53)=0,0,'Overview (Verification)'!P53)</f>
        <v>0</v>
      </c>
      <c r="BJ55" s="573" t="s">
        <v>4670</v>
      </c>
    </row>
    <row r="56" spans="1:62" x14ac:dyDescent="0.35">
      <c r="A56" s="403">
        <v>5</v>
      </c>
      <c r="B56" s="604" t="s">
        <v>395</v>
      </c>
      <c r="C56" s="604"/>
      <c r="D56" s="604"/>
      <c r="E56" s="604" t="s">
        <v>270</v>
      </c>
      <c r="F56" s="604"/>
      <c r="G56" s="403" t="str">
        <f>IF(N56&gt;0,"P","")</f>
        <v/>
      </c>
      <c r="H56" s="605" t="s">
        <v>4324</v>
      </c>
      <c r="I56" s="53"/>
      <c r="J56" s="115" t="s">
        <v>270</v>
      </c>
      <c r="K56" s="118"/>
      <c r="L56" s="116" t="s">
        <v>397</v>
      </c>
      <c r="M56" s="192">
        <v>5</v>
      </c>
      <c r="N56" s="191">
        <f>'Ch5'!O57</f>
        <v>0</v>
      </c>
      <c r="O56" s="191">
        <f>M56*W56</f>
        <v>5</v>
      </c>
      <c r="P56" t="b">
        <v>1</v>
      </c>
      <c r="Q56" t="b">
        <v>0</v>
      </c>
      <c r="R56" t="b">
        <v>0</v>
      </c>
      <c r="S56" t="b">
        <v>1</v>
      </c>
      <c r="T56" t="b">
        <v>0</v>
      </c>
      <c r="W56" s="17" t="b">
        <v>1</v>
      </c>
      <c r="X56" s="688"/>
      <c r="Y56" s="891"/>
      <c r="Z56" s="892"/>
      <c r="AL56" t="str">
        <f t="shared" ref="AL56:AL57" si="9">SUBSTITUTE(SUBSTITUTE(SUBSTITUTE("vpa"&amp;$B56&amp;$C56&amp;$D56&amp;$E56&amp;$F56,".","_"),"(","_"),")","")</f>
        <v>vpa503_1_1</v>
      </c>
      <c r="AM56">
        <f>M56</f>
        <v>5</v>
      </c>
      <c r="AN56" t="str">
        <f t="shared" ref="AN56:AN57" si="10">SUBSTITUTE(SUBSTITUTE(SUBSTITUTE("vpc"&amp;$B56&amp;$C56&amp;$D56&amp;$E56&amp;$F56,".","_"),"(","_"),")","")</f>
        <v>vpc503_1_1</v>
      </c>
      <c r="AO56">
        <f>O56</f>
        <v>5</v>
      </c>
      <c r="AP56" t="str">
        <f t="shared" ref="AP56:AP57" si="11">SUBSTITUTE(SUBSTITUTE(SUBSTITUTE("vch"&amp;$B56&amp;$C56&amp;$D56&amp;$E56&amp;$F56,".","_"),"(","_"),")","")</f>
        <v>vch503_1_1</v>
      </c>
      <c r="AQ56" t="b">
        <f>W56</f>
        <v>1</v>
      </c>
      <c r="AX56" s="6" t="str">
        <f>'Overview (Verification)'!A54</f>
        <v>Tankless Water Heater:</v>
      </c>
      <c r="AY56">
        <f>IF(LEN('Overview (Verification)'!P54)=0,0,'Overview (Verification)'!P54)</f>
        <v>0</v>
      </c>
      <c r="BJ56" s="573" t="s">
        <v>4670</v>
      </c>
    </row>
    <row r="57" spans="1:62" x14ac:dyDescent="0.35">
      <c r="A57" s="403">
        <v>5</v>
      </c>
      <c r="B57" s="604" t="s">
        <v>395</v>
      </c>
      <c r="C57" s="604"/>
      <c r="D57" s="604"/>
      <c r="E57" s="604" t="s">
        <v>272</v>
      </c>
      <c r="F57" s="604"/>
      <c r="G57" s="403" t="str">
        <f>IF(N57&gt;0,"P","")</f>
        <v/>
      </c>
      <c r="H57" s="605" t="s">
        <v>4324</v>
      </c>
      <c r="I57" s="53"/>
      <c r="J57" s="50" t="s">
        <v>272</v>
      </c>
      <c r="K57" s="53"/>
      <c r="L57" s="707" t="s">
        <v>398</v>
      </c>
      <c r="M57" s="922">
        <v>6</v>
      </c>
      <c r="N57" s="868">
        <f>'Ch5'!O58</f>
        <v>0</v>
      </c>
      <c r="O57" s="834">
        <f>M57*S57*W57</f>
        <v>6</v>
      </c>
      <c r="P57" t="b">
        <v>1</v>
      </c>
      <c r="Q57" t="b">
        <v>0</v>
      </c>
      <c r="R57" t="b">
        <v>0</v>
      </c>
      <c r="S57" t="b">
        <f>IF(W56=TRUE,TRUE,FALSE)</f>
        <v>1</v>
      </c>
      <c r="T57" t="b">
        <f>IF(AND(NOT(S57),W57=TRUE),TRUE,FALSE)</f>
        <v>0</v>
      </c>
      <c r="W57" s="17" t="b">
        <v>1</v>
      </c>
      <c r="X57" s="688"/>
      <c r="Y57" s="891"/>
      <c r="Z57" s="892"/>
      <c r="AC57" t="b">
        <f>OR(AD57:AE57)</f>
        <v>0</v>
      </c>
      <c r="AD57" t="b">
        <f>T57</f>
        <v>0</v>
      </c>
      <c r="AL57" t="str">
        <f t="shared" si="9"/>
        <v>vpa503_1_2</v>
      </c>
      <c r="AM57">
        <f>M57</f>
        <v>6</v>
      </c>
      <c r="AN57" t="str">
        <f t="shared" si="10"/>
        <v>vpc503_1_2</v>
      </c>
      <c r="AO57">
        <f>O57</f>
        <v>6</v>
      </c>
      <c r="AP57" t="str">
        <f t="shared" si="11"/>
        <v>vch503_1_2</v>
      </c>
      <c r="AQ57" t="b">
        <f>W57</f>
        <v>1</v>
      </c>
      <c r="AX57" s="6" t="str">
        <f>'Overview (Verification)'!A55</f>
        <v>Composting Toilet:</v>
      </c>
      <c r="AY57">
        <f>IF(LEN('Overview (Verification)'!P55)=0,0,'Overview (Verification)'!P55)</f>
        <v>0</v>
      </c>
      <c r="BJ57" s="573" t="s">
        <v>4670</v>
      </c>
    </row>
    <row r="58" spans="1:62" x14ac:dyDescent="0.35">
      <c r="A58" s="403">
        <v>5</v>
      </c>
      <c r="B58" s="604" t="s">
        <v>395</v>
      </c>
      <c r="C58" s="604"/>
      <c r="D58" s="604"/>
      <c r="E58" s="604" t="s">
        <v>272</v>
      </c>
      <c r="F58" s="604"/>
      <c r="G58" s="403" t="str">
        <f>G57</f>
        <v/>
      </c>
      <c r="H58" s="605" t="s">
        <v>4324</v>
      </c>
      <c r="I58" s="53"/>
      <c r="J58" s="115"/>
      <c r="K58" s="118"/>
      <c r="L58" s="709"/>
      <c r="M58" s="936"/>
      <c r="N58" s="886"/>
      <c r="O58" s="886"/>
      <c r="X58" s="688"/>
      <c r="Y58" s="891"/>
      <c r="Z58" s="892"/>
      <c r="AX58" s="6"/>
      <c r="BJ58" s="573" t="s">
        <v>4670</v>
      </c>
    </row>
    <row r="59" spans="1:62" x14ac:dyDescent="0.35">
      <c r="A59" s="403">
        <v>5</v>
      </c>
      <c r="B59" s="604" t="s">
        <v>395</v>
      </c>
      <c r="C59" s="604"/>
      <c r="D59" s="604"/>
      <c r="E59" s="604" t="s">
        <v>274</v>
      </c>
      <c r="F59" s="604"/>
      <c r="G59" s="403" t="str">
        <f>IF(N59&gt;0,"P","")</f>
        <v/>
      </c>
      <c r="H59" s="605" t="s">
        <v>4324</v>
      </c>
      <c r="I59" s="53"/>
      <c r="J59" s="50" t="s">
        <v>274</v>
      </c>
      <c r="K59" s="53"/>
      <c r="L59" s="707" t="s">
        <v>399</v>
      </c>
      <c r="M59" s="922">
        <v>4</v>
      </c>
      <c r="N59" s="868">
        <f>'Ch5'!O60</f>
        <v>0</v>
      </c>
      <c r="O59" s="834">
        <f>M59*S59*W59</f>
        <v>0</v>
      </c>
      <c r="P59" t="b">
        <v>1</v>
      </c>
      <c r="Q59" t="b">
        <v>0</v>
      </c>
      <c r="R59" t="b">
        <v>0</v>
      </c>
      <c r="S59" t="b">
        <f>IF(AND(W56=TRUE,W57=TRUE),TRUE,FALSE)</f>
        <v>1</v>
      </c>
      <c r="T59" t="b">
        <f>IF(AND(NOT(S59),W59=TRUE),TRUE,FALSE)</f>
        <v>0</v>
      </c>
      <c r="W59" s="17"/>
      <c r="X59" s="688"/>
      <c r="Y59" s="891"/>
      <c r="Z59" s="892"/>
      <c r="AC59" t="b">
        <f>OR(AD59:AE59)</f>
        <v>0</v>
      </c>
      <c r="AD59" t="b">
        <f>T59</f>
        <v>0</v>
      </c>
      <c r="AL59" t="str">
        <f>SUBSTITUTE(SUBSTITUTE(SUBSTITUTE("vpa"&amp;$B59&amp;$C59&amp;$D59&amp;$E59&amp;$F59,".","_"),"(","_"),")","")</f>
        <v>vpa503_1_3</v>
      </c>
      <c r="AM59">
        <f>M59</f>
        <v>4</v>
      </c>
      <c r="AN59" t="str">
        <f>SUBSTITUTE(SUBSTITUTE(SUBSTITUTE("vpc"&amp;$B59&amp;$C59&amp;$D59&amp;$E59&amp;$F59,".","_"),"(","_"),")","")</f>
        <v>vpc503_1_3</v>
      </c>
      <c r="AO59">
        <f>O59</f>
        <v>0</v>
      </c>
      <c r="AP59" t="str">
        <f>SUBSTITUTE(SUBSTITUTE(SUBSTITUTE("vch"&amp;$B59&amp;$C59&amp;$D59&amp;$E59&amp;$F59,".","_"),"(","_"),")","")</f>
        <v>vch503_1_3</v>
      </c>
      <c r="AQ59">
        <f>W59</f>
        <v>0</v>
      </c>
      <c r="AX59" s="6" t="str">
        <f>'Overview (Verification)'!A57</f>
        <v>Local Energy Code:</v>
      </c>
      <c r="AY59">
        <f>IF(LEN('Overview (Verification)'!P57)=0,0,'Overview (Verification)'!P57)</f>
        <v>0</v>
      </c>
      <c r="BJ59" s="573" t="s">
        <v>4670</v>
      </c>
    </row>
    <row r="60" spans="1:62" x14ac:dyDescent="0.35">
      <c r="A60" s="403">
        <v>5</v>
      </c>
      <c r="B60" s="604" t="s">
        <v>395</v>
      </c>
      <c r="C60" s="604"/>
      <c r="D60" s="604"/>
      <c r="E60" s="604" t="s">
        <v>274</v>
      </c>
      <c r="F60" s="604"/>
      <c r="G60" s="403" t="str">
        <f>G59</f>
        <v/>
      </c>
      <c r="H60" s="605" t="s">
        <v>4324</v>
      </c>
      <c r="I60" s="53"/>
      <c r="J60" s="115"/>
      <c r="K60" s="118"/>
      <c r="L60" s="709"/>
      <c r="M60" s="936"/>
      <c r="N60" s="886"/>
      <c r="O60" s="886"/>
      <c r="X60" s="688"/>
      <c r="Y60" s="891"/>
      <c r="Z60" s="892"/>
      <c r="AX60" s="6" t="str">
        <f>'Overview (Verification)'!A58</f>
        <v>Local Building Code:</v>
      </c>
      <c r="AY60">
        <f>IF(LEN('Overview (Verification)'!P58)=0,0,'Overview (Verification)'!P58)</f>
        <v>0</v>
      </c>
      <c r="BJ60" s="573" t="s">
        <v>4670</v>
      </c>
    </row>
    <row r="61" spans="1:62" x14ac:dyDescent="0.35">
      <c r="A61" s="403">
        <v>5</v>
      </c>
      <c r="B61" s="604" t="s">
        <v>395</v>
      </c>
      <c r="C61" s="604"/>
      <c r="D61" s="604"/>
      <c r="E61" s="604" t="s">
        <v>283</v>
      </c>
      <c r="F61" s="604"/>
      <c r="G61" s="403" t="str">
        <f>IF(N61&gt;0,"P","")</f>
        <v>P</v>
      </c>
      <c r="H61" s="605" t="s">
        <v>4324</v>
      </c>
      <c r="I61" s="53"/>
      <c r="J61" s="115" t="s">
        <v>283</v>
      </c>
      <c r="K61" s="118"/>
      <c r="L61" s="116" t="s">
        <v>400</v>
      </c>
      <c r="M61" s="192">
        <v>4</v>
      </c>
      <c r="N61" s="191">
        <f>'Ch5'!O62</f>
        <v>4</v>
      </c>
      <c r="O61" s="191">
        <f>M61*W61</f>
        <v>4</v>
      </c>
      <c r="P61" t="b">
        <v>1</v>
      </c>
      <c r="Q61" t="b">
        <v>0</v>
      </c>
      <c r="R61" t="b">
        <v>0</v>
      </c>
      <c r="S61" t="b">
        <v>1</v>
      </c>
      <c r="T61" t="b">
        <v>0</v>
      </c>
      <c r="W61" s="17" t="b">
        <v>1</v>
      </c>
      <c r="X61" s="688"/>
      <c r="Y61" s="891"/>
      <c r="Z61" s="892"/>
      <c r="AL61" t="str">
        <f t="shared" ref="AL61:AL63" si="12">SUBSTITUTE(SUBSTITUTE(SUBSTITUTE("vpa"&amp;$B61&amp;$C61&amp;$D61&amp;$E61&amp;$F61,".","_"),"(","_"),")","")</f>
        <v>vpa503_1_4</v>
      </c>
      <c r="AM61">
        <f>M61</f>
        <v>4</v>
      </c>
      <c r="AN61" t="str">
        <f t="shared" ref="AN61:AN63" si="13">SUBSTITUTE(SUBSTITUTE(SUBSTITUTE("vpc"&amp;$B61&amp;$C61&amp;$D61&amp;$E61&amp;$F61,".","_"),"(","_"),")","")</f>
        <v>vpc503_1_4</v>
      </c>
      <c r="AO61">
        <f>O61</f>
        <v>4</v>
      </c>
      <c r="AP61" t="str">
        <f t="shared" ref="AP61:AP63" si="14">SUBSTITUTE(SUBSTITUTE(SUBSTITUTE("vch"&amp;$B61&amp;$C61&amp;$D61&amp;$E61&amp;$F61,".","_"),"(","_"),")","")</f>
        <v>vch503_1_4</v>
      </c>
      <c r="AQ61" t="b">
        <f>W61</f>
        <v>1</v>
      </c>
      <c r="BJ61" s="573" t="s">
        <v>4670</v>
      </c>
    </row>
    <row r="62" spans="1:62" x14ac:dyDescent="0.35">
      <c r="A62" s="403">
        <v>5</v>
      </c>
      <c r="B62" s="604" t="s">
        <v>395</v>
      </c>
      <c r="C62" s="604"/>
      <c r="D62" s="604"/>
      <c r="E62" s="604" t="s">
        <v>289</v>
      </c>
      <c r="F62" s="604"/>
      <c r="G62" s="403" t="str">
        <f>IF(N62&gt;0,"P","")</f>
        <v/>
      </c>
      <c r="H62" s="605" t="s">
        <v>4324</v>
      </c>
      <c r="I62" s="53"/>
      <c r="J62" s="115" t="s">
        <v>289</v>
      </c>
      <c r="K62" s="118"/>
      <c r="L62" s="116" t="s">
        <v>401</v>
      </c>
      <c r="M62" s="192">
        <v>3</v>
      </c>
      <c r="N62" s="191">
        <f>'Ch5'!O63</f>
        <v>0</v>
      </c>
      <c r="O62" s="191">
        <f>M62*W62</f>
        <v>0</v>
      </c>
      <c r="P62" t="b">
        <v>1</v>
      </c>
      <c r="Q62" t="b">
        <v>0</v>
      </c>
      <c r="R62" t="b">
        <v>0</v>
      </c>
      <c r="S62" t="b">
        <v>1</v>
      </c>
      <c r="T62" t="b">
        <v>0</v>
      </c>
      <c r="W62" s="17"/>
      <c r="X62" s="688"/>
      <c r="Y62" s="891"/>
      <c r="Z62" s="892"/>
      <c r="AL62" t="str">
        <f t="shared" si="12"/>
        <v>vpa503_1_5</v>
      </c>
      <c r="AM62">
        <f>M62</f>
        <v>3</v>
      </c>
      <c r="AN62" t="str">
        <f t="shared" si="13"/>
        <v>vpc503_1_5</v>
      </c>
      <c r="AO62">
        <f>O62</f>
        <v>0</v>
      </c>
      <c r="AP62" t="str">
        <f t="shared" si="14"/>
        <v>vch503_1_5</v>
      </c>
      <c r="AQ62">
        <f>W62</f>
        <v>0</v>
      </c>
      <c r="AX62" s="6"/>
      <c r="BJ62" s="573" t="s">
        <v>4670</v>
      </c>
    </row>
    <row r="63" spans="1:62" x14ac:dyDescent="0.35">
      <c r="A63" s="403">
        <v>5</v>
      </c>
      <c r="B63" s="604" t="s">
        <v>395</v>
      </c>
      <c r="C63" s="604"/>
      <c r="D63" s="604"/>
      <c r="E63" s="604" t="s">
        <v>291</v>
      </c>
      <c r="F63" s="604"/>
      <c r="G63" s="403" t="str">
        <f>IF(N63&gt;0,"P","")</f>
        <v/>
      </c>
      <c r="H63" s="605" t="s">
        <v>4324</v>
      </c>
      <c r="I63" s="53"/>
      <c r="J63" s="50" t="s">
        <v>291</v>
      </c>
      <c r="K63" s="53"/>
      <c r="L63" s="707" t="s">
        <v>402</v>
      </c>
      <c r="M63" s="922">
        <v>4</v>
      </c>
      <c r="N63" s="868">
        <f>'Ch5'!O64</f>
        <v>0</v>
      </c>
      <c r="O63" s="834">
        <f>M63*W63</f>
        <v>0</v>
      </c>
      <c r="P63" t="b">
        <v>1</v>
      </c>
      <c r="Q63" t="b">
        <v>0</v>
      </c>
      <c r="R63" t="b">
        <v>0</v>
      </c>
      <c r="S63" t="b">
        <v>1</v>
      </c>
      <c r="T63" t="b">
        <v>0</v>
      </c>
      <c r="W63" s="17"/>
      <c r="X63" s="688"/>
      <c r="Y63" s="891"/>
      <c r="Z63" s="892"/>
      <c r="AL63" t="str">
        <f t="shared" si="12"/>
        <v>vpa503_1_6</v>
      </c>
      <c r="AM63">
        <f>M63</f>
        <v>4</v>
      </c>
      <c r="AN63" t="str">
        <f t="shared" si="13"/>
        <v>vpc503_1_6</v>
      </c>
      <c r="AO63">
        <f>O63</f>
        <v>0</v>
      </c>
      <c r="AP63" t="str">
        <f t="shared" si="14"/>
        <v>vch503_1_6</v>
      </c>
      <c r="AQ63">
        <f>W63</f>
        <v>0</v>
      </c>
      <c r="BJ63" s="573" t="s">
        <v>4670</v>
      </c>
    </row>
    <row r="64" spans="1:62" x14ac:dyDescent="0.35">
      <c r="A64" s="403">
        <v>5</v>
      </c>
      <c r="B64" s="604" t="s">
        <v>395</v>
      </c>
      <c r="C64" s="604"/>
      <c r="D64" s="604"/>
      <c r="E64" s="604" t="s">
        <v>291</v>
      </c>
      <c r="F64" s="604"/>
      <c r="G64" s="403" t="str">
        <f>G63</f>
        <v/>
      </c>
      <c r="H64" s="605" t="s">
        <v>4324</v>
      </c>
      <c r="I64" s="53"/>
      <c r="J64" s="115"/>
      <c r="K64" s="118"/>
      <c r="L64" s="709"/>
      <c r="M64" s="936"/>
      <c r="N64" s="886"/>
      <c r="O64" s="886"/>
      <c r="X64" s="688"/>
      <c r="Y64" s="891"/>
      <c r="Z64" s="892"/>
      <c r="BJ64" s="573" t="s">
        <v>4670</v>
      </c>
    </row>
    <row r="65" spans="1:62" x14ac:dyDescent="0.35">
      <c r="A65" s="403">
        <v>5</v>
      </c>
      <c r="B65" s="604" t="s">
        <v>395</v>
      </c>
      <c r="C65" s="604"/>
      <c r="D65" s="604"/>
      <c r="E65" s="604" t="s">
        <v>403</v>
      </c>
      <c r="F65" s="604"/>
      <c r="G65" s="403" t="str">
        <f>IF(N65&gt;0,"P","")</f>
        <v/>
      </c>
      <c r="H65" s="605" t="s">
        <v>4324</v>
      </c>
      <c r="I65" s="53"/>
      <c r="J65" s="50" t="s">
        <v>403</v>
      </c>
      <c r="K65" s="53"/>
      <c r="L65" s="707" t="s">
        <v>404</v>
      </c>
      <c r="M65" s="922">
        <v>5</v>
      </c>
      <c r="N65" s="868">
        <f>'Ch5'!O66</f>
        <v>0</v>
      </c>
      <c r="O65" s="834">
        <f>M65*W65</f>
        <v>0</v>
      </c>
      <c r="P65" t="b">
        <v>1</v>
      </c>
      <c r="Q65" t="b">
        <v>0</v>
      </c>
      <c r="R65" t="b">
        <v>0</v>
      </c>
      <c r="S65" t="b">
        <v>1</v>
      </c>
      <c r="T65" t="b">
        <v>0</v>
      </c>
      <c r="W65" s="17"/>
      <c r="X65" s="688"/>
      <c r="Y65" s="891"/>
      <c r="Z65" s="892"/>
      <c r="AL65" t="str">
        <f>SUBSTITUTE(SUBSTITUTE(SUBSTITUTE("vpa"&amp;$B65&amp;$C65&amp;$D65&amp;$E65&amp;$F65,".","_"),"(","_"),")","")</f>
        <v>vpa503_1_7</v>
      </c>
      <c r="AM65">
        <f>M65</f>
        <v>5</v>
      </c>
      <c r="AN65" t="str">
        <f>SUBSTITUTE(SUBSTITUTE(SUBSTITUTE("vpc"&amp;$B65&amp;$C65&amp;$D65&amp;$E65&amp;$F65,".","_"),"(","_"),")","")</f>
        <v>vpc503_1_7</v>
      </c>
      <c r="AO65">
        <f>O65</f>
        <v>0</v>
      </c>
      <c r="AP65" t="str">
        <f>SUBSTITUTE(SUBSTITUTE(SUBSTITUTE("vch"&amp;$B65&amp;$C65&amp;$D65&amp;$E65&amp;$F65,".","_"),"(","_"),")","")</f>
        <v>vch503_1_7</v>
      </c>
      <c r="AQ65">
        <f>W65</f>
        <v>0</v>
      </c>
      <c r="BJ65" s="573" t="s">
        <v>4670</v>
      </c>
    </row>
    <row r="66" spans="1:62" ht="15" thickBot="1" x14ac:dyDescent="0.4">
      <c r="A66" s="403">
        <v>5</v>
      </c>
      <c r="B66" s="604" t="s">
        <v>395</v>
      </c>
      <c r="C66" s="604"/>
      <c r="D66" s="604"/>
      <c r="E66" s="604" t="s">
        <v>403</v>
      </c>
      <c r="F66" s="604"/>
      <c r="G66" s="403" t="str">
        <f>G65</f>
        <v/>
      </c>
      <c r="H66" s="605" t="s">
        <v>4324</v>
      </c>
      <c r="I66" s="60"/>
      <c r="J66" s="60"/>
      <c r="K66" s="60"/>
      <c r="L66" s="708"/>
      <c r="M66" s="937"/>
      <c r="N66" s="938"/>
      <c r="O66" s="938"/>
      <c r="P66" s="58"/>
      <c r="Q66" s="58"/>
      <c r="R66" s="58"/>
      <c r="S66" s="58"/>
      <c r="T66" s="58"/>
      <c r="U66" s="58"/>
      <c r="V66" s="58"/>
      <c r="W66" s="58"/>
      <c r="X66" s="689"/>
      <c r="Y66" s="905"/>
      <c r="Z66" s="895"/>
      <c r="BJ66" s="573" t="s">
        <v>4670</v>
      </c>
    </row>
    <row r="67" spans="1:62" ht="15" thickTop="1" x14ac:dyDescent="0.35">
      <c r="A67" s="403">
        <v>5</v>
      </c>
      <c r="B67" s="604" t="s">
        <v>405</v>
      </c>
      <c r="C67" s="604"/>
      <c r="D67" s="604"/>
      <c r="E67" s="604"/>
      <c r="F67" s="604"/>
      <c r="G67" s="600" t="str">
        <f ca="1">IF(COUNTIF(G69:G79,"P")&gt;0,"P","")</f>
        <v>P</v>
      </c>
      <c r="H67" s="605" t="s">
        <v>4323</v>
      </c>
      <c r="I67" s="63">
        <v>503.2</v>
      </c>
      <c r="J67" s="64"/>
      <c r="K67" s="64"/>
      <c r="L67" s="81" t="s">
        <v>406</v>
      </c>
      <c r="M67" s="196"/>
      <c r="N67" s="195"/>
      <c r="O67" s="195"/>
      <c r="P67" s="62"/>
      <c r="Q67" s="62"/>
      <c r="R67" s="62"/>
      <c r="S67" s="62"/>
      <c r="T67" s="62"/>
      <c r="U67" s="62"/>
      <c r="V67" s="62"/>
      <c r="W67" s="62" t="s">
        <v>807</v>
      </c>
      <c r="X67" s="687"/>
      <c r="Y67" s="904" t="str">
        <f>IF(LEN('Ch5'!X68)=0,"None",'Ch5'!X68)</f>
        <v>Koppers MicroPro® Wood Preservation Technology</v>
      </c>
      <c r="Z67" s="900"/>
      <c r="AA67">
        <f>'Photo Review'!H67</f>
        <v>0</v>
      </c>
      <c r="AR67" t="str">
        <f>SUBSTITUTE(SUBSTITUTE(SUBSTITUTE("vnt"&amp;$B67&amp;$C67&amp;$D67&amp;$E67&amp;$F67,".","_"),"(","_"),")","")</f>
        <v>vnt503_2</v>
      </c>
      <c r="AS67">
        <f>X67</f>
        <v>0</v>
      </c>
      <c r="BJ67" s="573" t="s">
        <v>4670</v>
      </c>
    </row>
    <row r="68" spans="1:62" x14ac:dyDescent="0.35">
      <c r="A68" s="403">
        <v>5</v>
      </c>
      <c r="B68" s="604" t="s">
        <v>405</v>
      </c>
      <c r="C68" s="604"/>
      <c r="D68" s="604"/>
      <c r="E68" s="604"/>
      <c r="F68" s="604"/>
      <c r="G68" s="403" t="str">
        <f t="shared" ref="G68" ca="1" si="15">G67</f>
        <v>P</v>
      </c>
      <c r="H68" s="605" t="s">
        <v>4323</v>
      </c>
      <c r="I68" s="33"/>
      <c r="J68" s="53"/>
      <c r="K68" s="53"/>
      <c r="L68" s="105" t="s">
        <v>3595</v>
      </c>
      <c r="M68" s="84"/>
      <c r="N68" s="44"/>
      <c r="O68" s="44"/>
      <c r="P68" t="b">
        <v>1</v>
      </c>
      <c r="Q68" t="b">
        <v>1</v>
      </c>
      <c r="R68" t="b">
        <v>1</v>
      </c>
      <c r="S68" t="b">
        <v>1</v>
      </c>
      <c r="T68" t="b">
        <v>0</v>
      </c>
      <c r="W68" s="65">
        <v>0</v>
      </c>
      <c r="X68" s="688"/>
      <c r="Y68" s="891"/>
      <c r="Z68" s="899"/>
      <c r="AP68" t="str">
        <f t="shared" ref="AP68:AP70" si="16">SUBSTITUTE(SUBSTITUTE(SUBSTITUTE("vch"&amp;$B68&amp;$C68&amp;$D68&amp;$E68&amp;$F68,".","_"),"(","_"),")","")</f>
        <v>vch503_2</v>
      </c>
      <c r="AQ68" s="258">
        <f>W68</f>
        <v>0</v>
      </c>
      <c r="BJ68" s="573" t="s">
        <v>4670</v>
      </c>
    </row>
    <row r="69" spans="1:62" x14ac:dyDescent="0.35">
      <c r="A69" s="403">
        <v>5</v>
      </c>
      <c r="B69" s="604" t="s">
        <v>405</v>
      </c>
      <c r="C69" s="604"/>
      <c r="D69" s="604"/>
      <c r="E69" s="604" t="s">
        <v>270</v>
      </c>
      <c r="F69" s="604"/>
      <c r="G69" s="403" t="str">
        <f>IF(N69&gt;0,"P","")</f>
        <v/>
      </c>
      <c r="H69" s="605" t="s">
        <v>4323</v>
      </c>
      <c r="I69" s="53"/>
      <c r="J69" s="115" t="s">
        <v>270</v>
      </c>
      <c r="K69" s="118"/>
      <c r="L69" s="116" t="s">
        <v>407</v>
      </c>
      <c r="M69" s="192">
        <v>5</v>
      </c>
      <c r="N69" s="191">
        <f>'Ch5'!O70</f>
        <v>0</v>
      </c>
      <c r="O69" s="191">
        <f>M69*W69*S69</f>
        <v>0</v>
      </c>
      <c r="P69" t="b">
        <v>1</v>
      </c>
      <c r="Q69" t="b">
        <v>1</v>
      </c>
      <c r="R69" t="b">
        <v>0</v>
      </c>
      <c r="S69" t="b">
        <f>IF(W68&gt;=0.25,TRUE,FALSE)</f>
        <v>0</v>
      </c>
      <c r="T69" t="b">
        <f>IF(AND(NOT(S69),W69=TRUE),TRUE,FALSE)</f>
        <v>0</v>
      </c>
      <c r="W69" s="17"/>
      <c r="X69" s="688"/>
      <c r="Y69" s="891"/>
      <c r="Z69" s="899"/>
      <c r="AC69" t="b">
        <f>OR(AD69:AE69)</f>
        <v>0</v>
      </c>
      <c r="AD69" t="b">
        <f>T69</f>
        <v>0</v>
      </c>
      <c r="AL69" t="str">
        <f t="shared" ref="AL69:AL70" si="17">SUBSTITUTE(SUBSTITUTE(SUBSTITUTE("vpa"&amp;$B69&amp;$C69&amp;$D69&amp;$E69&amp;$F69,".","_"),"(","_"),")","")</f>
        <v>vpa503_2_1</v>
      </c>
      <c r="AM69">
        <f>M69</f>
        <v>5</v>
      </c>
      <c r="AN69" t="str">
        <f t="shared" ref="AN69:AN70" si="18">SUBSTITUTE(SUBSTITUTE(SUBSTITUTE("vpc"&amp;$B69&amp;$C69&amp;$D69&amp;$E69&amp;$F69,".","_"),"(","_"),")","")</f>
        <v>vpc503_2_1</v>
      </c>
      <c r="AO69">
        <f>O69</f>
        <v>0</v>
      </c>
      <c r="AP69" t="str">
        <f t="shared" si="16"/>
        <v>vch503_2_1</v>
      </c>
      <c r="AQ69">
        <f>W69</f>
        <v>0</v>
      </c>
      <c r="BJ69" s="573" t="s">
        <v>4670</v>
      </c>
    </row>
    <row r="70" spans="1:62" x14ac:dyDescent="0.35">
      <c r="A70" s="403">
        <v>5</v>
      </c>
      <c r="B70" s="604" t="s">
        <v>405</v>
      </c>
      <c r="C70" s="604"/>
      <c r="D70" s="604"/>
      <c r="E70" s="604" t="s">
        <v>272</v>
      </c>
      <c r="F70" s="604"/>
      <c r="G70" s="403" t="str">
        <f>IF(N70&gt;0,"P","")</f>
        <v/>
      </c>
      <c r="H70" s="605" t="s">
        <v>4323</v>
      </c>
      <c r="I70" s="53"/>
      <c r="J70" s="50" t="s">
        <v>272</v>
      </c>
      <c r="K70" s="53"/>
      <c r="L70" s="707" t="s">
        <v>408</v>
      </c>
      <c r="M70" s="922">
        <v>5</v>
      </c>
      <c r="N70" s="868">
        <f>'Ch5'!O71</f>
        <v>0</v>
      </c>
      <c r="O70" s="834">
        <f>M70*W70*S70</f>
        <v>0</v>
      </c>
      <c r="P70" t="b">
        <v>1</v>
      </c>
      <c r="Q70" t="b">
        <v>1</v>
      </c>
      <c r="R70" t="b">
        <v>0</v>
      </c>
      <c r="S70" t="b">
        <f>S69</f>
        <v>0</v>
      </c>
      <c r="T70" t="b">
        <f>IF(AND(NOT(S70),W70=TRUE),TRUE,FALSE)</f>
        <v>0</v>
      </c>
      <c r="W70" s="17"/>
      <c r="X70" s="688"/>
      <c r="Y70" s="891"/>
      <c r="Z70" s="899"/>
      <c r="AC70" t="b">
        <f>OR(AD70:AE70)</f>
        <v>0</v>
      </c>
      <c r="AD70" t="b">
        <f>T70</f>
        <v>0</v>
      </c>
      <c r="AL70" t="str">
        <f t="shared" si="17"/>
        <v>vpa503_2_2</v>
      </c>
      <c r="AM70">
        <f>M70</f>
        <v>5</v>
      </c>
      <c r="AN70" t="str">
        <f t="shared" si="18"/>
        <v>vpc503_2_2</v>
      </c>
      <c r="AO70">
        <f>O70</f>
        <v>0</v>
      </c>
      <c r="AP70" t="str">
        <f t="shared" si="16"/>
        <v>vch503_2_2</v>
      </c>
      <c r="AQ70">
        <f>W70</f>
        <v>0</v>
      </c>
      <c r="BJ70" s="573" t="s">
        <v>4670</v>
      </c>
    </row>
    <row r="71" spans="1:62" x14ac:dyDescent="0.35">
      <c r="A71" s="403">
        <v>5</v>
      </c>
      <c r="B71" s="604" t="s">
        <v>405</v>
      </c>
      <c r="C71" s="604"/>
      <c r="D71" s="604"/>
      <c r="E71" s="604" t="s">
        <v>272</v>
      </c>
      <c r="F71" s="604"/>
      <c r="G71" s="403" t="str">
        <f>G70</f>
        <v/>
      </c>
      <c r="H71" s="605" t="s">
        <v>4323</v>
      </c>
      <c r="I71" s="53"/>
      <c r="J71" s="118"/>
      <c r="K71" s="118"/>
      <c r="L71" s="709"/>
      <c r="M71" s="936"/>
      <c r="N71" s="886"/>
      <c r="O71" s="886"/>
      <c r="X71" s="688"/>
      <c r="Y71" s="891"/>
      <c r="Z71" s="899"/>
      <c r="BJ71" s="573" t="s">
        <v>4670</v>
      </c>
    </row>
    <row r="72" spans="1:62" x14ac:dyDescent="0.35">
      <c r="A72" s="403">
        <v>5</v>
      </c>
      <c r="B72" s="604" t="s">
        <v>405</v>
      </c>
      <c r="C72" s="604"/>
      <c r="D72" s="604"/>
      <c r="E72" s="604" t="s">
        <v>274</v>
      </c>
      <c r="F72" s="604"/>
      <c r="G72" s="403" t="str">
        <f ca="1">IF(N72&gt;0,"P","")</f>
        <v/>
      </c>
      <c r="H72" s="605" t="s">
        <v>4323</v>
      </c>
      <c r="I72" s="53"/>
      <c r="J72" s="50" t="s">
        <v>274</v>
      </c>
      <c r="K72" s="53"/>
      <c r="L72" s="707" t="s">
        <v>409</v>
      </c>
      <c r="M72" s="84"/>
      <c r="N72" s="868">
        <f ca="1">'Ch5'!O73</f>
        <v>0</v>
      </c>
      <c r="O72" s="834">
        <f ca="1">S72*IFERROR(INDEX({1,4,6},MATCH(W72,INDIRECT(U72))),0)</f>
        <v>0</v>
      </c>
      <c r="P72" t="b">
        <v>1</v>
      </c>
      <c r="Q72" t="b">
        <v>1</v>
      </c>
      <c r="R72" t="b">
        <v>0</v>
      </c>
      <c r="S72" t="b">
        <f>S69</f>
        <v>0</v>
      </c>
      <c r="T72" t="b">
        <f>IF(AND(NOT(S72),LEN(W72)&gt;0),TRUE,FALSE)</f>
        <v>0</v>
      </c>
      <c r="U72" t="str">
        <f>SUBSTITUTE(SUBSTITUTE(SUBSTITUTE("dd"&amp;B72&amp;C72&amp;D72&amp;E72&amp;F72,".","_"),"(","_"),")","")</f>
        <v>dd503_2_3</v>
      </c>
      <c r="W72" s="9"/>
      <c r="X72" s="688"/>
      <c r="Y72" s="891"/>
      <c r="Z72" s="899"/>
      <c r="AC72" t="b">
        <f>OR(AD72:AE72)</f>
        <v>0</v>
      </c>
      <c r="AD72" t="b">
        <f>T72</f>
        <v>0</v>
      </c>
      <c r="AN72" t="str">
        <f>SUBSTITUTE(SUBSTITUTE(SUBSTITUTE("vpc"&amp;$B72&amp;$C72&amp;$D72&amp;$E72&amp;$F72,".","_"),"(","_"),")","")</f>
        <v>vpc503_2_3</v>
      </c>
      <c r="AO72">
        <f ca="1">O72</f>
        <v>0</v>
      </c>
      <c r="AP72" t="str">
        <f>SUBSTITUTE(SUBSTITUTE(SUBSTITUTE("vch"&amp;$B72&amp;$C72&amp;$D72&amp;$E72&amp;$F72,".","_"),"(","_"),")","")</f>
        <v>vch503_2_3</v>
      </c>
      <c r="AQ72">
        <f>W72</f>
        <v>0</v>
      </c>
      <c r="BJ72" s="573" t="s">
        <v>4670</v>
      </c>
    </row>
    <row r="73" spans="1:62" x14ac:dyDescent="0.35">
      <c r="A73" s="403">
        <v>5</v>
      </c>
      <c r="B73" s="604" t="s">
        <v>405</v>
      </c>
      <c r="C73" s="604"/>
      <c r="D73" s="604"/>
      <c r="E73" s="604" t="s">
        <v>274</v>
      </c>
      <c r="F73" s="604"/>
      <c r="G73" s="403" t="str">
        <f t="shared" ref="G73:G76" ca="1" si="19">G72</f>
        <v/>
      </c>
      <c r="H73" s="605" t="s">
        <v>4323</v>
      </c>
      <c r="I73" s="53"/>
      <c r="J73" s="53"/>
      <c r="K73" s="53"/>
      <c r="L73" s="707"/>
      <c r="M73" s="84"/>
      <c r="N73" s="834"/>
      <c r="O73" s="834"/>
      <c r="X73" s="688"/>
      <c r="Y73" s="891"/>
      <c r="Z73" s="899"/>
      <c r="BJ73" s="573" t="s">
        <v>4670</v>
      </c>
    </row>
    <row r="74" spans="1:62" x14ac:dyDescent="0.35">
      <c r="A74" s="403">
        <v>5</v>
      </c>
      <c r="B74" s="604" t="s">
        <v>405</v>
      </c>
      <c r="C74" s="604"/>
      <c r="D74" s="604"/>
      <c r="E74" s="604" t="s">
        <v>274</v>
      </c>
      <c r="F74" s="604" t="s">
        <v>121</v>
      </c>
      <c r="G74" s="403" t="str">
        <f t="shared" ca="1" si="19"/>
        <v/>
      </c>
      <c r="H74" s="605" t="s">
        <v>4323</v>
      </c>
      <c r="I74" s="53"/>
      <c r="J74" s="53"/>
      <c r="K74" s="50" t="s">
        <v>121</v>
      </c>
      <c r="L74" s="46" t="s">
        <v>836</v>
      </c>
      <c r="M74" s="84">
        <v>1</v>
      </c>
      <c r="N74" s="44"/>
      <c r="O74" s="44"/>
      <c r="X74" s="688"/>
      <c r="Y74" s="891"/>
      <c r="Z74" s="899"/>
      <c r="AL74" t="str">
        <f t="shared" ref="AL74:AL77" si="20">SUBSTITUTE(SUBSTITUTE(SUBSTITUTE("vpa"&amp;$B74&amp;$C74&amp;$D74&amp;$E74&amp;$F74,".","_"),"(","_"),")","")</f>
        <v>vpa503_2_3_a</v>
      </c>
      <c r="AM74">
        <f>M74</f>
        <v>1</v>
      </c>
      <c r="BJ74" s="573" t="s">
        <v>4670</v>
      </c>
    </row>
    <row r="75" spans="1:62" x14ac:dyDescent="0.35">
      <c r="A75" s="403">
        <v>5</v>
      </c>
      <c r="B75" s="604" t="s">
        <v>405</v>
      </c>
      <c r="C75" s="604"/>
      <c r="D75" s="604"/>
      <c r="E75" s="604" t="s">
        <v>274</v>
      </c>
      <c r="F75" s="604" t="s">
        <v>122</v>
      </c>
      <c r="G75" s="403" t="str">
        <f t="shared" ca="1" si="19"/>
        <v/>
      </c>
      <c r="H75" s="605" t="s">
        <v>4323</v>
      </c>
      <c r="I75" s="53"/>
      <c r="J75" s="53"/>
      <c r="K75" s="50" t="s">
        <v>122</v>
      </c>
      <c r="L75" s="46" t="s">
        <v>410</v>
      </c>
      <c r="M75" s="84">
        <v>4</v>
      </c>
      <c r="N75" s="44"/>
      <c r="O75" s="44"/>
      <c r="X75" s="688"/>
      <c r="Y75" s="891"/>
      <c r="Z75" s="899"/>
      <c r="AL75" t="str">
        <f t="shared" si="20"/>
        <v>vpa503_2_3_b</v>
      </c>
      <c r="AM75">
        <f>M75</f>
        <v>4</v>
      </c>
      <c r="BJ75" s="573" t="s">
        <v>4670</v>
      </c>
    </row>
    <row r="76" spans="1:62" x14ac:dyDescent="0.35">
      <c r="A76" s="403">
        <v>5</v>
      </c>
      <c r="B76" s="604" t="s">
        <v>405</v>
      </c>
      <c r="C76" s="604"/>
      <c r="D76" s="604"/>
      <c r="E76" s="604" t="s">
        <v>274</v>
      </c>
      <c r="F76" s="606" t="s">
        <v>123</v>
      </c>
      <c r="G76" s="403" t="str">
        <f t="shared" ca="1" si="19"/>
        <v/>
      </c>
      <c r="H76" s="607" t="s">
        <v>4323</v>
      </c>
      <c r="I76" s="53"/>
      <c r="J76" s="118"/>
      <c r="K76" s="120" t="s">
        <v>123</v>
      </c>
      <c r="L76" s="116" t="s">
        <v>411</v>
      </c>
      <c r="M76" s="192">
        <v>6</v>
      </c>
      <c r="N76" s="44"/>
      <c r="O76" s="191"/>
      <c r="X76" s="688"/>
      <c r="Y76" s="891"/>
      <c r="Z76" s="899"/>
      <c r="AL76" t="str">
        <f t="shared" si="20"/>
        <v>vpa503_2_3_c</v>
      </c>
      <c r="AM76">
        <f>M76</f>
        <v>6</v>
      </c>
      <c r="BJ76" s="573" t="s">
        <v>4670</v>
      </c>
    </row>
    <row r="77" spans="1:62" x14ac:dyDescent="0.35">
      <c r="A77" s="403">
        <v>5</v>
      </c>
      <c r="B77" s="604" t="s">
        <v>405</v>
      </c>
      <c r="C77" s="604"/>
      <c r="D77" s="604"/>
      <c r="E77" s="604" t="s">
        <v>283</v>
      </c>
      <c r="F77" s="604"/>
      <c r="G77" s="403" t="str">
        <f>IF(N77&gt;0,"P","")</f>
        <v>P</v>
      </c>
      <c r="H77" s="605" t="s">
        <v>4323</v>
      </c>
      <c r="I77" s="53"/>
      <c r="J77" s="50" t="s">
        <v>283</v>
      </c>
      <c r="K77" s="53"/>
      <c r="L77" s="707" t="s">
        <v>412</v>
      </c>
      <c r="M77" s="922">
        <v>6</v>
      </c>
      <c r="N77" s="868">
        <f>'Ch5'!O78</f>
        <v>6</v>
      </c>
      <c r="O77" s="834">
        <f>M77*W77*S77</f>
        <v>0</v>
      </c>
      <c r="P77" t="b">
        <v>1</v>
      </c>
      <c r="Q77" t="b">
        <v>1</v>
      </c>
      <c r="R77" t="b">
        <v>0</v>
      </c>
      <c r="S77" t="b">
        <f>S69</f>
        <v>0</v>
      </c>
      <c r="T77" t="b">
        <f>IF(AND(NOT(S77),W77=TRUE),TRUE,FALSE)</f>
        <v>0</v>
      </c>
      <c r="W77" s="17"/>
      <c r="X77" s="688"/>
      <c r="Y77" s="891"/>
      <c r="Z77" s="899"/>
      <c r="AC77" t="b">
        <f>OR(AD77:AE77)</f>
        <v>0</v>
      </c>
      <c r="AD77" t="b">
        <f>T77</f>
        <v>0</v>
      </c>
      <c r="AL77" t="str">
        <f t="shared" si="20"/>
        <v>vpa503_2_4</v>
      </c>
      <c r="AM77">
        <f>M77</f>
        <v>6</v>
      </c>
      <c r="AN77" t="str">
        <f>SUBSTITUTE(SUBSTITUTE(SUBSTITUTE("vpc"&amp;$B77&amp;$C77&amp;$D77&amp;$E77&amp;$F77,".","_"),"(","_"),")","")</f>
        <v>vpc503_2_4</v>
      </c>
      <c r="AO77">
        <f>O77</f>
        <v>0</v>
      </c>
      <c r="AP77" t="str">
        <f>SUBSTITUTE(SUBSTITUTE(SUBSTITUTE("vch"&amp;$B77&amp;$C77&amp;$D77&amp;$E77&amp;$F77,".","_"),"(","_"),")","")</f>
        <v>vch503_2_4</v>
      </c>
      <c r="AQ77">
        <f>W77</f>
        <v>0</v>
      </c>
      <c r="BJ77" s="573" t="s">
        <v>4670</v>
      </c>
    </row>
    <row r="78" spans="1:62" x14ac:dyDescent="0.35">
      <c r="A78" s="403">
        <v>5</v>
      </c>
      <c r="B78" s="604" t="s">
        <v>405</v>
      </c>
      <c r="C78" s="604"/>
      <c r="D78" s="604"/>
      <c r="E78" s="604" t="s">
        <v>283</v>
      </c>
      <c r="F78" s="604"/>
      <c r="G78" s="403" t="str">
        <f>G77</f>
        <v>P</v>
      </c>
      <c r="H78" s="605" t="s">
        <v>4323</v>
      </c>
      <c r="I78" s="53"/>
      <c r="J78" s="118"/>
      <c r="K78" s="118"/>
      <c r="L78" s="709"/>
      <c r="M78" s="936"/>
      <c r="N78" s="886"/>
      <c r="O78" s="886"/>
      <c r="X78" s="688"/>
      <c r="Y78" s="891"/>
      <c r="Z78" s="899"/>
      <c r="BJ78" s="573" t="s">
        <v>4670</v>
      </c>
    </row>
    <row r="79" spans="1:62" ht="15" thickBot="1" x14ac:dyDescent="0.4">
      <c r="A79" s="403">
        <v>5</v>
      </c>
      <c r="B79" s="604" t="s">
        <v>405</v>
      </c>
      <c r="C79" s="604"/>
      <c r="D79" s="604"/>
      <c r="E79" s="604" t="s">
        <v>289</v>
      </c>
      <c r="F79" s="604"/>
      <c r="G79" s="403" t="str">
        <f>IF(N79&gt;0,"P","")</f>
        <v/>
      </c>
      <c r="H79" s="605" t="s">
        <v>4323</v>
      </c>
      <c r="I79" s="60"/>
      <c r="J79" s="55" t="s">
        <v>289</v>
      </c>
      <c r="K79" s="60"/>
      <c r="L79" s="56" t="s">
        <v>413</v>
      </c>
      <c r="M79" s="194">
        <v>5</v>
      </c>
      <c r="N79" s="80">
        <f>'Ch5'!O80</f>
        <v>0</v>
      </c>
      <c r="O79" s="80">
        <f>M79*W79*S79</f>
        <v>0</v>
      </c>
      <c r="P79" t="b">
        <v>1</v>
      </c>
      <c r="Q79" t="b">
        <v>1</v>
      </c>
      <c r="R79" s="58" t="b">
        <v>0</v>
      </c>
      <c r="S79" s="58" t="b">
        <f>S69</f>
        <v>0</v>
      </c>
      <c r="T79" s="58" t="b">
        <f>IF(AND(NOT(S79),W79=TRUE),TRUE,FALSE)</f>
        <v>0</v>
      </c>
      <c r="U79" s="58"/>
      <c r="V79" s="58"/>
      <c r="W79" s="17"/>
      <c r="X79" s="689"/>
      <c r="Y79" s="905"/>
      <c r="Z79" s="901"/>
      <c r="AC79" t="b">
        <f>OR(AD79:AE79)</f>
        <v>0</v>
      </c>
      <c r="AD79" t="b">
        <f>T79</f>
        <v>0</v>
      </c>
      <c r="AL79" t="str">
        <f>SUBSTITUTE(SUBSTITUTE(SUBSTITUTE("vpa"&amp;$B79&amp;$C79&amp;$D79&amp;$E79&amp;$F79,".","_"),"(","_"),")","")</f>
        <v>vpa503_2_5</v>
      </c>
      <c r="AM79">
        <f>M79</f>
        <v>5</v>
      </c>
      <c r="AN79" t="str">
        <f>SUBSTITUTE(SUBSTITUTE(SUBSTITUTE("vpc"&amp;$B79&amp;$C79&amp;$D79&amp;$E79&amp;$F79,".","_"),"(","_"),")","")</f>
        <v>vpc503_2_5</v>
      </c>
      <c r="AO79">
        <f>O79</f>
        <v>0</v>
      </c>
      <c r="AP79" t="str">
        <f>SUBSTITUTE(SUBSTITUTE(SUBSTITUTE("vch"&amp;$B79&amp;$C79&amp;$D79&amp;$E79&amp;$F79,".","_"),"(","_"),")","")</f>
        <v>vch503_2_5</v>
      </c>
      <c r="AQ79">
        <f>W79</f>
        <v>0</v>
      </c>
      <c r="BJ79" s="573" t="s">
        <v>4670</v>
      </c>
    </row>
    <row r="80" spans="1:62" ht="15" thickTop="1" x14ac:dyDescent="0.35">
      <c r="A80" s="403">
        <v>5</v>
      </c>
      <c r="B80" s="604" t="s">
        <v>414</v>
      </c>
      <c r="C80" s="604"/>
      <c r="D80" s="604"/>
      <c r="E80" s="604"/>
      <c r="F80" s="604"/>
      <c r="G80" s="600" t="str">
        <f>IF(COUNTIF(G83:G92,"P")&gt;0,"P","")</f>
        <v/>
      </c>
      <c r="H80" s="605" t="s">
        <v>4324</v>
      </c>
      <c r="I80" s="63">
        <v>503.3</v>
      </c>
      <c r="J80" s="64"/>
      <c r="K80" s="64"/>
      <c r="L80" s="711" t="s">
        <v>415</v>
      </c>
      <c r="M80" s="196"/>
      <c r="N80" s="195"/>
      <c r="O80" s="195"/>
      <c r="P80" s="62"/>
      <c r="Q80" s="62"/>
      <c r="R80" s="62"/>
      <c r="S80" s="62"/>
      <c r="T80" s="62"/>
      <c r="U80" s="62"/>
      <c r="V80" s="62"/>
      <c r="W80" s="62"/>
      <c r="X80" s="687"/>
      <c r="Y80" s="904" t="str">
        <f>IF(LEN('Ch5'!X81)=0,"None",'Ch5'!X81)</f>
        <v>None</v>
      </c>
      <c r="Z80" s="896"/>
      <c r="AR80" t="str">
        <f>SUBSTITUTE(SUBSTITUTE(SUBSTITUTE("vnt"&amp;$B80&amp;$C80&amp;$D80&amp;$E80&amp;$F80,".","_"),"(","_"),")","")</f>
        <v>vnt503_3</v>
      </c>
      <c r="AS80">
        <f>X80</f>
        <v>0</v>
      </c>
      <c r="BJ80" s="573" t="s">
        <v>4670</v>
      </c>
    </row>
    <row r="81" spans="1:62" x14ac:dyDescent="0.35">
      <c r="A81" s="403">
        <v>5</v>
      </c>
      <c r="B81" s="604" t="s">
        <v>414</v>
      </c>
      <c r="C81" s="604"/>
      <c r="D81" s="604"/>
      <c r="E81" s="604"/>
      <c r="F81" s="604"/>
      <c r="G81" s="403" t="str">
        <f t="shared" ref="G81:G82" si="21">G80</f>
        <v/>
      </c>
      <c r="H81" s="605" t="s">
        <v>4324</v>
      </c>
      <c r="I81" s="53"/>
      <c r="J81" s="53"/>
      <c r="K81" s="53"/>
      <c r="L81" s="706"/>
      <c r="M81" s="84"/>
      <c r="N81" s="44"/>
      <c r="O81" s="44"/>
      <c r="X81" s="688"/>
      <c r="Y81" s="891"/>
      <c r="Z81" s="892"/>
      <c r="BJ81" s="573" t="s">
        <v>4670</v>
      </c>
    </row>
    <row r="82" spans="1:62" x14ac:dyDescent="0.35">
      <c r="A82" s="403">
        <v>5</v>
      </c>
      <c r="B82" s="604" t="s">
        <v>414</v>
      </c>
      <c r="C82" s="604"/>
      <c r="D82" s="604"/>
      <c r="E82" s="604"/>
      <c r="F82" s="604"/>
      <c r="G82" s="403" t="str">
        <f t="shared" si="21"/>
        <v/>
      </c>
      <c r="H82" s="605" t="s">
        <v>4324</v>
      </c>
      <c r="I82" s="53"/>
      <c r="J82" s="53"/>
      <c r="K82" s="53"/>
      <c r="L82" s="105" t="s">
        <v>837</v>
      </c>
      <c r="M82" s="84"/>
      <c r="N82" s="44"/>
      <c r="O82" s="44"/>
      <c r="X82" s="688"/>
      <c r="Y82" s="891"/>
      <c r="Z82" s="892"/>
      <c r="BJ82" s="573" t="s">
        <v>4670</v>
      </c>
    </row>
    <row r="83" spans="1:62" x14ac:dyDescent="0.35">
      <c r="A83" s="403">
        <v>5</v>
      </c>
      <c r="B83" s="604" t="s">
        <v>414</v>
      </c>
      <c r="C83" s="604"/>
      <c r="D83" s="604"/>
      <c r="E83" s="604" t="s">
        <v>270</v>
      </c>
      <c r="F83" s="604"/>
      <c r="G83" s="403" t="str">
        <f>IF(N83&gt;0,"P","")</f>
        <v/>
      </c>
      <c r="H83" s="605" t="s">
        <v>4324</v>
      </c>
      <c r="I83" s="53"/>
      <c r="J83" s="50" t="s">
        <v>270</v>
      </c>
      <c r="K83" s="53"/>
      <c r="L83" s="707" t="s">
        <v>4713</v>
      </c>
      <c r="M83" s="922">
        <v>5</v>
      </c>
      <c r="N83" s="834">
        <f>'Ch5'!O84</f>
        <v>0</v>
      </c>
      <c r="O83" s="834">
        <f>M83*W83</f>
        <v>0</v>
      </c>
      <c r="P83" t="b">
        <v>1</v>
      </c>
      <c r="Q83" t="b">
        <v>0</v>
      </c>
      <c r="R83" t="b">
        <v>0</v>
      </c>
      <c r="S83" t="b">
        <v>1</v>
      </c>
      <c r="T83" t="b">
        <v>0</v>
      </c>
      <c r="W83" s="17"/>
      <c r="X83" s="688"/>
      <c r="Y83" s="891"/>
      <c r="Z83" s="892"/>
      <c r="AL83" t="str">
        <f>SUBSTITUTE(SUBSTITUTE(SUBSTITUTE("vpa"&amp;$B83&amp;$C83&amp;$D83&amp;$E83&amp;$F83,".","_"),"(","_"),")","")</f>
        <v>vpa503_3_1</v>
      </c>
      <c r="AM83">
        <f>M83</f>
        <v>5</v>
      </c>
      <c r="AN83" t="str">
        <f>SUBSTITUTE(SUBSTITUTE(SUBSTITUTE("vpc"&amp;$B83&amp;$C83&amp;$D83&amp;$E83&amp;$F83,".","_"),"(","_"),")","")</f>
        <v>vpc503_3_1</v>
      </c>
      <c r="AO83">
        <f>O83</f>
        <v>0</v>
      </c>
      <c r="AP83" t="str">
        <f>SUBSTITUTE(SUBSTITUTE(SUBSTITUTE("vch"&amp;$B83&amp;$C83&amp;$D83&amp;$E83&amp;$F83,".","_"),"(","_"),")","")</f>
        <v>vch503_3_1</v>
      </c>
      <c r="AQ83">
        <f>W83</f>
        <v>0</v>
      </c>
      <c r="BJ83" s="573" t="s">
        <v>4670</v>
      </c>
    </row>
    <row r="84" spans="1:62" x14ac:dyDescent="0.35">
      <c r="A84" s="403">
        <v>5</v>
      </c>
      <c r="B84" s="604" t="s">
        <v>414</v>
      </c>
      <c r="C84" s="604"/>
      <c r="D84" s="604"/>
      <c r="E84" s="604" t="s">
        <v>270</v>
      </c>
      <c r="F84" s="604"/>
      <c r="G84" s="403" t="str">
        <f>G83</f>
        <v/>
      </c>
      <c r="H84" s="605" t="s">
        <v>4324</v>
      </c>
      <c r="I84" s="53"/>
      <c r="J84" s="115"/>
      <c r="K84" s="118"/>
      <c r="L84" s="709"/>
      <c r="M84" s="936"/>
      <c r="N84" s="886"/>
      <c r="O84" s="886"/>
      <c r="X84" s="688"/>
      <c r="Y84" s="891"/>
      <c r="Z84" s="892"/>
      <c r="BJ84" s="573" t="s">
        <v>4670</v>
      </c>
    </row>
    <row r="85" spans="1:62" x14ac:dyDescent="0.35">
      <c r="A85" s="403">
        <v>5</v>
      </c>
      <c r="B85" s="604" t="s">
        <v>414</v>
      </c>
      <c r="C85" s="604"/>
      <c r="D85" s="604"/>
      <c r="E85" s="604" t="s">
        <v>272</v>
      </c>
      <c r="F85" s="604"/>
      <c r="G85" s="403" t="str">
        <f>IF(N85&gt;0,"P","")</f>
        <v/>
      </c>
      <c r="H85" s="605" t="s">
        <v>4324</v>
      </c>
      <c r="I85" s="53"/>
      <c r="J85" s="50" t="s">
        <v>272</v>
      </c>
      <c r="K85" s="53"/>
      <c r="L85" s="707" t="s">
        <v>416</v>
      </c>
      <c r="M85" s="939">
        <v>5</v>
      </c>
      <c r="N85" s="868">
        <f>'Ch5'!O86</f>
        <v>0</v>
      </c>
      <c r="O85" s="868">
        <f>M85*MIN(W87+W88+W90+W91,1)</f>
        <v>0</v>
      </c>
      <c r="P85" t="b">
        <v>1</v>
      </c>
      <c r="Q85" t="b">
        <v>0</v>
      </c>
      <c r="R85" t="b">
        <v>0</v>
      </c>
      <c r="S85" t="b">
        <v>1</v>
      </c>
      <c r="T85" t="b">
        <v>0</v>
      </c>
      <c r="X85" s="688"/>
      <c r="Y85" s="891"/>
      <c r="Z85" s="892"/>
      <c r="AL85" t="str">
        <f>SUBSTITUTE(SUBSTITUTE(SUBSTITUTE("vpa"&amp;$B85&amp;$C85&amp;$D85&amp;$E85&amp;$F85,".","_"),"(","_"),")","")</f>
        <v>vpa503_3_2</v>
      </c>
      <c r="AM85">
        <f>M85</f>
        <v>5</v>
      </c>
      <c r="AN85" t="str">
        <f>SUBSTITUTE(SUBSTITUTE(SUBSTITUTE("vpc"&amp;$B85&amp;$C85&amp;$D85&amp;$E85&amp;$F85,".","_"),"(","_"),")","")</f>
        <v>vpc503_3_2</v>
      </c>
      <c r="AO85">
        <f>O85</f>
        <v>0</v>
      </c>
      <c r="BJ85" s="573" t="s">
        <v>4670</v>
      </c>
    </row>
    <row r="86" spans="1:62" x14ac:dyDescent="0.35">
      <c r="A86" s="403">
        <v>5</v>
      </c>
      <c r="B86" s="604" t="s">
        <v>414</v>
      </c>
      <c r="C86" s="604"/>
      <c r="D86" s="604"/>
      <c r="E86" s="604" t="s">
        <v>272</v>
      </c>
      <c r="F86" s="604"/>
      <c r="G86" s="403" t="str">
        <f t="shared" ref="G86:G91" si="22">G85</f>
        <v/>
      </c>
      <c r="H86" s="605" t="s">
        <v>4324</v>
      </c>
      <c r="I86" s="53"/>
      <c r="J86" s="53"/>
      <c r="K86" s="53"/>
      <c r="L86" s="707"/>
      <c r="M86" s="922"/>
      <c r="N86" s="834"/>
      <c r="O86" s="834"/>
      <c r="X86" s="688"/>
      <c r="Y86" s="891"/>
      <c r="Z86" s="892"/>
      <c r="BJ86" s="573" t="s">
        <v>4670</v>
      </c>
    </row>
    <row r="87" spans="1:62" x14ac:dyDescent="0.35">
      <c r="A87" s="403">
        <v>5</v>
      </c>
      <c r="B87" s="604" t="s">
        <v>414</v>
      </c>
      <c r="C87" s="604"/>
      <c r="D87" s="604"/>
      <c r="E87" s="604" t="s">
        <v>272</v>
      </c>
      <c r="F87" s="604" t="s">
        <v>121</v>
      </c>
      <c r="G87" s="403" t="str">
        <f t="shared" si="22"/>
        <v/>
      </c>
      <c r="H87" s="605" t="s">
        <v>4324</v>
      </c>
      <c r="I87" s="53"/>
      <c r="J87" s="53"/>
      <c r="K87" s="50" t="s">
        <v>121</v>
      </c>
      <c r="L87" s="46" t="s">
        <v>417</v>
      </c>
      <c r="M87" s="922"/>
      <c r="N87" s="834"/>
      <c r="O87" s="834"/>
      <c r="P87" t="b">
        <v>1</v>
      </c>
      <c r="Q87" t="b">
        <v>0</v>
      </c>
      <c r="R87" t="b">
        <v>0</v>
      </c>
      <c r="S87" t="b">
        <v>1</v>
      </c>
      <c r="T87" t="b">
        <v>0</v>
      </c>
      <c r="W87" s="17"/>
      <c r="X87" s="688"/>
      <c r="Y87" s="891"/>
      <c r="Z87" s="892"/>
      <c r="AP87" t="str">
        <f t="shared" ref="AP87:AP88" si="23">SUBSTITUTE(SUBSTITUTE(SUBSTITUTE("vch"&amp;$B87&amp;$C87&amp;$D87&amp;$E87&amp;$F87,".","_"),"(","_"),")","")</f>
        <v>vch503_3_2_a</v>
      </c>
      <c r="AQ87">
        <f>W87</f>
        <v>0</v>
      </c>
      <c r="BJ87" s="573" t="s">
        <v>4670</v>
      </c>
    </row>
    <row r="88" spans="1:62" x14ac:dyDescent="0.35">
      <c r="A88" s="403">
        <v>5</v>
      </c>
      <c r="B88" s="604" t="s">
        <v>414</v>
      </c>
      <c r="C88" s="604"/>
      <c r="D88" s="604"/>
      <c r="E88" s="604" t="s">
        <v>272</v>
      </c>
      <c r="F88" s="604" t="s">
        <v>122</v>
      </c>
      <c r="G88" s="403" t="str">
        <f t="shared" si="22"/>
        <v/>
      </c>
      <c r="H88" s="605" t="s">
        <v>4324</v>
      </c>
      <c r="I88" s="53"/>
      <c r="J88" s="53"/>
      <c r="K88" s="50" t="s">
        <v>122</v>
      </c>
      <c r="L88" s="707" t="s">
        <v>418</v>
      </c>
      <c r="M88" s="922"/>
      <c r="N88" s="834"/>
      <c r="O88" s="834"/>
      <c r="P88" t="b">
        <v>1</v>
      </c>
      <c r="Q88" t="b">
        <v>0</v>
      </c>
      <c r="R88" t="b">
        <v>0</v>
      </c>
      <c r="S88" t="b">
        <v>1</v>
      </c>
      <c r="T88" t="b">
        <v>0</v>
      </c>
      <c r="W88" s="17"/>
      <c r="X88" s="688"/>
      <c r="Y88" s="891"/>
      <c r="Z88" s="892"/>
      <c r="AP88" t="str">
        <f t="shared" si="23"/>
        <v>vch503_3_2_b</v>
      </c>
      <c r="AQ88">
        <f>W88</f>
        <v>0</v>
      </c>
      <c r="BJ88" s="573" t="s">
        <v>4670</v>
      </c>
    </row>
    <row r="89" spans="1:62" x14ac:dyDescent="0.35">
      <c r="A89" s="403">
        <v>5</v>
      </c>
      <c r="B89" s="604" t="s">
        <v>414</v>
      </c>
      <c r="C89" s="604"/>
      <c r="D89" s="604"/>
      <c r="E89" s="604" t="s">
        <v>272</v>
      </c>
      <c r="F89" s="604" t="s">
        <v>122</v>
      </c>
      <c r="G89" s="403" t="str">
        <f t="shared" si="22"/>
        <v/>
      </c>
      <c r="H89" s="605" t="s">
        <v>4324</v>
      </c>
      <c r="I89" s="53"/>
      <c r="J89" s="53"/>
      <c r="K89" s="53"/>
      <c r="L89" s="707"/>
      <c r="M89" s="922"/>
      <c r="N89" s="834"/>
      <c r="O89" s="834"/>
      <c r="X89" s="688"/>
      <c r="Y89" s="891"/>
      <c r="Z89" s="892"/>
      <c r="BJ89" s="573" t="s">
        <v>4670</v>
      </c>
    </row>
    <row r="90" spans="1:62" x14ac:dyDescent="0.35">
      <c r="A90" s="403">
        <v>5</v>
      </c>
      <c r="B90" s="604" t="s">
        <v>414</v>
      </c>
      <c r="C90" s="604"/>
      <c r="D90" s="604"/>
      <c r="E90" s="604" t="s">
        <v>272</v>
      </c>
      <c r="F90" s="606" t="s">
        <v>123</v>
      </c>
      <c r="G90" s="403" t="str">
        <f t="shared" si="22"/>
        <v/>
      </c>
      <c r="H90" s="607" t="s">
        <v>4324</v>
      </c>
      <c r="I90" s="53"/>
      <c r="J90" s="53"/>
      <c r="K90" s="52" t="s">
        <v>123</v>
      </c>
      <c r="L90" s="46" t="s">
        <v>419</v>
      </c>
      <c r="M90" s="922"/>
      <c r="N90" s="834"/>
      <c r="O90" s="834"/>
      <c r="P90" t="b">
        <v>1</v>
      </c>
      <c r="Q90" t="b">
        <v>0</v>
      </c>
      <c r="R90" t="b">
        <v>0</v>
      </c>
      <c r="S90" t="b">
        <v>1</v>
      </c>
      <c r="T90" t="b">
        <v>0</v>
      </c>
      <c r="W90" s="17"/>
      <c r="X90" s="688"/>
      <c r="Y90" s="891"/>
      <c r="Z90" s="892"/>
      <c r="AP90" t="str">
        <f t="shared" ref="AP90:AP92" si="24">SUBSTITUTE(SUBSTITUTE(SUBSTITUTE("vch"&amp;$B90&amp;$C90&amp;$D90&amp;$E90&amp;$F90,".","_"),"(","_"),")","")</f>
        <v>vch503_3_2_c</v>
      </c>
      <c r="AQ90">
        <f>W90</f>
        <v>0</v>
      </c>
      <c r="BJ90" s="573" t="s">
        <v>4670</v>
      </c>
    </row>
    <row r="91" spans="1:62" x14ac:dyDescent="0.35">
      <c r="A91" s="403">
        <v>5</v>
      </c>
      <c r="B91" s="604" t="s">
        <v>414</v>
      </c>
      <c r="C91" s="604"/>
      <c r="D91" s="604"/>
      <c r="E91" s="604" t="s">
        <v>272</v>
      </c>
      <c r="F91" s="606" t="s">
        <v>420</v>
      </c>
      <c r="G91" s="403" t="str">
        <f t="shared" si="22"/>
        <v/>
      </c>
      <c r="H91" s="607" t="s">
        <v>4324</v>
      </c>
      <c r="I91" s="53"/>
      <c r="J91" s="118"/>
      <c r="K91" s="120" t="s">
        <v>420</v>
      </c>
      <c r="L91" s="116" t="s">
        <v>421</v>
      </c>
      <c r="M91" s="936"/>
      <c r="N91" s="886"/>
      <c r="O91" s="886"/>
      <c r="P91" t="b">
        <v>1</v>
      </c>
      <c r="Q91" t="b">
        <v>0</v>
      </c>
      <c r="R91" t="b">
        <v>0</v>
      </c>
      <c r="S91" t="b">
        <v>1</v>
      </c>
      <c r="T91" t="b">
        <v>0</v>
      </c>
      <c r="W91" s="17"/>
      <c r="X91" s="688"/>
      <c r="Y91" s="891"/>
      <c r="Z91" s="892"/>
      <c r="AP91" t="str">
        <f t="shared" si="24"/>
        <v>vch503_3_2_d</v>
      </c>
      <c r="AQ91">
        <f>W91</f>
        <v>0</v>
      </c>
      <c r="BJ91" s="573" t="s">
        <v>4670</v>
      </c>
    </row>
    <row r="92" spans="1:62" ht="15" thickBot="1" x14ac:dyDescent="0.4">
      <c r="A92" s="403">
        <v>5</v>
      </c>
      <c r="B92" s="604" t="s">
        <v>414</v>
      </c>
      <c r="C92" s="604"/>
      <c r="D92" s="604"/>
      <c r="E92" s="604" t="s">
        <v>274</v>
      </c>
      <c r="F92" s="604"/>
      <c r="G92" s="403" t="str">
        <f>IF(N92&gt;0,"P","")</f>
        <v/>
      </c>
      <c r="H92" s="605" t="s">
        <v>4324</v>
      </c>
      <c r="I92" s="60"/>
      <c r="J92" s="55" t="s">
        <v>274</v>
      </c>
      <c r="K92" s="60"/>
      <c r="L92" s="56" t="s">
        <v>422</v>
      </c>
      <c r="M92" s="194">
        <v>5</v>
      </c>
      <c r="N92" s="80">
        <f>'Ch5'!O93</f>
        <v>0</v>
      </c>
      <c r="O92" s="80">
        <f>M92*W92</f>
        <v>0</v>
      </c>
      <c r="P92" t="b">
        <v>1</v>
      </c>
      <c r="Q92" t="b">
        <v>0</v>
      </c>
      <c r="R92" s="58" t="b">
        <v>0</v>
      </c>
      <c r="S92" s="58" t="b">
        <v>1</v>
      </c>
      <c r="T92" s="58" t="b">
        <v>0</v>
      </c>
      <c r="U92" s="58"/>
      <c r="V92" s="58"/>
      <c r="W92" s="129"/>
      <c r="X92" s="689"/>
      <c r="Y92" s="905"/>
      <c r="Z92" s="895"/>
      <c r="AL92" t="str">
        <f>SUBSTITUTE(SUBSTITUTE(SUBSTITUTE("vpa"&amp;$B92&amp;$C92&amp;$D92&amp;$E92&amp;$F92,".","_"),"(","_"),")","")</f>
        <v>vpa503_3_3</v>
      </c>
      <c r="AM92">
        <f>M92</f>
        <v>5</v>
      </c>
      <c r="AN92" t="str">
        <f>SUBSTITUTE(SUBSTITUTE(SUBSTITUTE("vpc"&amp;$B92&amp;$C92&amp;$D92&amp;$E92&amp;$F92,".","_"),"(","_"),")","")</f>
        <v>vpc503_3_3</v>
      </c>
      <c r="AO92">
        <f>O92</f>
        <v>0</v>
      </c>
      <c r="AP92" t="str">
        <f t="shared" si="24"/>
        <v>vch503_3_3</v>
      </c>
      <c r="AQ92">
        <f>W92</f>
        <v>0</v>
      </c>
      <c r="BJ92" s="573" t="s">
        <v>4670</v>
      </c>
    </row>
    <row r="93" spans="1:62" ht="15" thickTop="1" x14ac:dyDescent="0.35">
      <c r="A93" s="403">
        <v>5</v>
      </c>
      <c r="B93" s="604" t="s">
        <v>423</v>
      </c>
      <c r="C93" s="604"/>
      <c r="D93" s="604"/>
      <c r="E93" s="604"/>
      <c r="F93" s="604"/>
      <c r="G93" s="600" t="str">
        <f ca="1">IF(COUNTIF(G100:G114,"P")&gt;0,"P","")</f>
        <v>P</v>
      </c>
      <c r="H93" s="605" t="s">
        <v>4323</v>
      </c>
      <c r="I93" s="33">
        <v>503.4</v>
      </c>
      <c r="J93" s="53"/>
      <c r="K93" s="53"/>
      <c r="L93" s="711" t="s">
        <v>424</v>
      </c>
      <c r="M93" s="84"/>
      <c r="N93" s="44"/>
      <c r="O93" s="44"/>
      <c r="W93" s="128"/>
      <c r="X93" s="721"/>
      <c r="Y93" s="904" t="str">
        <f>IF(LEN('Ch5'!X94)=0,"None",'Ch5'!X94)</f>
        <v>None</v>
      </c>
      <c r="Z93" s="896"/>
      <c r="AR93" t="str">
        <f>SUBSTITUTE(SUBSTITUTE(SUBSTITUTE("vnt"&amp;$B93&amp;$C93&amp;$D93&amp;$E93&amp;$F93,".","_"),"(","_"),")","")</f>
        <v>vnt503_4</v>
      </c>
      <c r="AS93">
        <f>X93</f>
        <v>0</v>
      </c>
      <c r="BJ93" s="573" t="s">
        <v>4670</v>
      </c>
    </row>
    <row r="94" spans="1:62" x14ac:dyDescent="0.35">
      <c r="A94" s="403">
        <v>5</v>
      </c>
      <c r="B94" s="604" t="s">
        <v>423</v>
      </c>
      <c r="C94" s="604"/>
      <c r="D94" s="604"/>
      <c r="E94" s="604"/>
      <c r="F94" s="604"/>
      <c r="G94" s="403" t="str">
        <f t="shared" ref="G94:G96" ca="1" si="25">G93</f>
        <v>P</v>
      </c>
      <c r="H94" s="605" t="s">
        <v>4323</v>
      </c>
      <c r="I94" s="53"/>
      <c r="J94" s="53"/>
      <c r="K94" s="53"/>
      <c r="L94" s="706"/>
      <c r="M94" s="84"/>
      <c r="N94" s="44"/>
      <c r="O94" s="44"/>
      <c r="X94" s="699"/>
      <c r="Y94" s="891"/>
      <c r="Z94" s="892"/>
      <c r="BJ94" s="573" t="s">
        <v>4670</v>
      </c>
    </row>
    <row r="95" spans="1:62" x14ac:dyDescent="0.35">
      <c r="A95" s="403">
        <v>5</v>
      </c>
      <c r="B95" s="604" t="s">
        <v>423</v>
      </c>
      <c r="C95" s="604"/>
      <c r="D95" s="604"/>
      <c r="E95" s="604"/>
      <c r="F95" s="604"/>
      <c r="G95" s="403" t="str">
        <f t="shared" ca="1" si="25"/>
        <v>P</v>
      </c>
      <c r="H95" s="605" t="s">
        <v>4323</v>
      </c>
      <c r="I95" s="53"/>
      <c r="J95" s="53"/>
      <c r="K95" s="53"/>
      <c r="L95" s="706"/>
      <c r="M95" s="84"/>
      <c r="N95" s="44"/>
      <c r="O95" s="44"/>
      <c r="X95" s="699"/>
      <c r="Y95" s="891"/>
      <c r="Z95" s="892"/>
      <c r="BJ95" s="573" t="s">
        <v>4670</v>
      </c>
    </row>
    <row r="96" spans="1:62" x14ac:dyDescent="0.35">
      <c r="A96" s="403">
        <v>5</v>
      </c>
      <c r="B96" s="604" t="s">
        <v>423</v>
      </c>
      <c r="C96" s="604"/>
      <c r="D96" s="604"/>
      <c r="E96" s="604"/>
      <c r="F96" s="604"/>
      <c r="G96" s="403" t="str">
        <f t="shared" ca="1" si="25"/>
        <v>P</v>
      </c>
      <c r="H96" s="605" t="s">
        <v>4323</v>
      </c>
      <c r="I96" s="53"/>
      <c r="J96" s="53"/>
      <c r="K96" s="53"/>
      <c r="L96" s="706"/>
      <c r="M96" s="84"/>
      <c r="N96" s="44"/>
      <c r="O96" s="44"/>
      <c r="X96" s="699"/>
      <c r="Y96" s="891"/>
      <c r="Z96" s="892"/>
      <c r="BJ96" s="573" t="s">
        <v>4670</v>
      </c>
    </row>
    <row r="97" spans="1:62" x14ac:dyDescent="0.35">
      <c r="A97" s="403">
        <v>5</v>
      </c>
      <c r="B97" s="604" t="s">
        <v>423</v>
      </c>
      <c r="C97" s="604"/>
      <c r="D97" s="604"/>
      <c r="E97" s="604"/>
      <c r="F97" s="604"/>
      <c r="H97" s="605"/>
      <c r="I97" s="53"/>
      <c r="J97" s="53"/>
      <c r="K97" s="53"/>
      <c r="L97" s="714" t="s">
        <v>3164</v>
      </c>
      <c r="M97" s="84"/>
      <c r="N97" s="44"/>
      <c r="O97" s="44"/>
      <c r="X97" s="699"/>
      <c r="Y97" s="891"/>
      <c r="Z97" s="892"/>
      <c r="BJ97" s="573" t="s">
        <v>4670</v>
      </c>
    </row>
    <row r="98" spans="1:62" x14ac:dyDescent="0.35">
      <c r="A98" s="403">
        <v>5</v>
      </c>
      <c r="B98" s="604" t="s">
        <v>423</v>
      </c>
      <c r="C98" s="604"/>
      <c r="D98" s="604"/>
      <c r="E98" s="604"/>
      <c r="F98" s="604"/>
      <c r="H98" s="605"/>
      <c r="I98" s="53"/>
      <c r="J98" s="53"/>
      <c r="K98" s="53"/>
      <c r="L98" s="714"/>
      <c r="M98" s="84"/>
      <c r="N98" s="44"/>
      <c r="O98" s="44"/>
      <c r="X98" s="699"/>
      <c r="Y98" s="891"/>
      <c r="Z98" s="892"/>
      <c r="BJ98" s="573" t="s">
        <v>4670</v>
      </c>
    </row>
    <row r="99" spans="1:62" x14ac:dyDescent="0.35">
      <c r="A99" s="403">
        <v>5</v>
      </c>
      <c r="B99" s="604" t="s">
        <v>423</v>
      </c>
      <c r="C99" s="604"/>
      <c r="D99" s="604"/>
      <c r="E99" s="604"/>
      <c r="F99" s="604"/>
      <c r="H99" s="605"/>
      <c r="I99" s="53"/>
      <c r="J99" s="53"/>
      <c r="K99" s="53"/>
      <c r="L99" s="714"/>
      <c r="M99" s="84"/>
      <c r="N99" s="44"/>
      <c r="O99" s="44"/>
      <c r="X99" s="700"/>
      <c r="Y99" s="891"/>
      <c r="Z99" s="892"/>
      <c r="BJ99" s="573" t="s">
        <v>4670</v>
      </c>
    </row>
    <row r="100" spans="1:62" x14ac:dyDescent="0.35">
      <c r="A100" s="403">
        <v>5</v>
      </c>
      <c r="B100" s="604" t="s">
        <v>423</v>
      </c>
      <c r="C100" s="604"/>
      <c r="D100" s="604"/>
      <c r="E100" s="604" t="s">
        <v>270</v>
      </c>
      <c r="F100" s="604"/>
      <c r="G100" s="403" t="str">
        <f>IF(N100&gt;0,"P","")</f>
        <v/>
      </c>
      <c r="H100" s="605" t="s">
        <v>4324</v>
      </c>
      <c r="I100" s="53"/>
      <c r="J100" s="50" t="s">
        <v>270</v>
      </c>
      <c r="K100" s="53"/>
      <c r="L100" s="707" t="s">
        <v>425</v>
      </c>
      <c r="M100" s="922">
        <v>7</v>
      </c>
      <c r="N100" s="834">
        <f>'Ch5'!O101</f>
        <v>0</v>
      </c>
      <c r="O100" s="834">
        <f>M100*W100</f>
        <v>0</v>
      </c>
      <c r="P100" t="b">
        <v>1</v>
      </c>
      <c r="Q100" t="b">
        <v>0</v>
      </c>
      <c r="R100" t="b">
        <v>0</v>
      </c>
      <c r="S100" t="b">
        <v>1</v>
      </c>
      <c r="T100" t="b">
        <v>0</v>
      </c>
      <c r="W100" s="17"/>
      <c r="X100" s="688"/>
      <c r="Y100" s="891" t="str">
        <f>IF(LEN('Ch5'!X101)=0,"None",'Ch5'!X101)</f>
        <v>None</v>
      </c>
      <c r="Z100" s="892"/>
      <c r="AL100" t="str">
        <f>SUBSTITUTE(SUBSTITUTE(SUBSTITUTE("vpa"&amp;$B100&amp;$C100&amp;$D100&amp;$E100&amp;$F100,".","_"),"(","_"),")","")</f>
        <v>vpa503_4_1</v>
      </c>
      <c r="AM100">
        <f>M100</f>
        <v>7</v>
      </c>
      <c r="AN100" t="str">
        <f>SUBSTITUTE(SUBSTITUTE(SUBSTITUTE("vpc"&amp;$B100&amp;$C100&amp;$D100&amp;$E100&amp;$F100,".","_"),"(","_"),")","")</f>
        <v>vpc503_4_1</v>
      </c>
      <c r="AO100">
        <f>O100</f>
        <v>0</v>
      </c>
      <c r="AP100" t="str">
        <f>SUBSTITUTE(SUBSTITUTE(SUBSTITUTE("vch"&amp;$B100&amp;$C100&amp;$D100&amp;$E100&amp;$F100,".","_"),"(","_"),")","")</f>
        <v>vch503_4_1</v>
      </c>
      <c r="AQ100">
        <f>W100</f>
        <v>0</v>
      </c>
      <c r="AR100" t="str">
        <f>SUBSTITUTE(SUBSTITUTE(SUBSTITUTE("vnt"&amp;$B100&amp;$C100&amp;$D100&amp;$E100&amp;$F100,".","_"),"(","_"),")","")</f>
        <v>vnt503_4_1</v>
      </c>
      <c r="AS100">
        <f>X100</f>
        <v>0</v>
      </c>
      <c r="BJ100" s="573" t="s">
        <v>4670</v>
      </c>
    </row>
    <row r="101" spans="1:62" x14ac:dyDescent="0.35">
      <c r="A101" s="403">
        <v>5</v>
      </c>
      <c r="B101" s="604" t="s">
        <v>423</v>
      </c>
      <c r="C101" s="604"/>
      <c r="D101" s="604"/>
      <c r="E101" s="604" t="s">
        <v>270</v>
      </c>
      <c r="F101" s="604"/>
      <c r="G101" s="403" t="str">
        <f t="shared" ref="G101:G102" si="26">G100</f>
        <v/>
      </c>
      <c r="H101" s="605" t="s">
        <v>4324</v>
      </c>
      <c r="I101" s="53"/>
      <c r="J101" s="50"/>
      <c r="K101" s="53"/>
      <c r="L101" s="707"/>
      <c r="M101" s="922"/>
      <c r="N101" s="834"/>
      <c r="O101" s="834"/>
      <c r="X101" s="688"/>
      <c r="Y101" s="891"/>
      <c r="Z101" s="892"/>
      <c r="BJ101" s="573" t="s">
        <v>4670</v>
      </c>
    </row>
    <row r="102" spans="1:62" x14ac:dyDescent="0.35">
      <c r="A102" s="403">
        <v>5</v>
      </c>
      <c r="B102" s="604" t="s">
        <v>423</v>
      </c>
      <c r="C102" s="604"/>
      <c r="D102" s="604"/>
      <c r="E102" s="604" t="s">
        <v>270</v>
      </c>
      <c r="F102" s="604"/>
      <c r="G102" s="403" t="str">
        <f t="shared" si="26"/>
        <v/>
      </c>
      <c r="H102" s="605" t="s">
        <v>4324</v>
      </c>
      <c r="I102" s="53"/>
      <c r="J102" s="118"/>
      <c r="K102" s="118"/>
      <c r="L102" s="709"/>
      <c r="M102" s="936"/>
      <c r="N102" s="886"/>
      <c r="O102" s="886"/>
      <c r="X102" s="688"/>
      <c r="Y102" s="891"/>
      <c r="Z102" s="892"/>
      <c r="BJ102" s="573" t="s">
        <v>4670</v>
      </c>
    </row>
    <row r="103" spans="1:62" x14ac:dyDescent="0.35">
      <c r="A103" s="403">
        <v>5</v>
      </c>
      <c r="B103" s="604" t="s">
        <v>423</v>
      </c>
      <c r="C103" s="604"/>
      <c r="D103" s="604"/>
      <c r="E103" s="604" t="s">
        <v>272</v>
      </c>
      <c r="F103" s="604"/>
      <c r="G103" s="403" t="str">
        <f>IF(N103&gt;0,"P","")</f>
        <v>P</v>
      </c>
      <c r="H103" s="605" t="s">
        <v>4324</v>
      </c>
      <c r="I103" s="53"/>
      <c r="J103" s="50" t="s">
        <v>272</v>
      </c>
      <c r="K103" s="53"/>
      <c r="L103" s="707" t="s">
        <v>426</v>
      </c>
      <c r="M103" s="922">
        <v>10</v>
      </c>
      <c r="N103" s="868">
        <f>'Ch5'!O104</f>
        <v>10</v>
      </c>
      <c r="O103" s="834">
        <f>M103*W103</f>
        <v>10</v>
      </c>
      <c r="P103" t="b">
        <v>1</v>
      </c>
      <c r="Q103" t="b">
        <v>0</v>
      </c>
      <c r="R103" t="b">
        <v>0</v>
      </c>
      <c r="S103" t="b">
        <v>1</v>
      </c>
      <c r="T103" t="b">
        <v>0</v>
      </c>
      <c r="W103" s="17" t="b">
        <v>1</v>
      </c>
      <c r="X103" s="688"/>
      <c r="Y103" s="891" t="str">
        <f>IF(LEN('Ch5'!X104)=0,"None",'Ch5'!X104)</f>
        <v>None</v>
      </c>
      <c r="Z103" s="892"/>
      <c r="AL103" t="str">
        <f>SUBSTITUTE(SUBSTITUTE(SUBSTITUTE("vpa"&amp;$B103&amp;$C103&amp;$D103&amp;$E103&amp;$F103,".","_"),"(","_"),")","")</f>
        <v>vpa503_4_2</v>
      </c>
      <c r="AM103">
        <f>M103</f>
        <v>10</v>
      </c>
      <c r="AN103" t="str">
        <f>SUBSTITUTE(SUBSTITUTE(SUBSTITUTE("vpc"&amp;$B103&amp;$C103&amp;$D103&amp;$E103&amp;$F103,".","_"),"(","_"),")","")</f>
        <v>vpc503_4_2</v>
      </c>
      <c r="AO103">
        <f>O103</f>
        <v>10</v>
      </c>
      <c r="AP103" t="str">
        <f>SUBSTITUTE(SUBSTITUTE(SUBSTITUTE("vch"&amp;$B103&amp;$C103&amp;$D103&amp;$E103&amp;$F103,".","_"),"(","_"),")","")</f>
        <v>vch503_4_2</v>
      </c>
      <c r="AQ103" t="b">
        <f>W103</f>
        <v>1</v>
      </c>
      <c r="AR103" t="str">
        <f>SUBSTITUTE(SUBSTITUTE(SUBSTITUTE("vnt"&amp;$B103&amp;$C103&amp;$D103&amp;$E103&amp;$F103,".","_"),"(","_"),")","")</f>
        <v>vnt503_4_2</v>
      </c>
      <c r="AS103">
        <f>X103</f>
        <v>0</v>
      </c>
      <c r="BJ103" s="573" t="s">
        <v>4670</v>
      </c>
    </row>
    <row r="104" spans="1:62" x14ac:dyDescent="0.35">
      <c r="A104" s="403">
        <v>5</v>
      </c>
      <c r="B104" s="604" t="s">
        <v>423</v>
      </c>
      <c r="C104" s="604"/>
      <c r="D104" s="604"/>
      <c r="E104" s="604" t="s">
        <v>272</v>
      </c>
      <c r="F104" s="604"/>
      <c r="G104" s="403" t="str">
        <f t="shared" ref="G104:G106" si="27">G103</f>
        <v>P</v>
      </c>
      <c r="H104" s="605" t="s">
        <v>4324</v>
      </c>
      <c r="I104" s="53"/>
      <c r="J104" s="53"/>
      <c r="K104" s="53"/>
      <c r="L104" s="707"/>
      <c r="M104" s="922"/>
      <c r="N104" s="834"/>
      <c r="O104" s="834"/>
      <c r="X104" s="688"/>
      <c r="Y104" s="891"/>
      <c r="Z104" s="892"/>
      <c r="BJ104" s="573" t="s">
        <v>4670</v>
      </c>
    </row>
    <row r="105" spans="1:62" x14ac:dyDescent="0.35">
      <c r="A105" s="403">
        <v>5</v>
      </c>
      <c r="B105" s="604" t="s">
        <v>423</v>
      </c>
      <c r="C105" s="604"/>
      <c r="D105" s="604"/>
      <c r="E105" s="604" t="s">
        <v>272</v>
      </c>
      <c r="F105" s="604"/>
      <c r="G105" s="403" t="str">
        <f t="shared" si="27"/>
        <v>P</v>
      </c>
      <c r="H105" s="605" t="s">
        <v>4324</v>
      </c>
      <c r="I105" s="53"/>
      <c r="J105" s="53"/>
      <c r="K105" s="53"/>
      <c r="L105" s="707"/>
      <c r="M105" s="922"/>
      <c r="N105" s="834"/>
      <c r="O105" s="834"/>
      <c r="X105" s="688"/>
      <c r="Y105" s="891"/>
      <c r="Z105" s="892"/>
      <c r="BJ105" s="573" t="s">
        <v>4670</v>
      </c>
    </row>
    <row r="106" spans="1:62" x14ac:dyDescent="0.35">
      <c r="A106" s="403">
        <v>5</v>
      </c>
      <c r="B106" s="604" t="s">
        <v>423</v>
      </c>
      <c r="C106" s="604"/>
      <c r="D106" s="604"/>
      <c r="E106" s="604" t="s">
        <v>272</v>
      </c>
      <c r="F106" s="604"/>
      <c r="G106" s="403" t="str">
        <f t="shared" si="27"/>
        <v>P</v>
      </c>
      <c r="H106" s="605" t="s">
        <v>4324</v>
      </c>
      <c r="I106" s="53"/>
      <c r="J106" s="118"/>
      <c r="K106" s="118"/>
      <c r="L106" s="709"/>
      <c r="M106" s="936"/>
      <c r="N106" s="886"/>
      <c r="O106" s="886"/>
      <c r="X106" s="688"/>
      <c r="Y106" s="891"/>
      <c r="Z106" s="892"/>
      <c r="BJ106" s="573" t="s">
        <v>4670</v>
      </c>
    </row>
    <row r="107" spans="1:62" x14ac:dyDescent="0.35">
      <c r="A107" s="403">
        <v>5</v>
      </c>
      <c r="B107" s="604" t="s">
        <v>423</v>
      </c>
      <c r="C107" s="604"/>
      <c r="D107" s="604"/>
      <c r="E107" s="604" t="s">
        <v>274</v>
      </c>
      <c r="F107" s="604"/>
      <c r="G107" s="403" t="str">
        <f ca="1">IF(N107&gt;0,"P","")</f>
        <v/>
      </c>
      <c r="H107" s="605" t="s">
        <v>4324</v>
      </c>
      <c r="I107" s="53"/>
      <c r="J107" s="50" t="s">
        <v>274</v>
      </c>
      <c r="K107" s="53"/>
      <c r="L107" s="707" t="s">
        <v>427</v>
      </c>
      <c r="M107" s="84"/>
      <c r="N107" s="868">
        <f ca="1">'Ch5'!O108</f>
        <v>0</v>
      </c>
      <c r="O107" s="834">
        <f ca="1">S107*IFERROR(INDEX({5,8,10},MATCH(W107,INDIRECT(U107))),0)</f>
        <v>0</v>
      </c>
      <c r="P107" t="b">
        <v>1</v>
      </c>
      <c r="Q107" t="b">
        <v>0</v>
      </c>
      <c r="R107" t="b">
        <v>0</v>
      </c>
      <c r="S107" t="b">
        <v>1</v>
      </c>
      <c r="T107" t="b">
        <v>0</v>
      </c>
      <c r="U107" t="str">
        <f>SUBSTITUTE(SUBSTITUTE(SUBSTITUTE("dd"&amp;B107&amp;C107&amp;D107&amp;E107&amp;F107,".","_"),"(","_"),")","")</f>
        <v>dd503_4_3</v>
      </c>
      <c r="W107" s="9"/>
      <c r="X107" s="688"/>
      <c r="Y107" s="891" t="str">
        <f>IF(LEN('Ch5'!X108)=0,"None",'Ch5'!X108)</f>
        <v>None</v>
      </c>
      <c r="Z107" s="892"/>
      <c r="AN107" t="str">
        <f>SUBSTITUTE(SUBSTITUTE(SUBSTITUTE("vpc"&amp;$B107&amp;$C107&amp;$D107&amp;$E107&amp;$F107,".","_"),"(","_"),")","")</f>
        <v>vpc503_4_3</v>
      </c>
      <c r="AO107">
        <f ca="1">O107</f>
        <v>0</v>
      </c>
      <c r="AP107" t="str">
        <f>SUBSTITUTE(SUBSTITUTE(SUBSTITUTE("vch"&amp;$B107&amp;$C107&amp;$D107&amp;$E107&amp;$F107,".","_"),"(","_"),")","")</f>
        <v>vch503_4_3</v>
      </c>
      <c r="AQ107">
        <f>W107</f>
        <v>0</v>
      </c>
      <c r="AR107" t="str">
        <f>SUBSTITUTE(SUBSTITUTE(SUBSTITUTE("vnt"&amp;$B107&amp;$C107&amp;$D107&amp;$E107&amp;$F107,".","_"),"(","_"),")","")</f>
        <v>vnt503_4_3</v>
      </c>
      <c r="AS107">
        <f>X107</f>
        <v>0</v>
      </c>
      <c r="BJ107" s="573" t="s">
        <v>4670</v>
      </c>
    </row>
    <row r="108" spans="1:62" x14ac:dyDescent="0.35">
      <c r="A108" s="403">
        <v>5</v>
      </c>
      <c r="B108" s="604" t="s">
        <v>423</v>
      </c>
      <c r="C108" s="604"/>
      <c r="D108" s="604"/>
      <c r="E108" s="604" t="s">
        <v>274</v>
      </c>
      <c r="F108" s="604"/>
      <c r="G108" s="403" t="str">
        <f t="shared" ref="G108:G113" ca="1" si="28">G107</f>
        <v/>
      </c>
      <c r="H108" s="605" t="s">
        <v>4324</v>
      </c>
      <c r="I108" s="53"/>
      <c r="J108" s="53"/>
      <c r="K108" s="53"/>
      <c r="L108" s="707"/>
      <c r="M108" s="84"/>
      <c r="N108" s="834"/>
      <c r="O108" s="834"/>
      <c r="X108" s="688"/>
      <c r="Y108" s="891"/>
      <c r="Z108" s="892"/>
      <c r="BJ108" s="573" t="s">
        <v>4670</v>
      </c>
    </row>
    <row r="109" spans="1:62" x14ac:dyDescent="0.35">
      <c r="A109" s="403">
        <v>5</v>
      </c>
      <c r="B109" s="604" t="s">
        <v>423</v>
      </c>
      <c r="C109" s="604"/>
      <c r="D109" s="604"/>
      <c r="E109" s="604" t="s">
        <v>274</v>
      </c>
      <c r="F109" s="604"/>
      <c r="G109" s="403" t="str">
        <f t="shared" ca="1" si="28"/>
        <v/>
      </c>
      <c r="H109" s="605" t="s">
        <v>4324</v>
      </c>
      <c r="I109" s="53"/>
      <c r="J109" s="53"/>
      <c r="K109" s="53"/>
      <c r="L109" s="707"/>
      <c r="M109" s="84"/>
      <c r="N109" s="834"/>
      <c r="O109" s="834"/>
      <c r="X109" s="688"/>
      <c r="Y109" s="891"/>
      <c r="Z109" s="892"/>
      <c r="BJ109" s="573" t="s">
        <v>4670</v>
      </c>
    </row>
    <row r="110" spans="1:62" x14ac:dyDescent="0.35">
      <c r="A110" s="403">
        <v>5</v>
      </c>
      <c r="B110" s="604" t="s">
        <v>423</v>
      </c>
      <c r="C110" s="604"/>
      <c r="D110" s="604"/>
      <c r="E110" s="604" t="s">
        <v>274</v>
      </c>
      <c r="F110" s="604"/>
      <c r="G110" s="403" t="str">
        <f t="shared" ca="1" si="28"/>
        <v/>
      </c>
      <c r="H110" s="605" t="s">
        <v>4324</v>
      </c>
      <c r="I110" s="53"/>
      <c r="J110" s="53"/>
      <c r="K110" s="53"/>
      <c r="L110" s="707"/>
      <c r="M110" s="84"/>
      <c r="N110" s="834"/>
      <c r="O110" s="834"/>
      <c r="X110" s="688"/>
      <c r="Y110" s="891"/>
      <c r="Z110" s="892"/>
      <c r="BJ110" s="573" t="s">
        <v>4670</v>
      </c>
    </row>
    <row r="111" spans="1:62" x14ac:dyDescent="0.35">
      <c r="A111" s="403">
        <v>5</v>
      </c>
      <c r="B111" s="604" t="s">
        <v>423</v>
      </c>
      <c r="C111" s="604"/>
      <c r="D111" s="604"/>
      <c r="E111" s="604" t="s">
        <v>274</v>
      </c>
      <c r="F111" s="604" t="s">
        <v>121</v>
      </c>
      <c r="G111" s="403" t="str">
        <f t="shared" ca="1" si="28"/>
        <v/>
      </c>
      <c r="H111" s="605" t="s">
        <v>4324</v>
      </c>
      <c r="I111" s="53"/>
      <c r="J111" s="53"/>
      <c r="K111" s="50" t="s">
        <v>121</v>
      </c>
      <c r="L111" s="46" t="s">
        <v>428</v>
      </c>
      <c r="M111" s="84">
        <v>5</v>
      </c>
      <c r="N111" s="44"/>
      <c r="O111" s="44"/>
      <c r="X111" s="688"/>
      <c r="Y111" s="891"/>
      <c r="Z111" s="892"/>
      <c r="AL111" t="str">
        <f t="shared" ref="AL111:AL113" si="29">SUBSTITUTE(SUBSTITUTE(SUBSTITUTE("vpa"&amp;$B111&amp;$C111&amp;$D111&amp;$E111&amp;$F111,".","_"),"(","_"),")","")</f>
        <v>vpa503_4_3_a</v>
      </c>
      <c r="AM111">
        <f>M111</f>
        <v>5</v>
      </c>
      <c r="BJ111" s="573" t="s">
        <v>4670</v>
      </c>
    </row>
    <row r="112" spans="1:62" x14ac:dyDescent="0.35">
      <c r="A112" s="403">
        <v>5</v>
      </c>
      <c r="B112" s="604" t="s">
        <v>423</v>
      </c>
      <c r="C112" s="604"/>
      <c r="D112" s="604"/>
      <c r="E112" s="604" t="s">
        <v>274</v>
      </c>
      <c r="F112" s="604" t="s">
        <v>122</v>
      </c>
      <c r="G112" s="403" t="str">
        <f t="shared" ca="1" si="28"/>
        <v/>
      </c>
      <c r="H112" s="605" t="s">
        <v>4324</v>
      </c>
      <c r="I112" s="53"/>
      <c r="J112" s="53"/>
      <c r="K112" s="50" t="s">
        <v>122</v>
      </c>
      <c r="L112" s="46" t="s">
        <v>429</v>
      </c>
      <c r="M112" s="84">
        <v>8</v>
      </c>
      <c r="N112" s="44"/>
      <c r="O112" s="44"/>
      <c r="X112" s="688"/>
      <c r="Y112" s="891"/>
      <c r="Z112" s="892"/>
      <c r="AL112" t="str">
        <f t="shared" si="29"/>
        <v>vpa503_4_3_b</v>
      </c>
      <c r="AM112">
        <f>M112</f>
        <v>8</v>
      </c>
      <c r="BJ112" s="573" t="s">
        <v>4670</v>
      </c>
    </row>
    <row r="113" spans="1:62" x14ac:dyDescent="0.35">
      <c r="A113" s="403">
        <v>5</v>
      </c>
      <c r="B113" s="604" t="s">
        <v>423</v>
      </c>
      <c r="C113" s="604"/>
      <c r="D113" s="604"/>
      <c r="E113" s="604" t="s">
        <v>274</v>
      </c>
      <c r="F113" s="604" t="s">
        <v>123</v>
      </c>
      <c r="G113" s="403" t="str">
        <f t="shared" ca="1" si="28"/>
        <v/>
      </c>
      <c r="H113" s="605" t="s">
        <v>4324</v>
      </c>
      <c r="I113" s="53"/>
      <c r="J113" s="118"/>
      <c r="K113" s="120" t="s">
        <v>123</v>
      </c>
      <c r="L113" s="116" t="s">
        <v>430</v>
      </c>
      <c r="M113" s="192">
        <v>10</v>
      </c>
      <c r="N113" s="191"/>
      <c r="O113" s="191"/>
      <c r="X113" s="688"/>
      <c r="Y113" s="891"/>
      <c r="Z113" s="892"/>
      <c r="AL113" t="str">
        <f t="shared" si="29"/>
        <v>vpa503_4_3_c</v>
      </c>
      <c r="AM113">
        <f>M113</f>
        <v>10</v>
      </c>
      <c r="BJ113" s="573" t="s">
        <v>4670</v>
      </c>
    </row>
    <row r="114" spans="1:62" x14ac:dyDescent="0.35">
      <c r="A114" s="403">
        <v>5</v>
      </c>
      <c r="B114" s="604" t="s">
        <v>423</v>
      </c>
      <c r="C114" s="604"/>
      <c r="D114" s="604"/>
      <c r="E114" s="604" t="s">
        <v>283</v>
      </c>
      <c r="F114" s="604"/>
      <c r="G114" s="403" t="str">
        <f ca="1">IF(N114&gt;0,"P","")</f>
        <v/>
      </c>
      <c r="H114" s="605" t="s">
        <v>4323</v>
      </c>
      <c r="I114" s="53"/>
      <c r="J114" s="50" t="s">
        <v>283</v>
      </c>
      <c r="K114" s="52"/>
      <c r="L114" s="707" t="s">
        <v>431</v>
      </c>
      <c r="M114" s="84"/>
      <c r="N114" s="868">
        <f ca="1">'Ch5'!O115</f>
        <v>0</v>
      </c>
      <c r="O114" s="834">
        <f ca="1">S114*IFERROR(INDEX({5,8,10},MATCH(W114,INDIRECT(U114))),0)</f>
        <v>0</v>
      </c>
      <c r="P114" t="b">
        <v>1</v>
      </c>
      <c r="Q114" t="b">
        <v>1</v>
      </c>
      <c r="R114" t="b">
        <v>0</v>
      </c>
      <c r="S114" t="b">
        <v>1</v>
      </c>
      <c r="T114" t="b">
        <v>0</v>
      </c>
      <c r="U114" t="str">
        <f>SUBSTITUTE(SUBSTITUTE(SUBSTITUTE("dd"&amp;B114&amp;C114&amp;D114&amp;E114&amp;F114,".","_"),"(","_"),")","")</f>
        <v>dd503_4_4</v>
      </c>
      <c r="W114" s="9"/>
      <c r="X114" s="688"/>
      <c r="Y114" s="891" t="str">
        <f>IF(LEN('Ch5'!X115)=0,"None",'Ch5'!X115)</f>
        <v>None</v>
      </c>
      <c r="Z114" s="892"/>
      <c r="AA114">
        <f>'Photo Review'!H114</f>
        <v>0</v>
      </c>
      <c r="AN114" t="str">
        <f>SUBSTITUTE(SUBSTITUTE(SUBSTITUTE("vpc"&amp;$B114&amp;$C114&amp;$D114&amp;$E114&amp;$F114,".","_"),"(","_"),")","")</f>
        <v>vpc503_4_4</v>
      </c>
      <c r="AO114">
        <f ca="1">O114</f>
        <v>0</v>
      </c>
      <c r="AP114" t="str">
        <f>SUBSTITUTE(SUBSTITUTE(SUBSTITUTE("vch"&amp;$B114&amp;$C114&amp;$D114&amp;$E114&amp;$F114,".","_"),"(","_"),")","")</f>
        <v>vch503_4_4</v>
      </c>
      <c r="AQ114">
        <f>W114</f>
        <v>0</v>
      </c>
      <c r="AR114" t="str">
        <f>SUBSTITUTE(SUBSTITUTE(SUBSTITUTE("vnt"&amp;$B114&amp;$C114&amp;$D114&amp;$E114&amp;$F114,".","_"),"(","_"),")","")</f>
        <v>vnt503_4_4</v>
      </c>
      <c r="AS114">
        <f>X114</f>
        <v>0</v>
      </c>
      <c r="BJ114" s="573" t="s">
        <v>4670</v>
      </c>
    </row>
    <row r="115" spans="1:62" x14ac:dyDescent="0.35">
      <c r="A115" s="403">
        <v>5</v>
      </c>
      <c r="B115" s="604" t="s">
        <v>423</v>
      </c>
      <c r="C115" s="604"/>
      <c r="D115" s="604"/>
      <c r="E115" s="604" t="s">
        <v>283</v>
      </c>
      <c r="F115" s="604"/>
      <c r="G115" s="403" t="str">
        <f t="shared" ref="G115:G118" ca="1" si="30">G114</f>
        <v/>
      </c>
      <c r="H115" s="605" t="s">
        <v>4323</v>
      </c>
      <c r="I115" s="53"/>
      <c r="J115" s="53"/>
      <c r="K115" s="53"/>
      <c r="L115" s="707"/>
      <c r="M115" s="84"/>
      <c r="N115" s="834"/>
      <c r="O115" s="834"/>
      <c r="X115" s="688"/>
      <c r="Y115" s="891"/>
      <c r="Z115" s="892"/>
      <c r="BJ115" s="573" t="s">
        <v>4670</v>
      </c>
    </row>
    <row r="116" spans="1:62" x14ac:dyDescent="0.35">
      <c r="A116" s="403">
        <v>5</v>
      </c>
      <c r="B116" s="604" t="s">
        <v>423</v>
      </c>
      <c r="C116" s="604"/>
      <c r="D116" s="604"/>
      <c r="E116" s="604" t="s">
        <v>283</v>
      </c>
      <c r="F116" s="604" t="s">
        <v>121</v>
      </c>
      <c r="G116" s="403" t="str">
        <f t="shared" ca="1" si="30"/>
        <v/>
      </c>
      <c r="H116" s="605" t="s">
        <v>4323</v>
      </c>
      <c r="I116" s="53"/>
      <c r="J116" s="53"/>
      <c r="K116" s="50" t="s">
        <v>121</v>
      </c>
      <c r="L116" s="46" t="s">
        <v>432</v>
      </c>
      <c r="M116" s="84">
        <v>5</v>
      </c>
      <c r="N116" s="44"/>
      <c r="O116" s="44"/>
      <c r="X116" s="688"/>
      <c r="Y116" s="891"/>
      <c r="Z116" s="892"/>
      <c r="AL116" t="str">
        <f t="shared" ref="AL116:AL118" si="31">SUBSTITUTE(SUBSTITUTE(SUBSTITUTE("vpa"&amp;$B116&amp;$C116&amp;$D116&amp;$E116&amp;$F116,".","_"),"(","_"),")","")</f>
        <v>vpa503_4_4_a</v>
      </c>
      <c r="AM116">
        <f>M116</f>
        <v>5</v>
      </c>
      <c r="BJ116" s="573" t="s">
        <v>4670</v>
      </c>
    </row>
    <row r="117" spans="1:62" x14ac:dyDescent="0.35">
      <c r="A117" s="403">
        <v>5</v>
      </c>
      <c r="B117" s="604" t="s">
        <v>423</v>
      </c>
      <c r="C117" s="604"/>
      <c r="D117" s="604"/>
      <c r="E117" s="604" t="s">
        <v>283</v>
      </c>
      <c r="F117" s="604" t="s">
        <v>122</v>
      </c>
      <c r="G117" s="403" t="str">
        <f t="shared" ca="1" si="30"/>
        <v/>
      </c>
      <c r="H117" s="605" t="s">
        <v>4323</v>
      </c>
      <c r="I117" s="53"/>
      <c r="J117" s="53"/>
      <c r="K117" s="50" t="s">
        <v>122</v>
      </c>
      <c r="L117" s="46" t="s">
        <v>433</v>
      </c>
      <c r="M117" s="84">
        <v>8</v>
      </c>
      <c r="N117" s="44"/>
      <c r="O117" s="44"/>
      <c r="X117" s="688"/>
      <c r="Y117" s="891"/>
      <c r="Z117" s="892"/>
      <c r="AL117" t="str">
        <f t="shared" si="31"/>
        <v>vpa503_4_4_b</v>
      </c>
      <c r="AM117">
        <f>M117</f>
        <v>8</v>
      </c>
      <c r="BJ117" s="573" t="s">
        <v>4670</v>
      </c>
    </row>
    <row r="118" spans="1:62" ht="15" thickBot="1" x14ac:dyDescent="0.4">
      <c r="A118" s="403">
        <v>5</v>
      </c>
      <c r="B118" s="604" t="s">
        <v>423</v>
      </c>
      <c r="C118" s="604"/>
      <c r="D118" s="604"/>
      <c r="E118" s="604" t="s">
        <v>283</v>
      </c>
      <c r="F118" s="604" t="s">
        <v>123</v>
      </c>
      <c r="G118" s="403" t="str">
        <f t="shared" ca="1" si="30"/>
        <v/>
      </c>
      <c r="H118" s="605" t="s">
        <v>4323</v>
      </c>
      <c r="I118" s="60"/>
      <c r="J118" s="60"/>
      <c r="K118" s="66" t="s">
        <v>123</v>
      </c>
      <c r="L118" s="56" t="s">
        <v>434</v>
      </c>
      <c r="M118" s="194">
        <v>10</v>
      </c>
      <c r="N118" s="80"/>
      <c r="O118" s="80"/>
      <c r="P118" s="58"/>
      <c r="Q118" s="58"/>
      <c r="R118" s="58"/>
      <c r="S118" s="58"/>
      <c r="T118" s="58"/>
      <c r="U118" s="58"/>
      <c r="V118" s="58"/>
      <c r="W118" s="58"/>
      <c r="X118" s="689"/>
      <c r="Y118" s="905"/>
      <c r="Z118" s="895"/>
      <c r="AL118" t="str">
        <f t="shared" si="31"/>
        <v>vpa503_4_4_c</v>
      </c>
      <c r="AM118">
        <f>M118</f>
        <v>10</v>
      </c>
      <c r="BJ118" s="573" t="s">
        <v>4670</v>
      </c>
    </row>
    <row r="119" spans="1:62" ht="15" thickTop="1" x14ac:dyDescent="0.35">
      <c r="A119" s="403">
        <v>5</v>
      </c>
      <c r="B119" s="604" t="s">
        <v>435</v>
      </c>
      <c r="C119" s="604"/>
      <c r="D119" s="604"/>
      <c r="E119" s="604"/>
      <c r="F119" s="604"/>
      <c r="G119" s="600" t="str">
        <f ca="1">IF(COUNTIF(G123:G155,"P")&gt;0,"P","")</f>
        <v>P</v>
      </c>
      <c r="H119" s="605" t="s">
        <v>4325</v>
      </c>
      <c r="I119" s="33">
        <v>503.5</v>
      </c>
      <c r="J119" s="53"/>
      <c r="K119" s="53"/>
      <c r="L119" s="706" t="s">
        <v>436</v>
      </c>
      <c r="M119" s="84"/>
      <c r="N119" s="44"/>
      <c r="X119" s="700"/>
      <c r="Y119" s="904" t="str">
        <f>IF(LEN('Ch5'!X120)=0,"None",'Ch5'!X120)</f>
        <v>None</v>
      </c>
      <c r="Z119" s="896"/>
      <c r="AR119" t="str">
        <f>SUBSTITUTE(SUBSTITUTE(SUBSTITUTE("vnt"&amp;$B119&amp;$C119&amp;$D119&amp;$E119&amp;$F119,".","_"),"(","_"),")","")</f>
        <v>vnt503_5</v>
      </c>
      <c r="AS119">
        <f>X119</f>
        <v>0</v>
      </c>
      <c r="BJ119" s="573" t="s">
        <v>4670</v>
      </c>
    </row>
    <row r="120" spans="1:62" x14ac:dyDescent="0.35">
      <c r="A120" s="403">
        <v>5</v>
      </c>
      <c r="B120" s="604" t="s">
        <v>435</v>
      </c>
      <c r="C120" s="604"/>
      <c r="D120" s="604"/>
      <c r="E120" s="604"/>
      <c r="F120" s="604"/>
      <c r="G120" s="403" t="str">
        <f t="shared" ref="G120" ca="1" si="32">G119</f>
        <v>P</v>
      </c>
      <c r="H120" s="605" t="s">
        <v>4325</v>
      </c>
      <c r="I120" s="53"/>
      <c r="J120" s="53"/>
      <c r="K120" s="53"/>
      <c r="L120" s="706"/>
      <c r="M120" s="84"/>
      <c r="N120" s="44"/>
      <c r="X120" s="688"/>
      <c r="Y120" s="891"/>
      <c r="Z120" s="892"/>
      <c r="BJ120" s="573" t="s">
        <v>4670</v>
      </c>
    </row>
    <row r="121" spans="1:62" x14ac:dyDescent="0.35">
      <c r="A121" s="403">
        <v>5</v>
      </c>
      <c r="B121" s="604" t="s">
        <v>435</v>
      </c>
      <c r="C121" s="604"/>
      <c r="D121" s="604"/>
      <c r="E121" s="604"/>
      <c r="F121" s="604"/>
      <c r="G121" s="605"/>
      <c r="H121" s="605"/>
      <c r="I121" s="53"/>
      <c r="J121" s="53"/>
      <c r="K121" s="53"/>
      <c r="L121" s="714" t="s">
        <v>437</v>
      </c>
      <c r="M121" s="84"/>
      <c r="N121" s="44"/>
      <c r="P121" t="b">
        <v>0</v>
      </c>
      <c r="Q121" t="b">
        <v>1</v>
      </c>
      <c r="R121" t="b">
        <v>0</v>
      </c>
      <c r="S121" t="b">
        <v>1</v>
      </c>
      <c r="T121" t="b">
        <v>0</v>
      </c>
      <c r="U121" t="str">
        <f>SUBSTITUTE(SUBSTITUTE(SUBSTITUTE("dd"&amp;B121&amp;C121&amp;D121&amp;E121&amp;F121,".","_"),"(","_"),")","")</f>
        <v>dd503_5</v>
      </c>
      <c r="W121" s="9" t="s">
        <v>834</v>
      </c>
      <c r="X121" s="688"/>
      <c r="Y121" s="891"/>
      <c r="Z121" s="892"/>
      <c r="AP121" t="str">
        <f>SUBSTITUTE(SUBSTITUTE(SUBSTITUTE("vch"&amp;$B121&amp;$C121&amp;$D121&amp;$E121&amp;$F121,".","_"),"(","_"),")","")</f>
        <v>vch503_5</v>
      </c>
      <c r="AQ121" t="str">
        <f>W121</f>
        <v>full</v>
      </c>
      <c r="BJ121" s="573" t="s">
        <v>4670</v>
      </c>
    </row>
    <row r="122" spans="1:62" x14ac:dyDescent="0.35">
      <c r="A122" s="403">
        <v>5</v>
      </c>
      <c r="B122" s="604" t="s">
        <v>435</v>
      </c>
      <c r="C122" s="604"/>
      <c r="D122" s="604"/>
      <c r="E122" s="604"/>
      <c r="F122" s="604"/>
      <c r="G122" s="605"/>
      <c r="H122" s="605"/>
      <c r="I122" s="53"/>
      <c r="J122" s="53"/>
      <c r="K122" s="53"/>
      <c r="L122" s="714"/>
      <c r="M122" s="84"/>
      <c r="N122" s="44"/>
      <c r="X122" s="688"/>
      <c r="Y122" s="891"/>
      <c r="Z122" s="892"/>
      <c r="BJ122" s="573" t="s">
        <v>4670</v>
      </c>
    </row>
    <row r="123" spans="1:62" x14ac:dyDescent="0.35">
      <c r="A123" s="403">
        <v>5</v>
      </c>
      <c r="B123" s="604" t="s">
        <v>435</v>
      </c>
      <c r="C123" s="604"/>
      <c r="D123" s="604"/>
      <c r="E123" s="604" t="s">
        <v>270</v>
      </c>
      <c r="F123" s="604"/>
      <c r="G123" s="403" t="str">
        <f ca="1">IF(N123&gt;0,"P","")</f>
        <v/>
      </c>
      <c r="H123" s="605" t="s">
        <v>4325</v>
      </c>
      <c r="I123" s="53"/>
      <c r="J123" s="50" t="s">
        <v>270</v>
      </c>
      <c r="K123" s="53"/>
      <c r="L123" s="707" t="s">
        <v>438</v>
      </c>
      <c r="M123" s="84"/>
      <c r="N123" s="834">
        <f ca="1">'Ch5'!O124</f>
        <v>0</v>
      </c>
      <c r="O123" s="834">
        <f ca="1">S123*IFERROR(INDEX(M125:M128,MATCH(W123,INDIRECT(U123))),0)</f>
        <v>0</v>
      </c>
      <c r="P123" t="b">
        <v>0</v>
      </c>
      <c r="Q123" t="b">
        <v>1</v>
      </c>
      <c r="R123" t="b">
        <v>0</v>
      </c>
      <c r="S123" t="b">
        <f>NOT(ISBLANK(W121))</f>
        <v>1</v>
      </c>
      <c r="T123" t="b">
        <f>IF(AND(NOT(S123),LEN(W123)&gt;0),TRUE,FALSE)</f>
        <v>0</v>
      </c>
      <c r="U123" t="str">
        <f>SUBSTITUTE(SUBSTITUTE(SUBSTITUTE("dd"&amp;B123&amp;C123&amp;D123&amp;E123&amp;F123,".","_"),"(","_"),")","")</f>
        <v>dd503_5_1</v>
      </c>
      <c r="W123" s="9"/>
      <c r="X123" s="688"/>
      <c r="Y123" s="891" t="str">
        <f>IF(LEN('Ch5'!X124)=0,"None",'Ch5'!X124)</f>
        <v>None</v>
      </c>
      <c r="Z123" s="892"/>
      <c r="AC123" t="b">
        <f>OR(AD123:AE123)</f>
        <v>0</v>
      </c>
      <c r="AD123" t="b">
        <f>T123</f>
        <v>0</v>
      </c>
      <c r="AN123" t="str">
        <f>SUBSTITUTE(SUBSTITUTE(SUBSTITUTE("vpc"&amp;$B123&amp;$C123&amp;$D123&amp;$E123&amp;$F123,".","_"),"(","_"),")","")</f>
        <v>vpc503_5_1</v>
      </c>
      <c r="AO123">
        <f ca="1">O123</f>
        <v>0</v>
      </c>
      <c r="AP123" t="str">
        <f>SUBSTITUTE(SUBSTITUTE(SUBSTITUTE("vch"&amp;$B123&amp;$C123&amp;$D123&amp;$E123&amp;$F123,".","_"),"(","_"),")","")</f>
        <v>vch503_5_1</v>
      </c>
      <c r="AQ123">
        <f>W123</f>
        <v>0</v>
      </c>
      <c r="AR123" t="str">
        <f>SUBSTITUTE(SUBSTITUTE(SUBSTITUTE("vnt"&amp;$B123&amp;$C123&amp;$D123&amp;$E123&amp;$F123,".","_"),"(","_"),")","")</f>
        <v>vnt503_5_1</v>
      </c>
      <c r="AS123">
        <f>X123</f>
        <v>0</v>
      </c>
      <c r="BJ123" s="573" t="s">
        <v>4670</v>
      </c>
    </row>
    <row r="124" spans="1:62" x14ac:dyDescent="0.35">
      <c r="A124" s="403">
        <v>5</v>
      </c>
      <c r="B124" s="604" t="s">
        <v>435</v>
      </c>
      <c r="C124" s="604"/>
      <c r="D124" s="604"/>
      <c r="E124" s="604" t="s">
        <v>270</v>
      </c>
      <c r="F124" s="604"/>
      <c r="G124" s="403" t="str">
        <f t="shared" ref="G124:G128" ca="1" si="33">G123</f>
        <v/>
      </c>
      <c r="H124" s="605" t="s">
        <v>4325</v>
      </c>
      <c r="I124" s="53"/>
      <c r="J124" s="50"/>
      <c r="K124" s="53"/>
      <c r="L124" s="707"/>
      <c r="M124" s="84"/>
      <c r="N124" s="834"/>
      <c r="O124" s="834"/>
      <c r="X124" s="688"/>
      <c r="Y124" s="891"/>
      <c r="Z124" s="892"/>
      <c r="BJ124" s="573" t="s">
        <v>4670</v>
      </c>
    </row>
    <row r="125" spans="1:62" x14ac:dyDescent="0.35">
      <c r="A125" s="403">
        <v>5</v>
      </c>
      <c r="B125" s="604" t="s">
        <v>435</v>
      </c>
      <c r="C125" s="604"/>
      <c r="D125" s="604"/>
      <c r="E125" s="604" t="s">
        <v>270</v>
      </c>
      <c r="F125" s="604" t="s">
        <v>121</v>
      </c>
      <c r="G125" s="403" t="str">
        <f t="shared" ca="1" si="33"/>
        <v/>
      </c>
      <c r="H125" s="605" t="s">
        <v>4325</v>
      </c>
      <c r="I125" s="53"/>
      <c r="J125" s="53"/>
      <c r="K125" s="50" t="s">
        <v>121</v>
      </c>
      <c r="L125" s="46" t="s">
        <v>439</v>
      </c>
      <c r="M125" s="84">
        <f ca="1">4*IFERROR(INDEX({0.5,0.5,1},MATCH($W$121,INDIRECT($U$121),0)),0)</f>
        <v>4</v>
      </c>
      <c r="N125" s="44"/>
      <c r="O125" s="44"/>
      <c r="X125" s="688"/>
      <c r="Y125" s="891"/>
      <c r="Z125" s="892"/>
      <c r="AL125" t="str">
        <f t="shared" ref="AL125:AL129" si="34">SUBSTITUTE(SUBSTITUTE(SUBSTITUTE("vpa"&amp;$B125&amp;$C125&amp;$D125&amp;$E125&amp;$F125,".","_"),"(","_"),")","")</f>
        <v>vpa503_5_1_a</v>
      </c>
      <c r="AM125">
        <f ca="1">M125</f>
        <v>4</v>
      </c>
      <c r="BJ125" s="573" t="s">
        <v>4670</v>
      </c>
    </row>
    <row r="126" spans="1:62" x14ac:dyDescent="0.35">
      <c r="A126" s="403">
        <v>5</v>
      </c>
      <c r="B126" s="604" t="s">
        <v>435</v>
      </c>
      <c r="C126" s="604"/>
      <c r="D126" s="604"/>
      <c r="E126" s="604" t="s">
        <v>270</v>
      </c>
      <c r="F126" s="604" t="s">
        <v>122</v>
      </c>
      <c r="G126" s="403" t="str">
        <f t="shared" ca="1" si="33"/>
        <v/>
      </c>
      <c r="H126" s="605" t="s">
        <v>4325</v>
      </c>
      <c r="I126" s="53"/>
      <c r="J126" s="53"/>
      <c r="K126" s="50" t="s">
        <v>122</v>
      </c>
      <c r="L126" s="46" t="s">
        <v>440</v>
      </c>
      <c r="M126" s="84">
        <f ca="1">3*IFERROR(INDEX({0.5,0.5,1},MATCH($W$121,INDIRECT($U$121),0)),0)</f>
        <v>3</v>
      </c>
      <c r="N126" s="44"/>
      <c r="O126" s="44"/>
      <c r="X126" s="688"/>
      <c r="Y126" s="891"/>
      <c r="Z126" s="892"/>
      <c r="AL126" t="str">
        <f t="shared" si="34"/>
        <v>vpa503_5_1_b</v>
      </c>
      <c r="AM126">
        <f ca="1">M126</f>
        <v>3</v>
      </c>
      <c r="BJ126" s="573" t="s">
        <v>4670</v>
      </c>
    </row>
    <row r="127" spans="1:62" x14ac:dyDescent="0.35">
      <c r="A127" s="403">
        <v>5</v>
      </c>
      <c r="B127" s="604" t="s">
        <v>435</v>
      </c>
      <c r="C127" s="604"/>
      <c r="D127" s="604"/>
      <c r="E127" s="604" t="s">
        <v>270</v>
      </c>
      <c r="F127" s="604" t="s">
        <v>123</v>
      </c>
      <c r="G127" s="403" t="str">
        <f t="shared" ca="1" si="33"/>
        <v/>
      </c>
      <c r="H127" s="605" t="s">
        <v>4325</v>
      </c>
      <c r="I127" s="53"/>
      <c r="J127" s="53"/>
      <c r="K127" s="52" t="s">
        <v>123</v>
      </c>
      <c r="L127" s="46" t="s">
        <v>441</v>
      </c>
      <c r="M127" s="84">
        <f ca="1">2*IFERROR(INDEX({0.5,0.5,1},MATCH($W$121,INDIRECT($U$121),0)),0)</f>
        <v>2</v>
      </c>
      <c r="N127" s="44"/>
      <c r="O127" s="44"/>
      <c r="X127" s="688"/>
      <c r="Y127" s="891"/>
      <c r="Z127" s="892"/>
      <c r="AL127" t="str">
        <f t="shared" si="34"/>
        <v>vpa503_5_1_c</v>
      </c>
      <c r="AM127">
        <f ca="1">M127</f>
        <v>2</v>
      </c>
      <c r="BJ127" s="573" t="s">
        <v>4670</v>
      </c>
    </row>
    <row r="128" spans="1:62" x14ac:dyDescent="0.35">
      <c r="A128" s="403">
        <v>5</v>
      </c>
      <c r="B128" s="604" t="s">
        <v>435</v>
      </c>
      <c r="C128" s="604"/>
      <c r="D128" s="604"/>
      <c r="E128" s="604" t="s">
        <v>270</v>
      </c>
      <c r="F128" s="604" t="s">
        <v>420</v>
      </c>
      <c r="G128" s="403" t="str">
        <f t="shared" ca="1" si="33"/>
        <v/>
      </c>
      <c r="H128" s="605" t="s">
        <v>4325</v>
      </c>
      <c r="I128" s="53"/>
      <c r="J128" s="118"/>
      <c r="K128" s="120" t="s">
        <v>420</v>
      </c>
      <c r="L128" s="116" t="s">
        <v>442</v>
      </c>
      <c r="M128" s="192">
        <f ca="1">1*IFERROR(INDEX({0.5,0.5,1},MATCH($W$121,INDIRECT($U$121),0)),0)</f>
        <v>1</v>
      </c>
      <c r="N128" s="191"/>
      <c r="O128" s="191"/>
      <c r="X128" s="688"/>
      <c r="Y128" s="891"/>
      <c r="Z128" s="892"/>
      <c r="AL128" t="str">
        <f t="shared" si="34"/>
        <v>vpa503_5_1_d</v>
      </c>
      <c r="AM128">
        <f ca="1">M128</f>
        <v>1</v>
      </c>
      <c r="BJ128" s="573" t="s">
        <v>4670</v>
      </c>
    </row>
    <row r="129" spans="1:62" x14ac:dyDescent="0.35">
      <c r="A129" s="403">
        <v>5</v>
      </c>
      <c r="B129" s="604" t="s">
        <v>435</v>
      </c>
      <c r="C129" s="604"/>
      <c r="D129" s="604"/>
      <c r="E129" s="604" t="s">
        <v>272</v>
      </c>
      <c r="F129" s="604"/>
      <c r="G129" s="403" t="str">
        <f ca="1">IF(N129&gt;0,"P","")</f>
        <v>P</v>
      </c>
      <c r="H129" s="605" t="s">
        <v>4325</v>
      </c>
      <c r="I129" s="53"/>
      <c r="J129" s="50" t="s">
        <v>272</v>
      </c>
      <c r="K129" s="53"/>
      <c r="L129" s="707" t="s">
        <v>443</v>
      </c>
      <c r="M129" s="922">
        <f ca="1">7*IFERROR(INDEX({0.5,0.5,1},MATCH($W$121,INDIRECT($U$121),0)),0)</f>
        <v>7</v>
      </c>
      <c r="N129" s="868">
        <f ca="1">'Ch5'!O130</f>
        <v>7</v>
      </c>
      <c r="O129" s="834">
        <f ca="1">M129*S129*W129</f>
        <v>0</v>
      </c>
      <c r="P129" t="b">
        <v>0</v>
      </c>
      <c r="Q129" t="b">
        <v>1</v>
      </c>
      <c r="R129" t="b">
        <v>0</v>
      </c>
      <c r="S129" t="b">
        <f>NOT(ISBLANK(W121))</f>
        <v>1</v>
      </c>
      <c r="T129" t="b">
        <f>IF(AND(NOT(S129),W129=TRUE),TRUE,FALSE)</f>
        <v>0</v>
      </c>
      <c r="W129" s="17"/>
      <c r="X129" s="688"/>
      <c r="Y129" s="891" t="str">
        <f>IF(LEN('Ch5'!X130)=0,"None",'Ch5'!X130)</f>
        <v>None</v>
      </c>
      <c r="Z129" s="892"/>
      <c r="AA129">
        <f>'Photo Review'!H129</f>
        <v>0</v>
      </c>
      <c r="AC129" t="b">
        <f>OR(AD129:AE129)</f>
        <v>0</v>
      </c>
      <c r="AD129" t="b">
        <f>T129</f>
        <v>0</v>
      </c>
      <c r="AL129" t="str">
        <f t="shared" si="34"/>
        <v>vpa503_5_2</v>
      </c>
      <c r="AM129">
        <f ca="1">M129</f>
        <v>7</v>
      </c>
      <c r="AN129" t="str">
        <f>SUBSTITUTE(SUBSTITUTE(SUBSTITUTE("vpc"&amp;$B129&amp;$C129&amp;$D129&amp;$E129&amp;$F129,".","_"),"(","_"),")","")</f>
        <v>vpc503_5_2</v>
      </c>
      <c r="AO129">
        <f ca="1">O129</f>
        <v>0</v>
      </c>
      <c r="AP129" t="str">
        <f>SUBSTITUTE(SUBSTITUTE(SUBSTITUTE("vch"&amp;$B129&amp;$C129&amp;$D129&amp;$E129&amp;$F129,".","_"),"(","_"),")","")</f>
        <v>vch503_5_2</v>
      </c>
      <c r="AQ129">
        <f>W129</f>
        <v>0</v>
      </c>
      <c r="AR129" t="str">
        <f>SUBSTITUTE(SUBSTITUTE(SUBSTITUTE("vnt"&amp;$B129&amp;$C129&amp;$D129&amp;$E129&amp;$F129,".","_"),"(","_"),")","")</f>
        <v>vnt503_5_2</v>
      </c>
      <c r="AS129">
        <f>X129</f>
        <v>0</v>
      </c>
      <c r="BJ129" s="573" t="s">
        <v>4670</v>
      </c>
    </row>
    <row r="130" spans="1:62" x14ac:dyDescent="0.35">
      <c r="A130" s="403">
        <v>5</v>
      </c>
      <c r="B130" s="604" t="s">
        <v>435</v>
      </c>
      <c r="C130" s="604"/>
      <c r="D130" s="604"/>
      <c r="E130" s="604" t="s">
        <v>272</v>
      </c>
      <c r="F130" s="604"/>
      <c r="G130" s="403" t="str">
        <f ca="1">G129</f>
        <v>P</v>
      </c>
      <c r="H130" s="605" t="s">
        <v>4325</v>
      </c>
      <c r="I130" s="53"/>
      <c r="J130" s="118"/>
      <c r="K130" s="118"/>
      <c r="L130" s="709"/>
      <c r="M130" s="936"/>
      <c r="N130" s="886"/>
      <c r="O130" s="886"/>
      <c r="X130" s="688"/>
      <c r="Y130" s="891"/>
      <c r="Z130" s="892"/>
      <c r="BJ130" s="573" t="s">
        <v>4670</v>
      </c>
    </row>
    <row r="131" spans="1:62" x14ac:dyDescent="0.35">
      <c r="A131" s="403">
        <v>5</v>
      </c>
      <c r="B131" s="604" t="s">
        <v>435</v>
      </c>
      <c r="C131" s="604"/>
      <c r="D131" s="604"/>
      <c r="E131" s="604" t="s">
        <v>274</v>
      </c>
      <c r="F131" s="604"/>
      <c r="G131" s="403" t="str">
        <f ca="1">IF(N131&gt;0,"P","")</f>
        <v/>
      </c>
      <c r="H131" s="605" t="s">
        <v>4325</v>
      </c>
      <c r="I131" s="53"/>
      <c r="J131" s="50" t="s">
        <v>274</v>
      </c>
      <c r="K131" s="53"/>
      <c r="L131" s="707" t="s">
        <v>444</v>
      </c>
      <c r="M131" s="922">
        <f ca="1">3*IFERROR(INDEX({0.5,0.5,1},MATCH($W$121,INDIRECT($U$121),0)),0)</f>
        <v>3</v>
      </c>
      <c r="N131" s="868">
        <f ca="1">'Ch5'!O132</f>
        <v>0</v>
      </c>
      <c r="O131" s="834">
        <f ca="1">M131*S131*W131</f>
        <v>0</v>
      </c>
      <c r="P131" t="b">
        <v>0</v>
      </c>
      <c r="Q131" t="b">
        <v>1</v>
      </c>
      <c r="R131" t="b">
        <v>0</v>
      </c>
      <c r="S131" t="b">
        <f>NOT(ISBLANK(W121))</f>
        <v>1</v>
      </c>
      <c r="T131" t="b">
        <f>IF(AND(NOT(S131),W131=TRUE),TRUE,FALSE)</f>
        <v>0</v>
      </c>
      <c r="W131" s="17"/>
      <c r="X131" s="688"/>
      <c r="Y131" s="891" t="str">
        <f>IF(LEN('Ch5'!X132)=0,"None",'Ch5'!X132)</f>
        <v>None</v>
      </c>
      <c r="Z131" s="892"/>
      <c r="AC131" t="b">
        <f>OR(AD131:AE131)</f>
        <v>0</v>
      </c>
      <c r="AD131" t="b">
        <f>T131</f>
        <v>0</v>
      </c>
      <c r="AL131" t="str">
        <f>SUBSTITUTE(SUBSTITUTE(SUBSTITUTE("vpa"&amp;$B131&amp;$C131&amp;$D131&amp;$E131&amp;$F131,".","_"),"(","_"),")","")</f>
        <v>vpa503_5_3</v>
      </c>
      <c r="AM131">
        <f ca="1">M131</f>
        <v>3</v>
      </c>
      <c r="AN131" t="str">
        <f>SUBSTITUTE(SUBSTITUTE(SUBSTITUTE("vpc"&amp;$B131&amp;$C131&amp;$D131&amp;$E131&amp;$F131,".","_"),"(","_"),")","")</f>
        <v>vpc503_5_3</v>
      </c>
      <c r="AO131">
        <f ca="1">O131</f>
        <v>0</v>
      </c>
      <c r="AP131" t="str">
        <f>SUBSTITUTE(SUBSTITUTE(SUBSTITUTE("vch"&amp;$B131&amp;$C131&amp;$D131&amp;$E131&amp;$F131,".","_"),"(","_"),")","")</f>
        <v>vch503_5_3</v>
      </c>
      <c r="AQ131">
        <f>W131</f>
        <v>0</v>
      </c>
      <c r="AR131" t="str">
        <f>SUBSTITUTE(SUBSTITUTE(SUBSTITUTE("vnt"&amp;$B131&amp;$C131&amp;$D131&amp;$E131&amp;$F131,".","_"),"(","_"),")","")</f>
        <v>vnt503_5_3</v>
      </c>
      <c r="AS131">
        <f>X131</f>
        <v>0</v>
      </c>
      <c r="BJ131" s="573" t="s">
        <v>4670</v>
      </c>
    </row>
    <row r="132" spans="1:62" x14ac:dyDescent="0.35">
      <c r="A132" s="403">
        <v>5</v>
      </c>
      <c r="B132" s="604" t="s">
        <v>435</v>
      </c>
      <c r="C132" s="604"/>
      <c r="D132" s="604"/>
      <c r="E132" s="604" t="s">
        <v>274</v>
      </c>
      <c r="F132" s="604"/>
      <c r="G132" s="403" t="str">
        <f ca="1">G131</f>
        <v/>
      </c>
      <c r="H132" s="605" t="s">
        <v>4325</v>
      </c>
      <c r="I132" s="53"/>
      <c r="J132" s="118"/>
      <c r="K132" s="118"/>
      <c r="L132" s="709"/>
      <c r="M132" s="936"/>
      <c r="N132" s="886"/>
      <c r="O132" s="886"/>
      <c r="X132" s="688"/>
      <c r="Y132" s="891"/>
      <c r="Z132" s="892"/>
      <c r="BJ132" s="573" t="s">
        <v>4670</v>
      </c>
    </row>
    <row r="133" spans="1:62" x14ac:dyDescent="0.35">
      <c r="A133" s="403">
        <v>5</v>
      </c>
      <c r="B133" s="604" t="s">
        <v>435</v>
      </c>
      <c r="C133" s="604"/>
      <c r="D133" s="604"/>
      <c r="E133" s="604" t="s">
        <v>283</v>
      </c>
      <c r="F133" s="604"/>
      <c r="G133" s="403" t="str">
        <f ca="1">IF(N133&gt;0,"P","")</f>
        <v/>
      </c>
      <c r="H133" s="605" t="s">
        <v>4325</v>
      </c>
      <c r="I133" s="53"/>
      <c r="J133" s="50" t="s">
        <v>283</v>
      </c>
      <c r="K133" s="53"/>
      <c r="L133" s="707" t="s">
        <v>445</v>
      </c>
      <c r="M133" s="922">
        <f ca="1">2*IFERROR(INDEX({0.5,0.5,1},MATCH($W$121,INDIRECT($U$121),0)),0)</f>
        <v>2</v>
      </c>
      <c r="N133" s="868">
        <f ca="1">'Ch5'!O134</f>
        <v>0</v>
      </c>
      <c r="O133" s="834">
        <f ca="1">M133*S133*W133</f>
        <v>0</v>
      </c>
      <c r="P133" t="b">
        <v>0</v>
      </c>
      <c r="Q133" t="b">
        <v>1</v>
      </c>
      <c r="R133" t="b">
        <v>0</v>
      </c>
      <c r="S133" t="b">
        <f>NOT(ISBLANK(W121))</f>
        <v>1</v>
      </c>
      <c r="T133" t="b">
        <f>IF(AND(NOT(S133),W133=TRUE),TRUE,FALSE)</f>
        <v>0</v>
      </c>
      <c r="W133" s="17"/>
      <c r="X133" s="688"/>
      <c r="Y133" s="891" t="str">
        <f>IF(LEN('Ch5'!X134)=0,"None",'Ch5'!X134)</f>
        <v>None</v>
      </c>
      <c r="Z133" s="892"/>
      <c r="AC133" t="b">
        <f>OR(AD133:AE133)</f>
        <v>0</v>
      </c>
      <c r="AD133" t="b">
        <f>T133</f>
        <v>0</v>
      </c>
      <c r="AL133" t="str">
        <f>SUBSTITUTE(SUBSTITUTE(SUBSTITUTE("vpa"&amp;$B133&amp;$C133&amp;$D133&amp;$E133&amp;$F133,".","_"),"(","_"),")","")</f>
        <v>vpa503_5_4</v>
      </c>
      <c r="AM133">
        <f ca="1">M133</f>
        <v>2</v>
      </c>
      <c r="AN133" t="str">
        <f>SUBSTITUTE(SUBSTITUTE(SUBSTITUTE("vpc"&amp;$B133&amp;$C133&amp;$D133&amp;$E133&amp;$F133,".","_"),"(","_"),")","")</f>
        <v>vpc503_5_4</v>
      </c>
      <c r="AO133">
        <f ca="1">O133</f>
        <v>0</v>
      </c>
      <c r="AP133" t="str">
        <f>SUBSTITUTE(SUBSTITUTE(SUBSTITUTE("vch"&amp;$B133&amp;$C133&amp;$D133&amp;$E133&amp;$F133,".","_"),"(","_"),")","")</f>
        <v>vch503_5_4</v>
      </c>
      <c r="AQ133">
        <f>W133</f>
        <v>0</v>
      </c>
      <c r="AR133" t="str">
        <f>SUBSTITUTE(SUBSTITUTE(SUBSTITUTE("vnt"&amp;$B133&amp;$C133&amp;$D133&amp;$E133&amp;$F133,".","_"),"(","_"),")","")</f>
        <v>vnt503_5_4</v>
      </c>
      <c r="AS133">
        <f>X133</f>
        <v>0</v>
      </c>
      <c r="BJ133" s="573" t="s">
        <v>4670</v>
      </c>
    </row>
    <row r="134" spans="1:62" x14ac:dyDescent="0.35">
      <c r="A134" s="403">
        <v>5</v>
      </c>
      <c r="B134" s="604" t="s">
        <v>435</v>
      </c>
      <c r="C134" s="604"/>
      <c r="D134" s="604"/>
      <c r="E134" s="604" t="s">
        <v>283</v>
      </c>
      <c r="F134" s="604"/>
      <c r="G134" s="403" t="str">
        <f ca="1">G133</f>
        <v/>
      </c>
      <c r="H134" s="605" t="s">
        <v>4325</v>
      </c>
      <c r="I134" s="53"/>
      <c r="J134" s="118"/>
      <c r="K134" s="118"/>
      <c r="L134" s="709"/>
      <c r="M134" s="936"/>
      <c r="N134" s="886"/>
      <c r="O134" s="886"/>
      <c r="X134" s="688"/>
      <c r="Y134" s="891"/>
      <c r="Z134" s="892"/>
      <c r="BJ134" s="573" t="s">
        <v>4670</v>
      </c>
    </row>
    <row r="135" spans="1:62" x14ac:dyDescent="0.35">
      <c r="A135" s="403">
        <v>5</v>
      </c>
      <c r="B135" s="604" t="s">
        <v>435</v>
      </c>
      <c r="C135" s="604"/>
      <c r="D135" s="604"/>
      <c r="E135" s="604" t="s">
        <v>289</v>
      </c>
      <c r="F135" s="604"/>
      <c r="G135" s="403" t="str">
        <f ca="1">IF(N135&gt;0,"P","")</f>
        <v/>
      </c>
      <c r="H135" s="605" t="s">
        <v>4325</v>
      </c>
      <c r="I135" s="53"/>
      <c r="J135" s="50" t="s">
        <v>289</v>
      </c>
      <c r="K135" s="53"/>
      <c r="L135" s="46" t="s">
        <v>446</v>
      </c>
      <c r="M135" s="84"/>
      <c r="N135" s="44">
        <f ca="1">'Ch5'!O136</f>
        <v>0</v>
      </c>
      <c r="O135" s="44">
        <f ca="1">S135*IFERROR(INDEX(M136:M139,MATCH(W135,INDIRECT(U135))),0)</f>
        <v>0</v>
      </c>
      <c r="P135" t="b">
        <v>0</v>
      </c>
      <c r="Q135" t="b">
        <v>1</v>
      </c>
      <c r="R135" t="b">
        <v>0</v>
      </c>
      <c r="S135" t="b">
        <f>NOT(ISBLANK(W121))</f>
        <v>1</v>
      </c>
      <c r="T135" t="b">
        <f>IF(AND(NOT(S135),LEN(W135)&gt;0),TRUE,FALSE)</f>
        <v>0</v>
      </c>
      <c r="U135" t="str">
        <f>SUBSTITUTE(SUBSTITUTE(SUBSTITUTE("dd"&amp;B135&amp;C135&amp;D135&amp;E135&amp;F135,".","_"),"(","_"),")","")</f>
        <v>dd503_5_5</v>
      </c>
      <c r="W135" s="9"/>
      <c r="X135" s="688"/>
      <c r="Y135" s="891" t="str">
        <f>IF(LEN('Ch5'!X136)=0,"None",'Ch5'!X136)</f>
        <v>None</v>
      </c>
      <c r="Z135" s="892"/>
      <c r="AA135">
        <f>'Photo Review'!H135</f>
        <v>0</v>
      </c>
      <c r="AC135" t="b">
        <f>OR(AD135:AE135)</f>
        <v>0</v>
      </c>
      <c r="AD135" t="b">
        <f>T135</f>
        <v>0</v>
      </c>
      <c r="AN135" t="str">
        <f>SUBSTITUTE(SUBSTITUTE(SUBSTITUTE("vpc"&amp;$B135&amp;$C135&amp;$D135&amp;$E135&amp;$F135,".","_"),"(","_"),")","")</f>
        <v>vpc503_5_5</v>
      </c>
      <c r="AO135">
        <f ca="1">O135</f>
        <v>0</v>
      </c>
      <c r="AP135" t="str">
        <f>SUBSTITUTE(SUBSTITUTE(SUBSTITUTE("vch"&amp;$B135&amp;$C135&amp;$D135&amp;$E135&amp;$F135,".","_"),"(","_"),")","")</f>
        <v>vch503_5_5</v>
      </c>
      <c r="AQ135">
        <f>W135</f>
        <v>0</v>
      </c>
      <c r="AR135" t="str">
        <f>SUBSTITUTE(SUBSTITUTE(SUBSTITUTE("vnt"&amp;$B135&amp;$C135&amp;$D135&amp;$E135&amp;$F135,".","_"),"(","_"),")","")</f>
        <v>vnt503_5_5</v>
      </c>
      <c r="AS135">
        <f>X135</f>
        <v>0</v>
      </c>
      <c r="BJ135" s="573" t="s">
        <v>4670</v>
      </c>
    </row>
    <row r="136" spans="1:62" x14ac:dyDescent="0.35">
      <c r="A136" s="403">
        <v>5</v>
      </c>
      <c r="B136" s="604" t="s">
        <v>435</v>
      </c>
      <c r="C136" s="604"/>
      <c r="D136" s="604"/>
      <c r="E136" s="604" t="s">
        <v>289</v>
      </c>
      <c r="F136" s="604" t="s">
        <v>121</v>
      </c>
      <c r="G136" s="403" t="str">
        <f t="shared" ref="G136:G139" ca="1" si="35">G135</f>
        <v/>
      </c>
      <c r="H136" s="605" t="s">
        <v>4325</v>
      </c>
      <c r="I136" s="53"/>
      <c r="J136" s="53"/>
      <c r="K136" s="50" t="s">
        <v>121</v>
      </c>
      <c r="L136" s="46" t="s">
        <v>447</v>
      </c>
      <c r="M136" s="84">
        <f ca="1">5*IFERROR(INDEX({0.5,0.5,1},MATCH($W$121,INDIRECT($U$121),0)),0)</f>
        <v>5</v>
      </c>
      <c r="N136" s="44"/>
      <c r="O136" s="44"/>
      <c r="X136" s="688"/>
      <c r="Y136" s="891"/>
      <c r="Z136" s="892"/>
      <c r="AL136" t="str">
        <f t="shared" ref="AL136:AL141" si="36">SUBSTITUTE(SUBSTITUTE(SUBSTITUTE("vpa"&amp;$B136&amp;$C136&amp;$D136&amp;$E136&amp;$F136,".","_"),"(","_"),")","")</f>
        <v>vpa503_5_5_a</v>
      </c>
      <c r="AM136">
        <f t="shared" ref="AM136:AM141" ca="1" si="37">M136</f>
        <v>5</v>
      </c>
      <c r="BJ136" s="573" t="s">
        <v>4670</v>
      </c>
    </row>
    <row r="137" spans="1:62" x14ac:dyDescent="0.35">
      <c r="A137" s="403">
        <v>5</v>
      </c>
      <c r="B137" s="604" t="s">
        <v>435</v>
      </c>
      <c r="C137" s="604"/>
      <c r="D137" s="604"/>
      <c r="E137" s="604" t="s">
        <v>289</v>
      </c>
      <c r="F137" s="604" t="s">
        <v>122</v>
      </c>
      <c r="G137" s="403" t="str">
        <f t="shared" ca="1" si="35"/>
        <v/>
      </c>
      <c r="H137" s="605" t="s">
        <v>4325</v>
      </c>
      <c r="I137" s="53"/>
      <c r="J137" s="53"/>
      <c r="K137" s="50" t="s">
        <v>122</v>
      </c>
      <c r="L137" s="46" t="s">
        <v>448</v>
      </c>
      <c r="M137" s="84">
        <f ca="1">4*IFERROR(INDEX({0.5,0.5,1},MATCH($W$121,INDIRECT($U$121),0)),0)</f>
        <v>4</v>
      </c>
      <c r="N137" s="44"/>
      <c r="O137" s="44"/>
      <c r="X137" s="688"/>
      <c r="Y137" s="891"/>
      <c r="Z137" s="892"/>
      <c r="AL137" t="str">
        <f t="shared" si="36"/>
        <v>vpa503_5_5_b</v>
      </c>
      <c r="AM137">
        <f t="shared" ca="1" si="37"/>
        <v>4</v>
      </c>
      <c r="BJ137" s="573" t="s">
        <v>4670</v>
      </c>
    </row>
    <row r="138" spans="1:62" x14ac:dyDescent="0.35">
      <c r="A138" s="403">
        <v>5</v>
      </c>
      <c r="B138" s="604" t="s">
        <v>435</v>
      </c>
      <c r="C138" s="604"/>
      <c r="D138" s="604"/>
      <c r="E138" s="604" t="s">
        <v>289</v>
      </c>
      <c r="F138" s="604" t="s">
        <v>123</v>
      </c>
      <c r="G138" s="403" t="str">
        <f t="shared" ca="1" si="35"/>
        <v/>
      </c>
      <c r="H138" s="605" t="s">
        <v>4325</v>
      </c>
      <c r="I138" s="53"/>
      <c r="J138" s="53"/>
      <c r="K138" s="52" t="s">
        <v>123</v>
      </c>
      <c r="L138" s="46" t="s">
        <v>449</v>
      </c>
      <c r="M138" s="84">
        <f ca="1">3*IFERROR(INDEX({0.5,0.5,1},MATCH($W$121,INDIRECT($U$121),0)),0)</f>
        <v>3</v>
      </c>
      <c r="N138" s="44"/>
      <c r="O138" s="44"/>
      <c r="X138" s="688"/>
      <c r="Y138" s="891"/>
      <c r="Z138" s="892"/>
      <c r="AL138" t="str">
        <f t="shared" si="36"/>
        <v>vpa503_5_5_c</v>
      </c>
      <c r="AM138">
        <f t="shared" ca="1" si="37"/>
        <v>3</v>
      </c>
      <c r="BJ138" s="573" t="s">
        <v>4670</v>
      </c>
    </row>
    <row r="139" spans="1:62" x14ac:dyDescent="0.35">
      <c r="A139" s="403">
        <v>5</v>
      </c>
      <c r="B139" s="604" t="s">
        <v>435</v>
      </c>
      <c r="C139" s="604"/>
      <c r="D139" s="604"/>
      <c r="E139" s="604" t="s">
        <v>289</v>
      </c>
      <c r="F139" s="604" t="s">
        <v>420</v>
      </c>
      <c r="G139" s="403" t="str">
        <f t="shared" ca="1" si="35"/>
        <v/>
      </c>
      <c r="H139" s="605" t="s">
        <v>4325</v>
      </c>
      <c r="I139" s="53"/>
      <c r="J139" s="118"/>
      <c r="K139" s="120" t="s">
        <v>420</v>
      </c>
      <c r="L139" s="116" t="s">
        <v>450</v>
      </c>
      <c r="M139" s="192">
        <f ca="1">2*IFERROR(INDEX({0.5,0.5,1},MATCH($W$121,INDIRECT($U$121),0)),0)</f>
        <v>2</v>
      </c>
      <c r="N139" s="191"/>
      <c r="O139" s="191"/>
      <c r="X139" s="688"/>
      <c r="Y139" s="891"/>
      <c r="Z139" s="892"/>
      <c r="AL139" t="str">
        <f t="shared" si="36"/>
        <v>vpa503_5_5_d</v>
      </c>
      <c r="AM139">
        <f t="shared" ca="1" si="37"/>
        <v>2</v>
      </c>
      <c r="BJ139" s="573" t="s">
        <v>4670</v>
      </c>
    </row>
    <row r="140" spans="1:62" x14ac:dyDescent="0.35">
      <c r="A140" s="403">
        <v>5</v>
      </c>
      <c r="B140" s="604" t="s">
        <v>435</v>
      </c>
      <c r="C140" s="604"/>
      <c r="D140" s="604"/>
      <c r="E140" s="604" t="s">
        <v>291</v>
      </c>
      <c r="F140" s="604"/>
      <c r="G140" s="403" t="str">
        <f ca="1">IF(N140&gt;0,"P","")</f>
        <v>P</v>
      </c>
      <c r="H140" s="605" t="s">
        <v>4325</v>
      </c>
      <c r="I140" s="53"/>
      <c r="J140" s="115" t="s">
        <v>291</v>
      </c>
      <c r="K140" s="118"/>
      <c r="L140" s="116" t="s">
        <v>451</v>
      </c>
      <c r="M140" s="192">
        <f ca="1">5*IFERROR(INDEX({0.5,0.5,1},MATCH($W$121,INDIRECT($U$121),0)),0)</f>
        <v>5</v>
      </c>
      <c r="N140" s="191">
        <f ca="1">'Ch5'!O141</f>
        <v>5</v>
      </c>
      <c r="O140" s="191">
        <f ca="1">M140*S140*W140</f>
        <v>0</v>
      </c>
      <c r="P140" t="b">
        <v>0</v>
      </c>
      <c r="Q140" t="b">
        <v>1</v>
      </c>
      <c r="R140" t="b">
        <v>0</v>
      </c>
      <c r="S140" t="b">
        <f>NOT(ISBLANK(W121))</f>
        <v>1</v>
      </c>
      <c r="T140" t="b">
        <f>IF(AND(NOT(S140),W140=TRUE),TRUE,FALSE)</f>
        <v>0</v>
      </c>
      <c r="W140" s="17"/>
      <c r="X140" s="39"/>
      <c r="Y140" s="200" t="str">
        <f>IF(LEN('Ch5'!X141)=0,"None",'Ch5'!X141)</f>
        <v>None</v>
      </c>
      <c r="Z140" s="563"/>
      <c r="AA140">
        <f>'Photo Review'!H140</f>
        <v>0</v>
      </c>
      <c r="AC140" t="b">
        <f>OR(AD140:AE140)</f>
        <v>0</v>
      </c>
      <c r="AD140" t="b">
        <f>T140</f>
        <v>0</v>
      </c>
      <c r="AL140" t="str">
        <f t="shared" si="36"/>
        <v>vpa503_5_6</v>
      </c>
      <c r="AM140">
        <f t="shared" ca="1" si="37"/>
        <v>5</v>
      </c>
      <c r="AN140" t="str">
        <f t="shared" ref="AN140:AN141" si="38">SUBSTITUTE(SUBSTITUTE(SUBSTITUTE("vpc"&amp;$B140&amp;$C140&amp;$D140&amp;$E140&amp;$F140,".","_"),"(","_"),")","")</f>
        <v>vpc503_5_6</v>
      </c>
      <c r="AO140">
        <f ca="1">O140</f>
        <v>0</v>
      </c>
      <c r="AP140" t="str">
        <f t="shared" ref="AP140:AP141" si="39">SUBSTITUTE(SUBSTITUTE(SUBSTITUTE("vch"&amp;$B140&amp;$C140&amp;$D140&amp;$E140&amp;$F140,".","_"),"(","_"),")","")</f>
        <v>vch503_5_6</v>
      </c>
      <c r="AQ140">
        <f>W140</f>
        <v>0</v>
      </c>
      <c r="AR140" t="str">
        <f t="shared" ref="AR140:AR141" si="40">SUBSTITUTE(SUBSTITUTE(SUBSTITUTE("vnt"&amp;$B140&amp;$C140&amp;$D140&amp;$E140&amp;$F140,".","_"),"(","_"),")","")</f>
        <v>vnt503_5_6</v>
      </c>
      <c r="AS140">
        <f>X140</f>
        <v>0</v>
      </c>
      <c r="BJ140" s="573" t="s">
        <v>4670</v>
      </c>
    </row>
    <row r="141" spans="1:62" x14ac:dyDescent="0.35">
      <c r="A141" s="403">
        <v>5</v>
      </c>
      <c r="B141" s="604" t="s">
        <v>435</v>
      </c>
      <c r="C141" s="604"/>
      <c r="D141" s="604"/>
      <c r="E141" s="604" t="s">
        <v>403</v>
      </c>
      <c r="F141" s="604"/>
      <c r="G141" s="403" t="str">
        <f ca="1">IF(N141&gt;0,"P","")</f>
        <v/>
      </c>
      <c r="H141" s="605" t="s">
        <v>4325</v>
      </c>
      <c r="I141" s="53"/>
      <c r="J141" s="50" t="s">
        <v>403</v>
      </c>
      <c r="K141" s="53"/>
      <c r="L141" s="707" t="s">
        <v>452</v>
      </c>
      <c r="M141" s="922">
        <f ca="1">5*IFERROR(INDEX({0.5,0.5,1},MATCH($W$121,INDIRECT($U$121),0)),0)</f>
        <v>5</v>
      </c>
      <c r="N141" s="868">
        <f ca="1">'Ch5'!O142</f>
        <v>0</v>
      </c>
      <c r="O141" s="834">
        <f ca="1">M141*S141*W141</f>
        <v>0</v>
      </c>
      <c r="P141" t="b">
        <v>0</v>
      </c>
      <c r="Q141" t="b">
        <v>1</v>
      </c>
      <c r="R141" t="b">
        <v>0</v>
      </c>
      <c r="S141" t="b">
        <f>NOT(ISBLANK(W121))</f>
        <v>1</v>
      </c>
      <c r="T141" t="b">
        <f>IF(AND(NOT(S141),W141=TRUE),TRUE,FALSE)</f>
        <v>0</v>
      </c>
      <c r="W141" s="17"/>
      <c r="X141" s="688"/>
      <c r="Y141" s="891" t="str">
        <f>IF(LEN('Ch5'!X142)=0,"None",'Ch5'!X142)</f>
        <v>None</v>
      </c>
      <c r="Z141" s="892"/>
      <c r="AA141">
        <f>'Photo Review'!H141</f>
        <v>0</v>
      </c>
      <c r="AC141" t="b">
        <f>OR(AD141:AE141)</f>
        <v>0</v>
      </c>
      <c r="AD141" t="b">
        <f>T141</f>
        <v>0</v>
      </c>
      <c r="AL141" t="str">
        <f t="shared" si="36"/>
        <v>vpa503_5_7</v>
      </c>
      <c r="AM141">
        <f t="shared" ca="1" si="37"/>
        <v>5</v>
      </c>
      <c r="AN141" t="str">
        <f t="shared" si="38"/>
        <v>vpc503_5_7</v>
      </c>
      <c r="AO141">
        <f ca="1">O141</f>
        <v>0</v>
      </c>
      <c r="AP141" t="str">
        <f t="shared" si="39"/>
        <v>vch503_5_7</v>
      </c>
      <c r="AQ141">
        <f>W141</f>
        <v>0</v>
      </c>
      <c r="AR141" t="str">
        <f t="shared" si="40"/>
        <v>vnt503_5_7</v>
      </c>
      <c r="AS141">
        <f>X141</f>
        <v>0</v>
      </c>
      <c r="BJ141" s="573" t="s">
        <v>4670</v>
      </c>
    </row>
    <row r="142" spans="1:62" x14ac:dyDescent="0.35">
      <c r="A142" s="403">
        <v>5</v>
      </c>
      <c r="B142" s="604" t="s">
        <v>435</v>
      </c>
      <c r="C142" s="604"/>
      <c r="D142" s="604"/>
      <c r="E142" s="604" t="s">
        <v>403</v>
      </c>
      <c r="F142" s="604"/>
      <c r="G142" s="403" t="str">
        <f t="shared" ref="G142:G145" ca="1" si="41">G141</f>
        <v/>
      </c>
      <c r="H142" s="605" t="s">
        <v>4325</v>
      </c>
      <c r="I142" s="53"/>
      <c r="J142" s="53"/>
      <c r="K142" s="53"/>
      <c r="L142" s="707"/>
      <c r="M142" s="922"/>
      <c r="N142" s="834"/>
      <c r="O142" s="834"/>
      <c r="X142" s="688"/>
      <c r="Y142" s="891"/>
      <c r="Z142" s="892"/>
      <c r="BJ142" s="573" t="s">
        <v>4670</v>
      </c>
    </row>
    <row r="143" spans="1:62" x14ac:dyDescent="0.35">
      <c r="A143" s="403">
        <v>5</v>
      </c>
      <c r="B143" s="604" t="s">
        <v>435</v>
      </c>
      <c r="C143" s="604"/>
      <c r="D143" s="604"/>
      <c r="E143" s="604" t="s">
        <v>403</v>
      </c>
      <c r="F143" s="604"/>
      <c r="G143" s="403" t="str">
        <f t="shared" ca="1" si="41"/>
        <v/>
      </c>
      <c r="H143" s="605" t="s">
        <v>4325</v>
      </c>
      <c r="I143" s="53"/>
      <c r="J143" s="53"/>
      <c r="K143" s="53"/>
      <c r="L143" s="707"/>
      <c r="M143" s="922"/>
      <c r="N143" s="834"/>
      <c r="O143" s="834"/>
      <c r="X143" s="688"/>
      <c r="Y143" s="891"/>
      <c r="Z143" s="892"/>
      <c r="BJ143" s="573" t="s">
        <v>4670</v>
      </c>
    </row>
    <row r="144" spans="1:62" x14ac:dyDescent="0.35">
      <c r="A144" s="403">
        <v>5</v>
      </c>
      <c r="B144" s="604" t="s">
        <v>435</v>
      </c>
      <c r="C144" s="604"/>
      <c r="D144" s="604"/>
      <c r="E144" s="604" t="s">
        <v>403</v>
      </c>
      <c r="F144" s="604"/>
      <c r="G144" s="403" t="str">
        <f t="shared" ca="1" si="41"/>
        <v/>
      </c>
      <c r="H144" s="605" t="s">
        <v>4325</v>
      </c>
      <c r="I144" s="53"/>
      <c r="J144" s="53"/>
      <c r="K144" s="53"/>
      <c r="L144" s="707"/>
      <c r="M144" s="922"/>
      <c r="N144" s="834"/>
      <c r="O144" s="834"/>
      <c r="X144" s="688"/>
      <c r="Y144" s="891"/>
      <c r="Z144" s="892"/>
      <c r="BJ144" s="573" t="s">
        <v>4670</v>
      </c>
    </row>
    <row r="145" spans="1:62" x14ac:dyDescent="0.35">
      <c r="A145" s="403">
        <v>5</v>
      </c>
      <c r="B145" s="604" t="s">
        <v>435</v>
      </c>
      <c r="C145" s="604"/>
      <c r="D145" s="604"/>
      <c r="E145" s="604" t="s">
        <v>403</v>
      </c>
      <c r="F145" s="604"/>
      <c r="G145" s="403" t="str">
        <f t="shared" ca="1" si="41"/>
        <v/>
      </c>
      <c r="H145" s="605" t="s">
        <v>4325</v>
      </c>
      <c r="I145" s="53"/>
      <c r="J145" s="118"/>
      <c r="K145" s="118"/>
      <c r="L145" s="709"/>
      <c r="M145" s="936"/>
      <c r="N145" s="886"/>
      <c r="O145" s="886"/>
      <c r="X145" s="688"/>
      <c r="Y145" s="891"/>
      <c r="Z145" s="892"/>
      <c r="BJ145" s="573" t="s">
        <v>4670</v>
      </c>
    </row>
    <row r="146" spans="1:62" x14ac:dyDescent="0.35">
      <c r="A146" s="403">
        <v>5</v>
      </c>
      <c r="B146" s="604" t="s">
        <v>435</v>
      </c>
      <c r="C146" s="604"/>
      <c r="D146" s="604"/>
      <c r="E146" s="604" t="s">
        <v>453</v>
      </c>
      <c r="F146" s="604"/>
      <c r="G146" s="403" t="str">
        <f ca="1">IF(N146&gt;0,"P","")</f>
        <v/>
      </c>
      <c r="H146" s="605" t="s">
        <v>4325</v>
      </c>
      <c r="I146" s="53"/>
      <c r="J146" s="50" t="s">
        <v>453</v>
      </c>
      <c r="K146" s="53"/>
      <c r="L146" s="707" t="s">
        <v>454</v>
      </c>
      <c r="M146" s="922">
        <f ca="1">5*IFERROR(INDEX({0.5,0.5,1},MATCH($W$121,INDIRECT($U$121),0)),0)</f>
        <v>5</v>
      </c>
      <c r="N146" s="868">
        <f ca="1">'Ch5'!O147</f>
        <v>0</v>
      </c>
      <c r="O146" s="834">
        <f ca="1">M146*S146*W146</f>
        <v>0</v>
      </c>
      <c r="P146" t="b">
        <v>0</v>
      </c>
      <c r="Q146" t="b">
        <v>1</v>
      </c>
      <c r="R146" t="b">
        <v>0</v>
      </c>
      <c r="S146" t="b">
        <f>NOT(ISBLANK(W121))</f>
        <v>1</v>
      </c>
      <c r="T146" t="b">
        <f>IF(AND(NOT(S146),W146=TRUE),TRUE,FALSE)</f>
        <v>0</v>
      </c>
      <c r="W146" s="17"/>
      <c r="X146" s="688"/>
      <c r="Y146" s="891" t="str">
        <f>IF(LEN('Ch5'!X147)=0,"None",'Ch5'!X147)</f>
        <v>None</v>
      </c>
      <c r="Z146" s="892"/>
      <c r="AC146" t="b">
        <f>OR(AD146:AE146)</f>
        <v>0</v>
      </c>
      <c r="AD146" t="b">
        <f>T146</f>
        <v>0</v>
      </c>
      <c r="AL146" t="str">
        <f>SUBSTITUTE(SUBSTITUTE(SUBSTITUTE("vpa"&amp;$B146&amp;$C146&amp;$D146&amp;$E146&amp;$F146,".","_"),"(","_"),")","")</f>
        <v>vpa503_5_8</v>
      </c>
      <c r="AM146">
        <f ca="1">M146</f>
        <v>5</v>
      </c>
      <c r="AN146" t="str">
        <f>SUBSTITUTE(SUBSTITUTE(SUBSTITUTE("vpc"&amp;$B146&amp;$C146&amp;$D146&amp;$E146&amp;$F146,".","_"),"(","_"),")","")</f>
        <v>vpc503_5_8</v>
      </c>
      <c r="AO146">
        <f ca="1">O146</f>
        <v>0</v>
      </c>
      <c r="AP146" t="str">
        <f>SUBSTITUTE(SUBSTITUTE(SUBSTITUTE("vch"&amp;$B146&amp;$C146&amp;$D146&amp;$E146&amp;$F146,".","_"),"(","_"),")","")</f>
        <v>vch503_5_8</v>
      </c>
      <c r="AQ146">
        <f>W146</f>
        <v>0</v>
      </c>
      <c r="AR146" t="str">
        <f>SUBSTITUTE(SUBSTITUTE(SUBSTITUTE("vnt"&amp;$B146&amp;$C146&amp;$D146&amp;$E146&amp;$F146,".","_"),"(","_"),")","")</f>
        <v>vnt503_5_8</v>
      </c>
      <c r="AS146">
        <f>X146</f>
        <v>0</v>
      </c>
      <c r="BJ146" s="573" t="s">
        <v>4670</v>
      </c>
    </row>
    <row r="147" spans="1:62" x14ac:dyDescent="0.35">
      <c r="A147" s="403">
        <v>5</v>
      </c>
      <c r="B147" s="604" t="s">
        <v>435</v>
      </c>
      <c r="C147" s="604"/>
      <c r="D147" s="604"/>
      <c r="E147" s="604" t="s">
        <v>453</v>
      </c>
      <c r="F147" s="604"/>
      <c r="G147" s="403" t="str">
        <f ca="1">G146</f>
        <v/>
      </c>
      <c r="H147" s="605" t="s">
        <v>4325</v>
      </c>
      <c r="I147" s="53"/>
      <c r="J147" s="118"/>
      <c r="K147" s="118"/>
      <c r="L147" s="709"/>
      <c r="M147" s="936"/>
      <c r="N147" s="886"/>
      <c r="O147" s="886"/>
      <c r="X147" s="688"/>
      <c r="Y147" s="891"/>
      <c r="Z147" s="892"/>
      <c r="BJ147" s="573" t="s">
        <v>4670</v>
      </c>
    </row>
    <row r="148" spans="1:62" x14ac:dyDescent="0.35">
      <c r="A148" s="403">
        <v>5</v>
      </c>
      <c r="B148" s="604" t="s">
        <v>435</v>
      </c>
      <c r="C148" s="604"/>
      <c r="D148" s="604"/>
      <c r="E148" s="604" t="s">
        <v>455</v>
      </c>
      <c r="F148" s="604"/>
      <c r="G148" s="403" t="str">
        <f>IF(N148&gt;0,"P","")</f>
        <v/>
      </c>
      <c r="H148" s="605" t="s">
        <v>4325</v>
      </c>
      <c r="I148" s="53"/>
      <c r="J148" s="50" t="s">
        <v>455</v>
      </c>
      <c r="K148" s="53"/>
      <c r="L148" s="707" t="s">
        <v>456</v>
      </c>
      <c r="M148" s="939">
        <v>3</v>
      </c>
      <c r="N148" s="868">
        <f>'Ch5'!O149</f>
        <v>0</v>
      </c>
      <c r="O148" s="868">
        <f>M148*S148*W148</f>
        <v>0</v>
      </c>
      <c r="P148" t="b">
        <v>0</v>
      </c>
      <c r="Q148" t="b">
        <v>1</v>
      </c>
      <c r="R148" t="b">
        <v>0</v>
      </c>
      <c r="S148" t="b">
        <f>NOT(ISBLANK(W121))</f>
        <v>1</v>
      </c>
      <c r="T148" t="b">
        <f>IF(AND(NOT(S148),W148=TRUE),TRUE,FALSE)</f>
        <v>0</v>
      </c>
      <c r="W148" s="17"/>
      <c r="X148" s="698"/>
      <c r="Y148" s="891" t="str">
        <f>IF(LEN('Ch5'!X149)=0,"None",'Ch5'!X149)</f>
        <v>None</v>
      </c>
      <c r="Z148" s="892"/>
      <c r="AC148" t="b">
        <f>OR(AD148:AE148)</f>
        <v>0</v>
      </c>
      <c r="AD148" t="b">
        <f>T148</f>
        <v>0</v>
      </c>
      <c r="AL148" t="str">
        <f>SUBSTITUTE(SUBSTITUTE(SUBSTITUTE("vpa"&amp;$B148&amp;$C148&amp;$D148&amp;$E148&amp;$F148,".","_"),"(","_"),")","")</f>
        <v>vpa503_5_9</v>
      </c>
      <c r="AM148">
        <f>M148</f>
        <v>3</v>
      </c>
      <c r="AN148" t="str">
        <f>SUBSTITUTE(SUBSTITUTE(SUBSTITUTE("vpc"&amp;$B148&amp;$C148&amp;$D148&amp;$E148&amp;$F148,".","_"),"(","_"),")","")</f>
        <v>vpc503_5_9</v>
      </c>
      <c r="AO148">
        <f>O148</f>
        <v>0</v>
      </c>
      <c r="AP148" t="str">
        <f>SUBSTITUTE(SUBSTITUTE(SUBSTITUTE("vch"&amp;$B148&amp;$C148&amp;$D148&amp;$E148&amp;$F148,".","_"),"(","_"),")","")</f>
        <v>vch503_5_9</v>
      </c>
      <c r="AQ148">
        <f>W148</f>
        <v>0</v>
      </c>
      <c r="AR148" t="str">
        <f>SUBSTITUTE(SUBSTITUTE(SUBSTITUTE("vnt"&amp;$B148&amp;$C148&amp;$D148&amp;$E148&amp;$F148,".","_"),"(","_"),")","")</f>
        <v>vnt503_5_9</v>
      </c>
      <c r="AS148">
        <f>X148</f>
        <v>0</v>
      </c>
      <c r="BJ148" s="573" t="s">
        <v>4670</v>
      </c>
    </row>
    <row r="149" spans="1:62" x14ac:dyDescent="0.35">
      <c r="A149" s="403">
        <v>5</v>
      </c>
      <c r="B149" s="604" t="s">
        <v>435</v>
      </c>
      <c r="C149" s="604"/>
      <c r="D149" s="604"/>
      <c r="E149" s="604" t="s">
        <v>455</v>
      </c>
      <c r="F149" s="604"/>
      <c r="G149" s="403" t="str">
        <f t="shared" ref="G149:G150" si="42">G148</f>
        <v/>
      </c>
      <c r="H149" s="605" t="s">
        <v>4325</v>
      </c>
      <c r="I149" s="53"/>
      <c r="J149" s="53"/>
      <c r="K149" s="53"/>
      <c r="L149" s="707"/>
      <c r="M149" s="922"/>
      <c r="N149" s="834"/>
      <c r="O149" s="834"/>
      <c r="X149" s="699"/>
      <c r="Y149" s="891"/>
      <c r="Z149" s="892"/>
      <c r="BJ149" s="573" t="s">
        <v>4670</v>
      </c>
    </row>
    <row r="150" spans="1:62" x14ac:dyDescent="0.35">
      <c r="A150" s="403">
        <v>5</v>
      </c>
      <c r="B150" s="604" t="s">
        <v>435</v>
      </c>
      <c r="C150" s="604"/>
      <c r="D150" s="604"/>
      <c r="E150" s="604" t="s">
        <v>455</v>
      </c>
      <c r="F150" s="604"/>
      <c r="G150" s="403" t="str">
        <f t="shared" si="42"/>
        <v/>
      </c>
      <c r="H150" s="605" t="s">
        <v>4325</v>
      </c>
      <c r="I150" s="53"/>
      <c r="J150" s="118"/>
      <c r="K150" s="118"/>
      <c r="L150" s="709"/>
      <c r="M150" s="936"/>
      <c r="N150" s="886"/>
      <c r="O150" s="886"/>
      <c r="X150" s="700"/>
      <c r="Y150" s="891"/>
      <c r="Z150" s="892"/>
      <c r="BJ150" s="573" t="s">
        <v>4670</v>
      </c>
    </row>
    <row r="151" spans="1:62" x14ac:dyDescent="0.35">
      <c r="A151" s="403">
        <v>5</v>
      </c>
      <c r="B151" s="604" t="s">
        <v>435</v>
      </c>
      <c r="C151" s="604"/>
      <c r="D151" s="604"/>
      <c r="E151" s="604" t="s">
        <v>457</v>
      </c>
      <c r="F151" s="604"/>
      <c r="G151" s="403" t="str">
        <f>IF(N151&gt;0,"P","")</f>
        <v/>
      </c>
      <c r="H151" s="605" t="s">
        <v>4325</v>
      </c>
      <c r="I151" s="53"/>
      <c r="J151" s="50" t="s">
        <v>457</v>
      </c>
      <c r="K151" s="53"/>
      <c r="L151" s="707" t="s">
        <v>458</v>
      </c>
      <c r="M151" s="922">
        <v>4</v>
      </c>
      <c r="N151" s="868">
        <f>'Ch5'!O152</f>
        <v>0</v>
      </c>
      <c r="O151" s="834">
        <f>M151*S151*W151</f>
        <v>0</v>
      </c>
      <c r="P151" t="b">
        <v>0</v>
      </c>
      <c r="Q151" t="b">
        <v>1</v>
      </c>
      <c r="R151" t="b">
        <v>0</v>
      </c>
      <c r="S151" t="b">
        <f>NOT(ISBLANK(W121))</f>
        <v>1</v>
      </c>
      <c r="T151" t="b">
        <f>IF(AND(NOT(S151),W151=TRUE),TRUE,FALSE)</f>
        <v>0</v>
      </c>
      <c r="W151" s="17"/>
      <c r="X151" s="688"/>
      <c r="Y151" s="891" t="str">
        <f>IF(LEN('Ch5'!X152)=0,"None",'Ch5'!X152)</f>
        <v>None</v>
      </c>
      <c r="Z151" s="892"/>
      <c r="AC151" t="b">
        <f>OR(AD151:AE151)</f>
        <v>0</v>
      </c>
      <c r="AD151" t="b">
        <f>T151</f>
        <v>0</v>
      </c>
      <c r="AL151" t="str">
        <f>SUBSTITUTE(SUBSTITUTE(SUBSTITUTE("vpa"&amp;$B151&amp;$C151&amp;$D151&amp;$E151&amp;$F151,".","_"),"(","_"),")","")</f>
        <v>vpa503_5_10</v>
      </c>
      <c r="AM151">
        <f>M151</f>
        <v>4</v>
      </c>
      <c r="AN151" t="str">
        <f>SUBSTITUTE(SUBSTITUTE(SUBSTITUTE("vpc"&amp;$B151&amp;$C151&amp;$D151&amp;$E151&amp;$F151,".","_"),"(","_"),")","")</f>
        <v>vpc503_5_10</v>
      </c>
      <c r="AO151">
        <f>O151</f>
        <v>0</v>
      </c>
      <c r="AP151" t="str">
        <f>SUBSTITUTE(SUBSTITUTE(SUBSTITUTE("vch"&amp;$B151&amp;$C151&amp;$D151&amp;$E151&amp;$F151,".","_"),"(","_"),")","")</f>
        <v>vch503_5_10</v>
      </c>
      <c r="AQ151">
        <f>W151</f>
        <v>0</v>
      </c>
      <c r="AR151" t="str">
        <f>SUBSTITUTE(SUBSTITUTE(SUBSTITUTE("vnt"&amp;$B151&amp;$C151&amp;$D151&amp;$E151&amp;$F151,".","_"),"(","_"),")","")</f>
        <v>vnt503_5_10</v>
      </c>
      <c r="AS151">
        <f>X151</f>
        <v>0</v>
      </c>
      <c r="BJ151" s="573" t="s">
        <v>4670</v>
      </c>
    </row>
    <row r="152" spans="1:62" x14ac:dyDescent="0.35">
      <c r="A152" s="403">
        <v>5</v>
      </c>
      <c r="B152" s="604" t="s">
        <v>435</v>
      </c>
      <c r="C152" s="604"/>
      <c r="D152" s="604"/>
      <c r="E152" s="604" t="s">
        <v>457</v>
      </c>
      <c r="F152" s="604"/>
      <c r="G152" s="403" t="str">
        <f>G151</f>
        <v/>
      </c>
      <c r="H152" s="605" t="s">
        <v>4325</v>
      </c>
      <c r="I152" s="53"/>
      <c r="J152" s="118"/>
      <c r="K152" s="118"/>
      <c r="L152" s="709"/>
      <c r="M152" s="936"/>
      <c r="N152" s="886"/>
      <c r="O152" s="886"/>
      <c r="X152" s="688"/>
      <c r="Y152" s="891"/>
      <c r="Z152" s="892"/>
      <c r="BJ152" s="573" t="s">
        <v>4670</v>
      </c>
    </row>
    <row r="153" spans="1:62" x14ac:dyDescent="0.35">
      <c r="A153" s="403">
        <v>5</v>
      </c>
      <c r="B153" s="604" t="s">
        <v>435</v>
      </c>
      <c r="C153" s="604"/>
      <c r="D153" s="604"/>
      <c r="E153" s="604" t="s">
        <v>459</v>
      </c>
      <c r="F153" s="604"/>
      <c r="G153" s="403" t="str">
        <f>IF(N153&gt;0,"P","")</f>
        <v/>
      </c>
      <c r="H153" s="605" t="s">
        <v>4325</v>
      </c>
      <c r="I153" s="53"/>
      <c r="J153" s="50" t="s">
        <v>459</v>
      </c>
      <c r="K153" s="53"/>
      <c r="L153" s="707" t="s">
        <v>460</v>
      </c>
      <c r="M153" s="922">
        <v>3</v>
      </c>
      <c r="N153" s="868">
        <f>'Ch5'!O154</f>
        <v>0</v>
      </c>
      <c r="O153" s="834">
        <f>M153*S153*W153</f>
        <v>0</v>
      </c>
      <c r="P153" t="b">
        <v>0</v>
      </c>
      <c r="Q153" t="b">
        <v>1</v>
      </c>
      <c r="R153" t="b">
        <v>0</v>
      </c>
      <c r="S153" t="b">
        <f>NOT(ISBLANK(W121))</f>
        <v>1</v>
      </c>
      <c r="T153" t="b">
        <f>IF(AND(NOT(S153),W153=TRUE),TRUE,FALSE)</f>
        <v>0</v>
      </c>
      <c r="W153" s="17"/>
      <c r="X153" s="688"/>
      <c r="Y153" s="891" t="str">
        <f>IF(LEN('Ch5'!X154)=0,"None",'Ch5'!X154)</f>
        <v>None</v>
      </c>
      <c r="Z153" s="892"/>
      <c r="AC153" t="b">
        <f>OR(AD153:AE153)</f>
        <v>0</v>
      </c>
      <c r="AD153" t="b">
        <f>T153</f>
        <v>0</v>
      </c>
      <c r="AL153" t="str">
        <f>SUBSTITUTE(SUBSTITUTE(SUBSTITUTE("vpa"&amp;$B153&amp;$C153&amp;$D153&amp;$E153&amp;$F153,".","_"),"(","_"),")","")</f>
        <v>vpa503_5_11</v>
      </c>
      <c r="AM153">
        <f>M153</f>
        <v>3</v>
      </c>
      <c r="AN153" t="str">
        <f>SUBSTITUTE(SUBSTITUTE(SUBSTITUTE("vpc"&amp;$B153&amp;$C153&amp;$D153&amp;$E153&amp;$F153,".","_"),"(","_"),")","")</f>
        <v>vpc503_5_11</v>
      </c>
      <c r="AO153">
        <f>O153</f>
        <v>0</v>
      </c>
      <c r="AP153" t="str">
        <f>SUBSTITUTE(SUBSTITUTE(SUBSTITUTE("vch"&amp;$B153&amp;$C153&amp;$D153&amp;$E153&amp;$F153,".","_"),"(","_"),")","")</f>
        <v>vch503_5_11</v>
      </c>
      <c r="AQ153">
        <f>W153</f>
        <v>0</v>
      </c>
      <c r="AR153" t="str">
        <f>SUBSTITUTE(SUBSTITUTE(SUBSTITUTE("vnt"&amp;$B153&amp;$C153&amp;$D153&amp;$E153&amp;$F153,".","_"),"(","_"),")","")</f>
        <v>vnt503_5_11</v>
      </c>
      <c r="AS153">
        <f>X153</f>
        <v>0</v>
      </c>
      <c r="BJ153" s="573" t="s">
        <v>4670</v>
      </c>
    </row>
    <row r="154" spans="1:62" x14ac:dyDescent="0.35">
      <c r="A154" s="403">
        <v>5</v>
      </c>
      <c r="B154" s="604" t="s">
        <v>435</v>
      </c>
      <c r="C154" s="604"/>
      <c r="D154" s="604"/>
      <c r="E154" s="604" t="s">
        <v>459</v>
      </c>
      <c r="F154" s="604"/>
      <c r="G154" s="403" t="str">
        <f>G153</f>
        <v/>
      </c>
      <c r="H154" s="605" t="s">
        <v>4325</v>
      </c>
      <c r="I154" s="53"/>
      <c r="J154" s="118"/>
      <c r="K154" s="118"/>
      <c r="L154" s="709"/>
      <c r="M154" s="936"/>
      <c r="N154" s="886"/>
      <c r="O154" s="886"/>
      <c r="X154" s="688"/>
      <c r="Y154" s="891"/>
      <c r="Z154" s="892"/>
      <c r="BJ154" s="573" t="s">
        <v>4670</v>
      </c>
    </row>
    <row r="155" spans="1:62" x14ac:dyDescent="0.35">
      <c r="A155" s="403">
        <v>5</v>
      </c>
      <c r="B155" s="604" t="s">
        <v>435</v>
      </c>
      <c r="C155" s="604"/>
      <c r="D155" s="604"/>
      <c r="E155" s="604" t="s">
        <v>461</v>
      </c>
      <c r="F155" s="604"/>
      <c r="G155" s="403" t="str">
        <f>IF(N155&gt;0,"P","")</f>
        <v/>
      </c>
      <c r="H155" s="605" t="s">
        <v>4325</v>
      </c>
      <c r="I155" s="53"/>
      <c r="J155" s="50" t="s">
        <v>461</v>
      </c>
      <c r="K155" s="53"/>
      <c r="L155" s="707" t="s">
        <v>462</v>
      </c>
      <c r="M155" s="922">
        <v>6</v>
      </c>
      <c r="N155" s="868">
        <f>'Ch5'!O156</f>
        <v>0</v>
      </c>
      <c r="O155" s="834">
        <f>M155*S155*W155</f>
        <v>0</v>
      </c>
      <c r="P155" t="b">
        <v>0</v>
      </c>
      <c r="Q155" t="b">
        <v>1</v>
      </c>
      <c r="R155" t="b">
        <v>0</v>
      </c>
      <c r="S155" t="b">
        <f>NOT(ISBLANK(W121))</f>
        <v>1</v>
      </c>
      <c r="T155" t="b">
        <f>IF(AND(NOT(S155),W155=TRUE),TRUE,FALSE)</f>
        <v>0</v>
      </c>
      <c r="W155" s="17"/>
      <c r="X155" s="688"/>
      <c r="Y155" s="891" t="str">
        <f>IF(LEN('Ch5'!X156)=0,"None",'Ch5'!X156)</f>
        <v>None</v>
      </c>
      <c r="Z155" s="892"/>
      <c r="AC155" t="b">
        <f>OR(AD155:AE155)</f>
        <v>0</v>
      </c>
      <c r="AD155" t="b">
        <f>T155</f>
        <v>0</v>
      </c>
      <c r="AL155" t="str">
        <f>SUBSTITUTE(SUBSTITUTE(SUBSTITUTE("vpa"&amp;$B155&amp;$C155&amp;$D155&amp;$E155&amp;$F155,".","_"),"(","_"),")","")</f>
        <v>vpa503_5_12</v>
      </c>
      <c r="AM155">
        <f>M155</f>
        <v>6</v>
      </c>
      <c r="AN155" t="str">
        <f>SUBSTITUTE(SUBSTITUTE(SUBSTITUTE("vpc"&amp;$B155&amp;$C155&amp;$D155&amp;$E155&amp;$F155,".","_"),"(","_"),")","")</f>
        <v>vpc503_5_12</v>
      </c>
      <c r="AO155">
        <f>O155</f>
        <v>0</v>
      </c>
      <c r="AP155" t="str">
        <f>SUBSTITUTE(SUBSTITUTE(SUBSTITUTE("vch"&amp;$B155&amp;$C155&amp;$D155&amp;$E155&amp;$F155,".","_"),"(","_"),")","")</f>
        <v>vch503_5_12</v>
      </c>
      <c r="AQ155">
        <f>W155</f>
        <v>0</v>
      </c>
      <c r="AR155" t="str">
        <f>SUBSTITUTE(SUBSTITUTE(SUBSTITUTE("vnt"&amp;$B155&amp;$C155&amp;$D155&amp;$E155&amp;$F155,".","_"),"(","_"),")","")</f>
        <v>vnt503_5_12</v>
      </c>
      <c r="AS155">
        <f>X155</f>
        <v>0</v>
      </c>
      <c r="BJ155" s="573" t="s">
        <v>4670</v>
      </c>
    </row>
    <row r="156" spans="1:62" ht="15" thickBot="1" x14ac:dyDescent="0.4">
      <c r="A156" s="403">
        <v>5</v>
      </c>
      <c r="B156" s="604" t="s">
        <v>435</v>
      </c>
      <c r="C156" s="604"/>
      <c r="D156" s="604"/>
      <c r="E156" s="604" t="s">
        <v>461</v>
      </c>
      <c r="F156" s="604"/>
      <c r="G156" s="403" t="str">
        <f>G155</f>
        <v/>
      </c>
      <c r="H156" s="605" t="s">
        <v>4325</v>
      </c>
      <c r="I156" s="60"/>
      <c r="J156" s="60"/>
      <c r="K156" s="60"/>
      <c r="L156" s="708"/>
      <c r="M156" s="937"/>
      <c r="N156" s="938"/>
      <c r="O156" s="938"/>
      <c r="P156" s="58"/>
      <c r="Q156" s="58"/>
      <c r="R156" s="58"/>
      <c r="S156" s="58"/>
      <c r="T156" s="58"/>
      <c r="U156" s="58"/>
      <c r="V156" s="58"/>
      <c r="W156" s="58"/>
      <c r="X156" s="689"/>
      <c r="Y156" s="905"/>
      <c r="Z156" s="895"/>
      <c r="BJ156" s="573" t="s">
        <v>4670</v>
      </c>
    </row>
    <row r="157" spans="1:62" ht="15" thickTop="1" x14ac:dyDescent="0.35">
      <c r="A157" s="403">
        <v>5</v>
      </c>
      <c r="B157" s="604" t="s">
        <v>463</v>
      </c>
      <c r="C157" s="604"/>
      <c r="D157" s="604"/>
      <c r="E157" s="604"/>
      <c r="F157" s="604"/>
      <c r="G157" s="600" t="str">
        <f>IF(COUNTIF(G159:G163,"P")&gt;0,"P","")</f>
        <v/>
      </c>
      <c r="H157" s="605" t="s">
        <v>4325</v>
      </c>
      <c r="I157" s="33">
        <v>503.6</v>
      </c>
      <c r="J157" s="53"/>
      <c r="K157" s="53"/>
      <c r="L157" s="706" t="s">
        <v>464</v>
      </c>
      <c r="M157" s="84"/>
      <c r="N157" s="940">
        <f>'Ch5'!O158</f>
        <v>6</v>
      </c>
      <c r="O157" s="940">
        <f>IF((M159*W159+M160*W160+M161*W161+M163*W163)&gt;=6,(M159*W159+M160*W160+M161*W161+M163*W163),0)</f>
        <v>0</v>
      </c>
      <c r="X157" s="687"/>
      <c r="Y157" s="904" t="str">
        <f>IF(LEN('Ch5'!X158)=0,"None",'Ch5'!X158)</f>
        <v>None</v>
      </c>
      <c r="Z157" s="896"/>
      <c r="AR157" t="str">
        <f>SUBSTITUTE(SUBSTITUTE(SUBSTITUTE("vnt"&amp;$B157&amp;$C157&amp;$D157&amp;$E157&amp;$F157,".","_"),"(","_"),")","")</f>
        <v>vnt503_6</v>
      </c>
      <c r="AS157">
        <f>X157</f>
        <v>0</v>
      </c>
      <c r="BJ157" s="573" t="s">
        <v>4670</v>
      </c>
    </row>
    <row r="158" spans="1:62" x14ac:dyDescent="0.35">
      <c r="A158" s="403">
        <v>5</v>
      </c>
      <c r="B158" s="604" t="s">
        <v>463</v>
      </c>
      <c r="C158" s="604"/>
      <c r="D158" s="604"/>
      <c r="E158" s="604"/>
      <c r="F158" s="604"/>
      <c r="G158" s="403" t="str">
        <f t="shared" ref="G158" si="43">G157</f>
        <v/>
      </c>
      <c r="H158" s="605" t="s">
        <v>4325</v>
      </c>
      <c r="I158" s="53"/>
      <c r="J158" s="53"/>
      <c r="K158" s="53"/>
      <c r="L158" s="706"/>
      <c r="M158" s="84"/>
      <c r="N158" s="834"/>
      <c r="O158" s="834"/>
      <c r="X158" s="688"/>
      <c r="Y158" s="891"/>
      <c r="Z158" s="892"/>
      <c r="BJ158" s="573" t="s">
        <v>4670</v>
      </c>
    </row>
    <row r="159" spans="1:62" x14ac:dyDescent="0.35">
      <c r="A159" s="403">
        <v>5</v>
      </c>
      <c r="B159" s="604" t="s">
        <v>463</v>
      </c>
      <c r="C159" s="604"/>
      <c r="D159" s="604"/>
      <c r="E159" s="604" t="s">
        <v>270</v>
      </c>
      <c r="F159" s="604"/>
      <c r="G159" s="403" t="str">
        <f>IF(N159&gt;0,"P","")</f>
        <v/>
      </c>
      <c r="H159" s="605" t="s">
        <v>4325</v>
      </c>
      <c r="I159" s="53"/>
      <c r="J159" s="115" t="s">
        <v>270</v>
      </c>
      <c r="K159" s="118"/>
      <c r="L159" s="116" t="s">
        <v>465</v>
      </c>
      <c r="M159" s="192">
        <v>3</v>
      </c>
      <c r="N159" s="191"/>
      <c r="O159" s="191"/>
      <c r="P159" t="b">
        <v>0</v>
      </c>
      <c r="Q159" t="b">
        <v>1</v>
      </c>
      <c r="R159" t="b">
        <v>0</v>
      </c>
      <c r="S159" t="b">
        <v>1</v>
      </c>
      <c r="T159" t="b">
        <v>0</v>
      </c>
      <c r="W159" s="17"/>
      <c r="X159" s="688"/>
      <c r="Y159" s="891"/>
      <c r="Z159" s="892"/>
      <c r="AL159" t="str">
        <f t="shared" ref="AL159:AL161" si="44">SUBSTITUTE(SUBSTITUTE(SUBSTITUTE("vpa"&amp;$B159&amp;$C159&amp;$D159&amp;$E159&amp;$F159,".","_"),"(","_"),")","")</f>
        <v>vpa503_6_1</v>
      </c>
      <c r="AM159">
        <f>M159</f>
        <v>3</v>
      </c>
      <c r="AN159" t="str">
        <f t="shared" ref="AN159:AN161" si="45">SUBSTITUTE(SUBSTITUTE(SUBSTITUTE("vpc"&amp;$B159&amp;$C159&amp;$D159&amp;$E159&amp;$F159,".","_"),"(","_"),")","")</f>
        <v>vpc503_6_1</v>
      </c>
      <c r="AO159">
        <f>O159</f>
        <v>0</v>
      </c>
      <c r="AP159" t="str">
        <f t="shared" ref="AP159:AP161" si="46">SUBSTITUTE(SUBSTITUTE(SUBSTITUTE("vch"&amp;$B159&amp;$C159&amp;$D159&amp;$E159&amp;$F159,".","_"),"(","_"),")","")</f>
        <v>vch503_6_1</v>
      </c>
      <c r="AQ159">
        <f>W159</f>
        <v>0</v>
      </c>
      <c r="BJ159" s="573" t="s">
        <v>4670</v>
      </c>
    </row>
    <row r="160" spans="1:62" x14ac:dyDescent="0.35">
      <c r="A160" s="403">
        <v>5</v>
      </c>
      <c r="B160" s="604" t="s">
        <v>463</v>
      </c>
      <c r="C160" s="604"/>
      <c r="D160" s="604"/>
      <c r="E160" s="604" t="s">
        <v>272</v>
      </c>
      <c r="F160" s="604"/>
      <c r="G160" s="403" t="str">
        <f>IF(N160&gt;0,"P","")</f>
        <v/>
      </c>
      <c r="H160" s="605" t="s">
        <v>4325</v>
      </c>
      <c r="I160" s="53"/>
      <c r="J160" s="115" t="s">
        <v>272</v>
      </c>
      <c r="K160" s="118"/>
      <c r="L160" s="116" t="s">
        <v>466</v>
      </c>
      <c r="M160" s="192">
        <v>3</v>
      </c>
      <c r="N160" s="191"/>
      <c r="O160" s="191"/>
      <c r="P160" t="b">
        <v>0</v>
      </c>
      <c r="Q160" t="b">
        <v>1</v>
      </c>
      <c r="R160" t="b">
        <v>0</v>
      </c>
      <c r="S160" t="b">
        <v>1</v>
      </c>
      <c r="T160" t="b">
        <v>0</v>
      </c>
      <c r="W160" s="17"/>
      <c r="X160" s="688"/>
      <c r="Y160" s="891"/>
      <c r="Z160" s="892"/>
      <c r="AL160" t="str">
        <f t="shared" si="44"/>
        <v>vpa503_6_2</v>
      </c>
      <c r="AM160">
        <f>M160</f>
        <v>3</v>
      </c>
      <c r="AN160" t="str">
        <f t="shared" si="45"/>
        <v>vpc503_6_2</v>
      </c>
      <c r="AO160">
        <f>O160</f>
        <v>0</v>
      </c>
      <c r="AP160" t="str">
        <f t="shared" si="46"/>
        <v>vch503_6_2</v>
      </c>
      <c r="AQ160">
        <f>W160</f>
        <v>0</v>
      </c>
      <c r="BJ160" s="573" t="s">
        <v>4670</v>
      </c>
    </row>
    <row r="161" spans="1:62" x14ac:dyDescent="0.35">
      <c r="A161" s="403">
        <v>5</v>
      </c>
      <c r="B161" s="604" t="s">
        <v>463</v>
      </c>
      <c r="C161" s="604"/>
      <c r="D161" s="604"/>
      <c r="E161" s="604" t="s">
        <v>274</v>
      </c>
      <c r="F161" s="604"/>
      <c r="G161" s="403" t="str">
        <f>IF(N161&gt;0,"P","")</f>
        <v/>
      </c>
      <c r="H161" s="605" t="s">
        <v>4325</v>
      </c>
      <c r="I161" s="53"/>
      <c r="J161" s="50" t="s">
        <v>274</v>
      </c>
      <c r="K161" s="53"/>
      <c r="L161" s="707" t="s">
        <v>467</v>
      </c>
      <c r="M161" s="922">
        <v>3</v>
      </c>
      <c r="N161" s="44"/>
      <c r="O161" s="44"/>
      <c r="P161" t="b">
        <v>0</v>
      </c>
      <c r="Q161" t="b">
        <v>1</v>
      </c>
      <c r="R161" t="b">
        <v>0</v>
      </c>
      <c r="S161" t="b">
        <v>1</v>
      </c>
      <c r="T161" t="b">
        <v>0</v>
      </c>
      <c r="W161" s="17"/>
      <c r="X161" s="688"/>
      <c r="Y161" s="891"/>
      <c r="Z161" s="892"/>
      <c r="AL161" t="str">
        <f t="shared" si="44"/>
        <v>vpa503_6_3</v>
      </c>
      <c r="AM161">
        <f>M161</f>
        <v>3</v>
      </c>
      <c r="AN161" t="str">
        <f t="shared" si="45"/>
        <v>vpc503_6_3</v>
      </c>
      <c r="AO161">
        <f>O161</f>
        <v>0</v>
      </c>
      <c r="AP161" t="str">
        <f t="shared" si="46"/>
        <v>vch503_6_3</v>
      </c>
      <c r="AQ161">
        <f>W161</f>
        <v>0</v>
      </c>
      <c r="BJ161" s="573" t="s">
        <v>4670</v>
      </c>
    </row>
    <row r="162" spans="1:62" x14ac:dyDescent="0.35">
      <c r="A162" s="403">
        <v>5</v>
      </c>
      <c r="B162" s="604" t="s">
        <v>463</v>
      </c>
      <c r="C162" s="604"/>
      <c r="D162" s="604"/>
      <c r="E162" s="604" t="s">
        <v>274</v>
      </c>
      <c r="F162" s="604"/>
      <c r="G162" s="403" t="str">
        <f>G161</f>
        <v/>
      </c>
      <c r="H162" s="605" t="s">
        <v>4325</v>
      </c>
      <c r="I162" s="53"/>
      <c r="J162" s="118"/>
      <c r="K162" s="118"/>
      <c r="L162" s="709"/>
      <c r="M162" s="936"/>
      <c r="N162" s="191"/>
      <c r="O162" s="191"/>
      <c r="X162" s="688"/>
      <c r="Y162" s="891"/>
      <c r="Z162" s="892"/>
      <c r="BJ162" s="573" t="s">
        <v>4670</v>
      </c>
    </row>
    <row r="163" spans="1:62" ht="15" thickBot="1" x14ac:dyDescent="0.4">
      <c r="A163" s="403">
        <v>5</v>
      </c>
      <c r="B163" s="604" t="s">
        <v>463</v>
      </c>
      <c r="C163" s="604"/>
      <c r="D163" s="604"/>
      <c r="E163" s="604" t="s">
        <v>283</v>
      </c>
      <c r="F163" s="604"/>
      <c r="G163" s="403" t="str">
        <f>IF(N163&gt;0,"P","")</f>
        <v/>
      </c>
      <c r="H163" s="605" t="s">
        <v>4325</v>
      </c>
      <c r="I163" s="60"/>
      <c r="J163" s="55" t="s">
        <v>283</v>
      </c>
      <c r="K163" s="60"/>
      <c r="L163" s="56" t="s">
        <v>468</v>
      </c>
      <c r="M163" s="194">
        <v>3</v>
      </c>
      <c r="N163" s="80"/>
      <c r="O163" s="80"/>
      <c r="P163" t="b">
        <v>0</v>
      </c>
      <c r="Q163" t="b">
        <v>1</v>
      </c>
      <c r="R163" s="58" t="b">
        <v>0</v>
      </c>
      <c r="S163" s="58" t="b">
        <v>1</v>
      </c>
      <c r="T163" s="58" t="b">
        <v>0</v>
      </c>
      <c r="U163" s="58"/>
      <c r="V163" s="58"/>
      <c r="W163" s="129"/>
      <c r="X163" s="689"/>
      <c r="Y163" s="905"/>
      <c r="Z163" s="895"/>
      <c r="AL163" t="str">
        <f>SUBSTITUTE(SUBSTITUTE(SUBSTITUTE("vpa"&amp;$B163&amp;$C163&amp;$D163&amp;$E163&amp;$F163,".","_"),"(","_"),")","")</f>
        <v>vpa503_6_4</v>
      </c>
      <c r="AM163">
        <f>M163</f>
        <v>3</v>
      </c>
      <c r="AN163" t="str">
        <f>SUBSTITUTE(SUBSTITUTE(SUBSTITUTE("vpc"&amp;$B163&amp;$C163&amp;$D163&amp;$E163&amp;$F163,".","_"),"(","_"),")","")</f>
        <v>vpc503_6_4</v>
      </c>
      <c r="AO163">
        <f>O163</f>
        <v>0</v>
      </c>
      <c r="AP163" t="str">
        <f>SUBSTITUTE(SUBSTITUTE(SUBSTITUTE("vch"&amp;$B163&amp;$C163&amp;$D163&amp;$E163&amp;$F163,".","_"),"(","_"),")","")</f>
        <v>vch503_6_4</v>
      </c>
      <c r="AQ163">
        <f>W163</f>
        <v>0</v>
      </c>
      <c r="BJ163" s="573" t="s">
        <v>4670</v>
      </c>
    </row>
    <row r="164" spans="1:62" ht="15" thickTop="1" x14ac:dyDescent="0.35">
      <c r="A164" s="403">
        <v>5</v>
      </c>
      <c r="B164" s="604" t="s">
        <v>469</v>
      </c>
      <c r="C164" s="604"/>
      <c r="D164" s="604"/>
      <c r="E164" s="604"/>
      <c r="F164" s="604"/>
      <c r="G164" s="600" t="str">
        <f>IF(COUNTIF(G166:G168,"P")&gt;0,"P","")</f>
        <v/>
      </c>
      <c r="H164" s="605" t="s">
        <v>4323</v>
      </c>
      <c r="I164" s="33">
        <v>503.7</v>
      </c>
      <c r="J164" s="53"/>
      <c r="K164" s="53"/>
      <c r="L164" s="706" t="s">
        <v>470</v>
      </c>
      <c r="M164" s="84"/>
      <c r="N164" s="940">
        <f>'Ch5'!O165</f>
        <v>0</v>
      </c>
      <c r="O164" s="940">
        <f>IF(LEN(W164)&gt;0,4,0)*S164</f>
        <v>0</v>
      </c>
      <c r="P164" t="b">
        <v>1</v>
      </c>
      <c r="Q164" t="b">
        <v>1</v>
      </c>
      <c r="R164" t="b">
        <v>0</v>
      </c>
      <c r="S164" t="b">
        <v>1</v>
      </c>
      <c r="T164" t="b">
        <v>0</v>
      </c>
      <c r="U164" t="str">
        <f>SUBSTITUTE(SUBSTITUTE(SUBSTITUTE("dd"&amp;B164&amp;C164&amp;D164&amp;E164&amp;F164,".","_"),"(","_"),")","")</f>
        <v>dd503_7</v>
      </c>
      <c r="W164" s="9"/>
      <c r="X164" s="700"/>
      <c r="Y164" s="904" t="str">
        <f>IF(LEN('Ch5'!X165)=0,"None",'Ch5'!X165)</f>
        <v>None</v>
      </c>
      <c r="Z164" s="896"/>
      <c r="AN164" t="str">
        <f>SUBSTITUTE(SUBSTITUTE(SUBSTITUTE("vpc"&amp;$B164&amp;$C164&amp;$D164&amp;$E164&amp;$F164,".","_"),"(","_"),")","")</f>
        <v>vpc503_7</v>
      </c>
      <c r="AO164">
        <f>O164</f>
        <v>0</v>
      </c>
      <c r="AP164" t="str">
        <f>SUBSTITUTE(SUBSTITUTE(SUBSTITUTE("vch"&amp;$B164&amp;$C164&amp;$D164&amp;$E164&amp;$F164,".","_"),"(","_"),")","")</f>
        <v>vch503_7</v>
      </c>
      <c r="AQ164">
        <f>W164</f>
        <v>0</v>
      </c>
      <c r="AR164" t="str">
        <f>SUBSTITUTE(SUBSTITUTE(SUBSTITUTE("vnt"&amp;$B164&amp;$C164&amp;$D164&amp;$E164&amp;$F164,".","_"),"(","_"),")","")</f>
        <v>vnt503_7</v>
      </c>
      <c r="AS164">
        <f>X164</f>
        <v>0</v>
      </c>
      <c r="BJ164" s="573" t="s">
        <v>4670</v>
      </c>
    </row>
    <row r="165" spans="1:62" x14ac:dyDescent="0.35">
      <c r="A165" s="403">
        <v>5</v>
      </c>
      <c r="B165" s="604" t="s">
        <v>469</v>
      </c>
      <c r="C165" s="604"/>
      <c r="D165" s="604"/>
      <c r="E165" s="604"/>
      <c r="F165" s="604"/>
      <c r="G165" s="403" t="str">
        <f t="shared" ref="G165" si="47">G164</f>
        <v/>
      </c>
      <c r="H165" s="605" t="s">
        <v>4323</v>
      </c>
      <c r="I165" s="53"/>
      <c r="J165" s="53"/>
      <c r="K165" s="53"/>
      <c r="L165" s="706"/>
      <c r="M165" s="84"/>
      <c r="N165" s="834"/>
      <c r="O165" s="834"/>
      <c r="X165" s="688"/>
      <c r="Y165" s="891"/>
      <c r="Z165" s="892"/>
      <c r="BJ165" s="573" t="s">
        <v>4670</v>
      </c>
    </row>
    <row r="166" spans="1:62" x14ac:dyDescent="0.35">
      <c r="A166" s="403">
        <v>5</v>
      </c>
      <c r="B166" s="604" t="s">
        <v>469</v>
      </c>
      <c r="C166" s="604"/>
      <c r="D166" s="604"/>
      <c r="E166" s="604" t="s">
        <v>270</v>
      </c>
      <c r="F166" s="604"/>
      <c r="G166" s="403" t="str">
        <f>IF(N166&gt;0,"P","")</f>
        <v/>
      </c>
      <c r="H166" s="605" t="s">
        <v>4323</v>
      </c>
      <c r="I166" s="53"/>
      <c r="J166" s="50" t="s">
        <v>270</v>
      </c>
      <c r="K166" s="53"/>
      <c r="L166" s="707" t="s">
        <v>471</v>
      </c>
      <c r="M166" s="922">
        <v>4</v>
      </c>
      <c r="X166" s="688"/>
      <c r="Y166" s="891"/>
      <c r="Z166" s="892"/>
      <c r="AL166" t="str">
        <f>SUBSTITUTE(SUBSTITUTE(SUBSTITUTE("vpa"&amp;$B166&amp;$C166&amp;$D166&amp;$E166&amp;$F166,".","_"),"(","_"),")","")</f>
        <v>vpa503_7_1</v>
      </c>
      <c r="AM166">
        <f>M166</f>
        <v>4</v>
      </c>
      <c r="BF166" s="573" t="s">
        <v>4670</v>
      </c>
    </row>
    <row r="167" spans="1:62" x14ac:dyDescent="0.35">
      <c r="A167" s="403">
        <v>5</v>
      </c>
      <c r="B167" s="604" t="s">
        <v>469</v>
      </c>
      <c r="C167" s="604"/>
      <c r="D167" s="604"/>
      <c r="E167" s="604" t="s">
        <v>270</v>
      </c>
      <c r="F167" s="604"/>
      <c r="G167" s="403" t="str">
        <f>G166</f>
        <v/>
      </c>
      <c r="H167" s="605" t="s">
        <v>4323</v>
      </c>
      <c r="I167" s="53"/>
      <c r="J167" s="115"/>
      <c r="K167" s="118"/>
      <c r="L167" s="709"/>
      <c r="M167" s="936"/>
      <c r="X167" s="688"/>
      <c r="Y167" s="891"/>
      <c r="Z167" s="892"/>
      <c r="BF167" s="573" t="s">
        <v>4670</v>
      </c>
    </row>
    <row r="168" spans="1:62" x14ac:dyDescent="0.35">
      <c r="A168" s="403">
        <v>5</v>
      </c>
      <c r="B168" s="604" t="s">
        <v>469</v>
      </c>
      <c r="C168" s="604"/>
      <c r="D168" s="604"/>
      <c r="E168" s="604" t="s">
        <v>272</v>
      </c>
      <c r="F168" s="604"/>
      <c r="G168" s="403" t="str">
        <f>IF(N168&gt;0,"P","")</f>
        <v/>
      </c>
      <c r="H168" s="605" t="s">
        <v>4323</v>
      </c>
      <c r="I168" s="53"/>
      <c r="J168" s="50" t="s">
        <v>272</v>
      </c>
      <c r="K168" s="53"/>
      <c r="L168" s="707" t="s">
        <v>472</v>
      </c>
      <c r="M168" s="922">
        <v>4</v>
      </c>
      <c r="X168" s="688"/>
      <c r="Y168" s="891"/>
      <c r="Z168" s="892"/>
      <c r="AL168" t="str">
        <f>SUBSTITUTE(SUBSTITUTE(SUBSTITUTE("vpa"&amp;$B168&amp;$C168&amp;$D168&amp;$E168&amp;$F168,".","_"),"(","_"),")","")</f>
        <v>vpa503_7_2</v>
      </c>
      <c r="AM168">
        <f>M168</f>
        <v>4</v>
      </c>
      <c r="BF168" s="573" t="s">
        <v>4670</v>
      </c>
    </row>
    <row r="169" spans="1:62" ht="15" thickBot="1" x14ac:dyDescent="0.4">
      <c r="A169" s="403">
        <v>5</v>
      </c>
      <c r="B169" s="604" t="s">
        <v>469</v>
      </c>
      <c r="C169" s="604"/>
      <c r="D169" s="604"/>
      <c r="E169" s="604" t="s">
        <v>272</v>
      </c>
      <c r="F169" s="604"/>
      <c r="G169" s="403" t="str">
        <f>G168</f>
        <v/>
      </c>
      <c r="H169" s="605" t="s">
        <v>4323</v>
      </c>
      <c r="I169" s="60"/>
      <c r="J169" s="60"/>
      <c r="K169" s="60"/>
      <c r="L169" s="708"/>
      <c r="M169" s="937"/>
      <c r="P169" s="58"/>
      <c r="Q169" s="58"/>
      <c r="R169" s="58"/>
      <c r="S169" s="58"/>
      <c r="T169" s="58"/>
      <c r="U169" s="58"/>
      <c r="V169" s="58"/>
      <c r="W169" s="58"/>
      <c r="X169" s="689"/>
      <c r="Y169" s="905"/>
      <c r="Z169" s="895"/>
      <c r="BJ169" s="573" t="s">
        <v>4670</v>
      </c>
    </row>
    <row r="170" spans="1:62" ht="15" thickTop="1" x14ac:dyDescent="0.35">
      <c r="A170" s="403">
        <v>5</v>
      </c>
      <c r="B170" s="604" t="s">
        <v>473</v>
      </c>
      <c r="C170" s="604"/>
      <c r="D170" s="604"/>
      <c r="E170" s="604"/>
      <c r="F170" s="604"/>
      <c r="G170" s="403" t="str">
        <f ca="1">IF(N170&gt;0,"P","")</f>
        <v/>
      </c>
      <c r="H170" s="605" t="s">
        <v>4324</v>
      </c>
      <c r="I170" s="33">
        <v>503.8</v>
      </c>
      <c r="J170" s="53"/>
      <c r="K170" s="53"/>
      <c r="L170" s="706" t="s">
        <v>474</v>
      </c>
      <c r="M170" s="922">
        <v>5</v>
      </c>
      <c r="N170" s="940">
        <f ca="1">'Ch5'!O171</f>
        <v>0</v>
      </c>
      <c r="O170" s="940">
        <f ca="1">IFERROR(INDEX({5,6,7,8,9,10},MATCH(W171,INDIRECT(U171),0)),0)</f>
        <v>0</v>
      </c>
      <c r="X170" s="700"/>
      <c r="Y170" s="904" t="str">
        <f>IF(LEN('Ch5'!X171)=0,"None",'Ch5'!X171)</f>
        <v>None</v>
      </c>
      <c r="Z170" s="896"/>
      <c r="AL170" t="str">
        <f>SUBSTITUTE(SUBSTITUTE(SUBSTITUTE("vpa"&amp;$B170&amp;$C170&amp;$D170&amp;$E170&amp;$F170,".","_"),"(","_"),")","")</f>
        <v>vpa503_8</v>
      </c>
      <c r="AM170">
        <f>M170</f>
        <v>5</v>
      </c>
      <c r="AN170" t="str">
        <f>SUBSTITUTE(SUBSTITUTE(SUBSTITUTE("vpc"&amp;$B170&amp;$C170&amp;$D170&amp;$E170&amp;$F170,".","_"),"(","_"),")","")</f>
        <v>vpc503_8</v>
      </c>
      <c r="AO170">
        <f ca="1">O170</f>
        <v>0</v>
      </c>
      <c r="AP170" t="str">
        <f>SUBSTITUTE(SUBSTITUTE(SUBSTITUTE("vch"&amp;$B170&amp;$C170&amp;$D170&amp;$E170&amp;$F170,".","_"),"(","_"),")","")</f>
        <v>vch503_8</v>
      </c>
      <c r="AQ170">
        <f>W170</f>
        <v>0</v>
      </c>
      <c r="AR170" t="str">
        <f>SUBSTITUTE(SUBSTITUTE(SUBSTITUTE("vnt"&amp;$B170&amp;$C170&amp;$D170&amp;$E170&amp;$F170,".","_"),"(","_"),")","")</f>
        <v>vnt503_8</v>
      </c>
      <c r="AS170">
        <f>X170</f>
        <v>0</v>
      </c>
      <c r="BJ170" s="573" t="s">
        <v>4670</v>
      </c>
    </row>
    <row r="171" spans="1:62" x14ac:dyDescent="0.35">
      <c r="A171" s="403">
        <v>5</v>
      </c>
      <c r="B171" s="604" t="s">
        <v>473</v>
      </c>
      <c r="C171" s="604"/>
      <c r="D171" s="604"/>
      <c r="E171" s="604"/>
      <c r="F171" s="604"/>
      <c r="G171" s="403" t="str">
        <f t="shared" ref="G171:G174" ca="1" si="48">G170</f>
        <v/>
      </c>
      <c r="H171" s="605" t="s">
        <v>4324</v>
      </c>
      <c r="I171" s="53"/>
      <c r="J171" s="53"/>
      <c r="K171" s="53"/>
      <c r="L171" s="706"/>
      <c r="M171" s="922"/>
      <c r="N171" s="834"/>
      <c r="O171" s="834"/>
      <c r="P171" t="b">
        <v>1</v>
      </c>
      <c r="Q171" t="b">
        <v>0</v>
      </c>
      <c r="R171" t="b">
        <v>0</v>
      </c>
      <c r="S171" t="b">
        <v>1</v>
      </c>
      <c r="T171" t="b">
        <v>0</v>
      </c>
      <c r="U171" t="str">
        <f>SUBSTITUTE(SUBSTITUTE(SUBSTITUTE("dd"&amp;B171&amp;C171&amp;D171&amp;E171&amp;F171,".","_"),"(","_"),")","")</f>
        <v>dd503_8</v>
      </c>
      <c r="W171" s="9"/>
      <c r="X171" s="688"/>
      <c r="Y171" s="891"/>
      <c r="Z171" s="892"/>
      <c r="BJ171" s="573" t="s">
        <v>4670</v>
      </c>
    </row>
    <row r="172" spans="1:62" x14ac:dyDescent="0.35">
      <c r="A172" s="403">
        <v>5</v>
      </c>
      <c r="B172" s="604" t="s">
        <v>473</v>
      </c>
      <c r="C172" s="604"/>
      <c r="D172" s="604"/>
      <c r="E172" s="604"/>
      <c r="F172" s="604"/>
      <c r="G172" s="403" t="str">
        <f t="shared" ca="1" si="48"/>
        <v/>
      </c>
      <c r="H172" s="605" t="s">
        <v>4324</v>
      </c>
      <c r="I172" s="53"/>
      <c r="J172" s="53"/>
      <c r="K172" s="53"/>
      <c r="L172" s="706"/>
      <c r="M172" s="922"/>
      <c r="N172" s="834"/>
      <c r="O172" s="834"/>
      <c r="X172" s="688"/>
      <c r="Y172" s="891"/>
      <c r="Z172" s="892"/>
      <c r="BJ172" s="573" t="s">
        <v>4670</v>
      </c>
    </row>
    <row r="173" spans="1:62" x14ac:dyDescent="0.35">
      <c r="A173" s="403">
        <v>5</v>
      </c>
      <c r="B173" s="604" t="s">
        <v>473</v>
      </c>
      <c r="C173" s="604"/>
      <c r="D173" s="604"/>
      <c r="E173" s="604"/>
      <c r="F173" s="604"/>
      <c r="G173" s="403" t="str">
        <f t="shared" ca="1" si="48"/>
        <v/>
      </c>
      <c r="H173" s="605" t="s">
        <v>4324</v>
      </c>
      <c r="I173" s="53"/>
      <c r="J173" s="53"/>
      <c r="K173" s="53"/>
      <c r="L173" s="707" t="s">
        <v>475</v>
      </c>
      <c r="M173" s="922" t="s">
        <v>831</v>
      </c>
      <c r="N173" s="44"/>
      <c r="O173" s="44"/>
      <c r="X173" s="688"/>
      <c r="Y173" s="891"/>
      <c r="Z173" s="892"/>
      <c r="BJ173" s="573" t="s">
        <v>4670</v>
      </c>
    </row>
    <row r="174" spans="1:62" x14ac:dyDescent="0.35">
      <c r="A174" s="403">
        <v>5</v>
      </c>
      <c r="B174" s="604" t="s">
        <v>473</v>
      </c>
      <c r="C174" s="604"/>
      <c r="D174" s="604"/>
      <c r="E174" s="604"/>
      <c r="F174" s="604"/>
      <c r="G174" s="403" t="str">
        <f t="shared" ca="1" si="48"/>
        <v/>
      </c>
      <c r="H174" s="605" t="s">
        <v>4324</v>
      </c>
      <c r="I174" s="53"/>
      <c r="J174" s="53"/>
      <c r="K174" s="53"/>
      <c r="L174" s="707"/>
      <c r="M174" s="922"/>
      <c r="N174" s="44"/>
      <c r="O174" s="44"/>
      <c r="X174" s="688"/>
      <c r="Y174" s="891"/>
      <c r="Z174" s="892"/>
      <c r="BJ174" s="573" t="s">
        <v>4670</v>
      </c>
    </row>
    <row r="175" spans="1:62" ht="18.5" x14ac:dyDescent="0.45">
      <c r="A175" s="403">
        <v>5</v>
      </c>
      <c r="B175" s="604" t="s">
        <v>476</v>
      </c>
      <c r="C175" s="604"/>
      <c r="D175" s="604"/>
      <c r="E175" s="604"/>
      <c r="F175" s="604"/>
      <c r="G175" s="403" t="s">
        <v>4326</v>
      </c>
      <c r="H175" s="403" t="s">
        <v>4323</v>
      </c>
      <c r="I175" s="51" t="s">
        <v>477</v>
      </c>
      <c r="J175" s="51"/>
      <c r="K175" s="51"/>
      <c r="L175" s="47"/>
      <c r="M175" s="37"/>
      <c r="N175" s="37"/>
      <c r="O175" s="37"/>
      <c r="P175" s="15"/>
      <c r="Q175" s="15"/>
      <c r="R175" s="15"/>
      <c r="S175" s="15"/>
      <c r="T175" s="15"/>
      <c r="U175" s="15"/>
      <c r="V175" s="15"/>
      <c r="W175" s="15"/>
      <c r="X175" s="15"/>
      <c r="Y175" s="15"/>
      <c r="Z175" s="562"/>
      <c r="BJ175" s="573" t="s">
        <v>4670</v>
      </c>
    </row>
    <row r="176" spans="1:62" x14ac:dyDescent="0.35">
      <c r="A176" s="403">
        <v>5</v>
      </c>
      <c r="B176" s="604" t="s">
        <v>476</v>
      </c>
      <c r="C176" s="604"/>
      <c r="D176" s="604"/>
      <c r="E176" s="604"/>
      <c r="F176" s="604"/>
      <c r="G176" s="605"/>
      <c r="H176" s="605"/>
      <c r="I176" s="50" t="s">
        <v>476</v>
      </c>
      <c r="J176" s="53"/>
      <c r="K176" s="53"/>
      <c r="L176" s="706" t="s">
        <v>478</v>
      </c>
      <c r="M176" s="84"/>
      <c r="N176" s="44"/>
      <c r="O176" s="44"/>
      <c r="X176" s="68"/>
      <c r="Z176" s="543"/>
      <c r="BJ176" s="573" t="s">
        <v>4670</v>
      </c>
    </row>
    <row r="177" spans="1:62" ht="15" thickBot="1" x14ac:dyDescent="0.4">
      <c r="A177" s="403">
        <v>5</v>
      </c>
      <c r="B177" s="604" t="s">
        <v>476</v>
      </c>
      <c r="C177" s="604"/>
      <c r="D177" s="604"/>
      <c r="E177" s="604"/>
      <c r="F177" s="604"/>
      <c r="G177" s="605"/>
      <c r="H177" s="605"/>
      <c r="I177" s="60"/>
      <c r="J177" s="60"/>
      <c r="K177" s="60"/>
      <c r="L177" s="710"/>
      <c r="M177" s="194"/>
      <c r="N177" s="80"/>
      <c r="O177" s="80"/>
      <c r="P177" s="58"/>
      <c r="Q177" s="58"/>
      <c r="R177" s="58"/>
      <c r="S177" s="58"/>
      <c r="T177" s="58"/>
      <c r="U177" s="58"/>
      <c r="V177" s="58"/>
      <c r="W177" s="58"/>
      <c r="X177" s="67"/>
      <c r="Y177" s="203"/>
      <c r="Z177" s="564"/>
      <c r="BJ177" s="573" t="s">
        <v>4670</v>
      </c>
    </row>
    <row r="178" spans="1:62" ht="15" thickTop="1" x14ac:dyDescent="0.35">
      <c r="A178" s="403">
        <v>5</v>
      </c>
      <c r="B178" s="604" t="s">
        <v>479</v>
      </c>
      <c r="C178" s="604"/>
      <c r="D178" s="604"/>
      <c r="E178" s="604"/>
      <c r="F178" s="604"/>
      <c r="G178" s="403" t="str">
        <f>IF(N178&gt;0,"P","")</f>
        <v/>
      </c>
      <c r="H178" s="605" t="s">
        <v>4323</v>
      </c>
      <c r="I178" s="69" t="s">
        <v>479</v>
      </c>
      <c r="J178" s="64"/>
      <c r="K178" s="64"/>
      <c r="L178" s="711" t="s">
        <v>480</v>
      </c>
      <c r="M178" s="941">
        <v>4</v>
      </c>
      <c r="N178" s="940">
        <f>'Ch5'!O179</f>
        <v>0</v>
      </c>
      <c r="O178" s="940">
        <f>M178*W178*S178</f>
        <v>0</v>
      </c>
      <c r="P178" t="b">
        <v>1</v>
      </c>
      <c r="Q178" t="b">
        <v>1</v>
      </c>
      <c r="R178" s="62" t="b">
        <v>0</v>
      </c>
      <c r="S178" s="62" t="b">
        <f>IF((O83+O85+O92)&gt;0,TRUE,FALSE)</f>
        <v>0</v>
      </c>
      <c r="T178" t="b">
        <f>IF(AND(NOT(S178),W178=TRUE),TRUE,FALSE)</f>
        <v>0</v>
      </c>
      <c r="U178" s="62"/>
      <c r="V178" s="62"/>
      <c r="W178" s="17"/>
      <c r="X178" s="687"/>
      <c r="Y178" s="904" t="str">
        <f>IF(LEN('Ch5'!X179)=0,"None",'Ch5'!X179)</f>
        <v>None</v>
      </c>
      <c r="Z178" s="896"/>
      <c r="AC178" t="b">
        <f>OR(AD178:AE178)</f>
        <v>0</v>
      </c>
      <c r="AD178" t="b">
        <f>T178</f>
        <v>0</v>
      </c>
      <c r="AL178" t="str">
        <f>SUBSTITUTE(SUBSTITUTE(SUBSTITUTE("vpa"&amp;$B178&amp;$C178&amp;$D178&amp;$E178&amp;$F178,".","_"),"(","_"),")","")</f>
        <v>vpa504_1</v>
      </c>
      <c r="AM178">
        <f>M178</f>
        <v>4</v>
      </c>
      <c r="AN178" t="str">
        <f>SUBSTITUTE(SUBSTITUTE(SUBSTITUTE("vpc"&amp;$B178&amp;$C178&amp;$D178&amp;$E178&amp;$F178,".","_"),"(","_"),")","")</f>
        <v>vpc504_1</v>
      </c>
      <c r="AO178">
        <f>O178</f>
        <v>0</v>
      </c>
      <c r="AP178" t="str">
        <f>SUBSTITUTE(SUBSTITUTE(SUBSTITUTE("vch"&amp;$B178&amp;$C178&amp;$D178&amp;$E178&amp;$F178,".","_"),"(","_"),")","")</f>
        <v>vch504_1</v>
      </c>
      <c r="AQ178">
        <f>W178</f>
        <v>0</v>
      </c>
      <c r="AR178" t="str">
        <f>SUBSTITUTE(SUBSTITUTE(SUBSTITUTE("vnt"&amp;$B178&amp;$C178&amp;$D178&amp;$E178&amp;$F178,".","_"),"(","_"),")","")</f>
        <v>vnt504_1</v>
      </c>
      <c r="AS178">
        <f>X178</f>
        <v>0</v>
      </c>
      <c r="BJ178" s="573" t="s">
        <v>4670</v>
      </c>
    </row>
    <row r="179" spans="1:62" x14ac:dyDescent="0.35">
      <c r="A179" s="403">
        <v>5</v>
      </c>
      <c r="B179" s="604" t="s">
        <v>479</v>
      </c>
      <c r="C179" s="604"/>
      <c r="D179" s="604"/>
      <c r="E179" s="604"/>
      <c r="F179" s="604"/>
      <c r="G179" s="403" t="str">
        <f t="shared" ref="G179:G182" si="49">G178</f>
        <v/>
      </c>
      <c r="H179" s="605" t="s">
        <v>4323</v>
      </c>
      <c r="I179" s="53"/>
      <c r="J179" s="53"/>
      <c r="K179" s="53"/>
      <c r="L179" s="706"/>
      <c r="M179" s="922"/>
      <c r="N179" s="834"/>
      <c r="O179" s="834"/>
      <c r="X179" s="688"/>
      <c r="Y179" s="891"/>
      <c r="Z179" s="892"/>
      <c r="BJ179" s="573" t="s">
        <v>4670</v>
      </c>
    </row>
    <row r="180" spans="1:62" x14ac:dyDescent="0.35">
      <c r="A180" s="403">
        <v>5</v>
      </c>
      <c r="B180" s="604" t="s">
        <v>479</v>
      </c>
      <c r="C180" s="604"/>
      <c r="D180" s="604"/>
      <c r="E180" s="604"/>
      <c r="F180" s="604"/>
      <c r="G180" s="403" t="str">
        <f t="shared" si="49"/>
        <v/>
      </c>
      <c r="H180" s="605" t="s">
        <v>4323</v>
      </c>
      <c r="I180" s="53"/>
      <c r="J180" s="53"/>
      <c r="K180" s="53"/>
      <c r="L180" s="706"/>
      <c r="M180" s="922"/>
      <c r="N180" s="834"/>
      <c r="O180" s="834"/>
      <c r="X180" s="688"/>
      <c r="Y180" s="891"/>
      <c r="Z180" s="892"/>
      <c r="BJ180" s="573" t="s">
        <v>4670</v>
      </c>
    </row>
    <row r="181" spans="1:62" x14ac:dyDescent="0.35">
      <c r="A181" s="403">
        <v>5</v>
      </c>
      <c r="B181" s="604" t="s">
        <v>479</v>
      </c>
      <c r="C181" s="604"/>
      <c r="D181" s="604"/>
      <c r="E181" s="604"/>
      <c r="F181" s="604"/>
      <c r="G181" s="403" t="str">
        <f t="shared" si="49"/>
        <v/>
      </c>
      <c r="H181" s="605" t="s">
        <v>4323</v>
      </c>
      <c r="I181" s="53"/>
      <c r="J181" s="53"/>
      <c r="K181" s="53"/>
      <c r="L181" s="706"/>
      <c r="M181" s="922"/>
      <c r="N181" s="834"/>
      <c r="O181" s="834"/>
      <c r="X181" s="688"/>
      <c r="Y181" s="891"/>
      <c r="Z181" s="892"/>
      <c r="BJ181" s="573" t="s">
        <v>4670</v>
      </c>
    </row>
    <row r="182" spans="1:62" ht="15" thickBot="1" x14ac:dyDescent="0.4">
      <c r="A182" s="403">
        <v>5</v>
      </c>
      <c r="B182" s="604" t="s">
        <v>479</v>
      </c>
      <c r="C182" s="604"/>
      <c r="D182" s="604"/>
      <c r="E182" s="604"/>
      <c r="F182" s="604"/>
      <c r="G182" s="403" t="str">
        <f t="shared" si="49"/>
        <v/>
      </c>
      <c r="H182" s="605" t="s">
        <v>4323</v>
      </c>
      <c r="I182" s="60"/>
      <c r="J182" s="60"/>
      <c r="K182" s="60"/>
      <c r="L182" s="122" t="s">
        <v>838</v>
      </c>
      <c r="M182" s="937"/>
      <c r="N182" s="938"/>
      <c r="O182" s="938"/>
      <c r="P182" s="58"/>
      <c r="Q182" s="58"/>
      <c r="R182" s="58"/>
      <c r="S182" s="58"/>
      <c r="T182" s="58"/>
      <c r="U182" s="58"/>
      <c r="V182" s="58"/>
      <c r="W182" s="58"/>
      <c r="X182" s="689"/>
      <c r="Y182" s="905"/>
      <c r="Z182" s="895"/>
      <c r="BJ182" s="573" t="s">
        <v>4670</v>
      </c>
    </row>
    <row r="183" spans="1:62" ht="15" thickTop="1" x14ac:dyDescent="0.35">
      <c r="A183" s="403">
        <v>5</v>
      </c>
      <c r="B183" s="604" t="s">
        <v>481</v>
      </c>
      <c r="C183" s="604"/>
      <c r="D183" s="604"/>
      <c r="E183" s="604"/>
      <c r="F183" s="604"/>
      <c r="G183" s="600" t="str">
        <f>IF(COUNTIF(G185:G188,"P")&gt;0,"P","")</f>
        <v/>
      </c>
      <c r="H183" s="605" t="s">
        <v>4324</v>
      </c>
      <c r="I183" s="50" t="s">
        <v>481</v>
      </c>
      <c r="J183" s="53"/>
      <c r="K183" s="53"/>
      <c r="L183" s="706" t="s">
        <v>482</v>
      </c>
      <c r="M183" s="84"/>
      <c r="N183" s="44"/>
      <c r="O183" s="44"/>
      <c r="X183" s="700"/>
      <c r="Y183" s="904" t="str">
        <f>IF(LEN('Ch5'!X184)=0,"None",'Ch5'!X184)</f>
        <v>None</v>
      </c>
      <c r="Z183" s="896"/>
      <c r="AR183" t="str">
        <f>SUBSTITUTE(SUBSTITUTE(SUBSTITUTE("vnt"&amp;$B183&amp;$C183&amp;$D183&amp;$E183&amp;$F183,".","_"),"(","_"),")","")</f>
        <v>vnt504_2</v>
      </c>
      <c r="AS183">
        <f>X183</f>
        <v>0</v>
      </c>
      <c r="BJ183" s="573" t="s">
        <v>4670</v>
      </c>
    </row>
    <row r="184" spans="1:62" x14ac:dyDescent="0.35">
      <c r="A184" s="403">
        <v>5</v>
      </c>
      <c r="B184" s="604" t="s">
        <v>481</v>
      </c>
      <c r="C184" s="604"/>
      <c r="D184" s="604"/>
      <c r="E184" s="604"/>
      <c r="F184" s="604"/>
      <c r="G184" s="403" t="str">
        <f t="shared" ref="G184" si="50">G183</f>
        <v/>
      </c>
      <c r="H184" s="605" t="s">
        <v>4324</v>
      </c>
      <c r="I184" s="53"/>
      <c r="J184" s="53"/>
      <c r="K184" s="53"/>
      <c r="L184" s="706"/>
      <c r="M184" s="84"/>
      <c r="N184" s="44"/>
      <c r="O184" s="44"/>
      <c r="X184" s="688"/>
      <c r="Y184" s="891"/>
      <c r="Z184" s="892"/>
      <c r="BJ184" s="573" t="s">
        <v>4670</v>
      </c>
    </row>
    <row r="185" spans="1:62" x14ac:dyDescent="0.35">
      <c r="A185" s="403">
        <v>5</v>
      </c>
      <c r="B185" s="604" t="s">
        <v>481</v>
      </c>
      <c r="C185" s="604"/>
      <c r="D185" s="604"/>
      <c r="E185" s="604" t="s">
        <v>270</v>
      </c>
      <c r="F185" s="604"/>
      <c r="G185" s="403" t="str">
        <f>IF(N185&gt;0,"P","")</f>
        <v/>
      </c>
      <c r="H185" s="605" t="s">
        <v>4324</v>
      </c>
      <c r="I185" s="53"/>
      <c r="J185" s="115" t="s">
        <v>270</v>
      </c>
      <c r="K185" s="118"/>
      <c r="L185" s="116" t="s">
        <v>483</v>
      </c>
      <c r="M185" s="192">
        <v>3</v>
      </c>
      <c r="N185" s="191">
        <f>'Ch5'!O186</f>
        <v>0</v>
      </c>
      <c r="O185" s="191">
        <f>M185*W185</f>
        <v>0</v>
      </c>
      <c r="P185" t="b">
        <v>1</v>
      </c>
      <c r="Q185" t="b">
        <v>0</v>
      </c>
      <c r="R185" t="b">
        <v>0</v>
      </c>
      <c r="S185" t="b">
        <v>1</v>
      </c>
      <c r="T185" t="b">
        <v>0</v>
      </c>
      <c r="W185" s="17"/>
      <c r="X185" s="688"/>
      <c r="Y185" s="891"/>
      <c r="Z185" s="892"/>
      <c r="AL185" t="str">
        <f t="shared" ref="AL185:AL186" si="51">SUBSTITUTE(SUBSTITUTE(SUBSTITUTE("vpa"&amp;$B185&amp;$C185&amp;$D185&amp;$E185&amp;$F185,".","_"),"(","_"),")","")</f>
        <v>vpa504_2_1</v>
      </c>
      <c r="AM185">
        <f>M185</f>
        <v>3</v>
      </c>
      <c r="AN185" t="str">
        <f t="shared" ref="AN185:AN186" si="52">SUBSTITUTE(SUBSTITUTE(SUBSTITUTE("vpc"&amp;$B185&amp;$C185&amp;$D185&amp;$E185&amp;$F185,".","_"),"(","_"),")","")</f>
        <v>vpc504_2_1</v>
      </c>
      <c r="AO185">
        <f>O185</f>
        <v>0</v>
      </c>
      <c r="AP185" t="str">
        <f t="shared" ref="AP185:AP186" si="53">SUBSTITUTE(SUBSTITUTE(SUBSTITUTE("vch"&amp;$B185&amp;$C185&amp;$D185&amp;$E185&amp;$F185,".","_"),"(","_"),")","")</f>
        <v>vch504_2_1</v>
      </c>
      <c r="AQ185">
        <f>W185</f>
        <v>0</v>
      </c>
      <c r="BJ185" s="573" t="s">
        <v>4670</v>
      </c>
    </row>
    <row r="186" spans="1:62" x14ac:dyDescent="0.35">
      <c r="A186" s="403">
        <v>5</v>
      </c>
      <c r="B186" s="604" t="s">
        <v>481</v>
      </c>
      <c r="C186" s="604"/>
      <c r="D186" s="604"/>
      <c r="E186" s="604" t="s">
        <v>272</v>
      </c>
      <c r="F186" s="604"/>
      <c r="G186" s="403" t="str">
        <f>IF(N186&gt;0,"P","")</f>
        <v/>
      </c>
      <c r="H186" s="605" t="s">
        <v>4324</v>
      </c>
      <c r="I186" s="53"/>
      <c r="J186" s="50" t="s">
        <v>272</v>
      </c>
      <c r="K186" s="53"/>
      <c r="L186" s="707" t="s">
        <v>484</v>
      </c>
      <c r="M186" s="922">
        <v>5</v>
      </c>
      <c r="N186" s="868">
        <f>'Ch5'!O187</f>
        <v>0</v>
      </c>
      <c r="O186" s="834">
        <f>M186*W186</f>
        <v>0</v>
      </c>
      <c r="P186" t="b">
        <v>1</v>
      </c>
      <c r="Q186" t="b">
        <v>0</v>
      </c>
      <c r="R186" t="b">
        <v>0</v>
      </c>
      <c r="S186" t="b">
        <v>1</v>
      </c>
      <c r="T186" t="b">
        <v>0</v>
      </c>
      <c r="W186" s="17"/>
      <c r="X186" s="688"/>
      <c r="Y186" s="891"/>
      <c r="Z186" s="892"/>
      <c r="AL186" t="str">
        <f t="shared" si="51"/>
        <v>vpa504_2_2</v>
      </c>
      <c r="AM186">
        <f>M186</f>
        <v>5</v>
      </c>
      <c r="AN186" t="str">
        <f t="shared" si="52"/>
        <v>vpc504_2_2</v>
      </c>
      <c r="AO186">
        <f>O186</f>
        <v>0</v>
      </c>
      <c r="AP186" t="str">
        <f t="shared" si="53"/>
        <v>vch504_2_2</v>
      </c>
      <c r="AQ186">
        <f>W186</f>
        <v>0</v>
      </c>
      <c r="BJ186" s="573" t="s">
        <v>4670</v>
      </c>
    </row>
    <row r="187" spans="1:62" x14ac:dyDescent="0.35">
      <c r="A187" s="403">
        <v>5</v>
      </c>
      <c r="B187" s="604" t="s">
        <v>481</v>
      </c>
      <c r="C187" s="604"/>
      <c r="D187" s="604"/>
      <c r="E187" s="604" t="s">
        <v>272</v>
      </c>
      <c r="F187" s="604"/>
      <c r="G187" s="403" t="str">
        <f>G186</f>
        <v/>
      </c>
      <c r="H187" s="605" t="s">
        <v>4324</v>
      </c>
      <c r="I187" s="53"/>
      <c r="J187" s="115"/>
      <c r="K187" s="118"/>
      <c r="L187" s="709"/>
      <c r="M187" s="936"/>
      <c r="N187" s="886"/>
      <c r="O187" s="886"/>
      <c r="X187" s="688"/>
      <c r="Y187" s="891"/>
      <c r="Z187" s="892"/>
      <c r="BJ187" s="573" t="s">
        <v>4670</v>
      </c>
    </row>
    <row r="188" spans="1:62" x14ac:dyDescent="0.35">
      <c r="A188" s="403">
        <v>5</v>
      </c>
      <c r="B188" s="604" t="s">
        <v>481</v>
      </c>
      <c r="C188" s="604"/>
      <c r="D188" s="604"/>
      <c r="E188" s="604" t="s">
        <v>274</v>
      </c>
      <c r="F188" s="604"/>
      <c r="G188" s="403" t="str">
        <f>IF(N188&gt;0,"P","")</f>
        <v/>
      </c>
      <c r="H188" s="605" t="s">
        <v>4324</v>
      </c>
      <c r="I188" s="53"/>
      <c r="J188" s="50" t="s">
        <v>274</v>
      </c>
      <c r="K188" s="53"/>
      <c r="L188" s="707" t="s">
        <v>485</v>
      </c>
      <c r="M188" s="922">
        <v>4</v>
      </c>
      <c r="N188" s="868">
        <f>'Ch5'!O189</f>
        <v>0</v>
      </c>
      <c r="O188" s="834">
        <f>M188*W188</f>
        <v>0</v>
      </c>
      <c r="P188" t="b">
        <v>1</v>
      </c>
      <c r="Q188" t="b">
        <v>0</v>
      </c>
      <c r="R188" t="b">
        <v>0</v>
      </c>
      <c r="S188" t="b">
        <v>1</v>
      </c>
      <c r="T188" t="b">
        <v>0</v>
      </c>
      <c r="W188" s="17"/>
      <c r="X188" s="688"/>
      <c r="Y188" s="891"/>
      <c r="Z188" s="892"/>
      <c r="AL188" t="str">
        <f>SUBSTITUTE(SUBSTITUTE(SUBSTITUTE("vpa"&amp;$B188&amp;$C188&amp;$D188&amp;$E188&amp;$F188,".","_"),"(","_"),")","")</f>
        <v>vpa504_2_3</v>
      </c>
      <c r="AM188">
        <f>M188</f>
        <v>4</v>
      </c>
      <c r="AN188" t="str">
        <f>SUBSTITUTE(SUBSTITUTE(SUBSTITUTE("vpc"&amp;$B188&amp;$C188&amp;$D188&amp;$E188&amp;$F188,".","_"),"(","_"),")","")</f>
        <v>vpc504_2_3</v>
      </c>
      <c r="AO188">
        <f>O188</f>
        <v>0</v>
      </c>
      <c r="AP188" t="str">
        <f>SUBSTITUTE(SUBSTITUTE(SUBSTITUTE("vch"&amp;$B188&amp;$C188&amp;$D188&amp;$E188&amp;$F188,".","_"),"(","_"),")","")</f>
        <v>vch504_2_3</v>
      </c>
      <c r="AQ188">
        <f>W188</f>
        <v>0</v>
      </c>
      <c r="BJ188" s="573" t="s">
        <v>4670</v>
      </c>
    </row>
    <row r="189" spans="1:62" ht="15" thickBot="1" x14ac:dyDescent="0.4">
      <c r="A189" s="403">
        <v>5</v>
      </c>
      <c r="B189" s="604" t="s">
        <v>481</v>
      </c>
      <c r="C189" s="604"/>
      <c r="D189" s="604"/>
      <c r="E189" s="604" t="s">
        <v>274</v>
      </c>
      <c r="F189" s="604"/>
      <c r="G189" s="403" t="str">
        <f>G188</f>
        <v/>
      </c>
      <c r="H189" s="605" t="s">
        <v>4324</v>
      </c>
      <c r="I189" s="60"/>
      <c r="J189" s="60"/>
      <c r="K189" s="60"/>
      <c r="L189" s="708"/>
      <c r="M189" s="937"/>
      <c r="N189" s="938"/>
      <c r="O189" s="938"/>
      <c r="P189" s="58"/>
      <c r="Q189" s="58"/>
      <c r="R189" s="58"/>
      <c r="S189" s="58"/>
      <c r="T189" s="58"/>
      <c r="U189" s="58"/>
      <c r="V189" s="58"/>
      <c r="W189" s="58"/>
      <c r="X189" s="689"/>
      <c r="Y189" s="905"/>
      <c r="Z189" s="895"/>
      <c r="BJ189" s="573" t="s">
        <v>4670</v>
      </c>
    </row>
    <row r="190" spans="1:62" ht="15" thickTop="1" x14ac:dyDescent="0.35">
      <c r="A190" s="403">
        <v>5</v>
      </c>
      <c r="B190" s="604" t="s">
        <v>486</v>
      </c>
      <c r="C190" s="604"/>
      <c r="D190" s="604"/>
      <c r="E190" s="604"/>
      <c r="F190" s="604"/>
      <c r="G190" s="600" t="str">
        <f>IF(COUNTIF(G193:G216,"P")&gt;0,"P","")</f>
        <v>P</v>
      </c>
      <c r="H190" s="605" t="s">
        <v>4323</v>
      </c>
      <c r="I190" s="50" t="s">
        <v>486</v>
      </c>
      <c r="J190" s="53"/>
      <c r="K190" s="53"/>
      <c r="L190" s="706" t="s">
        <v>487</v>
      </c>
      <c r="M190" s="84"/>
      <c r="N190" s="44"/>
      <c r="O190" s="44"/>
      <c r="X190" s="700"/>
      <c r="Y190" s="904" t="str">
        <f>IF(LEN('Ch5'!X191)=0,"None",'Ch5'!X191)</f>
        <v>None</v>
      </c>
      <c r="Z190" s="896"/>
      <c r="AR190" t="str">
        <f>SUBSTITUTE(SUBSTITUTE(SUBSTITUTE("vnt"&amp;$B190&amp;$C190&amp;$D190&amp;$E190&amp;$F190,".","_"),"(","_"),")","")</f>
        <v>vnt504_3</v>
      </c>
      <c r="AS190">
        <f>X190</f>
        <v>0</v>
      </c>
      <c r="BJ190" s="573" t="s">
        <v>4670</v>
      </c>
    </row>
    <row r="191" spans="1:62" x14ac:dyDescent="0.35">
      <c r="A191" s="403">
        <v>5</v>
      </c>
      <c r="B191" s="604" t="s">
        <v>486</v>
      </c>
      <c r="C191" s="604"/>
      <c r="D191" s="604"/>
      <c r="E191" s="604"/>
      <c r="F191" s="604"/>
      <c r="G191" s="403" t="str">
        <f t="shared" ref="G191:G192" si="54">G190</f>
        <v>P</v>
      </c>
      <c r="H191" s="605" t="s">
        <v>4323</v>
      </c>
      <c r="I191" s="53"/>
      <c r="J191" s="53"/>
      <c r="K191" s="53"/>
      <c r="L191" s="706"/>
      <c r="M191" s="84"/>
      <c r="N191" s="44"/>
      <c r="O191" s="44"/>
      <c r="X191" s="688"/>
      <c r="Y191" s="891"/>
      <c r="Z191" s="892"/>
      <c r="BJ191" s="573" t="s">
        <v>4670</v>
      </c>
    </row>
    <row r="192" spans="1:62" x14ac:dyDescent="0.35">
      <c r="A192" s="403">
        <v>5</v>
      </c>
      <c r="B192" s="604" t="s">
        <v>486</v>
      </c>
      <c r="C192" s="604"/>
      <c r="D192" s="604"/>
      <c r="E192" s="604"/>
      <c r="F192" s="604"/>
      <c r="G192" s="403" t="str">
        <f t="shared" si="54"/>
        <v>P</v>
      </c>
      <c r="H192" s="605" t="s">
        <v>4323</v>
      </c>
      <c r="I192" s="53"/>
      <c r="J192" s="53"/>
      <c r="K192" s="53"/>
      <c r="L192" s="706"/>
      <c r="M192" s="84"/>
      <c r="N192" s="44"/>
      <c r="O192" s="44"/>
      <c r="X192" s="688"/>
      <c r="Y192" s="891"/>
      <c r="Z192" s="892"/>
      <c r="BJ192" s="573" t="s">
        <v>4670</v>
      </c>
    </row>
    <row r="193" spans="1:62" x14ac:dyDescent="0.35">
      <c r="A193" s="403">
        <v>5</v>
      </c>
      <c r="B193" s="604" t="s">
        <v>486</v>
      </c>
      <c r="C193" s="604"/>
      <c r="D193" s="604"/>
      <c r="E193" s="604" t="s">
        <v>270</v>
      </c>
      <c r="F193" s="604"/>
      <c r="G193" s="403" t="str">
        <f>IF(N193&gt;0,"P","")</f>
        <v>P</v>
      </c>
      <c r="H193" s="605" t="s">
        <v>4324</v>
      </c>
      <c r="I193" s="53"/>
      <c r="J193" s="50" t="s">
        <v>270</v>
      </c>
      <c r="K193" s="53"/>
      <c r="L193" s="707" t="s">
        <v>488</v>
      </c>
      <c r="M193" s="922">
        <v>5</v>
      </c>
      <c r="N193" s="834">
        <f>'Ch5'!O194</f>
        <v>5</v>
      </c>
      <c r="O193" s="834">
        <f>M193*W193</f>
        <v>5</v>
      </c>
      <c r="P193" t="b">
        <v>1</v>
      </c>
      <c r="Q193" t="b">
        <v>0</v>
      </c>
      <c r="R193" t="b">
        <v>0</v>
      </c>
      <c r="S193" t="b">
        <v>1</v>
      </c>
      <c r="T193" t="b">
        <v>0</v>
      </c>
      <c r="W193" s="17" t="b">
        <v>1</v>
      </c>
      <c r="X193" s="688"/>
      <c r="Y193" s="891" t="str">
        <f>IF(LEN('Ch5'!X194)=0,"None",'Ch5'!X194)</f>
        <v>None</v>
      </c>
      <c r="Z193" s="892"/>
      <c r="AA193">
        <f>'Photo Review'!H193</f>
        <v>0</v>
      </c>
      <c r="AL193" t="str">
        <f>SUBSTITUTE(SUBSTITUTE(SUBSTITUTE("vpa"&amp;$B193&amp;$C193&amp;$D193&amp;$E193&amp;$F193,".","_"),"(","_"),")","")</f>
        <v>vpa504_3_1</v>
      </c>
      <c r="AM193">
        <f>M193</f>
        <v>5</v>
      </c>
      <c r="AN193" t="str">
        <f>SUBSTITUTE(SUBSTITUTE(SUBSTITUTE("vpc"&amp;$B193&amp;$C193&amp;$D193&amp;$E193&amp;$F193,".","_"),"(","_"),")","")</f>
        <v>vpc504_3_1</v>
      </c>
      <c r="AO193">
        <f>O193</f>
        <v>5</v>
      </c>
      <c r="AP193" t="str">
        <f>SUBSTITUTE(SUBSTITUTE(SUBSTITUTE("vch"&amp;$B193&amp;$C193&amp;$D193&amp;$E193&amp;$F193,".","_"),"(","_"),")","")</f>
        <v>vch504_3_1</v>
      </c>
      <c r="AQ193" t="b">
        <f>W193</f>
        <v>1</v>
      </c>
      <c r="AR193" t="str">
        <f>SUBSTITUTE(SUBSTITUTE(SUBSTITUTE("vnt"&amp;$B193&amp;$C193&amp;$D193&amp;$E193&amp;$F193,".","_"),"(","_"),")","")</f>
        <v>vnt504_3_1</v>
      </c>
      <c r="AS193">
        <f>X193</f>
        <v>0</v>
      </c>
      <c r="BJ193" s="573" t="s">
        <v>4670</v>
      </c>
    </row>
    <row r="194" spans="1:62" x14ac:dyDescent="0.35">
      <c r="A194" s="403">
        <v>5</v>
      </c>
      <c r="B194" s="604" t="s">
        <v>486</v>
      </c>
      <c r="C194" s="604"/>
      <c r="D194" s="604"/>
      <c r="E194" s="604" t="s">
        <v>270</v>
      </c>
      <c r="F194" s="604"/>
      <c r="G194" s="403" t="str">
        <f>G193</f>
        <v>P</v>
      </c>
      <c r="H194" s="605" t="s">
        <v>4324</v>
      </c>
      <c r="I194" s="53"/>
      <c r="J194" s="115"/>
      <c r="K194" s="118"/>
      <c r="L194" s="709"/>
      <c r="M194" s="936"/>
      <c r="N194" s="886"/>
      <c r="O194" s="886"/>
      <c r="X194" s="688"/>
      <c r="Y194" s="891"/>
      <c r="Z194" s="892"/>
      <c r="BJ194" s="573" t="s">
        <v>4670</v>
      </c>
    </row>
    <row r="195" spans="1:62" x14ac:dyDescent="0.35">
      <c r="A195" s="403">
        <v>5</v>
      </c>
      <c r="B195" s="604" t="s">
        <v>486</v>
      </c>
      <c r="C195" s="604"/>
      <c r="D195" s="604"/>
      <c r="E195" s="604" t="s">
        <v>272</v>
      </c>
      <c r="F195" s="604"/>
      <c r="G195" s="403" t="str">
        <f>IF(N195&gt;0,"P","")</f>
        <v>P</v>
      </c>
      <c r="H195" s="605" t="s">
        <v>4324</v>
      </c>
      <c r="I195" s="53"/>
      <c r="J195" s="115" t="s">
        <v>272</v>
      </c>
      <c r="K195" s="118"/>
      <c r="L195" s="116" t="s">
        <v>489</v>
      </c>
      <c r="M195" s="192">
        <v>5</v>
      </c>
      <c r="N195" s="191">
        <f>'Ch5'!O196</f>
        <v>5</v>
      </c>
      <c r="O195" s="191">
        <f>M195*W195</f>
        <v>5</v>
      </c>
      <c r="P195" t="b">
        <v>1</v>
      </c>
      <c r="Q195" t="b">
        <v>0</v>
      </c>
      <c r="R195" t="b">
        <v>0</v>
      </c>
      <c r="S195" t="b">
        <v>1</v>
      </c>
      <c r="T195" t="b">
        <v>0</v>
      </c>
      <c r="W195" s="17" t="b">
        <v>1</v>
      </c>
      <c r="X195" s="39"/>
      <c r="Y195" s="200" t="str">
        <f>IF(LEN('Ch5'!X196)=0,"None",'Ch5'!X196)</f>
        <v>None</v>
      </c>
      <c r="Z195" s="563"/>
      <c r="AA195">
        <f>'Photo Review'!H195</f>
        <v>0</v>
      </c>
      <c r="AL195" t="str">
        <f t="shared" ref="AL195:AL196" si="55">SUBSTITUTE(SUBSTITUTE(SUBSTITUTE("vpa"&amp;$B195&amp;$C195&amp;$D195&amp;$E195&amp;$F195,".","_"),"(","_"),")","")</f>
        <v>vpa504_3_2</v>
      </c>
      <c r="AM195">
        <f>M195</f>
        <v>5</v>
      </c>
      <c r="AN195" t="str">
        <f t="shared" ref="AN195:AN196" si="56">SUBSTITUTE(SUBSTITUTE(SUBSTITUTE("vpc"&amp;$B195&amp;$C195&amp;$D195&amp;$E195&amp;$F195,".","_"),"(","_"),")","")</f>
        <v>vpc504_3_2</v>
      </c>
      <c r="AO195">
        <f>O195</f>
        <v>5</v>
      </c>
      <c r="AP195" t="str">
        <f t="shared" ref="AP195:AP196" si="57">SUBSTITUTE(SUBSTITUTE(SUBSTITUTE("vch"&amp;$B195&amp;$C195&amp;$D195&amp;$E195&amp;$F195,".","_"),"(","_"),")","")</f>
        <v>vch504_3_2</v>
      </c>
      <c r="AQ195" t="b">
        <f>W195</f>
        <v>1</v>
      </c>
      <c r="AR195" t="str">
        <f t="shared" ref="AR195:AR196" si="58">SUBSTITUTE(SUBSTITUTE(SUBSTITUTE("vnt"&amp;$B195&amp;$C195&amp;$D195&amp;$E195&amp;$F195,".","_"),"(","_"),")","")</f>
        <v>vnt504_3_2</v>
      </c>
      <c r="AS195">
        <f>X195</f>
        <v>0</v>
      </c>
      <c r="BJ195" s="573" t="s">
        <v>4670</v>
      </c>
    </row>
    <row r="196" spans="1:62" x14ac:dyDescent="0.35">
      <c r="A196" s="403">
        <v>5</v>
      </c>
      <c r="B196" s="604" t="s">
        <v>486</v>
      </c>
      <c r="C196" s="604"/>
      <c r="D196" s="604"/>
      <c r="E196" s="604" t="s">
        <v>274</v>
      </c>
      <c r="F196" s="604"/>
      <c r="G196" s="403" t="str">
        <f>IF(N196&gt;0,"P","")</f>
        <v/>
      </c>
      <c r="H196" s="605" t="s">
        <v>4324</v>
      </c>
      <c r="I196" s="53"/>
      <c r="J196" s="50" t="s">
        <v>274</v>
      </c>
      <c r="K196" s="53"/>
      <c r="L196" s="707" t="s">
        <v>490</v>
      </c>
      <c r="M196" s="922">
        <v>5</v>
      </c>
      <c r="N196" s="868">
        <f>'Ch5'!O197</f>
        <v>0</v>
      </c>
      <c r="O196" s="834">
        <f>M196*W196</f>
        <v>0</v>
      </c>
      <c r="P196" t="b">
        <v>1</v>
      </c>
      <c r="Q196" t="b">
        <v>0</v>
      </c>
      <c r="R196" t="b">
        <v>0</v>
      </c>
      <c r="S196" t="b">
        <v>1</v>
      </c>
      <c r="T196" t="b">
        <v>0</v>
      </c>
      <c r="W196" s="17"/>
      <c r="X196" s="688"/>
      <c r="Y196" s="891" t="str">
        <f>IF(LEN('Ch5'!X197)=0,"None",'Ch5'!X197)</f>
        <v>None</v>
      </c>
      <c r="Z196" s="892"/>
      <c r="AA196">
        <f>'Photo Review'!H196</f>
        <v>0</v>
      </c>
      <c r="AL196" t="str">
        <f t="shared" si="55"/>
        <v>vpa504_3_3</v>
      </c>
      <c r="AM196">
        <f>M196</f>
        <v>5</v>
      </c>
      <c r="AN196" t="str">
        <f t="shared" si="56"/>
        <v>vpc504_3_3</v>
      </c>
      <c r="AO196">
        <f>O196</f>
        <v>0</v>
      </c>
      <c r="AP196" t="str">
        <f t="shared" si="57"/>
        <v>vch504_3_3</v>
      </c>
      <c r="AQ196">
        <f>W196</f>
        <v>0</v>
      </c>
      <c r="AR196" t="str">
        <f t="shared" si="58"/>
        <v>vnt504_3_3</v>
      </c>
      <c r="AS196">
        <f>X196</f>
        <v>0</v>
      </c>
      <c r="BJ196" s="573" t="s">
        <v>4670</v>
      </c>
    </row>
    <row r="197" spans="1:62" x14ac:dyDescent="0.35">
      <c r="A197" s="403">
        <v>5</v>
      </c>
      <c r="B197" s="604" t="s">
        <v>486</v>
      </c>
      <c r="C197" s="604"/>
      <c r="D197" s="604"/>
      <c r="E197" s="604" t="s">
        <v>274</v>
      </c>
      <c r="F197" s="604"/>
      <c r="G197" s="403" t="str">
        <f>G196</f>
        <v/>
      </c>
      <c r="H197" s="605" t="s">
        <v>4324</v>
      </c>
      <c r="I197" s="53"/>
      <c r="J197" s="118"/>
      <c r="K197" s="118"/>
      <c r="L197" s="709"/>
      <c r="M197" s="936"/>
      <c r="N197" s="886"/>
      <c r="O197" s="886"/>
      <c r="X197" s="688"/>
      <c r="Y197" s="891"/>
      <c r="Z197" s="892"/>
      <c r="BJ197" s="573" t="s">
        <v>4670</v>
      </c>
    </row>
    <row r="198" spans="1:62" x14ac:dyDescent="0.35">
      <c r="A198" s="403">
        <v>5</v>
      </c>
      <c r="B198" s="604" t="s">
        <v>486</v>
      </c>
      <c r="C198" s="604"/>
      <c r="D198" s="604"/>
      <c r="E198" s="604" t="s">
        <v>283</v>
      </c>
      <c r="F198" s="604"/>
      <c r="G198" s="403" t="str">
        <f>IF(N198&gt;0,"P","")</f>
        <v/>
      </c>
      <c r="H198" s="605" t="s">
        <v>4324</v>
      </c>
      <c r="I198" s="53"/>
      <c r="J198" s="50" t="s">
        <v>283</v>
      </c>
      <c r="K198" s="53"/>
      <c r="L198" s="707" t="s">
        <v>491</v>
      </c>
      <c r="M198" s="922">
        <v>5</v>
      </c>
      <c r="N198" s="868">
        <f>'Ch5'!O199</f>
        <v>0</v>
      </c>
      <c r="O198" s="834">
        <f>M198*W198</f>
        <v>0</v>
      </c>
      <c r="P198" t="b">
        <v>1</v>
      </c>
      <c r="Q198" t="b">
        <v>0</v>
      </c>
      <c r="R198" t="b">
        <v>0</v>
      </c>
      <c r="S198" t="b">
        <v>1</v>
      </c>
      <c r="T198" t="b">
        <v>0</v>
      </c>
      <c r="W198" s="17"/>
      <c r="X198" s="688"/>
      <c r="Y198" s="891" t="str">
        <f>IF(LEN('Ch5'!X199)=0,"None",'Ch5'!X199)</f>
        <v>None</v>
      </c>
      <c r="Z198" s="892"/>
      <c r="AL198" t="str">
        <f>SUBSTITUTE(SUBSTITUTE(SUBSTITUTE("vpa"&amp;$B198&amp;$C198&amp;$D198&amp;$E198&amp;$F198,".","_"),"(","_"),")","")</f>
        <v>vpa504_3_4</v>
      </c>
      <c r="AM198">
        <f>M198</f>
        <v>5</v>
      </c>
      <c r="AN198" t="str">
        <f>SUBSTITUTE(SUBSTITUTE(SUBSTITUTE("vpc"&amp;$B198&amp;$C198&amp;$D198&amp;$E198&amp;$F198,".","_"),"(","_"),")","")</f>
        <v>vpc504_3_4</v>
      </c>
      <c r="AO198">
        <f>O198</f>
        <v>0</v>
      </c>
      <c r="AP198" t="str">
        <f>SUBSTITUTE(SUBSTITUTE(SUBSTITUTE("vch"&amp;$B198&amp;$C198&amp;$D198&amp;$E198&amp;$F198,".","_"),"(","_"),")","")</f>
        <v>vch504_3_4</v>
      </c>
      <c r="AQ198">
        <f>W198</f>
        <v>0</v>
      </c>
      <c r="AR198" t="str">
        <f>SUBSTITUTE(SUBSTITUTE(SUBSTITUTE("vnt"&amp;$B198&amp;$C198&amp;$D198&amp;$E198&amp;$F198,".","_"),"(","_"),")","")</f>
        <v>vnt504_3_4</v>
      </c>
      <c r="AS198">
        <f>X198</f>
        <v>0</v>
      </c>
      <c r="BJ198" s="573" t="s">
        <v>4670</v>
      </c>
    </row>
    <row r="199" spans="1:62" x14ac:dyDescent="0.35">
      <c r="A199" s="403">
        <v>5</v>
      </c>
      <c r="B199" s="604" t="s">
        <v>486</v>
      </c>
      <c r="C199" s="604"/>
      <c r="D199" s="604"/>
      <c r="E199" s="604" t="s">
        <v>283</v>
      </c>
      <c r="F199" s="604"/>
      <c r="G199" s="403" t="str">
        <f>G198</f>
        <v/>
      </c>
      <c r="H199" s="605" t="s">
        <v>4324</v>
      </c>
      <c r="I199" s="53"/>
      <c r="J199" s="118"/>
      <c r="K199" s="118"/>
      <c r="L199" s="709"/>
      <c r="M199" s="936"/>
      <c r="N199" s="886"/>
      <c r="O199" s="886"/>
      <c r="X199" s="688"/>
      <c r="Y199" s="891"/>
      <c r="Z199" s="892"/>
      <c r="BJ199" s="573" t="s">
        <v>4670</v>
      </c>
    </row>
    <row r="200" spans="1:62" x14ac:dyDescent="0.35">
      <c r="A200" s="403">
        <v>5</v>
      </c>
      <c r="B200" s="604" t="s">
        <v>486</v>
      </c>
      <c r="C200" s="604"/>
      <c r="D200" s="604"/>
      <c r="E200" s="604" t="s">
        <v>289</v>
      </c>
      <c r="F200" s="604"/>
      <c r="G200" s="403" t="str">
        <f>IF(N200&gt;0,"P","")</f>
        <v/>
      </c>
      <c r="H200" s="605" t="s">
        <v>4324</v>
      </c>
      <c r="I200" s="53"/>
      <c r="J200" s="50" t="s">
        <v>289</v>
      </c>
      <c r="K200" s="53"/>
      <c r="L200" s="707" t="s">
        <v>492</v>
      </c>
      <c r="M200" s="922">
        <v>4</v>
      </c>
      <c r="N200" s="868">
        <f>'Ch5'!O201</f>
        <v>0</v>
      </c>
      <c r="O200" s="834">
        <f>M200*W200</f>
        <v>0</v>
      </c>
      <c r="P200" t="b">
        <v>1</v>
      </c>
      <c r="Q200" t="b">
        <v>0</v>
      </c>
      <c r="R200" t="b">
        <v>0</v>
      </c>
      <c r="S200" t="b">
        <v>1</v>
      </c>
      <c r="T200" t="b">
        <v>0</v>
      </c>
      <c r="W200" s="17"/>
      <c r="X200" s="688"/>
      <c r="Y200" s="891" t="str">
        <f>IF(LEN('Ch5'!X201)=0,"None",'Ch5'!X201)</f>
        <v>None</v>
      </c>
      <c r="Z200" s="892"/>
      <c r="AL200" t="str">
        <f>SUBSTITUTE(SUBSTITUTE(SUBSTITUTE("vpa"&amp;$B200&amp;$C200&amp;$D200&amp;$E200&amp;$F200,".","_"),"(","_"),")","")</f>
        <v>vpa504_3_5</v>
      </c>
      <c r="AM200">
        <f>M200</f>
        <v>4</v>
      </c>
      <c r="AN200" t="str">
        <f>SUBSTITUTE(SUBSTITUTE(SUBSTITUTE("vpc"&amp;$B200&amp;$C200&amp;$D200&amp;$E200&amp;$F200,".","_"),"(","_"),")","")</f>
        <v>vpc504_3_5</v>
      </c>
      <c r="AO200">
        <f>O200</f>
        <v>0</v>
      </c>
      <c r="AP200" t="str">
        <f>SUBSTITUTE(SUBSTITUTE(SUBSTITUTE("vch"&amp;$B200&amp;$C200&amp;$D200&amp;$E200&amp;$F200,".","_"),"(","_"),")","")</f>
        <v>vch504_3_5</v>
      </c>
      <c r="AQ200">
        <f>W200</f>
        <v>0</v>
      </c>
      <c r="AR200" t="str">
        <f>SUBSTITUTE(SUBSTITUTE(SUBSTITUTE("vnt"&amp;$B200&amp;$C200&amp;$D200&amp;$E200&amp;$F200,".","_"),"(","_"),")","")</f>
        <v>vnt504_3_5</v>
      </c>
      <c r="AS200">
        <f>X200</f>
        <v>0</v>
      </c>
      <c r="BJ200" s="573" t="s">
        <v>4670</v>
      </c>
    </row>
    <row r="201" spans="1:62" x14ac:dyDescent="0.35">
      <c r="A201" s="403">
        <v>5</v>
      </c>
      <c r="B201" s="604" t="s">
        <v>486</v>
      </c>
      <c r="C201" s="604"/>
      <c r="D201" s="604"/>
      <c r="E201" s="604" t="s">
        <v>289</v>
      </c>
      <c r="F201" s="604"/>
      <c r="G201" s="403" t="str">
        <f t="shared" ref="G201:G203" si="59">G200</f>
        <v/>
      </c>
      <c r="H201" s="605" t="s">
        <v>4324</v>
      </c>
      <c r="I201" s="53"/>
      <c r="J201" s="53"/>
      <c r="K201" s="53"/>
      <c r="L201" s="707"/>
      <c r="M201" s="922"/>
      <c r="N201" s="834"/>
      <c r="O201" s="834"/>
      <c r="X201" s="688"/>
      <c r="Y201" s="891"/>
      <c r="Z201" s="892"/>
      <c r="BJ201" s="573" t="s">
        <v>4670</v>
      </c>
    </row>
    <row r="202" spans="1:62" x14ac:dyDescent="0.35">
      <c r="A202" s="403">
        <v>5</v>
      </c>
      <c r="B202" s="604" t="s">
        <v>486</v>
      </c>
      <c r="C202" s="604"/>
      <c r="D202" s="604"/>
      <c r="E202" s="604" t="s">
        <v>289</v>
      </c>
      <c r="F202" s="604"/>
      <c r="G202" s="403" t="str">
        <f t="shared" si="59"/>
        <v/>
      </c>
      <c r="H202" s="605" t="s">
        <v>4324</v>
      </c>
      <c r="I202" s="53"/>
      <c r="J202" s="53"/>
      <c r="K202" s="53"/>
      <c r="L202" s="707"/>
      <c r="M202" s="922"/>
      <c r="N202" s="834"/>
      <c r="O202" s="834"/>
      <c r="X202" s="688"/>
      <c r="Y202" s="891"/>
      <c r="Z202" s="892"/>
      <c r="BJ202" s="573" t="s">
        <v>4670</v>
      </c>
    </row>
    <row r="203" spans="1:62" x14ac:dyDescent="0.35">
      <c r="A203" s="403">
        <v>5</v>
      </c>
      <c r="B203" s="604" t="s">
        <v>486</v>
      </c>
      <c r="C203" s="604"/>
      <c r="D203" s="604"/>
      <c r="E203" s="604" t="s">
        <v>289</v>
      </c>
      <c r="F203" s="604"/>
      <c r="G203" s="403" t="str">
        <f t="shared" si="59"/>
        <v/>
      </c>
      <c r="H203" s="605" t="s">
        <v>4324</v>
      </c>
      <c r="I203" s="53"/>
      <c r="J203" s="118"/>
      <c r="K203" s="118"/>
      <c r="L203" s="709"/>
      <c r="M203" s="936"/>
      <c r="N203" s="886"/>
      <c r="O203" s="886"/>
      <c r="X203" s="688"/>
      <c r="Y203" s="891"/>
      <c r="Z203" s="892"/>
      <c r="BJ203" s="573" t="s">
        <v>4670</v>
      </c>
    </row>
    <row r="204" spans="1:62" x14ac:dyDescent="0.35">
      <c r="A204" s="403">
        <v>5</v>
      </c>
      <c r="B204" s="604" t="s">
        <v>486</v>
      </c>
      <c r="C204" s="604"/>
      <c r="D204" s="604"/>
      <c r="E204" s="604" t="s">
        <v>291</v>
      </c>
      <c r="F204" s="604"/>
      <c r="G204" s="403" t="str">
        <f>IF(N204&gt;0,"P","")</f>
        <v/>
      </c>
      <c r="H204" s="605" t="s">
        <v>4324</v>
      </c>
      <c r="I204" s="53"/>
      <c r="J204" s="50" t="s">
        <v>291</v>
      </c>
      <c r="K204" s="53"/>
      <c r="L204" s="707" t="s">
        <v>493</v>
      </c>
      <c r="M204" s="922">
        <v>3</v>
      </c>
      <c r="N204" s="868">
        <f>'Ch5'!O205</f>
        <v>0</v>
      </c>
      <c r="O204" s="834">
        <f>M204*W204</f>
        <v>0</v>
      </c>
      <c r="P204" t="b">
        <v>1</v>
      </c>
      <c r="Q204" t="b">
        <v>0</v>
      </c>
      <c r="R204" t="b">
        <v>0</v>
      </c>
      <c r="S204" t="b">
        <v>1</v>
      </c>
      <c r="T204" t="b">
        <v>0</v>
      </c>
      <c r="W204" s="17"/>
      <c r="X204" s="688"/>
      <c r="Y204" s="891" t="str">
        <f>IF(LEN('Ch5'!X205)=0,"None",'Ch5'!X205)</f>
        <v>None</v>
      </c>
      <c r="Z204" s="892"/>
      <c r="AL204" t="str">
        <f>SUBSTITUTE(SUBSTITUTE(SUBSTITUTE("vpa"&amp;$B204&amp;$C204&amp;$D204&amp;$E204&amp;$F204,".","_"),"(","_"),")","")</f>
        <v>vpa504_3_6</v>
      </c>
      <c r="AM204">
        <f>M204</f>
        <v>3</v>
      </c>
      <c r="AN204" t="str">
        <f>SUBSTITUTE(SUBSTITUTE(SUBSTITUTE("vpc"&amp;$B204&amp;$C204&amp;$D204&amp;$E204&amp;$F204,".","_"),"(","_"),")","")</f>
        <v>vpc504_3_6</v>
      </c>
      <c r="AO204">
        <f>O204</f>
        <v>0</v>
      </c>
      <c r="AP204" t="str">
        <f>SUBSTITUTE(SUBSTITUTE(SUBSTITUTE("vch"&amp;$B204&amp;$C204&amp;$D204&amp;$E204&amp;$F204,".","_"),"(","_"),")","")</f>
        <v>vch504_3_6</v>
      </c>
      <c r="AQ204">
        <f>W204</f>
        <v>0</v>
      </c>
      <c r="AR204" t="str">
        <f>SUBSTITUTE(SUBSTITUTE(SUBSTITUTE("vnt"&amp;$B204&amp;$C204&amp;$D204&amp;$E204&amp;$F204,".","_"),"(","_"),")","")</f>
        <v>vnt504_3_6</v>
      </c>
      <c r="AS204">
        <f>X204</f>
        <v>0</v>
      </c>
      <c r="BJ204" s="573" t="s">
        <v>4670</v>
      </c>
    </row>
    <row r="205" spans="1:62" x14ac:dyDescent="0.35">
      <c r="A205" s="403">
        <v>5</v>
      </c>
      <c r="B205" s="604" t="s">
        <v>486</v>
      </c>
      <c r="C205" s="604"/>
      <c r="D205" s="604"/>
      <c r="E205" s="604" t="s">
        <v>291</v>
      </c>
      <c r="F205" s="604"/>
      <c r="G205" s="403" t="str">
        <f t="shared" ref="G205:G206" si="60">G204</f>
        <v/>
      </c>
      <c r="H205" s="605" t="s">
        <v>4324</v>
      </c>
      <c r="I205" s="53"/>
      <c r="J205" s="53"/>
      <c r="K205" s="53"/>
      <c r="L205" s="707"/>
      <c r="M205" s="922"/>
      <c r="N205" s="834"/>
      <c r="O205" s="834"/>
      <c r="X205" s="688"/>
      <c r="Y205" s="891"/>
      <c r="Z205" s="892"/>
      <c r="BJ205" s="573" t="s">
        <v>4670</v>
      </c>
    </row>
    <row r="206" spans="1:62" x14ac:dyDescent="0.35">
      <c r="A206" s="403">
        <v>5</v>
      </c>
      <c r="B206" s="604" t="s">
        <v>486</v>
      </c>
      <c r="C206" s="604"/>
      <c r="D206" s="604"/>
      <c r="E206" s="604" t="s">
        <v>291</v>
      </c>
      <c r="F206" s="604"/>
      <c r="G206" s="403" t="str">
        <f t="shared" si="60"/>
        <v/>
      </c>
      <c r="H206" s="605" t="s">
        <v>4324</v>
      </c>
      <c r="I206" s="53"/>
      <c r="J206" s="118"/>
      <c r="K206" s="118"/>
      <c r="L206" s="709"/>
      <c r="M206" s="936"/>
      <c r="N206" s="886"/>
      <c r="O206" s="886"/>
      <c r="X206" s="688"/>
      <c r="Y206" s="891"/>
      <c r="Z206" s="892"/>
      <c r="BJ206" s="573" t="s">
        <v>4670</v>
      </c>
    </row>
    <row r="207" spans="1:62" x14ac:dyDescent="0.35">
      <c r="A207" s="403">
        <v>5</v>
      </c>
      <c r="B207" s="604" t="s">
        <v>486</v>
      </c>
      <c r="C207" s="604"/>
      <c r="D207" s="604"/>
      <c r="E207" s="604" t="s">
        <v>403</v>
      </c>
      <c r="F207" s="604"/>
      <c r="G207" s="403" t="str">
        <f>IF(N207&gt;0,"P","")</f>
        <v/>
      </c>
      <c r="H207" s="605" t="s">
        <v>4323</v>
      </c>
      <c r="I207" s="53"/>
      <c r="J207" s="115" t="s">
        <v>403</v>
      </c>
      <c r="K207" s="118"/>
      <c r="L207" s="116" t="s">
        <v>494</v>
      </c>
      <c r="M207" s="192">
        <v>3</v>
      </c>
      <c r="N207" s="191">
        <f>'Ch5'!O208</f>
        <v>0</v>
      </c>
      <c r="O207" s="191">
        <f>M207*W207</f>
        <v>0</v>
      </c>
      <c r="P207" t="b">
        <v>1</v>
      </c>
      <c r="Q207" t="b">
        <v>1</v>
      </c>
      <c r="R207" t="b">
        <v>0</v>
      </c>
      <c r="S207" t="b">
        <v>1</v>
      </c>
      <c r="T207" t="b">
        <v>0</v>
      </c>
      <c r="W207" s="17"/>
      <c r="X207" s="39"/>
      <c r="Y207" s="200" t="str">
        <f>IF(LEN('Ch5'!X208)=0,"None",'Ch5'!X208)</f>
        <v>None</v>
      </c>
      <c r="Z207" s="563"/>
      <c r="AL207" t="str">
        <f>SUBSTITUTE(SUBSTITUTE(SUBSTITUTE("vpa"&amp;$B207&amp;$C207&amp;$D207&amp;$E207&amp;$F207,".","_"),"(","_"),")","")</f>
        <v>vpa504_3_7</v>
      </c>
      <c r="AM207">
        <f>M207</f>
        <v>3</v>
      </c>
      <c r="AN207" t="str">
        <f t="shared" ref="AN207:AN208" si="61">SUBSTITUTE(SUBSTITUTE(SUBSTITUTE("vpc"&amp;$B207&amp;$C207&amp;$D207&amp;$E207&amp;$F207,".","_"),"(","_"),")","")</f>
        <v>vpc504_3_7</v>
      </c>
      <c r="AO207">
        <f>O207</f>
        <v>0</v>
      </c>
      <c r="AP207" t="str">
        <f>SUBSTITUTE(SUBSTITUTE(SUBSTITUTE("vch"&amp;$B207&amp;$C207&amp;$D207&amp;$E207&amp;$F207,".","_"),"(","_"),")","")</f>
        <v>vch504_3_7</v>
      </c>
      <c r="AQ207">
        <f>W207</f>
        <v>0</v>
      </c>
      <c r="AR207" t="str">
        <f t="shared" ref="AR207:AR208" si="62">SUBSTITUTE(SUBSTITUTE(SUBSTITUTE("vnt"&amp;$B207&amp;$C207&amp;$D207&amp;$E207&amp;$F207,".","_"),"(","_"),")","")</f>
        <v>vnt504_3_7</v>
      </c>
      <c r="AS207">
        <f>X207</f>
        <v>0</v>
      </c>
      <c r="BJ207" s="573" t="s">
        <v>4670</v>
      </c>
    </row>
    <row r="208" spans="1:62" x14ac:dyDescent="0.35">
      <c r="A208" s="403">
        <v>5</v>
      </c>
      <c r="B208" s="604" t="s">
        <v>486</v>
      </c>
      <c r="C208" s="604"/>
      <c r="D208" s="604"/>
      <c r="E208" s="604" t="s">
        <v>453</v>
      </c>
      <c r="F208" s="604"/>
      <c r="G208" s="403" t="str">
        <f>IF(N208&gt;0,"P","")</f>
        <v/>
      </c>
      <c r="H208" s="605" t="s">
        <v>4323</v>
      </c>
      <c r="I208" s="53"/>
      <c r="J208" s="50" t="s">
        <v>453</v>
      </c>
      <c r="K208" s="53"/>
      <c r="L208" s="103" t="s">
        <v>3177</v>
      </c>
      <c r="M208" s="922">
        <v>5</v>
      </c>
      <c r="N208" s="868">
        <f>'Ch5'!O209</f>
        <v>0</v>
      </c>
      <c r="O208" s="834">
        <f>M208*MIN(1,(W209+W210+W211+W212+W213+W214))</f>
        <v>0</v>
      </c>
      <c r="X208" s="688"/>
      <c r="Y208" s="891" t="str">
        <f>IF(LEN('Ch5'!X209)=0,"None",'Ch5'!X209)</f>
        <v>None</v>
      </c>
      <c r="Z208" s="892"/>
      <c r="AC208" t="b">
        <f>OR(AD208:AE208)</f>
        <v>0</v>
      </c>
      <c r="AD208" t="b">
        <v>0</v>
      </c>
      <c r="AE208" t="b">
        <f>AND(W208=TRUE,LEN(X208)=0)</f>
        <v>0</v>
      </c>
      <c r="AF208" t="b">
        <f>AND(AE208,NOT(Q208))</f>
        <v>0</v>
      </c>
      <c r="AL208" t="str">
        <f>SUBSTITUTE(SUBSTITUTE(SUBSTITUTE("vpa"&amp;$B208&amp;$C208&amp;$D208&amp;$E208&amp;$F208,".","_"),"(","_"),")","")</f>
        <v>vpa504_3_8</v>
      </c>
      <c r="AM208">
        <f>M208</f>
        <v>5</v>
      </c>
      <c r="AN208" t="str">
        <f t="shared" si="61"/>
        <v>vpc504_3_8</v>
      </c>
      <c r="AO208">
        <f>O208</f>
        <v>0</v>
      </c>
      <c r="AR208" t="str">
        <f t="shared" si="62"/>
        <v>vnt504_3_8</v>
      </c>
      <c r="AS208">
        <f>X208</f>
        <v>0</v>
      </c>
      <c r="BJ208" s="573" t="s">
        <v>4670</v>
      </c>
    </row>
    <row r="209" spans="1:62" x14ac:dyDescent="0.35">
      <c r="A209" s="403">
        <v>5</v>
      </c>
      <c r="B209" s="604" t="s">
        <v>486</v>
      </c>
      <c r="C209" s="604"/>
      <c r="D209" s="604"/>
      <c r="E209" s="604" t="s">
        <v>453</v>
      </c>
      <c r="F209" s="604" t="s">
        <v>3170</v>
      </c>
      <c r="G209" s="403" t="str">
        <f t="shared" ref="G209:G215" si="63">G208</f>
        <v/>
      </c>
      <c r="H209" s="605" t="s">
        <v>4323</v>
      </c>
      <c r="I209" s="53"/>
      <c r="J209" s="53"/>
      <c r="K209" s="53"/>
      <c r="L209" s="103" t="s">
        <v>3183</v>
      </c>
      <c r="M209" s="922"/>
      <c r="N209" s="834"/>
      <c r="O209" s="834"/>
      <c r="P209" t="b">
        <v>1</v>
      </c>
      <c r="Q209" t="b">
        <v>1</v>
      </c>
      <c r="R209" t="b">
        <v>0</v>
      </c>
      <c r="S209" t="b">
        <v>1</v>
      </c>
      <c r="T209" t="b">
        <v>0</v>
      </c>
      <c r="W209" s="17"/>
      <c r="X209" s="688"/>
      <c r="Y209" s="891"/>
      <c r="Z209" s="892"/>
      <c r="AP209" t="str">
        <f t="shared" ref="AP209:AP214" si="64">SUBSTITUTE(SUBSTITUTE(SUBSTITUTE("vch"&amp;$B209&amp;$C209&amp;$D209&amp;$E209&amp;$F209,".","_"),"(","_"),")","")</f>
        <v>vch504_3_8a</v>
      </c>
      <c r="AQ209">
        <f t="shared" ref="AQ209:AQ214" si="65">W209</f>
        <v>0</v>
      </c>
      <c r="BJ209" s="573" t="s">
        <v>4670</v>
      </c>
    </row>
    <row r="210" spans="1:62" x14ac:dyDescent="0.35">
      <c r="A210" s="403">
        <v>5</v>
      </c>
      <c r="B210" s="604" t="s">
        <v>486</v>
      </c>
      <c r="C210" s="604"/>
      <c r="D210" s="604"/>
      <c r="E210" s="604" t="s">
        <v>453</v>
      </c>
      <c r="F210" s="604" t="s">
        <v>3171</v>
      </c>
      <c r="G210" s="403" t="str">
        <f t="shared" si="63"/>
        <v/>
      </c>
      <c r="H210" s="605" t="s">
        <v>4323</v>
      </c>
      <c r="I210" s="53"/>
      <c r="J210" s="53"/>
      <c r="K210" s="53"/>
      <c r="L210" s="103" t="s">
        <v>3182</v>
      </c>
      <c r="M210" s="922"/>
      <c r="N210" s="834"/>
      <c r="O210" s="834"/>
      <c r="P210" t="b">
        <v>1</v>
      </c>
      <c r="Q210" t="b">
        <v>1</v>
      </c>
      <c r="R210" t="b">
        <v>0</v>
      </c>
      <c r="S210" t="b">
        <v>1</v>
      </c>
      <c r="T210" t="b">
        <v>0</v>
      </c>
      <c r="W210" s="17"/>
      <c r="X210" s="688"/>
      <c r="Y210" s="891"/>
      <c r="Z210" s="892"/>
      <c r="AP210" t="str">
        <f t="shared" si="64"/>
        <v>vch504_3_8b</v>
      </c>
      <c r="AQ210">
        <f t="shared" si="65"/>
        <v>0</v>
      </c>
      <c r="BJ210" s="573" t="s">
        <v>4670</v>
      </c>
    </row>
    <row r="211" spans="1:62" x14ac:dyDescent="0.35">
      <c r="A211" s="403">
        <v>5</v>
      </c>
      <c r="B211" s="604" t="s">
        <v>486</v>
      </c>
      <c r="C211" s="604"/>
      <c r="D211" s="604"/>
      <c r="E211" s="604" t="s">
        <v>453</v>
      </c>
      <c r="F211" s="604" t="s">
        <v>3172</v>
      </c>
      <c r="G211" s="403" t="str">
        <f t="shared" si="63"/>
        <v/>
      </c>
      <c r="H211" s="605" t="s">
        <v>4323</v>
      </c>
      <c r="I211" s="53"/>
      <c r="J211" s="53"/>
      <c r="K211" s="53"/>
      <c r="L211" s="103" t="s">
        <v>3181</v>
      </c>
      <c r="M211" s="922"/>
      <c r="N211" s="834"/>
      <c r="O211" s="834"/>
      <c r="P211" t="b">
        <v>1</v>
      </c>
      <c r="Q211" t="b">
        <v>1</v>
      </c>
      <c r="R211" t="b">
        <v>0</v>
      </c>
      <c r="S211" t="b">
        <v>1</v>
      </c>
      <c r="T211" t="b">
        <v>0</v>
      </c>
      <c r="W211" s="17"/>
      <c r="X211" s="688"/>
      <c r="Y211" s="891"/>
      <c r="Z211" s="892"/>
      <c r="AP211" t="str">
        <f t="shared" si="64"/>
        <v>vch504_3_8c</v>
      </c>
      <c r="AQ211">
        <f t="shared" si="65"/>
        <v>0</v>
      </c>
      <c r="BJ211" s="573" t="s">
        <v>4670</v>
      </c>
    </row>
    <row r="212" spans="1:62" x14ac:dyDescent="0.35">
      <c r="A212" s="403">
        <v>5</v>
      </c>
      <c r="B212" s="604" t="s">
        <v>486</v>
      </c>
      <c r="C212" s="604"/>
      <c r="D212" s="604"/>
      <c r="E212" s="604" t="s">
        <v>453</v>
      </c>
      <c r="F212" s="604" t="s">
        <v>3173</v>
      </c>
      <c r="G212" s="403" t="str">
        <f t="shared" si="63"/>
        <v/>
      </c>
      <c r="H212" s="605" t="s">
        <v>4323</v>
      </c>
      <c r="I212" s="53"/>
      <c r="J212" s="53"/>
      <c r="K212" s="53"/>
      <c r="L212" s="103" t="s">
        <v>3180</v>
      </c>
      <c r="M212" s="922"/>
      <c r="N212" s="834"/>
      <c r="O212" s="834"/>
      <c r="P212" t="b">
        <v>1</v>
      </c>
      <c r="Q212" t="b">
        <v>1</v>
      </c>
      <c r="R212" t="b">
        <v>0</v>
      </c>
      <c r="S212" t="b">
        <v>1</v>
      </c>
      <c r="T212" t="b">
        <v>0</v>
      </c>
      <c r="W212" s="17"/>
      <c r="X212" s="688"/>
      <c r="Y212" s="891"/>
      <c r="Z212" s="892"/>
      <c r="AP212" t="str">
        <f t="shared" si="64"/>
        <v>vch504_3_8d</v>
      </c>
      <c r="AQ212">
        <f t="shared" si="65"/>
        <v>0</v>
      </c>
      <c r="BJ212" s="573" t="s">
        <v>4670</v>
      </c>
    </row>
    <row r="213" spans="1:62" x14ac:dyDescent="0.35">
      <c r="A213" s="403">
        <v>5</v>
      </c>
      <c r="B213" s="604" t="s">
        <v>486</v>
      </c>
      <c r="C213" s="604"/>
      <c r="D213" s="604"/>
      <c r="E213" s="604" t="s">
        <v>453</v>
      </c>
      <c r="F213" s="604" t="s">
        <v>3174</v>
      </c>
      <c r="G213" s="403" t="str">
        <f t="shared" si="63"/>
        <v/>
      </c>
      <c r="H213" s="605" t="s">
        <v>4323</v>
      </c>
      <c r="I213" s="53"/>
      <c r="J213" s="53"/>
      <c r="K213" s="53"/>
      <c r="L213" s="103" t="s">
        <v>3179</v>
      </c>
      <c r="M213" s="922"/>
      <c r="N213" s="834"/>
      <c r="O213" s="834"/>
      <c r="P213" t="b">
        <v>1</v>
      </c>
      <c r="Q213" t="b">
        <v>1</v>
      </c>
      <c r="R213" t="b">
        <v>0</v>
      </c>
      <c r="S213" t="b">
        <v>1</v>
      </c>
      <c r="T213" t="b">
        <v>0</v>
      </c>
      <c r="W213" s="17"/>
      <c r="X213" s="688"/>
      <c r="Y213" s="891"/>
      <c r="Z213" s="892"/>
      <c r="AP213" t="str">
        <f t="shared" si="64"/>
        <v>vch504_3_8e</v>
      </c>
      <c r="AQ213">
        <f t="shared" si="65"/>
        <v>0</v>
      </c>
      <c r="BJ213" s="573" t="s">
        <v>4670</v>
      </c>
    </row>
    <row r="214" spans="1:62" x14ac:dyDescent="0.35">
      <c r="A214" s="403">
        <v>5</v>
      </c>
      <c r="B214" s="604" t="s">
        <v>486</v>
      </c>
      <c r="C214" s="604"/>
      <c r="D214" s="604"/>
      <c r="E214" s="604" t="s">
        <v>453</v>
      </c>
      <c r="F214" s="604" t="s">
        <v>3175</v>
      </c>
      <c r="G214" s="403" t="str">
        <f t="shared" si="63"/>
        <v/>
      </c>
      <c r="H214" s="605" t="s">
        <v>4323</v>
      </c>
      <c r="I214" s="53"/>
      <c r="J214" s="53"/>
      <c r="K214" s="53"/>
      <c r="L214" s="103" t="s">
        <v>3178</v>
      </c>
      <c r="M214" s="922"/>
      <c r="N214" s="834"/>
      <c r="O214" s="834"/>
      <c r="P214" t="b">
        <v>1</v>
      </c>
      <c r="Q214" t="b">
        <v>1</v>
      </c>
      <c r="R214" t="b">
        <v>0</v>
      </c>
      <c r="S214" t="b">
        <v>1</v>
      </c>
      <c r="T214" t="b">
        <v>0</v>
      </c>
      <c r="W214" s="17"/>
      <c r="X214" s="688"/>
      <c r="Y214" s="891"/>
      <c r="Z214" s="892"/>
      <c r="AC214" t="b">
        <f>OR(AD214:AE214)</f>
        <v>0</v>
      </c>
      <c r="AD214" t="b">
        <f>T214</f>
        <v>0</v>
      </c>
      <c r="AE214" t="b">
        <f>AND(W214=TRUE,LEN(X208)=0)</f>
        <v>0</v>
      </c>
      <c r="AF214" t="b">
        <f>AND(AE214,NOT(Q214))</f>
        <v>0</v>
      </c>
      <c r="AP214" t="str">
        <f t="shared" si="64"/>
        <v>vch504_3_8f</v>
      </c>
      <c r="AQ214">
        <f t="shared" si="65"/>
        <v>0</v>
      </c>
      <c r="BJ214" s="573" t="s">
        <v>4670</v>
      </c>
    </row>
    <row r="215" spans="1:62" x14ac:dyDescent="0.35">
      <c r="A215" s="403">
        <v>5</v>
      </c>
      <c r="B215" s="604" t="s">
        <v>486</v>
      </c>
      <c r="C215" s="604"/>
      <c r="D215" s="604"/>
      <c r="E215" s="604" t="s">
        <v>453</v>
      </c>
      <c r="F215" s="604"/>
      <c r="G215" s="403" t="str">
        <f t="shared" si="63"/>
        <v/>
      </c>
      <c r="H215" s="605" t="s">
        <v>4323</v>
      </c>
      <c r="I215" s="53"/>
      <c r="J215" s="118"/>
      <c r="K215" s="118"/>
      <c r="L215" s="121" t="s">
        <v>3176</v>
      </c>
      <c r="M215" s="936"/>
      <c r="N215" s="886"/>
      <c r="O215" s="886"/>
      <c r="X215" s="688"/>
      <c r="Y215" s="891"/>
      <c r="Z215" s="892"/>
      <c r="BJ215" s="573" t="s">
        <v>4670</v>
      </c>
    </row>
    <row r="216" spans="1:62" x14ac:dyDescent="0.35">
      <c r="A216" s="403">
        <v>5</v>
      </c>
      <c r="B216" s="604" t="s">
        <v>486</v>
      </c>
      <c r="C216" s="604"/>
      <c r="D216" s="604"/>
      <c r="E216" s="604" t="s">
        <v>455</v>
      </c>
      <c r="F216" s="604"/>
      <c r="G216" s="403" t="str">
        <f>IF(N216&gt;0,"P","")</f>
        <v>P</v>
      </c>
      <c r="H216" s="605" t="s">
        <v>4323</v>
      </c>
      <c r="I216" s="53"/>
      <c r="J216" s="50" t="s">
        <v>455</v>
      </c>
      <c r="K216" s="53"/>
      <c r="L216" s="46" t="s">
        <v>495</v>
      </c>
      <c r="M216" s="84">
        <v>3</v>
      </c>
      <c r="N216" s="44">
        <f>'Ch5'!O217</f>
        <v>3</v>
      </c>
      <c r="O216" s="44">
        <f>M216*W216</f>
        <v>3</v>
      </c>
      <c r="P216" t="b">
        <v>1</v>
      </c>
      <c r="Q216" t="b">
        <v>1</v>
      </c>
      <c r="R216" t="b">
        <v>0</v>
      </c>
      <c r="S216" t="b">
        <v>1</v>
      </c>
      <c r="T216" t="b">
        <v>0</v>
      </c>
      <c r="W216" s="17" t="b">
        <v>1</v>
      </c>
      <c r="X216" s="39"/>
      <c r="Y216" s="200" t="str">
        <f>IF(LEN('Ch5'!X217)=0,"None",'Ch5'!X217)</f>
        <v>None</v>
      </c>
      <c r="Z216" s="563"/>
      <c r="AL216" t="str">
        <f>SUBSTITUTE(SUBSTITUTE(SUBSTITUTE("vpa"&amp;$B216&amp;$C216&amp;$D216&amp;$E216&amp;$F216,".","_"),"(","_"),")","")</f>
        <v>vpa504_3_9</v>
      </c>
      <c r="AM216">
        <f>M216</f>
        <v>3</v>
      </c>
      <c r="AN216" t="str">
        <f>SUBSTITUTE(SUBSTITUTE(SUBSTITUTE("vpc"&amp;$B216&amp;$C216&amp;$D216&amp;$E216&amp;$F216,".","_"),"(","_"),")","")</f>
        <v>vpc504_3_9</v>
      </c>
      <c r="AO216">
        <f>O216</f>
        <v>3</v>
      </c>
      <c r="AP216" t="str">
        <f>SUBSTITUTE(SUBSTITUTE(SUBSTITUTE("vch"&amp;$B216&amp;$C216&amp;$D216&amp;$E216&amp;$F216,".","_"),"(","_"),")","")</f>
        <v>vch504_3_9</v>
      </c>
      <c r="AQ216" t="b">
        <f>W216</f>
        <v>1</v>
      </c>
      <c r="AR216" t="str">
        <f>SUBSTITUTE(SUBSTITUTE(SUBSTITUTE("vnt"&amp;$B216&amp;$C216&amp;$D216&amp;$E216&amp;$F216,".","_"),"(","_"),")","")</f>
        <v>vnt504_3_9</v>
      </c>
      <c r="AS216">
        <f>X216</f>
        <v>0</v>
      </c>
      <c r="BJ216" s="573" t="s">
        <v>4670</v>
      </c>
    </row>
    <row r="217" spans="1:62" ht="18.5" x14ac:dyDescent="0.45">
      <c r="A217" s="403">
        <v>5</v>
      </c>
      <c r="B217" s="604" t="s">
        <v>496</v>
      </c>
      <c r="C217" s="604"/>
      <c r="D217" s="604"/>
      <c r="E217" s="604"/>
      <c r="F217" s="604"/>
      <c r="G217" s="403" t="s">
        <v>4326</v>
      </c>
      <c r="H217" s="403" t="s">
        <v>4323</v>
      </c>
      <c r="I217" s="38" t="s">
        <v>497</v>
      </c>
      <c r="J217" s="38"/>
      <c r="K217" s="38"/>
      <c r="L217" s="47"/>
      <c r="M217" s="37"/>
      <c r="N217" s="37"/>
      <c r="O217" s="37"/>
      <c r="P217" s="15"/>
      <c r="Q217" s="15"/>
      <c r="R217" s="15"/>
      <c r="S217" s="15"/>
      <c r="T217" s="15"/>
      <c r="U217" s="15"/>
      <c r="V217" s="15"/>
      <c r="W217" s="15"/>
      <c r="X217" s="15"/>
      <c r="Y217" s="15"/>
      <c r="Z217" s="562"/>
      <c r="BJ217" s="573" t="s">
        <v>4670</v>
      </c>
    </row>
    <row r="218" spans="1:62" x14ac:dyDescent="0.35">
      <c r="A218" s="403">
        <v>5</v>
      </c>
      <c r="B218" s="604" t="s">
        <v>4356</v>
      </c>
      <c r="C218" s="604"/>
      <c r="D218" s="604"/>
      <c r="E218" s="604"/>
      <c r="F218" s="604"/>
      <c r="G218" s="605"/>
      <c r="H218" s="605"/>
      <c r="I218" s="50" t="s">
        <v>4356</v>
      </c>
      <c r="J218" s="53"/>
      <c r="K218" s="53"/>
      <c r="L218" s="706" t="s">
        <v>498</v>
      </c>
      <c r="M218" s="84"/>
      <c r="N218" s="44"/>
      <c r="O218" s="44"/>
      <c r="X218" s="68"/>
      <c r="Z218" s="543"/>
      <c r="BJ218" s="573" t="s">
        <v>4670</v>
      </c>
    </row>
    <row r="219" spans="1:62" x14ac:dyDescent="0.35">
      <c r="A219" s="403">
        <v>5</v>
      </c>
      <c r="B219" s="604" t="s">
        <v>4356</v>
      </c>
      <c r="C219" s="604"/>
      <c r="D219" s="604"/>
      <c r="E219" s="604"/>
      <c r="F219" s="604"/>
      <c r="G219" s="605"/>
      <c r="H219" s="605"/>
      <c r="I219" s="53"/>
      <c r="J219" s="53"/>
      <c r="K219" s="53"/>
      <c r="L219" s="706"/>
      <c r="M219" s="84"/>
      <c r="N219" s="44"/>
      <c r="O219" s="44"/>
      <c r="X219" s="68"/>
      <c r="Z219" s="543"/>
      <c r="BJ219" s="573" t="s">
        <v>4670</v>
      </c>
    </row>
    <row r="220" spans="1:62" ht="15" thickBot="1" x14ac:dyDescent="0.4">
      <c r="A220" s="403">
        <v>5</v>
      </c>
      <c r="B220" s="604" t="s">
        <v>4356</v>
      </c>
      <c r="C220" s="604"/>
      <c r="D220" s="604"/>
      <c r="E220" s="604"/>
      <c r="F220" s="604"/>
      <c r="G220" s="605"/>
      <c r="H220" s="605"/>
      <c r="I220" s="60"/>
      <c r="J220" s="60"/>
      <c r="K220" s="60"/>
      <c r="L220" s="710"/>
      <c r="M220" s="194"/>
      <c r="N220" s="80"/>
      <c r="O220" s="80"/>
      <c r="P220" s="58"/>
      <c r="Q220" s="58"/>
      <c r="R220" s="58"/>
      <c r="S220" s="58"/>
      <c r="T220" s="58"/>
      <c r="U220" s="58"/>
      <c r="V220" s="58"/>
      <c r="W220" s="58"/>
      <c r="X220" s="67"/>
      <c r="Y220" s="203"/>
      <c r="Z220" s="564"/>
      <c r="BJ220" s="573" t="s">
        <v>4670</v>
      </c>
    </row>
    <row r="221" spans="1:62" ht="15" thickTop="1" x14ac:dyDescent="0.35">
      <c r="A221" s="403">
        <v>5</v>
      </c>
      <c r="B221" s="604" t="s">
        <v>499</v>
      </c>
      <c r="C221" s="604"/>
      <c r="D221" s="604"/>
      <c r="E221" s="604"/>
      <c r="F221" s="604"/>
      <c r="G221" s="600" t="str">
        <f ca="1">IF(COUNTIF(G223:G230,"P")&gt;0,"P","")</f>
        <v/>
      </c>
      <c r="H221" s="605" t="s">
        <v>4325</v>
      </c>
      <c r="I221" s="50" t="s">
        <v>499</v>
      </c>
      <c r="J221" s="53"/>
      <c r="K221" s="53"/>
      <c r="L221" s="706" t="s">
        <v>500</v>
      </c>
      <c r="M221" s="84"/>
      <c r="N221" s="44"/>
      <c r="O221" s="44"/>
      <c r="Z221" s="543"/>
      <c r="BJ221" s="573" t="s">
        <v>4670</v>
      </c>
    </row>
    <row r="222" spans="1:62" x14ac:dyDescent="0.35">
      <c r="A222" s="403">
        <v>5</v>
      </c>
      <c r="B222" s="604" t="s">
        <v>499</v>
      </c>
      <c r="C222" s="604"/>
      <c r="D222" s="604"/>
      <c r="E222" s="604"/>
      <c r="F222" s="604"/>
      <c r="G222" s="403" t="str">
        <f t="shared" ref="G222" ca="1" si="66">G221</f>
        <v/>
      </c>
      <c r="H222" s="605" t="s">
        <v>4325</v>
      </c>
      <c r="I222" s="53"/>
      <c r="J222" s="53"/>
      <c r="K222" s="53"/>
      <c r="L222" s="706"/>
      <c r="M222" s="84"/>
      <c r="N222" s="44"/>
      <c r="O222" s="44"/>
      <c r="Z222" s="543"/>
      <c r="BJ222" s="573" t="s">
        <v>4670</v>
      </c>
    </row>
    <row r="223" spans="1:62" x14ac:dyDescent="0.35">
      <c r="A223" s="403">
        <v>5</v>
      </c>
      <c r="B223" s="604" t="s">
        <v>499</v>
      </c>
      <c r="C223" s="604"/>
      <c r="D223" s="604"/>
      <c r="E223" s="604" t="s">
        <v>270</v>
      </c>
      <c r="F223" s="604"/>
      <c r="G223" s="403" t="str">
        <f>IF(N223&gt;0,"P","")</f>
        <v/>
      </c>
      <c r="H223" s="605" t="s">
        <v>4325</v>
      </c>
      <c r="I223" s="53"/>
      <c r="J223" s="50" t="s">
        <v>270</v>
      </c>
      <c r="K223" s="53"/>
      <c r="L223" s="707" t="s">
        <v>501</v>
      </c>
      <c r="M223" s="922">
        <v>5</v>
      </c>
      <c r="N223" s="834">
        <f>'Ch5'!O224</f>
        <v>0</v>
      </c>
      <c r="O223" s="834">
        <f>M223*S223*W223</f>
        <v>0</v>
      </c>
      <c r="P223" t="b">
        <v>0</v>
      </c>
      <c r="Q223" t="b">
        <v>1</v>
      </c>
      <c r="R223" t="b">
        <v>0</v>
      </c>
      <c r="S223" t="b">
        <v>1</v>
      </c>
      <c r="T223" t="b">
        <v>0</v>
      </c>
      <c r="W223" s="17"/>
      <c r="X223" s="698"/>
      <c r="Y223" s="906" t="str">
        <f>IF(LEN('Ch5'!X224)=0,"None",'Ch5'!X224)</f>
        <v>None</v>
      </c>
      <c r="Z223" s="897"/>
      <c r="AA223">
        <f>'Photo Review'!H223</f>
        <v>0</v>
      </c>
      <c r="AL223" t="str">
        <f>SUBSTITUTE(SUBSTITUTE(SUBSTITUTE("vpa"&amp;$B223&amp;$C223&amp;$D223&amp;$E223&amp;$F223,".","_"),"(","_"),")","")</f>
        <v>vpa505_1_1</v>
      </c>
      <c r="AM223">
        <f>M223</f>
        <v>5</v>
      </c>
      <c r="AN223" t="str">
        <f>SUBSTITUTE(SUBSTITUTE(SUBSTITUTE("vpc"&amp;$B223&amp;$C223&amp;$D223&amp;$E223&amp;$F223,".","_"),"(","_"),")","")</f>
        <v>vpc505_1_1</v>
      </c>
      <c r="AO223">
        <f>O223</f>
        <v>0</v>
      </c>
      <c r="AP223" t="str">
        <f>SUBSTITUTE(SUBSTITUTE(SUBSTITUTE("vch"&amp;$B223&amp;$C223&amp;$D223&amp;$E223&amp;$F223,".","_"),"(","_"),")","")</f>
        <v>vch505_1_1</v>
      </c>
      <c r="AQ223">
        <f>W223</f>
        <v>0</v>
      </c>
      <c r="AR223" t="str">
        <f>SUBSTITUTE(SUBSTITUTE(SUBSTITUTE("vnt"&amp;$B223&amp;$C223&amp;$D223&amp;$E223&amp;$F223,".","_"),"(","_"),")","")</f>
        <v>vnt505_1_1</v>
      </c>
      <c r="AS223">
        <f>X223</f>
        <v>0</v>
      </c>
      <c r="BJ223" s="573" t="s">
        <v>4670</v>
      </c>
    </row>
    <row r="224" spans="1:62" x14ac:dyDescent="0.35">
      <c r="A224" s="403">
        <v>5</v>
      </c>
      <c r="B224" s="604" t="s">
        <v>499</v>
      </c>
      <c r="C224" s="604"/>
      <c r="D224" s="604"/>
      <c r="E224" s="604" t="s">
        <v>270</v>
      </c>
      <c r="F224" s="604"/>
      <c r="G224" s="403" t="str">
        <f>G223</f>
        <v/>
      </c>
      <c r="H224" s="605" t="s">
        <v>4325</v>
      </c>
      <c r="I224" s="53"/>
      <c r="J224" s="115"/>
      <c r="K224" s="118"/>
      <c r="L224" s="709"/>
      <c r="M224" s="936"/>
      <c r="N224" s="886"/>
      <c r="O224" s="886"/>
      <c r="X224" s="700"/>
      <c r="Y224" s="904"/>
      <c r="Z224" s="896"/>
      <c r="BJ224" s="573" t="s">
        <v>4670</v>
      </c>
    </row>
    <row r="225" spans="1:62" x14ac:dyDescent="0.35">
      <c r="A225" s="403">
        <v>5</v>
      </c>
      <c r="B225" s="604" t="s">
        <v>499</v>
      </c>
      <c r="C225" s="604"/>
      <c r="D225" s="604"/>
      <c r="E225" s="604" t="s">
        <v>272</v>
      </c>
      <c r="F225" s="604"/>
      <c r="G225" s="403" t="str">
        <f ca="1">IF(N225&gt;0,"P","")</f>
        <v/>
      </c>
      <c r="H225" s="605" t="s">
        <v>4325</v>
      </c>
      <c r="I225" s="53"/>
      <c r="J225" s="115" t="s">
        <v>272</v>
      </c>
      <c r="K225" s="118"/>
      <c r="L225" s="116" t="s">
        <v>502</v>
      </c>
      <c r="M225" s="192">
        <v>5</v>
      </c>
      <c r="N225" s="191">
        <f ca="1">'Ch5'!O226</f>
        <v>0</v>
      </c>
      <c r="O225" s="191">
        <f ca="1">M225*S225*W225</f>
        <v>0</v>
      </c>
      <c r="P225" t="b">
        <v>0</v>
      </c>
      <c r="Q225" t="b">
        <v>1</v>
      </c>
      <c r="R225" t="b">
        <v>0</v>
      </c>
      <c r="S225" t="b">
        <f ca="1">IF($AY$18=INDEX(INDIRECT("ddSingleOrMulti"),2),TRUE,FALSE)</f>
        <v>0</v>
      </c>
      <c r="T225" t="b">
        <f ca="1">IF(AND(NOT(S225),W225=TRUE),TRUE,FALSE)</f>
        <v>0</v>
      </c>
      <c r="W225" s="17"/>
      <c r="X225" s="39"/>
      <c r="Y225" s="200" t="str">
        <f>IF(LEN('Ch5'!X226)=0,"None",'Ch5'!X226)</f>
        <v>None</v>
      </c>
      <c r="Z225" s="563"/>
      <c r="AC225" t="b">
        <f ca="1">OR(AD225:AE225)</f>
        <v>0</v>
      </c>
      <c r="AD225" t="b">
        <f ca="1">T225</f>
        <v>0</v>
      </c>
      <c r="AL225" t="str">
        <f>SUBSTITUTE(SUBSTITUTE(SUBSTITUTE("vpa"&amp;$B225&amp;$C225&amp;$D225&amp;$E225&amp;$F225,".","_"),"(","_"),")","")</f>
        <v>vpa505_1_2</v>
      </c>
      <c r="AM225">
        <f>M225</f>
        <v>5</v>
      </c>
      <c r="AN225" t="str">
        <f t="shared" ref="AN225:AN226" si="67">SUBSTITUTE(SUBSTITUTE(SUBSTITUTE("vpc"&amp;$B225&amp;$C225&amp;$D225&amp;$E225&amp;$F225,".","_"),"(","_"),")","")</f>
        <v>vpc505_1_2</v>
      </c>
      <c r="AO225">
        <f ca="1">O225</f>
        <v>0</v>
      </c>
      <c r="AP225" t="str">
        <f t="shared" ref="AP225:AP226" si="68">SUBSTITUTE(SUBSTITUTE(SUBSTITUTE("vch"&amp;$B225&amp;$C225&amp;$D225&amp;$E225&amp;$F225,".","_"),"(","_"),")","")</f>
        <v>vch505_1_2</v>
      </c>
      <c r="AQ225">
        <f>W225</f>
        <v>0</v>
      </c>
      <c r="AR225" t="str">
        <f t="shared" ref="AR225:AR226" si="69">SUBSTITUTE(SUBSTITUTE(SUBSTITUTE("vnt"&amp;$B225&amp;$C225&amp;$D225&amp;$E225&amp;$F225,".","_"),"(","_"),")","")</f>
        <v>vnt505_1_2</v>
      </c>
      <c r="AS225">
        <f>X225</f>
        <v>0</v>
      </c>
      <c r="BJ225" s="573" t="s">
        <v>4670</v>
      </c>
    </row>
    <row r="226" spans="1:62" x14ac:dyDescent="0.35">
      <c r="A226" s="403">
        <v>5</v>
      </c>
      <c r="B226" s="604" t="s">
        <v>499</v>
      </c>
      <c r="C226" s="604"/>
      <c r="D226" s="604"/>
      <c r="E226" s="604" t="s">
        <v>274</v>
      </c>
      <c r="F226" s="604"/>
      <c r="G226" s="403" t="str">
        <f ca="1">IF(N226&gt;0,"P","")</f>
        <v/>
      </c>
      <c r="H226" s="605" t="s">
        <v>4325</v>
      </c>
      <c r="I226" s="53"/>
      <c r="J226" s="50" t="s">
        <v>274</v>
      </c>
      <c r="K226" s="53"/>
      <c r="L226" s="46" t="s">
        <v>503</v>
      </c>
      <c r="M226" s="84"/>
      <c r="N226" s="44">
        <f ca="1">'Ch5'!O227</f>
        <v>0</v>
      </c>
      <c r="O226" s="44">
        <f ca="1">S226*IFERROR(INDEX({4,5,6},MATCH(W226,INDIRECT(U226),0)),0)</f>
        <v>0</v>
      </c>
      <c r="P226" t="b">
        <v>0</v>
      </c>
      <c r="Q226" t="b">
        <v>1</v>
      </c>
      <c r="R226" t="b">
        <v>0</v>
      </c>
      <c r="S226" t="b">
        <v>1</v>
      </c>
      <c r="T226" t="b">
        <v>0</v>
      </c>
      <c r="U226" t="str">
        <f>SUBSTITUTE(SUBSTITUTE(SUBSTITUTE("dd"&amp;B226&amp;C226&amp;D226&amp;E226&amp;F226,".","_"),"(","_"),")","")</f>
        <v>dd505_1_3</v>
      </c>
      <c r="W226" s="9"/>
      <c r="X226" s="698"/>
      <c r="Y226" s="906" t="str">
        <f>IF(LEN('Ch5'!X227)=0,"None",'Ch5'!X227)</f>
        <v>None</v>
      </c>
      <c r="Z226" s="897"/>
      <c r="AN226" t="str">
        <f t="shared" si="67"/>
        <v>vpc505_1_3</v>
      </c>
      <c r="AO226">
        <f ca="1">O226</f>
        <v>0</v>
      </c>
      <c r="AP226" t="str">
        <f t="shared" si="68"/>
        <v>vch505_1_3</v>
      </c>
      <c r="AQ226">
        <f>W226</f>
        <v>0</v>
      </c>
      <c r="AR226" t="str">
        <f t="shared" si="69"/>
        <v>vnt505_1_3</v>
      </c>
      <c r="AS226">
        <f>X226</f>
        <v>0</v>
      </c>
      <c r="BJ226" s="573" t="s">
        <v>4670</v>
      </c>
    </row>
    <row r="227" spans="1:62" x14ac:dyDescent="0.35">
      <c r="A227" s="403">
        <v>5</v>
      </c>
      <c r="B227" s="604" t="s">
        <v>499</v>
      </c>
      <c r="C227" s="604"/>
      <c r="D227" s="604"/>
      <c r="E227" s="604" t="s">
        <v>274</v>
      </c>
      <c r="F227" s="605" t="s">
        <v>121</v>
      </c>
      <c r="G227" s="403" t="str">
        <f t="shared" ref="G227:G229" ca="1" si="70">G226</f>
        <v/>
      </c>
      <c r="H227" s="403" t="s">
        <v>4325</v>
      </c>
      <c r="I227" s="49"/>
      <c r="J227" s="53"/>
      <c r="K227" s="50" t="s">
        <v>121</v>
      </c>
      <c r="L227" s="46" t="s">
        <v>504</v>
      </c>
      <c r="M227" s="84">
        <v>4</v>
      </c>
      <c r="N227" s="44"/>
      <c r="O227" s="44"/>
      <c r="R227" t="b">
        <v>0</v>
      </c>
      <c r="S227" t="b">
        <v>1</v>
      </c>
      <c r="T227" t="b">
        <v>0</v>
      </c>
      <c r="X227" s="699"/>
      <c r="Y227" s="908"/>
      <c r="Z227" s="899"/>
      <c r="AL227" t="str">
        <f t="shared" ref="AL227:AL229" si="71">SUBSTITUTE(SUBSTITUTE(SUBSTITUTE("vpa"&amp;$B227&amp;$C227&amp;$D227&amp;$E227&amp;$F227,".","_"),"(","_"),")","")</f>
        <v>vpa505_1_3_a</v>
      </c>
      <c r="AM227">
        <f>M227</f>
        <v>4</v>
      </c>
      <c r="BJ227" s="573" t="s">
        <v>4670</v>
      </c>
    </row>
    <row r="228" spans="1:62" x14ac:dyDescent="0.35">
      <c r="A228" s="403">
        <v>5</v>
      </c>
      <c r="B228" s="604" t="s">
        <v>499</v>
      </c>
      <c r="C228" s="604"/>
      <c r="D228" s="604"/>
      <c r="E228" s="604" t="s">
        <v>274</v>
      </c>
      <c r="F228" s="605" t="s">
        <v>122</v>
      </c>
      <c r="G228" s="403" t="str">
        <f t="shared" ca="1" si="70"/>
        <v/>
      </c>
      <c r="H228" s="403" t="s">
        <v>4325</v>
      </c>
      <c r="I228" s="49"/>
      <c r="J228" s="53"/>
      <c r="K228" s="50" t="s">
        <v>122</v>
      </c>
      <c r="L228" s="46" t="s">
        <v>505</v>
      </c>
      <c r="M228" s="84">
        <v>5</v>
      </c>
      <c r="N228" s="44"/>
      <c r="O228" s="44"/>
      <c r="R228" t="b">
        <v>0</v>
      </c>
      <c r="S228" t="b">
        <v>1</v>
      </c>
      <c r="T228" t="b">
        <v>0</v>
      </c>
      <c r="X228" s="699"/>
      <c r="Y228" s="908"/>
      <c r="Z228" s="899"/>
      <c r="AL228" t="str">
        <f t="shared" si="71"/>
        <v>vpa505_1_3_b</v>
      </c>
      <c r="AM228">
        <f>M228</f>
        <v>5</v>
      </c>
      <c r="BJ228" s="573" t="s">
        <v>4670</v>
      </c>
    </row>
    <row r="229" spans="1:62" x14ac:dyDescent="0.35">
      <c r="A229" s="403">
        <v>5</v>
      </c>
      <c r="B229" s="604" t="s">
        <v>499</v>
      </c>
      <c r="C229" s="604"/>
      <c r="D229" s="604"/>
      <c r="E229" s="604" t="s">
        <v>274</v>
      </c>
      <c r="F229" s="605" t="s">
        <v>123</v>
      </c>
      <c r="G229" s="403" t="str">
        <f t="shared" ca="1" si="70"/>
        <v/>
      </c>
      <c r="H229" s="403" t="s">
        <v>4325</v>
      </c>
      <c r="I229" s="49"/>
      <c r="J229" s="118"/>
      <c r="K229" s="120" t="s">
        <v>123</v>
      </c>
      <c r="L229" s="116" t="s">
        <v>411</v>
      </c>
      <c r="M229" s="192">
        <v>6</v>
      </c>
      <c r="N229" s="191"/>
      <c r="O229" s="191"/>
      <c r="R229" t="b">
        <v>0</v>
      </c>
      <c r="S229" t="b">
        <v>1</v>
      </c>
      <c r="T229" t="b">
        <v>0</v>
      </c>
      <c r="X229" s="700"/>
      <c r="Y229" s="904"/>
      <c r="Z229" s="896"/>
      <c r="AL229" t="str">
        <f t="shared" si="71"/>
        <v>vpa505_1_3_c</v>
      </c>
      <c r="AM229">
        <f>M229</f>
        <v>6</v>
      </c>
      <c r="BJ229" s="573" t="s">
        <v>4670</v>
      </c>
    </row>
    <row r="230" spans="1:62" x14ac:dyDescent="0.35">
      <c r="A230" s="403">
        <v>5</v>
      </c>
      <c r="B230" s="604" t="s">
        <v>499</v>
      </c>
      <c r="C230" s="604"/>
      <c r="D230" s="604"/>
      <c r="E230" s="604" t="s">
        <v>283</v>
      </c>
      <c r="F230" s="604"/>
      <c r="G230" s="403" t="str">
        <f ca="1">IF(N230&gt;0,"P","")</f>
        <v/>
      </c>
      <c r="H230" s="605" t="s">
        <v>4325</v>
      </c>
      <c r="I230" s="53"/>
      <c r="J230" s="50" t="s">
        <v>283</v>
      </c>
      <c r="K230" s="53"/>
      <c r="L230" s="707" t="s">
        <v>506</v>
      </c>
      <c r="M230" s="84"/>
      <c r="N230" s="868">
        <f ca="1">'Ch5'!O231</f>
        <v>0</v>
      </c>
      <c r="O230" s="834">
        <f ca="1">S230*IFERROR(INDEX({1,2,3},MATCH(W230,INDIRECT(U230),0)),0)</f>
        <v>0</v>
      </c>
      <c r="P230" t="b">
        <v>0</v>
      </c>
      <c r="Q230" t="b">
        <v>1</v>
      </c>
      <c r="R230" t="b">
        <v>0</v>
      </c>
      <c r="S230" t="b">
        <v>1</v>
      </c>
      <c r="T230" t="b">
        <v>0</v>
      </c>
      <c r="U230" t="str">
        <f>SUBSTITUTE(SUBSTITUTE(SUBSTITUTE("dd"&amp;B230&amp;C230&amp;D230&amp;E230&amp;F230,".","_"),"(","_"),")","")</f>
        <v>dd505_1_4</v>
      </c>
      <c r="W230" s="9"/>
      <c r="X230" s="698"/>
      <c r="Y230" s="906" t="str">
        <f>IF(LEN('Ch5'!X231)=0,"None",'Ch5'!X231)</f>
        <v>None</v>
      </c>
      <c r="Z230" s="897"/>
      <c r="AN230" t="str">
        <f>SUBSTITUTE(SUBSTITUTE(SUBSTITUTE("vpc"&amp;$B230&amp;$C230&amp;$D230&amp;$E230&amp;$F230,".","_"),"(","_"),")","")</f>
        <v>vpc505_1_4</v>
      </c>
      <c r="AO230">
        <f ca="1">O230</f>
        <v>0</v>
      </c>
      <c r="AP230" t="str">
        <f>SUBSTITUTE(SUBSTITUTE(SUBSTITUTE("vch"&amp;$B230&amp;$C230&amp;$D230&amp;$E230&amp;$F230,".","_"),"(","_"),")","")</f>
        <v>vch505_1_4</v>
      </c>
      <c r="AQ230">
        <f>W230</f>
        <v>0</v>
      </c>
      <c r="AR230" t="str">
        <f>SUBSTITUTE(SUBSTITUTE(SUBSTITUTE("vnt"&amp;$B230&amp;$C230&amp;$D230&amp;$E230&amp;$F230,".","_"),"(","_"),")","")</f>
        <v>vnt505_1_4</v>
      </c>
      <c r="AS230">
        <f>X230</f>
        <v>0</v>
      </c>
      <c r="BJ230" s="573" t="s">
        <v>4670</v>
      </c>
    </row>
    <row r="231" spans="1:62" x14ac:dyDescent="0.35">
      <c r="A231" s="403">
        <v>5</v>
      </c>
      <c r="B231" s="604" t="s">
        <v>499</v>
      </c>
      <c r="C231" s="604"/>
      <c r="D231" s="604"/>
      <c r="E231" s="604" t="s">
        <v>283</v>
      </c>
      <c r="F231" s="604"/>
      <c r="G231" s="403" t="str">
        <f t="shared" ref="G231:G234" ca="1" si="72">G230</f>
        <v/>
      </c>
      <c r="H231" s="605" t="s">
        <v>4325</v>
      </c>
      <c r="I231" s="53"/>
      <c r="J231" s="53"/>
      <c r="K231" s="53"/>
      <c r="L231" s="707"/>
      <c r="M231" s="84"/>
      <c r="N231" s="834"/>
      <c r="O231" s="834"/>
      <c r="X231" s="699"/>
      <c r="Y231" s="908"/>
      <c r="Z231" s="899"/>
      <c r="BJ231" s="573" t="s">
        <v>4670</v>
      </c>
    </row>
    <row r="232" spans="1:62" x14ac:dyDescent="0.35">
      <c r="A232" s="403">
        <v>5</v>
      </c>
      <c r="B232" s="604" t="s">
        <v>499</v>
      </c>
      <c r="C232" s="604"/>
      <c r="D232" s="604"/>
      <c r="E232" s="604" t="s">
        <v>283</v>
      </c>
      <c r="F232" s="605" t="s">
        <v>121</v>
      </c>
      <c r="G232" s="403" t="str">
        <f t="shared" ca="1" si="72"/>
        <v/>
      </c>
      <c r="H232" s="403" t="s">
        <v>4325</v>
      </c>
      <c r="I232" s="49"/>
      <c r="J232" s="53"/>
      <c r="K232" s="50" t="s">
        <v>121</v>
      </c>
      <c r="L232" s="46" t="s">
        <v>507</v>
      </c>
      <c r="M232" s="84">
        <v>1</v>
      </c>
      <c r="N232" s="44"/>
      <c r="O232" s="44"/>
      <c r="R232" t="b">
        <v>0</v>
      </c>
      <c r="S232" t="b">
        <v>1</v>
      </c>
      <c r="T232" t="b">
        <v>0</v>
      </c>
      <c r="X232" s="699"/>
      <c r="Y232" s="908"/>
      <c r="Z232" s="899"/>
      <c r="AL232" t="str">
        <f t="shared" ref="AL232:AL234" si="73">SUBSTITUTE(SUBSTITUTE(SUBSTITUTE("vpa"&amp;$B232&amp;$C232&amp;$D232&amp;$E232&amp;$F232,".","_"),"(","_"),")","")</f>
        <v>vpa505_1_4_a</v>
      </c>
      <c r="AM232">
        <f>M232</f>
        <v>1</v>
      </c>
      <c r="BJ232" s="573" t="s">
        <v>4670</v>
      </c>
    </row>
    <row r="233" spans="1:62" x14ac:dyDescent="0.35">
      <c r="A233" s="403">
        <v>5</v>
      </c>
      <c r="B233" s="604" t="s">
        <v>499</v>
      </c>
      <c r="C233" s="604"/>
      <c r="D233" s="604"/>
      <c r="E233" s="604" t="s">
        <v>283</v>
      </c>
      <c r="F233" s="605" t="s">
        <v>122</v>
      </c>
      <c r="G233" s="403" t="str">
        <f t="shared" ca="1" si="72"/>
        <v/>
      </c>
      <c r="H233" s="403" t="s">
        <v>4325</v>
      </c>
      <c r="I233" s="49"/>
      <c r="J233" s="53"/>
      <c r="K233" s="50" t="s">
        <v>122</v>
      </c>
      <c r="L233" s="46" t="s">
        <v>410</v>
      </c>
      <c r="M233" s="84">
        <v>2</v>
      </c>
      <c r="N233" s="44"/>
      <c r="O233" s="44"/>
      <c r="R233" t="b">
        <v>0</v>
      </c>
      <c r="S233" t="b">
        <v>1</v>
      </c>
      <c r="T233" t="b">
        <v>0</v>
      </c>
      <c r="X233" s="699"/>
      <c r="Y233" s="908"/>
      <c r="Z233" s="899"/>
      <c r="AL233" t="str">
        <f t="shared" si="73"/>
        <v>vpa505_1_4_b</v>
      </c>
      <c r="AM233">
        <f>M233</f>
        <v>2</v>
      </c>
      <c r="BJ233" s="573" t="s">
        <v>4670</v>
      </c>
    </row>
    <row r="234" spans="1:62" ht="15" thickBot="1" x14ac:dyDescent="0.4">
      <c r="A234" s="403">
        <v>5</v>
      </c>
      <c r="B234" s="604" t="s">
        <v>499</v>
      </c>
      <c r="C234" s="604"/>
      <c r="D234" s="604"/>
      <c r="E234" s="604" t="s">
        <v>283</v>
      </c>
      <c r="F234" s="605" t="s">
        <v>123</v>
      </c>
      <c r="G234" s="403" t="str">
        <f t="shared" ca="1" si="72"/>
        <v/>
      </c>
      <c r="H234" s="403" t="s">
        <v>4325</v>
      </c>
      <c r="I234" s="70"/>
      <c r="J234" s="60"/>
      <c r="K234" s="66" t="s">
        <v>123</v>
      </c>
      <c r="L234" s="56" t="s">
        <v>411</v>
      </c>
      <c r="M234" s="194">
        <v>3</v>
      </c>
      <c r="N234" s="80"/>
      <c r="O234" s="80"/>
      <c r="P234" s="58"/>
      <c r="Q234" s="58"/>
      <c r="R234" s="58" t="b">
        <v>0</v>
      </c>
      <c r="S234" s="58" t="b">
        <v>1</v>
      </c>
      <c r="T234" s="58" t="b">
        <v>0</v>
      </c>
      <c r="U234" s="58"/>
      <c r="V234" s="58"/>
      <c r="W234" s="58"/>
      <c r="X234" s="701"/>
      <c r="Y234" s="942"/>
      <c r="Z234" s="901"/>
      <c r="AL234" t="str">
        <f t="shared" si="73"/>
        <v>vpa505_1_4_c</v>
      </c>
      <c r="AM234">
        <f>M234</f>
        <v>3</v>
      </c>
      <c r="BJ234" s="573" t="s">
        <v>4670</v>
      </c>
    </row>
    <row r="235" spans="1:62" ht="15" thickTop="1" x14ac:dyDescent="0.35">
      <c r="A235" s="403">
        <v>5</v>
      </c>
      <c r="B235" s="604" t="s">
        <v>508</v>
      </c>
      <c r="C235" s="604"/>
      <c r="D235" s="604"/>
      <c r="E235" s="604"/>
      <c r="F235" s="604"/>
      <c r="G235" s="600" t="str">
        <f>IF(COUNTIF(G236:G246,"P")&gt;0,"P","")</f>
        <v>P</v>
      </c>
      <c r="H235" s="605" t="s">
        <v>4325</v>
      </c>
      <c r="I235" s="50" t="s">
        <v>509</v>
      </c>
      <c r="J235" s="53"/>
      <c r="K235" s="53"/>
      <c r="L235" s="48" t="s">
        <v>510</v>
      </c>
      <c r="M235" s="84"/>
      <c r="N235" s="44"/>
      <c r="O235" s="44"/>
      <c r="Z235" s="543"/>
      <c r="BJ235" s="573" t="s">
        <v>4670</v>
      </c>
    </row>
    <row r="236" spans="1:62" x14ac:dyDescent="0.35">
      <c r="A236" s="403">
        <v>5</v>
      </c>
      <c r="B236" s="604" t="s">
        <v>508</v>
      </c>
      <c r="C236" s="604"/>
      <c r="D236" s="604"/>
      <c r="E236" s="604" t="s">
        <v>270</v>
      </c>
      <c r="F236" s="604"/>
      <c r="G236" s="403" t="str">
        <f>IF(N236&gt;0,"P","")</f>
        <v>P</v>
      </c>
      <c r="H236" s="605" t="s">
        <v>4325</v>
      </c>
      <c r="I236" s="53"/>
      <c r="J236" s="50" t="s">
        <v>270</v>
      </c>
      <c r="K236" s="53"/>
      <c r="L236" s="707" t="s">
        <v>511</v>
      </c>
      <c r="M236" s="922">
        <v>5</v>
      </c>
      <c r="N236" s="834">
        <f>'Ch5'!O237</f>
        <v>5</v>
      </c>
      <c r="O236" s="834">
        <f>M236*MIN(1,W238+W241+W245)</f>
        <v>5</v>
      </c>
      <c r="R236" t="b">
        <v>0</v>
      </c>
      <c r="S236" t="b">
        <v>1</v>
      </c>
      <c r="T236" t="b">
        <v>0</v>
      </c>
      <c r="X236" s="698"/>
      <c r="Y236" s="906" t="str">
        <f>IF(LEN('Ch5'!X237)=0,"None",'Ch5'!X237)</f>
        <v>CertainTeed Landmark Solaris Shingles - Crystal Gray</v>
      </c>
      <c r="Z236" s="897"/>
      <c r="AL236" t="str">
        <f>SUBSTITUTE(SUBSTITUTE(SUBSTITUTE("vpa"&amp;$B236&amp;$C236&amp;$D236&amp;$E236&amp;$F236,".","_"),"(","_"),")","")</f>
        <v>vpa505_2_1</v>
      </c>
      <c r="AM236">
        <f>M236</f>
        <v>5</v>
      </c>
      <c r="AN236" t="str">
        <f>SUBSTITUTE(SUBSTITUTE(SUBSTITUTE("vpc"&amp;$B236&amp;$C236&amp;$D236&amp;$E236&amp;$F236,".","_"),"(","_"),")","")</f>
        <v>vpc505_2_1</v>
      </c>
      <c r="AO236">
        <f>O236</f>
        <v>5</v>
      </c>
      <c r="AR236" t="str">
        <f>SUBSTITUTE(SUBSTITUTE(SUBSTITUTE("vnt"&amp;$B236&amp;$C236&amp;$D236&amp;$E236&amp;$F236,".","_"),"(","_"),")","")</f>
        <v>vnt505_2_1</v>
      </c>
      <c r="AS236">
        <f>X236</f>
        <v>0</v>
      </c>
      <c r="BJ236" s="573" t="s">
        <v>4670</v>
      </c>
    </row>
    <row r="237" spans="1:62" x14ac:dyDescent="0.35">
      <c r="A237" s="403">
        <v>5</v>
      </c>
      <c r="B237" s="604" t="s">
        <v>508</v>
      </c>
      <c r="C237" s="604"/>
      <c r="D237" s="604"/>
      <c r="E237" s="604" t="s">
        <v>270</v>
      </c>
      <c r="F237" s="604"/>
      <c r="G237" s="403" t="str">
        <f t="shared" ref="G237:G245" si="74">G236</f>
        <v>P</v>
      </c>
      <c r="H237" s="605" t="s">
        <v>4325</v>
      </c>
      <c r="I237" s="53"/>
      <c r="J237" s="53"/>
      <c r="K237" s="53"/>
      <c r="L237" s="707"/>
      <c r="M237" s="922"/>
      <c r="N237" s="834"/>
      <c r="O237" s="834"/>
      <c r="X237" s="699"/>
      <c r="Y237" s="908"/>
      <c r="Z237" s="899"/>
      <c r="BJ237" s="573" t="s">
        <v>4670</v>
      </c>
    </row>
    <row r="238" spans="1:62" x14ac:dyDescent="0.35">
      <c r="A238" s="403">
        <v>5</v>
      </c>
      <c r="B238" s="604" t="s">
        <v>508</v>
      </c>
      <c r="C238" s="604"/>
      <c r="D238" s="604"/>
      <c r="E238" s="604" t="s">
        <v>270</v>
      </c>
      <c r="F238" s="605" t="s">
        <v>121</v>
      </c>
      <c r="G238" s="403" t="str">
        <f t="shared" si="74"/>
        <v>P</v>
      </c>
      <c r="H238" s="403" t="s">
        <v>4325</v>
      </c>
      <c r="I238" s="49"/>
      <c r="J238" s="53"/>
      <c r="K238" s="50" t="s">
        <v>121</v>
      </c>
      <c r="L238" s="707" t="s">
        <v>512</v>
      </c>
      <c r="M238" s="84"/>
      <c r="N238" s="44"/>
      <c r="O238" s="44"/>
      <c r="P238" t="b">
        <v>0</v>
      </c>
      <c r="Q238" t="b">
        <v>1</v>
      </c>
      <c r="R238" t="b">
        <v>0</v>
      </c>
      <c r="S238" t="b">
        <v>1</v>
      </c>
      <c r="T238" t="b">
        <v>0</v>
      </c>
      <c r="W238" s="17"/>
      <c r="X238" s="699"/>
      <c r="Y238" s="908"/>
      <c r="Z238" s="899"/>
      <c r="AA238">
        <f>'Photo Review'!H238</f>
        <v>0</v>
      </c>
      <c r="AP238" t="str">
        <f>SUBSTITUTE(SUBSTITUTE(SUBSTITUTE("vch"&amp;$B238&amp;$C238&amp;$D238&amp;$E238&amp;$F238,".","_"),"(","_"),")","")</f>
        <v>vch505_2_1_a</v>
      </c>
      <c r="AQ238">
        <f>W238</f>
        <v>0</v>
      </c>
      <c r="BJ238" s="573" t="s">
        <v>4670</v>
      </c>
    </row>
    <row r="239" spans="1:62" x14ac:dyDescent="0.35">
      <c r="A239" s="403">
        <v>5</v>
      </c>
      <c r="B239" s="604" t="s">
        <v>508</v>
      </c>
      <c r="C239" s="604"/>
      <c r="D239" s="604"/>
      <c r="E239" s="604" t="s">
        <v>270</v>
      </c>
      <c r="F239" s="605" t="s">
        <v>121</v>
      </c>
      <c r="G239" s="403" t="str">
        <f t="shared" si="74"/>
        <v>P</v>
      </c>
      <c r="H239" s="403" t="s">
        <v>4325</v>
      </c>
      <c r="I239" s="49"/>
      <c r="J239" s="53"/>
      <c r="K239" s="53"/>
      <c r="L239" s="707"/>
      <c r="M239" s="84"/>
      <c r="N239" s="44"/>
      <c r="O239" s="44"/>
      <c r="X239" s="699"/>
      <c r="Y239" s="908"/>
      <c r="Z239" s="899"/>
      <c r="BJ239" s="573" t="s">
        <v>4670</v>
      </c>
    </row>
    <row r="240" spans="1:62" x14ac:dyDescent="0.35">
      <c r="A240" s="403">
        <v>5</v>
      </c>
      <c r="B240" s="604" t="s">
        <v>508</v>
      </c>
      <c r="C240" s="604"/>
      <c r="D240" s="604"/>
      <c r="E240" s="604" t="s">
        <v>270</v>
      </c>
      <c r="F240" s="605" t="s">
        <v>121</v>
      </c>
      <c r="G240" s="403" t="str">
        <f t="shared" si="74"/>
        <v>P</v>
      </c>
      <c r="H240" s="403" t="s">
        <v>4325</v>
      </c>
      <c r="I240" s="49"/>
      <c r="J240" s="53"/>
      <c r="K240" s="53"/>
      <c r="L240" s="707"/>
      <c r="M240" s="84"/>
      <c r="N240" s="44"/>
      <c r="O240" s="44"/>
      <c r="X240" s="699"/>
      <c r="Y240" s="908"/>
      <c r="Z240" s="899"/>
      <c r="BJ240" s="573" t="s">
        <v>4670</v>
      </c>
    </row>
    <row r="241" spans="1:62" x14ac:dyDescent="0.35">
      <c r="A241" s="403">
        <v>5</v>
      </c>
      <c r="B241" s="604" t="s">
        <v>508</v>
      </c>
      <c r="C241" s="604"/>
      <c r="D241" s="604"/>
      <c r="E241" s="604" t="s">
        <v>270</v>
      </c>
      <c r="F241" s="605" t="s">
        <v>122</v>
      </c>
      <c r="G241" s="403" t="str">
        <f t="shared" si="74"/>
        <v>P</v>
      </c>
      <c r="H241" s="403" t="s">
        <v>4325</v>
      </c>
      <c r="I241" s="49"/>
      <c r="J241" s="53"/>
      <c r="K241" s="50" t="s">
        <v>122</v>
      </c>
      <c r="L241" s="707" t="s">
        <v>513</v>
      </c>
      <c r="M241" s="84"/>
      <c r="N241" s="44"/>
      <c r="O241" s="44"/>
      <c r="P241" t="b">
        <v>0</v>
      </c>
      <c r="Q241" t="b">
        <v>1</v>
      </c>
      <c r="R241" t="b">
        <v>0</v>
      </c>
      <c r="S241" t="b">
        <v>1</v>
      </c>
      <c r="T241" t="b">
        <v>0</v>
      </c>
      <c r="W241" s="17" t="b">
        <v>1</v>
      </c>
      <c r="X241" s="699"/>
      <c r="Y241" s="908"/>
      <c r="Z241" s="899"/>
      <c r="AA241">
        <f>'Photo Review'!H241</f>
        <v>0</v>
      </c>
      <c r="AP241" t="str">
        <f>SUBSTITUTE(SUBSTITUTE(SUBSTITUTE("vch"&amp;$B241&amp;$C241&amp;$D241&amp;$E241&amp;$F241,".","_"),"(","_"),")","")</f>
        <v>vch505_2_1_b</v>
      </c>
      <c r="AQ241" t="b">
        <f>W241</f>
        <v>1</v>
      </c>
      <c r="BJ241" s="573" t="s">
        <v>4670</v>
      </c>
    </row>
    <row r="242" spans="1:62" x14ac:dyDescent="0.35">
      <c r="A242" s="403">
        <v>5</v>
      </c>
      <c r="B242" s="604" t="s">
        <v>508</v>
      </c>
      <c r="C242" s="604"/>
      <c r="D242" s="604"/>
      <c r="E242" s="604" t="s">
        <v>270</v>
      </c>
      <c r="F242" s="605" t="s">
        <v>122</v>
      </c>
      <c r="G242" s="403" t="str">
        <f t="shared" si="74"/>
        <v>P</v>
      </c>
      <c r="H242" s="403" t="s">
        <v>4325</v>
      </c>
      <c r="I242" s="49"/>
      <c r="J242" s="53"/>
      <c r="K242" s="53"/>
      <c r="L242" s="707"/>
      <c r="M242" s="84"/>
      <c r="N242" s="44"/>
      <c r="O242" s="44"/>
      <c r="X242" s="699"/>
      <c r="Y242" s="908"/>
      <c r="Z242" s="899"/>
      <c r="BJ242" s="573" t="s">
        <v>4670</v>
      </c>
    </row>
    <row r="243" spans="1:62" x14ac:dyDescent="0.35">
      <c r="A243" s="403">
        <v>5</v>
      </c>
      <c r="B243" s="604" t="s">
        <v>508</v>
      </c>
      <c r="C243" s="604"/>
      <c r="D243" s="604"/>
      <c r="E243" s="604" t="s">
        <v>270</v>
      </c>
      <c r="F243" s="605" t="s">
        <v>122</v>
      </c>
      <c r="G243" s="403" t="str">
        <f t="shared" si="74"/>
        <v>P</v>
      </c>
      <c r="H243" s="403" t="s">
        <v>4325</v>
      </c>
      <c r="I243" s="49"/>
      <c r="J243" s="53"/>
      <c r="K243" s="53"/>
      <c r="L243" s="707"/>
      <c r="M243" s="84"/>
      <c r="N243" s="44"/>
      <c r="O243" s="44"/>
      <c r="X243" s="699"/>
      <c r="Y243" s="908"/>
      <c r="Z243" s="899"/>
      <c r="BJ243" s="573" t="s">
        <v>4670</v>
      </c>
    </row>
    <row r="244" spans="1:62" x14ac:dyDescent="0.35">
      <c r="A244" s="403">
        <v>5</v>
      </c>
      <c r="B244" s="604" t="s">
        <v>508</v>
      </c>
      <c r="C244" s="604"/>
      <c r="D244" s="604"/>
      <c r="E244" s="604" t="s">
        <v>270</v>
      </c>
      <c r="F244" s="605" t="s">
        <v>122</v>
      </c>
      <c r="G244" s="403" t="str">
        <f t="shared" si="74"/>
        <v>P</v>
      </c>
      <c r="H244" s="403" t="s">
        <v>4325</v>
      </c>
      <c r="I244" s="49"/>
      <c r="J244" s="53"/>
      <c r="K244" s="53"/>
      <c r="L244" s="707"/>
      <c r="M244" s="84"/>
      <c r="N244" s="44"/>
      <c r="O244" s="44"/>
      <c r="X244" s="699"/>
      <c r="Y244" s="908"/>
      <c r="Z244" s="899"/>
      <c r="BJ244" s="573" t="s">
        <v>4670</v>
      </c>
    </row>
    <row r="245" spans="1:62" x14ac:dyDescent="0.35">
      <c r="A245" s="403">
        <v>5</v>
      </c>
      <c r="B245" s="604" t="s">
        <v>508</v>
      </c>
      <c r="C245" s="604"/>
      <c r="D245" s="604"/>
      <c r="E245" s="604" t="s">
        <v>270</v>
      </c>
      <c r="F245" s="605" t="s">
        <v>123</v>
      </c>
      <c r="G245" s="403" t="str">
        <f t="shared" si="74"/>
        <v>P</v>
      </c>
      <c r="H245" s="403" t="s">
        <v>4325</v>
      </c>
      <c r="I245" s="49"/>
      <c r="J245" s="118"/>
      <c r="K245" s="120" t="s">
        <v>123</v>
      </c>
      <c r="L245" s="116" t="s">
        <v>514</v>
      </c>
      <c r="M245" s="192"/>
      <c r="N245" s="191"/>
      <c r="O245" s="191"/>
      <c r="P245" t="b">
        <v>0</v>
      </c>
      <c r="Q245" t="b">
        <v>1</v>
      </c>
      <c r="R245" t="b">
        <v>0</v>
      </c>
      <c r="S245" t="b">
        <v>1</v>
      </c>
      <c r="T245" t="b">
        <v>0</v>
      </c>
      <c r="W245" s="17"/>
      <c r="X245" s="700"/>
      <c r="Y245" s="904"/>
      <c r="Z245" s="896"/>
      <c r="AP245" t="str">
        <f t="shared" ref="AP245:AP246" si="75">SUBSTITUTE(SUBSTITUTE(SUBSTITUTE("vch"&amp;$B245&amp;$C245&amp;$D245&amp;$E245&amp;$F245,".","_"),"(","_"),")","")</f>
        <v>vch505_2_1_c</v>
      </c>
      <c r="AQ245">
        <f>W245</f>
        <v>0</v>
      </c>
      <c r="BJ245" s="573" t="s">
        <v>4670</v>
      </c>
    </row>
    <row r="246" spans="1:62" x14ac:dyDescent="0.35">
      <c r="A246" s="403">
        <v>5</v>
      </c>
      <c r="B246" s="604" t="s">
        <v>508</v>
      </c>
      <c r="C246" s="604"/>
      <c r="D246" s="604"/>
      <c r="E246" s="604" t="s">
        <v>272</v>
      </c>
      <c r="F246" s="604"/>
      <c r="G246" s="403" t="str">
        <f>IF(N246&gt;0,"P","")</f>
        <v/>
      </c>
      <c r="H246" s="605" t="s">
        <v>4325</v>
      </c>
      <c r="I246" s="53"/>
      <c r="J246" s="50" t="s">
        <v>272</v>
      </c>
      <c r="K246" s="53"/>
      <c r="L246" s="707" t="s">
        <v>515</v>
      </c>
      <c r="M246" s="922">
        <v>5</v>
      </c>
      <c r="N246" s="868">
        <f>'Ch5'!O247</f>
        <v>0</v>
      </c>
      <c r="O246" s="834">
        <f>M246*W246</f>
        <v>0</v>
      </c>
      <c r="P246" t="b">
        <v>0</v>
      </c>
      <c r="Q246" t="b">
        <v>1</v>
      </c>
      <c r="R246" t="b">
        <v>0</v>
      </c>
      <c r="S246" t="b">
        <v>1</v>
      </c>
      <c r="T246" t="b">
        <v>0</v>
      </c>
      <c r="W246" s="17"/>
      <c r="X246" s="698"/>
      <c r="Y246" s="906" t="str">
        <f>IF(LEN('Ch5'!X247)=0,"None",'Ch5'!X247)</f>
        <v>None</v>
      </c>
      <c r="Z246" s="897"/>
      <c r="AA246">
        <f>'Photo Review'!H246</f>
        <v>0</v>
      </c>
      <c r="AL246" t="str">
        <f>SUBSTITUTE(SUBSTITUTE(SUBSTITUTE("vpa"&amp;$B246&amp;$C246&amp;$D246&amp;$E246&amp;$F246,".","_"),"(","_"),")","")</f>
        <v>vpa505_2_2</v>
      </c>
      <c r="AM246">
        <f>M246</f>
        <v>5</v>
      </c>
      <c r="AN246" t="str">
        <f>SUBSTITUTE(SUBSTITUTE(SUBSTITUTE("vpc"&amp;$B246&amp;$C246&amp;$D246&amp;$E246&amp;$F246,".","_"),"(","_"),")","")</f>
        <v>vpc505_2_2</v>
      </c>
      <c r="AO246">
        <f>O246</f>
        <v>0</v>
      </c>
      <c r="AP246" t="str">
        <f t="shared" si="75"/>
        <v>vch505_2_2</v>
      </c>
      <c r="AQ246">
        <f>W246</f>
        <v>0</v>
      </c>
      <c r="AR246" t="str">
        <f>SUBSTITUTE(SUBSTITUTE(SUBSTITUTE("vnt"&amp;$B246&amp;$C246&amp;$D246&amp;$E246&amp;$F246,".","_"),"(","_"),")","")</f>
        <v>vnt505_2_2</v>
      </c>
      <c r="AS246">
        <f>X246</f>
        <v>0</v>
      </c>
      <c r="BJ246" s="573" t="s">
        <v>4670</v>
      </c>
    </row>
    <row r="247" spans="1:62" x14ac:dyDescent="0.35">
      <c r="A247" s="403">
        <v>5</v>
      </c>
      <c r="B247" s="604" t="s">
        <v>508</v>
      </c>
      <c r="C247" s="604"/>
      <c r="D247" s="604"/>
      <c r="E247" s="604" t="s">
        <v>272</v>
      </c>
      <c r="F247" s="604"/>
      <c r="G247" s="403" t="str">
        <f t="shared" ref="G247:G248" si="76">G246</f>
        <v/>
      </c>
      <c r="H247" s="605" t="s">
        <v>4325</v>
      </c>
      <c r="I247" s="53"/>
      <c r="J247" s="53"/>
      <c r="K247" s="53"/>
      <c r="L247" s="707"/>
      <c r="M247" s="922"/>
      <c r="N247" s="834"/>
      <c r="O247" s="834"/>
      <c r="X247" s="699"/>
      <c r="Y247" s="908"/>
      <c r="Z247" s="899"/>
      <c r="BJ247" s="573" t="s">
        <v>4670</v>
      </c>
    </row>
    <row r="248" spans="1:62" ht="15" thickBot="1" x14ac:dyDescent="0.4">
      <c r="A248" s="403">
        <v>5</v>
      </c>
      <c r="B248" s="604" t="s">
        <v>508</v>
      </c>
      <c r="C248" s="604"/>
      <c r="D248" s="604"/>
      <c r="E248" s="604" t="s">
        <v>272</v>
      </c>
      <c r="F248" s="604"/>
      <c r="G248" s="403" t="str">
        <f t="shared" si="76"/>
        <v/>
      </c>
      <c r="H248" s="605" t="s">
        <v>4325</v>
      </c>
      <c r="I248" s="60"/>
      <c r="J248" s="60"/>
      <c r="K248" s="60"/>
      <c r="L248" s="708"/>
      <c r="M248" s="937"/>
      <c r="N248" s="938"/>
      <c r="O248" s="938"/>
      <c r="P248" s="58"/>
      <c r="Q248" s="58"/>
      <c r="R248" s="58"/>
      <c r="S248" s="58"/>
      <c r="T248" s="58"/>
      <c r="U248" s="58"/>
      <c r="V248" s="58"/>
      <c r="W248" s="58"/>
      <c r="X248" s="701"/>
      <c r="Y248" s="942"/>
      <c r="Z248" s="901"/>
      <c r="BJ248" s="573" t="s">
        <v>4670</v>
      </c>
    </row>
    <row r="249" spans="1:62" ht="15" thickTop="1" x14ac:dyDescent="0.35">
      <c r="A249" s="403">
        <v>5</v>
      </c>
      <c r="B249" s="604" t="s">
        <v>516</v>
      </c>
      <c r="C249" s="604"/>
      <c r="D249" s="604"/>
      <c r="E249" s="604"/>
      <c r="F249" s="604"/>
      <c r="G249" s="403" t="str">
        <f ca="1">IF(N249&gt;0,"P","")</f>
        <v/>
      </c>
      <c r="H249" s="605" t="s">
        <v>4323</v>
      </c>
      <c r="I249" s="50" t="s">
        <v>516</v>
      </c>
      <c r="J249" s="53"/>
      <c r="K249" s="53"/>
      <c r="L249" s="48" t="s">
        <v>517</v>
      </c>
      <c r="M249" s="84"/>
      <c r="N249" s="44">
        <f ca="1">'Ch5'!O250</f>
        <v>0</v>
      </c>
      <c r="O249" s="44">
        <f ca="1">S249*IFERROR(INDEX({4,5,6,7,8},MATCH(W249,INDIRECT(U249),0)),0)</f>
        <v>0</v>
      </c>
      <c r="P249" t="b">
        <v>1</v>
      </c>
      <c r="Q249" t="b">
        <v>1</v>
      </c>
      <c r="R249" t="b">
        <v>0</v>
      </c>
      <c r="S249" t="b">
        <v>1</v>
      </c>
      <c r="T249" t="b">
        <v>0</v>
      </c>
      <c r="U249" t="str">
        <f>SUBSTITUTE(SUBSTITUTE(SUBSTITUTE("dd"&amp;B249&amp;C249&amp;D249&amp;E249&amp;F249,".","_"),"(","_"),")","")</f>
        <v>dd505_3</v>
      </c>
      <c r="W249" s="9"/>
      <c r="X249" s="687"/>
      <c r="Y249" s="904" t="str">
        <f>IF(LEN('Ch5'!X250)=0,"None",'Ch5'!X250)</f>
        <v>None</v>
      </c>
      <c r="Z249" s="896"/>
      <c r="AA249">
        <f>'Photo Review'!H249</f>
        <v>0</v>
      </c>
      <c r="AN249" t="str">
        <f>SUBSTITUTE(SUBSTITUTE(SUBSTITUTE("vpc"&amp;$B249&amp;$C249&amp;$D249&amp;$E249&amp;$F249,".","_"),"(","_"),")","")</f>
        <v>vpc505_3</v>
      </c>
      <c r="AO249">
        <f ca="1">O249</f>
        <v>0</v>
      </c>
      <c r="AP249" t="str">
        <f>SUBSTITUTE(SUBSTITUTE(SUBSTITUTE("vch"&amp;$B249&amp;$C249&amp;$D249&amp;$E249&amp;$F249,".","_"),"(","_"),")","")</f>
        <v>vch505_3</v>
      </c>
      <c r="AQ249">
        <f>W249</f>
        <v>0</v>
      </c>
      <c r="AR249" t="str">
        <f>SUBSTITUTE(SUBSTITUTE(SUBSTITUTE("vnt"&amp;$B249&amp;$C249&amp;$D249&amp;$E249&amp;$F249,".","_"),"(","_"),")","")</f>
        <v>vnt505_3</v>
      </c>
      <c r="AS249">
        <f>X249</f>
        <v>0</v>
      </c>
      <c r="BJ249" s="573" t="s">
        <v>4670</v>
      </c>
    </row>
    <row r="250" spans="1:62" x14ac:dyDescent="0.35">
      <c r="A250" s="403">
        <v>5</v>
      </c>
      <c r="B250" s="604" t="s">
        <v>516</v>
      </c>
      <c r="C250" s="604"/>
      <c r="D250" s="604"/>
      <c r="E250" s="604" t="s">
        <v>270</v>
      </c>
      <c r="F250" s="604"/>
      <c r="G250" s="403" t="str">
        <f t="shared" ref="G250:G254" ca="1" si="77">G249</f>
        <v/>
      </c>
      <c r="H250" s="605" t="s">
        <v>4323</v>
      </c>
      <c r="I250" s="53"/>
      <c r="J250" s="115" t="s">
        <v>270</v>
      </c>
      <c r="K250" s="118"/>
      <c r="L250" s="116" t="s">
        <v>518</v>
      </c>
      <c r="M250" s="192">
        <v>4</v>
      </c>
      <c r="N250" s="44"/>
      <c r="O250" s="44"/>
      <c r="X250" s="688"/>
      <c r="Y250" s="891"/>
      <c r="Z250" s="892"/>
      <c r="AL250" t="str">
        <f t="shared" ref="AL250:AL256" si="78">SUBSTITUTE(SUBSTITUTE(SUBSTITUTE("vpa"&amp;$B250&amp;$C250&amp;$D250&amp;$E250&amp;$F250,".","_"),"(","_"),")","")</f>
        <v>vpa505_3_1</v>
      </c>
      <c r="AM250">
        <f t="shared" ref="AM250:AM256" si="79">M250</f>
        <v>4</v>
      </c>
      <c r="BJ250" s="573" t="s">
        <v>4670</v>
      </c>
    </row>
    <row r="251" spans="1:62" x14ac:dyDescent="0.35">
      <c r="A251" s="403">
        <v>5</v>
      </c>
      <c r="B251" s="604" t="s">
        <v>516</v>
      </c>
      <c r="C251" s="604"/>
      <c r="D251" s="604"/>
      <c r="E251" s="604" t="s">
        <v>272</v>
      </c>
      <c r="F251" s="604"/>
      <c r="G251" s="403" t="str">
        <f t="shared" ca="1" si="77"/>
        <v/>
      </c>
      <c r="H251" s="605" t="s">
        <v>4323</v>
      </c>
      <c r="I251" s="53"/>
      <c r="J251" s="115" t="s">
        <v>272</v>
      </c>
      <c r="K251" s="118"/>
      <c r="L251" s="116" t="s">
        <v>519</v>
      </c>
      <c r="M251" s="192">
        <v>5</v>
      </c>
      <c r="N251" s="44"/>
      <c r="O251" s="44"/>
      <c r="X251" s="688"/>
      <c r="Y251" s="891"/>
      <c r="Z251" s="892"/>
      <c r="AL251" t="str">
        <f t="shared" si="78"/>
        <v>vpa505_3_2</v>
      </c>
      <c r="AM251">
        <f t="shared" si="79"/>
        <v>5</v>
      </c>
      <c r="BJ251" s="573" t="s">
        <v>4670</v>
      </c>
    </row>
    <row r="252" spans="1:62" x14ac:dyDescent="0.35">
      <c r="A252" s="403">
        <v>5</v>
      </c>
      <c r="B252" s="604" t="s">
        <v>516</v>
      </c>
      <c r="C252" s="604"/>
      <c r="D252" s="604"/>
      <c r="E252" s="604" t="s">
        <v>274</v>
      </c>
      <c r="F252" s="604"/>
      <c r="G252" s="403" t="str">
        <f t="shared" ca="1" si="77"/>
        <v/>
      </c>
      <c r="H252" s="605" t="s">
        <v>4323</v>
      </c>
      <c r="I252" s="53"/>
      <c r="J252" s="115" t="s">
        <v>274</v>
      </c>
      <c r="K252" s="118"/>
      <c r="L252" s="116" t="s">
        <v>520</v>
      </c>
      <c r="M252" s="192">
        <v>6</v>
      </c>
      <c r="N252" s="44"/>
      <c r="O252" s="44"/>
      <c r="X252" s="688"/>
      <c r="Y252" s="891"/>
      <c r="Z252" s="892"/>
      <c r="AL252" t="str">
        <f t="shared" si="78"/>
        <v>vpa505_3_3</v>
      </c>
      <c r="AM252">
        <f t="shared" si="79"/>
        <v>6</v>
      </c>
      <c r="BJ252" s="573" t="s">
        <v>4670</v>
      </c>
    </row>
    <row r="253" spans="1:62" x14ac:dyDescent="0.35">
      <c r="A253" s="403">
        <v>5</v>
      </c>
      <c r="B253" s="604" t="s">
        <v>516</v>
      </c>
      <c r="C253" s="604"/>
      <c r="D253" s="604"/>
      <c r="E253" s="604" t="s">
        <v>283</v>
      </c>
      <c r="F253" s="604"/>
      <c r="G253" s="403" t="str">
        <f t="shared" ca="1" si="77"/>
        <v/>
      </c>
      <c r="H253" s="605" t="s">
        <v>4323</v>
      </c>
      <c r="I253" s="53"/>
      <c r="J253" s="115" t="s">
        <v>283</v>
      </c>
      <c r="K253" s="118"/>
      <c r="L253" s="116" t="s">
        <v>521</v>
      </c>
      <c r="M253" s="192">
        <v>7</v>
      </c>
      <c r="N253" s="44"/>
      <c r="O253" s="44"/>
      <c r="X253" s="688"/>
      <c r="Y253" s="891"/>
      <c r="Z253" s="892"/>
      <c r="AL253" t="str">
        <f t="shared" si="78"/>
        <v>vpa505_3_4</v>
      </c>
      <c r="AM253">
        <f t="shared" si="79"/>
        <v>7</v>
      </c>
      <c r="BJ253" s="573" t="s">
        <v>4670</v>
      </c>
    </row>
    <row r="254" spans="1:62" ht="15" thickBot="1" x14ac:dyDescent="0.4">
      <c r="A254" s="403">
        <v>5</v>
      </c>
      <c r="B254" s="604" t="s">
        <v>516</v>
      </c>
      <c r="C254" s="604"/>
      <c r="D254" s="604"/>
      <c r="E254" s="604" t="s">
        <v>289</v>
      </c>
      <c r="F254" s="604"/>
      <c r="G254" s="403" t="str">
        <f t="shared" ca="1" si="77"/>
        <v/>
      </c>
      <c r="H254" s="605" t="s">
        <v>4323</v>
      </c>
      <c r="I254" s="60"/>
      <c r="J254" s="55" t="s">
        <v>289</v>
      </c>
      <c r="K254" s="60"/>
      <c r="L254" s="56" t="s">
        <v>522</v>
      </c>
      <c r="M254" s="194">
        <v>8</v>
      </c>
      <c r="N254" s="80"/>
      <c r="O254" s="80"/>
      <c r="P254" s="58"/>
      <c r="Q254" s="58"/>
      <c r="R254" s="58"/>
      <c r="S254" s="58"/>
      <c r="T254" s="58"/>
      <c r="U254" s="58"/>
      <c r="V254" s="58"/>
      <c r="W254" s="58"/>
      <c r="X254" s="689"/>
      <c r="Y254" s="905"/>
      <c r="Z254" s="895"/>
      <c r="AL254" t="str">
        <f t="shared" si="78"/>
        <v>vpa505_3_5</v>
      </c>
      <c r="AM254">
        <f t="shared" si="79"/>
        <v>8</v>
      </c>
      <c r="BJ254" s="573" t="s">
        <v>4670</v>
      </c>
    </row>
    <row r="255" spans="1:62" ht="15.5" thickTop="1" thickBot="1" x14ac:dyDescent="0.4">
      <c r="A255" s="403">
        <v>5</v>
      </c>
      <c r="B255" s="604" t="s">
        <v>523</v>
      </c>
      <c r="C255" s="604"/>
      <c r="D255" s="604"/>
      <c r="E255" s="604"/>
      <c r="F255" s="604"/>
      <c r="G255" s="403" t="str">
        <f ca="1">IF(N255&gt;0,"P","")</f>
        <v/>
      </c>
      <c r="H255" s="605" t="s">
        <v>4323</v>
      </c>
      <c r="I255" s="71" t="s">
        <v>523</v>
      </c>
      <c r="J255" s="72"/>
      <c r="K255" s="72"/>
      <c r="L255" s="73" t="s">
        <v>524</v>
      </c>
      <c r="M255" s="74">
        <v>8</v>
      </c>
      <c r="N255" s="76">
        <f ca="1">'Ch5'!O256</f>
        <v>0</v>
      </c>
      <c r="O255" s="76">
        <f ca="1">M255*S255*W255</f>
        <v>0</v>
      </c>
      <c r="P255" s="75" t="b">
        <v>1</v>
      </c>
      <c r="Q255" s="75" t="b">
        <v>1</v>
      </c>
      <c r="R255" s="75" t="b">
        <v>0</v>
      </c>
      <c r="S255" t="b">
        <f ca="1">IF($AY$18=INDEX(INDIRECT("ddSingleOrMulti"),2),TRUE,FALSE)</f>
        <v>0</v>
      </c>
      <c r="T255" t="b">
        <f ca="1">IF(AND(NOT(S255),W255=TRUE),TRUE,FALSE)</f>
        <v>0</v>
      </c>
      <c r="U255" s="75"/>
      <c r="V255" s="75"/>
      <c r="W255" s="78"/>
      <c r="X255" s="82"/>
      <c r="Y255" s="202" t="str">
        <f>IF(LEN('Ch5'!X256)=0,"None",'Ch5'!X256)</f>
        <v>None</v>
      </c>
      <c r="Z255" s="565"/>
      <c r="AC255" t="b">
        <f ca="1">OR(AD255:AE255)</f>
        <v>0</v>
      </c>
      <c r="AD255" t="b">
        <f ca="1">T255</f>
        <v>0</v>
      </c>
      <c r="AL255" t="str">
        <f t="shared" si="78"/>
        <v>vpa505_4</v>
      </c>
      <c r="AM255">
        <f t="shared" si="79"/>
        <v>8</v>
      </c>
      <c r="AN255" t="str">
        <f t="shared" ref="AN255:AN256" si="80">SUBSTITUTE(SUBSTITUTE(SUBSTITUTE("vpc"&amp;$B255&amp;$C255&amp;$D255&amp;$E255&amp;$F255,".","_"),"(","_"),")","")</f>
        <v>vpc505_4</v>
      </c>
      <c r="AO255">
        <f ca="1">O255</f>
        <v>0</v>
      </c>
      <c r="AP255" t="str">
        <f t="shared" ref="AP255:AP256" si="81">SUBSTITUTE(SUBSTITUTE(SUBSTITUTE("vch"&amp;$B255&amp;$C255&amp;$D255&amp;$E255&amp;$F255,".","_"),"(","_"),")","")</f>
        <v>vch505_4</v>
      </c>
      <c r="AQ255">
        <f>W255</f>
        <v>0</v>
      </c>
      <c r="AR255" t="str">
        <f t="shared" ref="AR255:AR256" si="82">SUBSTITUTE(SUBSTITUTE(SUBSTITUTE("vnt"&amp;$B255&amp;$C255&amp;$D255&amp;$E255&amp;$F255,".","_"),"(","_"),")","")</f>
        <v>vnt505_4</v>
      </c>
      <c r="AS255">
        <f>X255</f>
        <v>0</v>
      </c>
      <c r="BJ255" s="573" t="s">
        <v>4670</v>
      </c>
    </row>
    <row r="256" spans="1:62" ht="15" thickTop="1" x14ac:dyDescent="0.35">
      <c r="A256" s="403">
        <v>5</v>
      </c>
      <c r="B256" s="604" t="s">
        <v>525</v>
      </c>
      <c r="C256" s="604"/>
      <c r="D256" s="604"/>
      <c r="E256" s="604"/>
      <c r="F256" s="604"/>
      <c r="G256" s="403" t="str">
        <f>IF(N256&gt;0,"P","")</f>
        <v/>
      </c>
      <c r="H256" s="605" t="s">
        <v>4323</v>
      </c>
      <c r="I256" s="69" t="s">
        <v>525</v>
      </c>
      <c r="J256" s="64"/>
      <c r="K256" s="64"/>
      <c r="L256" s="711" t="s">
        <v>526</v>
      </c>
      <c r="M256" s="941">
        <v>3</v>
      </c>
      <c r="N256" s="940">
        <f>'Ch5'!O257</f>
        <v>0</v>
      </c>
      <c r="O256" s="940">
        <f>M256*S256*W256</f>
        <v>0</v>
      </c>
      <c r="P256" t="b">
        <v>1</v>
      </c>
      <c r="Q256" t="b">
        <v>1</v>
      </c>
      <c r="R256" s="62" t="b">
        <v>0</v>
      </c>
      <c r="S256" s="62" t="b">
        <v>1</v>
      </c>
      <c r="T256" s="62" t="b">
        <v>0</v>
      </c>
      <c r="U256" s="62"/>
      <c r="V256" s="62"/>
      <c r="W256" s="77"/>
      <c r="X256" s="687"/>
      <c r="Y256" s="904" t="str">
        <f>IF(LEN('Ch5'!X257)=0,"None",'Ch5'!X257)</f>
        <v>None</v>
      </c>
      <c r="Z256" s="896"/>
      <c r="AL256" t="str">
        <f t="shared" si="78"/>
        <v>vpa505_5</v>
      </c>
      <c r="AM256">
        <f t="shared" si="79"/>
        <v>3</v>
      </c>
      <c r="AN256" t="str">
        <f t="shared" si="80"/>
        <v>vpc505_5</v>
      </c>
      <c r="AO256">
        <f>O256</f>
        <v>0</v>
      </c>
      <c r="AP256" t="str">
        <f t="shared" si="81"/>
        <v>vch505_5</v>
      </c>
      <c r="AQ256">
        <f>W256</f>
        <v>0</v>
      </c>
      <c r="AR256" t="str">
        <f t="shared" si="82"/>
        <v>vnt505_5</v>
      </c>
      <c r="AS256">
        <f>X256</f>
        <v>0</v>
      </c>
      <c r="BJ256" s="573" t="s">
        <v>4670</v>
      </c>
    </row>
    <row r="257" spans="1:62" ht="15" thickBot="1" x14ac:dyDescent="0.4">
      <c r="A257" s="403">
        <v>5</v>
      </c>
      <c r="B257" s="604" t="s">
        <v>525</v>
      </c>
      <c r="C257" s="604"/>
      <c r="D257" s="604"/>
      <c r="E257" s="604"/>
      <c r="F257" s="604"/>
      <c r="G257" s="403" t="str">
        <f>G256</f>
        <v/>
      </c>
      <c r="H257" s="605" t="s">
        <v>4323</v>
      </c>
      <c r="I257" s="60"/>
      <c r="J257" s="60"/>
      <c r="K257" s="60"/>
      <c r="L257" s="710"/>
      <c r="M257" s="937"/>
      <c r="N257" s="938"/>
      <c r="O257" s="938"/>
      <c r="P257" s="58"/>
      <c r="Q257" s="58"/>
      <c r="R257" s="58"/>
      <c r="S257" s="58"/>
      <c r="T257" s="58"/>
      <c r="U257" s="58"/>
      <c r="V257" s="58"/>
      <c r="W257" s="58"/>
      <c r="X257" s="689"/>
      <c r="Y257" s="905"/>
      <c r="Z257" s="895"/>
      <c r="BJ257" s="573" t="s">
        <v>4670</v>
      </c>
    </row>
    <row r="258" spans="1:62" ht="15" thickTop="1" x14ac:dyDescent="0.35">
      <c r="A258" s="403">
        <v>5</v>
      </c>
      <c r="B258" s="604" t="s">
        <v>527</v>
      </c>
      <c r="C258" s="604"/>
      <c r="D258" s="604"/>
      <c r="E258" s="604"/>
      <c r="F258" s="604"/>
      <c r="G258" s="403" t="str">
        <f ca="1">IF(N258&gt;0,"P","")</f>
        <v/>
      </c>
      <c r="H258" s="605" t="s">
        <v>4325</v>
      </c>
      <c r="I258" s="69" t="s">
        <v>527</v>
      </c>
      <c r="J258" s="64"/>
      <c r="K258" s="64"/>
      <c r="L258" s="711" t="s">
        <v>528</v>
      </c>
      <c r="M258" s="941">
        <v>4</v>
      </c>
      <c r="N258" s="940">
        <f ca="1">'Ch5'!O259</f>
        <v>0</v>
      </c>
      <c r="O258" s="940">
        <f ca="1">M258*S258*W258</f>
        <v>0</v>
      </c>
      <c r="P258" t="b">
        <v>0</v>
      </c>
      <c r="Q258" t="b">
        <v>1</v>
      </c>
      <c r="R258" s="62" t="b">
        <v>0</v>
      </c>
      <c r="S258" t="b">
        <f ca="1">IF($AY$18=INDEX(INDIRECT("ddSingleOrMulti"),2),TRUE,FALSE)</f>
        <v>0</v>
      </c>
      <c r="T258" t="b">
        <f ca="1">IF(AND(NOT(S258),W258=TRUE),TRUE,FALSE)</f>
        <v>0</v>
      </c>
      <c r="U258" s="62"/>
      <c r="V258" s="62"/>
      <c r="W258" s="17"/>
      <c r="X258" s="687"/>
      <c r="Y258" s="904" t="str">
        <f>IF(LEN('Ch5'!X259)=0,"None",'Ch5'!X259)</f>
        <v>None</v>
      </c>
      <c r="Z258" s="896"/>
      <c r="AC258" t="b">
        <f ca="1">OR(AD258:AE258)</f>
        <v>0</v>
      </c>
      <c r="AD258" t="b">
        <f ca="1">T258</f>
        <v>0</v>
      </c>
      <c r="AL258" t="str">
        <f>SUBSTITUTE(SUBSTITUTE(SUBSTITUTE("vpa"&amp;$B258&amp;$C258&amp;$D258&amp;$E258&amp;$F258,".","_"),"(","_"),")","")</f>
        <v>vpa505_6</v>
      </c>
      <c r="AM258">
        <f>M258</f>
        <v>4</v>
      </c>
      <c r="AN258" t="str">
        <f>SUBSTITUTE(SUBSTITUTE(SUBSTITUTE("vpc"&amp;$B258&amp;$C258&amp;$D258&amp;$E258&amp;$F258,".","_"),"(","_"),")","")</f>
        <v>vpc505_6</v>
      </c>
      <c r="AO258">
        <f ca="1">O258</f>
        <v>0</v>
      </c>
      <c r="AP258" t="str">
        <f>SUBSTITUTE(SUBSTITUTE(SUBSTITUTE("vch"&amp;$B258&amp;$C258&amp;$D258&amp;$E258&amp;$F258,".","_"),"(","_"),")","")</f>
        <v>vch505_6</v>
      </c>
      <c r="AQ258">
        <f>W258</f>
        <v>0</v>
      </c>
      <c r="AR258" t="str">
        <f>SUBSTITUTE(SUBSTITUTE(SUBSTITUTE("vnt"&amp;$B258&amp;$C258&amp;$D258&amp;$E258&amp;$F258,".","_"),"(","_"),")","")</f>
        <v>vnt505_6</v>
      </c>
      <c r="AS258">
        <f>X258</f>
        <v>0</v>
      </c>
      <c r="BJ258" s="573" t="s">
        <v>4670</v>
      </c>
    </row>
    <row r="259" spans="1:62" x14ac:dyDescent="0.35">
      <c r="A259" s="403">
        <v>5</v>
      </c>
      <c r="B259" s="604" t="s">
        <v>527</v>
      </c>
      <c r="C259" s="604"/>
      <c r="D259" s="604"/>
      <c r="E259" s="604"/>
      <c r="F259" s="604"/>
      <c r="G259" s="403" t="str">
        <f t="shared" ref="G259:G263" ca="1" si="83">G258</f>
        <v/>
      </c>
      <c r="H259" s="605" t="s">
        <v>4325</v>
      </c>
      <c r="I259" s="53"/>
      <c r="J259" s="53"/>
      <c r="K259" s="53"/>
      <c r="L259" s="706"/>
      <c r="M259" s="922"/>
      <c r="N259" s="834"/>
      <c r="O259" s="834"/>
      <c r="X259" s="688"/>
      <c r="Y259" s="891"/>
      <c r="Z259" s="892"/>
      <c r="BJ259" s="573" t="s">
        <v>4670</v>
      </c>
    </row>
    <row r="260" spans="1:62" x14ac:dyDescent="0.35">
      <c r="A260" s="403">
        <v>5</v>
      </c>
      <c r="B260" s="604" t="s">
        <v>527</v>
      </c>
      <c r="C260" s="604"/>
      <c r="D260" s="604"/>
      <c r="E260" s="604"/>
      <c r="F260" s="604"/>
      <c r="G260" s="403" t="str">
        <f t="shared" ca="1" si="83"/>
        <v/>
      </c>
      <c r="H260" s="605" t="s">
        <v>4325</v>
      </c>
      <c r="I260" s="53"/>
      <c r="J260" s="53"/>
      <c r="K260" s="53"/>
      <c r="L260" s="706"/>
      <c r="M260" s="922"/>
      <c r="N260" s="834"/>
      <c r="O260" s="834"/>
      <c r="X260" s="688"/>
      <c r="Y260" s="891"/>
      <c r="Z260" s="892"/>
      <c r="BJ260" s="573" t="s">
        <v>4670</v>
      </c>
    </row>
    <row r="261" spans="1:62" x14ac:dyDescent="0.35">
      <c r="A261" s="403">
        <v>5</v>
      </c>
      <c r="B261" s="604" t="s">
        <v>527</v>
      </c>
      <c r="C261" s="604"/>
      <c r="D261" s="604"/>
      <c r="E261" s="604"/>
      <c r="F261" s="604"/>
      <c r="G261" s="403" t="str">
        <f t="shared" ca="1" si="83"/>
        <v/>
      </c>
      <c r="H261" s="605" t="s">
        <v>4325</v>
      </c>
      <c r="I261" s="53"/>
      <c r="J261" s="53"/>
      <c r="K261" s="53"/>
      <c r="L261" s="706"/>
      <c r="M261" s="922"/>
      <c r="N261" s="834"/>
      <c r="O261" s="834"/>
      <c r="X261" s="688"/>
      <c r="Y261" s="891"/>
      <c r="Z261" s="892"/>
      <c r="BJ261" s="573" t="s">
        <v>4670</v>
      </c>
    </row>
    <row r="262" spans="1:62" x14ac:dyDescent="0.35">
      <c r="A262" s="403">
        <v>5</v>
      </c>
      <c r="B262" s="604" t="s">
        <v>527</v>
      </c>
      <c r="C262" s="604"/>
      <c r="D262" s="604"/>
      <c r="E262" s="604"/>
      <c r="F262" s="604"/>
      <c r="G262" s="403" t="str">
        <f t="shared" ca="1" si="83"/>
        <v/>
      </c>
      <c r="H262" s="605" t="s">
        <v>4325</v>
      </c>
      <c r="I262" s="53"/>
      <c r="J262" s="53"/>
      <c r="K262" s="53"/>
      <c r="L262" s="706"/>
      <c r="M262" s="922"/>
      <c r="N262" s="834"/>
      <c r="O262" s="834"/>
      <c r="X262" s="688"/>
      <c r="Y262" s="891"/>
      <c r="Z262" s="892"/>
      <c r="BJ262" s="573" t="s">
        <v>4670</v>
      </c>
    </row>
    <row r="263" spans="1:62" ht="15" thickBot="1" x14ac:dyDescent="0.4">
      <c r="A263" s="403">
        <v>5</v>
      </c>
      <c r="B263" s="604" t="s">
        <v>527</v>
      </c>
      <c r="C263" s="604"/>
      <c r="D263" s="604"/>
      <c r="E263" s="604"/>
      <c r="F263" s="604"/>
      <c r="G263" s="403" t="str">
        <f t="shared" ca="1" si="83"/>
        <v/>
      </c>
      <c r="H263" s="605" t="s">
        <v>4325</v>
      </c>
      <c r="I263" s="60"/>
      <c r="J263" s="60"/>
      <c r="K263" s="60"/>
      <c r="L263" s="710"/>
      <c r="M263" s="937"/>
      <c r="N263" s="938"/>
      <c r="O263" s="938"/>
      <c r="P263" s="58"/>
      <c r="Q263" s="58"/>
      <c r="R263" s="58"/>
      <c r="S263" s="58"/>
      <c r="T263" s="58"/>
      <c r="U263" s="58"/>
      <c r="V263" s="58"/>
      <c r="W263" s="58"/>
      <c r="X263" s="689"/>
      <c r="Y263" s="891"/>
      <c r="Z263" s="892"/>
      <c r="BJ263" s="573" t="s">
        <v>4670</v>
      </c>
    </row>
    <row r="264" spans="1:62" ht="19" thickTop="1" x14ac:dyDescent="0.45">
      <c r="A264" s="403">
        <v>6</v>
      </c>
      <c r="B264" s="608" t="s">
        <v>4585</v>
      </c>
      <c r="G264" s="403" t="s">
        <v>4326</v>
      </c>
      <c r="H264" s="403" t="s">
        <v>4323</v>
      </c>
      <c r="I264" s="14" t="s">
        <v>533</v>
      </c>
      <c r="J264" s="14"/>
      <c r="K264" s="14"/>
      <c r="L264" s="15"/>
      <c r="M264" s="16"/>
      <c r="N264" s="16"/>
      <c r="O264" s="16"/>
      <c r="P264" t="s">
        <v>260</v>
      </c>
      <c r="Q264" t="s">
        <v>260</v>
      </c>
      <c r="R264" t="s">
        <v>260</v>
      </c>
      <c r="S264" t="s">
        <v>260</v>
      </c>
      <c r="T264" t="s">
        <v>260</v>
      </c>
      <c r="U264" t="s">
        <v>260</v>
      </c>
      <c r="V264" t="s">
        <v>260</v>
      </c>
      <c r="W264" s="15"/>
      <c r="X264" s="15"/>
      <c r="Y264" s="15"/>
      <c r="Z264" s="562"/>
      <c r="BJ264" s="573" t="s">
        <v>4670</v>
      </c>
    </row>
    <row r="265" spans="1:62" x14ac:dyDescent="0.35">
      <c r="A265" s="403">
        <v>6</v>
      </c>
      <c r="B265" s="608" t="s">
        <v>534</v>
      </c>
      <c r="C265" s="604"/>
      <c r="D265" s="604"/>
      <c r="E265" s="604"/>
      <c r="F265" s="604"/>
      <c r="G265" s="605"/>
      <c r="H265" s="605"/>
      <c r="I265" s="41" t="s">
        <v>534</v>
      </c>
      <c r="J265" s="19"/>
      <c r="K265" s="50"/>
      <c r="L265" s="706" t="s">
        <v>535</v>
      </c>
      <c r="M265" s="43"/>
      <c r="N265" s="44"/>
      <c r="O265" s="44"/>
      <c r="Z265" s="543"/>
      <c r="BJ265" s="573" t="s">
        <v>4670</v>
      </c>
    </row>
    <row r="266" spans="1:62" x14ac:dyDescent="0.35">
      <c r="A266" s="403">
        <v>6</v>
      </c>
      <c r="B266" s="608" t="s">
        <v>534</v>
      </c>
      <c r="C266" s="604"/>
      <c r="D266" s="604"/>
      <c r="E266" s="604"/>
      <c r="F266" s="604"/>
      <c r="I266" s="32"/>
      <c r="J266" s="4"/>
      <c r="K266" s="46"/>
      <c r="L266" s="706"/>
      <c r="M266" s="43"/>
      <c r="N266" s="44"/>
      <c r="O266" s="44"/>
      <c r="Z266" s="543"/>
      <c r="AX266" s="6" t="str">
        <f>'Overview (Verification)'!A8</f>
        <v>Builder Name:</v>
      </c>
      <c r="AY266" t="str">
        <f>IF(LEN('Overview (Verification)'!P8)=0,0,'Overview (Verification)'!P8)</f>
        <v>ABC Builder</v>
      </c>
      <c r="BJ266" s="573" t="s">
        <v>4670</v>
      </c>
    </row>
    <row r="267" spans="1:62" ht="15" thickBot="1" x14ac:dyDescent="0.4">
      <c r="A267" s="403">
        <v>6</v>
      </c>
      <c r="B267" s="608" t="s">
        <v>534</v>
      </c>
      <c r="C267" s="604"/>
      <c r="D267" s="604"/>
      <c r="E267" s="604"/>
      <c r="F267" s="604"/>
      <c r="I267" s="32"/>
      <c r="J267" s="4"/>
      <c r="K267" s="46"/>
      <c r="L267" s="706"/>
      <c r="M267" s="43"/>
      <c r="N267" s="44"/>
      <c r="O267" s="44"/>
      <c r="Y267" s="58"/>
      <c r="Z267" s="566"/>
      <c r="AX267" s="6" t="str">
        <f>'Overview (Verification)'!A9</f>
        <v>Physical Address of Home:</v>
      </c>
      <c r="AY267" t="str">
        <f>IF(LEN('Overview (Verification)'!P9)=0,0,'Overview (Verification)'!P9)</f>
        <v>123 Example Drive</v>
      </c>
      <c r="BJ267" s="573" t="s">
        <v>4670</v>
      </c>
    </row>
    <row r="268" spans="1:62" ht="15" thickTop="1" x14ac:dyDescent="0.35">
      <c r="A268" s="403">
        <v>6</v>
      </c>
      <c r="B268" s="608">
        <v>601.1</v>
      </c>
      <c r="C268" s="604"/>
      <c r="D268" s="604"/>
      <c r="E268" s="604"/>
      <c r="F268" s="604"/>
      <c r="G268" s="403" t="str">
        <f>IF(N268&gt;0,"P","")</f>
        <v/>
      </c>
      <c r="H268" s="403" t="s">
        <v>4324</v>
      </c>
      <c r="I268" s="123">
        <v>601.1</v>
      </c>
      <c r="J268" s="124"/>
      <c r="K268" s="125"/>
      <c r="L268" s="711" t="s">
        <v>536</v>
      </c>
      <c r="M268" s="199"/>
      <c r="N268" s="940">
        <f>'Ch6'!O13</f>
        <v>0</v>
      </c>
      <c r="O268" s="940">
        <f>IFERROR(INDEX({14,12,9,6,3,0},MATCH(AY278,{1,701,1001,1501,2001,2501,100000},1)),0)</f>
        <v>0</v>
      </c>
      <c r="P268" s="62"/>
      <c r="Q268" s="62"/>
      <c r="R268" s="62"/>
      <c r="S268" s="62"/>
      <c r="T268" s="62"/>
      <c r="U268" s="62"/>
      <c r="V268" s="62"/>
      <c r="W268" s="62"/>
      <c r="X268" s="687"/>
      <c r="Y268" s="904" t="str">
        <f>IF(LEN('Ch6'!X13)=0,"None",'Ch6'!X13)</f>
        <v>None</v>
      </c>
      <c r="Z268" s="896"/>
      <c r="AA268">
        <f>'Photo Review'!H268</f>
        <v>0</v>
      </c>
      <c r="AN268" t="str">
        <f>SUBSTITUTE(SUBSTITUTE(SUBSTITUTE("vpc"&amp;$B268&amp;$C268&amp;$D268&amp;$E268&amp;$F268,".","_"),"(","_"),")","")</f>
        <v>vpc601_1</v>
      </c>
      <c r="AO268">
        <f>O268</f>
        <v>0</v>
      </c>
      <c r="AR268" t="str">
        <f>SUBSTITUTE(SUBSTITUTE(SUBSTITUTE("vnt"&amp;$B268&amp;$C268&amp;$D268&amp;$E268&amp;$F268,".","_"),"(","_"),")","")</f>
        <v>vnt601_1</v>
      </c>
      <c r="AS268">
        <f>X268</f>
        <v>0</v>
      </c>
      <c r="AX268" s="6" t="str">
        <f>'Overview (Verification)'!A10</f>
        <v>Community/Lot #:</v>
      </c>
      <c r="AY268" t="str">
        <f>IF(LEN('Overview (Verification)'!P10)=0,0,'Overview (Verification)'!P10)</f>
        <v>Lot 1A</v>
      </c>
      <c r="BJ268" s="573" t="s">
        <v>4670</v>
      </c>
    </row>
    <row r="269" spans="1:62" x14ac:dyDescent="0.35">
      <c r="A269" s="403">
        <v>6</v>
      </c>
      <c r="B269" s="608">
        <v>601.1</v>
      </c>
      <c r="C269" s="604"/>
      <c r="D269" s="604"/>
      <c r="E269" s="604"/>
      <c r="F269" s="604"/>
      <c r="G269" s="403" t="str">
        <f t="shared" ref="G269:G279" si="84">G268</f>
        <v/>
      </c>
      <c r="H269" s="403" t="s">
        <v>4324</v>
      </c>
      <c r="I269" s="32"/>
      <c r="J269" s="4"/>
      <c r="K269" s="46"/>
      <c r="L269" s="706"/>
      <c r="M269" s="43"/>
      <c r="N269" s="834"/>
      <c r="O269" s="834"/>
      <c r="X269" s="688"/>
      <c r="Y269" s="891"/>
      <c r="Z269" s="892"/>
      <c r="AX269" s="6" t="str">
        <f>'Overview (Verification)'!A11</f>
        <v>City:</v>
      </c>
      <c r="AY269" t="str">
        <f>IF(LEN('Overview (Verification)'!P11)=0,0,'Overview (Verification)'!P11)</f>
        <v>Durham</v>
      </c>
      <c r="BJ269" s="573" t="s">
        <v>4670</v>
      </c>
    </row>
    <row r="270" spans="1:62" x14ac:dyDescent="0.35">
      <c r="A270" s="403">
        <v>6</v>
      </c>
      <c r="B270" s="608">
        <v>601.1</v>
      </c>
      <c r="C270" s="604"/>
      <c r="D270" s="604"/>
      <c r="E270" s="604"/>
      <c r="F270" s="604"/>
      <c r="G270" s="403" t="str">
        <f t="shared" si="84"/>
        <v/>
      </c>
      <c r="H270" s="403" t="s">
        <v>4324</v>
      </c>
      <c r="I270" s="32"/>
      <c r="J270" s="4"/>
      <c r="K270" s="46"/>
      <c r="L270" s="706"/>
      <c r="M270" s="43"/>
      <c r="N270" s="834"/>
      <c r="O270" s="834"/>
      <c r="X270" s="688"/>
      <c r="Y270" s="891"/>
      <c r="Z270" s="892"/>
      <c r="AX270" s="6" t="str">
        <f>'Overview (Verification)'!A12</f>
        <v>State:</v>
      </c>
      <c r="AY270" t="str">
        <f>IF(LEN('Overview (Verification)'!P12)=0,0,'Overview (Verification)'!P12)</f>
        <v>North Carolina</v>
      </c>
      <c r="BC270" t="str">
        <f>'Overview (Verification)'!T12</f>
        <v>State</v>
      </c>
      <c r="BD270" t="str">
        <f>'Overview (Verification)'!U12</f>
        <v>County</v>
      </c>
      <c r="BE270" t="str">
        <f>'Overview (Verification)'!V12</f>
        <v>Radon</v>
      </c>
      <c r="BF270" t="str">
        <f>'Overview (Verification)'!W12</f>
        <v>Climate</v>
      </c>
      <c r="BG270" t="str">
        <f>'Overview (Verification)'!X12</f>
        <v>Moist</v>
      </c>
      <c r="BH270" t="str">
        <f>'Overview (Verification)'!Y12</f>
        <v>WarmHumid</v>
      </c>
      <c r="BJ270" s="573" t="s">
        <v>4670</v>
      </c>
    </row>
    <row r="271" spans="1:62" x14ac:dyDescent="0.35">
      <c r="A271" s="403">
        <v>6</v>
      </c>
      <c r="B271" s="608">
        <v>601.1</v>
      </c>
      <c r="C271" s="604"/>
      <c r="D271" s="604"/>
      <c r="E271" s="604"/>
      <c r="F271" s="604"/>
      <c r="G271" s="403" t="str">
        <f t="shared" si="84"/>
        <v/>
      </c>
      <c r="H271" s="403" t="s">
        <v>4324</v>
      </c>
      <c r="I271" s="32"/>
      <c r="J271" s="4"/>
      <c r="K271" s="46"/>
      <c r="L271" s="706"/>
      <c r="M271" s="43"/>
      <c r="N271" s="834"/>
      <c r="O271" s="834"/>
      <c r="X271" s="688"/>
      <c r="Y271" s="891"/>
      <c r="Z271" s="892"/>
      <c r="AC271" t="b">
        <f>OR(AD271:AE271)</f>
        <v>0</v>
      </c>
      <c r="AE271" t="b">
        <v>0</v>
      </c>
      <c r="AF271" t="b">
        <f>AND(AE271,NOT(Q271))</f>
        <v>0</v>
      </c>
      <c r="AX271" s="6" t="str">
        <f>'Overview (Verification)'!A13</f>
        <v>County:</v>
      </c>
      <c r="AY271" t="str">
        <f>IF(LEN('Overview (Verification)'!P13)=0,0,'Overview (Verification)'!P13)</f>
        <v xml:space="preserve">Chatham  </v>
      </c>
      <c r="BC271" t="str">
        <f>'Overview (Verification)'!T13</f>
        <v>North Carolina</v>
      </c>
      <c r="BD271" t="str">
        <f>'Overview (Verification)'!U13</f>
        <v xml:space="preserve">Chatham  </v>
      </c>
      <c r="BE271">
        <f>'Overview (Verification)'!V13</f>
        <v>3</v>
      </c>
      <c r="BF271">
        <f>'Overview (Verification)'!W13</f>
        <v>4</v>
      </c>
      <c r="BG271" t="str">
        <f>'Overview (Verification)'!X13</f>
        <v>Moist</v>
      </c>
      <c r="BH271" t="str">
        <f>'Overview (Verification)'!Y13</f>
        <v xml:space="preserve"> </v>
      </c>
      <c r="BJ271" s="573" t="s">
        <v>4670</v>
      </c>
    </row>
    <row r="272" spans="1:62" x14ac:dyDescent="0.35">
      <c r="A272" s="403">
        <v>6</v>
      </c>
      <c r="B272" s="608">
        <v>601.1</v>
      </c>
      <c r="C272" s="604"/>
      <c r="D272" s="604"/>
      <c r="E272" s="604" t="s">
        <v>270</v>
      </c>
      <c r="F272" s="604"/>
      <c r="G272" s="403" t="str">
        <f t="shared" si="84"/>
        <v/>
      </c>
      <c r="H272" s="403" t="s">
        <v>4324</v>
      </c>
      <c r="I272" s="32"/>
      <c r="J272" s="148" t="s">
        <v>270</v>
      </c>
      <c r="K272" s="116"/>
      <c r="L272" s="149" t="s">
        <v>537</v>
      </c>
      <c r="M272" s="198">
        <v>14</v>
      </c>
      <c r="N272" s="44"/>
      <c r="O272" s="44"/>
      <c r="X272" s="688"/>
      <c r="Y272" s="891"/>
      <c r="Z272" s="892"/>
      <c r="AL272" t="str">
        <f t="shared" ref="AL272:AL276" si="85">SUBSTITUTE(SUBSTITUTE(SUBSTITUTE("vpa"&amp;$B272&amp;$C272&amp;$D272&amp;$E272&amp;$F272,".","_"),"(","_"),")","")</f>
        <v>vpa601_1_1</v>
      </c>
      <c r="AM272">
        <f>M272</f>
        <v>14</v>
      </c>
      <c r="AX272" s="6" t="str">
        <f>'Overview (Verification)'!A14</f>
        <v>Zip:</v>
      </c>
      <c r="AY272" t="str">
        <f>IF(LEN('Overview (Verification)'!P14)=0,0,'Overview (Verification)'!P14)</f>
        <v>27703</v>
      </c>
      <c r="BJ272" s="573" t="s">
        <v>4670</v>
      </c>
    </row>
    <row r="273" spans="1:62" x14ac:dyDescent="0.35">
      <c r="A273" s="403">
        <v>6</v>
      </c>
      <c r="B273" s="608">
        <v>601.1</v>
      </c>
      <c r="C273" s="604"/>
      <c r="D273" s="604"/>
      <c r="E273" s="604" t="s">
        <v>272</v>
      </c>
      <c r="F273" s="604"/>
      <c r="G273" s="403" t="str">
        <f t="shared" si="84"/>
        <v/>
      </c>
      <c r="H273" s="403" t="s">
        <v>4324</v>
      </c>
      <c r="I273" s="32"/>
      <c r="J273" s="150" t="s">
        <v>272</v>
      </c>
      <c r="K273" s="151"/>
      <c r="L273" s="152" t="s">
        <v>538</v>
      </c>
      <c r="M273" s="153">
        <v>12</v>
      </c>
      <c r="N273" s="44"/>
      <c r="O273" s="44"/>
      <c r="X273" s="688"/>
      <c r="Y273" s="891"/>
      <c r="Z273" s="892"/>
      <c r="AL273" t="str">
        <f t="shared" si="85"/>
        <v>vpa601_1_2</v>
      </c>
      <c r="AM273">
        <f>M273</f>
        <v>12</v>
      </c>
      <c r="AX273" s="6"/>
      <c r="BJ273" s="573" t="s">
        <v>4670</v>
      </c>
    </row>
    <row r="274" spans="1:62" x14ac:dyDescent="0.35">
      <c r="A274" s="403">
        <v>6</v>
      </c>
      <c r="B274" s="608">
        <v>601.1</v>
      </c>
      <c r="C274" s="604"/>
      <c r="D274" s="604"/>
      <c r="E274" s="604" t="s">
        <v>274</v>
      </c>
      <c r="F274" s="604"/>
      <c r="G274" s="403" t="str">
        <f t="shared" si="84"/>
        <v/>
      </c>
      <c r="H274" s="403" t="s">
        <v>4324</v>
      </c>
      <c r="I274" s="32"/>
      <c r="J274" s="150" t="s">
        <v>274</v>
      </c>
      <c r="K274" s="151"/>
      <c r="L274" s="152" t="s">
        <v>539</v>
      </c>
      <c r="M274" s="153">
        <v>9</v>
      </c>
      <c r="N274" s="44"/>
      <c r="O274" s="44"/>
      <c r="X274" s="688"/>
      <c r="Y274" s="891"/>
      <c r="Z274" s="892"/>
      <c r="AL274" t="str">
        <f t="shared" si="85"/>
        <v>vpa601_1_3</v>
      </c>
      <c r="AM274">
        <f>M274</f>
        <v>9</v>
      </c>
      <c r="AX274" s="6" t="str">
        <f>'Overview (Verification)'!A16</f>
        <v>Single-Family or Multifamily:</v>
      </c>
      <c r="AY274" t="str">
        <f>IF(LEN('Overview (Verification)'!P16)=0,0,'Overview (Verification)'!P16)</f>
        <v>Single-Family</v>
      </c>
      <c r="BJ274" s="573" t="s">
        <v>4670</v>
      </c>
    </row>
    <row r="275" spans="1:62" x14ac:dyDescent="0.35">
      <c r="A275" s="403">
        <v>6</v>
      </c>
      <c r="B275" s="608">
        <v>601.1</v>
      </c>
      <c r="C275" s="604"/>
      <c r="D275" s="604"/>
      <c r="E275" s="604" t="s">
        <v>283</v>
      </c>
      <c r="F275" s="604"/>
      <c r="G275" s="403" t="str">
        <f t="shared" si="84"/>
        <v/>
      </c>
      <c r="H275" s="403" t="s">
        <v>4324</v>
      </c>
      <c r="I275" s="32"/>
      <c r="J275" s="150" t="s">
        <v>283</v>
      </c>
      <c r="K275" s="151"/>
      <c r="L275" s="152" t="s">
        <v>540</v>
      </c>
      <c r="M275" s="153">
        <v>6</v>
      </c>
      <c r="N275" s="44"/>
      <c r="O275" s="44"/>
      <c r="X275" s="688"/>
      <c r="Y275" s="891"/>
      <c r="Z275" s="892"/>
      <c r="AL275" t="str">
        <f t="shared" si="85"/>
        <v>vpa601_1_4</v>
      </c>
      <c r="AM275">
        <f>M275</f>
        <v>6</v>
      </c>
      <c r="AX275" s="6" t="str">
        <f>'Overview (Verification)'!A17</f>
        <v>Number of Units:</v>
      </c>
      <c r="AY275">
        <f>IF(LEN('Overview (Verification)'!P17)=0,0,'Overview (Verification)'!P17)</f>
        <v>0</v>
      </c>
      <c r="BJ275" s="573" t="s">
        <v>4670</v>
      </c>
    </row>
    <row r="276" spans="1:62" x14ac:dyDescent="0.35">
      <c r="A276" s="403">
        <v>6</v>
      </c>
      <c r="B276" s="608">
        <v>601.1</v>
      </c>
      <c r="C276" s="604"/>
      <c r="D276" s="604"/>
      <c r="E276" s="604" t="s">
        <v>289</v>
      </c>
      <c r="F276" s="604"/>
      <c r="G276" s="403" t="str">
        <f t="shared" si="84"/>
        <v/>
      </c>
      <c r="H276" s="403" t="s">
        <v>4324</v>
      </c>
      <c r="I276" s="32"/>
      <c r="J276" s="150" t="s">
        <v>289</v>
      </c>
      <c r="K276" s="151"/>
      <c r="L276" s="152" t="s">
        <v>541</v>
      </c>
      <c r="M276" s="153">
        <v>3</v>
      </c>
      <c r="N276" s="44"/>
      <c r="O276" s="44"/>
      <c r="X276" s="688"/>
      <c r="Y276" s="891"/>
      <c r="Z276" s="892"/>
      <c r="AL276" t="str">
        <f t="shared" si="85"/>
        <v>vpa601_1_5</v>
      </c>
      <c r="AM276">
        <f>M276</f>
        <v>3</v>
      </c>
      <c r="AX276" s="6" t="str">
        <f>'Overview (Verification)'!A18</f>
        <v>Project Name:</v>
      </c>
      <c r="AY276">
        <f>IF(LEN('Overview (Verification)'!P18)=0,0,'Overview (Verification)'!P18)</f>
        <v>0</v>
      </c>
      <c r="BJ276" s="573" t="s">
        <v>4670</v>
      </c>
    </row>
    <row r="277" spans="1:62" x14ac:dyDescent="0.35">
      <c r="A277" s="403">
        <v>6</v>
      </c>
      <c r="B277" s="608">
        <v>601.1</v>
      </c>
      <c r="C277" s="604"/>
      <c r="D277" s="604"/>
      <c r="E277" s="604" t="s">
        <v>291</v>
      </c>
      <c r="F277" s="604"/>
      <c r="G277" s="403" t="str">
        <f t="shared" si="84"/>
        <v/>
      </c>
      <c r="H277" s="403" t="s">
        <v>4324</v>
      </c>
      <c r="I277" s="32"/>
      <c r="J277" s="19" t="s">
        <v>291</v>
      </c>
      <c r="K277" s="46"/>
      <c r="L277" s="126" t="s">
        <v>542</v>
      </c>
      <c r="M277" s="556" t="str">
        <f>IF(AY278&gt;4000,"Mandatory","N/A")</f>
        <v>N/A</v>
      </c>
      <c r="N277" s="44"/>
      <c r="O277" s="44"/>
      <c r="X277" s="688"/>
      <c r="Y277" s="891"/>
      <c r="Z277" s="892"/>
      <c r="AX277" s="6"/>
      <c r="BJ277" s="573" t="s">
        <v>4670</v>
      </c>
    </row>
    <row r="278" spans="1:62" x14ac:dyDescent="0.35">
      <c r="A278" s="403">
        <v>6</v>
      </c>
      <c r="B278" s="608">
        <v>601.1</v>
      </c>
      <c r="C278" s="604"/>
      <c r="D278" s="604"/>
      <c r="E278" s="604" t="s">
        <v>291</v>
      </c>
      <c r="F278" s="604"/>
      <c r="G278" s="403" t="str">
        <f t="shared" si="84"/>
        <v/>
      </c>
      <c r="H278" s="403" t="s">
        <v>4324</v>
      </c>
      <c r="I278" s="32"/>
      <c r="J278" s="4"/>
      <c r="K278" s="46"/>
      <c r="L278" s="706" t="s">
        <v>543</v>
      </c>
      <c r="M278" s="127" t="s">
        <v>1298</v>
      </c>
      <c r="N278" s="44"/>
      <c r="O278" s="44"/>
      <c r="X278" s="688"/>
      <c r="Y278" s="891"/>
      <c r="Z278" s="892"/>
      <c r="AX278" s="6" t="str">
        <f>'Overview (Verification)'!A20</f>
        <v>Above grade plane finished floor area:</v>
      </c>
      <c r="AY278">
        <f>IF(LEN('Overview (Verification)'!P20)=0,0,'Overview (Verification)'!P20)</f>
        <v>2644</v>
      </c>
      <c r="BJ278" s="573" t="s">
        <v>4670</v>
      </c>
    </row>
    <row r="279" spans="1:62" x14ac:dyDescent="0.35">
      <c r="A279" s="403">
        <v>6</v>
      </c>
      <c r="B279" s="608">
        <v>601.1</v>
      </c>
      <c r="C279" s="604"/>
      <c r="D279" s="604"/>
      <c r="E279" s="604" t="s">
        <v>291</v>
      </c>
      <c r="F279" s="604"/>
      <c r="G279" s="403" t="str">
        <f t="shared" si="84"/>
        <v/>
      </c>
      <c r="H279" s="403" t="s">
        <v>4324</v>
      </c>
      <c r="I279" s="32"/>
      <c r="J279" s="4"/>
      <c r="K279" s="46"/>
      <c r="L279" s="706"/>
      <c r="M279" s="127">
        <f>MAX(0,ROUNDDOWN((AY278-4000)/100,0))</f>
        <v>0</v>
      </c>
      <c r="N279" s="44"/>
      <c r="O279" s="44"/>
      <c r="X279" s="688"/>
      <c r="Y279" s="891"/>
      <c r="Z279" s="892"/>
      <c r="AX279" s="6" t="str">
        <f>'Overview (Verification)'!A21</f>
        <v>Total conditioned floor area:</v>
      </c>
      <c r="AY279">
        <f>IF(LEN('Overview (Verification)'!P21)=0,0,'Overview (Verification)'!P21)</f>
        <v>2644</v>
      </c>
      <c r="BJ279" s="573" t="s">
        <v>4670</v>
      </c>
    </row>
    <row r="280" spans="1:62" x14ac:dyDescent="0.35">
      <c r="A280" s="403">
        <v>6</v>
      </c>
      <c r="B280" s="608">
        <v>601.1</v>
      </c>
      <c r="C280" s="604"/>
      <c r="D280" s="604"/>
      <c r="E280" s="604" t="s">
        <v>291</v>
      </c>
      <c r="F280" s="604"/>
      <c r="G280" s="605"/>
      <c r="H280" s="605"/>
      <c r="I280" s="32"/>
      <c r="J280" s="4"/>
      <c r="L280" s="714" t="s">
        <v>4096</v>
      </c>
      <c r="M280" s="43"/>
      <c r="N280" s="44"/>
      <c r="O280" s="44"/>
      <c r="X280" s="688"/>
      <c r="Y280" s="891"/>
      <c r="Z280" s="892"/>
      <c r="AX280" s="6"/>
      <c r="BJ280" s="573" t="s">
        <v>4670</v>
      </c>
    </row>
    <row r="281" spans="1:62" ht="15" thickBot="1" x14ac:dyDescent="0.4">
      <c r="A281" s="403">
        <v>6</v>
      </c>
      <c r="B281" s="608">
        <v>601.1</v>
      </c>
      <c r="C281" s="604"/>
      <c r="D281" s="604"/>
      <c r="E281" s="604" t="s">
        <v>291</v>
      </c>
      <c r="F281" s="604"/>
      <c r="G281" s="605"/>
      <c r="H281" s="605"/>
      <c r="I281" s="32"/>
      <c r="J281" s="4"/>
      <c r="K281" s="147"/>
      <c r="L281" s="714"/>
      <c r="M281" s="43"/>
      <c r="N281" s="44"/>
      <c r="O281" s="44"/>
      <c r="X281" s="698"/>
      <c r="Y281" s="905"/>
      <c r="Z281" s="895"/>
      <c r="AX281" s="6" t="str">
        <f>'Overview (Verification)'!A24</f>
        <v xml:space="preserve">Project Description (optional): </v>
      </c>
      <c r="AY281">
        <f>IF(LEN('Overview (Verification)'!P24)=0,0,'Overview (Verification)'!P24)</f>
        <v>0</v>
      </c>
      <c r="BJ281" s="573" t="s">
        <v>4670</v>
      </c>
    </row>
    <row r="282" spans="1:62" ht="15" thickTop="1" x14ac:dyDescent="0.35">
      <c r="A282" s="403">
        <v>6</v>
      </c>
      <c r="B282" s="608">
        <v>601.20000000000005</v>
      </c>
      <c r="C282" s="604"/>
      <c r="D282" s="604"/>
      <c r="E282" s="604"/>
      <c r="F282" s="604"/>
      <c r="G282" s="600" t="str">
        <f>IF(COUNTIF(G284:G290,"P")&gt;0,"P","")</f>
        <v>P</v>
      </c>
      <c r="H282" s="403" t="s">
        <v>4324</v>
      </c>
      <c r="I282" s="123">
        <v>601.20000000000005</v>
      </c>
      <c r="J282" s="124"/>
      <c r="K282" s="125"/>
      <c r="L282" s="711" t="s">
        <v>544</v>
      </c>
      <c r="M282" s="199"/>
      <c r="N282" s="195"/>
      <c r="O282" s="195"/>
      <c r="P282" s="62"/>
      <c r="Q282" s="62"/>
      <c r="R282" s="62"/>
      <c r="S282" s="62"/>
      <c r="T282" s="62"/>
      <c r="U282" s="62"/>
      <c r="V282" s="62"/>
      <c r="W282" s="62"/>
      <c r="X282" s="128"/>
      <c r="Z282" s="543"/>
      <c r="BJ282" s="573" t="s">
        <v>4670</v>
      </c>
    </row>
    <row r="283" spans="1:62" x14ac:dyDescent="0.35">
      <c r="A283" s="403">
        <v>6</v>
      </c>
      <c r="B283" s="608">
        <v>601.20000000000005</v>
      </c>
      <c r="C283" s="604"/>
      <c r="D283" s="604"/>
      <c r="E283" s="604"/>
      <c r="F283" s="604"/>
      <c r="G283" s="403" t="str">
        <f t="shared" ref="G283" si="86">G282</f>
        <v>P</v>
      </c>
      <c r="H283" s="403" t="s">
        <v>4324</v>
      </c>
      <c r="I283" s="32"/>
      <c r="J283" s="4"/>
      <c r="K283" s="46"/>
      <c r="L283" s="706"/>
      <c r="M283" s="43"/>
      <c r="N283" s="44"/>
      <c r="O283" s="44"/>
      <c r="X283" s="68"/>
      <c r="Z283" s="543"/>
      <c r="AX283" s="6" t="str">
        <f>'Overview (Verification)'!A26</f>
        <v>HERS Index (if available):</v>
      </c>
      <c r="AY283">
        <f>IF(LEN('Overview (Verification)'!P26)=0,0,'Overview (Verification)'!P26)</f>
        <v>0</v>
      </c>
      <c r="BJ283" s="573" t="s">
        <v>4670</v>
      </c>
    </row>
    <row r="284" spans="1:62" x14ac:dyDescent="0.35">
      <c r="A284" s="403">
        <v>6</v>
      </c>
      <c r="B284" s="608">
        <v>601.20000000000005</v>
      </c>
      <c r="C284" s="604"/>
      <c r="D284" s="604"/>
      <c r="E284" s="604" t="s">
        <v>270</v>
      </c>
      <c r="F284" s="604"/>
      <c r="G284" s="403" t="str">
        <f>IF(N284&gt;0,"P","")</f>
        <v>P</v>
      </c>
      <c r="H284" s="403" t="s">
        <v>4324</v>
      </c>
      <c r="I284" s="32"/>
      <c r="J284" s="19" t="s">
        <v>270</v>
      </c>
      <c r="K284" s="46"/>
      <c r="L284" s="707" t="s">
        <v>546</v>
      </c>
      <c r="M284" s="690">
        <v>3</v>
      </c>
      <c r="N284" s="834">
        <f>'Ch6'!O29</f>
        <v>3</v>
      </c>
      <c r="O284" s="834">
        <f>M284*S284*W284</f>
        <v>0</v>
      </c>
      <c r="P284" t="b">
        <v>1</v>
      </c>
      <c r="Q284" t="b">
        <v>0</v>
      </c>
      <c r="R284" t="b">
        <v>0</v>
      </c>
      <c r="S284" t="b">
        <v>1</v>
      </c>
      <c r="T284" t="b">
        <v>0</v>
      </c>
      <c r="W284" s="17"/>
      <c r="X284" s="688"/>
      <c r="Y284" s="891" t="str">
        <f>IF(LEN('Ch6'!X29)=0,"None",'Ch6'!X29)</f>
        <v>Weyerhaeuser Trus Joist® TJI® Joist</v>
      </c>
      <c r="Z284" s="892"/>
      <c r="AL284" t="str">
        <f>SUBSTITUTE(SUBSTITUTE(SUBSTITUTE("vpa"&amp;$B284&amp;$C284&amp;$D284&amp;$E284&amp;$F284,".","_"),"(","_"),")","")</f>
        <v>vpa601_2_1</v>
      </c>
      <c r="AM284">
        <f>M284</f>
        <v>3</v>
      </c>
      <c r="AN284" t="str">
        <f>SUBSTITUTE(SUBSTITUTE(SUBSTITUTE("vpc"&amp;$B284&amp;$C284&amp;$D284&amp;$E284&amp;$F284,".","_"),"(","_"),")","")</f>
        <v>vpc601_2_1</v>
      </c>
      <c r="AO284">
        <f>O284</f>
        <v>0</v>
      </c>
      <c r="AP284" t="str">
        <f>SUBSTITUTE(SUBSTITUTE(SUBSTITUTE("vch"&amp;$B284&amp;$C284&amp;$D284&amp;$E284&amp;$F284,".","_"),"(","_"),")","")</f>
        <v>vch601_2_1</v>
      </c>
      <c r="AQ284">
        <f>W284</f>
        <v>0</v>
      </c>
      <c r="AR284" t="str">
        <f>SUBSTITUTE(SUBSTITUTE(SUBSTITUTE("vnt"&amp;$B284&amp;$C284&amp;$D284&amp;$E284&amp;$F284,".","_"),"(","_"),")","")</f>
        <v>vnt601_2_1</v>
      </c>
      <c r="AS284">
        <f>X284</f>
        <v>0</v>
      </c>
      <c r="AX284" s="6" t="str">
        <f>'Overview (Verification)'!A27</f>
        <v>Foundation Type:</v>
      </c>
      <c r="AY284" t="str">
        <f>IF(LEN('Overview (Verification)'!P27)=0,0,'Overview (Verification)'!P27)</f>
        <v>Conditioned crawlspace</v>
      </c>
      <c r="AZ284" s="1">
        <f>IFERROR(MATCH(AY284,ddFoundation,0),0)</f>
        <v>3</v>
      </c>
      <c r="BJ284" s="573" t="s">
        <v>4670</v>
      </c>
    </row>
    <row r="285" spans="1:62" x14ac:dyDescent="0.35">
      <c r="A285" s="403">
        <v>6</v>
      </c>
      <c r="B285" s="608">
        <v>601.20000000000005</v>
      </c>
      <c r="C285" s="604"/>
      <c r="D285" s="604"/>
      <c r="E285" s="604" t="s">
        <v>270</v>
      </c>
      <c r="F285" s="604"/>
      <c r="G285" s="403" t="str">
        <f t="shared" ref="G285:G286" si="87">G284</f>
        <v>P</v>
      </c>
      <c r="H285" s="403" t="s">
        <v>4324</v>
      </c>
      <c r="I285" s="32"/>
      <c r="J285" s="4"/>
      <c r="K285" s="46"/>
      <c r="L285" s="707"/>
      <c r="M285" s="690"/>
      <c r="N285" s="834"/>
      <c r="O285" s="834"/>
      <c r="X285" s="688"/>
      <c r="Y285" s="891"/>
      <c r="Z285" s="892"/>
      <c r="AX285" s="6" t="str">
        <f>'Overview (Verification)'!A29</f>
        <v>Type of Heating System (main system):</v>
      </c>
      <c r="AY285" t="str">
        <f>IF(LEN('Overview (Verification)'!P29)=0,0,'Overview (Verification)'!P29)</f>
        <v>Furnace</v>
      </c>
      <c r="BJ285" s="573" t="s">
        <v>4670</v>
      </c>
    </row>
    <row r="286" spans="1:62" x14ac:dyDescent="0.35">
      <c r="A286" s="403">
        <v>6</v>
      </c>
      <c r="B286" s="608">
        <v>601.20000000000005</v>
      </c>
      <c r="C286" s="604"/>
      <c r="D286" s="604"/>
      <c r="E286" s="604" t="s">
        <v>270</v>
      </c>
      <c r="F286" s="604"/>
      <c r="G286" s="403" t="str">
        <f t="shared" si="87"/>
        <v>P</v>
      </c>
      <c r="H286" s="403" t="s">
        <v>4324</v>
      </c>
      <c r="I286" s="32"/>
      <c r="J286" s="155"/>
      <c r="K286" s="116"/>
      <c r="L286" s="709"/>
      <c r="M286" s="691"/>
      <c r="N286" s="886"/>
      <c r="O286" s="886"/>
      <c r="X286" s="688"/>
      <c r="Y286" s="891"/>
      <c r="Z286" s="892"/>
      <c r="AX286" s="6" t="str">
        <f>'Overview (Verification)'!A30</f>
        <v>Type of Heating System (system 2):</v>
      </c>
      <c r="AY286">
        <f>IF(LEN('Overview (Verification)'!P30)=0,0,'Overview (Verification)'!P30)</f>
        <v>0</v>
      </c>
      <c r="BJ286" s="573" t="s">
        <v>4670</v>
      </c>
    </row>
    <row r="287" spans="1:62" x14ac:dyDescent="0.35">
      <c r="A287" s="403">
        <v>6</v>
      </c>
      <c r="B287" s="608">
        <v>601.20000000000005</v>
      </c>
      <c r="C287" s="604"/>
      <c r="D287" s="604"/>
      <c r="E287" s="604" t="s">
        <v>272</v>
      </c>
      <c r="F287" s="604"/>
      <c r="G287" s="403" t="str">
        <f>IF(N287&gt;0,"P","")</f>
        <v/>
      </c>
      <c r="H287" s="403" t="s">
        <v>4324</v>
      </c>
      <c r="I287" s="32"/>
      <c r="J287" s="19" t="s">
        <v>272</v>
      </c>
      <c r="K287" s="46"/>
      <c r="L287" s="707" t="s">
        <v>547</v>
      </c>
      <c r="M287" s="690">
        <v>3</v>
      </c>
      <c r="N287" s="868">
        <f>'Ch6'!O32</f>
        <v>0</v>
      </c>
      <c r="O287" s="834">
        <f>M287*S287*W287</f>
        <v>0</v>
      </c>
      <c r="P287" t="b">
        <v>1</v>
      </c>
      <c r="Q287" t="b">
        <v>0</v>
      </c>
      <c r="R287" t="b">
        <v>0</v>
      </c>
      <c r="S287" t="b">
        <v>1</v>
      </c>
      <c r="T287" t="b">
        <v>0</v>
      </c>
      <c r="W287" s="17"/>
      <c r="X287" s="688"/>
      <c r="Y287" s="891" t="str">
        <f>IF(LEN('Ch6'!X32)=0,"None",'Ch6'!X32)</f>
        <v>None</v>
      </c>
      <c r="Z287" s="892"/>
      <c r="AL287" t="str">
        <f>SUBSTITUTE(SUBSTITUTE(SUBSTITUTE("vpa"&amp;$B287&amp;$C287&amp;$D287&amp;$E287&amp;$F287,".","_"),"(","_"),")","")</f>
        <v>vpa601_2_2</v>
      </c>
      <c r="AM287">
        <f>M287</f>
        <v>3</v>
      </c>
      <c r="AN287" t="str">
        <f>SUBSTITUTE(SUBSTITUTE(SUBSTITUTE("vpc"&amp;$B287&amp;$C287&amp;$D287&amp;$E287&amp;$F287,".","_"),"(","_"),")","")</f>
        <v>vpc601_2_2</v>
      </c>
      <c r="AO287">
        <f>O287</f>
        <v>0</v>
      </c>
      <c r="AP287" t="str">
        <f>SUBSTITUTE(SUBSTITUTE(SUBSTITUTE("vch"&amp;$B287&amp;$C287&amp;$D287&amp;$E287&amp;$F287,".","_"),"(","_"),")","")</f>
        <v>vch601_2_2</v>
      </c>
      <c r="AQ287">
        <f>W287</f>
        <v>0</v>
      </c>
      <c r="AR287" t="str">
        <f>SUBSTITUTE(SUBSTITUTE(SUBSTITUTE("vnt"&amp;$B287&amp;$C287&amp;$D287&amp;$E287&amp;$F287,".","_"),"(","_"),")","")</f>
        <v>vnt601_2_2</v>
      </c>
      <c r="AS287">
        <f>X287</f>
        <v>0</v>
      </c>
      <c r="AX287" s="6" t="str">
        <f>'Overview (Verification)'!A31</f>
        <v>Type of Heating System (system 3):</v>
      </c>
      <c r="AY287">
        <f>IF(LEN('Overview (Verification)'!P31)=0,0,'Overview (Verification)'!P31)</f>
        <v>0</v>
      </c>
      <c r="BJ287" s="573" t="s">
        <v>4670</v>
      </c>
    </row>
    <row r="288" spans="1:62" x14ac:dyDescent="0.35">
      <c r="A288" s="403">
        <v>6</v>
      </c>
      <c r="B288" s="608">
        <v>601.20000000000005</v>
      </c>
      <c r="C288" s="604"/>
      <c r="D288" s="604"/>
      <c r="E288" s="604" t="s">
        <v>272</v>
      </c>
      <c r="F288" s="604"/>
      <c r="G288" s="403" t="str">
        <f t="shared" ref="G288:G289" si="88">G287</f>
        <v/>
      </c>
      <c r="H288" s="403" t="s">
        <v>4324</v>
      </c>
      <c r="I288" s="32"/>
      <c r="J288" s="4"/>
      <c r="K288" s="46"/>
      <c r="L288" s="707"/>
      <c r="M288" s="690"/>
      <c r="N288" s="834"/>
      <c r="O288" s="834"/>
      <c r="X288" s="688"/>
      <c r="Y288" s="891"/>
      <c r="Z288" s="892"/>
      <c r="AX288" s="6" t="str">
        <f>'Overview (Verification)'!A32</f>
        <v>Heating Fuel:</v>
      </c>
      <c r="AY288">
        <f>IF(LEN('Overview (Verification)'!P32)=0,0,'Overview (Verification)'!P32)</f>
        <v>0</v>
      </c>
      <c r="BJ288" s="573" t="s">
        <v>4670</v>
      </c>
    </row>
    <row r="289" spans="1:62" x14ac:dyDescent="0.35">
      <c r="A289" s="403">
        <v>6</v>
      </c>
      <c r="B289" s="608">
        <v>601.20000000000005</v>
      </c>
      <c r="C289" s="604"/>
      <c r="D289" s="604"/>
      <c r="E289" s="604" t="s">
        <v>272</v>
      </c>
      <c r="F289" s="604"/>
      <c r="G289" s="403" t="str">
        <f t="shared" si="88"/>
        <v/>
      </c>
      <c r="H289" s="403" t="s">
        <v>4324</v>
      </c>
      <c r="I289" s="32"/>
      <c r="J289" s="155"/>
      <c r="K289" s="116"/>
      <c r="L289" s="709"/>
      <c r="M289" s="691"/>
      <c r="N289" s="886"/>
      <c r="O289" s="886"/>
      <c r="X289" s="688"/>
      <c r="Y289" s="891"/>
      <c r="Z289" s="892"/>
      <c r="AX289" s="6" t="str">
        <f>'Overview (Verification)'!A43</f>
        <v>Renewable Energy:</v>
      </c>
      <c r="AY289">
        <f>IF(LEN('Overview (Verification)'!P43)=0,0,'Overview (Verification)'!P43)</f>
        <v>0</v>
      </c>
      <c r="BJ289" s="573" t="s">
        <v>4670</v>
      </c>
    </row>
    <row r="290" spans="1:62" ht="15" thickBot="1" x14ac:dyDescent="0.4">
      <c r="A290" s="403">
        <v>6</v>
      </c>
      <c r="B290" s="608">
        <v>601.20000000000005</v>
      </c>
      <c r="C290" s="604"/>
      <c r="D290" s="604"/>
      <c r="E290" s="604" t="s">
        <v>274</v>
      </c>
      <c r="F290" s="604"/>
      <c r="G290" s="403" t="str">
        <f>IF(N290&gt;0,"P","")</f>
        <v/>
      </c>
      <c r="H290" s="403" t="s">
        <v>4324</v>
      </c>
      <c r="I290" s="32"/>
      <c r="J290" s="19" t="s">
        <v>274</v>
      </c>
      <c r="K290" s="46"/>
      <c r="L290" s="46" t="s">
        <v>548</v>
      </c>
      <c r="M290" s="43">
        <v>3</v>
      </c>
      <c r="N290" s="44">
        <f>'Ch6'!O35</f>
        <v>0</v>
      </c>
      <c r="O290" s="44">
        <f>M290*S290*W290</f>
        <v>0</v>
      </c>
      <c r="P290" t="b">
        <v>1</v>
      </c>
      <c r="Q290" t="b">
        <v>0</v>
      </c>
      <c r="R290" t="b">
        <v>0</v>
      </c>
      <c r="S290" t="b">
        <v>1</v>
      </c>
      <c r="T290" t="b">
        <v>0</v>
      </c>
      <c r="W290" s="17"/>
      <c r="X290" s="111"/>
      <c r="Y290" s="201" t="str">
        <f>IF(LEN('Ch6'!X35)=0,"None",'Ch6'!X35)</f>
        <v>None</v>
      </c>
      <c r="Z290" s="567"/>
      <c r="AL290" t="str">
        <f>SUBSTITUTE(SUBSTITUTE(SUBSTITUTE("vpa"&amp;$B290&amp;$C290&amp;$D290&amp;$E290&amp;$F290,".","_"),"(","_"),")","")</f>
        <v>vpa601_2_3</v>
      </c>
      <c r="AM290">
        <f>M290</f>
        <v>3</v>
      </c>
      <c r="AN290" t="str">
        <f>SUBSTITUTE(SUBSTITUTE(SUBSTITUTE("vpc"&amp;$B290&amp;$C290&amp;$D290&amp;$E290&amp;$F290,".","_"),"(","_"),")","")</f>
        <v>vpc601_2_3</v>
      </c>
      <c r="AO290">
        <f>O290</f>
        <v>0</v>
      </c>
      <c r="AP290" t="str">
        <f>SUBSTITUTE(SUBSTITUTE(SUBSTITUTE("vch"&amp;$B290&amp;$C290&amp;$D290&amp;$E290&amp;$F290,".","_"),"(","_"),")","")</f>
        <v>vch601_2_3</v>
      </c>
      <c r="AQ290">
        <f>W290</f>
        <v>0</v>
      </c>
      <c r="AR290" t="str">
        <f>SUBSTITUTE(SUBSTITUTE(SUBSTITUTE("vnt"&amp;$B290&amp;$C290&amp;$D290&amp;$E290&amp;$F290,".","_"),"(","_"),")","")</f>
        <v>vnt601_2_3</v>
      </c>
      <c r="AS290">
        <f>X290</f>
        <v>0</v>
      </c>
      <c r="AX290" s="6" t="str">
        <f>'Overview (Verification)'!A44</f>
        <v>Thermal Envelope Insulation:</v>
      </c>
      <c r="AY290">
        <f>IF(LEN('Overview (Verification)'!P44)=0,0,'Overview (Verification)'!P44)</f>
        <v>0</v>
      </c>
      <c r="BJ290" s="573" t="s">
        <v>4670</v>
      </c>
    </row>
    <row r="291" spans="1:62" ht="15" thickTop="1" x14ac:dyDescent="0.35">
      <c r="A291" s="403">
        <v>6</v>
      </c>
      <c r="B291" s="608">
        <v>601.29999999999995</v>
      </c>
      <c r="C291" s="604"/>
      <c r="D291" s="604"/>
      <c r="E291" s="604"/>
      <c r="F291" s="604"/>
      <c r="G291" s="600" t="str">
        <f>IF(COUNTIF(G294:G298,"P")&gt;0,"P","")</f>
        <v/>
      </c>
      <c r="H291" s="403" t="s">
        <v>4324</v>
      </c>
      <c r="I291" s="123">
        <v>601.29999999999995</v>
      </c>
      <c r="J291" s="124"/>
      <c r="K291" s="125"/>
      <c r="L291" s="711" t="s">
        <v>549</v>
      </c>
      <c r="M291" s="199"/>
      <c r="N291" s="195"/>
      <c r="O291" s="195"/>
      <c r="P291" s="62"/>
      <c r="Q291" s="62"/>
      <c r="R291" s="62"/>
      <c r="S291" s="62"/>
      <c r="T291" s="62"/>
      <c r="U291" s="62"/>
      <c r="V291" s="62"/>
      <c r="W291" s="62"/>
      <c r="X291" s="128"/>
      <c r="Z291" s="543"/>
      <c r="AX291" s="6" t="str">
        <f>'Overview (Verification)'!A45</f>
        <v>Attic Type:</v>
      </c>
      <c r="AY291" t="str">
        <f>IF(LEN('Overview (Verification)'!P45)=0,0,'Overview (Verification)'!P45)</f>
        <v>Vented</v>
      </c>
      <c r="BJ291" s="573" t="s">
        <v>4670</v>
      </c>
    </row>
    <row r="292" spans="1:62" x14ac:dyDescent="0.35">
      <c r="A292" s="403">
        <v>6</v>
      </c>
      <c r="B292" s="608">
        <v>601.29999999999995</v>
      </c>
      <c r="C292" s="604"/>
      <c r="D292" s="604"/>
      <c r="E292" s="604"/>
      <c r="F292" s="604"/>
      <c r="G292" s="403" t="str">
        <f t="shared" ref="G292:G293" si="89">G291</f>
        <v/>
      </c>
      <c r="H292" s="403" t="s">
        <v>4324</v>
      </c>
      <c r="I292" s="32"/>
      <c r="J292" s="4"/>
      <c r="K292" s="46"/>
      <c r="L292" s="706"/>
      <c r="M292" s="43"/>
      <c r="N292" s="44"/>
      <c r="O292" s="44"/>
      <c r="X292" s="68"/>
      <c r="Z292" s="543"/>
      <c r="AX292" s="6" t="str">
        <f>'Overview (Verification)'!A46</f>
        <v>Attached Garage:</v>
      </c>
      <c r="AY292" t="str">
        <f>IF(LEN('Overview (Verification)'!P46)=0,0,'Overview (Verification)'!P46)</f>
        <v>Yes</v>
      </c>
      <c r="BJ292" s="573" t="s">
        <v>4670</v>
      </c>
    </row>
    <row r="293" spans="1:62" x14ac:dyDescent="0.35">
      <c r="A293" s="403">
        <v>6</v>
      </c>
      <c r="B293" s="608">
        <v>601.29999999999995</v>
      </c>
      <c r="C293" s="604"/>
      <c r="D293" s="604"/>
      <c r="E293" s="604"/>
      <c r="F293" s="604"/>
      <c r="G293" s="403" t="str">
        <f t="shared" si="89"/>
        <v/>
      </c>
      <c r="H293" s="403" t="s">
        <v>4324</v>
      </c>
      <c r="I293" s="32"/>
      <c r="J293" s="4"/>
      <c r="K293" s="46"/>
      <c r="L293" s="706"/>
      <c r="M293" s="43"/>
      <c r="N293" s="44"/>
      <c r="O293" s="44"/>
      <c r="X293" s="68"/>
      <c r="Z293" s="543"/>
      <c r="AX293" s="6" t="str">
        <f>'Overview (Verification)'!A47</f>
        <v>Recessed Lighting:</v>
      </c>
      <c r="AY293">
        <f>IF(LEN('Overview (Verification)'!P47)=0,0,'Overview (Verification)'!P47)</f>
        <v>0</v>
      </c>
      <c r="BJ293" s="573" t="s">
        <v>4670</v>
      </c>
    </row>
    <row r="294" spans="1:62" x14ac:dyDescent="0.35">
      <c r="A294" s="403">
        <v>6</v>
      </c>
      <c r="B294" s="608">
        <v>601.29999999999995</v>
      </c>
      <c r="C294" s="604"/>
      <c r="D294" s="604"/>
      <c r="E294" s="604" t="s">
        <v>270</v>
      </c>
      <c r="F294" s="604"/>
      <c r="G294" s="403" t="str">
        <f t="shared" ref="G294:G299" si="90">IF(N294&gt;0,"P","")</f>
        <v/>
      </c>
      <c r="H294" s="403" t="s">
        <v>4324</v>
      </c>
      <c r="I294" s="32"/>
      <c r="J294" s="148" t="s">
        <v>270</v>
      </c>
      <c r="K294" s="116"/>
      <c r="L294" s="116" t="s">
        <v>550</v>
      </c>
      <c r="M294" s="198">
        <v>3</v>
      </c>
      <c r="N294" s="191">
        <f>'Ch6'!O39</f>
        <v>0</v>
      </c>
      <c r="O294" s="191">
        <f t="shared" ref="O294:O299" si="91">M294*S294*W294</f>
        <v>0</v>
      </c>
      <c r="P294" t="b">
        <v>1</v>
      </c>
      <c r="Q294" t="b">
        <v>0</v>
      </c>
      <c r="R294" t="b">
        <v>0</v>
      </c>
      <c r="S294" t="b">
        <v>1</v>
      </c>
      <c r="T294" t="b">
        <v>0</v>
      </c>
      <c r="W294" s="17"/>
      <c r="X294" s="39"/>
      <c r="Y294" s="200" t="str">
        <f>IF(LEN('Ch6'!X39)=0,"None",'Ch6'!X39)</f>
        <v>None</v>
      </c>
      <c r="Z294" s="563"/>
      <c r="AL294" t="str">
        <f t="shared" ref="AL294:AL299" si="92">SUBSTITUTE(SUBSTITUTE(SUBSTITUTE("vpa"&amp;$B294&amp;$C294&amp;$D294&amp;$E294&amp;$F294,".","_"),"(","_"),")","")</f>
        <v>vpa601_3_1</v>
      </c>
      <c r="AM294">
        <f t="shared" ref="AM294:AM299" si="93">M294</f>
        <v>3</v>
      </c>
      <c r="AN294" t="str">
        <f t="shared" ref="AN294:AN299" si="94">SUBSTITUTE(SUBSTITUTE(SUBSTITUTE("vpc"&amp;$B294&amp;$C294&amp;$D294&amp;$E294&amp;$F294,".","_"),"(","_"),")","")</f>
        <v>vpc601_3_1</v>
      </c>
      <c r="AO294">
        <f t="shared" ref="AO294:AO299" si="95">O294</f>
        <v>0</v>
      </c>
      <c r="AP294" t="str">
        <f t="shared" ref="AP294:AP299" si="96">SUBSTITUTE(SUBSTITUTE(SUBSTITUTE("vch"&amp;$B294&amp;$C294&amp;$D294&amp;$E294&amp;$F294,".","_"),"(","_"),")","")</f>
        <v>vch601_3_1</v>
      </c>
      <c r="AQ294">
        <f t="shared" ref="AQ294:AQ299" si="97">W294</f>
        <v>0</v>
      </c>
      <c r="AR294" t="str">
        <f t="shared" ref="AR294:AR299" si="98">SUBSTITUTE(SUBSTITUTE(SUBSTITUTE("vnt"&amp;$B294&amp;$C294&amp;$D294&amp;$E294&amp;$F294,".","_"),"(","_"),")","")</f>
        <v>vnt601_3_1</v>
      </c>
      <c r="AS294">
        <f t="shared" ref="AS294:AS299" si="99">X294</f>
        <v>0</v>
      </c>
      <c r="AX294" s="6"/>
      <c r="BJ294" s="573" t="s">
        <v>4670</v>
      </c>
    </row>
    <row r="295" spans="1:62" x14ac:dyDescent="0.35">
      <c r="A295" s="403">
        <v>6</v>
      </c>
      <c r="B295" s="608">
        <v>601.29999999999995</v>
      </c>
      <c r="C295" s="604"/>
      <c r="D295" s="604"/>
      <c r="E295" s="604" t="s">
        <v>272</v>
      </c>
      <c r="F295" s="604"/>
      <c r="G295" s="403" t="str">
        <f t="shared" si="90"/>
        <v/>
      </c>
      <c r="H295" s="403" t="s">
        <v>4324</v>
      </c>
      <c r="I295" s="32"/>
      <c r="J295" s="150" t="s">
        <v>272</v>
      </c>
      <c r="K295" s="151"/>
      <c r="L295" s="151" t="s">
        <v>551</v>
      </c>
      <c r="M295" s="153">
        <v>3</v>
      </c>
      <c r="N295" s="157">
        <f>'Ch6'!O40</f>
        <v>0</v>
      </c>
      <c r="O295" s="157">
        <f t="shared" si="91"/>
        <v>0</v>
      </c>
      <c r="P295" t="b">
        <v>1</v>
      </c>
      <c r="Q295" t="b">
        <v>0</v>
      </c>
      <c r="R295" t="b">
        <v>0</v>
      </c>
      <c r="S295" t="b">
        <v>1</v>
      </c>
      <c r="T295" t="b">
        <v>0</v>
      </c>
      <c r="W295" s="17"/>
      <c r="X295" s="39"/>
      <c r="Y295" s="200" t="str">
        <f>IF(LEN('Ch6'!X40)=0,"None",'Ch6'!X40)</f>
        <v>None</v>
      </c>
      <c r="Z295" s="563"/>
      <c r="AL295" t="str">
        <f t="shared" si="92"/>
        <v>vpa601_3_2</v>
      </c>
      <c r="AM295">
        <f t="shared" si="93"/>
        <v>3</v>
      </c>
      <c r="AN295" t="str">
        <f t="shared" si="94"/>
        <v>vpc601_3_2</v>
      </c>
      <c r="AO295">
        <f t="shared" si="95"/>
        <v>0</v>
      </c>
      <c r="AP295" t="str">
        <f t="shared" si="96"/>
        <v>vch601_3_2</v>
      </c>
      <c r="AQ295">
        <f t="shared" si="97"/>
        <v>0</v>
      </c>
      <c r="AR295" t="str">
        <f t="shared" si="98"/>
        <v>vnt601_3_2</v>
      </c>
      <c r="AS295">
        <f t="shared" si="99"/>
        <v>0</v>
      </c>
      <c r="AX295" s="6" t="str">
        <f>'Overview (Verification)'!A49</f>
        <v>Special Design Features:</v>
      </c>
      <c r="BJ295" s="573" t="s">
        <v>4670</v>
      </c>
    </row>
    <row r="296" spans="1:62" x14ac:dyDescent="0.35">
      <c r="A296" s="403">
        <v>6</v>
      </c>
      <c r="B296" s="608">
        <v>601.29999999999995</v>
      </c>
      <c r="C296" s="604"/>
      <c r="D296" s="604"/>
      <c r="E296" s="604" t="s">
        <v>274</v>
      </c>
      <c r="F296" s="604"/>
      <c r="G296" s="403" t="str">
        <f t="shared" si="90"/>
        <v/>
      </c>
      <c r="H296" s="403" t="s">
        <v>4324</v>
      </c>
      <c r="I296" s="32"/>
      <c r="J296" s="150" t="s">
        <v>274</v>
      </c>
      <c r="K296" s="151"/>
      <c r="L296" s="151" t="s">
        <v>552</v>
      </c>
      <c r="M296" s="153">
        <v>3</v>
      </c>
      <c r="N296" s="157">
        <f>'Ch6'!O41</f>
        <v>0</v>
      </c>
      <c r="O296" s="157">
        <f t="shared" si="91"/>
        <v>0</v>
      </c>
      <c r="P296" t="b">
        <v>1</v>
      </c>
      <c r="Q296" t="b">
        <v>0</v>
      </c>
      <c r="R296" t="b">
        <v>0</v>
      </c>
      <c r="S296" t="b">
        <v>1</v>
      </c>
      <c r="T296" t="b">
        <v>0</v>
      </c>
      <c r="W296" s="17"/>
      <c r="X296" s="39"/>
      <c r="Y296" s="200" t="str">
        <f>IF(LEN('Ch6'!X41)=0,"None",'Ch6'!X41)</f>
        <v>None</v>
      </c>
      <c r="Z296" s="563"/>
      <c r="AL296" t="str">
        <f t="shared" si="92"/>
        <v>vpa601_3_3</v>
      </c>
      <c r="AM296">
        <f t="shared" si="93"/>
        <v>3</v>
      </c>
      <c r="AN296" t="str">
        <f t="shared" si="94"/>
        <v>vpc601_3_3</v>
      </c>
      <c r="AO296">
        <f t="shared" si="95"/>
        <v>0</v>
      </c>
      <c r="AP296" t="str">
        <f t="shared" si="96"/>
        <v>vch601_3_3</v>
      </c>
      <c r="AQ296">
        <f t="shared" si="97"/>
        <v>0</v>
      </c>
      <c r="AR296" t="str">
        <f t="shared" si="98"/>
        <v>vnt601_3_3</v>
      </c>
      <c r="AS296">
        <f t="shared" si="99"/>
        <v>0</v>
      </c>
      <c r="AX296" s="6" t="str">
        <f>'Overview (Verification)'!A50</f>
        <v>Passive Solar:</v>
      </c>
      <c r="AY296">
        <f>IF(LEN('Overview (Verification)'!P50)=0,0,'Overview (Verification)'!P50)</f>
        <v>0</v>
      </c>
      <c r="BJ296" s="573" t="s">
        <v>4670</v>
      </c>
    </row>
    <row r="297" spans="1:62" x14ac:dyDescent="0.35">
      <c r="A297" s="403">
        <v>6</v>
      </c>
      <c r="B297" s="608">
        <v>601.29999999999995</v>
      </c>
      <c r="C297" s="604"/>
      <c r="D297" s="604"/>
      <c r="E297" s="604" t="s">
        <v>283</v>
      </c>
      <c r="F297" s="604"/>
      <c r="G297" s="403" t="str">
        <f t="shared" si="90"/>
        <v/>
      </c>
      <c r="H297" s="403" t="s">
        <v>4324</v>
      </c>
      <c r="I297" s="32"/>
      <c r="J297" s="150" t="s">
        <v>283</v>
      </c>
      <c r="K297" s="151"/>
      <c r="L297" s="151" t="s">
        <v>553</v>
      </c>
      <c r="M297" s="153">
        <v>3</v>
      </c>
      <c r="N297" s="157">
        <f>'Ch6'!O42</f>
        <v>0</v>
      </c>
      <c r="O297" s="157">
        <f t="shared" si="91"/>
        <v>0</v>
      </c>
      <c r="P297" t="b">
        <v>1</v>
      </c>
      <c r="Q297" t="b">
        <v>0</v>
      </c>
      <c r="R297" t="b">
        <v>0</v>
      </c>
      <c r="S297" t="b">
        <v>1</v>
      </c>
      <c r="T297" t="b">
        <v>0</v>
      </c>
      <c r="W297" s="17"/>
      <c r="X297" s="39"/>
      <c r="Y297" s="200" t="str">
        <f>IF(LEN('Ch6'!X42)=0,"None",'Ch6'!X42)</f>
        <v>None</v>
      </c>
      <c r="Z297" s="563"/>
      <c r="AL297" t="str">
        <f t="shared" si="92"/>
        <v>vpa601_3_4</v>
      </c>
      <c r="AM297">
        <f t="shared" si="93"/>
        <v>3</v>
      </c>
      <c r="AN297" t="str">
        <f t="shared" si="94"/>
        <v>vpc601_3_4</v>
      </c>
      <c r="AO297">
        <f t="shared" si="95"/>
        <v>0</v>
      </c>
      <c r="AP297" t="str">
        <f t="shared" si="96"/>
        <v>vch601_3_4</v>
      </c>
      <c r="AQ297">
        <f t="shared" si="97"/>
        <v>0</v>
      </c>
      <c r="AR297" t="str">
        <f t="shared" si="98"/>
        <v>vnt601_3_4</v>
      </c>
      <c r="AS297">
        <f t="shared" si="99"/>
        <v>0</v>
      </c>
      <c r="AX297" s="6" t="str">
        <f>'Overview (Verification)'!A51</f>
        <v>Mass Walls:</v>
      </c>
      <c r="AY297">
        <f>IF(LEN('Overview (Verification)'!P51)=0,0,'Overview (Verification)'!P51)</f>
        <v>0</v>
      </c>
      <c r="BJ297" s="573" t="s">
        <v>4670</v>
      </c>
    </row>
    <row r="298" spans="1:62" ht="15" thickBot="1" x14ac:dyDescent="0.4">
      <c r="A298" s="403">
        <v>6</v>
      </c>
      <c r="B298" s="608">
        <v>601.29999999999995</v>
      </c>
      <c r="C298" s="604"/>
      <c r="D298" s="604"/>
      <c r="E298" s="604" t="s">
        <v>289</v>
      </c>
      <c r="F298" s="604"/>
      <c r="G298" s="403" t="str">
        <f t="shared" si="90"/>
        <v/>
      </c>
      <c r="H298" s="403" t="s">
        <v>4324</v>
      </c>
      <c r="I298" s="32"/>
      <c r="J298" s="19" t="s">
        <v>289</v>
      </c>
      <c r="K298" s="46"/>
      <c r="L298" s="46" t="s">
        <v>554</v>
      </c>
      <c r="M298" s="43">
        <v>1</v>
      </c>
      <c r="N298" s="44">
        <f>'Ch6'!O43</f>
        <v>0</v>
      </c>
      <c r="O298" s="44">
        <f t="shared" si="91"/>
        <v>0</v>
      </c>
      <c r="P298" t="b">
        <v>1</v>
      </c>
      <c r="Q298" t="b">
        <v>0</v>
      </c>
      <c r="R298" t="b">
        <v>0</v>
      </c>
      <c r="S298" t="b">
        <v>1</v>
      </c>
      <c r="T298" t="b">
        <v>0</v>
      </c>
      <c r="W298" s="59"/>
      <c r="X298" s="111"/>
      <c r="Y298" s="201" t="str">
        <f>IF(LEN('Ch6'!X43)=0,"None",'Ch6'!X43)</f>
        <v>None</v>
      </c>
      <c r="Z298" s="567"/>
      <c r="AL298" t="str">
        <f t="shared" si="92"/>
        <v>vpa601_3_5</v>
      </c>
      <c r="AM298">
        <f t="shared" si="93"/>
        <v>1</v>
      </c>
      <c r="AN298" t="str">
        <f t="shared" si="94"/>
        <v>vpc601_3_5</v>
      </c>
      <c r="AO298">
        <f t="shared" si="95"/>
        <v>0</v>
      </c>
      <c r="AP298" t="str">
        <f t="shared" si="96"/>
        <v>vch601_3_5</v>
      </c>
      <c r="AQ298">
        <f t="shared" si="97"/>
        <v>0</v>
      </c>
      <c r="AR298" t="str">
        <f t="shared" si="98"/>
        <v>vnt601_3_5</v>
      </c>
      <c r="AS298">
        <f t="shared" si="99"/>
        <v>0</v>
      </c>
      <c r="AX298" s="6" t="str">
        <f>'Overview (Verification)'!A52</f>
        <v>Ductless:</v>
      </c>
      <c r="AY298">
        <f>IF(LEN('Overview (Verification)'!P52)=0,0,'Overview (Verification)'!P52)</f>
        <v>0</v>
      </c>
      <c r="BJ298" s="573" t="s">
        <v>4670</v>
      </c>
    </row>
    <row r="299" spans="1:62" ht="15" thickTop="1" x14ac:dyDescent="0.35">
      <c r="A299" s="403">
        <v>6</v>
      </c>
      <c r="B299" s="608">
        <v>601.4</v>
      </c>
      <c r="C299" s="604"/>
      <c r="D299" s="604"/>
      <c r="E299" s="604"/>
      <c r="F299" s="604"/>
      <c r="G299" s="403" t="str">
        <f t="shared" si="90"/>
        <v>P</v>
      </c>
      <c r="H299" s="403" t="s">
        <v>4324</v>
      </c>
      <c r="I299" s="123">
        <v>601.4</v>
      </c>
      <c r="J299" s="124"/>
      <c r="K299" s="125"/>
      <c r="L299" s="711" t="s">
        <v>555</v>
      </c>
      <c r="M299" s="692">
        <v>4</v>
      </c>
      <c r="N299" s="940">
        <f>'Ch6'!O44</f>
        <v>4</v>
      </c>
      <c r="O299" s="940">
        <f t="shared" si="91"/>
        <v>0</v>
      </c>
      <c r="P299" t="b">
        <v>1</v>
      </c>
      <c r="Q299" t="b">
        <v>0</v>
      </c>
      <c r="R299" s="62" t="b">
        <v>0</v>
      </c>
      <c r="S299" s="62" t="b">
        <v>1</v>
      </c>
      <c r="T299" s="62" t="b">
        <v>0</v>
      </c>
      <c r="U299" s="62"/>
      <c r="V299" s="62"/>
      <c r="W299" s="77"/>
      <c r="X299" s="687"/>
      <c r="Y299" s="904" t="str">
        <f>IF(LEN('Ch6'!X44)=0,"None",'Ch6'!X44)</f>
        <v>Weyerhaeuser Javelin Design Software</v>
      </c>
      <c r="Z299" s="896"/>
      <c r="AL299" t="str">
        <f t="shared" si="92"/>
        <v>vpa601_4</v>
      </c>
      <c r="AM299">
        <f t="shared" si="93"/>
        <v>4</v>
      </c>
      <c r="AN299" t="str">
        <f t="shared" si="94"/>
        <v>vpc601_4</v>
      </c>
      <c r="AO299">
        <f t="shared" si="95"/>
        <v>0</v>
      </c>
      <c r="AP299" t="str">
        <f t="shared" si="96"/>
        <v>vch601_4</v>
      </c>
      <c r="AQ299">
        <f t="shared" si="97"/>
        <v>0</v>
      </c>
      <c r="AR299" t="str">
        <f t="shared" si="98"/>
        <v>vnt601_4</v>
      </c>
      <c r="AS299">
        <f t="shared" si="99"/>
        <v>0</v>
      </c>
      <c r="AX299" s="6" t="str">
        <f>'Overview (Verification)'!A53</f>
        <v>Radiant/Hydronic:</v>
      </c>
      <c r="AY299">
        <f>IF(LEN('Overview (Verification)'!P53)=0,0,'Overview (Verification)'!P53)</f>
        <v>0</v>
      </c>
      <c r="BJ299" s="573" t="s">
        <v>4670</v>
      </c>
    </row>
    <row r="300" spans="1:62" x14ac:dyDescent="0.35">
      <c r="A300" s="403">
        <v>6</v>
      </c>
      <c r="B300" s="608">
        <v>601.4</v>
      </c>
      <c r="C300" s="604"/>
      <c r="D300" s="604"/>
      <c r="E300" s="604"/>
      <c r="F300" s="604"/>
      <c r="G300" s="403" t="str">
        <f t="shared" ref="G300:G301" si="100">G299</f>
        <v>P</v>
      </c>
      <c r="H300" s="403" t="s">
        <v>4324</v>
      </c>
      <c r="I300" s="32"/>
      <c r="J300" s="4"/>
      <c r="K300" s="46"/>
      <c r="L300" s="706"/>
      <c r="M300" s="690"/>
      <c r="N300" s="834"/>
      <c r="O300" s="834"/>
      <c r="X300" s="688"/>
      <c r="Y300" s="891"/>
      <c r="Z300" s="892"/>
      <c r="AX300" s="6" t="str">
        <f>'Overview (Verification)'!A54</f>
        <v>Tankless Water Heater:</v>
      </c>
      <c r="AY300">
        <f>IF(LEN('Overview (Verification)'!P54)=0,0,'Overview (Verification)'!P54)</f>
        <v>0</v>
      </c>
      <c r="BJ300" s="573" t="s">
        <v>4670</v>
      </c>
    </row>
    <row r="301" spans="1:62" ht="15" thickBot="1" x14ac:dyDescent="0.4">
      <c r="A301" s="403">
        <v>6</v>
      </c>
      <c r="B301" s="608">
        <v>601.4</v>
      </c>
      <c r="C301" s="604"/>
      <c r="D301" s="604"/>
      <c r="E301" s="604"/>
      <c r="F301" s="604"/>
      <c r="G301" s="403" t="str">
        <f t="shared" si="100"/>
        <v>P</v>
      </c>
      <c r="H301" s="403" t="s">
        <v>4324</v>
      </c>
      <c r="I301" s="32"/>
      <c r="J301" s="4"/>
      <c r="K301" s="46"/>
      <c r="L301" s="706"/>
      <c r="M301" s="690"/>
      <c r="N301" s="938"/>
      <c r="O301" s="834"/>
      <c r="X301" s="698"/>
      <c r="Y301" s="905"/>
      <c r="Z301" s="895"/>
      <c r="AX301" s="6" t="str">
        <f>'Overview (Verification)'!A55</f>
        <v>Composting Toilet:</v>
      </c>
      <c r="AY301">
        <f>IF(LEN('Overview (Verification)'!P55)=0,0,'Overview (Verification)'!P55)</f>
        <v>0</v>
      </c>
      <c r="BJ301" s="573" t="s">
        <v>4670</v>
      </c>
    </row>
    <row r="302" spans="1:62" ht="15" thickTop="1" x14ac:dyDescent="0.35">
      <c r="A302" s="403">
        <v>6</v>
      </c>
      <c r="B302" s="608">
        <v>601.5</v>
      </c>
      <c r="C302" s="604"/>
      <c r="D302" s="604"/>
      <c r="E302" s="604"/>
      <c r="F302" s="604"/>
      <c r="G302" s="600" t="str">
        <f>IF(COUNTIF(G305:G309,"P")&gt;0,"P","")</f>
        <v>P</v>
      </c>
      <c r="H302" s="403" t="s">
        <v>4324</v>
      </c>
      <c r="I302" s="63">
        <v>601.5</v>
      </c>
      <c r="J302" s="124"/>
      <c r="K302" s="125"/>
      <c r="L302" s="711" t="s">
        <v>556</v>
      </c>
      <c r="M302" s="692" t="s">
        <v>557</v>
      </c>
      <c r="N302" s="195"/>
      <c r="O302" s="195"/>
      <c r="P302" s="62"/>
      <c r="Q302" s="62"/>
      <c r="R302" s="62"/>
      <c r="S302" s="62"/>
      <c r="T302" s="62"/>
      <c r="U302" s="62"/>
      <c r="V302" s="62"/>
      <c r="W302" s="62"/>
      <c r="X302" s="128"/>
      <c r="Z302" s="543"/>
      <c r="AL302" t="str">
        <f>SUBSTITUTE(SUBSTITUTE(SUBSTITUTE("vpa"&amp;$B302&amp;$C302&amp;$D302&amp;$E302&amp;$F302,".","_"),"(","_"),")","")</f>
        <v>vpa601_5</v>
      </c>
      <c r="AM302" t="str">
        <f>M302</f>
        <v>13 Max</v>
      </c>
      <c r="AX302" s="6"/>
      <c r="BJ302" s="573" t="s">
        <v>4670</v>
      </c>
    </row>
    <row r="303" spans="1:62" x14ac:dyDescent="0.35">
      <c r="A303" s="403">
        <v>6</v>
      </c>
      <c r="B303" s="608">
        <v>601.5</v>
      </c>
      <c r="C303" s="604"/>
      <c r="D303" s="604"/>
      <c r="E303" s="604"/>
      <c r="F303" s="604"/>
      <c r="G303" s="403" t="str">
        <f t="shared" ref="G303:G304" si="101">G302</f>
        <v>P</v>
      </c>
      <c r="H303" s="403" t="s">
        <v>4324</v>
      </c>
      <c r="I303" s="32"/>
      <c r="J303" s="4"/>
      <c r="K303" s="46"/>
      <c r="L303" s="706"/>
      <c r="M303" s="690"/>
      <c r="N303" s="44"/>
      <c r="O303" s="44"/>
      <c r="X303" s="68"/>
      <c r="Z303" s="543"/>
      <c r="AX303" s="6" t="str">
        <f>'Overview (Verification)'!A57</f>
        <v>Local Energy Code:</v>
      </c>
      <c r="AY303">
        <f>IF(LEN('Overview (Verification)'!P57)=0,0,'Overview (Verification)'!P57)</f>
        <v>0</v>
      </c>
      <c r="BJ303" s="573" t="s">
        <v>4670</v>
      </c>
    </row>
    <row r="304" spans="1:62" x14ac:dyDescent="0.35">
      <c r="A304" s="403">
        <v>6</v>
      </c>
      <c r="B304" s="608">
        <v>601.5</v>
      </c>
      <c r="C304" s="604"/>
      <c r="D304" s="604"/>
      <c r="E304" s="604"/>
      <c r="F304" s="604"/>
      <c r="G304" s="403" t="str">
        <f t="shared" si="101"/>
        <v>P</v>
      </c>
      <c r="H304" s="403" t="s">
        <v>4324</v>
      </c>
      <c r="I304" s="32"/>
      <c r="J304" s="4"/>
      <c r="K304" s="46"/>
      <c r="L304" s="706"/>
      <c r="M304" s="690"/>
      <c r="N304" s="44"/>
      <c r="O304" s="44"/>
      <c r="X304" s="68"/>
      <c r="Z304" s="543"/>
      <c r="AX304" s="6" t="str">
        <f>'Overview (Verification)'!A58</f>
        <v>Local Building Code:</v>
      </c>
      <c r="AY304">
        <f>IF(LEN('Overview (Verification)'!P58)=0,0,'Overview (Verification)'!P58)</f>
        <v>0</v>
      </c>
      <c r="BJ304" s="573" t="s">
        <v>4670</v>
      </c>
    </row>
    <row r="305" spans="1:62" ht="29" x14ac:dyDescent="0.35">
      <c r="A305" s="403">
        <v>6</v>
      </c>
      <c r="B305" s="608">
        <v>601.5</v>
      </c>
      <c r="C305" s="604"/>
      <c r="D305" s="604"/>
      <c r="E305" s="604" t="s">
        <v>270</v>
      </c>
      <c r="F305" s="604"/>
      <c r="G305" s="403" t="str">
        <f t="shared" ref="G305:G310" si="102">IF(N305&gt;0,"P","")</f>
        <v>P</v>
      </c>
      <c r="H305" s="403" t="s">
        <v>4324</v>
      </c>
      <c r="I305" s="32"/>
      <c r="J305" s="148" t="s">
        <v>270</v>
      </c>
      <c r="K305" s="116"/>
      <c r="L305" s="116" t="s">
        <v>558</v>
      </c>
      <c r="M305" s="198">
        <v>4</v>
      </c>
      <c r="N305" s="191">
        <f>'Ch6'!O50</f>
        <v>4</v>
      </c>
      <c r="O305" s="191">
        <f>M305*S305*W305</f>
        <v>4</v>
      </c>
      <c r="P305" t="b">
        <v>1</v>
      </c>
      <c r="Q305" t="b">
        <v>0</v>
      </c>
      <c r="R305" t="b">
        <v>0</v>
      </c>
      <c r="S305" t="b">
        <f>AND(NOT(W308=TRUE),NOT(W309=TRUE))</f>
        <v>1</v>
      </c>
      <c r="T305" t="b">
        <f>IF(AND(NOT(S305),W305=TRUE),TRUE,FALSE)</f>
        <v>0</v>
      </c>
      <c r="W305" s="17" t="b">
        <v>1</v>
      </c>
      <c r="X305" s="39"/>
      <c r="Y305" s="200" t="str">
        <f>IF(LEN('Ch6'!X50)=0,"None",'Ch6'!X50)</f>
        <v>Superior Walls Insulated Precast Concrete Walls</v>
      </c>
      <c r="Z305" s="563"/>
      <c r="AC305" t="b">
        <f>OR(AD305:AE305)</f>
        <v>0</v>
      </c>
      <c r="AD305" t="b">
        <f>T305</f>
        <v>0</v>
      </c>
      <c r="AE305" t="b">
        <v>0</v>
      </c>
      <c r="AF305" t="b">
        <f t="shared" ref="AF305:AF309" si="103">AND(AE305,NOT(Q305))</f>
        <v>0</v>
      </c>
      <c r="AL305" t="str">
        <f t="shared" ref="AL305:AL310" si="104">SUBSTITUTE(SUBSTITUTE(SUBSTITUTE("vpa"&amp;$B305&amp;$C305&amp;$D305&amp;$E305&amp;$F305,".","_"),"(","_"),")","")</f>
        <v>vpa601_5_1</v>
      </c>
      <c r="AM305">
        <f t="shared" ref="AM305:AM310" si="105">M305</f>
        <v>4</v>
      </c>
      <c r="AN305" t="str">
        <f t="shared" ref="AN305:AN310" si="106">SUBSTITUTE(SUBSTITUTE(SUBSTITUTE("vpc"&amp;$B305&amp;$C305&amp;$D305&amp;$E305&amp;$F305,".","_"),"(","_"),")","")</f>
        <v>vpc601_5_1</v>
      </c>
      <c r="AO305">
        <f t="shared" ref="AO305:AO310" si="107">O305</f>
        <v>4</v>
      </c>
      <c r="AP305" t="str">
        <f t="shared" ref="AP305:AP309" si="108">SUBSTITUTE(SUBSTITUTE(SUBSTITUTE("vch"&amp;$B305&amp;$C305&amp;$D305&amp;$E305&amp;$F305,".","_"),"(","_"),")","")</f>
        <v>vch601_5_1</v>
      </c>
      <c r="AQ305" t="b">
        <f>W305</f>
        <v>1</v>
      </c>
      <c r="AR305" t="str">
        <f t="shared" ref="AR305:AR310" si="109">SUBSTITUTE(SUBSTITUTE(SUBSTITUTE("vnt"&amp;$B305&amp;$C305&amp;$D305&amp;$E305&amp;$F305,".","_"),"(","_"),")","")</f>
        <v>vnt601_5_1</v>
      </c>
      <c r="AS305">
        <f t="shared" ref="AS305:AS310" si="110">X305</f>
        <v>0</v>
      </c>
      <c r="AX305" s="6"/>
      <c r="BJ305" s="573" t="s">
        <v>4670</v>
      </c>
    </row>
    <row r="306" spans="1:62" x14ac:dyDescent="0.35">
      <c r="A306" s="403">
        <v>6</v>
      </c>
      <c r="B306" s="608">
        <v>601.5</v>
      </c>
      <c r="C306" s="604"/>
      <c r="D306" s="604"/>
      <c r="E306" s="604" t="s">
        <v>272</v>
      </c>
      <c r="F306" s="604"/>
      <c r="G306" s="403" t="str">
        <f t="shared" si="102"/>
        <v/>
      </c>
      <c r="H306" s="403" t="s">
        <v>4324</v>
      </c>
      <c r="I306" s="32"/>
      <c r="J306" s="150" t="s">
        <v>272</v>
      </c>
      <c r="K306" s="151"/>
      <c r="L306" s="151" t="s">
        <v>559</v>
      </c>
      <c r="M306" s="153">
        <v>4</v>
      </c>
      <c r="N306" s="157">
        <f>'Ch6'!O51</f>
        <v>0</v>
      </c>
      <c r="O306" s="157">
        <f>M306*S306*W306</f>
        <v>0</v>
      </c>
      <c r="P306" t="b">
        <v>1</v>
      </c>
      <c r="Q306" t="b">
        <v>0</v>
      </c>
      <c r="R306" t="b">
        <v>0</v>
      </c>
      <c r="S306" t="b">
        <f>AND(NOT(W308=TRUE),NOT(W309=TRUE))</f>
        <v>1</v>
      </c>
      <c r="T306" t="b">
        <f>IF(AND(NOT(S306),W306=TRUE),TRUE,FALSE)</f>
        <v>0</v>
      </c>
      <c r="W306" s="17"/>
      <c r="X306" s="39"/>
      <c r="Y306" s="200" t="str">
        <f>IF(LEN('Ch6'!X51)=0,"None",'Ch6'!X51)</f>
        <v>None</v>
      </c>
      <c r="Z306" s="563"/>
      <c r="AC306" t="b">
        <f>OR(AD306:AE306)</f>
        <v>0</v>
      </c>
      <c r="AD306" t="b">
        <f>T306</f>
        <v>0</v>
      </c>
      <c r="AE306" t="b">
        <v>0</v>
      </c>
      <c r="AF306" t="b">
        <f t="shared" si="103"/>
        <v>0</v>
      </c>
      <c r="AL306" t="str">
        <f t="shared" si="104"/>
        <v>vpa601_5_2</v>
      </c>
      <c r="AM306">
        <f t="shared" si="105"/>
        <v>4</v>
      </c>
      <c r="AN306" t="str">
        <f t="shared" si="106"/>
        <v>vpc601_5_2</v>
      </c>
      <c r="AO306">
        <f t="shared" si="107"/>
        <v>0</v>
      </c>
      <c r="AP306" t="str">
        <f t="shared" si="108"/>
        <v>vch601_5_2</v>
      </c>
      <c r="AQ306">
        <f>W306</f>
        <v>0</v>
      </c>
      <c r="AR306" t="str">
        <f t="shared" si="109"/>
        <v>vnt601_5_2</v>
      </c>
      <c r="AS306">
        <f t="shared" si="110"/>
        <v>0</v>
      </c>
      <c r="AX306" s="6"/>
      <c r="BJ306" s="573" t="s">
        <v>4670</v>
      </c>
    </row>
    <row r="307" spans="1:62" x14ac:dyDescent="0.35">
      <c r="A307" s="403">
        <v>6</v>
      </c>
      <c r="B307" s="608">
        <v>601.5</v>
      </c>
      <c r="C307" s="604"/>
      <c r="D307" s="604"/>
      <c r="E307" s="604" t="s">
        <v>274</v>
      </c>
      <c r="F307" s="604"/>
      <c r="G307" s="403" t="str">
        <f t="shared" si="102"/>
        <v/>
      </c>
      <c r="H307" s="403" t="s">
        <v>4324</v>
      </c>
      <c r="I307" s="32"/>
      <c r="J307" s="150" t="s">
        <v>274</v>
      </c>
      <c r="K307" s="151"/>
      <c r="L307" s="151" t="s">
        <v>560</v>
      </c>
      <c r="M307" s="153">
        <v>4</v>
      </c>
      <c r="N307" s="157">
        <f>'Ch6'!O52</f>
        <v>0</v>
      </c>
      <c r="O307" s="157">
        <f>M307*S307*W307</f>
        <v>0</v>
      </c>
      <c r="P307" t="b">
        <v>1</v>
      </c>
      <c r="Q307" t="b">
        <v>0</v>
      </c>
      <c r="R307" t="b">
        <v>0</v>
      </c>
      <c r="S307" t="b">
        <f>AND(NOT(W308=TRUE),NOT(W309=TRUE))</f>
        <v>1</v>
      </c>
      <c r="T307" t="b">
        <f>IF(AND(NOT(S307),W307=TRUE),TRUE,FALSE)</f>
        <v>0</v>
      </c>
      <c r="W307" s="17"/>
      <c r="X307" s="39"/>
      <c r="Y307" s="200" t="str">
        <f>IF(LEN('Ch6'!X52)=0,"None",'Ch6'!X52)</f>
        <v>None</v>
      </c>
      <c r="Z307" s="563"/>
      <c r="AC307" t="b">
        <f>OR(AD307:AE307)</f>
        <v>0</v>
      </c>
      <c r="AD307" t="b">
        <f>T307</f>
        <v>0</v>
      </c>
      <c r="AE307" t="b">
        <v>0</v>
      </c>
      <c r="AF307" t="b">
        <f t="shared" si="103"/>
        <v>0</v>
      </c>
      <c r="AL307" t="str">
        <f t="shared" si="104"/>
        <v>vpa601_5_3</v>
      </c>
      <c r="AM307">
        <f t="shared" si="105"/>
        <v>4</v>
      </c>
      <c r="AN307" t="str">
        <f t="shared" si="106"/>
        <v>vpc601_5_3</v>
      </c>
      <c r="AO307">
        <f t="shared" si="107"/>
        <v>0</v>
      </c>
      <c r="AP307" t="str">
        <f t="shared" si="108"/>
        <v>vch601_5_3</v>
      </c>
      <c r="AQ307">
        <f>W307</f>
        <v>0</v>
      </c>
      <c r="AR307" t="str">
        <f t="shared" si="109"/>
        <v>vnt601_5_3</v>
      </c>
      <c r="AS307">
        <f t="shared" si="110"/>
        <v>0</v>
      </c>
      <c r="AX307" s="6"/>
      <c r="BJ307" s="573" t="s">
        <v>4670</v>
      </c>
    </row>
    <row r="308" spans="1:62" x14ac:dyDescent="0.35">
      <c r="A308" s="403">
        <v>6</v>
      </c>
      <c r="B308" s="608">
        <v>601.5</v>
      </c>
      <c r="C308" s="604"/>
      <c r="D308" s="604"/>
      <c r="E308" s="604" t="s">
        <v>283</v>
      </c>
      <c r="F308" s="604"/>
      <c r="G308" s="403" t="str">
        <f t="shared" si="102"/>
        <v/>
      </c>
      <c r="H308" s="403" t="s">
        <v>4324</v>
      </c>
      <c r="I308" s="32"/>
      <c r="J308" s="150" t="s">
        <v>283</v>
      </c>
      <c r="K308" s="151"/>
      <c r="L308" s="151" t="s">
        <v>561</v>
      </c>
      <c r="M308" s="153">
        <v>13</v>
      </c>
      <c r="N308" s="157">
        <f>'Ch6'!O53</f>
        <v>0</v>
      </c>
      <c r="O308" s="157">
        <f>M308*S308*W308</f>
        <v>0</v>
      </c>
      <c r="P308" t="b">
        <v>1</v>
      </c>
      <c r="Q308" t="b">
        <v>0</v>
      </c>
      <c r="R308" t="b">
        <v>0</v>
      </c>
      <c r="S308" t="b">
        <f>NOT(OR(W305=TRUE,W306=TRUE,W307=TRUE,W309=TRUE))</f>
        <v>0</v>
      </c>
      <c r="T308" t="b">
        <f>IF(AND(NOT(S308),W308=TRUE),TRUE,FALSE)</f>
        <v>0</v>
      </c>
      <c r="W308" s="17"/>
      <c r="X308" s="39"/>
      <c r="Y308" s="200" t="str">
        <f>IF(LEN('Ch6'!X53)=0,"None",'Ch6'!X53)</f>
        <v>None</v>
      </c>
      <c r="Z308" s="563"/>
      <c r="AC308" t="b">
        <f>OR(AD308:AE308)</f>
        <v>0</v>
      </c>
      <c r="AD308" t="b">
        <f>T308</f>
        <v>0</v>
      </c>
      <c r="AE308" t="b">
        <v>0</v>
      </c>
      <c r="AF308" t="b">
        <f t="shared" si="103"/>
        <v>0</v>
      </c>
      <c r="AL308" t="str">
        <f t="shared" si="104"/>
        <v>vpa601_5_4</v>
      </c>
      <c r="AM308">
        <f t="shared" si="105"/>
        <v>13</v>
      </c>
      <c r="AN308" t="str">
        <f t="shared" si="106"/>
        <v>vpc601_5_4</v>
      </c>
      <c r="AO308">
        <f t="shared" si="107"/>
        <v>0</v>
      </c>
      <c r="AP308" t="str">
        <f t="shared" si="108"/>
        <v>vch601_5_4</v>
      </c>
      <c r="AQ308">
        <f>W308</f>
        <v>0</v>
      </c>
      <c r="AR308" t="str">
        <f t="shared" si="109"/>
        <v>vnt601_5_4</v>
      </c>
      <c r="AS308">
        <f t="shared" si="110"/>
        <v>0</v>
      </c>
      <c r="AX308" s="6"/>
      <c r="BJ308" s="573" t="s">
        <v>4670</v>
      </c>
    </row>
    <row r="309" spans="1:62" ht="15" thickBot="1" x14ac:dyDescent="0.4">
      <c r="A309" s="403">
        <v>6</v>
      </c>
      <c r="B309" s="608">
        <v>601.5</v>
      </c>
      <c r="C309" s="604"/>
      <c r="D309" s="604"/>
      <c r="E309" s="604" t="s">
        <v>289</v>
      </c>
      <c r="F309" s="604"/>
      <c r="G309" s="403" t="str">
        <f t="shared" si="102"/>
        <v/>
      </c>
      <c r="H309" s="403" t="s">
        <v>4324</v>
      </c>
      <c r="I309" s="32"/>
      <c r="J309" s="19" t="s">
        <v>289</v>
      </c>
      <c r="K309" s="46"/>
      <c r="L309" s="46" t="s">
        <v>562</v>
      </c>
      <c r="M309" s="43">
        <v>13</v>
      </c>
      <c r="N309" s="44">
        <f>'Ch6'!O54</f>
        <v>0</v>
      </c>
      <c r="O309" s="44">
        <f>M309*S309*W309</f>
        <v>0</v>
      </c>
      <c r="P309" t="b">
        <v>1</v>
      </c>
      <c r="Q309" t="b">
        <v>0</v>
      </c>
      <c r="R309" t="b">
        <v>0</v>
      </c>
      <c r="S309" t="b">
        <f>NOT(OR(W305=TRUE,W306=TRUE,W307=TRUE,W308=TRUE))</f>
        <v>0</v>
      </c>
      <c r="T309" t="b">
        <f>IF(AND(NOT(S309),W309=TRUE),TRUE,FALSE)</f>
        <v>0</v>
      </c>
      <c r="W309" s="17"/>
      <c r="X309" s="111"/>
      <c r="Y309" s="201" t="str">
        <f>IF(LEN('Ch6'!X54)=0,"None",'Ch6'!X54)</f>
        <v>None</v>
      </c>
      <c r="Z309" s="567"/>
      <c r="AC309" t="b">
        <f>OR(AD309:AE309)</f>
        <v>0</v>
      </c>
      <c r="AD309" t="b">
        <f>T309</f>
        <v>0</v>
      </c>
      <c r="AE309" t="b">
        <v>0</v>
      </c>
      <c r="AF309" t="b">
        <f t="shared" si="103"/>
        <v>0</v>
      </c>
      <c r="AL309" t="str">
        <f t="shared" si="104"/>
        <v>vpa601_5_5</v>
      </c>
      <c r="AM309">
        <f t="shared" si="105"/>
        <v>13</v>
      </c>
      <c r="AN309" t="str">
        <f t="shared" si="106"/>
        <v>vpc601_5_5</v>
      </c>
      <c r="AO309">
        <f t="shared" si="107"/>
        <v>0</v>
      </c>
      <c r="AP309" t="str">
        <f t="shared" si="108"/>
        <v>vch601_5_5</v>
      </c>
      <c r="AQ309">
        <f>W309</f>
        <v>0</v>
      </c>
      <c r="AR309" t="str">
        <f t="shared" si="109"/>
        <v>vnt601_5_5</v>
      </c>
      <c r="AS309">
        <f t="shared" si="110"/>
        <v>0</v>
      </c>
      <c r="BJ309" s="573" t="s">
        <v>4670</v>
      </c>
    </row>
    <row r="310" spans="1:62" ht="15" thickTop="1" x14ac:dyDescent="0.35">
      <c r="A310" s="403">
        <v>6</v>
      </c>
      <c r="B310" s="608">
        <v>601.6</v>
      </c>
      <c r="C310" s="604"/>
      <c r="D310" s="604"/>
      <c r="E310" s="604"/>
      <c r="F310" s="604"/>
      <c r="G310" s="403" t="str">
        <f t="shared" ca="1" si="102"/>
        <v/>
      </c>
      <c r="H310" s="403" t="s">
        <v>4324</v>
      </c>
      <c r="I310" s="123">
        <v>601.6</v>
      </c>
      <c r="J310" s="124"/>
      <c r="K310" s="125"/>
      <c r="L310" s="711" t="s">
        <v>563</v>
      </c>
      <c r="M310" s="692" t="s">
        <v>564</v>
      </c>
      <c r="N310" s="940">
        <f ca="1">'Ch6'!O55</f>
        <v>0</v>
      </c>
      <c r="O310" s="940">
        <f ca="1">IFERROR(INDEX({4,6,8},MATCH(W311,INDIRECT(U311),0)),0)</f>
        <v>4</v>
      </c>
      <c r="P310" s="62"/>
      <c r="Q310" s="62"/>
      <c r="R310" s="62"/>
      <c r="S310" s="62"/>
      <c r="T310" s="62"/>
      <c r="U310" s="62"/>
      <c r="V310" s="62"/>
      <c r="W310" s="62"/>
      <c r="X310" s="687"/>
      <c r="Y310" s="904" t="str">
        <f>IF(LEN('Ch6'!X55)=0,"None",'Ch6'!X55)</f>
        <v>None</v>
      </c>
      <c r="Z310" s="896"/>
      <c r="AA310">
        <f>'Photo Review'!H310</f>
        <v>0</v>
      </c>
      <c r="AL310" t="str">
        <f t="shared" si="104"/>
        <v>vpa601_6</v>
      </c>
      <c r="AM310" t="str">
        <f t="shared" si="105"/>
        <v>8 Max</v>
      </c>
      <c r="AN310" t="str">
        <f t="shared" si="106"/>
        <v>vpc601_6</v>
      </c>
      <c r="AO310">
        <f t="shared" ca="1" si="107"/>
        <v>4</v>
      </c>
      <c r="AR310" t="str">
        <f t="shared" si="109"/>
        <v>vnt601_6</v>
      </c>
      <c r="AS310">
        <f t="shared" si="110"/>
        <v>0</v>
      </c>
      <c r="BJ310" s="573" t="s">
        <v>4670</v>
      </c>
    </row>
    <row r="311" spans="1:62" x14ac:dyDescent="0.35">
      <c r="A311" s="403">
        <v>6</v>
      </c>
      <c r="B311" s="608">
        <v>601.6</v>
      </c>
      <c r="C311" s="604"/>
      <c r="D311" s="604"/>
      <c r="E311" s="604"/>
      <c r="F311" s="604"/>
      <c r="G311" s="403" t="str">
        <f t="shared" ref="G311:G314" ca="1" si="111">G310</f>
        <v/>
      </c>
      <c r="H311" s="403" t="s">
        <v>4324</v>
      </c>
      <c r="I311" s="32"/>
      <c r="J311" s="4"/>
      <c r="K311" s="46"/>
      <c r="L311" s="706"/>
      <c r="M311" s="690"/>
      <c r="N311" s="834"/>
      <c r="O311" s="834"/>
      <c r="P311" t="b">
        <v>1</v>
      </c>
      <c r="Q311" t="b">
        <v>0</v>
      </c>
      <c r="R311" t="b">
        <v>0</v>
      </c>
      <c r="S311" t="b">
        <v>1</v>
      </c>
      <c r="T311" t="b">
        <v>0</v>
      </c>
      <c r="U311" t="str">
        <f>SUBSTITUTE(SUBSTITUTE(SUBSTITUTE("dd"&amp;B311&amp;C311&amp;D311&amp;E311&amp;F311,".","_"),"(","_"),")","")</f>
        <v>dd601_6</v>
      </c>
      <c r="W311" s="9" t="s">
        <v>3185</v>
      </c>
      <c r="X311" s="688"/>
      <c r="Y311" s="891"/>
      <c r="Z311" s="892"/>
      <c r="AP311" t="str">
        <f>SUBSTITUTE(SUBSTITUTE(SUBSTITUTE("vch"&amp;$B311&amp;$C311&amp;$D311&amp;$E311&amp;$F311,".","_"),"(","_"),")","")</f>
        <v>vch601_6</v>
      </c>
      <c r="AQ311" t="str">
        <f>W311</f>
        <v>2 story bldg.</v>
      </c>
      <c r="BJ311" s="573" t="s">
        <v>4670</v>
      </c>
    </row>
    <row r="312" spans="1:62" x14ac:dyDescent="0.35">
      <c r="A312" s="403">
        <v>6</v>
      </c>
      <c r="B312" s="608">
        <v>601.6</v>
      </c>
      <c r="C312" s="604"/>
      <c r="D312" s="604"/>
      <c r="E312" s="604"/>
      <c r="F312" s="604"/>
      <c r="G312" s="403" t="str">
        <f t="shared" ca="1" si="111"/>
        <v/>
      </c>
      <c r="H312" s="403" t="s">
        <v>4324</v>
      </c>
      <c r="I312" s="32"/>
      <c r="J312" s="4"/>
      <c r="K312" s="46"/>
      <c r="L312" s="706"/>
      <c r="M312" s="690"/>
      <c r="N312" s="834"/>
      <c r="O312" s="834"/>
      <c r="X312" s="688"/>
      <c r="Y312" s="891"/>
      <c r="Z312" s="892"/>
      <c r="BJ312" s="573" t="s">
        <v>4670</v>
      </c>
    </row>
    <row r="313" spans="1:62" x14ac:dyDescent="0.35">
      <c r="A313" s="403">
        <v>6</v>
      </c>
      <c r="B313" s="608">
        <v>601.6</v>
      </c>
      <c r="C313" s="604"/>
      <c r="D313" s="604"/>
      <c r="E313" s="604" t="s">
        <v>270</v>
      </c>
      <c r="F313" s="604"/>
      <c r="G313" s="403" t="str">
        <f t="shared" ca="1" si="111"/>
        <v/>
      </c>
      <c r="H313" s="403" t="s">
        <v>4324</v>
      </c>
      <c r="I313" s="32"/>
      <c r="J313" s="148" t="s">
        <v>270</v>
      </c>
      <c r="K313" s="116"/>
      <c r="L313" s="116" t="s">
        <v>565</v>
      </c>
      <c r="M313" s="198">
        <v>4</v>
      </c>
      <c r="N313" s="44"/>
      <c r="O313" s="44"/>
      <c r="X313" s="688"/>
      <c r="Y313" s="891"/>
      <c r="Z313" s="892"/>
      <c r="AL313" t="str">
        <f t="shared" ref="AL313:AL315" si="112">SUBSTITUTE(SUBSTITUTE(SUBSTITUTE("vpa"&amp;$B313&amp;$C313&amp;$D313&amp;$E313&amp;$F313,".","_"),"(","_"),")","")</f>
        <v>vpa601_6_1</v>
      </c>
      <c r="AM313">
        <f>M313</f>
        <v>4</v>
      </c>
      <c r="BJ313" s="573" t="s">
        <v>4670</v>
      </c>
    </row>
    <row r="314" spans="1:62" ht="15" thickBot="1" x14ac:dyDescent="0.4">
      <c r="A314" s="403">
        <v>6</v>
      </c>
      <c r="B314" s="608">
        <v>601.6</v>
      </c>
      <c r="C314" s="604"/>
      <c r="D314" s="604"/>
      <c r="E314" s="604" t="s">
        <v>272</v>
      </c>
      <c r="F314" s="604"/>
      <c r="G314" s="403" t="str">
        <f t="shared" ca="1" si="111"/>
        <v/>
      </c>
      <c r="H314" s="403" t="s">
        <v>4324</v>
      </c>
      <c r="I314" s="32"/>
      <c r="J314" s="19" t="s">
        <v>272</v>
      </c>
      <c r="K314" s="46"/>
      <c r="L314" s="46" t="s">
        <v>566</v>
      </c>
      <c r="M314" s="43">
        <v>2</v>
      </c>
      <c r="N314" s="44"/>
      <c r="O314" s="44"/>
      <c r="X314" s="698"/>
      <c r="Y314" s="905"/>
      <c r="Z314" s="895"/>
      <c r="AL314" t="str">
        <f t="shared" si="112"/>
        <v>vpa601_6_2</v>
      </c>
      <c r="AM314">
        <f>M314</f>
        <v>2</v>
      </c>
      <c r="BJ314" s="573" t="s">
        <v>4670</v>
      </c>
    </row>
    <row r="315" spans="1:62" ht="15" thickTop="1" x14ac:dyDescent="0.35">
      <c r="A315" s="403">
        <v>6</v>
      </c>
      <c r="B315" s="608">
        <v>601.70000000000005</v>
      </c>
      <c r="C315" s="604"/>
      <c r="D315" s="604"/>
      <c r="E315" s="604"/>
      <c r="F315" s="604"/>
      <c r="G315" s="403" t="str">
        <f ca="1">IF(N315&gt;0,"P","")</f>
        <v>P</v>
      </c>
      <c r="H315" s="403" t="s">
        <v>4323</v>
      </c>
      <c r="I315" s="123">
        <v>601.70000000000005</v>
      </c>
      <c r="J315" s="124"/>
      <c r="K315" s="125"/>
      <c r="L315" s="711" t="s">
        <v>567</v>
      </c>
      <c r="M315" s="692" t="s">
        <v>568</v>
      </c>
      <c r="N315" s="940">
        <f ca="1">'Ch6'!O60</f>
        <v>5</v>
      </c>
      <c r="O315" s="940">
        <f ca="1">MIN(12,IFERROR(INDEX({1,2,5},MATCH(W318,INDIRECT(U318),0)),0)+IFERROR(INDEX({1,2,5},MATCH(W319,INDIRECT(U319),0)),0)+IFERROR(INDEX({1,2,5},MATCH(W320,INDIRECT(U320),0)),0)+IFERROR(INDEX({1,2,5},MATCH(W324,INDIRECT(U324),0)),0)+IFERROR(INDEX({1,2,5},MATCH(W326,INDIRECT(U326),0)),0))</f>
        <v>5</v>
      </c>
      <c r="P315" s="62"/>
      <c r="Q315" s="62"/>
      <c r="R315" s="62"/>
      <c r="S315" s="62"/>
      <c r="T315" s="62"/>
      <c r="U315" s="62"/>
      <c r="V315" s="62"/>
      <c r="W315" s="62"/>
      <c r="X315" s="721"/>
      <c r="Y315" s="943" t="str">
        <f>IF(LEN('Ch6'!X60)=0,"None",'Ch6'!X60)</f>
        <v>CertainTeed Cedar Impressions; James Hardie Siding</v>
      </c>
      <c r="Z315" s="900"/>
      <c r="AL315" t="str">
        <f t="shared" si="112"/>
        <v>vpa601_7</v>
      </c>
      <c r="AM315" t="str">
        <f>M315</f>
        <v>12 Max</v>
      </c>
      <c r="AN315" t="str">
        <f>SUBSTITUTE(SUBSTITUTE(SUBSTITUTE("vpc"&amp;$B315&amp;$C315&amp;$D315&amp;$E315&amp;$F315,".","_"),"(","_"),")","")</f>
        <v>vpc601_7</v>
      </c>
      <c r="AO315">
        <f ca="1">O315</f>
        <v>5</v>
      </c>
      <c r="AR315" t="str">
        <f>SUBSTITUTE(SUBSTITUTE(SUBSTITUTE("vnt"&amp;$B315&amp;$C315&amp;$D315&amp;$E315&amp;$F315,".","_"),"(","_"),")","")</f>
        <v>vnt601_7</v>
      </c>
      <c r="AS315">
        <f>X315</f>
        <v>0</v>
      </c>
      <c r="BJ315" s="573" t="s">
        <v>4670</v>
      </c>
    </row>
    <row r="316" spans="1:62" x14ac:dyDescent="0.35">
      <c r="A316" s="403">
        <v>6</v>
      </c>
      <c r="B316" s="608">
        <v>601.70000000000005</v>
      </c>
      <c r="C316" s="604"/>
      <c r="D316" s="604"/>
      <c r="E316" s="604"/>
      <c r="F316" s="604"/>
      <c r="G316" s="403" t="str">
        <f t="shared" ref="G316:G332" ca="1" si="113">G315</f>
        <v>P</v>
      </c>
      <c r="H316" s="403" t="s">
        <v>4323</v>
      </c>
      <c r="I316" s="32"/>
      <c r="J316" s="4"/>
      <c r="K316" s="46"/>
      <c r="L316" s="706"/>
      <c r="M316" s="690"/>
      <c r="N316" s="834"/>
      <c r="O316" s="834"/>
      <c r="X316" s="699"/>
      <c r="Y316" s="908"/>
      <c r="Z316" s="899"/>
      <c r="BJ316" s="573" t="s">
        <v>4670</v>
      </c>
    </row>
    <row r="317" spans="1:62" x14ac:dyDescent="0.35">
      <c r="A317" s="403">
        <v>6</v>
      </c>
      <c r="B317" s="608">
        <v>601.70000000000005</v>
      </c>
      <c r="C317" s="604"/>
      <c r="D317" s="604"/>
      <c r="E317" s="604"/>
      <c r="F317" s="604"/>
      <c r="G317" s="403" t="str">
        <f t="shared" ca="1" si="113"/>
        <v>P</v>
      </c>
      <c r="H317" s="403" t="s">
        <v>4323</v>
      </c>
      <c r="I317" s="32"/>
      <c r="J317" s="4"/>
      <c r="K317" s="46"/>
      <c r="L317" s="100" t="s">
        <v>578</v>
      </c>
      <c r="M317" s="43"/>
      <c r="N317" s="44"/>
      <c r="O317" s="44"/>
      <c r="X317" s="699"/>
      <c r="Y317" s="908"/>
      <c r="Z317" s="899"/>
      <c r="BJ317" s="573" t="s">
        <v>4670</v>
      </c>
    </row>
    <row r="318" spans="1:62" x14ac:dyDescent="0.35">
      <c r="A318" s="403">
        <v>6</v>
      </c>
      <c r="B318" s="608">
        <v>601.70000000000005</v>
      </c>
      <c r="C318" s="604"/>
      <c r="D318" s="604"/>
      <c r="E318" s="604"/>
      <c r="F318" s="604" t="s">
        <v>121</v>
      </c>
      <c r="G318" s="403" t="str">
        <f t="shared" ca="1" si="113"/>
        <v>P</v>
      </c>
      <c r="H318" s="605" t="s">
        <v>4323</v>
      </c>
      <c r="I318" s="32"/>
      <c r="J318" s="4"/>
      <c r="K318" s="115" t="s">
        <v>121</v>
      </c>
      <c r="L318" s="116" t="s">
        <v>569</v>
      </c>
      <c r="M318" s="43"/>
      <c r="N318" s="44"/>
      <c r="O318" s="44"/>
      <c r="P318" t="b">
        <v>1</v>
      </c>
      <c r="Q318" t="b">
        <v>1</v>
      </c>
      <c r="R318" t="b">
        <v>0</v>
      </c>
      <c r="S318" t="b">
        <v>1</v>
      </c>
      <c r="T318" t="b">
        <v>0</v>
      </c>
      <c r="U318" t="str">
        <f>SUBSTITUTE(SUBSTITUTE(SUBSTITUTE("dd"&amp;B318&amp;C318&amp;D318&amp;E318&amp;F318,".","_"),"(","_"),")","")</f>
        <v>dd601_7_a</v>
      </c>
      <c r="W318" s="9"/>
      <c r="X318" s="699"/>
      <c r="Y318" s="908"/>
      <c r="Z318" s="899"/>
      <c r="AP318" t="str">
        <f t="shared" ref="AP318:AP320" si="114">SUBSTITUTE(SUBSTITUTE(SUBSTITUTE("vch"&amp;$B318&amp;$C318&amp;$D318&amp;$E318&amp;$F318,".","_"),"(","_"),")","")</f>
        <v>vch601_7_a</v>
      </c>
      <c r="AQ318">
        <f>W318</f>
        <v>0</v>
      </c>
      <c r="BJ318" s="573" t="s">
        <v>4670</v>
      </c>
    </row>
    <row r="319" spans="1:62" x14ac:dyDescent="0.35">
      <c r="A319" s="403">
        <v>6</v>
      </c>
      <c r="B319" s="608">
        <v>601.70000000000005</v>
      </c>
      <c r="C319" s="604"/>
      <c r="D319" s="604"/>
      <c r="E319" s="604"/>
      <c r="F319" s="604" t="s">
        <v>122</v>
      </c>
      <c r="G319" s="403" t="str">
        <f t="shared" ca="1" si="113"/>
        <v>P</v>
      </c>
      <c r="H319" s="605" t="s">
        <v>4323</v>
      </c>
      <c r="I319" s="32"/>
      <c r="J319" s="4"/>
      <c r="K319" s="158" t="s">
        <v>122</v>
      </c>
      <c r="L319" s="151" t="s">
        <v>570</v>
      </c>
      <c r="M319" s="43"/>
      <c r="N319" s="44"/>
      <c r="O319" s="44"/>
      <c r="P319" t="b">
        <v>1</v>
      </c>
      <c r="Q319" t="b">
        <v>1</v>
      </c>
      <c r="R319" t="b">
        <v>0</v>
      </c>
      <c r="S319" t="b">
        <v>1</v>
      </c>
      <c r="T319" t="b">
        <v>0</v>
      </c>
      <c r="U319" t="str">
        <f>SUBSTITUTE(SUBSTITUTE(SUBSTITUTE("dd"&amp;B319&amp;C319&amp;D319&amp;E319&amp;F319,".","_"),"(","_"),")","")</f>
        <v>dd601_7_b</v>
      </c>
      <c r="W319" s="9"/>
      <c r="X319" s="699"/>
      <c r="Y319" s="908"/>
      <c r="Z319" s="899"/>
      <c r="AA319">
        <f>'Photo Review'!H319</f>
        <v>0</v>
      </c>
      <c r="AP319" t="str">
        <f t="shared" si="114"/>
        <v>vch601_7_b</v>
      </c>
      <c r="AQ319">
        <f>W319</f>
        <v>0</v>
      </c>
      <c r="BJ319" s="573" t="s">
        <v>4670</v>
      </c>
    </row>
    <row r="320" spans="1:62" x14ac:dyDescent="0.35">
      <c r="A320" s="403">
        <v>6</v>
      </c>
      <c r="B320" s="608">
        <v>601.70000000000005</v>
      </c>
      <c r="C320" s="604"/>
      <c r="D320" s="604"/>
      <c r="E320" s="604"/>
      <c r="F320" s="606" t="s">
        <v>123</v>
      </c>
      <c r="G320" s="403" t="str">
        <f t="shared" ca="1" si="113"/>
        <v>P</v>
      </c>
      <c r="H320" s="607" t="s">
        <v>4323</v>
      </c>
      <c r="I320" s="32"/>
      <c r="J320" s="4"/>
      <c r="K320" s="159" t="s">
        <v>123</v>
      </c>
      <c r="L320" s="746" t="s">
        <v>571</v>
      </c>
      <c r="M320" s="43"/>
      <c r="N320" s="44"/>
      <c r="O320" s="44"/>
      <c r="P320" t="b">
        <v>1</v>
      </c>
      <c r="Q320" t="b">
        <v>1</v>
      </c>
      <c r="R320" t="b">
        <v>0</v>
      </c>
      <c r="S320" t="b">
        <v>1</v>
      </c>
      <c r="T320" t="b">
        <v>0</v>
      </c>
      <c r="U320" t="str">
        <f>SUBSTITUTE(SUBSTITUTE(SUBSTITUTE("dd"&amp;B320&amp;C320&amp;D320&amp;E320&amp;F320,".","_"),"(","_"),")","")</f>
        <v>dd601_7_c</v>
      </c>
      <c r="W320" s="9" t="s">
        <v>3737</v>
      </c>
      <c r="X320" s="699"/>
      <c r="Y320" s="908"/>
      <c r="Z320" s="899"/>
      <c r="AA320">
        <f>'Photo Review'!H320</f>
        <v>0</v>
      </c>
      <c r="AP320" t="str">
        <f t="shared" si="114"/>
        <v>vch601_7_c</v>
      </c>
      <c r="AQ320" t="str">
        <f>W320</f>
        <v>90% or more</v>
      </c>
      <c r="BJ320" s="573" t="s">
        <v>4670</v>
      </c>
    </row>
    <row r="321" spans="1:62" x14ac:dyDescent="0.35">
      <c r="A321" s="403">
        <v>6</v>
      </c>
      <c r="B321" s="608">
        <v>601.70000000000005</v>
      </c>
      <c r="C321" s="604"/>
      <c r="D321" s="604"/>
      <c r="E321" s="604"/>
      <c r="F321" s="606" t="s">
        <v>123</v>
      </c>
      <c r="G321" s="403" t="str">
        <f t="shared" ca="1" si="113"/>
        <v>P</v>
      </c>
      <c r="H321" s="607" t="s">
        <v>4323</v>
      </c>
      <c r="I321" s="32"/>
      <c r="J321" s="4"/>
      <c r="K321" s="46"/>
      <c r="L321" s="747"/>
      <c r="M321" s="43"/>
      <c r="N321" s="44"/>
      <c r="O321" s="44"/>
      <c r="X321" s="699"/>
      <c r="Y321" s="908"/>
      <c r="Z321" s="899"/>
      <c r="BJ321" s="573" t="s">
        <v>4670</v>
      </c>
    </row>
    <row r="322" spans="1:62" x14ac:dyDescent="0.35">
      <c r="A322" s="403">
        <v>6</v>
      </c>
      <c r="B322" s="608">
        <v>601.70000000000005</v>
      </c>
      <c r="C322" s="604"/>
      <c r="D322" s="604"/>
      <c r="E322" s="604"/>
      <c r="F322" s="606" t="s">
        <v>123</v>
      </c>
      <c r="G322" s="403" t="str">
        <f t="shared" ca="1" si="113"/>
        <v>P</v>
      </c>
      <c r="H322" s="607" t="s">
        <v>4323</v>
      </c>
      <c r="I322" s="32"/>
      <c r="J322" s="4"/>
      <c r="K322" s="46"/>
      <c r="L322" s="130" t="s">
        <v>572</v>
      </c>
      <c r="M322" s="43"/>
      <c r="N322" s="44"/>
      <c r="O322" s="44"/>
      <c r="X322" s="699"/>
      <c r="Y322" s="908"/>
      <c r="Z322" s="899"/>
      <c r="BJ322" s="573" t="s">
        <v>4670</v>
      </c>
    </row>
    <row r="323" spans="1:62" x14ac:dyDescent="0.35">
      <c r="A323" s="403">
        <v>6</v>
      </c>
      <c r="B323" s="608">
        <v>601.70000000000005</v>
      </c>
      <c r="C323" s="604"/>
      <c r="D323" s="604"/>
      <c r="E323" s="604"/>
      <c r="F323" s="606" t="s">
        <v>123</v>
      </c>
      <c r="G323" s="403" t="str">
        <f t="shared" ca="1" si="113"/>
        <v>P</v>
      </c>
      <c r="H323" s="607" t="s">
        <v>4323</v>
      </c>
      <c r="I323" s="32"/>
      <c r="J323" s="4"/>
      <c r="K323" s="116"/>
      <c r="L323" s="193" t="s">
        <v>573</v>
      </c>
      <c r="M323" s="43"/>
      <c r="N323" s="44"/>
      <c r="O323" s="44"/>
      <c r="X323" s="699"/>
      <c r="Y323" s="908"/>
      <c r="Z323" s="899"/>
      <c r="BJ323" s="573" t="s">
        <v>4670</v>
      </c>
    </row>
    <row r="324" spans="1:62" x14ac:dyDescent="0.35">
      <c r="A324" s="403">
        <v>6</v>
      </c>
      <c r="B324" s="608">
        <v>601.70000000000005</v>
      </c>
      <c r="C324" s="604"/>
      <c r="D324" s="604"/>
      <c r="E324" s="604"/>
      <c r="F324" s="604" t="s">
        <v>420</v>
      </c>
      <c r="G324" s="403" t="str">
        <f t="shared" ca="1" si="113"/>
        <v>P</v>
      </c>
      <c r="H324" s="403" t="s">
        <v>4323</v>
      </c>
      <c r="I324" s="32"/>
      <c r="J324" s="4"/>
      <c r="K324" s="160" t="s">
        <v>420</v>
      </c>
      <c r="L324" s="742" t="s">
        <v>574</v>
      </c>
      <c r="M324" s="43"/>
      <c r="N324" s="44"/>
      <c r="O324" s="44"/>
      <c r="P324" t="b">
        <v>1</v>
      </c>
      <c r="Q324" t="b">
        <v>1</v>
      </c>
      <c r="R324" t="b">
        <v>0</v>
      </c>
      <c r="S324" t="b">
        <v>1</v>
      </c>
      <c r="T324" t="b">
        <v>0</v>
      </c>
      <c r="U324" t="str">
        <f>SUBSTITUTE(SUBSTITUTE(SUBSTITUTE("dd"&amp;B324&amp;C324&amp;D324&amp;E324&amp;F324,".","_"),"(","_"),")","")</f>
        <v>dd601_7_d</v>
      </c>
      <c r="W324" s="9"/>
      <c r="X324" s="699"/>
      <c r="Y324" s="908"/>
      <c r="Z324" s="899"/>
      <c r="AP324" t="str">
        <f>SUBSTITUTE(SUBSTITUTE(SUBSTITUTE("vch"&amp;$B324&amp;$C324&amp;$D324&amp;$E324&amp;$F324,".","_"),"(","_"),")","")</f>
        <v>vch601_7_d</v>
      </c>
      <c r="AQ324">
        <f>W324</f>
        <v>0</v>
      </c>
      <c r="BJ324" s="573" t="s">
        <v>4670</v>
      </c>
    </row>
    <row r="325" spans="1:62" x14ac:dyDescent="0.35">
      <c r="A325" s="403">
        <v>6</v>
      </c>
      <c r="B325" s="608">
        <v>601.70000000000005</v>
      </c>
      <c r="C325" s="604"/>
      <c r="D325" s="604"/>
      <c r="E325" s="604"/>
      <c r="F325" s="604" t="s">
        <v>420</v>
      </c>
      <c r="G325" s="403" t="str">
        <f t="shared" ca="1" si="113"/>
        <v>P</v>
      </c>
      <c r="H325" s="403" t="s">
        <v>4323</v>
      </c>
      <c r="I325" s="32"/>
      <c r="J325" s="4"/>
      <c r="K325" s="116"/>
      <c r="L325" s="709"/>
      <c r="M325" s="43"/>
      <c r="N325" s="44"/>
      <c r="O325" s="44"/>
      <c r="X325" s="699"/>
      <c r="Y325" s="908"/>
      <c r="Z325" s="899"/>
      <c r="BJ325" s="573" t="s">
        <v>4670</v>
      </c>
    </row>
    <row r="326" spans="1:62" x14ac:dyDescent="0.35">
      <c r="A326" s="403">
        <v>6</v>
      </c>
      <c r="B326" s="608">
        <v>601.70000000000005</v>
      </c>
      <c r="C326" s="604"/>
      <c r="D326" s="604"/>
      <c r="E326" s="604"/>
      <c r="F326" s="604" t="s">
        <v>575</v>
      </c>
      <c r="G326" s="403" t="str">
        <f t="shared" ca="1" si="113"/>
        <v>P</v>
      </c>
      <c r="H326" s="403" t="s">
        <v>4323</v>
      </c>
      <c r="I326" s="32"/>
      <c r="J326" s="4"/>
      <c r="K326" s="160" t="s">
        <v>575</v>
      </c>
      <c r="L326" s="742" t="s">
        <v>576</v>
      </c>
      <c r="M326" s="43"/>
      <c r="N326" s="44"/>
      <c r="O326" s="44"/>
      <c r="P326" t="b">
        <v>1</v>
      </c>
      <c r="Q326" t="b">
        <v>1</v>
      </c>
      <c r="R326" t="b">
        <v>0</v>
      </c>
      <c r="S326" t="b">
        <v>1</v>
      </c>
      <c r="T326" t="b">
        <v>0</v>
      </c>
      <c r="U326" t="str">
        <f>SUBSTITUTE(SUBSTITUTE(SUBSTITUTE("dd"&amp;B326&amp;C326&amp;D326&amp;E326&amp;F326,".","_"),"(","_"),")","")</f>
        <v>dd601_7_e</v>
      </c>
      <c r="W326" s="9"/>
      <c r="X326" s="699"/>
      <c r="Y326" s="908"/>
      <c r="Z326" s="899"/>
      <c r="AA326">
        <f>'Photo Review'!H326</f>
        <v>0</v>
      </c>
      <c r="AP326" t="str">
        <f>SUBSTITUTE(SUBSTITUTE(SUBSTITUTE("vch"&amp;$B326&amp;$C326&amp;$D326&amp;$E326&amp;$F326,".","_"),"(","_"),")","")</f>
        <v>vch601_7_e</v>
      </c>
      <c r="AQ326">
        <f>W326</f>
        <v>0</v>
      </c>
      <c r="BJ326" s="573" t="s">
        <v>4670</v>
      </c>
    </row>
    <row r="327" spans="1:62" x14ac:dyDescent="0.35">
      <c r="A327" s="403">
        <v>6</v>
      </c>
      <c r="B327" s="608">
        <v>601.70000000000005</v>
      </c>
      <c r="C327" s="604"/>
      <c r="D327" s="604"/>
      <c r="E327" s="604"/>
      <c r="F327" s="604" t="s">
        <v>575</v>
      </c>
      <c r="G327" s="403" t="str">
        <f t="shared" ca="1" si="113"/>
        <v>P</v>
      </c>
      <c r="H327" s="403" t="s">
        <v>4323</v>
      </c>
      <c r="I327" s="32"/>
      <c r="J327" s="4"/>
      <c r="K327" s="116"/>
      <c r="L327" s="709"/>
      <c r="M327" s="43"/>
      <c r="N327" s="44"/>
      <c r="O327" s="44"/>
      <c r="X327" s="699"/>
      <c r="Y327" s="908"/>
      <c r="Z327" s="899"/>
      <c r="BJ327" s="573" t="s">
        <v>4670</v>
      </c>
    </row>
    <row r="328" spans="1:62" x14ac:dyDescent="0.35">
      <c r="A328" s="403">
        <v>6</v>
      </c>
      <c r="B328" s="608">
        <v>601.70000000000005</v>
      </c>
      <c r="C328" s="604"/>
      <c r="D328" s="604"/>
      <c r="E328" s="604" t="s">
        <v>270</v>
      </c>
      <c r="F328" s="604"/>
      <c r="G328" s="403" t="str">
        <f t="shared" ca="1" si="113"/>
        <v>P</v>
      </c>
      <c r="H328" s="403" t="s">
        <v>4323</v>
      </c>
      <c r="I328" s="32"/>
      <c r="J328" s="148" t="s">
        <v>270</v>
      </c>
      <c r="K328" s="46"/>
      <c r="L328" s="116" t="s">
        <v>577</v>
      </c>
      <c r="M328" s="198">
        <v>5</v>
      </c>
      <c r="N328" s="44"/>
      <c r="O328" s="44"/>
      <c r="X328" s="699"/>
      <c r="Y328" s="908"/>
      <c r="Z328" s="899"/>
      <c r="AL328" t="str">
        <f t="shared" ref="AL328:AL329" si="115">SUBSTITUTE(SUBSTITUTE(SUBSTITUTE("vpa"&amp;$B328&amp;$C328&amp;$D328&amp;$E328&amp;$F328,".","_"),"(","_"),")","")</f>
        <v>vpa601_7_1</v>
      </c>
      <c r="AM328">
        <f>M328</f>
        <v>5</v>
      </c>
      <c r="BJ328" s="573" t="s">
        <v>4670</v>
      </c>
    </row>
    <row r="329" spans="1:62" x14ac:dyDescent="0.35">
      <c r="A329" s="403">
        <v>6</v>
      </c>
      <c r="B329" s="608">
        <v>601.70000000000005</v>
      </c>
      <c r="C329" s="604"/>
      <c r="D329" s="604"/>
      <c r="E329" s="604" t="s">
        <v>272</v>
      </c>
      <c r="F329" s="604"/>
      <c r="G329" s="403" t="str">
        <f t="shared" ca="1" si="113"/>
        <v>P</v>
      </c>
      <c r="H329" s="403" t="s">
        <v>4323</v>
      </c>
      <c r="I329" s="32"/>
      <c r="J329" s="19" t="s">
        <v>272</v>
      </c>
      <c r="K329" s="138"/>
      <c r="L329" s="757" t="s">
        <v>579</v>
      </c>
      <c r="M329" s="712">
        <v>2</v>
      </c>
      <c r="N329" s="44"/>
      <c r="O329" s="44"/>
      <c r="X329" s="699"/>
      <c r="Y329" s="908"/>
      <c r="Z329" s="899"/>
      <c r="AL329" t="str">
        <f t="shared" si="115"/>
        <v>vpa601_7_2</v>
      </c>
      <c r="AM329">
        <f>M329</f>
        <v>2</v>
      </c>
      <c r="BJ329" s="573" t="s">
        <v>4670</v>
      </c>
    </row>
    <row r="330" spans="1:62" x14ac:dyDescent="0.35">
      <c r="A330" s="403">
        <v>6</v>
      </c>
      <c r="B330" s="608">
        <v>601.70000000000005</v>
      </c>
      <c r="C330" s="604"/>
      <c r="D330" s="604"/>
      <c r="E330" s="604"/>
      <c r="F330" s="604"/>
      <c r="G330" s="403" t="str">
        <f t="shared" ca="1" si="113"/>
        <v>P</v>
      </c>
      <c r="H330" s="403" t="s">
        <v>4323</v>
      </c>
      <c r="I330" s="32"/>
      <c r="J330" s="119"/>
      <c r="K330" s="116"/>
      <c r="L330" s="724"/>
      <c r="M330" s="691"/>
      <c r="N330" s="44"/>
      <c r="O330" s="44"/>
      <c r="X330" s="699"/>
      <c r="Y330" s="908"/>
      <c r="Z330" s="899"/>
      <c r="BJ330" s="573" t="s">
        <v>4670</v>
      </c>
    </row>
    <row r="331" spans="1:62" x14ac:dyDescent="0.35">
      <c r="A331" s="403">
        <v>6</v>
      </c>
      <c r="B331" s="608">
        <v>601.70000000000005</v>
      </c>
      <c r="C331" s="604"/>
      <c r="D331" s="604"/>
      <c r="E331" s="604" t="s">
        <v>274</v>
      </c>
      <c r="F331" s="604"/>
      <c r="G331" s="403" t="str">
        <f t="shared" ca="1" si="113"/>
        <v>P</v>
      </c>
      <c r="H331" s="403" t="s">
        <v>4323</v>
      </c>
      <c r="I331" s="32"/>
      <c r="J331" s="19" t="s">
        <v>274</v>
      </c>
      <c r="K331" s="46"/>
      <c r="L331" s="723" t="s">
        <v>580</v>
      </c>
      <c r="M331" s="43">
        <v>1</v>
      </c>
      <c r="N331" s="44"/>
      <c r="O331" s="44"/>
      <c r="X331" s="699"/>
      <c r="Y331" s="908"/>
      <c r="Z331" s="899"/>
      <c r="AL331" t="str">
        <f>SUBSTITUTE(SUBSTITUTE(SUBSTITUTE("vpa"&amp;$B331&amp;$C331&amp;$D331&amp;$E331&amp;$F331,".","_"),"(","_"),")","")</f>
        <v>vpa601_7_3</v>
      </c>
      <c r="AM331">
        <f>M331</f>
        <v>1</v>
      </c>
      <c r="BJ331" s="573" t="s">
        <v>4670</v>
      </c>
    </row>
    <row r="332" spans="1:62" ht="15" thickBot="1" x14ac:dyDescent="0.4">
      <c r="A332" s="403">
        <v>6</v>
      </c>
      <c r="B332" s="608">
        <v>601.70000000000005</v>
      </c>
      <c r="C332" s="604"/>
      <c r="D332" s="604"/>
      <c r="E332" s="604"/>
      <c r="F332" s="604"/>
      <c r="G332" s="403" t="str">
        <f t="shared" ca="1" si="113"/>
        <v>P</v>
      </c>
      <c r="H332" s="403" t="s">
        <v>4323</v>
      </c>
      <c r="I332" s="32"/>
      <c r="J332" s="19"/>
      <c r="K332" s="46"/>
      <c r="L332" s="762"/>
      <c r="M332" s="43"/>
      <c r="N332" s="44"/>
      <c r="O332" s="44"/>
      <c r="W332" s="67"/>
      <c r="X332" s="701"/>
      <c r="Y332" s="942"/>
      <c r="Z332" s="901"/>
      <c r="BJ332" s="573" t="s">
        <v>4670</v>
      </c>
    </row>
    <row r="333" spans="1:62" ht="15" thickTop="1" x14ac:dyDescent="0.35">
      <c r="A333" s="403">
        <v>6</v>
      </c>
      <c r="B333" s="608">
        <v>601.79999999999995</v>
      </c>
      <c r="C333" s="604"/>
      <c r="D333" s="604"/>
      <c r="E333" s="604"/>
      <c r="F333" s="604"/>
      <c r="G333" s="403" t="str">
        <f>IF(N333&gt;0,"P","")</f>
        <v/>
      </c>
      <c r="H333" s="403" t="s">
        <v>4324</v>
      </c>
      <c r="I333" s="123">
        <v>601.79999999999995</v>
      </c>
      <c r="J333" s="124"/>
      <c r="K333" s="125"/>
      <c r="L333" s="711" t="s">
        <v>581</v>
      </c>
      <c r="M333" s="692">
        <v>3</v>
      </c>
      <c r="N333" s="940">
        <f>'Ch6'!O78</f>
        <v>0</v>
      </c>
      <c r="O333" s="940">
        <f>M333*S333*W333</f>
        <v>0</v>
      </c>
      <c r="P333" t="b">
        <v>1</v>
      </c>
      <c r="Q333" t="b">
        <v>0</v>
      </c>
      <c r="R333" s="62" t="b">
        <v>0</v>
      </c>
      <c r="S333" s="62" t="b">
        <f>NOT(AZ284=1)</f>
        <v>1</v>
      </c>
      <c r="T333" s="62" t="b">
        <f>IF(AND(NOT(S333),W333=TRUE),TRUE,FALSE)</f>
        <v>0</v>
      </c>
      <c r="U333" s="62"/>
      <c r="V333" s="62"/>
      <c r="W333" s="17"/>
      <c r="X333" s="687"/>
      <c r="Y333" s="904" t="str">
        <f>IF(LEN('Ch6'!X78)=0,"None",'Ch6'!X78)</f>
        <v>None</v>
      </c>
      <c r="Z333" s="896"/>
      <c r="AC333" t="b">
        <f>OR(AD333:AE333)</f>
        <v>0</v>
      </c>
      <c r="AD333" t="b">
        <f>T333</f>
        <v>0</v>
      </c>
      <c r="AE333" t="b">
        <f>AND(W333=TRUE,LEN(X333)=0)</f>
        <v>0</v>
      </c>
      <c r="AF333" t="b">
        <f>AND(AE333,NOT(Q333))</f>
        <v>0</v>
      </c>
      <c r="AL333" t="str">
        <f>SUBSTITUTE(SUBSTITUTE(SUBSTITUTE("vpa"&amp;$B333&amp;$C333&amp;$D333&amp;$E333&amp;$F333,".","_"),"(","_"),")","")</f>
        <v>vpa601_8</v>
      </c>
      <c r="AM333">
        <f>M333</f>
        <v>3</v>
      </c>
      <c r="AN333" t="str">
        <f>SUBSTITUTE(SUBSTITUTE(SUBSTITUTE("vpc"&amp;$B333&amp;$C333&amp;$D333&amp;$E333&amp;$F333,".","_"),"(","_"),")","")</f>
        <v>vpc601_8</v>
      </c>
      <c r="AO333">
        <f>O333</f>
        <v>0</v>
      </c>
      <c r="AP333" t="str">
        <f>SUBSTITUTE(SUBSTITUTE(SUBSTITUTE("vch"&amp;$B333&amp;$C333&amp;$D333&amp;$E333&amp;$F333,".","_"),"(","_"),")","")</f>
        <v>vch601_8</v>
      </c>
      <c r="AQ333">
        <f>W333</f>
        <v>0</v>
      </c>
      <c r="AR333" t="str">
        <f>SUBSTITUTE(SUBSTITUTE(SUBSTITUTE("vnt"&amp;$B333&amp;$C333&amp;$D333&amp;$E333&amp;$F333,".","_"),"(","_"),")","")</f>
        <v>vnt601_8</v>
      </c>
      <c r="AS333">
        <f>X333</f>
        <v>0</v>
      </c>
      <c r="BJ333" s="573" t="s">
        <v>4670</v>
      </c>
    </row>
    <row r="334" spans="1:62" x14ac:dyDescent="0.35">
      <c r="A334" s="403">
        <v>6</v>
      </c>
      <c r="B334" s="608">
        <v>601.79999999999995</v>
      </c>
      <c r="C334" s="604"/>
      <c r="D334" s="604"/>
      <c r="E334" s="604"/>
      <c r="F334" s="604"/>
      <c r="G334" s="403" t="str">
        <f t="shared" ref="G334:G346" si="116">G333</f>
        <v/>
      </c>
      <c r="H334" s="403" t="s">
        <v>4324</v>
      </c>
      <c r="I334" s="32"/>
      <c r="J334" s="4"/>
      <c r="K334" s="46"/>
      <c r="L334" s="706"/>
      <c r="M334" s="690"/>
      <c r="N334" s="834"/>
      <c r="O334" s="834"/>
      <c r="X334" s="688"/>
      <c r="Y334" s="891"/>
      <c r="Z334" s="892"/>
      <c r="BJ334" s="573" t="s">
        <v>4670</v>
      </c>
    </row>
    <row r="335" spans="1:62" x14ac:dyDescent="0.35">
      <c r="A335" s="403">
        <v>6</v>
      </c>
      <c r="B335" s="608">
        <v>601.79999999999995</v>
      </c>
      <c r="C335" s="604"/>
      <c r="D335" s="604"/>
      <c r="E335" s="604"/>
      <c r="F335" s="604"/>
      <c r="G335" s="403" t="str">
        <f t="shared" si="116"/>
        <v/>
      </c>
      <c r="H335" s="403" t="s">
        <v>4324</v>
      </c>
      <c r="I335" s="32"/>
      <c r="J335" s="4"/>
      <c r="K335" s="46"/>
      <c r="L335" s="706"/>
      <c r="M335" s="690"/>
      <c r="N335" s="834"/>
      <c r="O335" s="834"/>
      <c r="X335" s="688"/>
      <c r="Y335" s="891"/>
      <c r="Z335" s="892"/>
      <c r="BJ335" s="573" t="s">
        <v>4670</v>
      </c>
    </row>
    <row r="336" spans="1:62" x14ac:dyDescent="0.35">
      <c r="A336" s="403">
        <v>6</v>
      </c>
      <c r="B336" s="608">
        <v>601.79999999999995</v>
      </c>
      <c r="C336" s="604"/>
      <c r="D336" s="604"/>
      <c r="E336" s="604"/>
      <c r="F336" s="604"/>
      <c r="G336" s="403" t="str">
        <f t="shared" si="116"/>
        <v/>
      </c>
      <c r="H336" s="403" t="s">
        <v>4324</v>
      </c>
      <c r="I336" s="32"/>
      <c r="J336" s="4"/>
      <c r="K336" s="46"/>
      <c r="L336" s="706"/>
      <c r="M336" s="690"/>
      <c r="N336" s="834"/>
      <c r="O336" s="834"/>
      <c r="X336" s="688"/>
      <c r="Y336" s="891"/>
      <c r="Z336" s="892"/>
      <c r="BJ336" s="573" t="s">
        <v>4670</v>
      </c>
    </row>
    <row r="337" spans="1:62" x14ac:dyDescent="0.35">
      <c r="A337" s="403">
        <v>6</v>
      </c>
      <c r="B337" s="608">
        <v>601.79999999999995</v>
      </c>
      <c r="C337" s="604"/>
      <c r="D337" s="604"/>
      <c r="E337" s="604"/>
      <c r="F337" s="604"/>
      <c r="G337" s="403" t="str">
        <f t="shared" si="116"/>
        <v/>
      </c>
      <c r="H337" s="403" t="s">
        <v>4324</v>
      </c>
      <c r="I337" s="32"/>
      <c r="J337" s="4"/>
      <c r="K337" s="46"/>
      <c r="L337" s="706"/>
      <c r="M337" s="690"/>
      <c r="N337" s="834"/>
      <c r="O337" s="834"/>
      <c r="X337" s="688"/>
      <c r="Y337" s="891"/>
      <c r="Z337" s="892"/>
      <c r="BJ337" s="573" t="s">
        <v>4670</v>
      </c>
    </row>
    <row r="338" spans="1:62" x14ac:dyDescent="0.35">
      <c r="A338" s="403">
        <v>6</v>
      </c>
      <c r="B338" s="608">
        <v>601.79999999999995</v>
      </c>
      <c r="C338" s="604"/>
      <c r="D338" s="604"/>
      <c r="E338" s="604"/>
      <c r="F338" s="604"/>
      <c r="G338" s="403" t="str">
        <f t="shared" si="116"/>
        <v/>
      </c>
      <c r="H338" s="403" t="s">
        <v>4324</v>
      </c>
      <c r="I338" s="32"/>
      <c r="J338" s="4"/>
      <c r="K338" s="46"/>
      <c r="L338" s="714" t="s">
        <v>1299</v>
      </c>
      <c r="M338" s="690"/>
      <c r="N338" s="834"/>
      <c r="O338" s="834"/>
      <c r="X338" s="688"/>
      <c r="Y338" s="891"/>
      <c r="Z338" s="892"/>
      <c r="BJ338" s="573" t="s">
        <v>4670</v>
      </c>
    </row>
    <row r="339" spans="1:62" x14ac:dyDescent="0.35">
      <c r="A339" s="403">
        <v>6</v>
      </c>
      <c r="B339" s="608">
        <v>601.79999999999995</v>
      </c>
      <c r="C339" s="604"/>
      <c r="D339" s="604"/>
      <c r="E339" s="604"/>
      <c r="F339" s="604"/>
      <c r="G339" s="403" t="str">
        <f t="shared" si="116"/>
        <v/>
      </c>
      <c r="H339" s="403" t="s">
        <v>4324</v>
      </c>
      <c r="I339" s="32"/>
      <c r="J339" s="4"/>
      <c r="K339" s="46"/>
      <c r="L339" s="714"/>
      <c r="M339" s="690"/>
      <c r="N339" s="834"/>
      <c r="O339" s="834"/>
      <c r="X339" s="688"/>
      <c r="Y339" s="891"/>
      <c r="Z339" s="892"/>
      <c r="BJ339" s="573" t="s">
        <v>4670</v>
      </c>
    </row>
    <row r="340" spans="1:62" ht="15" thickBot="1" x14ac:dyDescent="0.4">
      <c r="A340" s="403">
        <v>6</v>
      </c>
      <c r="B340" s="608">
        <v>601.79999999999995</v>
      </c>
      <c r="C340" s="604"/>
      <c r="D340" s="604"/>
      <c r="E340" s="604"/>
      <c r="F340" s="604"/>
      <c r="G340" s="403" t="str">
        <f t="shared" si="116"/>
        <v/>
      </c>
      <c r="H340" s="403" t="s">
        <v>4324</v>
      </c>
      <c r="I340" s="32"/>
      <c r="J340" s="4"/>
      <c r="K340" s="46"/>
      <c r="L340" s="744"/>
      <c r="M340" s="690"/>
      <c r="N340" s="938"/>
      <c r="O340" s="834"/>
      <c r="W340" s="67"/>
      <c r="X340" s="698"/>
      <c r="Y340" s="905"/>
      <c r="Z340" s="895"/>
      <c r="BJ340" s="573" t="s">
        <v>4670</v>
      </c>
    </row>
    <row r="341" spans="1:62" ht="15" thickTop="1" x14ac:dyDescent="0.35">
      <c r="A341" s="403">
        <v>6</v>
      </c>
      <c r="B341" s="608">
        <v>601.9</v>
      </c>
      <c r="C341" s="604"/>
      <c r="D341" s="604"/>
      <c r="E341" s="604"/>
      <c r="F341" s="604"/>
      <c r="G341" s="403" t="str">
        <f>IF(N341&gt;0,"P","")</f>
        <v/>
      </c>
      <c r="H341" s="403" t="s">
        <v>4324</v>
      </c>
      <c r="I341" s="123">
        <v>601.9</v>
      </c>
      <c r="J341" s="124"/>
      <c r="K341" s="125"/>
      <c r="L341" s="711" t="s">
        <v>582</v>
      </c>
      <c r="M341" s="692">
        <v>4</v>
      </c>
      <c r="N341" s="940">
        <f>'Ch6'!O86</f>
        <v>0</v>
      </c>
      <c r="O341" s="940">
        <f>M341*S341*W341</f>
        <v>0</v>
      </c>
      <c r="P341" t="b">
        <v>1</v>
      </c>
      <c r="Q341" t="b">
        <v>0</v>
      </c>
      <c r="R341" s="62" t="b">
        <v>0</v>
      </c>
      <c r="S341" s="62" t="b">
        <v>1</v>
      </c>
      <c r="T341" s="62" t="b">
        <v>0</v>
      </c>
      <c r="U341" s="62"/>
      <c r="V341" s="62"/>
      <c r="W341" s="17"/>
      <c r="X341" s="687"/>
      <c r="Y341" s="904" t="str">
        <f>IF(LEN('Ch6'!X86)=0,"None",'Ch6'!X86)</f>
        <v>None</v>
      </c>
      <c r="Z341" s="896"/>
      <c r="AC341" t="b">
        <f>OR(AD341:AE341)</f>
        <v>0</v>
      </c>
      <c r="AD341" t="b">
        <f>T341</f>
        <v>0</v>
      </c>
      <c r="AE341" t="b">
        <f>AND(W341=TRUE,LEN(X341)=0)</f>
        <v>0</v>
      </c>
      <c r="AF341" t="b">
        <f>AND(AE341,NOT(Q341))</f>
        <v>0</v>
      </c>
      <c r="AL341" t="str">
        <f>SUBSTITUTE(SUBSTITUTE(SUBSTITUTE("vpa"&amp;$B341&amp;$C341&amp;$D341&amp;$E341&amp;$F341,".","_"),"(","_"),")","")</f>
        <v>vpa601_9</v>
      </c>
      <c r="AM341">
        <f>M341</f>
        <v>4</v>
      </c>
      <c r="AN341" t="str">
        <f>SUBSTITUTE(SUBSTITUTE(SUBSTITUTE("vpc"&amp;$B341&amp;$C341&amp;$D341&amp;$E341&amp;$F341,".","_"),"(","_"),")","")</f>
        <v>vpc601_9</v>
      </c>
      <c r="AO341">
        <f>O341</f>
        <v>0</v>
      </c>
      <c r="AP341" t="str">
        <f>SUBSTITUTE(SUBSTITUTE(SUBSTITUTE("vch"&amp;$B341&amp;$C341&amp;$D341&amp;$E341&amp;$F341,".","_"),"(","_"),")","")</f>
        <v>vch601_9</v>
      </c>
      <c r="AQ341">
        <f>W341</f>
        <v>0</v>
      </c>
      <c r="AR341" t="str">
        <f>SUBSTITUTE(SUBSTITUTE(SUBSTITUTE("vnt"&amp;$B341&amp;$C341&amp;$D341&amp;$E341&amp;$F341,".","_"),"(","_"),")","")</f>
        <v>vnt601_9</v>
      </c>
      <c r="AS341">
        <f>X341</f>
        <v>0</v>
      </c>
      <c r="BJ341" s="573" t="s">
        <v>4670</v>
      </c>
    </row>
    <row r="342" spans="1:62" x14ac:dyDescent="0.35">
      <c r="A342" s="403">
        <v>6</v>
      </c>
      <c r="B342" s="608">
        <v>601.9</v>
      </c>
      <c r="C342" s="604"/>
      <c r="D342" s="604"/>
      <c r="E342" s="604"/>
      <c r="F342" s="604"/>
      <c r="G342" s="403" t="str">
        <f t="shared" si="116"/>
        <v/>
      </c>
      <c r="H342" s="403" t="s">
        <v>4324</v>
      </c>
      <c r="I342" s="32"/>
      <c r="J342" s="4"/>
      <c r="K342" s="46"/>
      <c r="L342" s="706"/>
      <c r="M342" s="690"/>
      <c r="N342" s="834"/>
      <c r="O342" s="834"/>
      <c r="X342" s="688"/>
      <c r="Y342" s="891"/>
      <c r="Z342" s="892"/>
      <c r="BJ342" s="573" t="s">
        <v>4670</v>
      </c>
    </row>
    <row r="343" spans="1:62" x14ac:dyDescent="0.35">
      <c r="A343" s="403">
        <v>6</v>
      </c>
      <c r="B343" s="608">
        <v>601.9</v>
      </c>
      <c r="C343" s="604"/>
      <c r="D343" s="604"/>
      <c r="E343" s="604"/>
      <c r="F343" s="604"/>
      <c r="G343" s="403" t="str">
        <f t="shared" si="116"/>
        <v/>
      </c>
      <c r="H343" s="403" t="s">
        <v>4324</v>
      </c>
      <c r="I343" s="32"/>
      <c r="J343" s="4"/>
      <c r="K343" s="46"/>
      <c r="L343" s="706"/>
      <c r="M343" s="690"/>
      <c r="N343" s="834"/>
      <c r="O343" s="834"/>
      <c r="X343" s="688"/>
      <c r="Y343" s="891"/>
      <c r="Z343" s="892"/>
      <c r="BJ343" s="573" t="s">
        <v>4670</v>
      </c>
    </row>
    <row r="344" spans="1:62" x14ac:dyDescent="0.35">
      <c r="A344" s="403">
        <v>6</v>
      </c>
      <c r="B344" s="608">
        <v>601.9</v>
      </c>
      <c r="C344" s="604"/>
      <c r="D344" s="604"/>
      <c r="E344" s="604"/>
      <c r="F344" s="604"/>
      <c r="G344" s="403" t="str">
        <f t="shared" si="116"/>
        <v/>
      </c>
      <c r="H344" s="403" t="s">
        <v>4324</v>
      </c>
      <c r="I344" s="32"/>
      <c r="J344" s="4"/>
      <c r="K344" s="46"/>
      <c r="L344" s="714" t="s">
        <v>1299</v>
      </c>
      <c r="M344" s="690"/>
      <c r="N344" s="834"/>
      <c r="O344" s="834"/>
      <c r="X344" s="688"/>
      <c r="Y344" s="891"/>
      <c r="Z344" s="892"/>
      <c r="BJ344" s="573" t="s">
        <v>4670</v>
      </c>
    </row>
    <row r="345" spans="1:62" x14ac:dyDescent="0.35">
      <c r="A345" s="403">
        <v>6</v>
      </c>
      <c r="B345" s="608">
        <v>601.9</v>
      </c>
      <c r="C345" s="604"/>
      <c r="D345" s="604"/>
      <c r="E345" s="604"/>
      <c r="F345" s="604"/>
      <c r="G345" s="403" t="str">
        <f t="shared" si="116"/>
        <v/>
      </c>
      <c r="H345" s="403" t="s">
        <v>4324</v>
      </c>
      <c r="I345" s="32"/>
      <c r="J345" s="4"/>
      <c r="K345" s="46"/>
      <c r="L345" s="714"/>
      <c r="M345" s="690"/>
      <c r="N345" s="834"/>
      <c r="O345" s="834"/>
      <c r="X345" s="688"/>
      <c r="Y345" s="891"/>
      <c r="Z345" s="892"/>
      <c r="BJ345" s="573" t="s">
        <v>4670</v>
      </c>
    </row>
    <row r="346" spans="1:62" x14ac:dyDescent="0.35">
      <c r="A346" s="403">
        <v>6</v>
      </c>
      <c r="B346" s="608">
        <v>601.9</v>
      </c>
      <c r="C346" s="604"/>
      <c r="D346" s="604"/>
      <c r="E346" s="604"/>
      <c r="F346" s="604"/>
      <c r="G346" s="403" t="str">
        <f t="shared" si="116"/>
        <v/>
      </c>
      <c r="H346" s="403" t="s">
        <v>4324</v>
      </c>
      <c r="I346" s="32"/>
      <c r="J346" s="4"/>
      <c r="K346" s="46"/>
      <c r="L346" s="714"/>
      <c r="M346" s="690"/>
      <c r="N346" s="834"/>
      <c r="O346" s="834"/>
      <c r="X346" s="688"/>
      <c r="Y346" s="891"/>
      <c r="Z346" s="892"/>
      <c r="BJ346" s="573" t="s">
        <v>4670</v>
      </c>
    </row>
    <row r="347" spans="1:62" ht="18.5" x14ac:dyDescent="0.45">
      <c r="A347" s="403">
        <v>6</v>
      </c>
      <c r="B347" s="608">
        <v>602</v>
      </c>
      <c r="C347" s="604"/>
      <c r="D347" s="604"/>
      <c r="E347" s="604"/>
      <c r="F347" s="604"/>
      <c r="G347" s="403" t="s">
        <v>4326</v>
      </c>
      <c r="H347" s="403" t="s">
        <v>4323</v>
      </c>
      <c r="I347" s="38" t="s">
        <v>583</v>
      </c>
      <c r="J347" s="38"/>
      <c r="K347" s="38"/>
      <c r="L347" s="42"/>
      <c r="M347" s="37"/>
      <c r="N347" s="37"/>
      <c r="O347" s="37"/>
      <c r="P347" s="15"/>
      <c r="Q347" s="15"/>
      <c r="R347" s="15"/>
      <c r="S347" s="15"/>
      <c r="T347" s="15"/>
      <c r="U347" s="15"/>
      <c r="V347" s="15"/>
      <c r="W347" s="15"/>
      <c r="X347" s="15"/>
      <c r="Y347" s="15"/>
      <c r="Z347" s="562"/>
      <c r="BJ347" s="573" t="s">
        <v>4670</v>
      </c>
    </row>
    <row r="348" spans="1:62" x14ac:dyDescent="0.35">
      <c r="A348" s="403">
        <v>6</v>
      </c>
      <c r="B348" s="608" t="s">
        <v>3343</v>
      </c>
      <c r="C348" s="604"/>
      <c r="D348" s="604"/>
      <c r="E348" s="604"/>
      <c r="F348" s="604"/>
      <c r="G348" s="605"/>
      <c r="I348" s="41" t="s">
        <v>3343</v>
      </c>
      <c r="J348" s="4"/>
      <c r="K348" s="46"/>
      <c r="L348" s="706" t="s">
        <v>584</v>
      </c>
      <c r="M348" s="43"/>
      <c r="N348" s="44"/>
      <c r="O348" s="44"/>
      <c r="Z348" s="543"/>
      <c r="BJ348" s="573" t="s">
        <v>4670</v>
      </c>
    </row>
    <row r="349" spans="1:62" ht="15" thickBot="1" x14ac:dyDescent="0.4">
      <c r="A349" s="403">
        <v>6</v>
      </c>
      <c r="B349" s="608" t="s">
        <v>3343</v>
      </c>
      <c r="C349" s="604"/>
      <c r="D349" s="604"/>
      <c r="E349" s="604"/>
      <c r="F349" s="604"/>
      <c r="G349" s="605"/>
      <c r="I349" s="32"/>
      <c r="J349" s="4"/>
      <c r="K349" s="46"/>
      <c r="L349" s="706"/>
      <c r="M349" s="43"/>
      <c r="N349" s="44"/>
      <c r="O349" s="44"/>
      <c r="Y349" s="58"/>
      <c r="Z349" s="566"/>
      <c r="BJ349" s="573" t="s">
        <v>4670</v>
      </c>
    </row>
    <row r="350" spans="1:62" ht="15.5" thickTop="1" thickBot="1" x14ac:dyDescent="0.4">
      <c r="A350" s="403">
        <v>6</v>
      </c>
      <c r="B350" s="608">
        <v>602.1</v>
      </c>
      <c r="C350" s="604"/>
      <c r="D350" s="604"/>
      <c r="E350" s="604"/>
      <c r="F350" s="604"/>
      <c r="G350" s="403" t="s">
        <v>4326</v>
      </c>
      <c r="H350" s="403" t="s">
        <v>4323</v>
      </c>
      <c r="I350" s="123">
        <v>602.1</v>
      </c>
      <c r="J350" s="124"/>
      <c r="K350" s="125"/>
      <c r="L350" s="81" t="s">
        <v>585</v>
      </c>
      <c r="M350" s="199"/>
      <c r="N350" s="195"/>
      <c r="O350" s="195"/>
      <c r="P350" s="62"/>
      <c r="Q350" s="62"/>
      <c r="R350" s="62"/>
      <c r="S350" s="62"/>
      <c r="T350" s="62"/>
      <c r="U350" s="62"/>
      <c r="V350" s="62"/>
      <c r="W350" s="62"/>
      <c r="X350" s="62"/>
      <c r="Y350" s="58"/>
      <c r="Z350" s="566"/>
      <c r="BJ350" s="573" t="s">
        <v>4670</v>
      </c>
    </row>
    <row r="351" spans="1:62" ht="15" thickTop="1" x14ac:dyDescent="0.35">
      <c r="A351" s="403">
        <v>6</v>
      </c>
      <c r="B351" s="608" t="s">
        <v>586</v>
      </c>
      <c r="C351" s="604"/>
      <c r="D351" s="604"/>
      <c r="E351" s="604"/>
      <c r="F351" s="604"/>
      <c r="G351" s="403" t="s">
        <v>4326</v>
      </c>
      <c r="H351" s="403" t="s">
        <v>4324</v>
      </c>
      <c r="I351" s="123" t="s">
        <v>586</v>
      </c>
      <c r="J351" s="124"/>
      <c r="K351" s="125"/>
      <c r="L351" s="81" t="s">
        <v>587</v>
      </c>
      <c r="M351" s="199"/>
      <c r="N351" s="195"/>
      <c r="O351" s="195"/>
      <c r="P351" s="62"/>
      <c r="Q351" s="62"/>
      <c r="R351" s="62"/>
      <c r="S351" s="62"/>
      <c r="T351" s="62"/>
      <c r="U351" s="62"/>
      <c r="V351" s="62"/>
      <c r="W351" s="62"/>
      <c r="X351" s="62"/>
      <c r="Z351" s="543"/>
      <c r="BJ351" s="573" t="s">
        <v>4670</v>
      </c>
    </row>
    <row r="352" spans="1:62" x14ac:dyDescent="0.35">
      <c r="A352" s="403">
        <v>6</v>
      </c>
      <c r="B352" s="608" t="s">
        <v>588</v>
      </c>
      <c r="C352" s="608"/>
      <c r="D352" s="604"/>
      <c r="E352" s="604"/>
      <c r="F352" s="604"/>
      <c r="G352" s="403" t="s">
        <v>4326</v>
      </c>
      <c r="H352" s="403" t="s">
        <v>4324</v>
      </c>
      <c r="I352" s="32" t="s">
        <v>588</v>
      </c>
      <c r="J352" s="4"/>
      <c r="K352" s="46"/>
      <c r="L352" s="706" t="s">
        <v>589</v>
      </c>
      <c r="M352" s="740" t="str">
        <f>IF(R352,"Mandatory","N/A")</f>
        <v>N/A</v>
      </c>
      <c r="N352" s="44"/>
      <c r="O352" s="44"/>
      <c r="P352" t="b">
        <v>1</v>
      </c>
      <c r="Q352" t="b">
        <v>0</v>
      </c>
      <c r="R352" t="b">
        <f>S352</f>
        <v>0</v>
      </c>
      <c r="S352" t="b">
        <f>IF(OR(AZ284=2,AZ284=3),FALSE,TRUE)</f>
        <v>0</v>
      </c>
      <c r="T352" t="b">
        <f>AND(NOT(S352),W352="Met")</f>
        <v>0</v>
      </c>
      <c r="U352" t="str">
        <f>SUBSTITUTE(SUBSTITUTE(SUBSTITUTE("dd"&amp;B352&amp;C352&amp;D352&amp;E352&amp;F352,".","_"),"(","_"),")","")</f>
        <v>dd602_1_1_1</v>
      </c>
      <c r="W352" s="9"/>
      <c r="X352" s="688"/>
      <c r="Y352" s="891" t="str">
        <f>IF(LEN('Ch6'!X97)=0,"None",'Ch6'!X97)</f>
        <v>None</v>
      </c>
      <c r="Z352" s="892"/>
      <c r="AC352" t="b">
        <f>OR(AD352:AE352)</f>
        <v>0</v>
      </c>
      <c r="AD352" t="b">
        <f>T352</f>
        <v>0</v>
      </c>
      <c r="AE352" t="b">
        <f>OR(AND(R352,NOT(W352="Met"),NOT(W352="N/A")),AND(W352="N/A",ISBLANK(X352)))</f>
        <v>0</v>
      </c>
      <c r="AF352" t="b">
        <f>AND(AE352,NOT(Q352))</f>
        <v>0</v>
      </c>
      <c r="AL352" t="str">
        <f>SUBSTITUTE(SUBSTITUTE(SUBSTITUTE("vpa"&amp;$B352&amp;$C352&amp;$D352&amp;$E352&amp;$F352,".","_"),"(","_"),")","")</f>
        <v>vpa602_1_1_1</v>
      </c>
      <c r="AM352" t="str">
        <f>M352</f>
        <v>N/A</v>
      </c>
      <c r="AP352" t="str">
        <f>SUBSTITUTE(SUBSTITUTE(SUBSTITUTE("vch"&amp;$B352&amp;$C352&amp;$D352&amp;$E352&amp;$F352,".","_"),"(","_"),")","")</f>
        <v>vch602_1_1_1</v>
      </c>
      <c r="AQ352">
        <f>W352</f>
        <v>0</v>
      </c>
      <c r="AR352" t="str">
        <f>SUBSTITUTE(SUBSTITUTE(SUBSTITUTE("vnt"&amp;$B352&amp;$C352&amp;$D352&amp;$E352&amp;$F352,".","_"),"(","_"),")","")</f>
        <v>vnt602_1_1_1</v>
      </c>
      <c r="AS352">
        <f>X352</f>
        <v>0</v>
      </c>
      <c r="BJ352" s="573" t="s">
        <v>4670</v>
      </c>
    </row>
    <row r="353" spans="1:62" x14ac:dyDescent="0.35">
      <c r="A353" s="403">
        <v>6</v>
      </c>
      <c r="B353" s="608" t="s">
        <v>588</v>
      </c>
      <c r="C353" s="608"/>
      <c r="D353" s="604"/>
      <c r="E353" s="604"/>
      <c r="F353" s="604"/>
      <c r="G353" s="403" t="s">
        <v>4326</v>
      </c>
      <c r="H353" s="403" t="s">
        <v>4324</v>
      </c>
      <c r="I353" s="32"/>
      <c r="J353" s="4"/>
      <c r="K353" s="46"/>
      <c r="L353" s="706"/>
      <c r="M353" s="740"/>
      <c r="N353" s="44"/>
      <c r="O353" s="44"/>
      <c r="X353" s="688"/>
      <c r="Y353" s="891"/>
      <c r="Z353" s="892"/>
      <c r="BJ353" s="573" t="s">
        <v>4670</v>
      </c>
    </row>
    <row r="354" spans="1:62" x14ac:dyDescent="0.35">
      <c r="A354" s="403">
        <v>6</v>
      </c>
      <c r="B354" s="608" t="s">
        <v>588</v>
      </c>
      <c r="C354" s="608"/>
      <c r="D354" s="604"/>
      <c r="E354" s="604"/>
      <c r="F354" s="604"/>
      <c r="G354" s="403" t="s">
        <v>4326</v>
      </c>
      <c r="H354" s="403" t="s">
        <v>4324</v>
      </c>
      <c r="I354" s="161"/>
      <c r="J354" s="155"/>
      <c r="K354" s="116"/>
      <c r="L354" s="739"/>
      <c r="M354" s="741"/>
      <c r="N354" s="44"/>
      <c r="O354" s="44"/>
      <c r="X354" s="688"/>
      <c r="Y354" s="891"/>
      <c r="Z354" s="892"/>
      <c r="BJ354" s="573" t="s">
        <v>4670</v>
      </c>
    </row>
    <row r="355" spans="1:62" x14ac:dyDescent="0.35">
      <c r="A355" s="403">
        <v>6</v>
      </c>
      <c r="B355" s="608" t="s">
        <v>590</v>
      </c>
      <c r="C355" s="608"/>
      <c r="D355" s="604"/>
      <c r="E355" s="604"/>
      <c r="F355" s="604"/>
      <c r="G355" s="403" t="str">
        <f>IF(N355&gt;0,"P","")</f>
        <v/>
      </c>
      <c r="H355" s="403" t="s">
        <v>4324</v>
      </c>
      <c r="I355" s="32" t="s">
        <v>590</v>
      </c>
      <c r="J355" s="4"/>
      <c r="K355" s="46"/>
      <c r="L355" s="706" t="s">
        <v>591</v>
      </c>
      <c r="M355" s="690">
        <v>3</v>
      </c>
      <c r="N355" s="834">
        <f>'Ch6'!O100</f>
        <v>0</v>
      </c>
      <c r="O355" s="834">
        <f>M355*S355*W355</f>
        <v>0</v>
      </c>
      <c r="P355" t="b">
        <v>1</v>
      </c>
      <c r="Q355" t="b">
        <v>0</v>
      </c>
      <c r="R355" t="b">
        <v>0</v>
      </c>
      <c r="S355" t="b">
        <v>1</v>
      </c>
      <c r="T355" t="b">
        <v>0</v>
      </c>
      <c r="W355" s="17"/>
      <c r="X355" s="688"/>
      <c r="Y355" s="891" t="str">
        <f>IF(LEN('Ch6'!X100)=0,"None",'Ch6'!X100)</f>
        <v>None</v>
      </c>
      <c r="Z355" s="892"/>
      <c r="AL355" t="str">
        <f>SUBSTITUTE(SUBSTITUTE(SUBSTITUTE("vpa"&amp;$B355&amp;$C355&amp;$D355&amp;$E355&amp;$F355,".","_"),"(","_"),")","")</f>
        <v xml:space="preserve">vpa602_1_1_2 </v>
      </c>
      <c r="AM355">
        <f>M355</f>
        <v>3</v>
      </c>
      <c r="AN355" t="str">
        <f>SUBSTITUTE(SUBSTITUTE(SUBSTITUTE("vpc"&amp;$B355&amp;$C355&amp;$D355&amp;$E355&amp;$F355,".","_"),"(","_"),")","")</f>
        <v xml:space="preserve">vpc602_1_1_2 </v>
      </c>
      <c r="AO355">
        <f>O355</f>
        <v>0</v>
      </c>
      <c r="AP355" t="str">
        <f>SUBSTITUTE(SUBSTITUTE(SUBSTITUTE("vch"&amp;$B355&amp;$C355&amp;$D355&amp;$E355&amp;$F355,".","_"),"(","_"),")","")</f>
        <v xml:space="preserve">vch602_1_1_2 </v>
      </c>
      <c r="AQ355">
        <f>W355</f>
        <v>0</v>
      </c>
      <c r="AR355" t="str">
        <f>SUBSTITUTE(SUBSTITUTE(SUBSTITUTE("vnt"&amp;$B355&amp;$C355&amp;$D355&amp;$E355&amp;$F355,".","_"),"(","_"),")","")</f>
        <v xml:space="preserve">vnt602_1_1_2 </v>
      </c>
      <c r="AS355">
        <f>X355</f>
        <v>0</v>
      </c>
      <c r="BJ355" s="573" t="s">
        <v>4670</v>
      </c>
    </row>
    <row r="356" spans="1:62" ht="15" thickBot="1" x14ac:dyDescent="0.4">
      <c r="A356" s="403">
        <v>6</v>
      </c>
      <c r="B356" s="608" t="s">
        <v>590</v>
      </c>
      <c r="C356" s="608"/>
      <c r="D356" s="604"/>
      <c r="E356" s="604"/>
      <c r="F356" s="604"/>
      <c r="G356" s="403" t="str">
        <f t="shared" ref="G356" si="117">G355</f>
        <v/>
      </c>
      <c r="H356" s="403" t="s">
        <v>4324</v>
      </c>
      <c r="I356" s="32"/>
      <c r="J356" s="4"/>
      <c r="K356" s="46"/>
      <c r="L356" s="706"/>
      <c r="M356" s="690"/>
      <c r="N356" s="938"/>
      <c r="O356" s="834"/>
      <c r="X356" s="698"/>
      <c r="Y356" s="905"/>
      <c r="Z356" s="895"/>
      <c r="BJ356" s="573" t="s">
        <v>4670</v>
      </c>
    </row>
    <row r="357" spans="1:62" ht="15" thickTop="1" x14ac:dyDescent="0.35">
      <c r="A357" s="403">
        <v>6</v>
      </c>
      <c r="B357" s="604" t="s">
        <v>592</v>
      </c>
      <c r="C357" s="604"/>
      <c r="D357" s="604"/>
      <c r="E357" s="604"/>
      <c r="F357" s="604"/>
      <c r="G357" s="403" t="str">
        <f>IF(N357&gt;0,"P","")</f>
        <v>P</v>
      </c>
      <c r="H357" s="403" t="s">
        <v>4324</v>
      </c>
      <c r="I357" s="123" t="s">
        <v>3344</v>
      </c>
      <c r="J357" s="124"/>
      <c r="K357" s="125"/>
      <c r="L357" s="711" t="s">
        <v>593</v>
      </c>
      <c r="M357" s="692">
        <v>4</v>
      </c>
      <c r="N357" s="940">
        <f>'Ch6'!O102</f>
        <v>4</v>
      </c>
      <c r="O357" s="940">
        <f>M357*OR(S359*W359,S360*W360)</f>
        <v>0</v>
      </c>
      <c r="P357" s="62"/>
      <c r="Q357" s="62"/>
      <c r="R357" s="62"/>
      <c r="S357" s="62"/>
      <c r="T357" s="62"/>
      <c r="U357" s="62"/>
      <c r="V357" s="62"/>
      <c r="W357" s="62"/>
      <c r="X357" s="687"/>
      <c r="Y357" s="904" t="str">
        <f>IF(LEN('Ch6'!X102)=0,"None",'Ch6'!X102)</f>
        <v>None</v>
      </c>
      <c r="Z357" s="896"/>
      <c r="AL357" t="str">
        <f>SUBSTITUTE(SUBSTITUTE(SUBSTITUTE("vpa"&amp;$B357&amp;$C357&amp;$D357&amp;$E357&amp;$F357,".","_"),"(","_"),")","")</f>
        <v xml:space="preserve">vpa602_1_2 </v>
      </c>
      <c r="AM357">
        <f>M357</f>
        <v>4</v>
      </c>
      <c r="AN357" t="str">
        <f>SUBSTITUTE(SUBSTITUTE(SUBSTITUTE("vpc"&amp;$B357&amp;$C357&amp;$D357&amp;$E357&amp;$F357,".","_"),"(","_"),")","")</f>
        <v xml:space="preserve">vpc602_1_2 </v>
      </c>
      <c r="AO357">
        <f>O357</f>
        <v>0</v>
      </c>
      <c r="AR357" t="str">
        <f>SUBSTITUTE(SUBSTITUTE(SUBSTITUTE("vnt"&amp;$B357&amp;$C357&amp;$D357&amp;$E357&amp;$F357,".","_"),"(","_"),")","")</f>
        <v xml:space="preserve">vnt602_1_2 </v>
      </c>
      <c r="AS357">
        <f>X357</f>
        <v>0</v>
      </c>
      <c r="BJ357" s="573" t="s">
        <v>4670</v>
      </c>
    </row>
    <row r="358" spans="1:62" x14ac:dyDescent="0.35">
      <c r="A358" s="403">
        <v>6</v>
      </c>
      <c r="B358" s="604" t="s">
        <v>592</v>
      </c>
      <c r="C358" s="604"/>
      <c r="D358" s="604"/>
      <c r="E358" s="604"/>
      <c r="F358" s="604"/>
      <c r="G358" s="403" t="str">
        <f t="shared" ref="G358:G360" si="118">G357</f>
        <v>P</v>
      </c>
      <c r="H358" s="403" t="s">
        <v>4324</v>
      </c>
      <c r="I358" s="32"/>
      <c r="J358" s="4"/>
      <c r="K358" s="46"/>
      <c r="L358" s="706"/>
      <c r="M358" s="690"/>
      <c r="N358" s="834"/>
      <c r="O358" s="834"/>
      <c r="X358" s="688"/>
      <c r="Y358" s="891"/>
      <c r="Z358" s="892"/>
      <c r="BJ358" s="573" t="s">
        <v>4670</v>
      </c>
    </row>
    <row r="359" spans="1:62" x14ac:dyDescent="0.35">
      <c r="A359" s="403">
        <v>6</v>
      </c>
      <c r="B359" s="604" t="s">
        <v>592</v>
      </c>
      <c r="C359" s="604"/>
      <c r="D359" s="604"/>
      <c r="E359" s="604" t="s">
        <v>270</v>
      </c>
      <c r="F359" s="604"/>
      <c r="G359" s="403" t="str">
        <f t="shared" si="118"/>
        <v>P</v>
      </c>
      <c r="H359" s="403" t="s">
        <v>4324</v>
      </c>
      <c r="I359" s="32"/>
      <c r="J359" s="148" t="s">
        <v>270</v>
      </c>
      <c r="K359" s="116"/>
      <c r="L359" s="116" t="s">
        <v>594</v>
      </c>
      <c r="M359" s="690"/>
      <c r="N359" s="834"/>
      <c r="O359" s="834"/>
      <c r="P359" t="b">
        <v>1</v>
      </c>
      <c r="Q359" t="b">
        <v>0</v>
      </c>
      <c r="R359" t="b">
        <v>0</v>
      </c>
      <c r="S359" t="b">
        <f>NOT(AZ284=4)</f>
        <v>1</v>
      </c>
      <c r="T359" t="b">
        <f>IF(AND(NOT(S359),W359=TRUE),TRUE,FALSE)</f>
        <v>0</v>
      </c>
      <c r="W359" s="17"/>
      <c r="X359" s="688"/>
      <c r="Y359" s="891"/>
      <c r="Z359" s="892"/>
      <c r="AC359" t="b">
        <f>OR(AD359:AE359)</f>
        <v>0</v>
      </c>
      <c r="AD359" t="b">
        <f>T359</f>
        <v>0</v>
      </c>
      <c r="AP359" t="str">
        <f t="shared" ref="AP359:AP360" si="119">SUBSTITUTE(SUBSTITUTE(SUBSTITUTE("vch"&amp;$B359&amp;$C359&amp;$D359&amp;$E359&amp;$F359,".","_"),"(","_"),")","")</f>
        <v>vch602_1_2 _1</v>
      </c>
      <c r="AQ359">
        <f>W359</f>
        <v>0</v>
      </c>
      <c r="BJ359" s="573" t="s">
        <v>4670</v>
      </c>
    </row>
    <row r="360" spans="1:62" ht="15" thickBot="1" x14ac:dyDescent="0.4">
      <c r="A360" s="403">
        <v>6</v>
      </c>
      <c r="B360" s="604" t="s">
        <v>592</v>
      </c>
      <c r="C360" s="604"/>
      <c r="D360" s="604"/>
      <c r="E360" s="604" t="s">
        <v>272</v>
      </c>
      <c r="F360" s="604"/>
      <c r="G360" s="403" t="str">
        <f t="shared" si="118"/>
        <v>P</v>
      </c>
      <c r="H360" s="403" t="s">
        <v>4324</v>
      </c>
      <c r="I360" s="132"/>
      <c r="J360" s="133" t="s">
        <v>272</v>
      </c>
      <c r="K360" s="56"/>
      <c r="L360" s="56" t="s">
        <v>595</v>
      </c>
      <c r="M360" s="693"/>
      <c r="N360" s="938"/>
      <c r="O360" s="938"/>
      <c r="P360" s="58"/>
      <c r="Q360" s="58"/>
      <c r="R360" s="58" t="b">
        <v>0</v>
      </c>
      <c r="S360" s="58" t="b">
        <f>NOT(AZ284=4)</f>
        <v>1</v>
      </c>
      <c r="T360" s="58" t="b">
        <f>IF(AND(NOT(S360),W360=TRUE),TRUE,FALSE)</f>
        <v>0</v>
      </c>
      <c r="U360" s="58"/>
      <c r="V360" s="58"/>
      <c r="W360" s="17"/>
      <c r="X360" s="689"/>
      <c r="Y360" s="905"/>
      <c r="Z360" s="895"/>
      <c r="AC360" t="b">
        <f>OR(AD360:AE360)</f>
        <v>0</v>
      </c>
      <c r="AD360" t="b">
        <f>T360</f>
        <v>0</v>
      </c>
      <c r="AP360" t="str">
        <f t="shared" si="119"/>
        <v>vch602_1_2 _2</v>
      </c>
      <c r="AQ360">
        <f>W360</f>
        <v>0</v>
      </c>
      <c r="BJ360" s="573" t="s">
        <v>4670</v>
      </c>
    </row>
    <row r="361" spans="1:62" ht="15" thickTop="1" x14ac:dyDescent="0.35">
      <c r="A361" s="403">
        <v>6</v>
      </c>
      <c r="B361" s="608" t="s">
        <v>596</v>
      </c>
      <c r="C361" s="604"/>
      <c r="D361" s="604"/>
      <c r="E361" s="604"/>
      <c r="F361" s="604"/>
      <c r="G361" s="403" t="s">
        <v>4326</v>
      </c>
      <c r="H361" s="403" t="s">
        <v>4324</v>
      </c>
      <c r="I361" s="123" t="s">
        <v>596</v>
      </c>
      <c r="J361" s="124"/>
      <c r="K361" s="125"/>
      <c r="L361" s="81" t="s">
        <v>597</v>
      </c>
      <c r="M361" s="199"/>
      <c r="N361" s="195"/>
      <c r="O361" s="195"/>
      <c r="P361" s="62"/>
      <c r="Q361" s="62"/>
      <c r="R361" s="62"/>
      <c r="S361" s="62"/>
      <c r="T361" s="62"/>
      <c r="U361" s="62"/>
      <c r="V361" s="62"/>
      <c r="W361" s="62"/>
      <c r="X361" s="62"/>
      <c r="Z361" s="543"/>
      <c r="BJ361" s="573" t="s">
        <v>4670</v>
      </c>
    </row>
    <row r="362" spans="1:62" x14ac:dyDescent="0.35">
      <c r="A362" s="403">
        <v>6</v>
      </c>
      <c r="B362" s="608" t="s">
        <v>598</v>
      </c>
      <c r="C362" s="608"/>
      <c r="D362" s="604"/>
      <c r="E362" s="604"/>
      <c r="F362" s="604"/>
      <c r="G362" s="403" t="s">
        <v>4326</v>
      </c>
      <c r="H362" s="403" t="s">
        <v>4324</v>
      </c>
      <c r="I362" s="32" t="s">
        <v>598</v>
      </c>
      <c r="J362" s="4"/>
      <c r="K362" s="46"/>
      <c r="L362" s="706" t="s">
        <v>599</v>
      </c>
      <c r="M362" s="740" t="str">
        <f>IF(R362,"Mandatory","N/A")</f>
        <v>N/A</v>
      </c>
      <c r="N362" s="44"/>
      <c r="O362" s="44"/>
      <c r="P362" t="b">
        <v>1</v>
      </c>
      <c r="Q362" t="b">
        <v>0</v>
      </c>
      <c r="R362" t="b">
        <f>S362</f>
        <v>0</v>
      </c>
      <c r="S362" t="b">
        <f>OR(AZ284=1,AZ284=5,AZ284=6)</f>
        <v>0</v>
      </c>
      <c r="T362" t="b">
        <f>IF(AND(NOT(S362),W362=TRUE),TRUE,FALSE)</f>
        <v>0</v>
      </c>
      <c r="W362" s="17"/>
      <c r="X362" s="688"/>
      <c r="Y362" s="891" t="str">
        <f>IF(LEN('Ch6'!X107)=0,"None",'Ch6'!X107)</f>
        <v>None</v>
      </c>
      <c r="Z362" s="892"/>
      <c r="AC362" t="b">
        <f>OR(AD362:AE362)</f>
        <v>0</v>
      </c>
      <c r="AD362" t="b">
        <f>T362</f>
        <v>0</v>
      </c>
      <c r="AE362" t="b">
        <f>AND(R362,NOT(W362))</f>
        <v>0</v>
      </c>
      <c r="AF362" t="b">
        <f>AND(AE362,NOT(Q362))</f>
        <v>0</v>
      </c>
      <c r="AL362" t="str">
        <f>SUBSTITUTE(SUBSTITUTE(SUBSTITUTE("vpa"&amp;$B362&amp;$C362&amp;$D362&amp;$E362&amp;$F362,".","_"),"(","_"),")","")</f>
        <v>vpa602_1_3_1</v>
      </c>
      <c r="AM362" t="str">
        <f>M362</f>
        <v>N/A</v>
      </c>
      <c r="AP362" t="str">
        <f>SUBSTITUTE(SUBSTITUTE(SUBSTITUTE("vch"&amp;$B362&amp;$C362&amp;$D362&amp;$E362&amp;$F362,".","_"),"(","_"),")","")</f>
        <v>vch602_1_3_1</v>
      </c>
      <c r="AQ362">
        <f>W362</f>
        <v>0</v>
      </c>
      <c r="AR362" t="str">
        <f>SUBSTITUTE(SUBSTITUTE(SUBSTITUTE("vnt"&amp;$B362&amp;$C362&amp;$D362&amp;$E362&amp;$F362,".","_"),"(","_"),")","")</f>
        <v>vnt602_1_3_1</v>
      </c>
      <c r="AS362">
        <f>X362</f>
        <v>0</v>
      </c>
      <c r="BJ362" s="573" t="s">
        <v>4670</v>
      </c>
    </row>
    <row r="363" spans="1:62" x14ac:dyDescent="0.35">
      <c r="A363" s="403">
        <v>6</v>
      </c>
      <c r="B363" s="608" t="s">
        <v>598</v>
      </c>
      <c r="C363" s="608"/>
      <c r="D363" s="604"/>
      <c r="E363" s="604"/>
      <c r="F363" s="604"/>
      <c r="G363" s="403" t="s">
        <v>4326</v>
      </c>
      <c r="H363" s="403" t="s">
        <v>4324</v>
      </c>
      <c r="I363" s="161"/>
      <c r="J363" s="155"/>
      <c r="K363" s="116"/>
      <c r="L363" s="739"/>
      <c r="M363" s="741"/>
      <c r="N363" s="44"/>
      <c r="O363" s="44"/>
      <c r="X363" s="688"/>
      <c r="Y363" s="891"/>
      <c r="Z363" s="892"/>
      <c r="BJ363" s="573" t="s">
        <v>4670</v>
      </c>
    </row>
    <row r="364" spans="1:62" x14ac:dyDescent="0.35">
      <c r="A364" s="403">
        <v>6</v>
      </c>
      <c r="B364" s="609" t="s">
        <v>600</v>
      </c>
      <c r="C364" s="609"/>
      <c r="D364" s="604"/>
      <c r="E364" s="604"/>
      <c r="F364" s="604"/>
      <c r="G364" s="403" t="str">
        <f>IF(N364&gt;0,"P","")</f>
        <v>P</v>
      </c>
      <c r="H364" s="403" t="s">
        <v>4324</v>
      </c>
      <c r="I364" s="32" t="s">
        <v>600</v>
      </c>
      <c r="J364" s="4"/>
      <c r="K364" s="46"/>
      <c r="L364" s="706" t="s">
        <v>601</v>
      </c>
      <c r="M364" s="690">
        <v>4</v>
      </c>
      <c r="N364" s="834">
        <f>'Ch6'!O109</f>
        <v>4</v>
      </c>
      <c r="O364" s="834">
        <f>M364*S364*W364</f>
        <v>4</v>
      </c>
      <c r="P364" t="b">
        <v>1</v>
      </c>
      <c r="Q364" t="b">
        <v>0</v>
      </c>
      <c r="R364" t="b">
        <v>0</v>
      </c>
      <c r="S364" t="b">
        <v>1</v>
      </c>
      <c r="T364" t="b">
        <v>0</v>
      </c>
      <c r="W364" s="17" t="b">
        <v>1</v>
      </c>
      <c r="X364" s="688"/>
      <c r="Y364" s="891" t="str">
        <f>IF(LEN('Ch6'!X109)=0,"None",'Ch6'!X109)</f>
        <v>None</v>
      </c>
      <c r="Z364" s="892"/>
      <c r="AL364" t="str">
        <f>SUBSTITUTE(SUBSTITUTE(SUBSTITUTE("vpa"&amp;$B364&amp;$C364&amp;$D364&amp;$E364&amp;$F364,".","_"),"(","_"),")","")</f>
        <v>vpa602_1_3_2</v>
      </c>
      <c r="AM364">
        <f>M364</f>
        <v>4</v>
      </c>
      <c r="AN364" t="str">
        <f>SUBSTITUTE(SUBSTITUTE(SUBSTITUTE("vpc"&amp;$B364&amp;$C364&amp;$D364&amp;$E364&amp;$F364,".","_"),"(","_"),")","")</f>
        <v>vpc602_1_3_2</v>
      </c>
      <c r="AO364">
        <f>O364</f>
        <v>4</v>
      </c>
      <c r="AP364" t="str">
        <f>SUBSTITUTE(SUBSTITUTE(SUBSTITUTE("vch"&amp;$B364&amp;$C364&amp;$D364&amp;$E364&amp;$F364,".","_"),"(","_"),")","")</f>
        <v>vch602_1_3_2</v>
      </c>
      <c r="AQ364" t="b">
        <f>W364</f>
        <v>1</v>
      </c>
      <c r="AR364" t="str">
        <f>SUBSTITUTE(SUBSTITUTE(SUBSTITUTE("vnt"&amp;$B364&amp;$C364&amp;$D364&amp;$E364&amp;$F364,".","_"),"(","_"),")","")</f>
        <v>vnt602_1_3_2</v>
      </c>
      <c r="AS364">
        <f>X364</f>
        <v>0</v>
      </c>
      <c r="BJ364" s="573" t="s">
        <v>4670</v>
      </c>
    </row>
    <row r="365" spans="1:62" ht="15" thickBot="1" x14ac:dyDescent="0.4">
      <c r="A365" s="403">
        <v>6</v>
      </c>
      <c r="B365" s="609" t="s">
        <v>600</v>
      </c>
      <c r="C365" s="609"/>
      <c r="D365" s="604"/>
      <c r="E365" s="604"/>
      <c r="F365" s="604"/>
      <c r="G365" s="403" t="str">
        <f t="shared" ref="G365" si="120">G364</f>
        <v>P</v>
      </c>
      <c r="H365" s="403" t="s">
        <v>4324</v>
      </c>
      <c r="I365" s="32"/>
      <c r="J365" s="4"/>
      <c r="K365" s="46"/>
      <c r="L365" s="706"/>
      <c r="M365" s="690"/>
      <c r="N365" s="938"/>
      <c r="O365" s="834"/>
      <c r="X365" s="698"/>
      <c r="Y365" s="905"/>
      <c r="Z365" s="895"/>
      <c r="BJ365" s="573" t="s">
        <v>4670</v>
      </c>
    </row>
    <row r="366" spans="1:62" ht="15" thickTop="1" x14ac:dyDescent="0.35">
      <c r="A366" s="403">
        <v>6</v>
      </c>
      <c r="B366" s="608" t="s">
        <v>602</v>
      </c>
      <c r="C366" s="604"/>
      <c r="D366" s="604"/>
      <c r="E366" s="604"/>
      <c r="F366" s="604"/>
      <c r="G366" s="403" t="s">
        <v>4326</v>
      </c>
      <c r="H366" s="403" t="s">
        <v>4324</v>
      </c>
      <c r="I366" s="123" t="s">
        <v>602</v>
      </c>
      <c r="J366" s="124"/>
      <c r="K366" s="125"/>
      <c r="L366" s="81" t="s">
        <v>603</v>
      </c>
      <c r="M366" s="199"/>
      <c r="N366" s="195"/>
      <c r="O366" s="195"/>
      <c r="P366" s="62"/>
      <c r="Q366" s="62"/>
      <c r="R366" s="62"/>
      <c r="S366" s="62"/>
      <c r="T366" s="62"/>
      <c r="U366" s="62"/>
      <c r="V366" s="62"/>
      <c r="W366" s="62"/>
      <c r="X366" s="62"/>
      <c r="Z366" s="543"/>
      <c r="BJ366" s="573" t="s">
        <v>4670</v>
      </c>
    </row>
    <row r="367" spans="1:62" x14ac:dyDescent="0.35">
      <c r="A367" s="403">
        <v>6</v>
      </c>
      <c r="B367" s="609" t="s">
        <v>604</v>
      </c>
      <c r="C367" s="609"/>
      <c r="D367" s="604"/>
      <c r="E367" s="604"/>
      <c r="F367" s="604"/>
      <c r="G367" s="403" t="s">
        <v>4326</v>
      </c>
      <c r="H367" s="403" t="s">
        <v>4324</v>
      </c>
      <c r="I367" s="32" t="s">
        <v>604</v>
      </c>
      <c r="J367" s="4"/>
      <c r="K367" s="46"/>
      <c r="L367" s="706" t="s">
        <v>605</v>
      </c>
      <c r="M367" s="43"/>
      <c r="N367" s="44"/>
      <c r="O367" s="44"/>
      <c r="Z367" s="543"/>
      <c r="BJ367" s="573" t="s">
        <v>4670</v>
      </c>
    </row>
    <row r="368" spans="1:62" x14ac:dyDescent="0.35">
      <c r="A368" s="403">
        <v>6</v>
      </c>
      <c r="B368" s="609" t="s">
        <v>604</v>
      </c>
      <c r="C368" s="609"/>
      <c r="D368" s="604"/>
      <c r="E368" s="604"/>
      <c r="F368" s="604"/>
      <c r="G368" s="403" t="s">
        <v>4326</v>
      </c>
      <c r="H368" s="403" t="s">
        <v>4324</v>
      </c>
      <c r="I368" s="32"/>
      <c r="J368" s="4"/>
      <c r="K368" s="46"/>
      <c r="L368" s="706"/>
      <c r="M368" s="43"/>
      <c r="N368" s="44"/>
      <c r="O368" s="44"/>
      <c r="Z368" s="543"/>
      <c r="BJ368" s="573" t="s">
        <v>4670</v>
      </c>
    </row>
    <row r="369" spans="1:62" x14ac:dyDescent="0.35">
      <c r="A369" s="403">
        <v>6</v>
      </c>
      <c r="B369" s="609" t="s">
        <v>604</v>
      </c>
      <c r="C369" s="609"/>
      <c r="D369" s="604"/>
      <c r="E369" s="604"/>
      <c r="F369" s="604"/>
      <c r="G369" s="403" t="s">
        <v>4326</v>
      </c>
      <c r="H369" s="403" t="s">
        <v>4324</v>
      </c>
      <c r="I369" s="32"/>
      <c r="J369" s="4"/>
      <c r="K369" s="46"/>
      <c r="L369" s="706"/>
      <c r="M369" s="43"/>
      <c r="N369" s="44"/>
      <c r="O369" s="44"/>
      <c r="Z369" s="543"/>
      <c r="BJ369" s="573" t="s">
        <v>4670</v>
      </c>
    </row>
    <row r="370" spans="1:62" x14ac:dyDescent="0.35">
      <c r="A370" s="403">
        <v>6</v>
      </c>
      <c r="B370" s="609" t="s">
        <v>604</v>
      </c>
      <c r="C370" s="609"/>
      <c r="D370" s="604"/>
      <c r="E370" s="604" t="s">
        <v>270</v>
      </c>
      <c r="F370" s="604"/>
      <c r="G370" s="403" t="str">
        <f>IF(N370&gt;0,"P","")</f>
        <v/>
      </c>
      <c r="H370" s="403" t="s">
        <v>4324</v>
      </c>
      <c r="I370" s="32"/>
      <c r="J370" s="19" t="s">
        <v>270</v>
      </c>
      <c r="K370" s="46"/>
      <c r="L370" s="707" t="s">
        <v>606</v>
      </c>
      <c r="M370" s="690">
        <v>6</v>
      </c>
      <c r="N370" s="834">
        <f>'Ch6'!O115</f>
        <v>0</v>
      </c>
      <c r="O370" s="834">
        <f>M370*S370*W370</f>
        <v>0</v>
      </c>
      <c r="P370" t="b">
        <v>1</v>
      </c>
      <c r="Q370" t="b">
        <v>0</v>
      </c>
      <c r="R370" t="b">
        <v>0</v>
      </c>
      <c r="S370" t="b">
        <f>OR(AZ284=2,AZ284=7)</f>
        <v>0</v>
      </c>
      <c r="T370" t="b">
        <f>IF(AND(NOT(S370),W370=TRUE),TRUE,FALSE)</f>
        <v>0</v>
      </c>
      <c r="W370" s="17"/>
      <c r="X370" s="688"/>
      <c r="Y370" s="891" t="str">
        <f>IF(LEN('Ch6'!X115)=0,"None",'Ch6'!X115)</f>
        <v>None</v>
      </c>
      <c r="Z370" s="892"/>
      <c r="AC370" t="b">
        <f>OR(AD370:AE370)</f>
        <v>0</v>
      </c>
      <c r="AD370" t="b">
        <f>T370</f>
        <v>0</v>
      </c>
      <c r="AL370" t="str">
        <f>SUBSTITUTE(SUBSTITUTE(SUBSTITUTE("vpa"&amp;$B370&amp;$C370&amp;$D370&amp;$E370&amp;$F370,".","_"),"(","_"),")","")</f>
        <v>vpa602_1_4_1_1</v>
      </c>
      <c r="AM370">
        <f>M370</f>
        <v>6</v>
      </c>
      <c r="AN370" t="str">
        <f>SUBSTITUTE(SUBSTITUTE(SUBSTITUTE("vpc"&amp;$B370&amp;$C370&amp;$D370&amp;$E370&amp;$F370,".","_"),"(","_"),")","")</f>
        <v>vpc602_1_4_1_1</v>
      </c>
      <c r="AO370">
        <f>O370</f>
        <v>0</v>
      </c>
      <c r="AP370" t="str">
        <f>SUBSTITUTE(SUBSTITUTE(SUBSTITUTE("vch"&amp;$B370&amp;$C370&amp;$D370&amp;$E370&amp;$F370,".","_"),"(","_"),")","")</f>
        <v>vch602_1_4_1_1</v>
      </c>
      <c r="AQ370">
        <f>W370</f>
        <v>0</v>
      </c>
      <c r="AR370" t="str">
        <f>SUBSTITUTE(SUBSTITUTE(SUBSTITUTE("vnt"&amp;$B370&amp;$C370&amp;$D370&amp;$E370&amp;$F370,".","_"),"(","_"),")","")</f>
        <v>vnt602_1_4_1_1</v>
      </c>
      <c r="AS370">
        <f>X370</f>
        <v>0</v>
      </c>
      <c r="BJ370" s="573" t="s">
        <v>4670</v>
      </c>
    </row>
    <row r="371" spans="1:62" x14ac:dyDescent="0.35">
      <c r="A371" s="403">
        <v>6</v>
      </c>
      <c r="B371" s="609" t="s">
        <v>604</v>
      </c>
      <c r="C371" s="609"/>
      <c r="D371" s="604"/>
      <c r="E371" s="604" t="s">
        <v>270</v>
      </c>
      <c r="F371" s="604"/>
      <c r="G371" s="403" t="str">
        <f t="shared" ref="G371" si="121">G370</f>
        <v/>
      </c>
      <c r="H371" s="403" t="s">
        <v>4324</v>
      </c>
      <c r="I371" s="32"/>
      <c r="J371" s="155"/>
      <c r="K371" s="116"/>
      <c r="L371" s="709"/>
      <c r="M371" s="691"/>
      <c r="N371" s="886"/>
      <c r="O371" s="886"/>
      <c r="X371" s="688"/>
      <c r="Y371" s="891"/>
      <c r="Z371" s="892"/>
      <c r="BJ371" s="573" t="s">
        <v>4670</v>
      </c>
    </row>
    <row r="372" spans="1:62" x14ac:dyDescent="0.35">
      <c r="A372" s="403">
        <v>6</v>
      </c>
      <c r="B372" s="609" t="s">
        <v>604</v>
      </c>
      <c r="C372" s="609"/>
      <c r="D372" s="604"/>
      <c r="E372" s="604" t="s">
        <v>272</v>
      </c>
      <c r="F372" s="604"/>
      <c r="G372" s="403" t="s">
        <v>4326</v>
      </c>
      <c r="H372" s="403" t="s">
        <v>4324</v>
      </c>
      <c r="I372" s="161"/>
      <c r="J372" s="148" t="s">
        <v>272</v>
      </c>
      <c r="K372" s="116"/>
      <c r="L372" s="116" t="s">
        <v>607</v>
      </c>
      <c r="M372" s="555" t="str">
        <f>IF(R372,"Mandatory","N/A")</f>
        <v>N/A</v>
      </c>
      <c r="N372" s="44"/>
      <c r="O372" s="44"/>
      <c r="P372" t="b">
        <v>1</v>
      </c>
      <c r="Q372" t="b">
        <v>0</v>
      </c>
      <c r="R372" t="b">
        <f>S372</f>
        <v>0</v>
      </c>
      <c r="S372" t="b">
        <f>OR(AZ284=2,AZ284=7)</f>
        <v>0</v>
      </c>
      <c r="T372" t="b">
        <f>IF(AND(NOT(S372),LEN(W372)&gt;0),TRUE,FALSE)</f>
        <v>0</v>
      </c>
      <c r="U372" t="str">
        <f>SUBSTITUTE(SUBSTITUTE(SUBSTITUTE("dd"&amp;B372&amp;C372&amp;D372&amp;E372&amp;F372,".","_"),"(","_"),")","")</f>
        <v>dd602_1_4_1_2</v>
      </c>
      <c r="W372" s="9"/>
      <c r="X372" s="39"/>
      <c r="Y372" s="200" t="str">
        <f>IF(LEN('Ch6'!X117)=0,"None",'Ch6'!X117)</f>
        <v>None</v>
      </c>
      <c r="Z372" s="563"/>
      <c r="AC372" t="b">
        <f>OR(AD372:AE372)</f>
        <v>0</v>
      </c>
      <c r="AD372" t="b">
        <f>T372</f>
        <v>0</v>
      </c>
      <c r="AE372" t="b">
        <f>AND(R372,NOT(W372="Met"),NOT(W372="N/A"))</f>
        <v>0</v>
      </c>
      <c r="AF372" t="b">
        <f>AND(AE372,NOT(Q372))</f>
        <v>0</v>
      </c>
      <c r="AL372" t="str">
        <f>SUBSTITUTE(SUBSTITUTE(SUBSTITUTE("vpa"&amp;$B372&amp;$C372&amp;$D372&amp;$E372&amp;$F372,".","_"),"(","_"),")","")</f>
        <v>vpa602_1_4_1_2</v>
      </c>
      <c r="AM372" t="str">
        <f>M372</f>
        <v>N/A</v>
      </c>
      <c r="AP372" t="str">
        <f>SUBSTITUTE(SUBSTITUTE(SUBSTITUTE("vch"&amp;$B372&amp;$C372&amp;$D372&amp;$E372&amp;$F372,".","_"),"(","_"),")","")</f>
        <v>vch602_1_4_1_2</v>
      </c>
      <c r="AQ372">
        <f>W372</f>
        <v>0</v>
      </c>
      <c r="AR372" t="str">
        <f>SUBSTITUTE(SUBSTITUTE(SUBSTITUTE("vnt"&amp;$B372&amp;$C372&amp;$D372&amp;$E372&amp;$F372,".","_"),"(","_"),")","")</f>
        <v>vnt602_1_4_1_2</v>
      </c>
      <c r="AS372">
        <f>X372</f>
        <v>0</v>
      </c>
      <c r="BJ372" s="573" t="s">
        <v>4670</v>
      </c>
    </row>
    <row r="373" spans="1:62" x14ac:dyDescent="0.35">
      <c r="A373" s="403">
        <v>6</v>
      </c>
      <c r="B373" s="608" t="s">
        <v>608</v>
      </c>
      <c r="C373" s="604"/>
      <c r="D373" s="604"/>
      <c r="E373" s="604"/>
      <c r="F373" s="604"/>
      <c r="G373" s="403" t="s">
        <v>4326</v>
      </c>
      <c r="H373" s="403" t="s">
        <v>4324</v>
      </c>
      <c r="I373" s="32" t="s">
        <v>608</v>
      </c>
      <c r="J373" s="4"/>
      <c r="K373" s="46"/>
      <c r="L373" s="706" t="s">
        <v>609</v>
      </c>
      <c r="M373" s="43"/>
      <c r="N373" s="44"/>
      <c r="O373" s="44"/>
      <c r="Z373" s="543"/>
      <c r="BJ373" s="573" t="s">
        <v>4670</v>
      </c>
    </row>
    <row r="374" spans="1:62" x14ac:dyDescent="0.35">
      <c r="A374" s="403">
        <v>6</v>
      </c>
      <c r="B374" s="608" t="s">
        <v>608</v>
      </c>
      <c r="C374" s="604"/>
      <c r="D374" s="604"/>
      <c r="E374" s="604"/>
      <c r="F374" s="604"/>
      <c r="G374" s="403" t="s">
        <v>4326</v>
      </c>
      <c r="H374" s="403" t="s">
        <v>4324</v>
      </c>
      <c r="I374" s="32"/>
      <c r="J374" s="4"/>
      <c r="K374" s="46"/>
      <c r="L374" s="706"/>
      <c r="M374" s="43"/>
      <c r="N374" s="44"/>
      <c r="O374" s="44"/>
      <c r="Z374" s="543"/>
      <c r="BJ374" s="573" t="s">
        <v>4670</v>
      </c>
    </row>
    <row r="375" spans="1:62" x14ac:dyDescent="0.35">
      <c r="A375" s="403">
        <v>6</v>
      </c>
      <c r="B375" s="608" t="s">
        <v>608</v>
      </c>
      <c r="C375" s="604"/>
      <c r="D375" s="604"/>
      <c r="E375" s="604"/>
      <c r="F375" s="604"/>
      <c r="G375" s="403" t="s">
        <v>4326</v>
      </c>
      <c r="H375" s="403" t="s">
        <v>4324</v>
      </c>
      <c r="I375" s="32"/>
      <c r="J375" s="4"/>
      <c r="K375" s="46"/>
      <c r="L375" s="706"/>
      <c r="M375" s="43"/>
      <c r="N375" s="44"/>
      <c r="O375" s="44"/>
      <c r="Z375" s="543"/>
      <c r="BJ375" s="573" t="s">
        <v>4670</v>
      </c>
    </row>
    <row r="376" spans="1:62" x14ac:dyDescent="0.35">
      <c r="A376" s="403">
        <v>6</v>
      </c>
      <c r="B376" s="608" t="s">
        <v>608</v>
      </c>
      <c r="C376" s="604"/>
      <c r="D376" s="604"/>
      <c r="E376" s="604" t="s">
        <v>270</v>
      </c>
      <c r="F376" s="604"/>
      <c r="G376" s="403" t="str">
        <f>IF(N376&gt;0,"P","")</f>
        <v/>
      </c>
      <c r="H376" s="403" t="s">
        <v>4324</v>
      </c>
      <c r="I376" s="32"/>
      <c r="J376" s="19" t="s">
        <v>270</v>
      </c>
      <c r="K376" s="46"/>
      <c r="L376" s="707" t="s">
        <v>3242</v>
      </c>
      <c r="M376" s="690">
        <v>8</v>
      </c>
      <c r="N376" s="834">
        <f>'Ch6'!O121</f>
        <v>0</v>
      </c>
      <c r="O376" s="834">
        <f>M376*S376*W376</f>
        <v>0</v>
      </c>
      <c r="P376" t="b">
        <v>1</v>
      </c>
      <c r="Q376" t="b">
        <v>0</v>
      </c>
      <c r="R376" t="b">
        <v>0</v>
      </c>
      <c r="S376" t="b">
        <f>OR(AZ284=3,AZ284=7)</f>
        <v>1</v>
      </c>
      <c r="T376" t="b">
        <f>IF(AND(NOT(S376),W376=TRUE),TRUE,FALSE)</f>
        <v>0</v>
      </c>
      <c r="W376" s="17"/>
      <c r="X376" s="688"/>
      <c r="Y376" s="891" t="str">
        <f>IF(LEN('Ch6'!X121)=0,"None",'Ch6'!X121)</f>
        <v>None</v>
      </c>
      <c r="Z376" s="892"/>
      <c r="AC376" t="b">
        <f>OR(AD376:AE376)</f>
        <v>0</v>
      </c>
      <c r="AD376" t="b">
        <f>T376</f>
        <v>0</v>
      </c>
      <c r="AL376" t="str">
        <f>SUBSTITUTE(SUBSTITUTE(SUBSTITUTE("vpa"&amp;$B376&amp;$C376&amp;$D376&amp;$E376&amp;$F376,".","_"),"(","_"),")","")</f>
        <v>vpa602_1_4_2_1</v>
      </c>
      <c r="AM376">
        <f>M376</f>
        <v>8</v>
      </c>
      <c r="AN376" t="str">
        <f>SUBSTITUTE(SUBSTITUTE(SUBSTITUTE("vpc"&amp;$B376&amp;$C376&amp;$D376&amp;$E376&amp;$F376,".","_"),"(","_"),")","")</f>
        <v>vpc602_1_4_2_1</v>
      </c>
      <c r="AO376">
        <f>O376</f>
        <v>0</v>
      </c>
      <c r="AP376" t="str">
        <f>SUBSTITUTE(SUBSTITUTE(SUBSTITUTE("vch"&amp;$B376&amp;$C376&amp;$D376&amp;$E376&amp;$F376,".","_"),"(","_"),")","")</f>
        <v>vch602_1_4_2_1</v>
      </c>
      <c r="AQ376">
        <f>W376</f>
        <v>0</v>
      </c>
      <c r="AR376" t="str">
        <f>SUBSTITUTE(SUBSTITUTE(SUBSTITUTE("vnt"&amp;$B376&amp;$C376&amp;$D376&amp;$E376&amp;$F376,".","_"),"(","_"),")","")</f>
        <v>vnt602_1_4_2_1</v>
      </c>
      <c r="AS376">
        <f>X376</f>
        <v>0</v>
      </c>
      <c r="BJ376" s="573" t="s">
        <v>4670</v>
      </c>
    </row>
    <row r="377" spans="1:62" x14ac:dyDescent="0.35">
      <c r="A377" s="403">
        <v>6</v>
      </c>
      <c r="B377" s="608" t="s">
        <v>608</v>
      </c>
      <c r="C377" s="604"/>
      <c r="D377" s="604"/>
      <c r="E377" s="604" t="s">
        <v>270</v>
      </c>
      <c r="F377" s="604"/>
      <c r="G377" s="403" t="str">
        <f t="shared" ref="G377" si="122">G376</f>
        <v/>
      </c>
      <c r="H377" s="403" t="s">
        <v>4324</v>
      </c>
      <c r="I377" s="32"/>
      <c r="J377" s="155"/>
      <c r="K377" s="116"/>
      <c r="L377" s="709"/>
      <c r="M377" s="691"/>
      <c r="N377" s="886"/>
      <c r="O377" s="886"/>
      <c r="X377" s="688"/>
      <c r="Y377" s="891"/>
      <c r="Z377" s="892"/>
      <c r="BJ377" s="573" t="s">
        <v>4670</v>
      </c>
    </row>
    <row r="378" spans="1:62" x14ac:dyDescent="0.35">
      <c r="A378" s="403">
        <v>6</v>
      </c>
      <c r="B378" s="608" t="s">
        <v>608</v>
      </c>
      <c r="C378" s="604"/>
      <c r="D378" s="604"/>
      <c r="E378" s="604" t="s">
        <v>272</v>
      </c>
      <c r="F378" s="604"/>
      <c r="G378" s="403" t="s">
        <v>4326</v>
      </c>
      <c r="H378" s="403" t="s">
        <v>4324</v>
      </c>
      <c r="I378" s="32"/>
      <c r="J378" s="19" t="s">
        <v>272</v>
      </c>
      <c r="K378" s="46"/>
      <c r="L378" s="707" t="s">
        <v>3243</v>
      </c>
      <c r="M378" s="740" t="str">
        <f>IF(R378,"Mandatory","N/A")</f>
        <v>Mandatory</v>
      </c>
      <c r="N378" s="44"/>
      <c r="O378" s="44"/>
      <c r="P378" t="b">
        <v>1</v>
      </c>
      <c r="Q378" t="b">
        <v>0</v>
      </c>
      <c r="R378" t="b">
        <f>S378</f>
        <v>1</v>
      </c>
      <c r="S378" t="b">
        <f>OR(AZ284=3,AZ284=7)</f>
        <v>1</v>
      </c>
      <c r="T378" t="b">
        <f>IF(AND(NOT(S378),LEN(W378)&gt;0),TRUE,FALSE)</f>
        <v>0</v>
      </c>
      <c r="U378" t="str">
        <f>SUBSTITUTE(SUBSTITUTE(SUBSTITUTE("dd"&amp;B378&amp;C378&amp;D378&amp;E378&amp;F378,".","_"),"(","_"),")","")</f>
        <v>dd602_1_4_2_2</v>
      </c>
      <c r="W378" s="9" t="s">
        <v>3239</v>
      </c>
      <c r="X378" s="688"/>
      <c r="Y378" s="891" t="str">
        <f>IF(LEN('Ch6'!X123)=0,"None",'Ch6'!X123)</f>
        <v>None</v>
      </c>
      <c r="Z378" s="892"/>
      <c r="AC378" t="b">
        <f>OR(AD378:AE378)</f>
        <v>0</v>
      </c>
      <c r="AD378" t="b">
        <f>T378</f>
        <v>0</v>
      </c>
      <c r="AE378" t="b">
        <f>AND(R378,NOT(W378="Met"),NOT(W378="N/A"))</f>
        <v>0</v>
      </c>
      <c r="AF378" t="b">
        <f>AND(AE378,NOT(Q378))</f>
        <v>0</v>
      </c>
      <c r="AL378" t="str">
        <f>SUBSTITUTE(SUBSTITUTE(SUBSTITUTE("vpa"&amp;$B378&amp;$C378&amp;$D378&amp;$E378&amp;$F378,".","_"),"(","_"),")","")</f>
        <v>vpa602_1_4_2_2</v>
      </c>
      <c r="AM378" t="str">
        <f>M378</f>
        <v>Mandatory</v>
      </c>
      <c r="AP378" t="str">
        <f>SUBSTITUTE(SUBSTITUTE(SUBSTITUTE("vch"&amp;$B378&amp;$C378&amp;$D378&amp;$E378&amp;$F378,".","_"),"(","_"),")","")</f>
        <v>vch602_1_4_2_2</v>
      </c>
      <c r="AQ378" t="str">
        <f>W378</f>
        <v>Met</v>
      </c>
      <c r="AR378" t="str">
        <f>SUBSTITUTE(SUBSTITUTE(SUBSTITUTE("vnt"&amp;$B378&amp;$C378&amp;$D378&amp;$E378&amp;$F378,".","_"),"(","_"),")","")</f>
        <v>vnt602_1_4_2_2</v>
      </c>
      <c r="AS378">
        <f>X378</f>
        <v>0</v>
      </c>
      <c r="BJ378" s="573" t="s">
        <v>4670</v>
      </c>
    </row>
    <row r="379" spans="1:62" ht="15" thickBot="1" x14ac:dyDescent="0.4">
      <c r="A379" s="403">
        <v>6</v>
      </c>
      <c r="B379" s="608" t="s">
        <v>608</v>
      </c>
      <c r="C379" s="604"/>
      <c r="D379" s="604"/>
      <c r="E379" s="604" t="s">
        <v>272</v>
      </c>
      <c r="F379" s="604"/>
      <c r="G379" s="403" t="s">
        <v>4326</v>
      </c>
      <c r="H379" s="403" t="s">
        <v>4324</v>
      </c>
      <c r="I379" s="32"/>
      <c r="J379" s="4"/>
      <c r="K379" s="46"/>
      <c r="L379" s="707"/>
      <c r="M379" s="740"/>
      <c r="N379" s="44"/>
      <c r="O379" s="44"/>
      <c r="X379" s="698"/>
      <c r="Y379" s="905"/>
      <c r="Z379" s="895"/>
      <c r="BJ379" s="573" t="s">
        <v>4670</v>
      </c>
    </row>
    <row r="380" spans="1:62" ht="15" thickTop="1" x14ac:dyDescent="0.35">
      <c r="A380" s="403">
        <v>6</v>
      </c>
      <c r="B380" s="608" t="s">
        <v>610</v>
      </c>
      <c r="C380" s="604"/>
      <c r="D380" s="604"/>
      <c r="E380" s="604"/>
      <c r="F380" s="604"/>
      <c r="G380" s="600" t="str">
        <f ca="1">IF(COUNTIF(G382:G384,"P")&gt;0,"P","")</f>
        <v/>
      </c>
      <c r="H380" s="403" t="s">
        <v>4324</v>
      </c>
      <c r="I380" s="123" t="s">
        <v>610</v>
      </c>
      <c r="J380" s="124"/>
      <c r="K380" s="125"/>
      <c r="L380" s="63" t="s">
        <v>611</v>
      </c>
      <c r="M380" s="199"/>
      <c r="N380" s="195"/>
      <c r="O380" s="195"/>
      <c r="P380" s="62"/>
      <c r="Q380" s="62"/>
      <c r="R380" s="62"/>
      <c r="S380" s="62"/>
      <c r="T380" s="62"/>
      <c r="U380" s="62"/>
      <c r="V380" s="62"/>
      <c r="W380" s="62" t="s">
        <v>1300</v>
      </c>
      <c r="X380" s="62"/>
      <c r="Z380" s="543"/>
      <c r="BJ380" s="573" t="s">
        <v>4670</v>
      </c>
    </row>
    <row r="381" spans="1:62" x14ac:dyDescent="0.35">
      <c r="A381" s="403">
        <v>6</v>
      </c>
      <c r="B381" s="608" t="s">
        <v>610</v>
      </c>
      <c r="C381" s="604"/>
      <c r="D381" s="604"/>
      <c r="E381" s="604"/>
      <c r="F381" s="604"/>
      <c r="G381" s="403" t="str">
        <f t="shared" ref="G381" ca="1" si="123">G380</f>
        <v/>
      </c>
      <c r="H381" s="403" t="s">
        <v>4324</v>
      </c>
      <c r="I381" s="32"/>
      <c r="J381" s="4"/>
      <c r="K381" s="46"/>
      <c r="L381" s="207" t="s">
        <v>3234</v>
      </c>
      <c r="M381" s="43"/>
      <c r="N381" s="44"/>
      <c r="O381" s="44"/>
      <c r="P381" t="b">
        <v>1</v>
      </c>
      <c r="Q381" t="b">
        <v>0</v>
      </c>
      <c r="R381" t="b">
        <v>0</v>
      </c>
      <c r="S381" t="b">
        <v>1</v>
      </c>
      <c r="T381" t="b">
        <v>0</v>
      </c>
      <c r="U381" t="str">
        <f>SUBSTITUTE(SUBSTITUTE(SUBSTITUTE("dd"&amp;B381&amp;C381&amp;D381&amp;E381&amp;F381,".","_"),"(","_"),")","")</f>
        <v>dd602_1_5</v>
      </c>
      <c r="W381" s="9"/>
      <c r="X381" s="688"/>
      <c r="Y381" s="891" t="str">
        <f>IF(LEN('Ch6'!X126)=0,"None",'Ch6'!X126)</f>
        <v>None</v>
      </c>
      <c r="Z381" s="892"/>
      <c r="AP381" t="str">
        <f t="shared" ref="AP381:AP382" si="124">SUBSTITUTE(SUBSTITUTE(SUBSTITUTE("vch"&amp;$B381&amp;$C381&amp;$D381&amp;$E381&amp;$F381,".","_"),"(","_"),")","")</f>
        <v>vch602_1_5</v>
      </c>
      <c r="AQ381">
        <f>W381</f>
        <v>0</v>
      </c>
      <c r="AR381" t="str">
        <f>SUBSTITUTE(SUBSTITUTE(SUBSTITUTE("vnt"&amp;$B381&amp;$C381&amp;$D381&amp;$E381&amp;$F381,".","_"),"(","_"),")","")</f>
        <v>vnt602_1_5</v>
      </c>
      <c r="AS381">
        <f>X381</f>
        <v>0</v>
      </c>
      <c r="BJ381" s="573" t="s">
        <v>4670</v>
      </c>
    </row>
    <row r="382" spans="1:62" x14ac:dyDescent="0.35">
      <c r="A382" s="403">
        <v>6</v>
      </c>
      <c r="B382" s="608" t="s">
        <v>610</v>
      </c>
      <c r="C382" s="604"/>
      <c r="D382" s="604"/>
      <c r="E382" s="604" t="s">
        <v>270</v>
      </c>
      <c r="F382" s="604"/>
      <c r="G382" s="403" t="str">
        <f ca="1">IF(N382&gt;0,"P","")</f>
        <v/>
      </c>
      <c r="H382" s="403" t="s">
        <v>4324</v>
      </c>
      <c r="I382" s="32"/>
      <c r="J382" s="19" t="s">
        <v>270</v>
      </c>
      <c r="K382" s="46"/>
      <c r="L382" s="707" t="s">
        <v>612</v>
      </c>
      <c r="M382" s="690">
        <v>4</v>
      </c>
      <c r="N382" s="834">
        <f ca="1">'Ch6'!O127</f>
        <v>0</v>
      </c>
      <c r="O382" s="834">
        <f ca="1">M382*S382*W382</f>
        <v>0</v>
      </c>
      <c r="P382" t="b">
        <v>1</v>
      </c>
      <c r="Q382" t="b">
        <v>0</v>
      </c>
      <c r="R382" t="b">
        <v>0</v>
      </c>
      <c r="S382" t="b">
        <f ca="1">IF(IFERROR(MATCH(W381,INDIRECT(U381),0),0)=3,TRUE,FALSE)</f>
        <v>0</v>
      </c>
      <c r="T382" t="b">
        <f ca="1">IF(AND(NOT(S382),W382=TRUE),TRUE,FALSE)</f>
        <v>0</v>
      </c>
      <c r="W382" s="17"/>
      <c r="X382" s="688"/>
      <c r="Y382" s="891"/>
      <c r="Z382" s="892"/>
      <c r="AC382" t="b">
        <f ca="1">OR(AD382:AE382)</f>
        <v>0</v>
      </c>
      <c r="AD382" t="b">
        <f ca="1">T382</f>
        <v>0</v>
      </c>
      <c r="AE382" t="b">
        <v>0</v>
      </c>
      <c r="AF382" t="b">
        <f>AND(AE382,NOT(Q382))</f>
        <v>0</v>
      </c>
      <c r="AL382" t="str">
        <f>SUBSTITUTE(SUBSTITUTE(SUBSTITUTE("vpa"&amp;$B382&amp;$C382&amp;$D382&amp;$E382&amp;$F382,".","_"),"(","_"),")","")</f>
        <v>vpa602_1_5_1</v>
      </c>
      <c r="AM382">
        <f>M382</f>
        <v>4</v>
      </c>
      <c r="AN382" t="str">
        <f>SUBSTITUTE(SUBSTITUTE(SUBSTITUTE("vpc"&amp;$B382&amp;$C382&amp;$D382&amp;$E382&amp;$F382,".","_"),"(","_"),")","")</f>
        <v>vpc602_1_5_1</v>
      </c>
      <c r="AO382">
        <f ca="1">O382</f>
        <v>0</v>
      </c>
      <c r="AP382" t="str">
        <f t="shared" si="124"/>
        <v>vch602_1_5_1</v>
      </c>
      <c r="AQ382">
        <f>W382</f>
        <v>0</v>
      </c>
      <c r="BJ382" s="573" t="s">
        <v>4670</v>
      </c>
    </row>
    <row r="383" spans="1:62" x14ac:dyDescent="0.35">
      <c r="A383" s="403">
        <v>6</v>
      </c>
      <c r="B383" s="608" t="s">
        <v>610</v>
      </c>
      <c r="C383" s="604"/>
      <c r="D383" s="604"/>
      <c r="E383" s="604" t="s">
        <v>270</v>
      </c>
      <c r="F383" s="604"/>
      <c r="G383" s="403" t="str">
        <f t="shared" ref="G383" ca="1" si="125">G382</f>
        <v/>
      </c>
      <c r="H383" s="403" t="s">
        <v>4324</v>
      </c>
      <c r="I383" s="32"/>
      <c r="J383" s="155"/>
      <c r="K383" s="116"/>
      <c r="L383" s="709"/>
      <c r="M383" s="691"/>
      <c r="N383" s="886"/>
      <c r="O383" s="886"/>
      <c r="X383" s="688"/>
      <c r="Y383" s="891"/>
      <c r="Z383" s="892"/>
      <c r="BJ383" s="573" t="s">
        <v>4670</v>
      </c>
    </row>
    <row r="384" spans="1:62" x14ac:dyDescent="0.35">
      <c r="A384" s="403">
        <v>6</v>
      </c>
      <c r="B384" s="608" t="s">
        <v>610</v>
      </c>
      <c r="C384" s="604"/>
      <c r="D384" s="604"/>
      <c r="E384" s="604" t="s">
        <v>272</v>
      </c>
      <c r="F384" s="604"/>
      <c r="G384" s="403" t="str">
        <f ca="1">IF(N384&gt;0,"P","")</f>
        <v/>
      </c>
      <c r="H384" s="403" t="s">
        <v>4324</v>
      </c>
      <c r="I384" s="32"/>
      <c r="J384" s="19" t="s">
        <v>272</v>
      </c>
      <c r="K384" s="46"/>
      <c r="L384" s="707" t="s">
        <v>613</v>
      </c>
      <c r="M384" s="690">
        <v>4</v>
      </c>
      <c r="N384" s="868">
        <f ca="1">'Ch6'!O129</f>
        <v>0</v>
      </c>
      <c r="O384" s="834">
        <f ca="1">M384*S384*W384</f>
        <v>0</v>
      </c>
      <c r="P384" t="b">
        <v>1</v>
      </c>
      <c r="Q384" t="b">
        <v>0</v>
      </c>
      <c r="R384" t="b">
        <v>0</v>
      </c>
      <c r="S384" t="b">
        <f ca="1">IF(IFERROR(MATCH(W381,INDIRECT(U381),0),0)=4,TRUE,FALSE)</f>
        <v>0</v>
      </c>
      <c r="T384" t="b">
        <f ca="1">IF(AND(NOT(S384),W384=TRUE),TRUE,FALSE)</f>
        <v>0</v>
      </c>
      <c r="W384" s="17"/>
      <c r="X384" s="688"/>
      <c r="Y384" s="891"/>
      <c r="Z384" s="892"/>
      <c r="AC384" t="b">
        <f ca="1">OR(AD384:AE384)</f>
        <v>0</v>
      </c>
      <c r="AD384" t="b">
        <f ca="1">T384</f>
        <v>0</v>
      </c>
      <c r="AE384" t="b">
        <v>0</v>
      </c>
      <c r="AF384" t="b">
        <f>AND(AE384,NOT(Q384))</f>
        <v>0</v>
      </c>
      <c r="AL384" t="str">
        <f>SUBSTITUTE(SUBSTITUTE(SUBSTITUTE("vpa"&amp;$B384&amp;$C384&amp;$D384&amp;$E384&amp;$F384,".","_"),"(","_"),")","")</f>
        <v>vpa602_1_5_2</v>
      </c>
      <c r="AM384">
        <f>M384</f>
        <v>4</v>
      </c>
      <c r="AN384" t="str">
        <f>SUBSTITUTE(SUBSTITUTE(SUBSTITUTE("vpc"&amp;$B384&amp;$C384&amp;$D384&amp;$E384&amp;$F384,".","_"),"(","_"),")","")</f>
        <v>vpc602_1_5_2</v>
      </c>
      <c r="AO384">
        <f ca="1">O384</f>
        <v>0</v>
      </c>
      <c r="AP384" t="str">
        <f>SUBSTITUTE(SUBSTITUTE(SUBSTITUTE("vch"&amp;$B384&amp;$C384&amp;$D384&amp;$E384&amp;$F384,".","_"),"(","_"),")","")</f>
        <v>vch602_1_5_2</v>
      </c>
      <c r="AQ384">
        <f>W384</f>
        <v>0</v>
      </c>
      <c r="BJ384" s="573" t="s">
        <v>4670</v>
      </c>
    </row>
    <row r="385" spans="1:62" x14ac:dyDescent="0.35">
      <c r="A385" s="403">
        <v>6</v>
      </c>
      <c r="B385" s="608" t="s">
        <v>610</v>
      </c>
      <c r="C385" s="604"/>
      <c r="D385" s="604"/>
      <c r="E385" s="604" t="s">
        <v>272</v>
      </c>
      <c r="F385" s="604"/>
      <c r="G385" s="403" t="str">
        <f t="shared" ref="G385:G386" ca="1" si="126">G384</f>
        <v/>
      </c>
      <c r="H385" s="403" t="s">
        <v>4324</v>
      </c>
      <c r="I385" s="32"/>
      <c r="J385" s="4"/>
      <c r="K385" s="46"/>
      <c r="L385" s="707"/>
      <c r="M385" s="690"/>
      <c r="N385" s="834"/>
      <c r="O385" s="834"/>
      <c r="X385" s="688"/>
      <c r="Y385" s="891"/>
      <c r="Z385" s="892"/>
      <c r="BJ385" s="573" t="s">
        <v>4670</v>
      </c>
    </row>
    <row r="386" spans="1:62" ht="15" thickBot="1" x14ac:dyDescent="0.4">
      <c r="A386" s="403">
        <v>6</v>
      </c>
      <c r="B386" s="608" t="s">
        <v>610</v>
      </c>
      <c r="C386" s="604"/>
      <c r="D386" s="604"/>
      <c r="E386" s="604" t="s">
        <v>272</v>
      </c>
      <c r="F386" s="604"/>
      <c r="G386" s="403" t="str">
        <f t="shared" ca="1" si="126"/>
        <v/>
      </c>
      <c r="H386" s="403" t="s">
        <v>4324</v>
      </c>
      <c r="I386" s="32"/>
      <c r="J386" s="4"/>
      <c r="K386" s="46"/>
      <c r="L386" s="707"/>
      <c r="M386" s="690"/>
      <c r="N386" s="938"/>
      <c r="O386" s="834"/>
      <c r="X386" s="688"/>
      <c r="Y386" s="905"/>
      <c r="Z386" s="895"/>
      <c r="BJ386" s="573" t="s">
        <v>4670</v>
      </c>
    </row>
    <row r="387" spans="1:62" ht="15" thickTop="1" x14ac:dyDescent="0.35">
      <c r="A387" s="403">
        <v>6</v>
      </c>
      <c r="B387" s="608" t="s">
        <v>614</v>
      </c>
      <c r="C387" s="604"/>
      <c r="D387" s="604"/>
      <c r="E387" s="604"/>
      <c r="F387" s="604"/>
      <c r="G387" s="600" t="str">
        <f ca="1">IF(COUNTIF(G390:G398,"P")&gt;0,"P","")</f>
        <v/>
      </c>
      <c r="H387" s="403" t="s">
        <v>4323</v>
      </c>
      <c r="I387" s="123" t="s">
        <v>614</v>
      </c>
      <c r="J387" s="124"/>
      <c r="K387" s="125"/>
      <c r="L387" s="711" t="s">
        <v>615</v>
      </c>
      <c r="M387" s="199"/>
      <c r="N387" s="195"/>
      <c r="O387" s="195"/>
      <c r="P387" s="62"/>
      <c r="Q387" s="62"/>
      <c r="R387" s="62"/>
      <c r="S387" s="62"/>
      <c r="T387" s="62"/>
      <c r="U387" s="62"/>
      <c r="V387" s="62"/>
      <c r="W387" s="62"/>
      <c r="X387" s="62"/>
      <c r="Z387" s="543"/>
      <c r="BJ387" s="573" t="s">
        <v>4670</v>
      </c>
    </row>
    <row r="388" spans="1:62" x14ac:dyDescent="0.35">
      <c r="A388" s="403">
        <v>6</v>
      </c>
      <c r="B388" s="608" t="s">
        <v>614</v>
      </c>
      <c r="C388" s="604"/>
      <c r="D388" s="604"/>
      <c r="E388" s="604"/>
      <c r="F388" s="604"/>
      <c r="G388" s="403" t="str">
        <f t="shared" ref="G388:G389" ca="1" si="127">G387</f>
        <v/>
      </c>
      <c r="H388" s="403" t="s">
        <v>4323</v>
      </c>
      <c r="I388" s="32"/>
      <c r="J388" s="4"/>
      <c r="K388" s="46"/>
      <c r="L388" s="706"/>
      <c r="M388" s="43"/>
      <c r="N388" s="44"/>
      <c r="O388" s="44"/>
      <c r="Z388" s="543"/>
      <c r="BJ388" s="573" t="s">
        <v>4670</v>
      </c>
    </row>
    <row r="389" spans="1:62" x14ac:dyDescent="0.35">
      <c r="A389" s="403">
        <v>6</v>
      </c>
      <c r="B389" s="608" t="s">
        <v>614</v>
      </c>
      <c r="C389" s="604"/>
      <c r="D389" s="604"/>
      <c r="E389" s="604"/>
      <c r="F389" s="604"/>
      <c r="G389" s="403" t="str">
        <f t="shared" ca="1" si="127"/>
        <v/>
      </c>
      <c r="H389" s="403" t="s">
        <v>4323</v>
      </c>
      <c r="I389" s="32"/>
      <c r="J389" s="4"/>
      <c r="K389" s="46"/>
      <c r="L389" s="207" t="s">
        <v>3234</v>
      </c>
      <c r="M389" s="43"/>
      <c r="N389" s="44"/>
      <c r="O389" s="44"/>
      <c r="Z389" s="543"/>
      <c r="BJ389" s="573" t="s">
        <v>4670</v>
      </c>
    </row>
    <row r="390" spans="1:62" x14ac:dyDescent="0.35">
      <c r="A390" s="403">
        <v>6</v>
      </c>
      <c r="B390" s="608" t="s">
        <v>614</v>
      </c>
      <c r="C390" s="604"/>
      <c r="D390" s="604"/>
      <c r="E390" s="604" t="s">
        <v>270</v>
      </c>
      <c r="F390" s="604"/>
      <c r="G390" s="403" t="str">
        <f ca="1">IF(N390&gt;0,"P","")</f>
        <v/>
      </c>
      <c r="H390" s="403" t="s">
        <v>4323</v>
      </c>
      <c r="I390" s="32"/>
      <c r="J390" s="19" t="s">
        <v>270</v>
      </c>
      <c r="K390" s="46"/>
      <c r="L390" s="707" t="s">
        <v>616</v>
      </c>
      <c r="M390" s="690">
        <v>2</v>
      </c>
      <c r="N390" s="834">
        <f ca="1">'Ch6'!O135</f>
        <v>0</v>
      </c>
      <c r="O390" s="834">
        <f ca="1">M390*S390*W390</f>
        <v>0</v>
      </c>
      <c r="P390" t="b">
        <v>1</v>
      </c>
      <c r="Q390" t="b">
        <v>1</v>
      </c>
      <c r="R390" t="b">
        <v>0</v>
      </c>
      <c r="S390" t="b">
        <f ca="1">IF(IFERROR(MATCH(W381,INDIRECT(U381),0),0)=2,TRUE,FALSE)</f>
        <v>0</v>
      </c>
      <c r="T390" t="b">
        <f ca="1">IF(AND(NOT(S390),W390=TRUE),TRUE,FALSE)</f>
        <v>0</v>
      </c>
      <c r="W390" s="17"/>
      <c r="X390" s="688"/>
      <c r="Y390" s="891" t="str">
        <f>IF(LEN('Ch6'!X135)=0,"None",'Ch6'!X135)</f>
        <v>None</v>
      </c>
      <c r="Z390" s="892"/>
      <c r="AC390" t="b">
        <f ca="1">OR(AD390:AE390)</f>
        <v>0</v>
      </c>
      <c r="AD390" t="b">
        <f ca="1">T390</f>
        <v>0</v>
      </c>
      <c r="AE390" t="b">
        <v>0</v>
      </c>
      <c r="AF390" t="b">
        <f>AND(AE390,NOT(Q390))</f>
        <v>0</v>
      </c>
      <c r="AL390" t="str">
        <f>SUBSTITUTE(SUBSTITUTE(SUBSTITUTE("vpa"&amp;$B390&amp;$C390&amp;$D390&amp;$E390&amp;$F390,".","_"),"(","_"),")","")</f>
        <v>vpa602_1_6_1</v>
      </c>
      <c r="AM390">
        <f>M390</f>
        <v>2</v>
      </c>
      <c r="AN390" t="str">
        <f>SUBSTITUTE(SUBSTITUTE(SUBSTITUTE("vpc"&amp;$B390&amp;$C390&amp;$D390&amp;$E390&amp;$F390,".","_"),"(","_"),")","")</f>
        <v>vpc602_1_6_1</v>
      </c>
      <c r="AO390">
        <f ca="1">O390</f>
        <v>0</v>
      </c>
      <c r="AP390" t="str">
        <f>SUBSTITUTE(SUBSTITUTE(SUBSTITUTE("vch"&amp;$B390&amp;$C390&amp;$D390&amp;$E390&amp;$F390,".","_"),"(","_"),")","")</f>
        <v>vch602_1_6_1</v>
      </c>
      <c r="AQ390">
        <f>W390</f>
        <v>0</v>
      </c>
      <c r="AR390" t="str">
        <f>SUBSTITUTE(SUBSTITUTE(SUBSTITUTE("vnt"&amp;$B390&amp;$C390&amp;$D390&amp;$E390&amp;$F390,".","_"),"(","_"),")","")</f>
        <v>vnt602_1_6_1</v>
      </c>
      <c r="AS390">
        <f>X390</f>
        <v>0</v>
      </c>
      <c r="BJ390" s="573" t="s">
        <v>4670</v>
      </c>
    </row>
    <row r="391" spans="1:62" x14ac:dyDescent="0.35">
      <c r="A391" s="403">
        <v>6</v>
      </c>
      <c r="B391" s="608" t="s">
        <v>614</v>
      </c>
      <c r="C391" s="604"/>
      <c r="D391" s="604"/>
      <c r="E391" s="604" t="s">
        <v>270</v>
      </c>
      <c r="F391" s="604"/>
      <c r="G391" s="403" t="str">
        <f t="shared" ref="G391:G393" ca="1" si="128">G390</f>
        <v/>
      </c>
      <c r="H391" s="403" t="s">
        <v>4323</v>
      </c>
      <c r="I391" s="32"/>
      <c r="J391" s="4"/>
      <c r="K391" s="46"/>
      <c r="L391" s="707"/>
      <c r="M391" s="690"/>
      <c r="N391" s="834"/>
      <c r="O391" s="834"/>
      <c r="X391" s="688"/>
      <c r="Y391" s="891"/>
      <c r="Z391" s="892"/>
      <c r="BJ391" s="573" t="s">
        <v>4670</v>
      </c>
    </row>
    <row r="392" spans="1:62" x14ac:dyDescent="0.35">
      <c r="A392" s="403">
        <v>6</v>
      </c>
      <c r="B392" s="608" t="s">
        <v>614</v>
      </c>
      <c r="C392" s="604"/>
      <c r="D392" s="604"/>
      <c r="E392" s="604" t="s">
        <v>270</v>
      </c>
      <c r="F392" s="604"/>
      <c r="G392" s="403" t="str">
        <f t="shared" ca="1" si="128"/>
        <v/>
      </c>
      <c r="H392" s="403" t="s">
        <v>4323</v>
      </c>
      <c r="I392" s="32"/>
      <c r="J392" s="4"/>
      <c r="K392" s="46"/>
      <c r="L392" s="707"/>
      <c r="M392" s="690"/>
      <c r="N392" s="834"/>
      <c r="O392" s="834"/>
      <c r="X392" s="688"/>
      <c r="Y392" s="891"/>
      <c r="Z392" s="892"/>
      <c r="BJ392" s="573" t="s">
        <v>4670</v>
      </c>
    </row>
    <row r="393" spans="1:62" x14ac:dyDescent="0.35">
      <c r="A393" s="403">
        <v>6</v>
      </c>
      <c r="B393" s="608" t="s">
        <v>614</v>
      </c>
      <c r="C393" s="604"/>
      <c r="D393" s="604"/>
      <c r="E393" s="604" t="s">
        <v>270</v>
      </c>
      <c r="F393" s="604"/>
      <c r="G393" s="403" t="str">
        <f t="shared" ca="1" si="128"/>
        <v/>
      </c>
      <c r="H393" s="403" t="s">
        <v>4323</v>
      </c>
      <c r="I393" s="32"/>
      <c r="J393" s="155"/>
      <c r="K393" s="116"/>
      <c r="L393" s="709"/>
      <c r="M393" s="691"/>
      <c r="N393" s="886"/>
      <c r="O393" s="886"/>
      <c r="X393" s="688"/>
      <c r="Y393" s="891"/>
      <c r="Z393" s="892"/>
      <c r="BJ393" s="573" t="s">
        <v>4670</v>
      </c>
    </row>
    <row r="394" spans="1:62" x14ac:dyDescent="0.35">
      <c r="A394" s="403">
        <v>6</v>
      </c>
      <c r="B394" s="608" t="s">
        <v>614</v>
      </c>
      <c r="C394" s="604"/>
      <c r="D394" s="604"/>
      <c r="E394" s="604" t="s">
        <v>272</v>
      </c>
      <c r="F394" s="604"/>
      <c r="G394" s="403" t="str">
        <f ca="1">IF(N394&gt;0,"P","")</f>
        <v/>
      </c>
      <c r="H394" s="403" t="s">
        <v>4323</v>
      </c>
      <c r="I394" s="32"/>
      <c r="J394" s="154" t="s">
        <v>272</v>
      </c>
      <c r="K394" s="137"/>
      <c r="L394" s="742" t="s">
        <v>617</v>
      </c>
      <c r="M394" s="712">
        <v>4</v>
      </c>
      <c r="N394" s="868">
        <f ca="1">'Ch6'!O139</f>
        <v>0</v>
      </c>
      <c r="O394" s="868">
        <f ca="1">M394*S394*W394</f>
        <v>0</v>
      </c>
      <c r="P394" t="b">
        <v>1</v>
      </c>
      <c r="Q394" t="b">
        <v>1</v>
      </c>
      <c r="R394" t="b">
        <v>0</v>
      </c>
      <c r="S394" t="b">
        <f ca="1">IF(IFERROR(MATCH(W381,INDIRECT(U381),0),0)=3,TRUE,FALSE)</f>
        <v>0</v>
      </c>
      <c r="T394" t="b">
        <f ca="1">IF(AND(NOT(S394),W394=TRUE),TRUE,FALSE)</f>
        <v>0</v>
      </c>
      <c r="W394" s="17"/>
      <c r="X394" s="688"/>
      <c r="Y394" s="891"/>
      <c r="Z394" s="892"/>
      <c r="AC394" t="b">
        <f ca="1">OR(AD394:AE394)</f>
        <v>0</v>
      </c>
      <c r="AD394" t="b">
        <f ca="1">T394</f>
        <v>0</v>
      </c>
      <c r="AE394" t="b">
        <v>0</v>
      </c>
      <c r="AF394" t="b">
        <f>AND(AE394,NOT(Q394))</f>
        <v>0</v>
      </c>
      <c r="AL394" t="str">
        <f>SUBSTITUTE(SUBSTITUTE(SUBSTITUTE("vpa"&amp;$B394&amp;$C394&amp;$D394&amp;$E394&amp;$F394,".","_"),"(","_"),")","")</f>
        <v>vpa602_1_6_2</v>
      </c>
      <c r="AM394">
        <f>M394</f>
        <v>4</v>
      </c>
      <c r="AN394" t="str">
        <f>SUBSTITUTE(SUBSTITUTE(SUBSTITUTE("vpc"&amp;$B394&amp;$C394&amp;$D394&amp;$E394&amp;$F394,".","_"),"(","_"),")","")</f>
        <v>vpc602_1_6_2</v>
      </c>
      <c r="AO394">
        <f ca="1">O394</f>
        <v>0</v>
      </c>
      <c r="AP394" t="str">
        <f>SUBSTITUTE(SUBSTITUTE(SUBSTITUTE("vch"&amp;$B394&amp;$C394&amp;$D394&amp;$E394&amp;$F394,".","_"),"(","_"),")","")</f>
        <v>vch602_1_6_2</v>
      </c>
      <c r="AQ394">
        <f>W394</f>
        <v>0</v>
      </c>
      <c r="BJ394" s="573" t="s">
        <v>4670</v>
      </c>
    </row>
    <row r="395" spans="1:62" x14ac:dyDescent="0.35">
      <c r="A395" s="403">
        <v>6</v>
      </c>
      <c r="B395" s="608" t="s">
        <v>614</v>
      </c>
      <c r="C395" s="604"/>
      <c r="D395" s="604"/>
      <c r="E395" s="604" t="s">
        <v>272</v>
      </c>
      <c r="F395" s="604"/>
      <c r="G395" s="403" t="str">
        <f t="shared" ref="G395:G397" ca="1" si="129">G394</f>
        <v/>
      </c>
      <c r="H395" s="403" t="s">
        <v>4323</v>
      </c>
      <c r="I395" s="32"/>
      <c r="J395" s="4"/>
      <c r="K395" s="46"/>
      <c r="L395" s="707"/>
      <c r="M395" s="690"/>
      <c r="N395" s="834"/>
      <c r="O395" s="834"/>
      <c r="X395" s="688"/>
      <c r="Y395" s="891"/>
      <c r="Z395" s="892"/>
      <c r="BJ395" s="573" t="s">
        <v>4670</v>
      </c>
    </row>
    <row r="396" spans="1:62" x14ac:dyDescent="0.35">
      <c r="A396" s="403">
        <v>6</v>
      </c>
      <c r="B396" s="608" t="s">
        <v>614</v>
      </c>
      <c r="C396" s="604"/>
      <c r="D396" s="604"/>
      <c r="E396" s="604" t="s">
        <v>272</v>
      </c>
      <c r="F396" s="604"/>
      <c r="G396" s="403" t="str">
        <f t="shared" ca="1" si="129"/>
        <v/>
      </c>
      <c r="H396" s="403" t="s">
        <v>4323</v>
      </c>
      <c r="I396" s="32"/>
      <c r="J396" s="4"/>
      <c r="K396" s="46"/>
      <c r="L396" s="707"/>
      <c r="M396" s="690"/>
      <c r="N396" s="834"/>
      <c r="O396" s="834"/>
      <c r="X396" s="688"/>
      <c r="Y396" s="891"/>
      <c r="Z396" s="892"/>
      <c r="BJ396" s="573" t="s">
        <v>4670</v>
      </c>
    </row>
    <row r="397" spans="1:62" x14ac:dyDescent="0.35">
      <c r="A397" s="403">
        <v>6</v>
      </c>
      <c r="B397" s="608" t="s">
        <v>614</v>
      </c>
      <c r="C397" s="604"/>
      <c r="D397" s="604"/>
      <c r="E397" s="604" t="s">
        <v>272</v>
      </c>
      <c r="F397" s="604"/>
      <c r="G397" s="403" t="str">
        <f t="shared" ca="1" si="129"/>
        <v/>
      </c>
      <c r="H397" s="403" t="s">
        <v>4323</v>
      </c>
      <c r="I397" s="32"/>
      <c r="J397" s="155"/>
      <c r="K397" s="116"/>
      <c r="L397" s="709"/>
      <c r="M397" s="691"/>
      <c r="N397" s="886"/>
      <c r="O397" s="886"/>
      <c r="X397" s="688"/>
      <c r="Y397" s="891"/>
      <c r="Z397" s="892"/>
      <c r="BJ397" s="573" t="s">
        <v>4670</v>
      </c>
    </row>
    <row r="398" spans="1:62" x14ac:dyDescent="0.35">
      <c r="A398" s="403">
        <v>6</v>
      </c>
      <c r="B398" s="608" t="s">
        <v>614</v>
      </c>
      <c r="C398" s="604"/>
      <c r="D398" s="604"/>
      <c r="E398" s="604" t="s">
        <v>274</v>
      </c>
      <c r="F398" s="604"/>
      <c r="G398" s="403" t="str">
        <f ca="1">IF(N398&gt;0,"P","")</f>
        <v/>
      </c>
      <c r="H398" s="403" t="s">
        <v>4323</v>
      </c>
      <c r="I398" s="32"/>
      <c r="J398" s="19" t="s">
        <v>274</v>
      </c>
      <c r="K398" s="46"/>
      <c r="L398" s="707" t="s">
        <v>618</v>
      </c>
      <c r="M398" s="690">
        <v>6</v>
      </c>
      <c r="N398" s="868">
        <f ca="1">'Ch6'!O143</f>
        <v>0</v>
      </c>
      <c r="O398" s="834">
        <f ca="1">M398*S398*W398</f>
        <v>0</v>
      </c>
      <c r="P398" t="b">
        <v>1</v>
      </c>
      <c r="Q398" t="b">
        <v>1</v>
      </c>
      <c r="R398" t="b">
        <v>0</v>
      </c>
      <c r="S398" t="b">
        <f ca="1">IF(IFERROR(MATCH(W381,INDIRECT(U381),0),0)=4,TRUE,FALSE)</f>
        <v>0</v>
      </c>
      <c r="T398" t="b">
        <f ca="1">IF(AND(NOT(S398),W398=TRUE),TRUE,FALSE)</f>
        <v>0</v>
      </c>
      <c r="W398" s="17"/>
      <c r="X398" s="688"/>
      <c r="Y398" s="891"/>
      <c r="Z398" s="892"/>
      <c r="AC398" t="b">
        <f ca="1">OR(AD398:AE398)</f>
        <v>0</v>
      </c>
      <c r="AD398" t="b">
        <f ca="1">T398</f>
        <v>0</v>
      </c>
      <c r="AE398" t="b">
        <v>0</v>
      </c>
      <c r="AF398" t="b">
        <f>AND(AE398,NOT(Q398))</f>
        <v>0</v>
      </c>
      <c r="AL398" t="str">
        <f>SUBSTITUTE(SUBSTITUTE(SUBSTITUTE("vpa"&amp;$B398&amp;$C398&amp;$D398&amp;$E398&amp;$F398,".","_"),"(","_"),")","")</f>
        <v>vpa602_1_6_3</v>
      </c>
      <c r="AM398">
        <f>M398</f>
        <v>6</v>
      </c>
      <c r="AN398" t="str">
        <f>SUBSTITUTE(SUBSTITUTE(SUBSTITUTE("vpc"&amp;$B398&amp;$C398&amp;$D398&amp;$E398&amp;$F398,".","_"),"(","_"),")","")</f>
        <v>vpc602_1_6_3</v>
      </c>
      <c r="AO398">
        <f ca="1">O398</f>
        <v>0</v>
      </c>
      <c r="AP398" t="str">
        <f>SUBSTITUTE(SUBSTITUTE(SUBSTITUTE("vch"&amp;$B398&amp;$C398&amp;$D398&amp;$E398&amp;$F398,".","_"),"(","_"),")","")</f>
        <v>vch602_1_6_3</v>
      </c>
      <c r="AQ398">
        <f>W398</f>
        <v>0</v>
      </c>
      <c r="BJ398" s="573" t="s">
        <v>4670</v>
      </c>
    </row>
    <row r="399" spans="1:62" x14ac:dyDescent="0.35">
      <c r="A399" s="403">
        <v>6</v>
      </c>
      <c r="B399" s="608" t="s">
        <v>614</v>
      </c>
      <c r="C399" s="604"/>
      <c r="D399" s="604"/>
      <c r="E399" s="604" t="s">
        <v>274</v>
      </c>
      <c r="F399" s="604"/>
      <c r="G399" s="403" t="str">
        <f t="shared" ref="G399:G400" ca="1" si="130">G398</f>
        <v/>
      </c>
      <c r="H399" s="403" t="s">
        <v>4323</v>
      </c>
      <c r="I399" s="32"/>
      <c r="J399" s="4"/>
      <c r="K399" s="46"/>
      <c r="L399" s="707"/>
      <c r="M399" s="690"/>
      <c r="N399" s="834"/>
      <c r="O399" s="834"/>
      <c r="X399" s="688"/>
      <c r="Y399" s="891"/>
      <c r="Z399" s="892"/>
      <c r="BJ399" s="573" t="s">
        <v>4670</v>
      </c>
    </row>
    <row r="400" spans="1:62" ht="15" thickBot="1" x14ac:dyDescent="0.4">
      <c r="A400" s="403">
        <v>6</v>
      </c>
      <c r="B400" s="608" t="s">
        <v>614</v>
      </c>
      <c r="C400" s="604"/>
      <c r="D400" s="604"/>
      <c r="E400" s="604" t="s">
        <v>274</v>
      </c>
      <c r="F400" s="604"/>
      <c r="G400" s="403" t="str">
        <f t="shared" ca="1" si="130"/>
        <v/>
      </c>
      <c r="H400" s="403" t="s">
        <v>4323</v>
      </c>
      <c r="I400" s="32"/>
      <c r="J400" s="4"/>
      <c r="K400" s="46"/>
      <c r="L400" s="707"/>
      <c r="M400" s="690"/>
      <c r="N400" s="938"/>
      <c r="O400" s="834"/>
      <c r="X400" s="698"/>
      <c r="Y400" s="905"/>
      <c r="Z400" s="895"/>
      <c r="BJ400" s="573" t="s">
        <v>4670</v>
      </c>
    </row>
    <row r="401" spans="1:62" ht="15" thickTop="1" x14ac:dyDescent="0.35">
      <c r="A401" s="403">
        <v>6</v>
      </c>
      <c r="B401" s="608" t="s">
        <v>619</v>
      </c>
      <c r="C401" s="604"/>
      <c r="D401" s="604"/>
      <c r="E401" s="604"/>
      <c r="F401" s="604"/>
      <c r="G401" s="403" t="s">
        <v>4326</v>
      </c>
      <c r="H401" s="403" t="s">
        <v>4323</v>
      </c>
      <c r="I401" s="123" t="s">
        <v>619</v>
      </c>
      <c r="J401" s="124"/>
      <c r="K401" s="125"/>
      <c r="L401" s="81" t="s">
        <v>620</v>
      </c>
      <c r="M401" s="199"/>
      <c r="N401" s="195"/>
      <c r="O401" s="195"/>
      <c r="P401" s="62"/>
      <c r="Q401" s="62"/>
      <c r="R401" s="62"/>
      <c r="S401" s="62"/>
      <c r="T401" s="62"/>
      <c r="U401" s="62"/>
      <c r="V401" s="62"/>
      <c r="W401" s="62"/>
      <c r="X401" s="62"/>
      <c r="Z401" s="543"/>
      <c r="BJ401" s="573" t="s">
        <v>4670</v>
      </c>
    </row>
    <row r="402" spans="1:62" x14ac:dyDescent="0.35">
      <c r="A402" s="403">
        <v>6</v>
      </c>
      <c r="B402" s="609" t="s">
        <v>621</v>
      </c>
      <c r="C402" s="609"/>
      <c r="D402" s="604"/>
      <c r="E402" s="604"/>
      <c r="F402" s="604"/>
      <c r="G402" s="403" t="s">
        <v>4326</v>
      </c>
      <c r="H402" s="403" t="s">
        <v>4324</v>
      </c>
      <c r="I402" s="32" t="s">
        <v>621</v>
      </c>
      <c r="J402" s="4"/>
      <c r="K402" s="46"/>
      <c r="L402" s="48" t="s">
        <v>622</v>
      </c>
      <c r="M402" s="43"/>
      <c r="N402" s="44"/>
      <c r="O402" s="44"/>
      <c r="Z402" s="543"/>
      <c r="BJ402" s="573" t="s">
        <v>4670</v>
      </c>
    </row>
    <row r="403" spans="1:62" x14ac:dyDescent="0.35">
      <c r="A403" s="403">
        <v>6</v>
      </c>
      <c r="B403" s="609" t="s">
        <v>621</v>
      </c>
      <c r="C403" s="609"/>
      <c r="D403" s="604"/>
      <c r="E403" s="604" t="s">
        <v>270</v>
      </c>
      <c r="F403" s="604"/>
      <c r="G403" s="403" t="str">
        <f>IF(N403&gt;0,"P","")</f>
        <v>P</v>
      </c>
      <c r="H403" s="403" t="s">
        <v>4324</v>
      </c>
      <c r="I403" s="32"/>
      <c r="J403" s="19" t="s">
        <v>270</v>
      </c>
      <c r="K403" s="46"/>
      <c r="L403" s="707" t="s">
        <v>623</v>
      </c>
      <c r="M403" s="690">
        <v>2</v>
      </c>
      <c r="N403" s="834">
        <f>'Ch6'!O148</f>
        <v>2</v>
      </c>
      <c r="O403" s="834">
        <f>M403*S403*W403</f>
        <v>2</v>
      </c>
      <c r="P403" t="b">
        <v>1</v>
      </c>
      <c r="Q403" t="b">
        <v>0</v>
      </c>
      <c r="R403" t="b">
        <v>0</v>
      </c>
      <c r="S403" t="b">
        <v>1</v>
      </c>
      <c r="T403" t="b">
        <v>0</v>
      </c>
      <c r="W403" s="17" t="b">
        <v>1</v>
      </c>
      <c r="X403" s="688"/>
      <c r="Y403" s="891" t="str">
        <f>IF(LEN('Ch6'!X148)=0,"None",'Ch6'!X148)</f>
        <v>None</v>
      </c>
      <c r="Z403" s="892"/>
      <c r="AL403" t="str">
        <f>SUBSTITUTE(SUBSTITUTE(SUBSTITUTE("vpa"&amp;$B403&amp;$C403&amp;$D403&amp;$E403&amp;$F403,".","_"),"(","_"),")","")</f>
        <v>vpa602_1_7_1_1</v>
      </c>
      <c r="AM403">
        <f>M403</f>
        <v>2</v>
      </c>
      <c r="AN403" t="str">
        <f>SUBSTITUTE(SUBSTITUTE(SUBSTITUTE("vpc"&amp;$B403&amp;$C403&amp;$D403&amp;$E403&amp;$F403,".","_"),"(","_"),")","")</f>
        <v>vpc602_1_7_1_1</v>
      </c>
      <c r="AO403">
        <f>O403</f>
        <v>2</v>
      </c>
      <c r="AP403" t="str">
        <f>SUBSTITUTE(SUBSTITUTE(SUBSTITUTE("vch"&amp;$B403&amp;$C403&amp;$D403&amp;$E403&amp;$F403,".","_"),"(","_"),")","")</f>
        <v>vch602_1_7_1_1</v>
      </c>
      <c r="AQ403" t="b">
        <f>W403</f>
        <v>1</v>
      </c>
      <c r="AR403" t="str">
        <f>SUBSTITUTE(SUBSTITUTE(SUBSTITUTE("vnt"&amp;$B403&amp;$C403&amp;$D403&amp;$E403&amp;$F403,".","_"),"(","_"),")","")</f>
        <v>vnt602_1_7_1_1</v>
      </c>
      <c r="AS403">
        <f>X403</f>
        <v>0</v>
      </c>
      <c r="BJ403" s="573" t="s">
        <v>4670</v>
      </c>
    </row>
    <row r="404" spans="1:62" x14ac:dyDescent="0.35">
      <c r="A404" s="403">
        <v>6</v>
      </c>
      <c r="B404" s="609" t="s">
        <v>621</v>
      </c>
      <c r="C404" s="609"/>
      <c r="D404" s="604"/>
      <c r="E404" s="604" t="s">
        <v>270</v>
      </c>
      <c r="F404" s="604"/>
      <c r="G404" s="403" t="str">
        <f t="shared" ref="G404" si="131">G403</f>
        <v>P</v>
      </c>
      <c r="H404" s="403" t="s">
        <v>4324</v>
      </c>
      <c r="I404" s="32"/>
      <c r="J404" s="155"/>
      <c r="K404" s="116"/>
      <c r="L404" s="709"/>
      <c r="M404" s="691"/>
      <c r="N404" s="886"/>
      <c r="O404" s="886"/>
      <c r="X404" s="688"/>
      <c r="Y404" s="891"/>
      <c r="Z404" s="892"/>
      <c r="BJ404" s="573" t="s">
        <v>4670</v>
      </c>
    </row>
    <row r="405" spans="1:62" x14ac:dyDescent="0.35">
      <c r="A405" s="403">
        <v>6</v>
      </c>
      <c r="B405" s="609" t="s">
        <v>621</v>
      </c>
      <c r="C405" s="609"/>
      <c r="D405" s="604"/>
      <c r="E405" s="604" t="s">
        <v>272</v>
      </c>
      <c r="F405" s="604"/>
      <c r="G405" s="403" t="s">
        <v>4326</v>
      </c>
      <c r="H405" s="403" t="s">
        <v>4324</v>
      </c>
      <c r="I405" s="32"/>
      <c r="J405" s="19" t="s">
        <v>272</v>
      </c>
      <c r="K405" s="46"/>
      <c r="L405" s="707" t="s">
        <v>624</v>
      </c>
      <c r="M405" s="750" t="str">
        <f>IF(R405,"Mandatory
2","N/A")</f>
        <v>Mandatory
2</v>
      </c>
      <c r="N405" s="868">
        <f>'Ch6'!O150</f>
        <v>2</v>
      </c>
      <c r="O405" s="834">
        <f>IF(AND(S405,W405="Met"),2,0)</f>
        <v>2</v>
      </c>
      <c r="P405" t="b">
        <v>1</v>
      </c>
      <c r="Q405" t="b">
        <v>0</v>
      </c>
      <c r="R405" t="b">
        <f>S405</f>
        <v>1</v>
      </c>
      <c r="S405" t="b">
        <v>1</v>
      </c>
      <c r="T405" t="b">
        <v>0</v>
      </c>
      <c r="U405" t="str">
        <f>SUBSTITUTE(SUBSTITUTE(SUBSTITUTE("dd"&amp;B405&amp;C405&amp;D405&amp;E405&amp;F405,".","_"),"(","_"),")","")</f>
        <v>dd602_1_7_1_2</v>
      </c>
      <c r="W405" s="9" t="s">
        <v>3239</v>
      </c>
      <c r="X405" s="688"/>
      <c r="Y405" s="891" t="str">
        <f>IF(LEN('Ch6'!X150)=0,"None",'Ch6'!X150)</f>
        <v>None</v>
      </c>
      <c r="Z405" s="892"/>
      <c r="AC405" t="b">
        <f>OR(AD405:AE405)</f>
        <v>0</v>
      </c>
      <c r="AD405" t="b">
        <f>T405</f>
        <v>0</v>
      </c>
      <c r="AE405" t="b">
        <f>OR(AND(R405,NOT(W405="Met"),NOT(W405="N/A")),AND(W405="N/A",ISBLANK(X405)))</f>
        <v>0</v>
      </c>
      <c r="AF405" t="b">
        <f>AND(AE405,NOT(Q405))</f>
        <v>0</v>
      </c>
      <c r="AL405" t="str">
        <f>SUBSTITUTE(SUBSTITUTE(SUBSTITUTE("vpa"&amp;$B405&amp;$C405&amp;$D405&amp;$E405&amp;$F405,".","_"),"(","_"),")","")</f>
        <v>vpa602_1_7_1_2</v>
      </c>
      <c r="AM405" t="str">
        <f>M405</f>
        <v>Mandatory
2</v>
      </c>
      <c r="AN405" t="str">
        <f>SUBSTITUTE(SUBSTITUTE(SUBSTITUTE("vpc"&amp;$B405&amp;$C405&amp;$D405&amp;$E405&amp;$F405,".","_"),"(","_"),")","")</f>
        <v>vpc602_1_7_1_2</v>
      </c>
      <c r="AO405">
        <f>O405</f>
        <v>2</v>
      </c>
      <c r="AP405" t="str">
        <f>SUBSTITUTE(SUBSTITUTE(SUBSTITUTE("vch"&amp;$B405&amp;$C405&amp;$D405&amp;$E405&amp;$F405,".","_"),"(","_"),")","")</f>
        <v>vch602_1_7_1_2</v>
      </c>
      <c r="AQ405" t="str">
        <f>W405</f>
        <v>Met</v>
      </c>
      <c r="AR405" t="str">
        <f>SUBSTITUTE(SUBSTITUTE(SUBSTITUTE("vnt"&amp;$B405&amp;$C405&amp;$D405&amp;$E405&amp;$F405,".","_"),"(","_"),")","")</f>
        <v>vnt602_1_7_1_2</v>
      </c>
      <c r="AS405">
        <f>X405</f>
        <v>0</v>
      </c>
      <c r="BJ405" s="573" t="s">
        <v>4670</v>
      </c>
    </row>
    <row r="406" spans="1:62" x14ac:dyDescent="0.35">
      <c r="A406" s="403">
        <v>6</v>
      </c>
      <c r="B406" s="609" t="s">
        <v>621</v>
      </c>
      <c r="C406" s="609"/>
      <c r="D406" s="604"/>
      <c r="E406" s="604" t="s">
        <v>272</v>
      </c>
      <c r="F406" s="604"/>
      <c r="G406" s="403" t="s">
        <v>4326</v>
      </c>
      <c r="H406" s="403" t="s">
        <v>4324</v>
      </c>
      <c r="I406" s="32"/>
      <c r="J406" s="4"/>
      <c r="K406" s="46"/>
      <c r="L406" s="707"/>
      <c r="M406" s="750"/>
      <c r="N406" s="834"/>
      <c r="O406" s="834"/>
      <c r="X406" s="688"/>
      <c r="Y406" s="891"/>
      <c r="Z406" s="892"/>
      <c r="BJ406" s="573" t="s">
        <v>4670</v>
      </c>
    </row>
    <row r="407" spans="1:62" x14ac:dyDescent="0.35">
      <c r="A407" s="403">
        <v>6</v>
      </c>
      <c r="B407" s="609" t="s">
        <v>621</v>
      </c>
      <c r="C407" s="609"/>
      <c r="D407" s="604"/>
      <c r="E407" s="604" t="s">
        <v>272</v>
      </c>
      <c r="F407" s="604"/>
      <c r="G407" s="403" t="s">
        <v>4326</v>
      </c>
      <c r="H407" s="403" t="s">
        <v>4324</v>
      </c>
      <c r="I407" s="32"/>
      <c r="J407" s="155"/>
      <c r="K407" s="116"/>
      <c r="L407" s="121" t="s">
        <v>1301</v>
      </c>
      <c r="M407" s="751"/>
      <c r="N407" s="886"/>
      <c r="O407" s="886"/>
      <c r="X407" s="688"/>
      <c r="Y407" s="891"/>
      <c r="Z407" s="892"/>
      <c r="BJ407" s="573" t="s">
        <v>4670</v>
      </c>
    </row>
    <row r="408" spans="1:62" x14ac:dyDescent="0.35">
      <c r="A408" s="403">
        <v>6</v>
      </c>
      <c r="B408" s="609" t="s">
        <v>621</v>
      </c>
      <c r="C408" s="609"/>
      <c r="D408" s="604"/>
      <c r="E408" s="604" t="s">
        <v>274</v>
      </c>
      <c r="F408" s="604"/>
      <c r="G408" s="403" t="str">
        <f>IF(N408&gt;0,"P","")</f>
        <v/>
      </c>
      <c r="H408" s="403" t="s">
        <v>4324</v>
      </c>
      <c r="I408" s="32"/>
      <c r="J408" s="19" t="s">
        <v>274</v>
      </c>
      <c r="K408" s="46"/>
      <c r="L408" s="707" t="s">
        <v>625</v>
      </c>
      <c r="M408" s="737">
        <v>4</v>
      </c>
      <c r="N408" s="868">
        <f>'Ch6'!O153</f>
        <v>0</v>
      </c>
      <c r="O408" s="834">
        <f>M408*S408*W408</f>
        <v>0</v>
      </c>
      <c r="P408" t="b">
        <v>1</v>
      </c>
      <c r="Q408" t="b">
        <v>0</v>
      </c>
      <c r="R408" t="b">
        <v>0</v>
      </c>
      <c r="S408" t="b">
        <v>1</v>
      </c>
      <c r="T408" t="b">
        <v>0</v>
      </c>
      <c r="W408" s="17"/>
      <c r="X408" s="688"/>
      <c r="Y408" s="891" t="str">
        <f>IF(LEN('Ch6'!X153)=0,"None",'Ch6'!X153)</f>
        <v>None</v>
      </c>
      <c r="Z408" s="892"/>
      <c r="AL408" t="str">
        <f>SUBSTITUTE(SUBSTITUTE(SUBSTITUTE("vpa"&amp;$B408&amp;$C408&amp;$D408&amp;$E408&amp;$F408,".","_"),"(","_"),")","")</f>
        <v>vpa602_1_7_1_3</v>
      </c>
      <c r="AM408">
        <f>M408</f>
        <v>4</v>
      </c>
      <c r="AN408" t="str">
        <f>SUBSTITUTE(SUBSTITUTE(SUBSTITUTE("vpc"&amp;$B408&amp;$C408&amp;$D408&amp;$E408&amp;$F408,".","_"),"(","_"),")","")</f>
        <v>vpc602_1_7_1_3</v>
      </c>
      <c r="AO408">
        <f>O408</f>
        <v>0</v>
      </c>
      <c r="AP408" t="str">
        <f>SUBSTITUTE(SUBSTITUTE(SUBSTITUTE("vch"&amp;$B408&amp;$C408&amp;$D408&amp;$E408&amp;$F408,".","_"),"(","_"),")","")</f>
        <v>vch602_1_7_1_3</v>
      </c>
      <c r="AQ408">
        <f>W408</f>
        <v>0</v>
      </c>
      <c r="AR408" t="str">
        <f>SUBSTITUTE(SUBSTITUTE(SUBSTITUTE("vnt"&amp;$B408&amp;$C408&amp;$D408&amp;$E408&amp;$F408,".","_"),"(","_"),")","")</f>
        <v>vnt602_1_7_1_3</v>
      </c>
      <c r="AS408">
        <f>X408</f>
        <v>0</v>
      </c>
      <c r="BJ408" s="573" t="s">
        <v>4670</v>
      </c>
    </row>
    <row r="409" spans="1:62" x14ac:dyDescent="0.35">
      <c r="A409" s="403">
        <v>6</v>
      </c>
      <c r="B409" s="609" t="s">
        <v>621</v>
      </c>
      <c r="C409" s="609"/>
      <c r="D409" s="604"/>
      <c r="E409" s="604" t="s">
        <v>274</v>
      </c>
      <c r="F409" s="604"/>
      <c r="G409" s="403" t="str">
        <f t="shared" ref="G409" si="132">G408</f>
        <v/>
      </c>
      <c r="H409" s="403" t="s">
        <v>4324</v>
      </c>
      <c r="I409" s="161"/>
      <c r="J409" s="155"/>
      <c r="K409" s="116"/>
      <c r="L409" s="709"/>
      <c r="M409" s="756"/>
      <c r="N409" s="886"/>
      <c r="O409" s="886"/>
      <c r="X409" s="688"/>
      <c r="Y409" s="891"/>
      <c r="Z409" s="892"/>
      <c r="BJ409" s="573" t="s">
        <v>4670</v>
      </c>
    </row>
    <row r="410" spans="1:62" ht="15" customHeight="1" x14ac:dyDescent="0.35">
      <c r="A410" s="403">
        <v>6</v>
      </c>
      <c r="B410" s="609" t="s">
        <v>626</v>
      </c>
      <c r="C410" s="609"/>
      <c r="D410" s="604"/>
      <c r="E410" s="604"/>
      <c r="F410" s="604"/>
      <c r="G410" s="403" t="str">
        <f>IF(N410&gt;0,"P","")</f>
        <v/>
      </c>
      <c r="H410" s="403" t="s">
        <v>4323</v>
      </c>
      <c r="I410" s="135" t="s">
        <v>627</v>
      </c>
      <c r="J410" s="136"/>
      <c r="K410" s="137"/>
      <c r="L410" s="753" t="s">
        <v>628</v>
      </c>
      <c r="M410" s="712">
        <v>2</v>
      </c>
      <c r="N410" s="868">
        <f>'Ch6'!O155</f>
        <v>0</v>
      </c>
      <c r="O410" s="868">
        <f>M410*S410*W410</f>
        <v>0</v>
      </c>
      <c r="P410" t="b">
        <v>1</v>
      </c>
      <c r="Q410" t="b">
        <v>1</v>
      </c>
      <c r="R410" t="b">
        <v>0</v>
      </c>
      <c r="S410" t="b">
        <v>1</v>
      </c>
      <c r="T410" t="b">
        <v>0</v>
      </c>
      <c r="W410" s="17"/>
      <c r="X410" s="688"/>
      <c r="Y410" s="891" t="str">
        <f>IF(LEN('Ch6'!X155)=0,"None",'Ch6'!X155)</f>
        <v>None</v>
      </c>
      <c r="Z410" s="892"/>
      <c r="AL410" t="str">
        <f>SUBSTITUTE(SUBSTITUTE(SUBSTITUTE("vpa"&amp;$B410&amp;$C410&amp;$D410&amp;$E410&amp;$F410,".","_"),"(","_"),")","")</f>
        <v>vpa602_1_7_2</v>
      </c>
      <c r="AM410">
        <f>M410</f>
        <v>2</v>
      </c>
      <c r="AN410" t="str">
        <f>SUBSTITUTE(SUBSTITUTE(SUBSTITUTE("vpc"&amp;$B410&amp;$C410&amp;$D410&amp;$E410&amp;$F410,".","_"),"(","_"),")","")</f>
        <v>vpc602_1_7_2</v>
      </c>
      <c r="AO410">
        <f>O410</f>
        <v>0</v>
      </c>
      <c r="AP410" t="str">
        <f>SUBSTITUTE(SUBSTITUTE(SUBSTITUTE("vch"&amp;$B410&amp;$C410&amp;$D410&amp;$E410&amp;$F410,".","_"),"(","_"),")","")</f>
        <v>vch602_1_7_2</v>
      </c>
      <c r="AQ410">
        <f>W410</f>
        <v>0</v>
      </c>
      <c r="AR410" t="str">
        <f>SUBSTITUTE(SUBSTITUTE(SUBSTITUTE("vnt"&amp;$B410&amp;$C410&amp;$D410&amp;$E410&amp;$F410,".","_"),"(","_"),")","")</f>
        <v>vnt602_1_7_2</v>
      </c>
      <c r="AS410">
        <f>X410</f>
        <v>0</v>
      </c>
      <c r="BJ410" s="573" t="s">
        <v>4670</v>
      </c>
    </row>
    <row r="411" spans="1:62" x14ac:dyDescent="0.35">
      <c r="A411" s="403">
        <v>6</v>
      </c>
      <c r="B411" s="608" t="s">
        <v>626</v>
      </c>
      <c r="C411" s="608"/>
      <c r="D411" s="604"/>
      <c r="E411" s="604"/>
      <c r="F411" s="604"/>
      <c r="G411" s="403" t="str">
        <f t="shared" ref="G411" si="133">G410</f>
        <v/>
      </c>
      <c r="H411" s="403" t="s">
        <v>4323</v>
      </c>
      <c r="I411" s="161"/>
      <c r="J411" s="155"/>
      <c r="K411" s="116"/>
      <c r="L411" s="739"/>
      <c r="M411" s="691"/>
      <c r="N411" s="886"/>
      <c r="O411" s="886"/>
      <c r="X411" s="688"/>
      <c r="Y411" s="891"/>
      <c r="Z411" s="892"/>
      <c r="BJ411" s="573" t="s">
        <v>4670</v>
      </c>
    </row>
    <row r="412" spans="1:62" x14ac:dyDescent="0.35">
      <c r="A412" s="403">
        <v>6</v>
      </c>
      <c r="B412" s="608" t="s">
        <v>629</v>
      </c>
      <c r="C412" s="608"/>
      <c r="D412" s="604"/>
      <c r="E412" s="604"/>
      <c r="F412" s="604"/>
      <c r="G412" s="403" t="str">
        <f>IF(N412&gt;0,"P","")</f>
        <v/>
      </c>
      <c r="H412" s="403" t="s">
        <v>4324</v>
      </c>
      <c r="I412" s="32" t="s">
        <v>630</v>
      </c>
      <c r="J412" s="4"/>
      <c r="K412" s="46"/>
      <c r="L412" s="706" t="s">
        <v>631</v>
      </c>
      <c r="M412" s="690">
        <v>4</v>
      </c>
      <c r="N412" s="868">
        <f>'Ch6'!O157</f>
        <v>0</v>
      </c>
      <c r="O412" s="834">
        <f>M412*S412*W412</f>
        <v>0</v>
      </c>
      <c r="P412" t="b">
        <v>1</v>
      </c>
      <c r="Q412" t="b">
        <v>0</v>
      </c>
      <c r="R412" t="b">
        <v>0</v>
      </c>
      <c r="S412" t="b">
        <v>1</v>
      </c>
      <c r="T412" t="b">
        <v>0</v>
      </c>
      <c r="W412" s="17"/>
      <c r="X412" s="688"/>
      <c r="Y412" s="891" t="str">
        <f>IF(LEN('Ch6'!X157)=0,"None",'Ch6'!X157)</f>
        <v>None</v>
      </c>
      <c r="Z412" s="892"/>
      <c r="AL412" t="str">
        <f>SUBSTITUTE(SUBSTITUTE(SUBSTITUTE("vpa"&amp;$B412&amp;$C412&amp;$D412&amp;$E412&amp;$F412,".","_"),"(","_"),")","")</f>
        <v>vpa602_1_7_3</v>
      </c>
      <c r="AM412">
        <f>M412</f>
        <v>4</v>
      </c>
      <c r="AN412" t="str">
        <f>SUBSTITUTE(SUBSTITUTE(SUBSTITUTE("vpc"&amp;$B412&amp;$C412&amp;$D412&amp;$E412&amp;$F412,".","_"),"(","_"),")","")</f>
        <v>vpc602_1_7_3</v>
      </c>
      <c r="AO412">
        <f>O412</f>
        <v>0</v>
      </c>
      <c r="AP412" t="str">
        <f>SUBSTITUTE(SUBSTITUTE(SUBSTITUTE("vch"&amp;$B412&amp;$C412&amp;$D412&amp;$E412&amp;$F412,".","_"),"(","_"),")","")</f>
        <v>vch602_1_7_3</v>
      </c>
      <c r="AQ412">
        <f>W412</f>
        <v>0</v>
      </c>
      <c r="AR412" t="str">
        <f>SUBSTITUTE(SUBSTITUTE(SUBSTITUTE("vnt"&amp;$B412&amp;$C412&amp;$D412&amp;$E412&amp;$F412,".","_"),"(","_"),")","")</f>
        <v>vnt602_1_7_3</v>
      </c>
      <c r="AS412">
        <f>X412</f>
        <v>0</v>
      </c>
      <c r="BJ412" s="573" t="s">
        <v>4670</v>
      </c>
    </row>
    <row r="413" spans="1:62" x14ac:dyDescent="0.35">
      <c r="A413" s="403">
        <v>6</v>
      </c>
      <c r="B413" s="608" t="s">
        <v>629</v>
      </c>
      <c r="C413" s="608"/>
      <c r="D413" s="604"/>
      <c r="E413" s="604"/>
      <c r="F413" s="604"/>
      <c r="G413" s="403" t="str">
        <f t="shared" ref="G413:G415" si="134">G412</f>
        <v/>
      </c>
      <c r="H413" s="403" t="s">
        <v>4324</v>
      </c>
      <c r="I413" s="32"/>
      <c r="J413" s="4"/>
      <c r="K413" s="46"/>
      <c r="L413" s="706"/>
      <c r="M413" s="690"/>
      <c r="N413" s="834"/>
      <c r="O413" s="834"/>
      <c r="X413" s="688"/>
      <c r="Y413" s="891"/>
      <c r="Z413" s="892"/>
      <c r="BJ413" s="573" t="s">
        <v>4670</v>
      </c>
    </row>
    <row r="414" spans="1:62" x14ac:dyDescent="0.35">
      <c r="A414" s="403">
        <v>6</v>
      </c>
      <c r="B414" s="608" t="s">
        <v>629</v>
      </c>
      <c r="C414" s="608"/>
      <c r="D414" s="604"/>
      <c r="E414" s="604"/>
      <c r="F414" s="604"/>
      <c r="G414" s="403" t="str">
        <f t="shared" si="134"/>
        <v/>
      </c>
      <c r="H414" s="403" t="s">
        <v>4324</v>
      </c>
      <c r="I414" s="32"/>
      <c r="J414" s="4"/>
      <c r="K414" s="46"/>
      <c r="L414" s="706"/>
      <c r="M414" s="690"/>
      <c r="N414" s="834"/>
      <c r="O414" s="834"/>
      <c r="X414" s="688"/>
      <c r="Y414" s="891"/>
      <c r="Z414" s="892"/>
      <c r="BJ414" s="573" t="s">
        <v>4670</v>
      </c>
    </row>
    <row r="415" spans="1:62" ht="15" thickBot="1" x14ac:dyDescent="0.4">
      <c r="A415" s="403">
        <v>6</v>
      </c>
      <c r="B415" s="608" t="s">
        <v>629</v>
      </c>
      <c r="C415" s="608"/>
      <c r="D415" s="604"/>
      <c r="E415" s="604"/>
      <c r="F415" s="604"/>
      <c r="G415" s="403" t="str">
        <f t="shared" si="134"/>
        <v/>
      </c>
      <c r="H415" s="403" t="s">
        <v>4324</v>
      </c>
      <c r="I415" s="32"/>
      <c r="J415" s="4"/>
      <c r="K415" s="46"/>
      <c r="L415" s="706"/>
      <c r="M415" s="690"/>
      <c r="N415" s="938"/>
      <c r="O415" s="834"/>
      <c r="W415" s="67"/>
      <c r="X415" s="698"/>
      <c r="Y415" s="905"/>
      <c r="Z415" s="895"/>
      <c r="BJ415" s="573" t="s">
        <v>4670</v>
      </c>
    </row>
    <row r="416" spans="1:62" ht="15" thickTop="1" x14ac:dyDescent="0.35">
      <c r="A416" s="403">
        <v>6</v>
      </c>
      <c r="B416" s="608" t="s">
        <v>632</v>
      </c>
      <c r="C416" s="604"/>
      <c r="D416" s="604"/>
      <c r="E416" s="604"/>
      <c r="F416" s="604"/>
      <c r="G416" s="403" t="s">
        <v>4326</v>
      </c>
      <c r="H416" s="403" t="s">
        <v>4324</v>
      </c>
      <c r="I416" s="123" t="s">
        <v>632</v>
      </c>
      <c r="J416" s="124"/>
      <c r="K416" s="125"/>
      <c r="L416" s="711" t="s">
        <v>633</v>
      </c>
      <c r="M416" s="749" t="str">
        <f>IF(R416,"Mandatory","N/A")</f>
        <v>Mandatory</v>
      </c>
      <c r="N416" s="195"/>
      <c r="O416" s="195"/>
      <c r="P416" t="b">
        <v>1</v>
      </c>
      <c r="Q416" t="b">
        <v>0</v>
      </c>
      <c r="R416" s="62" t="b">
        <f>S416</f>
        <v>1</v>
      </c>
      <c r="S416" s="62" t="b">
        <v>1</v>
      </c>
      <c r="T416" s="62" t="b">
        <v>0</v>
      </c>
      <c r="U416" s="62" t="str">
        <f>SUBSTITUTE(SUBSTITUTE(SUBSTITUTE("dd"&amp;B416&amp;C416&amp;D416&amp;E416&amp;F416,".","_"),"(","_"),")","")</f>
        <v>dd602_1_8</v>
      </c>
      <c r="V416" s="62"/>
      <c r="W416" s="9" t="s">
        <v>3239</v>
      </c>
      <c r="X416" s="687"/>
      <c r="Y416" s="904" t="str">
        <f>IF(LEN('Ch6'!X161)=0,"None",'Ch6'!X161)</f>
        <v>Hardie™ Weather Barrier</v>
      </c>
      <c r="Z416" s="896"/>
      <c r="AA416">
        <f>'Photo Review'!H416</f>
        <v>0</v>
      </c>
      <c r="AC416" t="b">
        <f>OR(AD416:AE416)</f>
        <v>0</v>
      </c>
      <c r="AD416" t="b">
        <f>T416</f>
        <v>0</v>
      </c>
      <c r="AE416" t="b">
        <f>OR(AND(R416,NOT(W416="Met"),NOT(W416="N/A")),AND(W416="N/A",ISBLANK(X416)))</f>
        <v>0</v>
      </c>
      <c r="AF416" t="b">
        <f>AND(AE416,NOT(Q416))</f>
        <v>0</v>
      </c>
      <c r="AL416" t="str">
        <f>SUBSTITUTE(SUBSTITUTE(SUBSTITUTE("vpa"&amp;$B416&amp;$C416&amp;$D416&amp;$E416&amp;$F416,".","_"),"(","_"),")","")</f>
        <v>vpa602_1_8</v>
      </c>
      <c r="AM416" t="str">
        <f>M416</f>
        <v>Mandatory</v>
      </c>
      <c r="AP416" t="str">
        <f>SUBSTITUTE(SUBSTITUTE(SUBSTITUTE("vch"&amp;$B416&amp;$C416&amp;$D416&amp;$E416&amp;$F416,".","_"),"(","_"),")","")</f>
        <v>vch602_1_8</v>
      </c>
      <c r="AQ416" t="str">
        <f>W416</f>
        <v>Met</v>
      </c>
      <c r="AR416" t="str">
        <f>SUBSTITUTE(SUBSTITUTE(SUBSTITUTE("vnt"&amp;$B416&amp;$C416&amp;$D416&amp;$E416&amp;$F416,".","_"),"(","_"),")","")</f>
        <v>vnt602_1_8</v>
      </c>
      <c r="AS416">
        <f>X416</f>
        <v>0</v>
      </c>
      <c r="BJ416" s="573" t="s">
        <v>4670</v>
      </c>
    </row>
    <row r="417" spans="1:62" x14ac:dyDescent="0.35">
      <c r="A417" s="403">
        <v>6</v>
      </c>
      <c r="B417" s="608" t="s">
        <v>632</v>
      </c>
      <c r="C417" s="604"/>
      <c r="D417" s="604"/>
      <c r="E417" s="604"/>
      <c r="F417" s="604"/>
      <c r="G417" s="403" t="s">
        <v>4326</v>
      </c>
      <c r="H417" s="403" t="s">
        <v>4324</v>
      </c>
      <c r="I417" s="32"/>
      <c r="J417" s="4"/>
      <c r="K417" s="46"/>
      <c r="L417" s="706"/>
      <c r="M417" s="740"/>
      <c r="N417" s="44"/>
      <c r="O417" s="44"/>
      <c r="X417" s="688"/>
      <c r="Y417" s="891"/>
      <c r="Z417" s="892"/>
      <c r="BJ417" s="573" t="s">
        <v>4670</v>
      </c>
    </row>
    <row r="418" spans="1:62" ht="15" thickBot="1" x14ac:dyDescent="0.4">
      <c r="A418" s="403">
        <v>6</v>
      </c>
      <c r="B418" s="608" t="s">
        <v>632</v>
      </c>
      <c r="C418" s="604"/>
      <c r="D418" s="604"/>
      <c r="E418" s="604"/>
      <c r="F418" s="604"/>
      <c r="G418" s="403" t="s">
        <v>4326</v>
      </c>
      <c r="H418" s="403" t="s">
        <v>4324</v>
      </c>
      <c r="I418" s="32"/>
      <c r="J418" s="4"/>
      <c r="K418" s="46"/>
      <c r="L418" s="197" t="s">
        <v>1301</v>
      </c>
      <c r="M418" s="740"/>
      <c r="N418" s="44"/>
      <c r="O418" s="44"/>
      <c r="X418" s="698"/>
      <c r="Y418" s="905"/>
      <c r="Z418" s="895"/>
      <c r="BJ418" s="573" t="s">
        <v>4670</v>
      </c>
    </row>
    <row r="419" spans="1:62" ht="15" thickTop="1" x14ac:dyDescent="0.35">
      <c r="A419" s="403">
        <v>6</v>
      </c>
      <c r="B419" s="608" t="s">
        <v>634</v>
      </c>
      <c r="C419" s="604"/>
      <c r="D419" s="604"/>
      <c r="E419" s="604"/>
      <c r="F419" s="604"/>
      <c r="G419" s="403" t="s">
        <v>4326</v>
      </c>
      <c r="H419" s="403" t="s">
        <v>4324</v>
      </c>
      <c r="I419" s="123" t="s">
        <v>634</v>
      </c>
      <c r="J419" s="124"/>
      <c r="K419" s="125"/>
      <c r="L419" s="711" t="s">
        <v>635</v>
      </c>
      <c r="M419" s="199"/>
      <c r="N419" s="195"/>
      <c r="O419" s="195"/>
      <c r="P419" s="62"/>
      <c r="Q419" s="62"/>
      <c r="R419" s="62"/>
      <c r="S419" s="62"/>
      <c r="T419" s="62"/>
      <c r="U419" s="62"/>
      <c r="V419" s="62"/>
      <c r="W419" s="62"/>
      <c r="X419" s="62"/>
      <c r="Z419" s="543"/>
      <c r="BJ419" s="573" t="s">
        <v>4670</v>
      </c>
    </row>
    <row r="420" spans="1:62" x14ac:dyDescent="0.35">
      <c r="A420" s="403">
        <v>6</v>
      </c>
      <c r="B420" s="608" t="s">
        <v>634</v>
      </c>
      <c r="C420" s="604"/>
      <c r="D420" s="604"/>
      <c r="E420" s="604"/>
      <c r="F420" s="604"/>
      <c r="G420" s="403" t="s">
        <v>4326</v>
      </c>
      <c r="H420" s="403" t="s">
        <v>4324</v>
      </c>
      <c r="I420" s="32"/>
      <c r="J420" s="4"/>
      <c r="K420" s="46"/>
      <c r="L420" s="706"/>
      <c r="M420" s="43"/>
      <c r="N420" s="44"/>
      <c r="O420" s="44"/>
      <c r="Z420" s="543"/>
      <c r="BJ420" s="573" t="s">
        <v>4670</v>
      </c>
    </row>
    <row r="421" spans="1:62" x14ac:dyDescent="0.35">
      <c r="A421" s="403">
        <v>6</v>
      </c>
      <c r="B421" s="608" t="s">
        <v>634</v>
      </c>
      <c r="C421" s="604"/>
      <c r="D421" s="604"/>
      <c r="E421" s="604"/>
      <c r="F421" s="604"/>
      <c r="G421" s="403" t="s">
        <v>4326</v>
      </c>
      <c r="H421" s="403" t="s">
        <v>4324</v>
      </c>
      <c r="I421" s="32"/>
      <c r="J421" s="4"/>
      <c r="K421" s="46"/>
      <c r="L421" s="706"/>
      <c r="M421" s="43"/>
      <c r="N421" s="44"/>
      <c r="O421" s="44"/>
      <c r="Z421" s="543"/>
      <c r="BJ421" s="573" t="s">
        <v>4670</v>
      </c>
    </row>
    <row r="422" spans="1:62" x14ac:dyDescent="0.35">
      <c r="A422" s="403">
        <v>6</v>
      </c>
      <c r="B422" s="608" t="s">
        <v>634</v>
      </c>
      <c r="C422" s="604"/>
      <c r="D422" s="604"/>
      <c r="E422" s="604"/>
      <c r="F422" s="604"/>
      <c r="G422" s="403" t="s">
        <v>4326</v>
      </c>
      <c r="H422" s="403" t="s">
        <v>4324</v>
      </c>
      <c r="I422" s="32"/>
      <c r="J422" s="4"/>
      <c r="K422" s="46"/>
      <c r="L422" s="706"/>
      <c r="M422" s="43"/>
      <c r="N422" s="44"/>
      <c r="O422" s="44"/>
      <c r="Z422" s="543"/>
      <c r="BJ422" s="573" t="s">
        <v>4670</v>
      </c>
    </row>
    <row r="423" spans="1:62" x14ac:dyDescent="0.35">
      <c r="A423" s="403">
        <v>6</v>
      </c>
      <c r="B423" s="608" t="s">
        <v>634</v>
      </c>
      <c r="C423" s="604"/>
      <c r="D423" s="604"/>
      <c r="E423" s="604"/>
      <c r="F423" s="604"/>
      <c r="G423" s="403" t="s">
        <v>4326</v>
      </c>
      <c r="H423" s="403" t="s">
        <v>4324</v>
      </c>
      <c r="I423" s="32"/>
      <c r="J423" s="4"/>
      <c r="K423" s="46"/>
      <c r="L423" s="706"/>
      <c r="M423" s="43"/>
      <c r="N423" s="44"/>
      <c r="O423" s="44"/>
      <c r="Z423" s="543"/>
      <c r="BJ423" s="573" t="s">
        <v>4670</v>
      </c>
    </row>
    <row r="424" spans="1:62" x14ac:dyDescent="0.35">
      <c r="A424" s="403">
        <v>6</v>
      </c>
      <c r="B424" s="608" t="s">
        <v>634</v>
      </c>
      <c r="C424" s="604"/>
      <c r="D424" s="604"/>
      <c r="E424" s="604" t="s">
        <v>270</v>
      </c>
      <c r="F424" s="604"/>
      <c r="G424" s="403" t="s">
        <v>4326</v>
      </c>
      <c r="H424" s="403" t="s">
        <v>4324</v>
      </c>
      <c r="I424" s="32"/>
      <c r="J424" s="19" t="s">
        <v>270</v>
      </c>
      <c r="K424" s="46"/>
      <c r="L424" s="46" t="s">
        <v>636</v>
      </c>
      <c r="M424" s="740" t="str">
        <f>IF(R424,"Mandatory","N/A")</f>
        <v>Mandatory</v>
      </c>
      <c r="N424" s="44"/>
      <c r="O424" s="44"/>
      <c r="P424" t="b">
        <v>1</v>
      </c>
      <c r="Q424" t="b">
        <v>0</v>
      </c>
      <c r="R424" t="b">
        <f>S424</f>
        <v>1</v>
      </c>
      <c r="S424" t="b">
        <v>1</v>
      </c>
      <c r="T424" t="b">
        <v>0</v>
      </c>
      <c r="W424" s="17" t="b">
        <v>1</v>
      </c>
      <c r="X424" s="688"/>
      <c r="Y424" s="891" t="str">
        <f>IF(LEN('Ch6'!X169)=0,"None",'Ch6'!X169)</f>
        <v>Hardie™ Pro-Flashing</v>
      </c>
      <c r="Z424" s="892"/>
      <c r="AC424" t="b">
        <f>OR(AD424:AE424)</f>
        <v>0</v>
      </c>
      <c r="AD424" t="b">
        <f>T424</f>
        <v>0</v>
      </c>
      <c r="AE424" t="b">
        <f>NOT(W424)</f>
        <v>0</v>
      </c>
      <c r="AF424" t="b">
        <f>AND(AE424,NOT(Q424))</f>
        <v>0</v>
      </c>
      <c r="AL424" t="str">
        <f>SUBSTITUTE(SUBSTITUTE(SUBSTITUTE("vpa"&amp;$B424&amp;$C424&amp;$D424&amp;$E424&amp;$F424,".","_"),"(","_"),")","")</f>
        <v>vpa602_1_9_1</v>
      </c>
      <c r="AM424" t="str">
        <f>M424</f>
        <v>Mandatory</v>
      </c>
      <c r="AP424" t="str">
        <f>SUBSTITUTE(SUBSTITUTE(SUBSTITUTE("vch"&amp;$B424&amp;$C424&amp;$D424&amp;$E424&amp;$F424,".","_"),"(","_"),")","")</f>
        <v>vch602_1_9_1</v>
      </c>
      <c r="AQ424" t="b">
        <f>W424</f>
        <v>1</v>
      </c>
      <c r="AR424" t="str">
        <f>SUBSTITUTE(SUBSTITUTE(SUBSTITUTE("vnt"&amp;$B424&amp;$C424&amp;$D424&amp;$E424&amp;$F424,".","_"),"(","_"),")","")</f>
        <v>vnt602_1_9_1</v>
      </c>
      <c r="AS424">
        <f>X424</f>
        <v>0</v>
      </c>
      <c r="BJ424" s="573" t="s">
        <v>4670</v>
      </c>
    </row>
    <row r="425" spans="1:62" x14ac:dyDescent="0.35">
      <c r="A425" s="403">
        <v>6</v>
      </c>
      <c r="B425" s="608" t="s">
        <v>634</v>
      </c>
      <c r="C425" s="604"/>
      <c r="D425" s="604"/>
      <c r="E425" s="604" t="s">
        <v>270</v>
      </c>
      <c r="F425" s="604" t="s">
        <v>121</v>
      </c>
      <c r="G425" s="403" t="s">
        <v>4326</v>
      </c>
      <c r="H425" s="605" t="s">
        <v>4324</v>
      </c>
      <c r="I425" s="32"/>
      <c r="J425" s="4"/>
      <c r="K425" s="50" t="s">
        <v>121</v>
      </c>
      <c r="L425" s="46" t="s">
        <v>637</v>
      </c>
      <c r="M425" s="740"/>
      <c r="N425" s="44"/>
      <c r="O425" s="44"/>
      <c r="X425" s="688"/>
      <c r="Y425" s="891"/>
      <c r="Z425" s="892"/>
      <c r="BJ425" s="573" t="s">
        <v>4670</v>
      </c>
    </row>
    <row r="426" spans="1:62" x14ac:dyDescent="0.35">
      <c r="A426" s="403">
        <v>6</v>
      </c>
      <c r="B426" s="608" t="s">
        <v>634</v>
      </c>
      <c r="C426" s="604"/>
      <c r="D426" s="604"/>
      <c r="E426" s="604" t="s">
        <v>270</v>
      </c>
      <c r="F426" s="604" t="s">
        <v>122</v>
      </c>
      <c r="G426" s="403" t="s">
        <v>4326</v>
      </c>
      <c r="H426" s="605" t="s">
        <v>4324</v>
      </c>
      <c r="I426" s="32"/>
      <c r="J426" s="4"/>
      <c r="K426" s="50" t="s">
        <v>122</v>
      </c>
      <c r="L426" s="46" t="s">
        <v>638</v>
      </c>
      <c r="M426" s="740"/>
      <c r="N426" s="44"/>
      <c r="O426" s="44"/>
      <c r="X426" s="688"/>
      <c r="Y426" s="891"/>
      <c r="Z426" s="892"/>
      <c r="BJ426" s="573" t="s">
        <v>4670</v>
      </c>
    </row>
    <row r="427" spans="1:62" x14ac:dyDescent="0.35">
      <c r="A427" s="403">
        <v>6</v>
      </c>
      <c r="B427" s="608" t="s">
        <v>634</v>
      </c>
      <c r="C427" s="604"/>
      <c r="D427" s="604"/>
      <c r="E427" s="604" t="s">
        <v>270</v>
      </c>
      <c r="F427" s="606" t="s">
        <v>123</v>
      </c>
      <c r="G427" s="403" t="s">
        <v>4326</v>
      </c>
      <c r="H427" s="607" t="s">
        <v>4324</v>
      </c>
      <c r="I427" s="32"/>
      <c r="J427" s="4"/>
      <c r="K427" s="52" t="s">
        <v>123</v>
      </c>
      <c r="L427" s="46" t="s">
        <v>639</v>
      </c>
      <c r="M427" s="740"/>
      <c r="N427" s="44"/>
      <c r="O427" s="44"/>
      <c r="X427" s="688"/>
      <c r="Y427" s="891"/>
      <c r="Z427" s="892"/>
      <c r="BJ427" s="573" t="s">
        <v>4670</v>
      </c>
    </row>
    <row r="428" spans="1:62" x14ac:dyDescent="0.35">
      <c r="A428" s="403">
        <v>6</v>
      </c>
      <c r="B428" s="608" t="s">
        <v>634</v>
      </c>
      <c r="C428" s="604"/>
      <c r="D428" s="604"/>
      <c r="E428" s="604" t="s">
        <v>270</v>
      </c>
      <c r="F428" s="604" t="s">
        <v>420</v>
      </c>
      <c r="G428" s="403" t="s">
        <v>4326</v>
      </c>
      <c r="H428" s="403" t="s">
        <v>4324</v>
      </c>
      <c r="I428" s="32"/>
      <c r="J428" s="4"/>
      <c r="K428" s="48" t="s">
        <v>420</v>
      </c>
      <c r="L428" s="707" t="s">
        <v>640</v>
      </c>
      <c r="M428" s="740"/>
      <c r="N428" s="44"/>
      <c r="O428" s="44"/>
      <c r="X428" s="688"/>
      <c r="Y428" s="891"/>
      <c r="Z428" s="892"/>
      <c r="BJ428" s="573" t="s">
        <v>4670</v>
      </c>
    </row>
    <row r="429" spans="1:62" x14ac:dyDescent="0.35">
      <c r="A429" s="403">
        <v>6</v>
      </c>
      <c r="B429" s="608" t="s">
        <v>634</v>
      </c>
      <c r="C429" s="604"/>
      <c r="D429" s="604"/>
      <c r="E429" s="604" t="s">
        <v>270</v>
      </c>
      <c r="F429" s="604" t="s">
        <v>420</v>
      </c>
      <c r="G429" s="403" t="s">
        <v>4326</v>
      </c>
      <c r="H429" s="403" t="s">
        <v>4324</v>
      </c>
      <c r="I429" s="32"/>
      <c r="J429" s="4"/>
      <c r="K429" s="46"/>
      <c r="L429" s="707"/>
      <c r="M429" s="740"/>
      <c r="N429" s="44"/>
      <c r="O429" s="44"/>
      <c r="X429" s="688"/>
      <c r="Y429" s="891"/>
      <c r="Z429" s="892"/>
      <c r="BJ429" s="573" t="s">
        <v>4670</v>
      </c>
    </row>
    <row r="430" spans="1:62" x14ac:dyDescent="0.35">
      <c r="A430" s="403">
        <v>6</v>
      </c>
      <c r="B430" s="608" t="s">
        <v>634</v>
      </c>
      <c r="C430" s="604"/>
      <c r="D430" s="604"/>
      <c r="E430" s="604" t="s">
        <v>270</v>
      </c>
      <c r="F430" s="604" t="s">
        <v>575</v>
      </c>
      <c r="G430" s="403" t="s">
        <v>4326</v>
      </c>
      <c r="H430" s="403" t="s">
        <v>4324</v>
      </c>
      <c r="I430" s="32"/>
      <c r="J430" s="4"/>
      <c r="K430" s="48" t="s">
        <v>575</v>
      </c>
      <c r="L430" s="46" t="s">
        <v>641</v>
      </c>
      <c r="M430" s="740"/>
      <c r="N430" s="44"/>
      <c r="O430" s="44"/>
      <c r="X430" s="688"/>
      <c r="Y430" s="891"/>
      <c r="Z430" s="892"/>
      <c r="BJ430" s="573" t="s">
        <v>4670</v>
      </c>
    </row>
    <row r="431" spans="1:62" x14ac:dyDescent="0.35">
      <c r="A431" s="403">
        <v>6</v>
      </c>
      <c r="B431" s="608" t="s">
        <v>634</v>
      </c>
      <c r="C431" s="604"/>
      <c r="D431" s="604"/>
      <c r="E431" s="604" t="s">
        <v>270</v>
      </c>
      <c r="F431" s="606" t="s">
        <v>642</v>
      </c>
      <c r="G431" s="403" t="s">
        <v>4326</v>
      </c>
      <c r="H431" s="607" t="s">
        <v>4324</v>
      </c>
      <c r="I431" s="32"/>
      <c r="J431" s="4"/>
      <c r="K431" s="52" t="s">
        <v>642</v>
      </c>
      <c r="L431" s="46" t="s">
        <v>643</v>
      </c>
      <c r="M431" s="740"/>
      <c r="N431" s="44"/>
      <c r="O431" s="44"/>
      <c r="X431" s="688"/>
      <c r="Y431" s="891"/>
      <c r="Z431" s="892"/>
      <c r="BJ431" s="573" t="s">
        <v>4670</v>
      </c>
    </row>
    <row r="432" spans="1:62" x14ac:dyDescent="0.35">
      <c r="A432" s="403">
        <v>6</v>
      </c>
      <c r="B432" s="608" t="s">
        <v>634</v>
      </c>
      <c r="C432" s="604"/>
      <c r="D432" s="604"/>
      <c r="E432" s="604" t="s">
        <v>270</v>
      </c>
      <c r="F432" s="604" t="s">
        <v>644</v>
      </c>
      <c r="G432" s="403" t="s">
        <v>4326</v>
      </c>
      <c r="H432" s="403" t="s">
        <v>4324</v>
      </c>
      <c r="I432" s="32"/>
      <c r="J432" s="4"/>
      <c r="K432" s="48" t="s">
        <v>644</v>
      </c>
      <c r="L432" s="46" t="s">
        <v>645</v>
      </c>
      <c r="M432" s="740"/>
      <c r="N432" s="44"/>
      <c r="O432" s="44"/>
      <c r="X432" s="688"/>
      <c r="Y432" s="891"/>
      <c r="Z432" s="892"/>
      <c r="BJ432" s="573" t="s">
        <v>4670</v>
      </c>
    </row>
    <row r="433" spans="1:62" x14ac:dyDescent="0.35">
      <c r="A433" s="403">
        <v>6</v>
      </c>
      <c r="B433" s="608" t="s">
        <v>634</v>
      </c>
      <c r="C433" s="604"/>
      <c r="D433" s="604"/>
      <c r="E433" s="604" t="s">
        <v>270</v>
      </c>
      <c r="F433" s="604" t="s">
        <v>646</v>
      </c>
      <c r="G433" s="403" t="s">
        <v>4326</v>
      </c>
      <c r="H433" s="403" t="s">
        <v>4324</v>
      </c>
      <c r="I433" s="32"/>
      <c r="J433" s="155"/>
      <c r="K433" s="162" t="s">
        <v>646</v>
      </c>
      <c r="L433" s="116" t="s">
        <v>647</v>
      </c>
      <c r="M433" s="741"/>
      <c r="N433" s="44"/>
      <c r="O433" s="44"/>
      <c r="X433" s="688"/>
      <c r="Y433" s="891"/>
      <c r="Z433" s="892"/>
      <c r="BJ433" s="573" t="s">
        <v>4670</v>
      </c>
    </row>
    <row r="434" spans="1:62" x14ac:dyDescent="0.35">
      <c r="A434" s="403">
        <v>6</v>
      </c>
      <c r="B434" s="608" t="s">
        <v>634</v>
      </c>
      <c r="C434" s="604"/>
      <c r="D434" s="604"/>
      <c r="E434" s="604" t="s">
        <v>272</v>
      </c>
      <c r="F434" s="608"/>
      <c r="G434" s="403" t="str">
        <f>IF(N434&gt;0,"P","")</f>
        <v>P</v>
      </c>
      <c r="H434" s="414" t="s">
        <v>4324</v>
      </c>
      <c r="I434" s="32"/>
      <c r="J434" s="19" t="s">
        <v>272</v>
      </c>
      <c r="K434" s="46"/>
      <c r="L434" s="707" t="s">
        <v>648</v>
      </c>
      <c r="M434" s="690">
        <v>2</v>
      </c>
      <c r="N434" s="834">
        <f>'Ch6'!O179</f>
        <v>2</v>
      </c>
      <c r="O434" s="834">
        <f>M434*S434*W434</f>
        <v>2</v>
      </c>
      <c r="P434" t="b">
        <v>1</v>
      </c>
      <c r="Q434" t="b">
        <v>0</v>
      </c>
      <c r="R434" t="b">
        <v>0</v>
      </c>
      <c r="S434" t="b">
        <v>1</v>
      </c>
      <c r="T434" t="b">
        <v>0</v>
      </c>
      <c r="W434" s="17" t="b">
        <v>1</v>
      </c>
      <c r="X434" s="688"/>
      <c r="Y434" s="891" t="str">
        <f>IF(LEN('Ch6'!X179)=0,"None",'Ch6'!X179)</f>
        <v>DuPont FlexWrap</v>
      </c>
      <c r="Z434" s="892"/>
      <c r="AL434" t="str">
        <f>SUBSTITUTE(SUBSTITUTE(SUBSTITUTE("vpa"&amp;$B434&amp;$C434&amp;$D434&amp;$E434&amp;$F434,".","_"),"(","_"),")","")</f>
        <v>vpa602_1_9_2</v>
      </c>
      <c r="AM434">
        <f>M434</f>
        <v>2</v>
      </c>
      <c r="AN434" t="str">
        <f>SUBSTITUTE(SUBSTITUTE(SUBSTITUTE("vpc"&amp;$B434&amp;$C434&amp;$D434&amp;$E434&amp;$F434,".","_"),"(","_"),")","")</f>
        <v>vpc602_1_9_2</v>
      </c>
      <c r="AO434">
        <f>O434</f>
        <v>2</v>
      </c>
      <c r="AP434" t="str">
        <f>SUBSTITUTE(SUBSTITUTE(SUBSTITUTE("vch"&amp;$B434&amp;$C434&amp;$D434&amp;$E434&amp;$F434,".","_"),"(","_"),")","")</f>
        <v>vch602_1_9_2</v>
      </c>
      <c r="AQ434" t="b">
        <f>W434</f>
        <v>1</v>
      </c>
      <c r="AR434" t="str">
        <f>SUBSTITUTE(SUBSTITUTE(SUBSTITUTE("vnt"&amp;$B434&amp;$C434&amp;$D434&amp;$E434&amp;$F434,".","_"),"(","_"),")","")</f>
        <v>vnt602_1_9_2</v>
      </c>
      <c r="AS434">
        <f>X434</f>
        <v>0</v>
      </c>
      <c r="BJ434" s="573" t="s">
        <v>4670</v>
      </c>
    </row>
    <row r="435" spans="1:62" x14ac:dyDescent="0.35">
      <c r="A435" s="403">
        <v>6</v>
      </c>
      <c r="B435" s="608" t="s">
        <v>634</v>
      </c>
      <c r="C435" s="604"/>
      <c r="D435" s="604"/>
      <c r="E435" s="604" t="s">
        <v>272</v>
      </c>
      <c r="F435" s="608"/>
      <c r="G435" s="403" t="str">
        <f t="shared" ref="G435:G436" si="135">G434</f>
        <v>P</v>
      </c>
      <c r="H435" s="414" t="s">
        <v>4324</v>
      </c>
      <c r="I435" s="32"/>
      <c r="J435" s="4"/>
      <c r="K435" s="46"/>
      <c r="L435" s="707"/>
      <c r="M435" s="690"/>
      <c r="N435" s="834"/>
      <c r="O435" s="834"/>
      <c r="X435" s="688"/>
      <c r="Y435" s="891"/>
      <c r="Z435" s="892"/>
      <c r="BJ435" s="573" t="s">
        <v>4670</v>
      </c>
    </row>
    <row r="436" spans="1:62" x14ac:dyDescent="0.35">
      <c r="A436" s="403">
        <v>6</v>
      </c>
      <c r="B436" s="608" t="s">
        <v>634</v>
      </c>
      <c r="C436" s="604"/>
      <c r="D436" s="604"/>
      <c r="E436" s="604" t="s">
        <v>272</v>
      </c>
      <c r="F436" s="608"/>
      <c r="G436" s="403" t="str">
        <f t="shared" si="135"/>
        <v>P</v>
      </c>
      <c r="H436" s="414" t="s">
        <v>4324</v>
      </c>
      <c r="I436" s="32"/>
      <c r="J436" s="155"/>
      <c r="K436" s="116"/>
      <c r="L436" s="709"/>
      <c r="M436" s="691"/>
      <c r="N436" s="886"/>
      <c r="O436" s="886"/>
      <c r="X436" s="688"/>
      <c r="Y436" s="891"/>
      <c r="Z436" s="892"/>
      <c r="BJ436" s="573" t="s">
        <v>4670</v>
      </c>
    </row>
    <row r="437" spans="1:62" x14ac:dyDescent="0.35">
      <c r="A437" s="403">
        <v>6</v>
      </c>
      <c r="B437" s="608" t="s">
        <v>634</v>
      </c>
      <c r="C437" s="604"/>
      <c r="D437" s="604"/>
      <c r="E437" s="604" t="s">
        <v>274</v>
      </c>
      <c r="F437" s="608"/>
      <c r="G437" s="403" t="str">
        <f>IF(N437&gt;0,"P","")</f>
        <v/>
      </c>
      <c r="H437" s="414" t="s">
        <v>4324</v>
      </c>
      <c r="I437" s="32"/>
      <c r="J437" s="150" t="s">
        <v>274</v>
      </c>
      <c r="K437" s="151"/>
      <c r="L437" s="151" t="s">
        <v>649</v>
      </c>
      <c r="M437" s="153">
        <v>3</v>
      </c>
      <c r="N437" s="157">
        <f>'Ch6'!O182</f>
        <v>0</v>
      </c>
      <c r="O437" s="157">
        <f>M437*S437*W437</f>
        <v>0</v>
      </c>
      <c r="P437" t="b">
        <v>1</v>
      </c>
      <c r="Q437" t="b">
        <v>0</v>
      </c>
      <c r="R437" t="b">
        <v>0</v>
      </c>
      <c r="S437" t="b">
        <v>1</v>
      </c>
      <c r="T437" t="b">
        <v>0</v>
      </c>
      <c r="W437" s="17"/>
      <c r="X437" s="39"/>
      <c r="Y437" s="200" t="str">
        <f>IF(LEN('Ch6'!X182)=0,"None",'Ch6'!X182)</f>
        <v>None</v>
      </c>
      <c r="Z437" s="563"/>
      <c r="AL437" t="str">
        <f t="shared" ref="AL437:AL438" si="136">SUBSTITUTE(SUBSTITUTE(SUBSTITUTE("vpa"&amp;$B437&amp;$C437&amp;$D437&amp;$E437&amp;$F437,".","_"),"(","_"),")","")</f>
        <v>vpa602_1_9_3</v>
      </c>
      <c r="AM437">
        <f>M437</f>
        <v>3</v>
      </c>
      <c r="AN437" t="str">
        <f t="shared" ref="AN437:AN438" si="137">SUBSTITUTE(SUBSTITUTE(SUBSTITUTE("vpc"&amp;$B437&amp;$C437&amp;$D437&amp;$E437&amp;$F437,".","_"),"(","_"),")","")</f>
        <v>vpc602_1_9_3</v>
      </c>
      <c r="AO437">
        <f>O437</f>
        <v>0</v>
      </c>
      <c r="AP437" t="str">
        <f t="shared" ref="AP437:AP438" si="138">SUBSTITUTE(SUBSTITUTE(SUBSTITUTE("vch"&amp;$B437&amp;$C437&amp;$D437&amp;$E437&amp;$F437,".","_"),"(","_"),")","")</f>
        <v>vch602_1_9_3</v>
      </c>
      <c r="AQ437">
        <f>W437</f>
        <v>0</v>
      </c>
      <c r="AR437" t="str">
        <f t="shared" ref="AR437:AR438" si="139">SUBSTITUTE(SUBSTITUTE(SUBSTITUTE("vnt"&amp;$B437&amp;$C437&amp;$D437&amp;$E437&amp;$F437,".","_"),"(","_"),")","")</f>
        <v>vnt602_1_9_3</v>
      </c>
      <c r="AS437">
        <f>X437</f>
        <v>0</v>
      </c>
      <c r="BJ437" s="573" t="s">
        <v>4670</v>
      </c>
    </row>
    <row r="438" spans="1:62" x14ac:dyDescent="0.35">
      <c r="A438" s="403">
        <v>6</v>
      </c>
      <c r="B438" s="608" t="s">
        <v>634</v>
      </c>
      <c r="C438" s="604"/>
      <c r="D438" s="604"/>
      <c r="E438" s="604" t="s">
        <v>283</v>
      </c>
      <c r="F438" s="608"/>
      <c r="G438" s="403" t="str">
        <f>IF(N438&gt;0,"P","")</f>
        <v/>
      </c>
      <c r="H438" s="414" t="s">
        <v>4324</v>
      </c>
      <c r="I438" s="32"/>
      <c r="J438" s="154" t="s">
        <v>283</v>
      </c>
      <c r="K438" s="137"/>
      <c r="L438" s="742" t="s">
        <v>650</v>
      </c>
      <c r="M438" s="712">
        <v>3</v>
      </c>
      <c r="N438" s="868">
        <f>'Ch6'!O183</f>
        <v>0</v>
      </c>
      <c r="O438" s="868">
        <f>M438*S438*W438</f>
        <v>0</v>
      </c>
      <c r="P438" t="b">
        <v>1</v>
      </c>
      <c r="Q438" t="b">
        <v>0</v>
      </c>
      <c r="R438" t="b">
        <v>0</v>
      </c>
      <c r="S438" t="b">
        <v>1</v>
      </c>
      <c r="T438" t="b">
        <v>0</v>
      </c>
      <c r="W438" s="17"/>
      <c r="X438" s="688"/>
      <c r="Y438" s="891" t="str">
        <f>IF(LEN('Ch6'!X183)=0,"None",'Ch6'!X183)</f>
        <v>None</v>
      </c>
      <c r="Z438" s="892"/>
      <c r="AL438" t="str">
        <f t="shared" si="136"/>
        <v>vpa602_1_9_4</v>
      </c>
      <c r="AM438">
        <f>M438</f>
        <v>3</v>
      </c>
      <c r="AN438" t="str">
        <f t="shared" si="137"/>
        <v>vpc602_1_9_4</v>
      </c>
      <c r="AO438">
        <f>O438</f>
        <v>0</v>
      </c>
      <c r="AP438" t="str">
        <f t="shared" si="138"/>
        <v>vch602_1_9_4</v>
      </c>
      <c r="AQ438">
        <f>W438</f>
        <v>0</v>
      </c>
      <c r="AR438" t="str">
        <f t="shared" si="139"/>
        <v>vnt602_1_9_4</v>
      </c>
      <c r="AS438">
        <f>X438</f>
        <v>0</v>
      </c>
      <c r="BJ438" s="573" t="s">
        <v>4670</v>
      </c>
    </row>
    <row r="439" spans="1:62" x14ac:dyDescent="0.35">
      <c r="A439" s="403">
        <v>6</v>
      </c>
      <c r="B439" s="608" t="s">
        <v>634</v>
      </c>
      <c r="C439" s="604"/>
      <c r="D439" s="604"/>
      <c r="E439" s="604" t="s">
        <v>283</v>
      </c>
      <c r="F439" s="608"/>
      <c r="G439" s="403" t="str">
        <f t="shared" ref="G439:G441" si="140">G438</f>
        <v/>
      </c>
      <c r="H439" s="414" t="s">
        <v>4324</v>
      </c>
      <c r="I439" s="32"/>
      <c r="J439" s="4"/>
      <c r="K439" s="46"/>
      <c r="L439" s="707"/>
      <c r="M439" s="690"/>
      <c r="N439" s="834"/>
      <c r="O439" s="834"/>
      <c r="X439" s="688"/>
      <c r="Y439" s="891"/>
      <c r="Z439" s="892"/>
      <c r="BJ439" s="573" t="s">
        <v>4670</v>
      </c>
    </row>
    <row r="440" spans="1:62" x14ac:dyDescent="0.35">
      <c r="A440" s="403">
        <v>6</v>
      </c>
      <c r="B440" s="608" t="s">
        <v>634</v>
      </c>
      <c r="C440" s="604"/>
      <c r="D440" s="604"/>
      <c r="E440" s="604" t="s">
        <v>283</v>
      </c>
      <c r="F440" s="608"/>
      <c r="G440" s="403" t="str">
        <f t="shared" si="140"/>
        <v/>
      </c>
      <c r="H440" s="414" t="s">
        <v>4324</v>
      </c>
      <c r="I440" s="32"/>
      <c r="J440" s="4"/>
      <c r="K440" s="46"/>
      <c r="L440" s="707"/>
      <c r="M440" s="690"/>
      <c r="N440" s="834"/>
      <c r="O440" s="834"/>
      <c r="X440" s="688"/>
      <c r="Y440" s="891"/>
      <c r="Z440" s="892"/>
      <c r="BJ440" s="573" t="s">
        <v>4670</v>
      </c>
    </row>
    <row r="441" spans="1:62" x14ac:dyDescent="0.35">
      <c r="A441" s="403">
        <v>6</v>
      </c>
      <c r="B441" s="608" t="s">
        <v>634</v>
      </c>
      <c r="C441" s="604"/>
      <c r="D441" s="604"/>
      <c r="E441" s="604" t="s">
        <v>283</v>
      </c>
      <c r="F441" s="608"/>
      <c r="G441" s="403" t="str">
        <f t="shared" si="140"/>
        <v/>
      </c>
      <c r="H441" s="414" t="s">
        <v>4324</v>
      </c>
      <c r="I441" s="32"/>
      <c r="J441" s="155"/>
      <c r="K441" s="116"/>
      <c r="L441" s="709"/>
      <c r="M441" s="691"/>
      <c r="N441" s="886"/>
      <c r="O441" s="886"/>
      <c r="X441" s="688"/>
      <c r="Y441" s="891"/>
      <c r="Z441" s="892"/>
      <c r="BJ441" s="573" t="s">
        <v>4670</v>
      </c>
    </row>
    <row r="442" spans="1:62" x14ac:dyDescent="0.35">
      <c r="A442" s="403">
        <v>6</v>
      </c>
      <c r="B442" s="608" t="s">
        <v>634</v>
      </c>
      <c r="C442" s="604"/>
      <c r="D442" s="604"/>
      <c r="E442" s="604" t="s">
        <v>289</v>
      </c>
      <c r="F442" s="608"/>
      <c r="G442" s="403" t="str">
        <f ca="1">IF(N442&gt;0,"P","")</f>
        <v/>
      </c>
      <c r="H442" s="414" t="s">
        <v>4324</v>
      </c>
      <c r="I442" s="32"/>
      <c r="J442" s="19" t="s">
        <v>289</v>
      </c>
      <c r="K442" s="46"/>
      <c r="L442" s="46" t="s">
        <v>651</v>
      </c>
      <c r="M442" s="43"/>
      <c r="N442" s="44">
        <f ca="1">'Ch6'!O187</f>
        <v>0</v>
      </c>
      <c r="O442" s="44">
        <f ca="1">IFERROR(INDEX({4,2},MATCH(W442,INDIRECT(U442),0)),0)</f>
        <v>0</v>
      </c>
      <c r="P442" t="b">
        <v>1</v>
      </c>
      <c r="Q442" t="b">
        <v>0</v>
      </c>
      <c r="R442" t="b">
        <v>0</v>
      </c>
      <c r="S442" t="b">
        <v>1</v>
      </c>
      <c r="T442" t="b">
        <v>0</v>
      </c>
      <c r="U442" t="str">
        <f>SUBSTITUTE(SUBSTITUTE(SUBSTITUTE("dd"&amp;B442&amp;C442&amp;D442&amp;E442&amp;F442,".","_"),"(","_"),")","")</f>
        <v>dd602_1_9_5</v>
      </c>
      <c r="W442" s="9"/>
      <c r="X442" s="688"/>
      <c r="Y442" s="891" t="str">
        <f>IF(LEN('Ch6'!X187)=0,"None",'Ch6'!X187)</f>
        <v>None</v>
      </c>
      <c r="Z442" s="892"/>
      <c r="AN442" t="str">
        <f>SUBSTITUTE(SUBSTITUTE(SUBSTITUTE("vpc"&amp;$B442&amp;$C442&amp;$D442&amp;$E442&amp;$F442,".","_"),"(","_"),")","")</f>
        <v>vpc602_1_9_5</v>
      </c>
      <c r="AO442">
        <f ca="1">O442</f>
        <v>0</v>
      </c>
      <c r="AP442" t="str">
        <f>SUBSTITUTE(SUBSTITUTE(SUBSTITUTE("vch"&amp;$B442&amp;$C442&amp;$D442&amp;$E442&amp;$F442,".","_"),"(","_"),")","")</f>
        <v>vch602_1_9_5</v>
      </c>
      <c r="AQ442">
        <f>W442</f>
        <v>0</v>
      </c>
      <c r="AR442" t="str">
        <f>SUBSTITUTE(SUBSTITUTE(SUBSTITUTE("vnt"&amp;$B442&amp;$C442&amp;$D442&amp;$E442&amp;$F442,".","_"),"(","_"),")","")</f>
        <v>vnt602_1_9_5</v>
      </c>
      <c r="AS442">
        <f>X442</f>
        <v>0</v>
      </c>
      <c r="BJ442" s="573" t="s">
        <v>4670</v>
      </c>
    </row>
    <row r="443" spans="1:62" x14ac:dyDescent="0.35">
      <c r="A443" s="403">
        <v>6</v>
      </c>
      <c r="B443" s="608" t="s">
        <v>634</v>
      </c>
      <c r="C443" s="604"/>
      <c r="D443" s="604"/>
      <c r="E443" s="604" t="s">
        <v>289</v>
      </c>
      <c r="F443" s="604" t="s">
        <v>121</v>
      </c>
      <c r="G443" s="403" t="str">
        <f t="shared" ref="G443:G447" ca="1" si="141">G442</f>
        <v/>
      </c>
      <c r="H443" s="605" t="s">
        <v>4324</v>
      </c>
      <c r="I443" s="32"/>
      <c r="J443" s="4"/>
      <c r="K443" s="50" t="s">
        <v>121</v>
      </c>
      <c r="L443" s="707" t="s">
        <v>652</v>
      </c>
      <c r="M443" s="690">
        <v>4</v>
      </c>
      <c r="N443" s="44"/>
      <c r="O443" s="44"/>
      <c r="X443" s="688"/>
      <c r="Y443" s="891"/>
      <c r="Z443" s="892"/>
      <c r="AL443" t="str">
        <f>SUBSTITUTE(SUBSTITUTE(SUBSTITUTE("vpa"&amp;$B443&amp;$C443&amp;$D443&amp;$E443&amp;$F443,".","_"),"(","_"),")","")</f>
        <v>vpa602_1_9_5_a</v>
      </c>
      <c r="AM443">
        <f>M443</f>
        <v>4</v>
      </c>
      <c r="BJ443" s="573" t="s">
        <v>4670</v>
      </c>
    </row>
    <row r="444" spans="1:62" x14ac:dyDescent="0.35">
      <c r="A444" s="403">
        <v>6</v>
      </c>
      <c r="B444" s="608" t="s">
        <v>634</v>
      </c>
      <c r="C444" s="604"/>
      <c r="D444" s="604"/>
      <c r="E444" s="604" t="s">
        <v>289</v>
      </c>
      <c r="F444" s="604" t="s">
        <v>121</v>
      </c>
      <c r="G444" s="403" t="str">
        <f t="shared" ca="1" si="141"/>
        <v/>
      </c>
      <c r="H444" s="605" t="s">
        <v>4324</v>
      </c>
      <c r="I444" s="32"/>
      <c r="J444" s="4"/>
      <c r="K444" s="50"/>
      <c r="L444" s="707"/>
      <c r="M444" s="690"/>
      <c r="N444" s="44"/>
      <c r="O444" s="44"/>
      <c r="X444" s="688"/>
      <c r="Y444" s="891"/>
      <c r="Z444" s="892"/>
      <c r="BJ444" s="573" t="s">
        <v>4670</v>
      </c>
    </row>
    <row r="445" spans="1:62" x14ac:dyDescent="0.35">
      <c r="A445" s="403">
        <v>6</v>
      </c>
      <c r="B445" s="608" t="s">
        <v>634</v>
      </c>
      <c r="C445" s="604"/>
      <c r="D445" s="604"/>
      <c r="E445" s="604" t="s">
        <v>289</v>
      </c>
      <c r="F445" s="604" t="s">
        <v>121</v>
      </c>
      <c r="G445" s="403" t="str">
        <f t="shared" ca="1" si="141"/>
        <v/>
      </c>
      <c r="H445" s="605" t="s">
        <v>4324</v>
      </c>
      <c r="I445" s="32"/>
      <c r="J445" s="4"/>
      <c r="K445" s="115"/>
      <c r="L445" s="709"/>
      <c r="M445" s="691"/>
      <c r="N445" s="44"/>
      <c r="O445" s="44"/>
      <c r="X445" s="688"/>
      <c r="Y445" s="891"/>
      <c r="Z445" s="892"/>
      <c r="BJ445" s="573" t="s">
        <v>4670</v>
      </c>
    </row>
    <row r="446" spans="1:62" x14ac:dyDescent="0.35">
      <c r="A446" s="403">
        <v>6</v>
      </c>
      <c r="B446" s="608" t="s">
        <v>634</v>
      </c>
      <c r="C446" s="604"/>
      <c r="D446" s="604"/>
      <c r="E446" s="604" t="s">
        <v>289</v>
      </c>
      <c r="F446" s="604" t="s">
        <v>122</v>
      </c>
      <c r="G446" s="403" t="str">
        <f t="shared" ca="1" si="141"/>
        <v/>
      </c>
      <c r="H446" s="605" t="s">
        <v>4324</v>
      </c>
      <c r="I446" s="32"/>
      <c r="J446" s="4"/>
      <c r="K446" s="50" t="s">
        <v>122</v>
      </c>
      <c r="L446" s="707" t="s">
        <v>653</v>
      </c>
      <c r="M446" s="690">
        <v>2</v>
      </c>
      <c r="N446" s="44"/>
      <c r="O446" s="44"/>
      <c r="X446" s="688"/>
      <c r="Y446" s="891"/>
      <c r="Z446" s="892"/>
      <c r="AL446" t="str">
        <f>SUBSTITUTE(SUBSTITUTE(SUBSTITUTE("vpa"&amp;$B446&amp;$C446&amp;$D446&amp;$E446&amp;$F446,".","_"),"(","_"),")","")</f>
        <v>vpa602_1_9_5_b</v>
      </c>
      <c r="AM446">
        <f>M446</f>
        <v>2</v>
      </c>
      <c r="BJ446" s="573" t="s">
        <v>4670</v>
      </c>
    </row>
    <row r="447" spans="1:62" x14ac:dyDescent="0.35">
      <c r="A447" s="403">
        <v>6</v>
      </c>
      <c r="B447" s="608" t="s">
        <v>634</v>
      </c>
      <c r="C447" s="604"/>
      <c r="D447" s="604"/>
      <c r="E447" s="604" t="s">
        <v>289</v>
      </c>
      <c r="F447" s="604" t="s">
        <v>122</v>
      </c>
      <c r="G447" s="403" t="str">
        <f t="shared" ca="1" si="141"/>
        <v/>
      </c>
      <c r="H447" s="605" t="s">
        <v>4324</v>
      </c>
      <c r="I447" s="32"/>
      <c r="J447" s="155"/>
      <c r="K447" s="116"/>
      <c r="L447" s="709"/>
      <c r="M447" s="691"/>
      <c r="N447" s="191"/>
      <c r="O447" s="191"/>
      <c r="X447" s="688"/>
      <c r="Y447" s="891"/>
      <c r="Z447" s="892"/>
      <c r="BJ447" s="573" t="s">
        <v>4670</v>
      </c>
    </row>
    <row r="448" spans="1:62" x14ac:dyDescent="0.35">
      <c r="A448" s="403">
        <v>6</v>
      </c>
      <c r="B448" s="608" t="s">
        <v>634</v>
      </c>
      <c r="C448" s="604"/>
      <c r="D448" s="604"/>
      <c r="E448" s="604" t="s">
        <v>291</v>
      </c>
      <c r="F448" s="608"/>
      <c r="G448" s="403" t="str">
        <f>IF(N448&gt;0,"P","")</f>
        <v/>
      </c>
      <c r="H448" s="414" t="s">
        <v>4324</v>
      </c>
      <c r="I448" s="32"/>
      <c r="J448" s="154" t="s">
        <v>291</v>
      </c>
      <c r="K448" s="137"/>
      <c r="L448" s="742" t="s">
        <v>654</v>
      </c>
      <c r="M448" s="712">
        <v>2</v>
      </c>
      <c r="N448" s="868">
        <f>'Ch6'!O193</f>
        <v>0</v>
      </c>
      <c r="O448" s="868">
        <f>M448*S448*W448</f>
        <v>0</v>
      </c>
      <c r="P448" t="b">
        <v>1</v>
      </c>
      <c r="Q448" t="b">
        <v>0</v>
      </c>
      <c r="R448" t="b">
        <v>0</v>
      </c>
      <c r="S448" t="b">
        <v>1</v>
      </c>
      <c r="T448" t="b">
        <v>0</v>
      </c>
      <c r="W448" s="17"/>
      <c r="X448" s="688"/>
      <c r="Y448" s="891" t="str">
        <f>IF(LEN('Ch6'!X193)=0,"None",'Ch6'!X193)</f>
        <v>None</v>
      </c>
      <c r="Z448" s="892"/>
      <c r="AL448" t="str">
        <f>SUBSTITUTE(SUBSTITUTE(SUBSTITUTE("vpa"&amp;$B448&amp;$C448&amp;$D448&amp;$E448&amp;$F448,".","_"),"(","_"),")","")</f>
        <v>vpa602_1_9_6</v>
      </c>
      <c r="AM448">
        <f>M448</f>
        <v>2</v>
      </c>
      <c r="AN448" t="str">
        <f>SUBSTITUTE(SUBSTITUTE(SUBSTITUTE("vpc"&amp;$B448&amp;$C448&amp;$D448&amp;$E448&amp;$F448,".","_"),"(","_"),")","")</f>
        <v>vpc602_1_9_6</v>
      </c>
      <c r="AO448">
        <f>O448</f>
        <v>0</v>
      </c>
      <c r="AP448" t="str">
        <f>SUBSTITUTE(SUBSTITUTE(SUBSTITUTE("vch"&amp;$B448&amp;$C448&amp;$D448&amp;$E448&amp;$F448,".","_"),"(","_"),")","")</f>
        <v>vch602_1_9_6</v>
      </c>
      <c r="AQ448">
        <f>W448</f>
        <v>0</v>
      </c>
      <c r="AR448" t="str">
        <f>SUBSTITUTE(SUBSTITUTE(SUBSTITUTE("vnt"&amp;$B448&amp;$C448&amp;$D448&amp;$E448&amp;$F448,".","_"),"(","_"),")","")</f>
        <v>vnt602_1_9_6</v>
      </c>
      <c r="AS448">
        <f>X448</f>
        <v>0</v>
      </c>
      <c r="BJ448" s="573" t="s">
        <v>4670</v>
      </c>
    </row>
    <row r="449" spans="1:62" x14ac:dyDescent="0.35">
      <c r="A449" s="403">
        <v>6</v>
      </c>
      <c r="B449" s="608" t="s">
        <v>634</v>
      </c>
      <c r="C449" s="604"/>
      <c r="D449" s="604"/>
      <c r="E449" s="604" t="s">
        <v>291</v>
      </c>
      <c r="F449" s="608"/>
      <c r="G449" s="403" t="str">
        <f t="shared" ref="G449" si="142">G448</f>
        <v/>
      </c>
      <c r="H449" s="414" t="s">
        <v>4324</v>
      </c>
      <c r="I449" s="32"/>
      <c r="J449" s="155"/>
      <c r="K449" s="116"/>
      <c r="L449" s="709"/>
      <c r="M449" s="691"/>
      <c r="N449" s="886"/>
      <c r="O449" s="886"/>
      <c r="X449" s="688"/>
      <c r="Y449" s="891"/>
      <c r="Z449" s="892"/>
      <c r="BJ449" s="573" t="s">
        <v>4670</v>
      </c>
    </row>
    <row r="450" spans="1:62" ht="15" thickBot="1" x14ac:dyDescent="0.4">
      <c r="A450" s="403">
        <v>6</v>
      </c>
      <c r="B450" s="608" t="s">
        <v>634</v>
      </c>
      <c r="C450" s="604"/>
      <c r="D450" s="604"/>
      <c r="E450" s="604" t="s">
        <v>403</v>
      </c>
      <c r="F450" s="610"/>
      <c r="G450" s="403" t="str">
        <f>IF(N450&gt;0,"P","")</f>
        <v/>
      </c>
      <c r="H450" s="414" t="s">
        <v>4324</v>
      </c>
      <c r="I450" s="32"/>
      <c r="J450" s="19" t="s">
        <v>403</v>
      </c>
      <c r="K450" s="46"/>
      <c r="L450" s="46" t="s">
        <v>655</v>
      </c>
      <c r="M450" s="43">
        <v>2</v>
      </c>
      <c r="N450" s="44">
        <f>'Ch6'!O195</f>
        <v>0</v>
      </c>
      <c r="O450" s="44">
        <f>M450*S450*W450</f>
        <v>0</v>
      </c>
      <c r="P450" t="b">
        <v>1</v>
      </c>
      <c r="Q450" t="b">
        <v>0</v>
      </c>
      <c r="R450" t="b">
        <v>0</v>
      </c>
      <c r="S450" t="b">
        <v>1</v>
      </c>
      <c r="T450" t="b">
        <v>0</v>
      </c>
      <c r="W450" s="17"/>
      <c r="X450" s="111"/>
      <c r="Y450" s="201" t="str">
        <f>IF(LEN('Ch6'!X195)=0,"None",'Ch6'!X195)</f>
        <v>None</v>
      </c>
      <c r="Z450" s="567"/>
      <c r="AL450" t="str">
        <f t="shared" ref="AL450:AL451" si="143">SUBSTITUTE(SUBSTITUTE(SUBSTITUTE("vpa"&amp;$B450&amp;$C450&amp;$D450&amp;$E450&amp;$F450,".","_"),"(","_"),")","")</f>
        <v>vpa602_1_9_7</v>
      </c>
      <c r="AM450">
        <f>M450</f>
        <v>2</v>
      </c>
      <c r="AN450" t="str">
        <f t="shared" ref="AN450:AN451" si="144">SUBSTITUTE(SUBSTITUTE(SUBSTITUTE("vpc"&amp;$B450&amp;$C450&amp;$D450&amp;$E450&amp;$F450,".","_"),"(","_"),")","")</f>
        <v>vpc602_1_9_7</v>
      </c>
      <c r="AO450">
        <f>O450</f>
        <v>0</v>
      </c>
      <c r="AP450" t="str">
        <f>SUBSTITUTE(SUBSTITUTE(SUBSTITUTE("vch"&amp;$B450&amp;$C450&amp;$D450&amp;$E450&amp;$F450,".","_"),"(","_"),")","")</f>
        <v>vch602_1_9_7</v>
      </c>
      <c r="AQ450">
        <f>W450</f>
        <v>0</v>
      </c>
      <c r="AR450" t="str">
        <f>SUBSTITUTE(SUBSTITUTE(SUBSTITUTE("vnt"&amp;$B450&amp;$C450&amp;$D450&amp;$E450&amp;$F450,".","_"),"(","_"),")","")</f>
        <v>vnt602_1_9_7</v>
      </c>
      <c r="AS450">
        <f>X450</f>
        <v>0</v>
      </c>
      <c r="BJ450" s="573" t="s">
        <v>4670</v>
      </c>
    </row>
    <row r="451" spans="1:62" ht="15" thickTop="1" x14ac:dyDescent="0.35">
      <c r="A451" s="403">
        <v>6</v>
      </c>
      <c r="B451" s="609" t="s">
        <v>656</v>
      </c>
      <c r="C451" s="611"/>
      <c r="D451" s="604"/>
      <c r="E451" s="604"/>
      <c r="F451" s="604"/>
      <c r="G451" s="403" t="str">
        <f ca="1">IF(N451&gt;0,"P","")</f>
        <v>P</v>
      </c>
      <c r="H451" s="403" t="s">
        <v>4323</v>
      </c>
      <c r="I451" s="123" t="s">
        <v>657</v>
      </c>
      <c r="J451" s="124"/>
      <c r="K451" s="125"/>
      <c r="L451" s="711" t="s">
        <v>658</v>
      </c>
      <c r="M451" s="748" t="s">
        <v>806</v>
      </c>
      <c r="N451" s="940">
        <f ca="1">'Ch6'!O196</f>
        <v>4</v>
      </c>
      <c r="O451" s="940">
        <f ca="1">IFERROR(INDEX({2,4,6},MATCH(W452,INDIRECT(U452),0)),0)</f>
        <v>4</v>
      </c>
      <c r="P451" s="62"/>
      <c r="Q451" s="62"/>
      <c r="R451" s="62"/>
      <c r="S451" s="62"/>
      <c r="T451" s="62"/>
      <c r="U451" s="62"/>
      <c r="V451" s="62"/>
      <c r="W451" s="62"/>
      <c r="X451" s="62"/>
      <c r="Z451" s="543"/>
      <c r="AA451">
        <f>'Photo Review'!H451</f>
        <v>0</v>
      </c>
      <c r="AL451" t="str">
        <f t="shared" si="143"/>
        <v>vpa602_1_10</v>
      </c>
      <c r="AM451" t="str">
        <f>M451</f>
        <v>2 per exterior door
6 Max</v>
      </c>
      <c r="AN451" t="str">
        <f t="shared" si="144"/>
        <v>vpc602_1_10</v>
      </c>
      <c r="AO451">
        <f ca="1">O451</f>
        <v>4</v>
      </c>
      <c r="BJ451" s="573" t="s">
        <v>4670</v>
      </c>
    </row>
    <row r="452" spans="1:62" x14ac:dyDescent="0.35">
      <c r="A452" s="403">
        <v>6</v>
      </c>
      <c r="B452" s="609" t="s">
        <v>656</v>
      </c>
      <c r="C452" s="611"/>
      <c r="D452" s="604"/>
      <c r="E452" s="604"/>
      <c r="F452" s="604"/>
      <c r="G452" s="403" t="str">
        <f t="shared" ref="G452:G463" ca="1" si="145">G451</f>
        <v>P</v>
      </c>
      <c r="H452" s="403" t="s">
        <v>4323</v>
      </c>
      <c r="I452" s="32"/>
      <c r="J452" s="4"/>
      <c r="K452" s="46"/>
      <c r="L452" s="706"/>
      <c r="M452" s="736"/>
      <c r="N452" s="834"/>
      <c r="O452" s="834"/>
      <c r="P452" t="b">
        <v>1</v>
      </c>
      <c r="Q452" t="b">
        <v>1</v>
      </c>
      <c r="R452" t="b">
        <v>0</v>
      </c>
      <c r="S452" t="b">
        <v>1</v>
      </c>
      <c r="T452" t="b">
        <v>0</v>
      </c>
      <c r="U452" t="str">
        <f>SUBSTITUTE(SUBSTITUTE(SUBSTITUTE("dd"&amp;B452&amp;C452&amp;D452&amp;E452&amp;F452,".","_"),"(","_"),")","")</f>
        <v>dd602_1_10</v>
      </c>
      <c r="W452" s="9" t="s">
        <v>3249</v>
      </c>
      <c r="X452" s="688"/>
      <c r="Y452" s="891" t="str">
        <f>IF(LEN('Ch6'!X197)=0,"None",'Ch6'!X197)</f>
        <v>None</v>
      </c>
      <c r="Z452" s="892"/>
      <c r="AP452" t="str">
        <f>SUBSTITUTE(SUBSTITUTE(SUBSTITUTE("vch"&amp;$B452&amp;$C452&amp;$D452&amp;$E452&amp;$F452,".","_"),"(","_"),")","")</f>
        <v>vch602_1_10</v>
      </c>
      <c r="AQ452" t="str">
        <f>W452</f>
        <v>2 exterior door</v>
      </c>
      <c r="AR452" t="str">
        <f>SUBSTITUTE(SUBSTITUTE(SUBSTITUTE("vnt"&amp;$B452&amp;$C452&amp;$D452&amp;$E452&amp;$F452,".","_"),"(","_"),")","")</f>
        <v>vnt602_1_10</v>
      </c>
      <c r="AS452">
        <f>X452</f>
        <v>0</v>
      </c>
      <c r="BJ452" s="573" t="s">
        <v>4670</v>
      </c>
    </row>
    <row r="453" spans="1:62" x14ac:dyDescent="0.35">
      <c r="A453" s="403">
        <v>6</v>
      </c>
      <c r="B453" s="609" t="s">
        <v>656</v>
      </c>
      <c r="C453" s="611"/>
      <c r="D453" s="604"/>
      <c r="E453" s="604"/>
      <c r="F453" s="604"/>
      <c r="G453" s="403" t="str">
        <f t="shared" ca="1" si="145"/>
        <v>P</v>
      </c>
      <c r="H453" s="403" t="s">
        <v>4323</v>
      </c>
      <c r="I453" s="32"/>
      <c r="J453" s="4"/>
      <c r="K453" s="46"/>
      <c r="L453" s="706"/>
      <c r="M453" s="736"/>
      <c r="N453" s="834"/>
      <c r="O453" s="834"/>
      <c r="X453" s="688"/>
      <c r="Y453" s="891"/>
      <c r="Z453" s="892"/>
      <c r="BJ453" s="573" t="s">
        <v>4670</v>
      </c>
    </row>
    <row r="454" spans="1:62" x14ac:dyDescent="0.35">
      <c r="A454" s="403">
        <v>6</v>
      </c>
      <c r="B454" s="609" t="s">
        <v>656</v>
      </c>
      <c r="C454" s="611"/>
      <c r="D454" s="604"/>
      <c r="E454" s="604"/>
      <c r="F454" s="604"/>
      <c r="G454" s="403" t="str">
        <f t="shared" ca="1" si="145"/>
        <v>P</v>
      </c>
      <c r="H454" s="403" t="s">
        <v>4323</v>
      </c>
      <c r="I454" s="32"/>
      <c r="J454" s="4"/>
      <c r="K454" s="46"/>
      <c r="L454" s="706"/>
      <c r="M454" s="736"/>
      <c r="N454" s="834"/>
      <c r="O454" s="834"/>
      <c r="X454" s="688"/>
      <c r="Y454" s="891"/>
      <c r="Z454" s="892"/>
      <c r="BJ454" s="573" t="s">
        <v>4670</v>
      </c>
    </row>
    <row r="455" spans="1:62" x14ac:dyDescent="0.35">
      <c r="A455" s="403">
        <v>6</v>
      </c>
      <c r="B455" s="609" t="s">
        <v>656</v>
      </c>
      <c r="C455" s="611"/>
      <c r="D455" s="604"/>
      <c r="E455" s="604"/>
      <c r="F455" s="604"/>
      <c r="G455" s="403" t="str">
        <f t="shared" ca="1" si="145"/>
        <v>P</v>
      </c>
      <c r="H455" s="403" t="s">
        <v>4323</v>
      </c>
      <c r="I455" s="32"/>
      <c r="J455" s="4"/>
      <c r="K455" s="46"/>
      <c r="L455" s="706"/>
      <c r="M455" s="736"/>
      <c r="N455" s="834"/>
      <c r="O455" s="834"/>
      <c r="X455" s="688"/>
      <c r="Y455" s="891"/>
      <c r="Z455" s="892"/>
      <c r="BJ455" s="573" t="s">
        <v>4670</v>
      </c>
    </row>
    <row r="456" spans="1:62" x14ac:dyDescent="0.35">
      <c r="A456" s="403">
        <v>6</v>
      </c>
      <c r="B456" s="609" t="s">
        <v>656</v>
      </c>
      <c r="C456" s="611"/>
      <c r="D456" s="604"/>
      <c r="E456" s="604"/>
      <c r="F456" s="604"/>
      <c r="G456" s="403" t="str">
        <f t="shared" ca="1" si="145"/>
        <v>P</v>
      </c>
      <c r="H456" s="403" t="s">
        <v>4323</v>
      </c>
      <c r="I456" s="32"/>
      <c r="J456" s="4"/>
      <c r="K456" s="46"/>
      <c r="L456" s="706"/>
      <c r="M456" s="736"/>
      <c r="N456" s="834"/>
      <c r="O456" s="834"/>
      <c r="X456" s="688"/>
      <c r="Y456" s="891"/>
      <c r="Z456" s="892"/>
      <c r="BJ456" s="573" t="s">
        <v>4670</v>
      </c>
    </row>
    <row r="457" spans="1:62" x14ac:dyDescent="0.35">
      <c r="A457" s="403">
        <v>6</v>
      </c>
      <c r="B457" s="609" t="s">
        <v>656</v>
      </c>
      <c r="C457" s="611"/>
      <c r="D457" s="604"/>
      <c r="E457" s="604"/>
      <c r="F457" s="604"/>
      <c r="G457" s="403" t="str">
        <f t="shared" ca="1" si="145"/>
        <v>P</v>
      </c>
      <c r="H457" s="403" t="s">
        <v>4323</v>
      </c>
      <c r="I457" s="32"/>
      <c r="J457" s="4"/>
      <c r="K457" s="46"/>
      <c r="L457" s="105" t="str">
        <f>"This Project's Climate Zone: "&amp;BF271</f>
        <v>This Project's Climate Zone: 4</v>
      </c>
      <c r="M457" s="736"/>
      <c r="N457" s="834"/>
      <c r="O457" s="834"/>
      <c r="X457" s="688"/>
      <c r="Y457" s="891"/>
      <c r="Z457" s="892"/>
      <c r="BJ457" s="573" t="s">
        <v>4670</v>
      </c>
    </row>
    <row r="458" spans="1:62" x14ac:dyDescent="0.35">
      <c r="A458" s="403">
        <v>6</v>
      </c>
      <c r="B458" s="609" t="s">
        <v>656</v>
      </c>
      <c r="C458" s="611"/>
      <c r="D458" s="604"/>
      <c r="E458" s="604"/>
      <c r="F458" s="604" t="s">
        <v>121</v>
      </c>
      <c r="G458" s="403" t="str">
        <f t="shared" ca="1" si="145"/>
        <v>P</v>
      </c>
      <c r="H458" s="605" t="s">
        <v>4323</v>
      </c>
      <c r="I458" s="32"/>
      <c r="J458" s="4"/>
      <c r="K458" s="50" t="s">
        <v>121</v>
      </c>
      <c r="L458" s="46" t="s">
        <v>659</v>
      </c>
      <c r="M458" s="736"/>
      <c r="N458" s="834"/>
      <c r="O458" s="834"/>
      <c r="X458" s="688"/>
      <c r="Y458" s="891"/>
      <c r="Z458" s="892"/>
      <c r="BJ458" s="573" t="s">
        <v>4670</v>
      </c>
    </row>
    <row r="459" spans="1:62" x14ac:dyDescent="0.35">
      <c r="A459" s="403">
        <v>6</v>
      </c>
      <c r="B459" s="609" t="s">
        <v>656</v>
      </c>
      <c r="C459" s="611"/>
      <c r="D459" s="604"/>
      <c r="E459" s="604"/>
      <c r="F459" s="604" t="s">
        <v>122</v>
      </c>
      <c r="G459" s="403" t="str">
        <f t="shared" ca="1" si="145"/>
        <v>P</v>
      </c>
      <c r="H459" s="605" t="s">
        <v>4323</v>
      </c>
      <c r="I459" s="32"/>
      <c r="J459" s="4"/>
      <c r="K459" s="50" t="s">
        <v>122</v>
      </c>
      <c r="L459" s="46" t="s">
        <v>660</v>
      </c>
      <c r="M459" s="736"/>
      <c r="N459" s="834"/>
      <c r="O459" s="834"/>
      <c r="X459" s="688"/>
      <c r="Y459" s="891"/>
      <c r="Z459" s="892"/>
      <c r="BJ459" s="573" t="s">
        <v>4670</v>
      </c>
    </row>
    <row r="460" spans="1:62" x14ac:dyDescent="0.35">
      <c r="A460" s="403">
        <v>6</v>
      </c>
      <c r="B460" s="609" t="s">
        <v>656</v>
      </c>
      <c r="C460" s="611"/>
      <c r="D460" s="604"/>
      <c r="E460" s="604"/>
      <c r="F460" s="604" t="s">
        <v>123</v>
      </c>
      <c r="G460" s="403" t="str">
        <f t="shared" ca="1" si="145"/>
        <v>P</v>
      </c>
      <c r="H460" s="605" t="s">
        <v>4323</v>
      </c>
      <c r="I460" s="32"/>
      <c r="J460" s="4"/>
      <c r="K460" s="52" t="s">
        <v>123</v>
      </c>
      <c r="L460" s="46" t="s">
        <v>661</v>
      </c>
      <c r="M460" s="736"/>
      <c r="N460" s="834"/>
      <c r="O460" s="834"/>
      <c r="X460" s="688"/>
      <c r="Y460" s="891"/>
      <c r="Z460" s="892"/>
      <c r="BJ460" s="573" t="s">
        <v>4670</v>
      </c>
    </row>
    <row r="461" spans="1:62" x14ac:dyDescent="0.35">
      <c r="A461" s="403">
        <v>6</v>
      </c>
      <c r="B461" s="609" t="s">
        <v>656</v>
      </c>
      <c r="C461" s="611"/>
      <c r="D461" s="604"/>
      <c r="E461" s="604"/>
      <c r="F461" s="604" t="s">
        <v>420</v>
      </c>
      <c r="G461" s="403" t="str">
        <f t="shared" ca="1" si="145"/>
        <v>P</v>
      </c>
      <c r="H461" s="605" t="s">
        <v>4323</v>
      </c>
      <c r="I461" s="32"/>
      <c r="J461" s="4"/>
      <c r="K461" s="48" t="s">
        <v>420</v>
      </c>
      <c r="L461" s="46" t="s">
        <v>662</v>
      </c>
      <c r="M461" s="736"/>
      <c r="N461" s="834"/>
      <c r="O461" s="834"/>
      <c r="X461" s="688"/>
      <c r="Y461" s="891"/>
      <c r="Z461" s="892"/>
      <c r="BJ461" s="573" t="s">
        <v>4670</v>
      </c>
    </row>
    <row r="462" spans="1:62" x14ac:dyDescent="0.35">
      <c r="A462" s="403">
        <v>6</v>
      </c>
      <c r="B462" s="609" t="s">
        <v>656</v>
      </c>
      <c r="C462" s="611"/>
      <c r="D462" s="604"/>
      <c r="E462" s="604"/>
      <c r="F462" s="604"/>
      <c r="G462" s="403" t="str">
        <f t="shared" ca="1" si="145"/>
        <v>P</v>
      </c>
      <c r="H462" s="605" t="s">
        <v>4323</v>
      </c>
      <c r="I462" s="32"/>
      <c r="J462" s="4"/>
      <c r="K462" s="48"/>
      <c r="L462" s="714" t="s">
        <v>3251</v>
      </c>
      <c r="M462" s="736"/>
      <c r="N462" s="834"/>
      <c r="O462" s="834"/>
      <c r="X462" s="688"/>
      <c r="Y462" s="891"/>
      <c r="Z462" s="892"/>
      <c r="BJ462" s="573" t="s">
        <v>4670</v>
      </c>
    </row>
    <row r="463" spans="1:62" ht="15" thickBot="1" x14ac:dyDescent="0.4">
      <c r="A463" s="403">
        <v>6</v>
      </c>
      <c r="B463" s="609" t="s">
        <v>656</v>
      </c>
      <c r="C463" s="611"/>
      <c r="D463" s="604"/>
      <c r="E463" s="604"/>
      <c r="F463" s="604"/>
      <c r="G463" s="403" t="str">
        <f t="shared" ca="1" si="145"/>
        <v>P</v>
      </c>
      <c r="H463" s="605" t="s">
        <v>4323</v>
      </c>
      <c r="I463" s="32"/>
      <c r="J463" s="4"/>
      <c r="K463" s="48"/>
      <c r="L463" s="744"/>
      <c r="M463" s="736"/>
      <c r="N463" s="938"/>
      <c r="O463" s="834"/>
      <c r="W463" s="67"/>
      <c r="X463" s="698"/>
      <c r="Y463" s="905"/>
      <c r="Z463" s="895"/>
      <c r="BJ463" s="573" t="s">
        <v>4670</v>
      </c>
    </row>
    <row r="464" spans="1:62" ht="15" thickTop="1" x14ac:dyDescent="0.35">
      <c r="A464" s="403">
        <v>6</v>
      </c>
      <c r="B464" s="609" t="s">
        <v>663</v>
      </c>
      <c r="C464" s="611"/>
      <c r="D464" s="604"/>
      <c r="E464" s="604"/>
      <c r="F464" s="604"/>
      <c r="G464" s="403" t="s">
        <v>4326</v>
      </c>
      <c r="H464" s="403" t="s">
        <v>4323</v>
      </c>
      <c r="I464" s="123" t="s">
        <v>664</v>
      </c>
      <c r="J464" s="124"/>
      <c r="K464" s="125"/>
      <c r="L464" s="711" t="s">
        <v>665</v>
      </c>
      <c r="M464" s="749" t="str">
        <f>IF(R464,"Mandatory","N/A")</f>
        <v>Mandatory</v>
      </c>
      <c r="N464" s="195"/>
      <c r="O464" s="195"/>
      <c r="P464" s="62" t="b">
        <v>1</v>
      </c>
      <c r="Q464" s="62" t="b">
        <v>1</v>
      </c>
      <c r="R464" s="62" t="b">
        <f>S464</f>
        <v>1</v>
      </c>
      <c r="S464" s="62" t="b">
        <v>1</v>
      </c>
      <c r="T464" s="62" t="b">
        <v>0</v>
      </c>
      <c r="U464" s="62" t="str">
        <f>SUBSTITUTE(SUBSTITUTE(SUBSTITUTE("dd"&amp;B464&amp;C464&amp;D464&amp;E464&amp;F464,".","_"),"(","_"),")","")</f>
        <v>dd602_1_11</v>
      </c>
      <c r="V464" s="62"/>
      <c r="W464" s="9" t="s">
        <v>3239</v>
      </c>
      <c r="X464" s="687"/>
      <c r="Y464" s="904" t="str">
        <f>IF(LEN('Ch6'!X209)=0,"None",'Ch6'!X209)</f>
        <v>None</v>
      </c>
      <c r="Z464" s="896"/>
      <c r="AC464" t="b">
        <f>OR(AD464:AE464)</f>
        <v>0</v>
      </c>
      <c r="AD464" t="b">
        <f>T464</f>
        <v>0</v>
      </c>
      <c r="AE464" t="b">
        <f>AND(R464,NOT(W464="Met"),NOT(W464="N/A"))</f>
        <v>0</v>
      </c>
      <c r="AF464" t="b">
        <f>AND(AE464,NOT(Q464))</f>
        <v>0</v>
      </c>
      <c r="AL464" t="str">
        <f>SUBSTITUTE(SUBSTITUTE(SUBSTITUTE("vpa"&amp;$B464&amp;$C464&amp;$D464&amp;$E464&amp;$F464,".","_"),"(","_"),")","")</f>
        <v>vpa602_1_11</v>
      </c>
      <c r="AM464" t="str">
        <f>M464</f>
        <v>Mandatory</v>
      </c>
      <c r="AP464" t="str">
        <f>SUBSTITUTE(SUBSTITUTE(SUBSTITUTE("vch"&amp;$B464&amp;$C464&amp;$D464&amp;$E464&amp;$F464,".","_"),"(","_"),")","")</f>
        <v>vch602_1_11</v>
      </c>
      <c r="AQ464" t="str">
        <f>W464</f>
        <v>Met</v>
      </c>
      <c r="AR464" t="str">
        <f>SUBSTITUTE(SUBSTITUTE(SUBSTITUTE("vnt"&amp;$B464&amp;$C464&amp;$D464&amp;$E464&amp;$F464,".","_"),"(","_"),")","")</f>
        <v>vnt602_1_11</v>
      </c>
      <c r="AS464">
        <f>X464</f>
        <v>0</v>
      </c>
      <c r="BJ464" s="573" t="s">
        <v>4670</v>
      </c>
    </row>
    <row r="465" spans="1:62" ht="15" thickBot="1" x14ac:dyDescent="0.4">
      <c r="A465" s="403">
        <v>6</v>
      </c>
      <c r="B465" s="609" t="s">
        <v>663</v>
      </c>
      <c r="C465" s="611"/>
      <c r="D465" s="604"/>
      <c r="E465" s="604"/>
      <c r="F465" s="604"/>
      <c r="G465" s="403" t="s">
        <v>4326</v>
      </c>
      <c r="H465" s="403" t="s">
        <v>4323</v>
      </c>
      <c r="I465" s="32"/>
      <c r="J465" s="4"/>
      <c r="K465" s="46"/>
      <c r="L465" s="706"/>
      <c r="M465" s="740"/>
      <c r="N465" s="44"/>
      <c r="O465" s="44"/>
      <c r="W465" s="205"/>
      <c r="X465" s="698"/>
      <c r="Y465" s="905"/>
      <c r="Z465" s="895"/>
      <c r="BJ465" s="573" t="s">
        <v>4670</v>
      </c>
    </row>
    <row r="466" spans="1:62" ht="15" thickTop="1" x14ac:dyDescent="0.35">
      <c r="A466" s="403">
        <v>6</v>
      </c>
      <c r="B466" s="609" t="s">
        <v>666</v>
      </c>
      <c r="C466" s="611"/>
      <c r="D466" s="604"/>
      <c r="E466" s="604"/>
      <c r="F466" s="604"/>
      <c r="G466" s="403" t="str">
        <f ca="1">IF(N466&gt;0,"P","")</f>
        <v/>
      </c>
      <c r="H466" s="403" t="s">
        <v>4324</v>
      </c>
      <c r="I466" s="123" t="s">
        <v>666</v>
      </c>
      <c r="J466" s="124"/>
      <c r="K466" s="125"/>
      <c r="L466" s="711" t="s">
        <v>667</v>
      </c>
      <c r="M466" s="692">
        <v>4</v>
      </c>
      <c r="N466" s="940">
        <f ca="1">'Ch6'!O211</f>
        <v>0</v>
      </c>
      <c r="O466" s="940">
        <f ca="1">M466*S466*W466</f>
        <v>0</v>
      </c>
      <c r="P466" t="b">
        <v>1</v>
      </c>
      <c r="Q466" t="b">
        <v>0</v>
      </c>
      <c r="R466" s="62" t="b">
        <v>0</v>
      </c>
      <c r="S466" s="62" t="b">
        <f ca="1">OR(ISBLANK(W311),W311=INDEX(INDIRECT(U311),1))</f>
        <v>1</v>
      </c>
      <c r="T466" s="62" t="b">
        <f ca="1">IF(AND(NOT(S466),W466=TRUE),TRUE,FALSE)</f>
        <v>0</v>
      </c>
      <c r="U466" s="62"/>
      <c r="V466" s="62"/>
      <c r="W466" s="17"/>
      <c r="X466" s="687"/>
      <c r="Y466" s="904" t="str">
        <f>IF(LEN('Ch6'!X211)=0,"None",'Ch6'!X211)</f>
        <v>None</v>
      </c>
      <c r="Z466" s="896"/>
      <c r="AA466">
        <f>'Photo Review'!H466</f>
        <v>0</v>
      </c>
      <c r="AC466" t="b">
        <f ca="1">OR(AD466:AE466)</f>
        <v>0</v>
      </c>
      <c r="AD466" t="b">
        <f ca="1">T466</f>
        <v>0</v>
      </c>
      <c r="AE466" t="b">
        <v>0</v>
      </c>
      <c r="AF466" t="b">
        <f>AND(AE466,NOT(Q466))</f>
        <v>0</v>
      </c>
      <c r="AL466" t="str">
        <f>SUBSTITUTE(SUBSTITUTE(SUBSTITUTE("vpa"&amp;$B466&amp;$C466&amp;$D466&amp;$E466&amp;$F466,".","_"),"(","_"),")","")</f>
        <v>vpa602_1_12</v>
      </c>
      <c r="AM466">
        <f>M466</f>
        <v>4</v>
      </c>
      <c r="AN466" t="str">
        <f>SUBSTITUTE(SUBSTITUTE(SUBSTITUTE("vpc"&amp;$B466&amp;$C466&amp;$D466&amp;$E466&amp;$F466,".","_"),"(","_"),")","")</f>
        <v>vpc602_1_12</v>
      </c>
      <c r="AO466">
        <f ca="1">O466</f>
        <v>0</v>
      </c>
      <c r="AP466" t="str">
        <f>SUBSTITUTE(SUBSTITUTE(SUBSTITUTE("vch"&amp;$B466&amp;$C466&amp;$D466&amp;$E466&amp;$F466,".","_"),"(","_"),")","")</f>
        <v>vch602_1_12</v>
      </c>
      <c r="AQ466">
        <f>W466</f>
        <v>0</v>
      </c>
      <c r="AR466" t="str">
        <f>SUBSTITUTE(SUBSTITUTE(SUBSTITUTE("vnt"&amp;$B466&amp;$C466&amp;$D466&amp;$E466&amp;$F466,".","_"),"(","_"),")","")</f>
        <v>vnt602_1_12</v>
      </c>
      <c r="AS466">
        <f>X466</f>
        <v>0</v>
      </c>
      <c r="BJ466" s="573" t="s">
        <v>4670</v>
      </c>
    </row>
    <row r="467" spans="1:62" x14ac:dyDescent="0.35">
      <c r="A467" s="403">
        <v>6</v>
      </c>
      <c r="B467" s="609" t="s">
        <v>666</v>
      </c>
      <c r="C467" s="611"/>
      <c r="D467" s="604"/>
      <c r="E467" s="604"/>
      <c r="F467" s="604"/>
      <c r="G467" s="403" t="str">
        <f t="shared" ref="G467:G468" ca="1" si="146">G466</f>
        <v/>
      </c>
      <c r="H467" s="403" t="s">
        <v>4324</v>
      </c>
      <c r="I467" s="32"/>
      <c r="J467" s="4"/>
      <c r="K467" s="46"/>
      <c r="L467" s="706"/>
      <c r="M467" s="690"/>
      <c r="N467" s="834"/>
      <c r="O467" s="834"/>
      <c r="X467" s="688"/>
      <c r="Y467" s="891"/>
      <c r="Z467" s="892"/>
      <c r="BJ467" s="573" t="s">
        <v>4670</v>
      </c>
    </row>
    <row r="468" spans="1:62" ht="15" thickBot="1" x14ac:dyDescent="0.4">
      <c r="A468" s="403">
        <v>6</v>
      </c>
      <c r="B468" s="609" t="s">
        <v>666</v>
      </c>
      <c r="C468" s="611"/>
      <c r="D468" s="604"/>
      <c r="E468" s="604"/>
      <c r="F468" s="604"/>
      <c r="G468" s="403" t="str">
        <f t="shared" ca="1" si="146"/>
        <v/>
      </c>
      <c r="H468" s="403" t="s">
        <v>4324</v>
      </c>
      <c r="I468" s="32"/>
      <c r="J468" s="4"/>
      <c r="K468" s="46"/>
      <c r="L468" s="208" t="s">
        <v>3236</v>
      </c>
      <c r="M468" s="690"/>
      <c r="N468" s="938"/>
      <c r="O468" s="834"/>
      <c r="W468" s="67"/>
      <c r="X468" s="698"/>
      <c r="Y468" s="905"/>
      <c r="Z468" s="895"/>
      <c r="BJ468" s="573" t="s">
        <v>4670</v>
      </c>
    </row>
    <row r="469" spans="1:62" ht="15" thickTop="1" x14ac:dyDescent="0.35">
      <c r="A469" s="403">
        <v>6</v>
      </c>
      <c r="B469" s="608" t="s">
        <v>668</v>
      </c>
      <c r="C469" s="608"/>
      <c r="D469" s="604"/>
      <c r="E469" s="604"/>
      <c r="F469" s="604"/>
      <c r="G469" s="403" t="s">
        <v>4326</v>
      </c>
      <c r="H469" s="403" t="s">
        <v>4324</v>
      </c>
      <c r="I469" s="123" t="s">
        <v>669</v>
      </c>
      <c r="J469" s="124"/>
      <c r="K469" s="125"/>
      <c r="L469" s="711" t="s">
        <v>670</v>
      </c>
      <c r="M469" s="749" t="str">
        <f>IF(R469,"Mandatory","N/A")</f>
        <v>Mandatory</v>
      </c>
      <c r="N469" s="195"/>
      <c r="O469" s="195"/>
      <c r="P469" s="62" t="b">
        <v>1</v>
      </c>
      <c r="Q469" s="62" t="b">
        <v>0</v>
      </c>
      <c r="R469" s="62" t="b">
        <f>S469</f>
        <v>1</v>
      </c>
      <c r="S469" s="62" t="b">
        <v>1</v>
      </c>
      <c r="T469" s="62" t="b">
        <v>0</v>
      </c>
      <c r="U469" s="62" t="str">
        <f>SUBSTITUTE(SUBSTITUTE(SUBSTITUTE("dd"&amp;B469&amp;C469&amp;D469&amp;E469&amp;F469,".","_"),"(","_"),")","")</f>
        <v>dd602_1_13</v>
      </c>
      <c r="V469" s="62"/>
      <c r="W469" s="9" t="s">
        <v>3241</v>
      </c>
      <c r="X469" s="687"/>
      <c r="Y469" s="904" t="str">
        <f>IF(LEN('Ch6'!X214)=0,"None",'Ch6'!X214)</f>
        <v>None</v>
      </c>
      <c r="Z469" s="896"/>
      <c r="AC469" t="b">
        <f>OR(AD469:AE469)</f>
        <v>0</v>
      </c>
      <c r="AD469" t="b">
        <f>T469</f>
        <v>0</v>
      </c>
      <c r="AE469" t="b">
        <f>AND(R469,NOT(W469="Met"),NOT(W469="N/A"))</f>
        <v>0</v>
      </c>
      <c r="AF469" t="b">
        <f>AND(AE469,NOT(Q469))</f>
        <v>0</v>
      </c>
      <c r="AL469" t="str">
        <f>SUBSTITUTE(SUBSTITUTE(SUBSTITUTE("vpa"&amp;$B469&amp;$C469&amp;$D469&amp;$E469&amp;$F469,".","_"),"(","_"),")","")</f>
        <v>vpa602_1_13</v>
      </c>
      <c r="AM469" t="str">
        <f>M469</f>
        <v>Mandatory</v>
      </c>
      <c r="AP469" t="str">
        <f>SUBSTITUTE(SUBSTITUTE(SUBSTITUTE("vch"&amp;$B469&amp;$C469&amp;$D469&amp;$E469&amp;$F469,".","_"),"(","_"),")","")</f>
        <v>vch602_1_13</v>
      </c>
      <c r="AQ469" t="str">
        <f>W469</f>
        <v>N/A</v>
      </c>
      <c r="AR469" t="str">
        <f>SUBSTITUTE(SUBSTITUTE(SUBSTITUTE("vnt"&amp;$B469&amp;$C469&amp;$D469&amp;$E469&amp;$F469,".","_"),"(","_"),")","")</f>
        <v>vnt602_1_13</v>
      </c>
      <c r="AS469">
        <f>X469</f>
        <v>0</v>
      </c>
      <c r="BJ469" s="573" t="s">
        <v>4670</v>
      </c>
    </row>
    <row r="470" spans="1:62" x14ac:dyDescent="0.35">
      <c r="A470" s="403">
        <v>6</v>
      </c>
      <c r="B470" s="608" t="s">
        <v>668</v>
      </c>
      <c r="C470" s="608"/>
      <c r="D470" s="604"/>
      <c r="E470" s="604"/>
      <c r="F470" s="604"/>
      <c r="G470" s="403" t="s">
        <v>4326</v>
      </c>
      <c r="H470" s="403" t="s">
        <v>4324</v>
      </c>
      <c r="I470" s="32"/>
      <c r="J470" s="4"/>
      <c r="K470" s="46"/>
      <c r="L470" s="706"/>
      <c r="M470" s="740"/>
      <c r="N470" s="44"/>
      <c r="O470" s="44"/>
      <c r="X470" s="688"/>
      <c r="Y470" s="891"/>
      <c r="Z470" s="892"/>
      <c r="BJ470" s="573" t="s">
        <v>4670</v>
      </c>
    </row>
    <row r="471" spans="1:62" x14ac:dyDescent="0.35">
      <c r="A471" s="403">
        <v>6</v>
      </c>
      <c r="B471" s="608" t="s">
        <v>668</v>
      </c>
      <c r="C471" s="608"/>
      <c r="D471" s="604"/>
      <c r="E471" s="604"/>
      <c r="F471" s="604"/>
      <c r="G471" s="403" t="s">
        <v>4326</v>
      </c>
      <c r="H471" s="403" t="s">
        <v>4324</v>
      </c>
      <c r="I471" s="32"/>
      <c r="J471" s="4"/>
      <c r="K471" s="46"/>
      <c r="L471" s="706"/>
      <c r="M471" s="740"/>
      <c r="N471" s="44"/>
      <c r="O471" s="44"/>
      <c r="X471" s="688"/>
      <c r="Y471" s="891"/>
      <c r="Z471" s="892"/>
      <c r="BJ471" s="573" t="s">
        <v>4670</v>
      </c>
    </row>
    <row r="472" spans="1:62" ht="15" thickBot="1" x14ac:dyDescent="0.4">
      <c r="A472" s="403">
        <v>6</v>
      </c>
      <c r="B472" s="608" t="s">
        <v>668</v>
      </c>
      <c r="C472" s="608"/>
      <c r="D472" s="604"/>
      <c r="E472" s="604"/>
      <c r="F472" s="604"/>
      <c r="G472" s="403" t="s">
        <v>4326</v>
      </c>
      <c r="H472" s="403" t="s">
        <v>4324</v>
      </c>
      <c r="I472" s="32"/>
      <c r="J472" s="4"/>
      <c r="K472" s="46"/>
      <c r="L472" s="706"/>
      <c r="M472" s="740"/>
      <c r="N472" s="44"/>
      <c r="O472" s="44"/>
      <c r="X472" s="698"/>
      <c r="Y472" s="905"/>
      <c r="Z472" s="895"/>
      <c r="BJ472" s="573" t="s">
        <v>4670</v>
      </c>
    </row>
    <row r="473" spans="1:62" ht="15" thickTop="1" x14ac:dyDescent="0.35">
      <c r="A473" s="403">
        <v>6</v>
      </c>
      <c r="B473" s="608" t="s">
        <v>671</v>
      </c>
      <c r="C473" s="608"/>
      <c r="D473" s="604"/>
      <c r="E473" s="604"/>
      <c r="F473" s="604"/>
      <c r="G473" s="403" t="s">
        <v>4326</v>
      </c>
      <c r="H473" s="403" t="s">
        <v>4323</v>
      </c>
      <c r="I473" s="123" t="s">
        <v>671</v>
      </c>
      <c r="J473" s="124"/>
      <c r="K473" s="125"/>
      <c r="L473" s="711" t="s">
        <v>672</v>
      </c>
      <c r="M473" s="199"/>
      <c r="N473" s="195"/>
      <c r="O473" s="195"/>
      <c r="P473" s="62"/>
      <c r="Q473" s="62"/>
      <c r="R473" s="62"/>
      <c r="S473" s="62"/>
      <c r="T473" s="62"/>
      <c r="U473" s="62"/>
      <c r="V473" s="62"/>
      <c r="W473" s="62"/>
      <c r="X473" s="62"/>
      <c r="Z473" s="543"/>
      <c r="BJ473" s="573" t="s">
        <v>4670</v>
      </c>
    </row>
    <row r="474" spans="1:62" x14ac:dyDescent="0.35">
      <c r="A474" s="403">
        <v>6</v>
      </c>
      <c r="B474" s="608" t="s">
        <v>671</v>
      </c>
      <c r="C474" s="608"/>
      <c r="D474" s="604"/>
      <c r="E474" s="604"/>
      <c r="F474" s="604"/>
      <c r="G474" s="403" t="s">
        <v>4326</v>
      </c>
      <c r="H474" s="403" t="s">
        <v>4323</v>
      </c>
      <c r="I474" s="32"/>
      <c r="J474" s="4"/>
      <c r="K474" s="46"/>
      <c r="L474" s="706"/>
      <c r="M474" s="43"/>
      <c r="N474" s="44"/>
      <c r="O474" s="44"/>
      <c r="Z474" s="543"/>
      <c r="BJ474" s="573" t="s">
        <v>4670</v>
      </c>
    </row>
    <row r="475" spans="1:62" x14ac:dyDescent="0.35">
      <c r="A475" s="403">
        <v>6</v>
      </c>
      <c r="B475" s="608" t="s">
        <v>671</v>
      </c>
      <c r="C475" s="608"/>
      <c r="D475" s="604"/>
      <c r="E475" s="604" t="s">
        <v>270</v>
      </c>
      <c r="F475" s="604"/>
      <c r="G475" s="403" t="s">
        <v>4326</v>
      </c>
      <c r="H475" s="403" t="s">
        <v>4323</v>
      </c>
      <c r="I475" s="32"/>
      <c r="J475" s="19" t="s">
        <v>270</v>
      </c>
      <c r="K475" s="46"/>
      <c r="L475" s="707" t="s">
        <v>673</v>
      </c>
      <c r="M475" s="750" t="str">
        <f>IF(R475,"Mandatory
1","N/A")</f>
        <v>Mandatory
1</v>
      </c>
      <c r="N475" s="834">
        <f>'Ch6'!O220</f>
        <v>1</v>
      </c>
      <c r="O475" s="834">
        <f>IF(AND(S475,W475="Met"),1,0)</f>
        <v>0</v>
      </c>
      <c r="P475" t="b">
        <v>1</v>
      </c>
      <c r="Q475" t="b">
        <v>1</v>
      </c>
      <c r="R475" t="b">
        <f>S475</f>
        <v>1</v>
      </c>
      <c r="S475" t="b">
        <v>1</v>
      </c>
      <c r="T475" t="b">
        <v>0</v>
      </c>
      <c r="U475" t="str">
        <f>SUBSTITUTE(SUBSTITUTE(SUBSTITUTE("dd"&amp;B475&amp;C475&amp;D475&amp;E475&amp;F475,".","_"),"(","_"),")","")</f>
        <v>dd602_1_14_1</v>
      </c>
      <c r="W475" s="9" t="s">
        <v>3241</v>
      </c>
      <c r="X475" s="688"/>
      <c r="Y475" s="891" t="str">
        <f>IF(LEN('Ch6'!X220)=0,"None",'Ch6'!X220)</f>
        <v>None</v>
      </c>
      <c r="Z475" s="892"/>
      <c r="AA475">
        <f>'Photo Review'!H475</f>
        <v>0</v>
      </c>
      <c r="AC475" t="b">
        <f>OR(AD475:AE475)</f>
        <v>0</v>
      </c>
      <c r="AD475" t="b">
        <f>T475</f>
        <v>0</v>
      </c>
      <c r="AE475" t="b">
        <f>AND(R475,NOT(W475="Met"),NOT(W475="N/A"))</f>
        <v>0</v>
      </c>
      <c r="AF475" t="b">
        <f>AND(AE475,NOT(Q475))</f>
        <v>0</v>
      </c>
      <c r="AL475" t="str">
        <f>SUBSTITUTE(SUBSTITUTE(SUBSTITUTE("vpa"&amp;$B475&amp;$C475&amp;$D475&amp;$E475&amp;$F475,".","_"),"(","_"),")","")</f>
        <v>vpa602_1_14_1</v>
      </c>
      <c r="AM475" t="str">
        <f>M475</f>
        <v>Mandatory
1</v>
      </c>
      <c r="AN475" t="str">
        <f>SUBSTITUTE(SUBSTITUTE(SUBSTITUTE("vpc"&amp;$B475&amp;$C475&amp;$D475&amp;$E475&amp;$F475,".","_"),"(","_"),")","")</f>
        <v>vpc602_1_14_1</v>
      </c>
      <c r="AO475">
        <f>O475</f>
        <v>0</v>
      </c>
      <c r="AP475" t="str">
        <f>SUBSTITUTE(SUBSTITUTE(SUBSTITUTE("vch"&amp;$B475&amp;$C475&amp;$D475&amp;$E475&amp;$F475,".","_"),"(","_"),")","")</f>
        <v>vch602_1_14_1</v>
      </c>
      <c r="AQ475" t="str">
        <f>W475</f>
        <v>N/A</v>
      </c>
      <c r="AR475" t="str">
        <f>SUBSTITUTE(SUBSTITUTE(SUBSTITUTE("vnt"&amp;$B475&amp;$C475&amp;$D475&amp;$E475&amp;$F475,".","_"),"(","_"),")","")</f>
        <v>vnt602_1_14_1</v>
      </c>
      <c r="AS475">
        <f>X475</f>
        <v>0</v>
      </c>
      <c r="BJ475" s="573" t="s">
        <v>4670</v>
      </c>
    </row>
    <row r="476" spans="1:62" x14ac:dyDescent="0.35">
      <c r="A476" s="403">
        <v>6</v>
      </c>
      <c r="B476" s="608" t="s">
        <v>671</v>
      </c>
      <c r="C476" s="608"/>
      <c r="D476" s="604"/>
      <c r="E476" s="604" t="s">
        <v>270</v>
      </c>
      <c r="F476" s="604"/>
      <c r="G476" s="403" t="s">
        <v>4326</v>
      </c>
      <c r="H476" s="403" t="s">
        <v>4323</v>
      </c>
      <c r="I476" s="32"/>
      <c r="J476" s="155"/>
      <c r="K476" s="116"/>
      <c r="L476" s="709"/>
      <c r="M476" s="751"/>
      <c r="N476" s="886"/>
      <c r="O476" s="886"/>
      <c r="X476" s="688"/>
      <c r="Y476" s="891"/>
      <c r="Z476" s="892"/>
      <c r="BJ476" s="573" t="s">
        <v>4670</v>
      </c>
    </row>
    <row r="477" spans="1:62" x14ac:dyDescent="0.35">
      <c r="A477" s="403">
        <v>6</v>
      </c>
      <c r="B477" s="608" t="s">
        <v>671</v>
      </c>
      <c r="C477" s="608"/>
      <c r="D477" s="604"/>
      <c r="E477" s="604" t="s">
        <v>272</v>
      </c>
      <c r="F477" s="604"/>
      <c r="G477" s="403" t="str">
        <f>IF(N477&gt;0,"P","")</f>
        <v/>
      </c>
      <c r="H477" s="403" t="s">
        <v>4323</v>
      </c>
      <c r="I477" s="32"/>
      <c r="J477" s="150" t="s">
        <v>272</v>
      </c>
      <c r="K477" s="151"/>
      <c r="L477" s="151" t="s">
        <v>674</v>
      </c>
      <c r="M477" s="153">
        <v>2</v>
      </c>
      <c r="N477" s="157">
        <f>'Ch6'!O222</f>
        <v>0</v>
      </c>
      <c r="O477" s="157">
        <f>M477*S477*W477</f>
        <v>2</v>
      </c>
      <c r="P477" t="b">
        <v>1</v>
      </c>
      <c r="Q477" t="b">
        <v>1</v>
      </c>
      <c r="R477" t="b">
        <v>0</v>
      </c>
      <c r="S477" t="b">
        <v>1</v>
      </c>
      <c r="T477" t="b">
        <v>0</v>
      </c>
      <c r="W477" s="17" t="b">
        <v>1</v>
      </c>
      <c r="X477" s="39"/>
      <c r="Y477" s="200" t="str">
        <f>IF(LEN('Ch6'!X222)=0,"None",'Ch6'!X222)</f>
        <v>None</v>
      </c>
      <c r="Z477" s="563"/>
      <c r="AA477">
        <f>'Photo Review'!H477</f>
        <v>0</v>
      </c>
      <c r="AL477" t="str">
        <f t="shared" ref="AL477:AL479" si="147">SUBSTITUTE(SUBSTITUTE(SUBSTITUTE("vpa"&amp;$B477&amp;$C477&amp;$D477&amp;$E477&amp;$F477,".","_"),"(","_"),")","")</f>
        <v>vpa602_1_14_2</v>
      </c>
      <c r="AM477">
        <f>M477</f>
        <v>2</v>
      </c>
      <c r="AN477" t="str">
        <f t="shared" ref="AN477:AN479" si="148">SUBSTITUTE(SUBSTITUTE(SUBSTITUTE("vpc"&amp;$B477&amp;$C477&amp;$D477&amp;$E477&amp;$F477,".","_"),"(","_"),")","")</f>
        <v>vpc602_1_14_2</v>
      </c>
      <c r="AO477">
        <f>O477</f>
        <v>2</v>
      </c>
      <c r="AP477" t="str">
        <f t="shared" ref="AP477:AP478" si="149">SUBSTITUTE(SUBSTITUTE(SUBSTITUTE("vch"&amp;$B477&amp;$C477&amp;$D477&amp;$E477&amp;$F477,".","_"),"(","_"),")","")</f>
        <v>vch602_1_14_2</v>
      </c>
      <c r="AQ477" t="b">
        <f>W477</f>
        <v>1</v>
      </c>
      <c r="AR477" t="str">
        <f t="shared" ref="AR477:AR478" si="150">SUBSTITUTE(SUBSTITUTE(SUBSTITUTE("vnt"&amp;$B477&amp;$C477&amp;$D477&amp;$E477&amp;$F477,".","_"),"(","_"),")","")</f>
        <v>vnt602_1_14_2</v>
      </c>
      <c r="AS477">
        <f>X477</f>
        <v>0</v>
      </c>
      <c r="BJ477" s="573" t="s">
        <v>4670</v>
      </c>
    </row>
    <row r="478" spans="1:62" ht="15" thickBot="1" x14ac:dyDescent="0.4">
      <c r="A478" s="403">
        <v>6</v>
      </c>
      <c r="B478" s="608" t="s">
        <v>671</v>
      </c>
      <c r="C478" s="608"/>
      <c r="D478" s="604"/>
      <c r="E478" s="604" t="s">
        <v>274</v>
      </c>
      <c r="F478" s="604"/>
      <c r="G478" s="403" t="str">
        <f>IF(N478&gt;0,"P","")</f>
        <v/>
      </c>
      <c r="H478" s="403" t="s">
        <v>4323</v>
      </c>
      <c r="I478" s="32"/>
      <c r="J478" s="19" t="s">
        <v>274</v>
      </c>
      <c r="K478" s="46"/>
      <c r="L478" s="46" t="s">
        <v>675</v>
      </c>
      <c r="M478" s="43">
        <v>2</v>
      </c>
      <c r="N478" s="44">
        <f>'Ch6'!O223</f>
        <v>0</v>
      </c>
      <c r="O478" s="44">
        <f>M478*S478*W478</f>
        <v>2</v>
      </c>
      <c r="P478" t="b">
        <v>1</v>
      </c>
      <c r="Q478" t="b">
        <v>1</v>
      </c>
      <c r="R478" t="b">
        <v>0</v>
      </c>
      <c r="S478" t="b">
        <v>1</v>
      </c>
      <c r="T478" t="b">
        <v>0</v>
      </c>
      <c r="W478" s="17" t="b">
        <v>1</v>
      </c>
      <c r="X478" s="111"/>
      <c r="Y478" s="201" t="str">
        <f>IF(LEN('Ch6'!X223)=0,"None",'Ch6'!X223)</f>
        <v>None</v>
      </c>
      <c r="Z478" s="567"/>
      <c r="AA478">
        <f>'Photo Review'!H478</f>
        <v>0</v>
      </c>
      <c r="AL478" t="str">
        <f t="shared" si="147"/>
        <v>vpa602_1_14_3</v>
      </c>
      <c r="AM478">
        <f>M478</f>
        <v>2</v>
      </c>
      <c r="AN478" t="str">
        <f t="shared" si="148"/>
        <v>vpc602_1_14_3</v>
      </c>
      <c r="AO478">
        <f>O478</f>
        <v>2</v>
      </c>
      <c r="AP478" t="str">
        <f t="shared" si="149"/>
        <v>vch602_1_14_3</v>
      </c>
      <c r="AQ478" t="b">
        <f>W478</f>
        <v>1</v>
      </c>
      <c r="AR478" t="str">
        <f t="shared" si="150"/>
        <v>vnt602_1_14_3</v>
      </c>
      <c r="AS478">
        <f>X478</f>
        <v>0</v>
      </c>
      <c r="BJ478" s="573" t="s">
        <v>4670</v>
      </c>
    </row>
    <row r="479" spans="1:62" ht="15" thickTop="1" x14ac:dyDescent="0.35">
      <c r="A479" s="403">
        <v>6</v>
      </c>
      <c r="B479" s="608">
        <v>602.20000000000005</v>
      </c>
      <c r="C479" s="604"/>
      <c r="D479" s="604"/>
      <c r="E479" s="604"/>
      <c r="F479" s="604"/>
      <c r="G479" s="403" t="str">
        <f>IF(N479&gt;0,"P","")</f>
        <v/>
      </c>
      <c r="H479" s="403" t="s">
        <v>4323</v>
      </c>
      <c r="I479" s="123">
        <v>602.20000000000005</v>
      </c>
      <c r="J479" s="124"/>
      <c r="K479" s="125"/>
      <c r="L479" s="711" t="s">
        <v>676</v>
      </c>
      <c r="M479" s="692">
        <v>3</v>
      </c>
      <c r="N479" s="940">
        <f>'Ch6'!O224</f>
        <v>0</v>
      </c>
      <c r="O479" s="940">
        <f>IFERROR(OR(W483,W485,W486),0)*M479</f>
        <v>0</v>
      </c>
      <c r="P479" s="62"/>
      <c r="Q479" s="62"/>
      <c r="R479" s="62"/>
      <c r="S479" s="62"/>
      <c r="T479" s="62"/>
      <c r="U479" s="62"/>
      <c r="V479" s="62"/>
      <c r="W479" s="62"/>
      <c r="X479" s="62"/>
      <c r="Z479" s="543"/>
      <c r="AL479" t="str">
        <f t="shared" si="147"/>
        <v>vpa602_2</v>
      </c>
      <c r="AM479">
        <f>M479</f>
        <v>3</v>
      </c>
      <c r="AN479" t="str">
        <f t="shared" si="148"/>
        <v>vpc602_2</v>
      </c>
      <c r="AO479">
        <f>O479</f>
        <v>0</v>
      </c>
      <c r="BJ479" s="573" t="s">
        <v>4670</v>
      </c>
    </row>
    <row r="480" spans="1:62" x14ac:dyDescent="0.35">
      <c r="A480" s="403">
        <v>6</v>
      </c>
      <c r="B480" s="608">
        <v>602.20000000000005</v>
      </c>
      <c r="C480" s="604"/>
      <c r="D480" s="604"/>
      <c r="E480" s="604"/>
      <c r="F480" s="604"/>
      <c r="G480" s="403" t="str">
        <f t="shared" ref="G480:G488" si="151">G479</f>
        <v/>
      </c>
      <c r="H480" s="403" t="s">
        <v>4323</v>
      </c>
      <c r="I480" s="32"/>
      <c r="J480" s="4"/>
      <c r="K480" s="46"/>
      <c r="L480" s="706"/>
      <c r="M480" s="690"/>
      <c r="N480" s="834"/>
      <c r="O480" s="834"/>
      <c r="Z480" s="543"/>
      <c r="BJ480" s="573" t="s">
        <v>4670</v>
      </c>
    </row>
    <row r="481" spans="1:62" x14ac:dyDescent="0.35">
      <c r="A481" s="403">
        <v>6</v>
      </c>
      <c r="B481" s="608">
        <v>602.20000000000005</v>
      </c>
      <c r="C481" s="604"/>
      <c r="D481" s="604"/>
      <c r="E481" s="604"/>
      <c r="F481" s="604"/>
      <c r="G481" s="403" t="str">
        <f t="shared" si="151"/>
        <v/>
      </c>
      <c r="H481" s="403" t="s">
        <v>4323</v>
      </c>
      <c r="I481" s="32"/>
      <c r="J481" s="4"/>
      <c r="K481" s="46"/>
      <c r="L481" s="706"/>
      <c r="M481" s="690"/>
      <c r="N481" s="834"/>
      <c r="O481" s="834"/>
      <c r="Z481" s="543"/>
      <c r="BJ481" s="573" t="s">
        <v>4670</v>
      </c>
    </row>
    <row r="482" spans="1:62" x14ac:dyDescent="0.35">
      <c r="A482" s="403">
        <v>6</v>
      </c>
      <c r="B482" s="608">
        <v>602.20000000000005</v>
      </c>
      <c r="C482" s="604"/>
      <c r="D482" s="604"/>
      <c r="E482" s="604"/>
      <c r="F482" s="604"/>
      <c r="G482" s="403" t="str">
        <f t="shared" si="151"/>
        <v/>
      </c>
      <c r="H482" s="403" t="s">
        <v>4323</v>
      </c>
      <c r="I482" s="32"/>
      <c r="J482" s="4"/>
      <c r="K482" s="46"/>
      <c r="L482" s="706"/>
      <c r="M482" s="690"/>
      <c r="N482" s="834"/>
      <c r="O482" s="834"/>
      <c r="Z482" s="543"/>
      <c r="BJ482" s="573" t="s">
        <v>4670</v>
      </c>
    </row>
    <row r="483" spans="1:62" x14ac:dyDescent="0.35">
      <c r="A483" s="403">
        <v>6</v>
      </c>
      <c r="B483" s="608">
        <v>602.20000000000005</v>
      </c>
      <c r="C483" s="604"/>
      <c r="D483" s="604"/>
      <c r="E483" s="604" t="s">
        <v>270</v>
      </c>
      <c r="F483" s="604"/>
      <c r="G483" s="403" t="str">
        <f t="shared" si="151"/>
        <v/>
      </c>
      <c r="H483" s="403" t="s">
        <v>4323</v>
      </c>
      <c r="I483" s="32"/>
      <c r="J483" s="19" t="s">
        <v>270</v>
      </c>
      <c r="K483" s="46"/>
      <c r="L483" s="723" t="s">
        <v>677</v>
      </c>
      <c r="M483" s="43"/>
      <c r="N483" s="44"/>
      <c r="O483" s="44"/>
      <c r="P483" t="b">
        <v>1</v>
      </c>
      <c r="Q483" t="b">
        <v>1</v>
      </c>
      <c r="R483" t="b">
        <v>0</v>
      </c>
      <c r="S483" t="b">
        <v>1</v>
      </c>
      <c r="T483" t="b">
        <v>0</v>
      </c>
      <c r="W483" s="17"/>
      <c r="X483" s="688"/>
      <c r="Y483" s="891" t="str">
        <f>IF(LEN('Ch6'!X228)=0,"None",'Ch6'!X228)</f>
        <v>None</v>
      </c>
      <c r="Z483" s="892"/>
      <c r="AP483" t="str">
        <f>SUBSTITUTE(SUBSTITUTE(SUBSTITUTE("vch"&amp;$B483&amp;$C483&amp;$D483&amp;$E483&amp;$F483,".","_"),"(","_"),")","")</f>
        <v>vch602_2_1</v>
      </c>
      <c r="AQ483">
        <f>W483</f>
        <v>0</v>
      </c>
      <c r="AR483" t="str">
        <f>SUBSTITUTE(SUBSTITUTE(SUBSTITUTE("vnt"&amp;$B483&amp;$C483&amp;$D483&amp;$E483&amp;$F483,".","_"),"(","_"),")","")</f>
        <v>vnt602_2_1</v>
      </c>
      <c r="AS483">
        <f>X483</f>
        <v>0</v>
      </c>
      <c r="BJ483" s="573" t="s">
        <v>4670</v>
      </c>
    </row>
    <row r="484" spans="1:62" x14ac:dyDescent="0.35">
      <c r="A484" s="403">
        <v>6</v>
      </c>
      <c r="B484" s="608">
        <v>602.20000000000005</v>
      </c>
      <c r="C484" s="604"/>
      <c r="D484" s="604"/>
      <c r="E484" s="604" t="s">
        <v>270</v>
      </c>
      <c r="F484" s="604"/>
      <c r="G484" s="403" t="str">
        <f t="shared" si="151"/>
        <v/>
      </c>
      <c r="H484" s="403" t="s">
        <v>4323</v>
      </c>
      <c r="I484" s="32"/>
      <c r="J484" s="148"/>
      <c r="K484" s="116"/>
      <c r="L484" s="724"/>
      <c r="M484" s="43"/>
      <c r="N484" s="44"/>
      <c r="O484" s="44"/>
      <c r="X484" s="688"/>
      <c r="Y484" s="891"/>
      <c r="Z484" s="892"/>
      <c r="BJ484" s="573" t="s">
        <v>4670</v>
      </c>
    </row>
    <row r="485" spans="1:62" x14ac:dyDescent="0.35">
      <c r="A485" s="403">
        <v>6</v>
      </c>
      <c r="B485" s="608">
        <v>602.20000000000005</v>
      </c>
      <c r="C485" s="604"/>
      <c r="D485" s="604"/>
      <c r="E485" s="604" t="s">
        <v>272</v>
      </c>
      <c r="F485" s="604"/>
      <c r="G485" s="403" t="str">
        <f t="shared" si="151"/>
        <v/>
      </c>
      <c r="H485" s="403" t="s">
        <v>4323</v>
      </c>
      <c r="I485" s="32"/>
      <c r="J485" s="150" t="s">
        <v>272</v>
      </c>
      <c r="K485" s="151"/>
      <c r="L485" s="151" t="s">
        <v>678</v>
      </c>
      <c r="M485" s="43"/>
      <c r="N485" s="44"/>
      <c r="O485" s="44"/>
      <c r="P485" t="b">
        <v>1</v>
      </c>
      <c r="Q485" t="b">
        <v>1</v>
      </c>
      <c r="R485" t="b">
        <v>0</v>
      </c>
      <c r="S485" t="b">
        <v>1</v>
      </c>
      <c r="T485" t="b">
        <v>0</v>
      </c>
      <c r="W485" s="17"/>
      <c r="X485" s="39"/>
      <c r="Y485" s="200" t="str">
        <f>IF(LEN('Ch6'!X230)=0,"None",'Ch6'!X230)</f>
        <v>None</v>
      </c>
      <c r="Z485" s="563"/>
      <c r="AP485" t="str">
        <f t="shared" ref="AP485:AP486" si="152">SUBSTITUTE(SUBSTITUTE(SUBSTITUTE("vch"&amp;$B485&amp;$C485&amp;$D485&amp;$E485&amp;$F485,".","_"),"(","_"),")","")</f>
        <v>vch602_2_2</v>
      </c>
      <c r="AQ485">
        <f>W485</f>
        <v>0</v>
      </c>
      <c r="AR485" t="str">
        <f t="shared" ref="AR485:AR486" si="153">SUBSTITUTE(SUBSTITUTE(SUBSTITUTE("vnt"&amp;$B485&amp;$C485&amp;$D485&amp;$E485&amp;$F485,".","_"),"(","_"),")","")</f>
        <v>vnt602_2_2</v>
      </c>
      <c r="AS485">
        <f>X485</f>
        <v>0</v>
      </c>
      <c r="BJ485" s="573" t="s">
        <v>4670</v>
      </c>
    </row>
    <row r="486" spans="1:62" x14ac:dyDescent="0.35">
      <c r="A486" s="403">
        <v>6</v>
      </c>
      <c r="B486" s="608">
        <v>602.20000000000005</v>
      </c>
      <c r="C486" s="604"/>
      <c r="D486" s="604"/>
      <c r="E486" s="604" t="s">
        <v>274</v>
      </c>
      <c r="F486" s="604"/>
      <c r="G486" s="403" t="str">
        <f t="shared" si="151"/>
        <v/>
      </c>
      <c r="H486" s="403" t="s">
        <v>4323</v>
      </c>
      <c r="I486" s="32"/>
      <c r="J486" s="19" t="s">
        <v>274</v>
      </c>
      <c r="K486" s="46"/>
      <c r="L486" s="707" t="s">
        <v>679</v>
      </c>
      <c r="M486" s="43"/>
      <c r="N486" s="44"/>
      <c r="O486" s="44"/>
      <c r="P486" t="b">
        <v>1</v>
      </c>
      <c r="Q486" t="b">
        <v>1</v>
      </c>
      <c r="R486" t="b">
        <v>0</v>
      </c>
      <c r="S486" t="b">
        <v>1</v>
      </c>
      <c r="T486" t="b">
        <v>0</v>
      </c>
      <c r="W486" s="17"/>
      <c r="X486" s="688"/>
      <c r="Y486" s="891" t="str">
        <f>IF(LEN('Ch6'!X231)=0,"None",'Ch6'!X231)</f>
        <v>None</v>
      </c>
      <c r="Z486" s="892"/>
      <c r="AP486" t="str">
        <f t="shared" si="152"/>
        <v>vch602_2_3</v>
      </c>
      <c r="AQ486">
        <f>W486</f>
        <v>0</v>
      </c>
      <c r="AR486" t="str">
        <f t="shared" si="153"/>
        <v>vnt602_2_3</v>
      </c>
      <c r="AS486">
        <f>X486</f>
        <v>0</v>
      </c>
      <c r="BJ486" s="573" t="s">
        <v>4670</v>
      </c>
    </row>
    <row r="487" spans="1:62" x14ac:dyDescent="0.35">
      <c r="A487" s="403">
        <v>6</v>
      </c>
      <c r="B487" s="608">
        <v>602.20000000000005</v>
      </c>
      <c r="C487" s="604"/>
      <c r="D487" s="604"/>
      <c r="E487" s="604"/>
      <c r="F487" s="604"/>
      <c r="G487" s="403" t="str">
        <f t="shared" si="151"/>
        <v/>
      </c>
      <c r="H487" s="403" t="s">
        <v>4323</v>
      </c>
      <c r="I487" s="32"/>
      <c r="J487" s="4"/>
      <c r="K487" s="46"/>
      <c r="L487" s="707"/>
      <c r="M487" s="43"/>
      <c r="N487" s="44"/>
      <c r="O487" s="44"/>
      <c r="X487" s="688"/>
      <c r="Y487" s="891"/>
      <c r="Z487" s="892"/>
      <c r="BJ487" s="573" t="s">
        <v>4670</v>
      </c>
    </row>
    <row r="488" spans="1:62" ht="15" thickBot="1" x14ac:dyDescent="0.4">
      <c r="A488" s="403">
        <v>6</v>
      </c>
      <c r="B488" s="608">
        <v>602.20000000000005</v>
      </c>
      <c r="C488" s="604"/>
      <c r="D488" s="604"/>
      <c r="E488" s="604"/>
      <c r="F488" s="604"/>
      <c r="G488" s="403" t="str">
        <f t="shared" si="151"/>
        <v/>
      </c>
      <c r="H488" s="403" t="s">
        <v>4323</v>
      </c>
      <c r="I488" s="32"/>
      <c r="J488" s="4"/>
      <c r="K488" s="46"/>
      <c r="L488" s="707"/>
      <c r="M488" s="43"/>
      <c r="N488" s="44"/>
      <c r="O488" s="44"/>
      <c r="W488" s="67"/>
      <c r="X488" s="698"/>
      <c r="Y488" s="905"/>
      <c r="Z488" s="895"/>
      <c r="BJ488" s="573" t="s">
        <v>4670</v>
      </c>
    </row>
    <row r="489" spans="1:62" ht="15" thickTop="1" x14ac:dyDescent="0.35">
      <c r="A489" s="403">
        <v>6</v>
      </c>
      <c r="B489" s="608">
        <v>602.29999999999995</v>
      </c>
      <c r="C489" s="604"/>
      <c r="D489" s="604"/>
      <c r="E489" s="604"/>
      <c r="F489" s="604"/>
      <c r="G489" s="403" t="str">
        <f>IF(N489&gt;0,"P","")</f>
        <v>P</v>
      </c>
      <c r="H489" s="403" t="s">
        <v>4325</v>
      </c>
      <c r="I489" s="123">
        <v>602.29999999999995</v>
      </c>
      <c r="J489" s="124"/>
      <c r="K489" s="125"/>
      <c r="L489" s="711" t="s">
        <v>680</v>
      </c>
      <c r="M489" s="692">
        <v>4</v>
      </c>
      <c r="N489" s="940">
        <f>'Ch6'!O234</f>
        <v>4</v>
      </c>
      <c r="O489" s="940">
        <f>M489*S489*W489</f>
        <v>0</v>
      </c>
      <c r="P489" t="b">
        <v>0</v>
      </c>
      <c r="Q489" t="b">
        <v>1</v>
      </c>
      <c r="R489" s="62" t="b">
        <v>0</v>
      </c>
      <c r="S489" s="62" t="b">
        <v>1</v>
      </c>
      <c r="T489" s="62" t="b">
        <v>0</v>
      </c>
      <c r="U489" s="62"/>
      <c r="V489" s="62"/>
      <c r="W489" s="17"/>
      <c r="X489" s="687"/>
      <c r="Y489" s="904" t="str">
        <f>IF(LEN('Ch6'!X234)=0,"None",'Ch6'!X234)</f>
        <v>None</v>
      </c>
      <c r="Z489" s="896"/>
      <c r="AA489">
        <f>'Photo Review'!H489</f>
        <v>0</v>
      </c>
      <c r="AL489" t="str">
        <f>SUBSTITUTE(SUBSTITUTE(SUBSTITUTE("vpa"&amp;$B489&amp;$C489&amp;$D489&amp;$E489&amp;$F489,".","_"),"(","_"),")","")</f>
        <v>vpa602_3</v>
      </c>
      <c r="AM489">
        <f>M489</f>
        <v>4</v>
      </c>
      <c r="AN489" t="str">
        <f>SUBSTITUTE(SUBSTITUTE(SUBSTITUTE("vpc"&amp;$B489&amp;$C489&amp;$D489&amp;$E489&amp;$F489,".","_"),"(","_"),")","")</f>
        <v>vpc602_3</v>
      </c>
      <c r="AO489">
        <f>O489</f>
        <v>0</v>
      </c>
      <c r="AP489" t="str">
        <f>SUBSTITUTE(SUBSTITUTE(SUBSTITUTE("vch"&amp;$B489&amp;$C489&amp;$D489&amp;$E489&amp;$F489,".","_"),"(","_"),")","")</f>
        <v>vch602_3</v>
      </c>
      <c r="AQ489">
        <f>W489</f>
        <v>0</v>
      </c>
      <c r="AR489" t="str">
        <f>SUBSTITUTE(SUBSTITUTE(SUBSTITUTE("vnt"&amp;$B489&amp;$C489&amp;$D489&amp;$E489&amp;$F489,".","_"),"(","_"),")","")</f>
        <v>vnt602_3</v>
      </c>
      <c r="AS489">
        <f>X489</f>
        <v>0</v>
      </c>
      <c r="BJ489" s="573" t="s">
        <v>4670</v>
      </c>
    </row>
    <row r="490" spans="1:62" x14ac:dyDescent="0.35">
      <c r="A490" s="403">
        <v>6</v>
      </c>
      <c r="B490" s="608">
        <v>602.29999999999995</v>
      </c>
      <c r="C490" s="604"/>
      <c r="D490" s="604"/>
      <c r="E490" s="604"/>
      <c r="F490" s="604"/>
      <c r="G490" s="403" t="str">
        <f t="shared" ref="G490:G491" si="154">G489</f>
        <v>P</v>
      </c>
      <c r="H490" s="403" t="s">
        <v>4325</v>
      </c>
      <c r="I490" s="32"/>
      <c r="J490" s="4"/>
      <c r="K490" s="46"/>
      <c r="L490" s="706"/>
      <c r="M490" s="690"/>
      <c r="N490" s="834"/>
      <c r="O490" s="834"/>
      <c r="X490" s="688"/>
      <c r="Y490" s="891"/>
      <c r="Z490" s="892"/>
      <c r="BJ490" s="573" t="s">
        <v>4670</v>
      </c>
    </row>
    <row r="491" spans="1:62" ht="15" thickBot="1" x14ac:dyDescent="0.4">
      <c r="A491" s="403">
        <v>6</v>
      </c>
      <c r="B491" s="608">
        <v>602.29999999999995</v>
      </c>
      <c r="C491" s="604"/>
      <c r="D491" s="604"/>
      <c r="E491" s="604"/>
      <c r="F491" s="604"/>
      <c r="G491" s="403" t="str">
        <f t="shared" si="154"/>
        <v>P</v>
      </c>
      <c r="H491" s="403" t="s">
        <v>4325</v>
      </c>
      <c r="I491" s="32"/>
      <c r="J491" s="4"/>
      <c r="K491" s="46"/>
      <c r="L491" s="706"/>
      <c r="M491" s="690"/>
      <c r="N491" s="938"/>
      <c r="O491" s="834"/>
      <c r="X491" s="698"/>
      <c r="Y491" s="905"/>
      <c r="Z491" s="895"/>
      <c r="BJ491" s="573" t="s">
        <v>4670</v>
      </c>
    </row>
    <row r="492" spans="1:62" ht="15" thickTop="1" x14ac:dyDescent="0.35">
      <c r="A492" s="403">
        <v>6</v>
      </c>
      <c r="B492" s="608">
        <v>602.4</v>
      </c>
      <c r="C492" s="604"/>
      <c r="D492" s="604"/>
      <c r="E492" s="604"/>
      <c r="F492" s="604"/>
      <c r="G492" s="403" t="s">
        <v>4326</v>
      </c>
      <c r="H492" s="403" t="s">
        <v>4323</v>
      </c>
      <c r="I492" s="123">
        <v>602.4</v>
      </c>
      <c r="J492" s="124"/>
      <c r="K492" s="125"/>
      <c r="L492" s="81" t="s">
        <v>681</v>
      </c>
      <c r="M492" s="199"/>
      <c r="N492" s="195"/>
      <c r="O492" s="195"/>
      <c r="P492" s="62"/>
      <c r="Q492" s="62"/>
      <c r="R492" s="62"/>
      <c r="S492" s="62"/>
      <c r="T492" s="62"/>
      <c r="U492" s="62"/>
      <c r="V492" s="62"/>
      <c r="W492" s="62"/>
      <c r="X492" s="62"/>
      <c r="Z492" s="543"/>
      <c r="BJ492" s="573" t="s">
        <v>4670</v>
      </c>
    </row>
    <row r="493" spans="1:62" x14ac:dyDescent="0.35">
      <c r="A493" s="403">
        <v>6</v>
      </c>
      <c r="B493" s="608" t="s">
        <v>682</v>
      </c>
      <c r="C493" s="604"/>
      <c r="D493" s="604"/>
      <c r="E493" s="604"/>
      <c r="F493" s="604"/>
      <c r="G493" s="403" t="s">
        <v>4326</v>
      </c>
      <c r="H493" s="403" t="s">
        <v>4323</v>
      </c>
      <c r="I493" s="32" t="s">
        <v>682</v>
      </c>
      <c r="J493" s="4"/>
      <c r="K493" s="46"/>
      <c r="L493" s="706" t="s">
        <v>683</v>
      </c>
      <c r="M493" s="740" t="str">
        <f>IF(R493,"Mandatory","N/A")</f>
        <v>Mandatory</v>
      </c>
      <c r="N493" s="44"/>
      <c r="O493" s="44"/>
      <c r="P493" t="b">
        <v>1</v>
      </c>
      <c r="Q493" t="b">
        <v>1</v>
      </c>
      <c r="R493" t="b">
        <f>S493</f>
        <v>1</v>
      </c>
      <c r="S493" t="b">
        <v>1</v>
      </c>
      <c r="T493" t="b">
        <v>0</v>
      </c>
      <c r="W493" s="17" t="b">
        <v>1</v>
      </c>
      <c r="X493" s="688"/>
      <c r="Y493" s="891" t="str">
        <f>IF(LEN('Ch6'!X238)=0,"None",'Ch6'!X238)</f>
        <v>None</v>
      </c>
      <c r="Z493" s="892"/>
      <c r="AA493">
        <f>'Photo Review'!H493</f>
        <v>0</v>
      </c>
      <c r="AC493" t="b">
        <f>OR(AD493:AE493)</f>
        <v>0</v>
      </c>
      <c r="AD493" t="b">
        <f>T493</f>
        <v>0</v>
      </c>
      <c r="AE493" t="b">
        <f>NOT(W493)</f>
        <v>0</v>
      </c>
      <c r="AF493" t="b">
        <f>AND(AE493,NOT(Q493))</f>
        <v>0</v>
      </c>
      <c r="AL493" t="str">
        <f>SUBSTITUTE(SUBSTITUTE(SUBSTITUTE("vpa"&amp;$B493&amp;$C493&amp;$D493&amp;$E493&amp;$F493,".","_"),"(","_"),")","")</f>
        <v>vpa602_4_1</v>
      </c>
      <c r="AM493" t="str">
        <f>M493</f>
        <v>Mandatory</v>
      </c>
      <c r="AP493" t="str">
        <f>SUBSTITUTE(SUBSTITUTE(SUBSTITUTE("vch"&amp;$B493&amp;$C493&amp;$D493&amp;$E493&amp;$F493,".","_"),"(","_"),")","")</f>
        <v>vch602_4_1</v>
      </c>
      <c r="AQ493" t="b">
        <f>W493</f>
        <v>1</v>
      </c>
      <c r="AR493" t="str">
        <f>SUBSTITUTE(SUBSTITUTE(SUBSTITUTE("vnt"&amp;$B493&amp;$C493&amp;$D493&amp;$E493&amp;$F493,".","_"),"(","_"),")","")</f>
        <v>vnt602_4_1</v>
      </c>
      <c r="AS493">
        <f>X493</f>
        <v>0</v>
      </c>
      <c r="BJ493" s="573" t="s">
        <v>4670</v>
      </c>
    </row>
    <row r="494" spans="1:62" x14ac:dyDescent="0.35">
      <c r="A494" s="403">
        <v>6</v>
      </c>
      <c r="B494" s="608" t="s">
        <v>682</v>
      </c>
      <c r="C494" s="604"/>
      <c r="D494" s="604"/>
      <c r="E494" s="604"/>
      <c r="F494" s="604"/>
      <c r="G494" s="403" t="s">
        <v>4326</v>
      </c>
      <c r="H494" s="403" t="s">
        <v>4323</v>
      </c>
      <c r="I494" s="32"/>
      <c r="J494" s="4"/>
      <c r="K494" s="46"/>
      <c r="L494" s="706"/>
      <c r="M494" s="740"/>
      <c r="N494" s="44"/>
      <c r="O494" s="44"/>
      <c r="X494" s="688"/>
      <c r="Y494" s="891"/>
      <c r="Z494" s="892"/>
      <c r="BJ494" s="573" t="s">
        <v>4670</v>
      </c>
    </row>
    <row r="495" spans="1:62" x14ac:dyDescent="0.35">
      <c r="A495" s="403">
        <v>6</v>
      </c>
      <c r="B495" s="608" t="s">
        <v>682</v>
      </c>
      <c r="C495" s="604"/>
      <c r="D495" s="604"/>
      <c r="E495" s="604"/>
      <c r="F495" s="604"/>
      <c r="G495" s="403" t="s">
        <v>4326</v>
      </c>
      <c r="H495" s="403" t="s">
        <v>4323</v>
      </c>
      <c r="I495" s="32"/>
      <c r="J495" s="4"/>
      <c r="K495" s="46"/>
      <c r="L495" s="706"/>
      <c r="M495" s="740"/>
      <c r="N495" s="44"/>
      <c r="O495" s="44"/>
      <c r="X495" s="688"/>
      <c r="Y495" s="891"/>
      <c r="Z495" s="892"/>
      <c r="BJ495" s="573" t="s">
        <v>4670</v>
      </c>
    </row>
    <row r="496" spans="1:62" x14ac:dyDescent="0.35">
      <c r="A496" s="403">
        <v>6</v>
      </c>
      <c r="B496" s="608" t="s">
        <v>682</v>
      </c>
      <c r="C496" s="604"/>
      <c r="D496" s="604"/>
      <c r="E496" s="604"/>
      <c r="F496" s="604"/>
      <c r="G496" s="403" t="s">
        <v>4326</v>
      </c>
      <c r="H496" s="403" t="s">
        <v>4323</v>
      </c>
      <c r="I496" s="32"/>
      <c r="J496" s="4"/>
      <c r="K496" s="46"/>
      <c r="L496" s="706"/>
      <c r="M496" s="740"/>
      <c r="N496" s="44"/>
      <c r="O496" s="44"/>
      <c r="X496" s="688"/>
      <c r="Y496" s="891"/>
      <c r="Z496" s="892"/>
      <c r="BJ496" s="573" t="s">
        <v>4670</v>
      </c>
    </row>
    <row r="497" spans="1:62" x14ac:dyDescent="0.35">
      <c r="A497" s="403">
        <v>6</v>
      </c>
      <c r="B497" s="608" t="s">
        <v>682</v>
      </c>
      <c r="C497" s="604"/>
      <c r="D497" s="604"/>
      <c r="E497" s="604"/>
      <c r="F497" s="604"/>
      <c r="G497" s="403" t="s">
        <v>4326</v>
      </c>
      <c r="H497" s="403" t="s">
        <v>4323</v>
      </c>
      <c r="I497" s="161"/>
      <c r="J497" s="155"/>
      <c r="K497" s="116"/>
      <c r="L497" s="739"/>
      <c r="M497" s="741"/>
      <c r="N497" s="44"/>
      <c r="O497" s="44"/>
      <c r="X497" s="688"/>
      <c r="Y497" s="891"/>
      <c r="Z497" s="892"/>
      <c r="BJ497" s="573" t="s">
        <v>4670</v>
      </c>
    </row>
    <row r="498" spans="1:62" x14ac:dyDescent="0.35">
      <c r="A498" s="403">
        <v>6</v>
      </c>
      <c r="B498" s="608" t="s">
        <v>684</v>
      </c>
      <c r="C498" s="604"/>
      <c r="D498" s="604"/>
      <c r="E498" s="604"/>
      <c r="F498" s="604"/>
      <c r="G498" s="403" t="str">
        <f>IF(N498&gt;0,"P","")</f>
        <v>P</v>
      </c>
      <c r="H498" s="403" t="s">
        <v>4323</v>
      </c>
      <c r="I498" s="32" t="s">
        <v>684</v>
      </c>
      <c r="J498" s="4"/>
      <c r="K498" s="46"/>
      <c r="L498" s="706" t="s">
        <v>685</v>
      </c>
      <c r="M498" s="690">
        <v>1</v>
      </c>
      <c r="N498" s="834">
        <f>'Ch6'!O243</f>
        <v>1</v>
      </c>
      <c r="O498" s="834">
        <f>M498*S498*W498</f>
        <v>0</v>
      </c>
      <c r="P498" t="b">
        <v>1</v>
      </c>
      <c r="Q498" t="b">
        <v>1</v>
      </c>
      <c r="R498" t="b">
        <v>0</v>
      </c>
      <c r="S498" t="b">
        <v>1</v>
      </c>
      <c r="T498" t="b">
        <v>0</v>
      </c>
      <c r="W498" s="17" t="b">
        <v>0</v>
      </c>
      <c r="X498" s="688"/>
      <c r="Y498" s="891" t="str">
        <f>IF(LEN('Ch6'!X243)=0,"None",'Ch6'!X243)</f>
        <v>None</v>
      </c>
      <c r="Z498" s="892"/>
      <c r="AA498">
        <f>'Photo Review'!H498</f>
        <v>0</v>
      </c>
      <c r="AL498" t="str">
        <f>SUBSTITUTE(SUBSTITUTE(SUBSTITUTE("vpa"&amp;$B498&amp;$C498&amp;$D498&amp;$E498&amp;$F498,".","_"),"(","_"),")","")</f>
        <v>vpa602_4_2</v>
      </c>
      <c r="AM498">
        <f>M498</f>
        <v>1</v>
      </c>
      <c r="AN498" t="str">
        <f>SUBSTITUTE(SUBSTITUTE(SUBSTITUTE("vpc"&amp;$B498&amp;$C498&amp;$D498&amp;$E498&amp;$F498,".","_"),"(","_"),")","")</f>
        <v>vpc602_4_2</v>
      </c>
      <c r="AO498">
        <f>O498</f>
        <v>0</v>
      </c>
      <c r="AP498" t="str">
        <f>SUBSTITUTE(SUBSTITUTE(SUBSTITUTE("vch"&amp;$B498&amp;$C498&amp;$D498&amp;$E498&amp;$F498,".","_"),"(","_"),")","")</f>
        <v>vch602_4_2</v>
      </c>
      <c r="AQ498" t="b">
        <f>W498</f>
        <v>0</v>
      </c>
      <c r="AR498" t="str">
        <f>SUBSTITUTE(SUBSTITUTE(SUBSTITUTE("vnt"&amp;$B498&amp;$C498&amp;$D498&amp;$E498&amp;$F498,".","_"),"(","_"),")","")</f>
        <v>vnt602_4_2</v>
      </c>
      <c r="AS498">
        <f>X498</f>
        <v>0</v>
      </c>
      <c r="BJ498" s="573" t="s">
        <v>4670</v>
      </c>
    </row>
    <row r="499" spans="1:62" x14ac:dyDescent="0.35">
      <c r="A499" s="403">
        <v>6</v>
      </c>
      <c r="B499" s="608" t="s">
        <v>684</v>
      </c>
      <c r="C499" s="604"/>
      <c r="D499" s="604"/>
      <c r="E499" s="604"/>
      <c r="F499" s="604"/>
      <c r="G499" s="403" t="str">
        <f t="shared" ref="G499" si="155">G498</f>
        <v>P</v>
      </c>
      <c r="H499" s="403" t="s">
        <v>4323</v>
      </c>
      <c r="I499" s="161"/>
      <c r="J499" s="155"/>
      <c r="K499" s="116"/>
      <c r="L499" s="739"/>
      <c r="M499" s="691"/>
      <c r="N499" s="886"/>
      <c r="O499" s="886"/>
      <c r="X499" s="688"/>
      <c r="Y499" s="891"/>
      <c r="Z499" s="892"/>
      <c r="BJ499" s="573" t="s">
        <v>4670</v>
      </c>
    </row>
    <row r="500" spans="1:62" x14ac:dyDescent="0.35">
      <c r="A500" s="403">
        <v>6</v>
      </c>
      <c r="B500" s="608" t="s">
        <v>686</v>
      </c>
      <c r="C500" s="604"/>
      <c r="D500" s="604"/>
      <c r="E500" s="604"/>
      <c r="F500" s="604"/>
      <c r="G500" s="403" t="str">
        <f>IF(N500&gt;0,"P","")</f>
        <v>P</v>
      </c>
      <c r="H500" s="403" t="s">
        <v>4323</v>
      </c>
      <c r="I500" s="32" t="s">
        <v>686</v>
      </c>
      <c r="J500" s="4"/>
      <c r="K500" s="46"/>
      <c r="L500" s="48" t="s">
        <v>687</v>
      </c>
      <c r="M500" s="43">
        <v>1</v>
      </c>
      <c r="N500" s="44">
        <f>'Ch6'!O245</f>
        <v>1</v>
      </c>
      <c r="O500" s="44">
        <f>M500*S500*W500</f>
        <v>0</v>
      </c>
      <c r="P500" t="b">
        <v>1</v>
      </c>
      <c r="Q500" t="b">
        <v>1</v>
      </c>
      <c r="R500" t="b">
        <v>0</v>
      </c>
      <c r="S500" t="b">
        <v>1</v>
      </c>
      <c r="T500" t="b">
        <v>0</v>
      </c>
      <c r="W500" s="17" t="b">
        <v>0</v>
      </c>
      <c r="X500" s="39"/>
      <c r="Y500" s="200" t="str">
        <f>IF(LEN('Ch6'!X245)=0,"None",'Ch6'!X245)</f>
        <v>None</v>
      </c>
      <c r="Z500" s="563"/>
      <c r="AA500">
        <f>'Photo Review'!H500</f>
        <v>0</v>
      </c>
      <c r="AL500" t="str">
        <f>SUBSTITUTE(SUBSTITUTE(SUBSTITUTE("vpa"&amp;$B500&amp;$C500&amp;$D500&amp;$E500&amp;$F500,".","_"),"(","_"),")","")</f>
        <v>vpa602_4_3</v>
      </c>
      <c r="AM500">
        <f>M500</f>
        <v>1</v>
      </c>
      <c r="AN500" t="str">
        <f>SUBSTITUTE(SUBSTITUTE(SUBSTITUTE("vpc"&amp;$B500&amp;$C500&amp;$D500&amp;$E500&amp;$F500,".","_"),"(","_"),")","")</f>
        <v>vpc602_4_3</v>
      </c>
      <c r="AO500">
        <f>O500</f>
        <v>0</v>
      </c>
      <c r="AP500" t="str">
        <f>SUBSTITUTE(SUBSTITUTE(SUBSTITUTE("vch"&amp;$B500&amp;$C500&amp;$D500&amp;$E500&amp;$F500,".","_"),"(","_"),")","")</f>
        <v>vch602_4_3</v>
      </c>
      <c r="AQ500" t="b">
        <f>W500</f>
        <v>0</v>
      </c>
      <c r="AR500" t="str">
        <f>SUBSTITUTE(SUBSTITUTE(SUBSTITUTE("vnt"&amp;$B500&amp;$C500&amp;$D500&amp;$E500&amp;$F500,".","_"),"(","_"),")","")</f>
        <v>vnt602_4_3</v>
      </c>
      <c r="AS500">
        <f>X500</f>
        <v>0</v>
      </c>
      <c r="BJ500" s="573" t="s">
        <v>4670</v>
      </c>
    </row>
    <row r="501" spans="1:62" ht="18.5" x14ac:dyDescent="0.45">
      <c r="A501" s="403">
        <v>6</v>
      </c>
      <c r="B501" s="608">
        <v>603</v>
      </c>
      <c r="C501" s="604"/>
      <c r="D501" s="604"/>
      <c r="E501" s="604"/>
      <c r="F501" s="604"/>
      <c r="G501" s="403" t="s">
        <v>4326</v>
      </c>
      <c r="H501" s="403" t="s">
        <v>4323</v>
      </c>
      <c r="I501" s="38" t="s">
        <v>688</v>
      </c>
      <c r="J501" s="15"/>
      <c r="K501" s="45"/>
      <c r="L501" s="42"/>
      <c r="M501" s="37"/>
      <c r="N501" s="37"/>
      <c r="O501" s="37"/>
      <c r="P501" s="15"/>
      <c r="Q501" s="15"/>
      <c r="R501" s="15"/>
      <c r="S501" s="15"/>
      <c r="T501" s="15"/>
      <c r="U501" s="15"/>
      <c r="V501" s="15"/>
      <c r="W501" s="15"/>
      <c r="X501" s="15"/>
      <c r="Y501" s="15"/>
      <c r="Z501" s="562"/>
      <c r="BJ501" s="573" t="s">
        <v>4670</v>
      </c>
    </row>
    <row r="502" spans="1:62" x14ac:dyDescent="0.35">
      <c r="A502" s="403">
        <v>6</v>
      </c>
      <c r="B502" s="608" t="s">
        <v>4355</v>
      </c>
      <c r="C502" s="604"/>
      <c r="D502" s="604"/>
      <c r="E502" s="604"/>
      <c r="F502" s="604"/>
      <c r="I502" s="441" t="s">
        <v>4355</v>
      </c>
      <c r="J502" s="4"/>
      <c r="K502" s="46"/>
      <c r="L502" s="706" t="s">
        <v>689</v>
      </c>
      <c r="M502" s="43"/>
      <c r="N502" s="44"/>
      <c r="O502" s="44"/>
      <c r="Z502" s="543"/>
      <c r="BJ502" s="573" t="s">
        <v>4670</v>
      </c>
    </row>
    <row r="503" spans="1:62" ht="15" thickBot="1" x14ac:dyDescent="0.4">
      <c r="A503" s="403">
        <v>6</v>
      </c>
      <c r="B503" s="608" t="s">
        <v>4355</v>
      </c>
      <c r="C503" s="604"/>
      <c r="D503" s="604"/>
      <c r="E503" s="604"/>
      <c r="F503" s="604"/>
      <c r="I503" s="32"/>
      <c r="J503" s="4"/>
      <c r="K503" s="46"/>
      <c r="L503" s="706"/>
      <c r="M503" s="43"/>
      <c r="N503" s="44"/>
      <c r="O503" s="44"/>
      <c r="W503" s="58"/>
      <c r="Y503" s="58"/>
      <c r="Z503" s="566"/>
      <c r="BJ503" s="573" t="s">
        <v>4670</v>
      </c>
    </row>
    <row r="504" spans="1:62" ht="15" thickTop="1" x14ac:dyDescent="0.35">
      <c r="A504" s="403">
        <v>6</v>
      </c>
      <c r="B504" s="608">
        <v>603.1</v>
      </c>
      <c r="C504" s="604"/>
      <c r="D504" s="604"/>
      <c r="E504" s="604"/>
      <c r="F504" s="604"/>
      <c r="G504" s="403" t="str">
        <f>IF(N504&gt;0,"P","")</f>
        <v/>
      </c>
      <c r="H504" s="403" t="s">
        <v>4324</v>
      </c>
      <c r="I504" s="123">
        <v>603.1</v>
      </c>
      <c r="J504" s="124"/>
      <c r="K504" s="125"/>
      <c r="L504" s="711" t="s">
        <v>690</v>
      </c>
      <c r="M504" s="743" t="s">
        <v>3254</v>
      </c>
      <c r="N504" s="940">
        <f>'Ch6'!O249</f>
        <v>0</v>
      </c>
      <c r="O504" s="940">
        <f>MIN(ROUNDDOWN(W504/200,0),12)</f>
        <v>0</v>
      </c>
      <c r="P504" s="62" t="b">
        <v>1</v>
      </c>
      <c r="Q504" s="62" t="b">
        <v>0</v>
      </c>
      <c r="R504" s="62" t="b">
        <v>0</v>
      </c>
      <c r="S504" s="62" t="b">
        <v>1</v>
      </c>
      <c r="T504" s="62" t="b">
        <v>0</v>
      </c>
      <c r="U504" s="62"/>
      <c r="V504" s="62"/>
      <c r="W504" s="134"/>
      <c r="X504" s="721"/>
      <c r="Y504" s="904" t="str">
        <f>IF(LEN('Ch6'!X249)=0,"None",'Ch6'!X249)</f>
        <v>None</v>
      </c>
      <c r="Z504" s="896"/>
      <c r="AC504" t="b">
        <f>OR(AD504:AE504)</f>
        <v>0</v>
      </c>
      <c r="AD504" t="b">
        <v>0</v>
      </c>
      <c r="AE504" t="b">
        <f>AND(W504&gt;0,LEN(X504)=0)</f>
        <v>0</v>
      </c>
      <c r="AF504" t="b">
        <f>AND(AE504,NOT(Q504))</f>
        <v>0</v>
      </c>
      <c r="AL504" t="str">
        <f>SUBSTITUTE(SUBSTITUTE(SUBSTITUTE("vpa"&amp;$B504&amp;$C504&amp;$D504&amp;$E504&amp;$F504,".","_"),"(","_"),")","")</f>
        <v>vpa603_1</v>
      </c>
      <c r="AM504" t="str">
        <f>M504</f>
        <v>1
12 Max</v>
      </c>
      <c r="AN504" t="str">
        <f>SUBSTITUTE(SUBSTITUTE(SUBSTITUTE("vpc"&amp;$B504&amp;$C504&amp;$D504&amp;$E504&amp;$F504,".","_"),"(","_"),")","")</f>
        <v>vpc603_1</v>
      </c>
      <c r="AO504">
        <f>O504</f>
        <v>0</v>
      </c>
      <c r="AP504" t="str">
        <f>SUBSTITUTE(SUBSTITUTE(SUBSTITUTE("vch"&amp;$B504&amp;$C504&amp;$D504&amp;$E504&amp;$F504,".","_"),"(","_"),")","")</f>
        <v>vch603_1</v>
      </c>
      <c r="AQ504" s="619">
        <f>W504</f>
        <v>0</v>
      </c>
      <c r="AR504" t="str">
        <f>SUBSTITUTE(SUBSTITUTE(SUBSTITUTE("vnt"&amp;$B504&amp;$C504&amp;$D504&amp;$E504&amp;$F504,".","_"),"(","_"),")","")</f>
        <v>vnt603_1</v>
      </c>
      <c r="AS504">
        <f>X504</f>
        <v>0</v>
      </c>
      <c r="BJ504" s="573" t="s">
        <v>4670</v>
      </c>
    </row>
    <row r="505" spans="1:62" x14ac:dyDescent="0.35">
      <c r="A505" s="403">
        <v>6</v>
      </c>
      <c r="B505" s="608">
        <v>603.1</v>
      </c>
      <c r="C505" s="604"/>
      <c r="D505" s="604"/>
      <c r="E505" s="604"/>
      <c r="F505" s="604"/>
      <c r="G505" s="403" t="str">
        <f t="shared" ref="G505:G509" si="156">G504</f>
        <v/>
      </c>
      <c r="H505" s="403" t="s">
        <v>4324</v>
      </c>
      <c r="I505" s="32"/>
      <c r="J505" s="4"/>
      <c r="K505" s="46"/>
      <c r="L505" s="706"/>
      <c r="M505" s="737"/>
      <c r="N505" s="834"/>
      <c r="O505" s="834"/>
      <c r="X505" s="699"/>
      <c r="Y505" s="891"/>
      <c r="Z505" s="892"/>
      <c r="BJ505" s="573" t="s">
        <v>4670</v>
      </c>
    </row>
    <row r="506" spans="1:62" x14ac:dyDescent="0.35">
      <c r="A506" s="403">
        <v>6</v>
      </c>
      <c r="B506" s="608">
        <v>603.1</v>
      </c>
      <c r="C506" s="604"/>
      <c r="D506" s="604"/>
      <c r="E506" s="604"/>
      <c r="F506" s="604"/>
      <c r="G506" s="403" t="str">
        <f t="shared" si="156"/>
        <v/>
      </c>
      <c r="H506" s="403" t="s">
        <v>4324</v>
      </c>
      <c r="I506" s="32"/>
      <c r="J506" s="4"/>
      <c r="K506" s="46"/>
      <c r="L506" s="100" t="s">
        <v>691</v>
      </c>
      <c r="M506" s="737"/>
      <c r="N506" s="834"/>
      <c r="O506" s="834"/>
      <c r="X506" s="699"/>
      <c r="Y506" s="891"/>
      <c r="Z506" s="892"/>
      <c r="BJ506" s="573" t="s">
        <v>4670</v>
      </c>
    </row>
    <row r="507" spans="1:62" x14ac:dyDescent="0.35">
      <c r="A507" s="403">
        <v>6</v>
      </c>
      <c r="B507" s="608">
        <v>603.1</v>
      </c>
      <c r="C507" s="604"/>
      <c r="D507" s="604"/>
      <c r="E507" s="604"/>
      <c r="F507" s="604"/>
      <c r="G507" s="403" t="str">
        <f t="shared" si="156"/>
        <v/>
      </c>
      <c r="H507" s="403" t="s">
        <v>4324</v>
      </c>
      <c r="I507" s="32"/>
      <c r="J507" s="4"/>
      <c r="K507" s="46"/>
      <c r="L507" s="744" t="s">
        <v>3255</v>
      </c>
      <c r="M507" s="737"/>
      <c r="N507" s="834"/>
      <c r="O507" s="834"/>
      <c r="X507" s="699"/>
      <c r="Y507" s="891"/>
      <c r="Z507" s="892"/>
      <c r="BJ507" s="573" t="s">
        <v>4670</v>
      </c>
    </row>
    <row r="508" spans="1:62" x14ac:dyDescent="0.35">
      <c r="A508" s="403">
        <v>6</v>
      </c>
      <c r="B508" s="608">
        <v>603.1</v>
      </c>
      <c r="C508" s="604"/>
      <c r="D508" s="604"/>
      <c r="E508" s="604"/>
      <c r="F508" s="604"/>
      <c r="G508" s="403" t="str">
        <f t="shared" si="156"/>
        <v/>
      </c>
      <c r="H508" s="403" t="s">
        <v>4324</v>
      </c>
      <c r="I508" s="32"/>
      <c r="J508" s="4"/>
      <c r="K508" s="46"/>
      <c r="L508" s="745"/>
      <c r="M508" s="737"/>
      <c r="N508" s="834"/>
      <c r="O508" s="834"/>
      <c r="X508" s="699"/>
      <c r="Y508" s="891"/>
      <c r="Z508" s="892"/>
      <c r="BJ508" s="573" t="s">
        <v>4670</v>
      </c>
    </row>
    <row r="509" spans="1:62" ht="15" thickBot="1" x14ac:dyDescent="0.4">
      <c r="A509" s="403">
        <v>6</v>
      </c>
      <c r="B509" s="608">
        <v>603.1</v>
      </c>
      <c r="C509" s="604"/>
      <c r="D509" s="604"/>
      <c r="E509" s="604"/>
      <c r="F509" s="604"/>
      <c r="G509" s="403" t="str">
        <f t="shared" si="156"/>
        <v/>
      </c>
      <c r="H509" s="403" t="s">
        <v>4324</v>
      </c>
      <c r="I509" s="32"/>
      <c r="J509" s="4"/>
      <c r="K509" s="46"/>
      <c r="L509" s="745"/>
      <c r="M509" s="737"/>
      <c r="N509" s="938"/>
      <c r="O509" s="834"/>
      <c r="W509" s="67"/>
      <c r="X509" s="699"/>
      <c r="Y509" s="905"/>
      <c r="Z509" s="895"/>
      <c r="BJ509" s="573" t="s">
        <v>4670</v>
      </c>
    </row>
    <row r="510" spans="1:62" ht="15" thickTop="1" x14ac:dyDescent="0.35">
      <c r="A510" s="403">
        <v>6</v>
      </c>
      <c r="B510" s="608">
        <v>603.20000000000005</v>
      </c>
      <c r="C510" s="604"/>
      <c r="D510" s="604"/>
      <c r="E510" s="604"/>
      <c r="F510" s="604"/>
      <c r="G510" s="403" t="str">
        <f>IF(N510&gt;0,"P","")</f>
        <v/>
      </c>
      <c r="H510" s="403" t="s">
        <v>4323</v>
      </c>
      <c r="I510" s="123">
        <v>603.20000000000005</v>
      </c>
      <c r="J510" s="124"/>
      <c r="K510" s="125"/>
      <c r="L510" s="711" t="s">
        <v>692</v>
      </c>
      <c r="M510" s="743" t="s">
        <v>3256</v>
      </c>
      <c r="N510" s="940">
        <f>'Ch6'!O255</f>
        <v>0</v>
      </c>
      <c r="O510" s="940">
        <f>MIN(9,ROUNDDOWN(W510/0.01,0))</f>
        <v>0</v>
      </c>
      <c r="P510" s="62" t="b">
        <v>1</v>
      </c>
      <c r="Q510" s="62" t="b">
        <v>1</v>
      </c>
      <c r="R510" s="62" t="b">
        <v>0</v>
      </c>
      <c r="S510" s="62" t="b">
        <v>1</v>
      </c>
      <c r="T510" s="62" t="b">
        <v>0</v>
      </c>
      <c r="U510" s="62"/>
      <c r="V510" s="62"/>
      <c r="W510" s="139"/>
      <c r="X510" s="687"/>
      <c r="Y510" s="904" t="str">
        <f>IF(LEN('Ch6'!X255)=0,"None",'Ch6'!X255)</f>
        <v>None</v>
      </c>
      <c r="Z510" s="896"/>
      <c r="AC510" t="b">
        <f>OR(AD510:AE510)</f>
        <v>0</v>
      </c>
      <c r="AD510" t="b">
        <f>T510</f>
        <v>0</v>
      </c>
      <c r="AE510" t="b">
        <f>AND(W510&gt;0,LEN(X510)=0)</f>
        <v>0</v>
      </c>
      <c r="AF510" t="b">
        <f>AND(AE510,NOT(Q510))</f>
        <v>0</v>
      </c>
      <c r="AL510" t="str">
        <f>SUBSTITUTE(SUBSTITUTE(SUBSTITUTE("vpa"&amp;$B510&amp;$C510&amp;$D510&amp;$E510&amp;$F510,".","_"),"(","_"),")","")</f>
        <v>vpa603_2</v>
      </c>
      <c r="AM510" t="str">
        <f>M510</f>
        <v>1
9 Max</v>
      </c>
      <c r="AN510" t="str">
        <f>SUBSTITUTE(SUBSTITUTE(SUBSTITUTE("vpc"&amp;$B510&amp;$C510&amp;$D510&amp;$E510&amp;$F510,".","_"),"(","_"),")","")</f>
        <v>vpc603_2</v>
      </c>
      <c r="AO510">
        <f>O510</f>
        <v>0</v>
      </c>
      <c r="AP510" t="str">
        <f>SUBSTITUTE(SUBSTITUTE(SUBSTITUTE("vch"&amp;$B510&amp;$C510&amp;$D510&amp;$E510&amp;$F510,".","_"),"(","_"),")","")</f>
        <v>vch603_2</v>
      </c>
      <c r="AQ510" s="620">
        <f>W510</f>
        <v>0</v>
      </c>
      <c r="AR510" t="str">
        <f>SUBSTITUTE(SUBSTITUTE(SUBSTITUTE("vnt"&amp;$B510&amp;$C510&amp;$D510&amp;$E510&amp;$F510,".","_"),"(","_"),")","")</f>
        <v>vnt603_2</v>
      </c>
      <c r="AS510">
        <f>X510</f>
        <v>0</v>
      </c>
      <c r="BJ510" s="573" t="s">
        <v>4670</v>
      </c>
    </row>
    <row r="511" spans="1:62" x14ac:dyDescent="0.35">
      <c r="A511" s="403">
        <v>6</v>
      </c>
      <c r="B511" s="608">
        <v>603.20000000000005</v>
      </c>
      <c r="C511" s="604"/>
      <c r="D511" s="604"/>
      <c r="E511" s="604"/>
      <c r="F511" s="604"/>
      <c r="G511" s="403" t="str">
        <f t="shared" ref="G511:G516" si="157">G510</f>
        <v/>
      </c>
      <c r="H511" s="403" t="s">
        <v>4323</v>
      </c>
      <c r="I511" s="32"/>
      <c r="J511" s="4"/>
      <c r="K511" s="46"/>
      <c r="L511" s="706"/>
      <c r="M511" s="737"/>
      <c r="N511" s="834"/>
      <c r="O511" s="834"/>
      <c r="X511" s="688"/>
      <c r="Y511" s="891"/>
      <c r="Z511" s="892"/>
      <c r="BJ511" s="573" t="s">
        <v>4670</v>
      </c>
    </row>
    <row r="512" spans="1:62" x14ac:dyDescent="0.35">
      <c r="A512" s="403">
        <v>6</v>
      </c>
      <c r="B512" s="608">
        <v>603.20000000000005</v>
      </c>
      <c r="C512" s="604"/>
      <c r="D512" s="604"/>
      <c r="E512" s="604"/>
      <c r="F512" s="604"/>
      <c r="G512" s="403" t="str">
        <f t="shared" si="157"/>
        <v/>
      </c>
      <c r="H512" s="403" t="s">
        <v>4323</v>
      </c>
      <c r="I512" s="32"/>
      <c r="J512" s="4"/>
      <c r="K512" s="46"/>
      <c r="L512" s="706"/>
      <c r="M512" s="737"/>
      <c r="N512" s="834"/>
      <c r="O512" s="834"/>
      <c r="X512" s="688"/>
      <c r="Y512" s="891"/>
      <c r="Z512" s="892"/>
      <c r="BJ512" s="573" t="s">
        <v>4670</v>
      </c>
    </row>
    <row r="513" spans="1:62" ht="15" customHeight="1" x14ac:dyDescent="0.35">
      <c r="A513" s="403">
        <v>6</v>
      </c>
      <c r="B513" s="608">
        <v>603.20000000000005</v>
      </c>
      <c r="C513" s="604"/>
      <c r="D513" s="604"/>
      <c r="E513" s="604"/>
      <c r="F513" s="604"/>
      <c r="G513" s="403" t="str">
        <f t="shared" si="157"/>
        <v/>
      </c>
      <c r="H513" s="403" t="s">
        <v>4323</v>
      </c>
      <c r="I513" s="32"/>
      <c r="J513" s="4"/>
      <c r="K513" s="46"/>
      <c r="L513" s="106" t="s">
        <v>3257</v>
      </c>
      <c r="M513" s="737"/>
      <c r="N513" s="834"/>
      <c r="O513" s="834"/>
      <c r="X513" s="688"/>
      <c r="Y513" s="891"/>
      <c r="Z513" s="892"/>
      <c r="BJ513" s="573" t="s">
        <v>4670</v>
      </c>
    </row>
    <row r="514" spans="1:62" x14ac:dyDescent="0.35">
      <c r="A514" s="403">
        <v>6</v>
      </c>
      <c r="B514" s="608">
        <v>603.20000000000005</v>
      </c>
      <c r="C514" s="604"/>
      <c r="D514" s="604"/>
      <c r="E514" s="604"/>
      <c r="F514" s="604"/>
      <c r="G514" s="403" t="str">
        <f t="shared" si="157"/>
        <v/>
      </c>
      <c r="H514" s="403" t="s">
        <v>4323</v>
      </c>
      <c r="I514" s="32"/>
      <c r="J514" s="4"/>
      <c r="K514" s="46"/>
      <c r="L514" s="744" t="s">
        <v>3255</v>
      </c>
      <c r="M514" s="737"/>
      <c r="N514" s="834"/>
      <c r="O514" s="834"/>
      <c r="X514" s="688"/>
      <c r="Y514" s="891"/>
      <c r="Z514" s="892"/>
      <c r="BJ514" s="573" t="s">
        <v>4670</v>
      </c>
    </row>
    <row r="515" spans="1:62" x14ac:dyDescent="0.35">
      <c r="A515" s="403">
        <v>6</v>
      </c>
      <c r="B515" s="608">
        <v>603.20000000000005</v>
      </c>
      <c r="C515" s="604"/>
      <c r="D515" s="604"/>
      <c r="E515" s="604"/>
      <c r="F515" s="604"/>
      <c r="G515" s="403" t="str">
        <f t="shared" si="157"/>
        <v/>
      </c>
      <c r="H515" s="403" t="s">
        <v>4323</v>
      </c>
      <c r="I515" s="32"/>
      <c r="J515" s="4"/>
      <c r="K515" s="46"/>
      <c r="L515" s="745"/>
      <c r="M515" s="737"/>
      <c r="N515" s="834"/>
      <c r="O515" s="834"/>
      <c r="X515" s="688"/>
      <c r="Y515" s="891"/>
      <c r="Z515" s="892"/>
      <c r="BJ515" s="573" t="s">
        <v>4670</v>
      </c>
    </row>
    <row r="516" spans="1:62" ht="15" thickBot="1" x14ac:dyDescent="0.4">
      <c r="A516" s="403">
        <v>6</v>
      </c>
      <c r="B516" s="608">
        <v>603.20000000000005</v>
      </c>
      <c r="C516" s="604"/>
      <c r="D516" s="604"/>
      <c r="E516" s="604"/>
      <c r="F516" s="604"/>
      <c r="G516" s="403" t="str">
        <f t="shared" si="157"/>
        <v/>
      </c>
      <c r="H516" s="403" t="s">
        <v>4323</v>
      </c>
      <c r="I516" s="32"/>
      <c r="J516" s="4"/>
      <c r="K516" s="46"/>
      <c r="L516" s="745"/>
      <c r="M516" s="737"/>
      <c r="N516" s="938"/>
      <c r="O516" s="834"/>
      <c r="W516" s="67"/>
      <c r="X516" s="698"/>
      <c r="Y516" s="905"/>
      <c r="Z516" s="895"/>
      <c r="BJ516" s="573" t="s">
        <v>4670</v>
      </c>
    </row>
    <row r="517" spans="1:62" ht="15" thickTop="1" x14ac:dyDescent="0.35">
      <c r="A517" s="403">
        <v>6</v>
      </c>
      <c r="B517" s="608">
        <v>603.29999999999995</v>
      </c>
      <c r="C517" s="604"/>
      <c r="D517" s="604"/>
      <c r="E517" s="604"/>
      <c r="F517" s="604"/>
      <c r="G517" s="403" t="str">
        <f>IF(N517&gt;0,"P","")</f>
        <v/>
      </c>
      <c r="H517" s="403" t="s">
        <v>4323</v>
      </c>
      <c r="I517" s="123">
        <v>603.29999999999995</v>
      </c>
      <c r="J517" s="124"/>
      <c r="K517" s="125"/>
      <c r="L517" s="711" t="s">
        <v>693</v>
      </c>
      <c r="M517" s="692">
        <v>4</v>
      </c>
      <c r="N517" s="940">
        <f>'Ch6'!O262</f>
        <v>0</v>
      </c>
      <c r="O517" s="940">
        <f>M517*S517*W517</f>
        <v>0</v>
      </c>
      <c r="P517" s="62" t="b">
        <v>1</v>
      </c>
      <c r="Q517" s="62" t="b">
        <v>1</v>
      </c>
      <c r="R517" s="62" t="b">
        <v>0</v>
      </c>
      <c r="S517" s="62" t="b">
        <v>1</v>
      </c>
      <c r="T517" s="62" t="b">
        <v>0</v>
      </c>
      <c r="U517" s="62"/>
      <c r="V517" s="62"/>
      <c r="W517" s="17"/>
      <c r="X517" s="687"/>
      <c r="Y517" s="904" t="str">
        <f>IF(LEN('Ch6'!X262)=0,"None",'Ch6'!X262)</f>
        <v>None</v>
      </c>
      <c r="Z517" s="896"/>
      <c r="AC517" t="b">
        <f>OR(AD517:AE517)</f>
        <v>0</v>
      </c>
      <c r="AD517" t="b">
        <f>T517</f>
        <v>0</v>
      </c>
      <c r="AE517" t="b">
        <f>AND(W517=TRUE,LEN(X517)=0)</f>
        <v>0</v>
      </c>
      <c r="AF517" t="b">
        <f>AND(AE517,NOT(Q517))</f>
        <v>0</v>
      </c>
      <c r="AL517" t="str">
        <f>SUBSTITUTE(SUBSTITUTE(SUBSTITUTE("vpa"&amp;$B517&amp;$C517&amp;$D517&amp;$E517&amp;$F517,".","_"),"(","_"),")","")</f>
        <v>vpa603_3</v>
      </c>
      <c r="AM517">
        <f>M517</f>
        <v>4</v>
      </c>
      <c r="AN517" t="str">
        <f>SUBSTITUTE(SUBSTITUTE(SUBSTITUTE("vpc"&amp;$B517&amp;$C517&amp;$D517&amp;$E517&amp;$F517,".","_"),"(","_"),")","")</f>
        <v>vpc603_3</v>
      </c>
      <c r="AO517">
        <f>O517</f>
        <v>0</v>
      </c>
      <c r="AP517" t="str">
        <f>SUBSTITUTE(SUBSTITUTE(SUBSTITUTE("vch"&amp;$B517&amp;$C517&amp;$D517&amp;$E517&amp;$F517,".","_"),"(","_"),")","")</f>
        <v>vch603_3</v>
      </c>
      <c r="AQ517">
        <f>W517</f>
        <v>0</v>
      </c>
      <c r="AR517" t="str">
        <f>SUBSTITUTE(SUBSTITUTE(SUBSTITUTE("vnt"&amp;$B517&amp;$C517&amp;$D517&amp;$E517&amp;$F517,".","_"),"(","_"),")","")</f>
        <v>vnt603_3</v>
      </c>
      <c r="AS517">
        <f>X517</f>
        <v>0</v>
      </c>
      <c r="BJ517" s="573" t="s">
        <v>4670</v>
      </c>
    </row>
    <row r="518" spans="1:62" x14ac:dyDescent="0.35">
      <c r="A518" s="403">
        <v>6</v>
      </c>
      <c r="B518" s="608">
        <v>603.29999999999995</v>
      </c>
      <c r="C518" s="604"/>
      <c r="D518" s="604"/>
      <c r="E518" s="604"/>
      <c r="F518" s="604"/>
      <c r="G518" s="403" t="str">
        <f t="shared" ref="G518:G519" si="158">G517</f>
        <v/>
      </c>
      <c r="H518" s="403" t="s">
        <v>4323</v>
      </c>
      <c r="I518" s="32"/>
      <c r="J518" s="4"/>
      <c r="K518" s="46"/>
      <c r="L518" s="706"/>
      <c r="M518" s="690"/>
      <c r="N518" s="834"/>
      <c r="O518" s="834"/>
      <c r="X518" s="688"/>
      <c r="Y518" s="891"/>
      <c r="Z518" s="892"/>
      <c r="BJ518" s="573" t="s">
        <v>4670</v>
      </c>
    </row>
    <row r="519" spans="1:62" ht="15" customHeight="1" x14ac:dyDescent="0.35">
      <c r="A519" s="403">
        <v>6</v>
      </c>
      <c r="B519" s="608">
        <v>603.29999999999995</v>
      </c>
      <c r="C519" s="604"/>
      <c r="D519" s="604"/>
      <c r="E519" s="604"/>
      <c r="F519" s="604"/>
      <c r="G519" s="403" t="str">
        <f t="shared" si="158"/>
        <v/>
      </c>
      <c r="H519" s="403" t="s">
        <v>4323</v>
      </c>
      <c r="I519" s="32"/>
      <c r="J519" s="4"/>
      <c r="K519" s="46"/>
      <c r="L519" s="105" t="s">
        <v>3253</v>
      </c>
      <c r="M519" s="690"/>
      <c r="N519" s="834"/>
      <c r="O519" s="834"/>
      <c r="X519" s="688"/>
      <c r="Y519" s="891"/>
      <c r="Z519" s="892"/>
      <c r="BJ519" s="573" t="s">
        <v>4670</v>
      </c>
    </row>
    <row r="520" spans="1:62" ht="18.5" x14ac:dyDescent="0.45">
      <c r="A520" s="403">
        <v>6</v>
      </c>
      <c r="B520" s="608">
        <v>604</v>
      </c>
      <c r="C520" s="604"/>
      <c r="D520" s="604"/>
      <c r="E520" s="604"/>
      <c r="F520" s="604"/>
      <c r="G520" s="403" t="s">
        <v>4326</v>
      </c>
      <c r="H520" s="403" t="s">
        <v>4323</v>
      </c>
      <c r="I520" s="10" t="s">
        <v>694</v>
      </c>
      <c r="J520" s="15"/>
      <c r="K520" s="45"/>
      <c r="L520" s="42"/>
      <c r="M520" s="37"/>
      <c r="N520" s="37"/>
      <c r="O520" s="37"/>
      <c r="P520" s="15"/>
      <c r="Q520" s="15"/>
      <c r="R520" s="15"/>
      <c r="S520" s="15"/>
      <c r="T520" s="15"/>
      <c r="U520" s="15"/>
      <c r="V520" s="15"/>
      <c r="W520" s="15"/>
      <c r="X520" s="15"/>
      <c r="Y520" s="15"/>
      <c r="Z520" s="562"/>
      <c r="BJ520" s="573" t="s">
        <v>4670</v>
      </c>
    </row>
    <row r="521" spans="1:62" x14ac:dyDescent="0.35">
      <c r="A521" s="403">
        <v>6</v>
      </c>
      <c r="B521" s="608">
        <v>604.1</v>
      </c>
      <c r="C521" s="604" t="s">
        <v>3170</v>
      </c>
      <c r="D521" s="604"/>
      <c r="E521" s="604"/>
      <c r="F521" s="604"/>
      <c r="G521" s="403" t="str">
        <f>IF(N521&gt;0,"P","")</f>
        <v/>
      </c>
      <c r="H521" s="403" t="s">
        <v>4323</v>
      </c>
      <c r="I521" s="32">
        <v>604.1</v>
      </c>
      <c r="J521" s="4"/>
      <c r="K521" s="46"/>
      <c r="L521" s="706" t="s">
        <v>695</v>
      </c>
      <c r="M521" s="737" t="s">
        <v>3259</v>
      </c>
      <c r="N521" s="834">
        <f>'Ch6'!O266</f>
        <v>0</v>
      </c>
      <c r="O521" s="834">
        <f>IFERROR(INDEX({0,1,2,3},MATCH(MIN(W524+0,W522+0),{0,0.25,0.5,0.75},1)),0)+IFERROR(INDEX({0,2,4,6},MATCH(MIN(W526+0,W528+0),{0,0.25,0.5,0.75},1)),0)</f>
        <v>0</v>
      </c>
      <c r="W521" t="s">
        <v>3260</v>
      </c>
      <c r="X521" s="698"/>
      <c r="Y521" s="891" t="str">
        <f>IF(LEN('Ch6'!X266)=0,"None",'Ch6'!X266)</f>
        <v>None</v>
      </c>
      <c r="Z521" s="892"/>
      <c r="AL521" t="str">
        <f>SUBSTITUTE(SUBSTITUTE(SUBSTITUTE("vpa"&amp;$B521&amp;$C521&amp;$D521&amp;$E521&amp;$F521,".","_"),"(","_"),")","")</f>
        <v>vpa604_1a</v>
      </c>
      <c r="AM521" t="str">
        <f>M521</f>
        <v>per Table
604.1</v>
      </c>
      <c r="AN521" t="str">
        <f>SUBSTITUTE(SUBSTITUTE(SUBSTITUTE("vpc"&amp;$B521&amp;$C521&amp;$D521&amp;$E521&amp;$F521,".","_"),"(","_"),")","")</f>
        <v>vpc604_1a</v>
      </c>
      <c r="AO521">
        <f>O521</f>
        <v>0</v>
      </c>
      <c r="AR521" t="str">
        <f>SUBSTITUTE(SUBSTITUTE(SUBSTITUTE("vnt"&amp;$B521&amp;$C521&amp;$D521&amp;$E521&amp;$F521,".","_"),"(","_"),")","")</f>
        <v>vnt604_1a</v>
      </c>
      <c r="AS521">
        <f>X521</f>
        <v>0</v>
      </c>
      <c r="BJ521" s="573" t="s">
        <v>4670</v>
      </c>
    </row>
    <row r="522" spans="1:62" x14ac:dyDescent="0.35">
      <c r="A522" s="403">
        <v>6</v>
      </c>
      <c r="B522" s="608">
        <v>604.1</v>
      </c>
      <c r="C522" s="604" t="s">
        <v>3170</v>
      </c>
      <c r="D522" s="604"/>
      <c r="E522" s="604"/>
      <c r="F522" s="604"/>
      <c r="G522" s="403" t="str">
        <f t="shared" ref="G522:G528" si="159">G521</f>
        <v/>
      </c>
      <c r="H522" s="403" t="s">
        <v>4323</v>
      </c>
      <c r="I522" s="32"/>
      <c r="J522" s="4"/>
      <c r="K522" s="46"/>
      <c r="L522" s="706"/>
      <c r="M522" s="737"/>
      <c r="N522" s="834"/>
      <c r="O522" s="834"/>
      <c r="P522" t="b">
        <v>1</v>
      </c>
      <c r="Q522" t="b">
        <v>1</v>
      </c>
      <c r="R522" t="b">
        <v>0</v>
      </c>
      <c r="S522" t="b">
        <v>1</v>
      </c>
      <c r="T522" t="b">
        <v>0</v>
      </c>
      <c r="W522" s="112"/>
      <c r="X522" s="700"/>
      <c r="Y522" s="891"/>
      <c r="Z522" s="892"/>
      <c r="AC522" t="b">
        <f>OR(AD522:AE522)</f>
        <v>0</v>
      </c>
      <c r="AD522" t="b">
        <f>T522</f>
        <v>0</v>
      </c>
      <c r="AE522" t="b">
        <f>AND(W522&gt;0,LEN(X521)=0)</f>
        <v>0</v>
      </c>
      <c r="AF522" t="b">
        <f>AND(AE522,NOT(Q522))</f>
        <v>0</v>
      </c>
      <c r="AP522" t="str">
        <f>SUBSTITUTE(SUBSTITUTE(SUBSTITUTE("vch"&amp;$B522&amp;$C522&amp;$D522&amp;$E522&amp;$F522,".","_"),"(","_"),")","")</f>
        <v>vch604_1a</v>
      </c>
      <c r="AQ522" s="620">
        <f>W522</f>
        <v>0</v>
      </c>
      <c r="BJ522" s="573" t="s">
        <v>4670</v>
      </c>
    </row>
    <row r="523" spans="1:62" x14ac:dyDescent="0.35">
      <c r="A523" s="403">
        <v>6</v>
      </c>
      <c r="B523" s="608">
        <v>604.1</v>
      </c>
      <c r="C523" s="604" t="s">
        <v>3171</v>
      </c>
      <c r="D523" s="604"/>
      <c r="E523" s="604"/>
      <c r="F523" s="604"/>
      <c r="G523" s="403" t="str">
        <f t="shared" si="159"/>
        <v/>
      </c>
      <c r="H523" s="403" t="s">
        <v>4323</v>
      </c>
      <c r="I523" s="32"/>
      <c r="J523" s="4"/>
      <c r="K523" s="46"/>
      <c r="L523" s="105" t="s">
        <v>3267</v>
      </c>
      <c r="M523" s="737"/>
      <c r="N523" s="834"/>
      <c r="O523" s="834"/>
      <c r="W523" t="s">
        <v>3261</v>
      </c>
      <c r="X523" s="688"/>
      <c r="Y523" s="891" t="str">
        <f>IF(LEN('Ch6'!X268)=0,"None",'Ch6'!X268)</f>
        <v>None</v>
      </c>
      <c r="Z523" s="892"/>
      <c r="AR523" t="str">
        <f>SUBSTITUTE(SUBSTITUTE(SUBSTITUTE("vnt"&amp;$B523&amp;$C523&amp;$D523&amp;$E523&amp;$F523,".","_"),"(","_"),")","")</f>
        <v>vnt604_1b</v>
      </c>
      <c r="AS523">
        <f>X523</f>
        <v>0</v>
      </c>
      <c r="BJ523" s="573" t="s">
        <v>4670</v>
      </c>
    </row>
    <row r="524" spans="1:62" x14ac:dyDescent="0.35">
      <c r="A524" s="403">
        <v>6</v>
      </c>
      <c r="B524" s="608">
        <v>604.1</v>
      </c>
      <c r="C524" s="604" t="s">
        <v>3171</v>
      </c>
      <c r="D524" s="604"/>
      <c r="E524" s="604"/>
      <c r="F524" s="604"/>
      <c r="G524" s="403" t="str">
        <f t="shared" si="159"/>
        <v/>
      </c>
      <c r="H524" s="403" t="s">
        <v>4323</v>
      </c>
      <c r="I524" s="32"/>
      <c r="J524" s="4"/>
      <c r="K524" s="46"/>
      <c r="L524" s="209" t="s">
        <v>3264</v>
      </c>
      <c r="M524" s="737"/>
      <c r="N524" s="834"/>
      <c r="O524" s="834"/>
      <c r="P524" t="b">
        <v>1</v>
      </c>
      <c r="Q524" t="b">
        <v>1</v>
      </c>
      <c r="R524" t="b">
        <v>0</v>
      </c>
      <c r="S524" t="b">
        <v>1</v>
      </c>
      <c r="T524" t="b">
        <v>0</v>
      </c>
      <c r="W524" s="112"/>
      <c r="X524" s="688"/>
      <c r="Y524" s="891"/>
      <c r="Z524" s="892"/>
      <c r="AC524" t="b">
        <f>OR(AD524:AE524)</f>
        <v>0</v>
      </c>
      <c r="AD524" t="b">
        <f>T524</f>
        <v>0</v>
      </c>
      <c r="AE524" t="b">
        <f>AND(W524&gt;0,LEN(X523)=0)</f>
        <v>0</v>
      </c>
      <c r="AF524" t="b">
        <f>AND(AE524,NOT(Q524))</f>
        <v>0</v>
      </c>
      <c r="AP524" t="str">
        <f>SUBSTITUTE(SUBSTITUTE(SUBSTITUTE("vch"&amp;$B524&amp;$C524&amp;$D524&amp;$E524&amp;$F524,".","_"),"(","_"),")","")</f>
        <v>vch604_1b</v>
      </c>
      <c r="AQ524" s="620">
        <f>W524</f>
        <v>0</v>
      </c>
      <c r="BJ524" s="573" t="s">
        <v>4670</v>
      </c>
    </row>
    <row r="525" spans="1:62" x14ac:dyDescent="0.35">
      <c r="A525" s="403">
        <v>6</v>
      </c>
      <c r="B525" s="608">
        <v>604.1</v>
      </c>
      <c r="C525" s="604" t="s">
        <v>3172</v>
      </c>
      <c r="D525" s="604"/>
      <c r="E525" s="604"/>
      <c r="F525" s="604"/>
      <c r="G525" s="403" t="str">
        <f t="shared" si="159"/>
        <v/>
      </c>
      <c r="H525" s="403" t="s">
        <v>4323</v>
      </c>
      <c r="I525" s="32"/>
      <c r="J525" s="4"/>
      <c r="K525" s="46"/>
      <c r="L525" s="714" t="s">
        <v>3266</v>
      </c>
      <c r="M525" s="737"/>
      <c r="N525" s="834"/>
      <c r="O525" s="834"/>
      <c r="W525" t="s">
        <v>3263</v>
      </c>
      <c r="X525" s="688"/>
      <c r="Y525" s="891" t="str">
        <f>IF(LEN('Ch6'!X270)=0,"None",'Ch6'!X270)</f>
        <v>None</v>
      </c>
      <c r="Z525" s="892"/>
      <c r="AR525" t="str">
        <f>SUBSTITUTE(SUBSTITUTE(SUBSTITUTE("vnt"&amp;$B525&amp;$C525&amp;$D525&amp;$E525&amp;$F525,".","_"),"(","_"),")","")</f>
        <v>vnt604_1c</v>
      </c>
      <c r="AS525">
        <f>X525</f>
        <v>0</v>
      </c>
      <c r="BJ525" s="573" t="s">
        <v>4670</v>
      </c>
    </row>
    <row r="526" spans="1:62" x14ac:dyDescent="0.35">
      <c r="A526" s="403">
        <v>6</v>
      </c>
      <c r="B526" s="608">
        <v>604.1</v>
      </c>
      <c r="C526" s="604" t="s">
        <v>3172</v>
      </c>
      <c r="D526" s="604"/>
      <c r="E526" s="604"/>
      <c r="F526" s="604"/>
      <c r="G526" s="403" t="str">
        <f t="shared" si="159"/>
        <v/>
      </c>
      <c r="H526" s="403" t="s">
        <v>4323</v>
      </c>
      <c r="I526" s="32"/>
      <c r="J526" s="4"/>
      <c r="K526" s="46"/>
      <c r="L526" s="714"/>
      <c r="M526" s="737"/>
      <c r="N526" s="834"/>
      <c r="O526" s="834"/>
      <c r="P526" t="b">
        <v>1</v>
      </c>
      <c r="Q526" t="b">
        <v>1</v>
      </c>
      <c r="R526" t="b">
        <v>0</v>
      </c>
      <c r="S526" t="b">
        <v>1</v>
      </c>
      <c r="T526" t="b">
        <v>0</v>
      </c>
      <c r="W526" s="112"/>
      <c r="X526" s="688"/>
      <c r="Y526" s="891"/>
      <c r="Z526" s="892"/>
      <c r="AC526" t="b">
        <f>OR(AD526:AE526)</f>
        <v>0</v>
      </c>
      <c r="AD526" t="b">
        <f>T526</f>
        <v>0</v>
      </c>
      <c r="AE526" t="b">
        <f>AND(W526&gt;0,LEN(X525)=0)</f>
        <v>0</v>
      </c>
      <c r="AF526" t="b">
        <f>AND(AE526,NOT(Q526))</f>
        <v>0</v>
      </c>
      <c r="AP526" t="str">
        <f>SUBSTITUTE(SUBSTITUTE(SUBSTITUTE("vch"&amp;$B526&amp;$C526&amp;$D526&amp;$E526&amp;$F526,".","_"),"(","_"),")","")</f>
        <v>vch604_1c</v>
      </c>
      <c r="AQ526" s="620">
        <f>W526</f>
        <v>0</v>
      </c>
      <c r="BJ526" s="573" t="s">
        <v>4670</v>
      </c>
    </row>
    <row r="527" spans="1:62" x14ac:dyDescent="0.35">
      <c r="A527" s="403">
        <v>6</v>
      </c>
      <c r="B527" s="608">
        <v>604.1</v>
      </c>
      <c r="C527" s="604" t="s">
        <v>3173</v>
      </c>
      <c r="D527" s="604"/>
      <c r="E527" s="604"/>
      <c r="F527" s="604"/>
      <c r="G527" s="403" t="str">
        <f t="shared" si="159"/>
        <v/>
      </c>
      <c r="H527" s="403" t="s">
        <v>4323</v>
      </c>
      <c r="I527" s="32"/>
      <c r="J527" s="4"/>
      <c r="K527" s="46"/>
      <c r="M527" s="737"/>
      <c r="N527" s="834"/>
      <c r="O527" s="834"/>
      <c r="W527" t="s">
        <v>3262</v>
      </c>
      <c r="X527" s="688"/>
      <c r="Y527" s="891" t="str">
        <f>IF(LEN('Ch6'!X272)=0,"None",'Ch6'!X272)</f>
        <v>None</v>
      </c>
      <c r="Z527" s="892"/>
      <c r="AR527" t="str">
        <f>SUBSTITUTE(SUBSTITUTE(SUBSTITUTE("vnt"&amp;$B527&amp;$C527&amp;$D527&amp;$E527&amp;$F527,".","_"),"(","_"),")","")</f>
        <v>vnt604_1d</v>
      </c>
      <c r="AS527">
        <f>X527</f>
        <v>0</v>
      </c>
      <c r="BJ527" s="573" t="s">
        <v>4670</v>
      </c>
    </row>
    <row r="528" spans="1:62" x14ac:dyDescent="0.35">
      <c r="A528" s="403">
        <v>6</v>
      </c>
      <c r="B528" s="608">
        <v>604.1</v>
      </c>
      <c r="C528" s="604" t="s">
        <v>3173</v>
      </c>
      <c r="D528" s="604"/>
      <c r="E528" s="604"/>
      <c r="F528" s="604"/>
      <c r="G528" s="403" t="str">
        <f t="shared" si="159"/>
        <v/>
      </c>
      <c r="H528" s="403" t="s">
        <v>4323</v>
      </c>
      <c r="I528" s="32"/>
      <c r="J528" s="4"/>
      <c r="K528" s="46"/>
      <c r="M528" s="737"/>
      <c r="N528" s="834"/>
      <c r="O528" s="834"/>
      <c r="P528" t="b">
        <v>1</v>
      </c>
      <c r="Q528" t="b">
        <v>1</v>
      </c>
      <c r="R528" t="b">
        <v>0</v>
      </c>
      <c r="S528" t="b">
        <v>1</v>
      </c>
      <c r="T528" t="b">
        <v>0</v>
      </c>
      <c r="W528" s="112"/>
      <c r="X528" s="688"/>
      <c r="Y528" s="891"/>
      <c r="Z528" s="892"/>
      <c r="AC528" t="b">
        <f>OR(AD528:AE528)</f>
        <v>0</v>
      </c>
      <c r="AD528" t="b">
        <f>T528</f>
        <v>0</v>
      </c>
      <c r="AE528" t="b">
        <f>AND(W528&gt;0,LEN(X527)=0)</f>
        <v>0</v>
      </c>
      <c r="AF528" t="b">
        <f>AND(AE528,NOT(Q528))</f>
        <v>0</v>
      </c>
      <c r="AP528" t="str">
        <f>SUBSTITUTE(SUBSTITUTE(SUBSTITUTE("vch"&amp;$B528&amp;$C528&amp;$D528&amp;$E528&amp;$F528,".","_"),"(","_"),")","")</f>
        <v>vch604_1d</v>
      </c>
      <c r="AQ528" s="620">
        <f>W528</f>
        <v>0</v>
      </c>
      <c r="BJ528" s="573" t="s">
        <v>4670</v>
      </c>
    </row>
    <row r="529" spans="1:62" ht="18.5" x14ac:dyDescent="0.45">
      <c r="A529" s="403">
        <v>6</v>
      </c>
      <c r="B529" s="608">
        <v>605</v>
      </c>
      <c r="C529" s="604"/>
      <c r="D529" s="604"/>
      <c r="E529" s="604"/>
      <c r="F529" s="604"/>
      <c r="G529" s="403" t="s">
        <v>4326</v>
      </c>
      <c r="H529" s="403" t="s">
        <v>4323</v>
      </c>
      <c r="I529" s="10" t="s">
        <v>696</v>
      </c>
      <c r="J529" s="15"/>
      <c r="K529" s="45"/>
      <c r="L529" s="38"/>
      <c r="M529" s="37"/>
      <c r="N529" s="37"/>
      <c r="O529" s="37"/>
      <c r="P529" s="15"/>
      <c r="Q529" s="15"/>
      <c r="R529" s="15"/>
      <c r="S529" s="15"/>
      <c r="T529" s="15"/>
      <c r="U529" s="15"/>
      <c r="V529" s="15"/>
      <c r="W529" s="15"/>
      <c r="X529" s="15"/>
      <c r="Y529" s="15"/>
      <c r="Z529" s="562"/>
      <c r="BJ529" s="573" t="s">
        <v>4670</v>
      </c>
    </row>
    <row r="530" spans="1:62" x14ac:dyDescent="0.35">
      <c r="A530" s="403">
        <v>6</v>
      </c>
      <c r="B530" s="608" t="s">
        <v>4354</v>
      </c>
      <c r="C530" s="604"/>
      <c r="D530" s="604"/>
      <c r="E530" s="604"/>
      <c r="F530" s="604"/>
      <c r="I530" s="41" t="s">
        <v>4354</v>
      </c>
      <c r="J530" s="4"/>
      <c r="K530" s="46"/>
      <c r="L530" s="706" t="s">
        <v>697</v>
      </c>
      <c r="M530" s="43"/>
      <c r="N530" s="44"/>
      <c r="O530" s="44"/>
      <c r="Z530" s="543"/>
      <c r="BJ530" s="573" t="s">
        <v>4670</v>
      </c>
    </row>
    <row r="531" spans="1:62" x14ac:dyDescent="0.35">
      <c r="A531" s="403">
        <v>6</v>
      </c>
      <c r="B531" s="608" t="s">
        <v>4354</v>
      </c>
      <c r="C531" s="604"/>
      <c r="D531" s="604"/>
      <c r="E531" s="604"/>
      <c r="F531" s="604"/>
      <c r="I531" s="32"/>
      <c r="J531" s="4"/>
      <c r="K531" s="46"/>
      <c r="L531" s="706"/>
      <c r="M531" s="43"/>
      <c r="N531" s="44"/>
      <c r="O531" s="44"/>
      <c r="Z531" s="543"/>
      <c r="BJ531" s="573" t="s">
        <v>4670</v>
      </c>
    </row>
    <row r="532" spans="1:62" ht="15" thickBot="1" x14ac:dyDescent="0.4">
      <c r="A532" s="403">
        <v>6</v>
      </c>
      <c r="B532" s="608" t="s">
        <v>4354</v>
      </c>
      <c r="C532" s="604"/>
      <c r="D532" s="604"/>
      <c r="E532" s="604"/>
      <c r="F532" s="604"/>
      <c r="I532" s="32"/>
      <c r="J532" s="4"/>
      <c r="K532" s="46"/>
      <c r="L532" s="100" t="s">
        <v>698</v>
      </c>
      <c r="M532" s="43"/>
      <c r="N532" s="44"/>
      <c r="O532" s="44"/>
      <c r="W532" s="58"/>
      <c r="Y532" s="58"/>
      <c r="Z532" s="566"/>
      <c r="BJ532" s="573" t="s">
        <v>4670</v>
      </c>
    </row>
    <row r="533" spans="1:62" ht="15" thickTop="1" x14ac:dyDescent="0.35">
      <c r="A533" s="403">
        <v>6</v>
      </c>
      <c r="B533" s="608">
        <v>605.1</v>
      </c>
      <c r="C533" s="604"/>
      <c r="D533" s="604"/>
      <c r="E533" s="604"/>
      <c r="F533" s="604"/>
      <c r="G533" s="403" t="str">
        <f>IF(N533&gt;0,"P","")</f>
        <v/>
      </c>
      <c r="H533" s="403" t="s">
        <v>4323</v>
      </c>
      <c r="I533" s="123">
        <v>605.1</v>
      </c>
      <c r="J533" s="124"/>
      <c r="K533" s="125"/>
      <c r="L533" s="711" t="s">
        <v>699</v>
      </c>
      <c r="M533" s="692">
        <v>6</v>
      </c>
      <c r="N533" s="940">
        <f>'Ch6'!O278</f>
        <v>0</v>
      </c>
      <c r="O533" s="940">
        <f>M533*S533*IFERROR(OR(W533,W546),0)</f>
        <v>0</v>
      </c>
      <c r="P533" t="b">
        <v>1</v>
      </c>
      <c r="Q533" t="b">
        <v>1</v>
      </c>
      <c r="R533" s="62" t="b">
        <v>0</v>
      </c>
      <c r="S533" s="62" t="b">
        <v>1</v>
      </c>
      <c r="T533" s="62" t="b">
        <v>0</v>
      </c>
      <c r="U533" s="62"/>
      <c r="V533" s="62"/>
      <c r="W533" s="17"/>
      <c r="X533" s="687"/>
      <c r="Y533" s="904" t="str">
        <f>IF(LEN('Ch6'!X278)=0,"None",'Ch6'!X278)</f>
        <v>None</v>
      </c>
      <c r="Z533" s="896"/>
      <c r="AL533" t="str">
        <f>SUBSTITUTE(SUBSTITUTE(SUBSTITUTE("vpa"&amp;$B533&amp;$C533&amp;$D533&amp;$E533&amp;$F533,".","_"),"(","_"),")","")</f>
        <v>vpa605_1</v>
      </c>
      <c r="AM533">
        <f>M533</f>
        <v>6</v>
      </c>
      <c r="AN533" t="str">
        <f>SUBSTITUTE(SUBSTITUTE(SUBSTITUTE("vpc"&amp;$B533&amp;$C533&amp;$D533&amp;$E533&amp;$F533,".","_"),"(","_"),")","")</f>
        <v>vpc605_1</v>
      </c>
      <c r="AO533">
        <f>O533</f>
        <v>0</v>
      </c>
      <c r="AP533" t="str">
        <f>SUBSTITUTE(SUBSTITUTE(SUBSTITUTE("vch"&amp;$B533&amp;$C533&amp;$D533&amp;$E533&amp;$F533,".","_"),"(","_"),")","")</f>
        <v>vch605_1</v>
      </c>
      <c r="AQ533">
        <f>W533</f>
        <v>0</v>
      </c>
      <c r="AR533" t="str">
        <f>SUBSTITUTE(SUBSTITUTE(SUBSTITUTE("vnt"&amp;$B533&amp;$C533&amp;$D533&amp;$E533&amp;$F533,".","_"),"(","_"),")","")</f>
        <v>vnt605_1</v>
      </c>
      <c r="AS533">
        <f>X533</f>
        <v>0</v>
      </c>
      <c r="BJ533" s="573" t="s">
        <v>4670</v>
      </c>
    </row>
    <row r="534" spans="1:62" x14ac:dyDescent="0.35">
      <c r="A534" s="403">
        <v>6</v>
      </c>
      <c r="B534" s="608">
        <v>605.1</v>
      </c>
      <c r="C534" s="604"/>
      <c r="D534" s="604"/>
      <c r="E534" s="604"/>
      <c r="F534" s="604"/>
      <c r="G534" s="403" t="str">
        <f t="shared" ref="G534:G547" si="160">G533</f>
        <v/>
      </c>
      <c r="H534" s="403" t="s">
        <v>4323</v>
      </c>
      <c r="I534" s="32"/>
      <c r="J534" s="4"/>
      <c r="K534" s="46"/>
      <c r="L534" s="706"/>
      <c r="M534" s="690"/>
      <c r="N534" s="834"/>
      <c r="O534" s="834"/>
      <c r="X534" s="688"/>
      <c r="Y534" s="891"/>
      <c r="Z534" s="892"/>
      <c r="BJ534" s="573" t="s">
        <v>4670</v>
      </c>
    </row>
    <row r="535" spans="1:62" x14ac:dyDescent="0.35">
      <c r="A535" s="403">
        <v>6</v>
      </c>
      <c r="B535" s="608">
        <v>605.1</v>
      </c>
      <c r="C535" s="604"/>
      <c r="D535" s="604"/>
      <c r="E535" s="604"/>
      <c r="F535" s="604"/>
      <c r="G535" s="403" t="str">
        <f t="shared" si="160"/>
        <v/>
      </c>
      <c r="H535" s="403" t="s">
        <v>4323</v>
      </c>
      <c r="I535" s="32"/>
      <c r="J535" s="4"/>
      <c r="K535" s="46"/>
      <c r="L535" s="706"/>
      <c r="M535" s="690"/>
      <c r="N535" s="834"/>
      <c r="O535" s="834"/>
      <c r="X535" s="688"/>
      <c r="Y535" s="891"/>
      <c r="Z535" s="892"/>
      <c r="BJ535" s="573" t="s">
        <v>4670</v>
      </c>
    </row>
    <row r="536" spans="1:62" x14ac:dyDescent="0.35">
      <c r="A536" s="403">
        <v>6</v>
      </c>
      <c r="B536" s="608">
        <v>605.1</v>
      </c>
      <c r="C536" s="604"/>
      <c r="D536" s="604"/>
      <c r="E536" s="604"/>
      <c r="F536" s="604"/>
      <c r="G536" s="403" t="str">
        <f t="shared" si="160"/>
        <v/>
      </c>
      <c r="H536" s="403" t="s">
        <v>4323</v>
      </c>
      <c r="I536" s="32"/>
      <c r="J536" s="4"/>
      <c r="K536" s="46"/>
      <c r="L536" s="706"/>
      <c r="M536" s="690"/>
      <c r="N536" s="834"/>
      <c r="O536" s="834"/>
      <c r="X536" s="688"/>
      <c r="Y536" s="891"/>
      <c r="Z536" s="892"/>
      <c r="BJ536" s="573" t="s">
        <v>4670</v>
      </c>
    </row>
    <row r="537" spans="1:62" x14ac:dyDescent="0.35">
      <c r="A537" s="403">
        <v>6</v>
      </c>
      <c r="B537" s="608">
        <v>605.1</v>
      </c>
      <c r="C537" s="604"/>
      <c r="D537" s="604"/>
      <c r="E537" s="604"/>
      <c r="F537" s="604"/>
      <c r="G537" s="403" t="str">
        <f t="shared" si="160"/>
        <v/>
      </c>
      <c r="H537" s="403" t="s">
        <v>4323</v>
      </c>
      <c r="I537" s="32"/>
      <c r="J537" s="4"/>
      <c r="K537" s="46"/>
      <c r="L537" s="706"/>
      <c r="M537" s="690"/>
      <c r="N537" s="834"/>
      <c r="O537" s="834"/>
      <c r="X537" s="688"/>
      <c r="Y537" s="891"/>
      <c r="Z537" s="892"/>
      <c r="BJ537" s="573" t="s">
        <v>4670</v>
      </c>
    </row>
    <row r="538" spans="1:62" x14ac:dyDescent="0.35">
      <c r="A538" s="403">
        <v>6</v>
      </c>
      <c r="B538" s="608">
        <v>605.1</v>
      </c>
      <c r="C538" s="604"/>
      <c r="D538" s="604"/>
      <c r="E538" s="604"/>
      <c r="F538" s="604"/>
      <c r="G538" s="403" t="str">
        <f t="shared" si="160"/>
        <v/>
      </c>
      <c r="H538" s="403" t="s">
        <v>4323</v>
      </c>
      <c r="I538" s="32"/>
      <c r="J538" s="4"/>
      <c r="K538" s="46"/>
      <c r="L538" s="706"/>
      <c r="M538" s="690"/>
      <c r="N538" s="834"/>
      <c r="O538" s="834"/>
      <c r="X538" s="688"/>
      <c r="Y538" s="891"/>
      <c r="Z538" s="892"/>
      <c r="BJ538" s="573" t="s">
        <v>4670</v>
      </c>
    </row>
    <row r="539" spans="1:62" x14ac:dyDescent="0.35">
      <c r="A539" s="403">
        <v>6</v>
      </c>
      <c r="B539" s="608">
        <v>605.1</v>
      </c>
      <c r="C539" s="604"/>
      <c r="D539" s="604"/>
      <c r="E539" s="604"/>
      <c r="F539" s="604"/>
      <c r="G539" s="403" t="str">
        <f t="shared" si="160"/>
        <v/>
      </c>
      <c r="H539" s="403" t="s">
        <v>4323</v>
      </c>
      <c r="I539" s="32"/>
      <c r="J539" s="4"/>
      <c r="K539" s="46"/>
      <c r="L539" s="707" t="s">
        <v>700</v>
      </c>
      <c r="M539" s="690"/>
      <c r="N539" s="834"/>
      <c r="O539" s="834"/>
      <c r="X539" s="688"/>
      <c r="Y539" s="891"/>
      <c r="Z539" s="892"/>
      <c r="BJ539" s="573" t="s">
        <v>4670</v>
      </c>
    </row>
    <row r="540" spans="1:62" x14ac:dyDescent="0.35">
      <c r="A540" s="403">
        <v>6</v>
      </c>
      <c r="B540" s="608">
        <v>605.1</v>
      </c>
      <c r="C540" s="604"/>
      <c r="D540" s="604"/>
      <c r="E540" s="604"/>
      <c r="F540" s="604"/>
      <c r="G540" s="403" t="str">
        <f t="shared" si="160"/>
        <v/>
      </c>
      <c r="H540" s="403" t="s">
        <v>4323</v>
      </c>
      <c r="I540" s="32"/>
      <c r="J540" s="4"/>
      <c r="K540" s="46"/>
      <c r="L540" s="707"/>
      <c r="M540" s="690"/>
      <c r="N540" s="834"/>
      <c r="O540" s="834"/>
      <c r="X540" s="688"/>
      <c r="Y540" s="891"/>
      <c r="Z540" s="892"/>
      <c r="BJ540" s="573" t="s">
        <v>4670</v>
      </c>
    </row>
    <row r="541" spans="1:62" x14ac:dyDescent="0.35">
      <c r="A541" s="403">
        <v>6</v>
      </c>
      <c r="B541" s="608">
        <v>605.1</v>
      </c>
      <c r="C541" s="604"/>
      <c r="D541" s="604"/>
      <c r="E541" s="604"/>
      <c r="F541" s="604"/>
      <c r="G541" s="403" t="str">
        <f t="shared" si="160"/>
        <v/>
      </c>
      <c r="H541" s="403" t="s">
        <v>4323</v>
      </c>
      <c r="I541" s="32"/>
      <c r="J541" s="4"/>
      <c r="K541" s="46"/>
      <c r="L541" s="707"/>
      <c r="M541" s="690"/>
      <c r="N541" s="834"/>
      <c r="O541" s="834"/>
      <c r="X541" s="688"/>
      <c r="Y541" s="891"/>
      <c r="Z541" s="892"/>
      <c r="BJ541" s="573" t="s">
        <v>4670</v>
      </c>
    </row>
    <row r="542" spans="1:62" x14ac:dyDescent="0.35">
      <c r="A542" s="403">
        <v>6</v>
      </c>
      <c r="B542" s="608">
        <v>605.1</v>
      </c>
      <c r="C542" s="604"/>
      <c r="D542" s="604"/>
      <c r="E542" s="604"/>
      <c r="F542" s="604"/>
      <c r="G542" s="403" t="str">
        <f t="shared" si="160"/>
        <v/>
      </c>
      <c r="H542" s="403" t="s">
        <v>4323</v>
      </c>
      <c r="I542" s="32"/>
      <c r="J542" s="4"/>
      <c r="K542" s="46"/>
      <c r="L542" s="707"/>
      <c r="M542" s="690"/>
      <c r="N542" s="834"/>
      <c r="O542" s="834"/>
      <c r="X542" s="688"/>
      <c r="Y542" s="891"/>
      <c r="Z542" s="892"/>
      <c r="BJ542" s="573" t="s">
        <v>4670</v>
      </c>
    </row>
    <row r="543" spans="1:62" x14ac:dyDescent="0.35">
      <c r="A543" s="403">
        <v>6</v>
      </c>
      <c r="B543" s="608">
        <v>605.1</v>
      </c>
      <c r="C543" s="604"/>
      <c r="D543" s="604"/>
      <c r="E543" s="604"/>
      <c r="F543" s="604"/>
      <c r="G543" s="403" t="str">
        <f t="shared" si="160"/>
        <v/>
      </c>
      <c r="H543" s="403" t="s">
        <v>4323</v>
      </c>
      <c r="I543" s="32"/>
      <c r="J543" s="4"/>
      <c r="K543" s="46"/>
      <c r="L543" s="48" t="s">
        <v>701</v>
      </c>
      <c r="M543" s="690"/>
      <c r="N543" s="834"/>
      <c r="O543" s="834"/>
      <c r="X543" s="688"/>
      <c r="Y543" s="891"/>
      <c r="Z543" s="892"/>
      <c r="BJ543" s="573" t="s">
        <v>4670</v>
      </c>
    </row>
    <row r="544" spans="1:62" x14ac:dyDescent="0.35">
      <c r="A544" s="403">
        <v>6</v>
      </c>
      <c r="B544" s="608">
        <v>605.1</v>
      </c>
      <c r="C544" s="604"/>
      <c r="D544" s="604"/>
      <c r="E544" s="604" t="s">
        <v>270</v>
      </c>
      <c r="F544" s="604"/>
      <c r="G544" s="403" t="str">
        <f t="shared" si="160"/>
        <v/>
      </c>
      <c r="H544" s="403" t="s">
        <v>4323</v>
      </c>
      <c r="I544" s="32"/>
      <c r="J544" s="19" t="s">
        <v>270</v>
      </c>
      <c r="K544" s="46"/>
      <c r="L544" s="707" t="s">
        <v>702</v>
      </c>
      <c r="M544" s="690"/>
      <c r="N544" s="834"/>
      <c r="O544" s="834"/>
      <c r="X544" s="688"/>
      <c r="Y544" s="891"/>
      <c r="Z544" s="892"/>
      <c r="BJ544" s="573" t="s">
        <v>4670</v>
      </c>
    </row>
    <row r="545" spans="1:62" x14ac:dyDescent="0.35">
      <c r="A545" s="403">
        <v>6</v>
      </c>
      <c r="B545" s="608">
        <v>605.1</v>
      </c>
      <c r="C545" s="604"/>
      <c r="D545" s="604"/>
      <c r="E545" s="604" t="s">
        <v>270</v>
      </c>
      <c r="F545" s="604"/>
      <c r="G545" s="403" t="str">
        <f t="shared" si="160"/>
        <v/>
      </c>
      <c r="H545" s="403" t="s">
        <v>4323</v>
      </c>
      <c r="I545" s="32"/>
      <c r="J545" s="4"/>
      <c r="K545" s="46"/>
      <c r="L545" s="707"/>
      <c r="M545" s="690"/>
      <c r="N545" s="834"/>
      <c r="O545" s="834"/>
      <c r="X545" s="688"/>
      <c r="Y545" s="891"/>
      <c r="Z545" s="892"/>
      <c r="BJ545" s="573" t="s">
        <v>4670</v>
      </c>
    </row>
    <row r="546" spans="1:62" x14ac:dyDescent="0.35">
      <c r="A546" s="403">
        <v>6</v>
      </c>
      <c r="B546" s="608">
        <v>605.1</v>
      </c>
      <c r="C546" s="604"/>
      <c r="D546" s="604"/>
      <c r="E546" s="604" t="s">
        <v>272</v>
      </c>
      <c r="F546" s="604"/>
      <c r="G546" s="403" t="str">
        <f t="shared" si="160"/>
        <v/>
      </c>
      <c r="H546" s="403" t="s">
        <v>4323</v>
      </c>
      <c r="I546" s="32"/>
      <c r="J546" s="19" t="s">
        <v>272</v>
      </c>
      <c r="K546" s="46"/>
      <c r="L546" s="707" t="s">
        <v>703</v>
      </c>
      <c r="M546" s="690"/>
      <c r="N546" s="834"/>
      <c r="O546" s="834"/>
      <c r="P546" t="b">
        <v>1</v>
      </c>
      <c r="Q546" t="b">
        <v>1</v>
      </c>
      <c r="R546" t="b">
        <v>0</v>
      </c>
      <c r="S546" t="b">
        <v>1</v>
      </c>
      <c r="T546" t="b">
        <v>0</v>
      </c>
      <c r="W546" s="17"/>
      <c r="X546" s="688"/>
      <c r="Y546" s="891"/>
      <c r="Z546" s="892"/>
      <c r="AP546" t="str">
        <f>SUBSTITUTE(SUBSTITUTE(SUBSTITUTE("vch"&amp;$B546&amp;$C546&amp;$D546&amp;$E546&amp;$F546,".","_"),"(","_"),")","")</f>
        <v>vch605_1_2</v>
      </c>
      <c r="AQ546">
        <f>W546</f>
        <v>0</v>
      </c>
      <c r="BJ546" s="573" t="s">
        <v>4670</v>
      </c>
    </row>
    <row r="547" spans="1:62" ht="15" thickBot="1" x14ac:dyDescent="0.4">
      <c r="A547" s="403">
        <v>6</v>
      </c>
      <c r="B547" s="608">
        <v>605.1</v>
      </c>
      <c r="C547" s="604"/>
      <c r="D547" s="604"/>
      <c r="E547" s="604" t="s">
        <v>272</v>
      </c>
      <c r="F547" s="604"/>
      <c r="G547" s="403" t="str">
        <f t="shared" si="160"/>
        <v/>
      </c>
      <c r="H547" s="403" t="s">
        <v>4323</v>
      </c>
      <c r="I547" s="32"/>
      <c r="J547" s="4"/>
      <c r="K547" s="46"/>
      <c r="L547" s="707"/>
      <c r="M547" s="690"/>
      <c r="N547" s="938"/>
      <c r="O547" s="834"/>
      <c r="W547" s="205"/>
      <c r="X547" s="698"/>
      <c r="Y547" s="905"/>
      <c r="Z547" s="895"/>
      <c r="BJ547" s="573" t="s">
        <v>4670</v>
      </c>
    </row>
    <row r="548" spans="1:62" ht="15" thickTop="1" x14ac:dyDescent="0.35">
      <c r="A548" s="403">
        <v>6</v>
      </c>
      <c r="B548" s="608">
        <v>605.20000000000005</v>
      </c>
      <c r="C548" s="604"/>
      <c r="D548" s="604"/>
      <c r="E548" s="604"/>
      <c r="F548" s="604"/>
      <c r="G548" s="403" t="str">
        <f>IF(N548&gt;0,"P","")</f>
        <v/>
      </c>
      <c r="H548" s="403" t="s">
        <v>4323</v>
      </c>
      <c r="I548" s="123">
        <v>605.20000000000005</v>
      </c>
      <c r="J548" s="124"/>
      <c r="K548" s="125"/>
      <c r="L548" s="711" t="s">
        <v>704</v>
      </c>
      <c r="M548" s="692">
        <v>7</v>
      </c>
      <c r="N548" s="940">
        <f>'Ch6'!O293</f>
        <v>0</v>
      </c>
      <c r="O548" s="940">
        <f>M548*S548*W548</f>
        <v>0</v>
      </c>
      <c r="P548" t="b">
        <v>1</v>
      </c>
      <c r="Q548" t="b">
        <v>1</v>
      </c>
      <c r="R548" s="62" t="b">
        <v>0</v>
      </c>
      <c r="S548" s="62" t="b">
        <v>1</v>
      </c>
      <c r="T548" s="62" t="b">
        <v>0</v>
      </c>
      <c r="U548" s="62"/>
      <c r="V548" s="62"/>
      <c r="W548" s="17"/>
      <c r="X548" s="687"/>
      <c r="Y548" s="904" t="str">
        <f>IF(LEN('Ch6'!X293)=0,"None",'Ch6'!X293)</f>
        <v>None</v>
      </c>
      <c r="Z548" s="896"/>
      <c r="AL548" t="str">
        <f>SUBSTITUTE(SUBSTITUTE(SUBSTITUTE("vpa"&amp;$B548&amp;$C548&amp;$D548&amp;$E548&amp;$F548,".","_"),"(","_"),")","")</f>
        <v>vpa605_2</v>
      </c>
      <c r="AM548">
        <f>M548</f>
        <v>7</v>
      </c>
      <c r="AN548" t="str">
        <f>SUBSTITUTE(SUBSTITUTE(SUBSTITUTE("vpc"&amp;$B548&amp;$C548&amp;$D548&amp;$E548&amp;$F548,".","_"),"(","_"),")","")</f>
        <v>vpc605_2</v>
      </c>
      <c r="AO548">
        <f>O548</f>
        <v>0</v>
      </c>
      <c r="AP548" t="str">
        <f>SUBSTITUTE(SUBSTITUTE(SUBSTITUTE("vch"&amp;$B548&amp;$C548&amp;$D548&amp;$E548&amp;$F548,".","_"),"(","_"),")","")</f>
        <v>vch605_2</v>
      </c>
      <c r="AQ548">
        <f>W548</f>
        <v>0</v>
      </c>
      <c r="AR548" t="str">
        <f>SUBSTITUTE(SUBSTITUTE(SUBSTITUTE("vnt"&amp;$B548&amp;$C548&amp;$D548&amp;$E548&amp;$F548,".","_"),"(","_"),")","")</f>
        <v>vnt605_2</v>
      </c>
      <c r="AS548">
        <f>X548</f>
        <v>0</v>
      </c>
      <c r="BJ548" s="573" t="s">
        <v>4670</v>
      </c>
    </row>
    <row r="549" spans="1:62" x14ac:dyDescent="0.35">
      <c r="A549" s="403">
        <v>6</v>
      </c>
      <c r="B549" s="608">
        <v>605.20000000000005</v>
      </c>
      <c r="C549" s="604"/>
      <c r="D549" s="604"/>
      <c r="E549" s="604"/>
      <c r="F549" s="604"/>
      <c r="G549" s="403" t="str">
        <f t="shared" ref="G549:G556" si="161">G548</f>
        <v/>
      </c>
      <c r="H549" s="403" t="s">
        <v>4323</v>
      </c>
      <c r="I549" s="32"/>
      <c r="J549" s="4"/>
      <c r="K549" s="46"/>
      <c r="L549" s="706"/>
      <c r="M549" s="690"/>
      <c r="N549" s="834"/>
      <c r="O549" s="834"/>
      <c r="X549" s="688"/>
      <c r="Y549" s="891"/>
      <c r="Z549" s="892"/>
      <c r="BJ549" s="573" t="s">
        <v>4670</v>
      </c>
    </row>
    <row r="550" spans="1:62" x14ac:dyDescent="0.35">
      <c r="A550" s="403">
        <v>6</v>
      </c>
      <c r="B550" s="608">
        <v>605.20000000000005</v>
      </c>
      <c r="C550" s="604"/>
      <c r="D550" s="604"/>
      <c r="E550" s="604"/>
      <c r="F550" s="604" t="s">
        <v>121</v>
      </c>
      <c r="G550" s="403" t="str">
        <f t="shared" si="161"/>
        <v/>
      </c>
      <c r="H550" s="605" t="s">
        <v>4323</v>
      </c>
      <c r="I550" s="32"/>
      <c r="J550" s="4"/>
      <c r="K550" s="50" t="s">
        <v>121</v>
      </c>
      <c r="L550" s="707" t="s">
        <v>705</v>
      </c>
      <c r="M550" s="43"/>
      <c r="N550" s="44"/>
      <c r="O550" s="44"/>
      <c r="X550" s="688"/>
      <c r="Y550" s="891"/>
      <c r="Z550" s="892"/>
      <c r="BJ550" s="573" t="s">
        <v>4670</v>
      </c>
    </row>
    <row r="551" spans="1:62" x14ac:dyDescent="0.35">
      <c r="A551" s="403">
        <v>6</v>
      </c>
      <c r="B551" s="608">
        <v>605.20000000000005</v>
      </c>
      <c r="C551" s="604"/>
      <c r="D551" s="604"/>
      <c r="E551" s="604"/>
      <c r="F551" s="604" t="s">
        <v>121</v>
      </c>
      <c r="G551" s="403" t="str">
        <f t="shared" si="161"/>
        <v/>
      </c>
      <c r="H551" s="605" t="s">
        <v>4323</v>
      </c>
      <c r="I551" s="32"/>
      <c r="J551" s="4"/>
      <c r="K551" s="46"/>
      <c r="L551" s="707"/>
      <c r="M551" s="43"/>
      <c r="N551" s="44"/>
      <c r="O551" s="44"/>
      <c r="X551" s="688"/>
      <c r="Y551" s="891"/>
      <c r="Z551" s="892"/>
      <c r="BJ551" s="573" t="s">
        <v>4670</v>
      </c>
    </row>
    <row r="552" spans="1:62" x14ac:dyDescent="0.35">
      <c r="A552" s="403">
        <v>6</v>
      </c>
      <c r="B552" s="608">
        <v>605.20000000000005</v>
      </c>
      <c r="C552" s="604"/>
      <c r="D552" s="604"/>
      <c r="E552" s="604"/>
      <c r="F552" s="604" t="s">
        <v>121</v>
      </c>
      <c r="G552" s="403" t="str">
        <f t="shared" si="161"/>
        <v/>
      </c>
      <c r="H552" s="605" t="s">
        <v>4323</v>
      </c>
      <c r="I552" s="32"/>
      <c r="J552" s="4"/>
      <c r="K552" s="116"/>
      <c r="L552" s="709"/>
      <c r="M552" s="43"/>
      <c r="N552" s="44"/>
      <c r="O552" s="44"/>
      <c r="X552" s="688"/>
      <c r="Y552" s="891"/>
      <c r="Z552" s="892"/>
      <c r="BJ552" s="573" t="s">
        <v>4670</v>
      </c>
    </row>
    <row r="553" spans="1:62" x14ac:dyDescent="0.35">
      <c r="A553" s="403">
        <v>6</v>
      </c>
      <c r="B553" s="608">
        <v>605.20000000000005</v>
      </c>
      <c r="C553" s="604"/>
      <c r="D553" s="604"/>
      <c r="E553" s="604"/>
      <c r="F553" s="604" t="s">
        <v>122</v>
      </c>
      <c r="G553" s="403" t="str">
        <f t="shared" si="161"/>
        <v/>
      </c>
      <c r="H553" s="605" t="s">
        <v>4323</v>
      </c>
      <c r="I553" s="32"/>
      <c r="J553" s="4"/>
      <c r="K553" s="158" t="s">
        <v>122</v>
      </c>
      <c r="L553" s="151" t="s">
        <v>706</v>
      </c>
      <c r="M553" s="43"/>
      <c r="N553" s="44"/>
      <c r="O553" s="44"/>
      <c r="X553" s="688"/>
      <c r="Y553" s="891"/>
      <c r="Z553" s="892"/>
      <c r="BJ553" s="573" t="s">
        <v>4670</v>
      </c>
    </row>
    <row r="554" spans="1:62" x14ac:dyDescent="0.35">
      <c r="A554" s="403">
        <v>6</v>
      </c>
      <c r="B554" s="608">
        <v>605.20000000000005</v>
      </c>
      <c r="C554" s="604"/>
      <c r="D554" s="604"/>
      <c r="E554" s="604"/>
      <c r="F554" s="604" t="s">
        <v>123</v>
      </c>
      <c r="G554" s="403" t="str">
        <f t="shared" si="161"/>
        <v/>
      </c>
      <c r="H554" s="605" t="s">
        <v>4323</v>
      </c>
      <c r="I554" s="32"/>
      <c r="J554" s="4"/>
      <c r="K554" s="52" t="s">
        <v>123</v>
      </c>
      <c r="L554" s="707" t="s">
        <v>707</v>
      </c>
      <c r="M554" s="43"/>
      <c r="N554" s="44"/>
      <c r="O554" s="44"/>
      <c r="X554" s="688"/>
      <c r="Y554" s="891"/>
      <c r="Z554" s="892"/>
      <c r="BJ554" s="573" t="s">
        <v>4670</v>
      </c>
    </row>
    <row r="555" spans="1:62" x14ac:dyDescent="0.35">
      <c r="A555" s="403">
        <v>6</v>
      </c>
      <c r="B555" s="608">
        <v>605.20000000000005</v>
      </c>
      <c r="C555" s="604"/>
      <c r="D555" s="604"/>
      <c r="E555" s="604"/>
      <c r="F555" s="604" t="s">
        <v>123</v>
      </c>
      <c r="G555" s="403" t="str">
        <f t="shared" si="161"/>
        <v/>
      </c>
      <c r="H555" s="605" t="s">
        <v>4323</v>
      </c>
      <c r="I555" s="32"/>
      <c r="J555" s="4"/>
      <c r="K555" s="48"/>
      <c r="L555" s="707"/>
      <c r="M555" s="43"/>
      <c r="N555" s="44"/>
      <c r="O555" s="44"/>
      <c r="X555" s="688"/>
      <c r="Y555" s="891"/>
      <c r="Z555" s="892"/>
      <c r="BJ555" s="573" t="s">
        <v>4670</v>
      </c>
    </row>
    <row r="556" spans="1:62" ht="15" thickBot="1" x14ac:dyDescent="0.4">
      <c r="A556" s="403">
        <v>6</v>
      </c>
      <c r="B556" s="608">
        <v>605.20000000000005</v>
      </c>
      <c r="C556" s="604"/>
      <c r="D556" s="604"/>
      <c r="E556" s="604"/>
      <c r="F556" s="604" t="s">
        <v>123</v>
      </c>
      <c r="G556" s="403" t="str">
        <f t="shared" si="161"/>
        <v/>
      </c>
      <c r="H556" s="605" t="s">
        <v>4323</v>
      </c>
      <c r="I556" s="32"/>
      <c r="J556" s="4"/>
      <c r="K556" s="46"/>
      <c r="L556" s="707"/>
      <c r="M556" s="43"/>
      <c r="N556" s="44"/>
      <c r="O556" s="44"/>
      <c r="X556" s="698"/>
      <c r="Y556" s="905"/>
      <c r="Z556" s="895"/>
      <c r="BJ556" s="573" t="s">
        <v>4670</v>
      </c>
    </row>
    <row r="557" spans="1:62" ht="15" thickTop="1" x14ac:dyDescent="0.35">
      <c r="A557" s="403">
        <v>6</v>
      </c>
      <c r="B557" s="608">
        <v>605.29999999999995</v>
      </c>
      <c r="C557" s="604"/>
      <c r="D557" s="604"/>
      <c r="E557" s="604"/>
      <c r="F557" s="604"/>
      <c r="G557" s="403" t="str">
        <f>IF(N557&gt;0,"P","")</f>
        <v>P</v>
      </c>
      <c r="H557" s="403" t="s">
        <v>4323</v>
      </c>
      <c r="I557" s="123">
        <v>605.29999999999995</v>
      </c>
      <c r="J557" s="124"/>
      <c r="K557" s="125"/>
      <c r="L557" s="711" t="s">
        <v>708</v>
      </c>
      <c r="M557" s="692" t="s">
        <v>709</v>
      </c>
      <c r="N557" s="940">
        <f>'Ch6'!O302</f>
        <v>4</v>
      </c>
      <c r="O557" s="940">
        <f>IF(COUNTIF(W561:W569,TRUE)&lt;2,0,MIN(6,(COUNTIF(W561:W569,TRUE)+1)))</f>
        <v>4</v>
      </c>
      <c r="P557" t="b">
        <v>1</v>
      </c>
      <c r="Q557" t="b">
        <v>1</v>
      </c>
      <c r="R557" s="62" t="b">
        <v>0</v>
      </c>
      <c r="S557" s="62" t="b">
        <v>1</v>
      </c>
      <c r="T557" s="62" t="b">
        <v>0</v>
      </c>
      <c r="U557" s="62"/>
      <c r="V557" s="62"/>
      <c r="W557" s="62"/>
      <c r="X557" s="62"/>
      <c r="Z557" s="543"/>
      <c r="AL557" t="str">
        <f>SUBSTITUTE(SUBSTITUTE(SUBSTITUTE("vpa"&amp;$B557&amp;$C557&amp;$D557&amp;$E557&amp;$F557,".","_"),"(","_"),")","")</f>
        <v>vpa605_3</v>
      </c>
      <c r="AM557" t="str">
        <f>M557</f>
        <v>6 Max</v>
      </c>
      <c r="AN557" t="str">
        <f>SUBSTITUTE(SUBSTITUTE(SUBSTITUTE("vpc"&amp;$B557&amp;$C557&amp;$D557&amp;$E557&amp;$F557,".","_"),"(","_"),")","")</f>
        <v>vpc605_3</v>
      </c>
      <c r="AO557">
        <f>O557</f>
        <v>4</v>
      </c>
      <c r="BJ557" s="573" t="s">
        <v>4670</v>
      </c>
    </row>
    <row r="558" spans="1:62" x14ac:dyDescent="0.35">
      <c r="A558" s="403">
        <v>6</v>
      </c>
      <c r="B558" s="608">
        <v>605.29999999999995</v>
      </c>
      <c r="C558" s="604"/>
      <c r="D558" s="604"/>
      <c r="E558" s="604"/>
      <c r="F558" s="604"/>
      <c r="G558" s="403" t="str">
        <f t="shared" ref="G558:G570" si="162">G557</f>
        <v>P</v>
      </c>
      <c r="H558" s="403" t="s">
        <v>4323</v>
      </c>
      <c r="I558" s="32"/>
      <c r="J558" s="4"/>
      <c r="K558" s="46"/>
      <c r="L558" s="706"/>
      <c r="M558" s="690"/>
      <c r="N558" s="834"/>
      <c r="O558" s="834"/>
      <c r="Z558" s="543"/>
      <c r="BJ558" s="573" t="s">
        <v>4670</v>
      </c>
    </row>
    <row r="559" spans="1:62" x14ac:dyDescent="0.35">
      <c r="A559" s="403">
        <v>6</v>
      </c>
      <c r="B559" s="608">
        <v>605.29999999999995</v>
      </c>
      <c r="C559" s="604"/>
      <c r="D559" s="604"/>
      <c r="E559" s="604" t="s">
        <v>270</v>
      </c>
      <c r="F559" s="604"/>
      <c r="G559" s="403" t="str">
        <f t="shared" si="162"/>
        <v>P</v>
      </c>
      <c r="H559" s="403" t="s">
        <v>4323</v>
      </c>
      <c r="I559" s="32"/>
      <c r="J559" s="148" t="s">
        <v>270</v>
      </c>
      <c r="K559" s="116"/>
      <c r="L559" s="116" t="s">
        <v>710</v>
      </c>
      <c r="M559" s="198">
        <v>3</v>
      </c>
      <c r="N559" s="44"/>
      <c r="O559" s="44"/>
      <c r="Z559" s="543"/>
      <c r="AL559" t="str">
        <f t="shared" ref="AL559:AL560" si="163">SUBSTITUTE(SUBSTITUTE(SUBSTITUTE("vpa"&amp;$B559&amp;$C559&amp;$D559&amp;$E559&amp;$F559,".","_"),"(","_"),")","")</f>
        <v>vpa605_3_1</v>
      </c>
      <c r="AM559">
        <f>M559</f>
        <v>3</v>
      </c>
      <c r="BJ559" s="573" t="s">
        <v>4670</v>
      </c>
    </row>
    <row r="560" spans="1:62" x14ac:dyDescent="0.35">
      <c r="A560" s="403">
        <v>6</v>
      </c>
      <c r="B560" s="608">
        <v>605.29999999999995</v>
      </c>
      <c r="C560" s="604"/>
      <c r="D560" s="604"/>
      <c r="E560" s="604" t="s">
        <v>272</v>
      </c>
      <c r="F560" s="604"/>
      <c r="G560" s="403" t="str">
        <f t="shared" si="162"/>
        <v>P</v>
      </c>
      <c r="H560" s="403" t="s">
        <v>4323</v>
      </c>
      <c r="I560" s="32"/>
      <c r="J560" s="19" t="s">
        <v>272</v>
      </c>
      <c r="K560" s="46"/>
      <c r="L560" s="46" t="s">
        <v>711</v>
      </c>
      <c r="M560" s="43">
        <v>1</v>
      </c>
      <c r="N560" s="44"/>
      <c r="O560" s="44"/>
      <c r="Z560" s="543"/>
      <c r="AL560" t="str">
        <f t="shared" si="163"/>
        <v>vpa605_3_2</v>
      </c>
      <c r="AM560">
        <f>M560</f>
        <v>1</v>
      </c>
      <c r="BJ560" s="573" t="s">
        <v>4670</v>
      </c>
    </row>
    <row r="561" spans="1:62" x14ac:dyDescent="0.35">
      <c r="A561" s="403">
        <v>6</v>
      </c>
      <c r="B561" s="608">
        <v>605.29999999999995</v>
      </c>
      <c r="C561" s="604"/>
      <c r="D561" s="604"/>
      <c r="E561" s="604" t="s">
        <v>272</v>
      </c>
      <c r="F561" s="604" t="s">
        <v>121</v>
      </c>
      <c r="G561" s="403" t="str">
        <f t="shared" si="162"/>
        <v>P</v>
      </c>
      <c r="H561" s="403" t="s">
        <v>4323</v>
      </c>
      <c r="I561" s="32"/>
      <c r="J561" s="4"/>
      <c r="K561" s="115" t="s">
        <v>121</v>
      </c>
      <c r="L561" s="116" t="s">
        <v>3268</v>
      </c>
      <c r="M561" s="43"/>
      <c r="N561" s="44"/>
      <c r="O561" s="44"/>
      <c r="P561" t="b">
        <v>1</v>
      </c>
      <c r="Q561" t="b">
        <v>1</v>
      </c>
      <c r="R561" t="b">
        <v>0</v>
      </c>
      <c r="S561" t="b">
        <v>1</v>
      </c>
      <c r="T561" t="b">
        <v>0</v>
      </c>
      <c r="W561" s="17" t="b">
        <v>1</v>
      </c>
      <c r="X561" s="688"/>
      <c r="Y561" s="891" t="str">
        <f>IF(LEN('Ch6'!X306)=0,"None",'Ch6'!X306)</f>
        <v>None</v>
      </c>
      <c r="Z561" s="892"/>
      <c r="AP561" t="str">
        <f t="shared" ref="AP561:AP569" si="164">SUBSTITUTE(SUBSTITUTE(SUBSTITUTE("vch"&amp;$B561&amp;$C561&amp;$D561&amp;$E561&amp;$F561,".","_"),"(","_"),")","")</f>
        <v>vch605_3_2_a</v>
      </c>
      <c r="AQ561" t="b">
        <f t="shared" ref="AQ561:AQ569" si="165">W561</f>
        <v>1</v>
      </c>
      <c r="AR561" t="str">
        <f>SUBSTITUTE(SUBSTITUTE(SUBSTITUTE("vnt"&amp;$B561&amp;$C561&amp;$D561&amp;$E561&amp;$F561,".","_"),"(","_"),")","")</f>
        <v>vnt605_3_2_a</v>
      </c>
      <c r="AS561">
        <f>X561</f>
        <v>0</v>
      </c>
      <c r="BJ561" s="573" t="s">
        <v>4670</v>
      </c>
    </row>
    <row r="562" spans="1:62" x14ac:dyDescent="0.35">
      <c r="A562" s="403">
        <v>6</v>
      </c>
      <c r="B562" s="608">
        <v>605.29999999999995</v>
      </c>
      <c r="C562" s="604"/>
      <c r="D562" s="604"/>
      <c r="E562" s="604" t="s">
        <v>272</v>
      </c>
      <c r="F562" s="604" t="s">
        <v>122</v>
      </c>
      <c r="G562" s="403" t="str">
        <f t="shared" si="162"/>
        <v>P</v>
      </c>
      <c r="H562" s="403" t="s">
        <v>4323</v>
      </c>
      <c r="I562" s="32"/>
      <c r="J562" s="4"/>
      <c r="K562" s="158" t="s">
        <v>122</v>
      </c>
      <c r="L562" s="151" t="s">
        <v>3269</v>
      </c>
      <c r="M562" s="43"/>
      <c r="N562" s="44"/>
      <c r="O562" s="44"/>
      <c r="P562" t="b">
        <v>1</v>
      </c>
      <c r="Q562" t="b">
        <v>1</v>
      </c>
      <c r="R562" t="b">
        <v>0</v>
      </c>
      <c r="S562" t="b">
        <v>1</v>
      </c>
      <c r="T562" t="b">
        <v>0</v>
      </c>
      <c r="W562" s="17" t="b">
        <v>1</v>
      </c>
      <c r="X562" s="688"/>
      <c r="Y562" s="891"/>
      <c r="Z562" s="892"/>
      <c r="AP562" t="str">
        <f t="shared" si="164"/>
        <v>vch605_3_2_b</v>
      </c>
      <c r="AQ562" t="b">
        <f t="shared" si="165"/>
        <v>1</v>
      </c>
      <c r="BJ562" s="573" t="s">
        <v>4670</v>
      </c>
    </row>
    <row r="563" spans="1:62" x14ac:dyDescent="0.35">
      <c r="A563" s="403">
        <v>6</v>
      </c>
      <c r="B563" s="608">
        <v>605.29999999999995</v>
      </c>
      <c r="C563" s="604"/>
      <c r="D563" s="604"/>
      <c r="E563" s="604" t="s">
        <v>272</v>
      </c>
      <c r="F563" s="604" t="s">
        <v>123</v>
      </c>
      <c r="G563" s="403" t="str">
        <f t="shared" si="162"/>
        <v>P</v>
      </c>
      <c r="H563" s="403" t="s">
        <v>4323</v>
      </c>
      <c r="I563" s="32"/>
      <c r="J563" s="4"/>
      <c r="K563" s="163" t="s">
        <v>123</v>
      </c>
      <c r="L563" s="151" t="s">
        <v>3270</v>
      </c>
      <c r="M563" s="43"/>
      <c r="N563" s="44"/>
      <c r="O563" s="44"/>
      <c r="P563" t="b">
        <v>1</v>
      </c>
      <c r="Q563" t="b">
        <v>1</v>
      </c>
      <c r="R563" t="b">
        <v>0</v>
      </c>
      <c r="S563" t="b">
        <v>1</v>
      </c>
      <c r="T563" t="b">
        <v>0</v>
      </c>
      <c r="W563" s="17" t="b">
        <v>1</v>
      </c>
      <c r="X563" s="688"/>
      <c r="Y563" s="891"/>
      <c r="Z563" s="892"/>
      <c r="AP563" t="str">
        <f t="shared" si="164"/>
        <v>vch605_3_2_c</v>
      </c>
      <c r="AQ563" t="b">
        <f t="shared" si="165"/>
        <v>1</v>
      </c>
      <c r="BJ563" s="573" t="s">
        <v>4670</v>
      </c>
    </row>
    <row r="564" spans="1:62" x14ac:dyDescent="0.35">
      <c r="A564" s="403">
        <v>6</v>
      </c>
      <c r="B564" s="608">
        <v>605.29999999999995</v>
      </c>
      <c r="C564" s="604"/>
      <c r="D564" s="604"/>
      <c r="E564" s="604" t="s">
        <v>272</v>
      </c>
      <c r="F564" s="604" t="s">
        <v>420</v>
      </c>
      <c r="G564" s="403" t="str">
        <f t="shared" si="162"/>
        <v>P</v>
      </c>
      <c r="H564" s="403" t="s">
        <v>4323</v>
      </c>
      <c r="I564" s="32"/>
      <c r="J564" s="4"/>
      <c r="K564" s="164" t="s">
        <v>420</v>
      </c>
      <c r="L564" s="151" t="s">
        <v>3271</v>
      </c>
      <c r="M564" s="43"/>
      <c r="N564" s="44"/>
      <c r="O564" s="44"/>
      <c r="P564" t="b">
        <v>1</v>
      </c>
      <c r="Q564" t="b">
        <v>1</v>
      </c>
      <c r="R564" t="b">
        <v>0</v>
      </c>
      <c r="S564" t="b">
        <v>1</v>
      </c>
      <c r="T564" t="b">
        <v>0</v>
      </c>
      <c r="W564" s="17"/>
      <c r="X564" s="688"/>
      <c r="Y564" s="891"/>
      <c r="Z564" s="892"/>
      <c r="AP564" t="str">
        <f t="shared" si="164"/>
        <v>vch605_3_2_d</v>
      </c>
      <c r="AQ564">
        <f t="shared" si="165"/>
        <v>0</v>
      </c>
      <c r="BJ564" s="573" t="s">
        <v>4670</v>
      </c>
    </row>
    <row r="565" spans="1:62" x14ac:dyDescent="0.35">
      <c r="A565" s="403">
        <v>6</v>
      </c>
      <c r="B565" s="608">
        <v>605.29999999999995</v>
      </c>
      <c r="C565" s="604"/>
      <c r="D565" s="604"/>
      <c r="E565" s="604" t="s">
        <v>272</v>
      </c>
      <c r="F565" s="604" t="s">
        <v>575</v>
      </c>
      <c r="G565" s="403" t="str">
        <f t="shared" si="162"/>
        <v>P</v>
      </c>
      <c r="H565" s="403" t="s">
        <v>4323</v>
      </c>
      <c r="I565" s="32"/>
      <c r="J565" s="4"/>
      <c r="K565" s="158" t="s">
        <v>575</v>
      </c>
      <c r="L565" s="151" t="s">
        <v>3272</v>
      </c>
      <c r="M565" s="43"/>
      <c r="N565" s="44"/>
      <c r="O565" s="44"/>
      <c r="P565" t="b">
        <v>1</v>
      </c>
      <c r="Q565" t="b">
        <v>1</v>
      </c>
      <c r="R565" t="b">
        <v>0</v>
      </c>
      <c r="S565" t="b">
        <v>1</v>
      </c>
      <c r="T565" t="b">
        <v>0</v>
      </c>
      <c r="W565" s="17"/>
      <c r="X565" s="688"/>
      <c r="Y565" s="891"/>
      <c r="Z565" s="892"/>
      <c r="AP565" t="str">
        <f t="shared" si="164"/>
        <v>vch605_3_2_e</v>
      </c>
      <c r="AQ565">
        <f t="shared" si="165"/>
        <v>0</v>
      </c>
      <c r="BJ565" s="573" t="s">
        <v>4670</v>
      </c>
    </row>
    <row r="566" spans="1:62" x14ac:dyDescent="0.35">
      <c r="A566" s="403">
        <v>6</v>
      </c>
      <c r="B566" s="608">
        <v>605.29999999999995</v>
      </c>
      <c r="C566" s="604"/>
      <c r="D566" s="604"/>
      <c r="E566" s="604" t="s">
        <v>272</v>
      </c>
      <c r="F566" s="604" t="s">
        <v>642</v>
      </c>
      <c r="G566" s="403" t="str">
        <f t="shared" si="162"/>
        <v>P</v>
      </c>
      <c r="H566" s="403" t="s">
        <v>4323</v>
      </c>
      <c r="I566" s="32"/>
      <c r="J566" s="4"/>
      <c r="K566" s="158" t="s">
        <v>642</v>
      </c>
      <c r="L566" s="151" t="s">
        <v>3273</v>
      </c>
      <c r="M566" s="43"/>
      <c r="N566" s="44"/>
      <c r="O566" s="44"/>
      <c r="P566" t="b">
        <v>1</v>
      </c>
      <c r="Q566" t="b">
        <v>1</v>
      </c>
      <c r="R566" t="b">
        <v>0</v>
      </c>
      <c r="S566" t="b">
        <v>1</v>
      </c>
      <c r="T566" t="b">
        <v>0</v>
      </c>
      <c r="W566" s="17"/>
      <c r="X566" s="688"/>
      <c r="Y566" s="891"/>
      <c r="Z566" s="892"/>
      <c r="AP566" t="str">
        <f t="shared" si="164"/>
        <v>vch605_3_2_f</v>
      </c>
      <c r="AQ566">
        <f t="shared" si="165"/>
        <v>0</v>
      </c>
      <c r="BJ566" s="573" t="s">
        <v>4670</v>
      </c>
    </row>
    <row r="567" spans="1:62" x14ac:dyDescent="0.35">
      <c r="A567" s="403">
        <v>6</v>
      </c>
      <c r="B567" s="608">
        <v>605.29999999999995</v>
      </c>
      <c r="C567" s="604"/>
      <c r="D567" s="604"/>
      <c r="E567" s="604" t="s">
        <v>272</v>
      </c>
      <c r="F567" s="604" t="s">
        <v>644</v>
      </c>
      <c r="G567" s="403" t="str">
        <f t="shared" si="162"/>
        <v>P</v>
      </c>
      <c r="H567" s="403" t="s">
        <v>4323</v>
      </c>
      <c r="I567" s="32"/>
      <c r="J567" s="4"/>
      <c r="K567" s="163" t="s">
        <v>644</v>
      </c>
      <c r="L567" s="151" t="s">
        <v>3274</v>
      </c>
      <c r="M567" s="43"/>
      <c r="N567" s="44"/>
      <c r="O567" s="44"/>
      <c r="P567" t="b">
        <v>1</v>
      </c>
      <c r="Q567" t="b">
        <v>1</v>
      </c>
      <c r="R567" t="b">
        <v>0</v>
      </c>
      <c r="S567" t="b">
        <v>1</v>
      </c>
      <c r="T567" t="b">
        <v>0</v>
      </c>
      <c r="W567" s="17"/>
      <c r="X567" s="688"/>
      <c r="Y567" s="891"/>
      <c r="Z567" s="892"/>
      <c r="AP567" t="str">
        <f t="shared" si="164"/>
        <v>vch605_3_2_g</v>
      </c>
      <c r="AQ567">
        <f t="shared" si="165"/>
        <v>0</v>
      </c>
      <c r="BJ567" s="573" t="s">
        <v>4670</v>
      </c>
    </row>
    <row r="568" spans="1:62" x14ac:dyDescent="0.35">
      <c r="A568" s="403">
        <v>6</v>
      </c>
      <c r="B568" s="608">
        <v>605.29999999999995</v>
      </c>
      <c r="C568" s="604"/>
      <c r="D568" s="604"/>
      <c r="E568" s="604" t="s">
        <v>272</v>
      </c>
      <c r="F568" s="604" t="s">
        <v>646</v>
      </c>
      <c r="G568" s="403" t="str">
        <f t="shared" si="162"/>
        <v>P</v>
      </c>
      <c r="H568" s="403" t="s">
        <v>4323</v>
      </c>
      <c r="I568" s="32"/>
      <c r="K568" s="164" t="s">
        <v>646</v>
      </c>
      <c r="L568" s="151" t="s">
        <v>3275</v>
      </c>
      <c r="N568" s="44"/>
      <c r="O568" s="44"/>
      <c r="P568" t="b">
        <v>1</v>
      </c>
      <c r="Q568" t="b">
        <v>1</v>
      </c>
      <c r="R568" t="b">
        <v>0</v>
      </c>
      <c r="S568" t="b">
        <v>1</v>
      </c>
      <c r="T568" t="b">
        <v>0</v>
      </c>
      <c r="W568" s="17"/>
      <c r="X568" s="39"/>
      <c r="Y568" s="200" t="str">
        <f>IF(LEN('Ch6'!X313)=0,"None",'Ch6'!X313)</f>
        <v>None</v>
      </c>
      <c r="Z568" s="563"/>
      <c r="AC568" t="b">
        <f>OR(AD568:AE568)</f>
        <v>0</v>
      </c>
      <c r="AD568" t="b">
        <f>T568</f>
        <v>0</v>
      </c>
      <c r="AE568" t="b">
        <f>AND(W568=TRUE,LEN(X568)=0)</f>
        <v>0</v>
      </c>
      <c r="AF568" t="b">
        <f>AND(AE568,NOT(Q568))</f>
        <v>0</v>
      </c>
      <c r="AP568" t="str">
        <f t="shared" si="164"/>
        <v>vch605_3_2_h</v>
      </c>
      <c r="AQ568">
        <f t="shared" si="165"/>
        <v>0</v>
      </c>
      <c r="AR568" t="str">
        <f t="shared" ref="AR568:AR569" si="166">SUBSTITUTE(SUBSTITUTE(SUBSTITUTE("vnt"&amp;$B568&amp;$C568&amp;$D568&amp;$E568&amp;$F568,".","_"),"(","_"),")","")</f>
        <v>vnt605_3_2_h</v>
      </c>
      <c r="AS568">
        <f>X568</f>
        <v>0</v>
      </c>
      <c r="BJ568" s="573" t="s">
        <v>4670</v>
      </c>
    </row>
    <row r="569" spans="1:62" x14ac:dyDescent="0.35">
      <c r="A569" s="403">
        <v>6</v>
      </c>
      <c r="B569" s="608">
        <v>605.29999999999995</v>
      </c>
      <c r="C569" s="604"/>
      <c r="D569" s="604"/>
      <c r="E569" s="604" t="s">
        <v>272</v>
      </c>
      <c r="F569" s="604" t="s">
        <v>982</v>
      </c>
      <c r="G569" s="403" t="str">
        <f t="shared" si="162"/>
        <v>P</v>
      </c>
      <c r="H569" s="403" t="s">
        <v>4323</v>
      </c>
      <c r="I569" s="32"/>
      <c r="K569" s="48" t="s">
        <v>982</v>
      </c>
      <c r="L569" s="46" t="s">
        <v>3275</v>
      </c>
      <c r="N569" s="44"/>
      <c r="O569" s="44"/>
      <c r="P569" t="b">
        <v>1</v>
      </c>
      <c r="Q569" t="b">
        <v>1</v>
      </c>
      <c r="R569" t="b">
        <v>0</v>
      </c>
      <c r="S569" t="b">
        <v>1</v>
      </c>
      <c r="T569" t="b">
        <v>0</v>
      </c>
      <c r="W569" s="17"/>
      <c r="X569" s="39"/>
      <c r="Y569" s="200" t="str">
        <f>IF(LEN('Ch6'!X314)=0,"None",'Ch6'!X314)</f>
        <v>None</v>
      </c>
      <c r="Z569" s="563"/>
      <c r="AC569" t="b">
        <f>OR(AD569:AE569)</f>
        <v>0</v>
      </c>
      <c r="AD569" t="b">
        <f>T569</f>
        <v>0</v>
      </c>
      <c r="AE569" t="b">
        <f>AND(W569=TRUE,LEN(X569)=0)</f>
        <v>0</v>
      </c>
      <c r="AF569" t="b">
        <f>AND(AE569,NOT(Q569))</f>
        <v>0</v>
      </c>
      <c r="AP569" t="str">
        <f t="shared" si="164"/>
        <v>vch605_3_2_i</v>
      </c>
      <c r="AQ569">
        <f t="shared" si="165"/>
        <v>0</v>
      </c>
      <c r="AR569" t="str">
        <f t="shared" si="166"/>
        <v>vnt605_3_2_i</v>
      </c>
      <c r="AS569">
        <f>X569</f>
        <v>0</v>
      </c>
      <c r="BJ569" s="573" t="s">
        <v>4670</v>
      </c>
    </row>
    <row r="570" spans="1:62" x14ac:dyDescent="0.35">
      <c r="A570" s="403">
        <v>6</v>
      </c>
      <c r="B570" s="608">
        <v>605.29999999999995</v>
      </c>
      <c r="C570" s="604"/>
      <c r="D570" s="604"/>
      <c r="E570" s="604"/>
      <c r="F570" s="604"/>
      <c r="G570" s="403" t="str">
        <f t="shared" si="162"/>
        <v>P</v>
      </c>
      <c r="H570" s="403" t="s">
        <v>4323</v>
      </c>
      <c r="I570" s="32"/>
      <c r="K570" s="48"/>
      <c r="L570" s="105" t="s">
        <v>3276</v>
      </c>
      <c r="N570" s="44"/>
      <c r="O570" s="44"/>
      <c r="Z570" s="543"/>
      <c r="BJ570" s="573" t="s">
        <v>4670</v>
      </c>
    </row>
    <row r="571" spans="1:62" ht="18.5" x14ac:dyDescent="0.45">
      <c r="A571" s="403">
        <v>6</v>
      </c>
      <c r="B571" s="608">
        <v>606</v>
      </c>
      <c r="C571" s="604"/>
      <c r="D571" s="604"/>
      <c r="E571" s="604"/>
      <c r="F571" s="604"/>
      <c r="G571" s="403" t="s">
        <v>4326</v>
      </c>
      <c r="H571" s="403" t="s">
        <v>4323</v>
      </c>
      <c r="I571" s="10" t="s">
        <v>712</v>
      </c>
      <c r="J571" s="15"/>
      <c r="K571" s="45"/>
      <c r="L571" s="42"/>
      <c r="M571" s="37"/>
      <c r="N571" s="37"/>
      <c r="O571" s="37"/>
      <c r="P571" s="15"/>
      <c r="Q571" s="15"/>
      <c r="R571" s="15"/>
      <c r="S571" s="15"/>
      <c r="T571" s="15"/>
      <c r="U571" s="15"/>
      <c r="V571" s="15"/>
      <c r="W571" s="15"/>
      <c r="X571" s="15"/>
      <c r="Y571" s="15"/>
      <c r="Z571" s="562"/>
      <c r="BJ571" s="573" t="s">
        <v>4670</v>
      </c>
    </row>
    <row r="572" spans="1:62" ht="15" thickBot="1" x14ac:dyDescent="0.4">
      <c r="A572" s="403">
        <v>6</v>
      </c>
      <c r="B572" s="608" t="s">
        <v>4353</v>
      </c>
      <c r="C572" s="604"/>
      <c r="D572" s="604"/>
      <c r="E572" s="604"/>
      <c r="F572" s="604"/>
      <c r="I572" s="41" t="s">
        <v>4353</v>
      </c>
      <c r="J572" s="4"/>
      <c r="K572" s="46"/>
      <c r="L572" s="48" t="s">
        <v>713</v>
      </c>
      <c r="M572" s="43"/>
      <c r="N572" s="44"/>
      <c r="O572" s="44"/>
      <c r="Y572" s="58"/>
      <c r="Z572" s="566"/>
      <c r="BJ572" s="573" t="s">
        <v>4670</v>
      </c>
    </row>
    <row r="573" spans="1:62" ht="15" thickTop="1" x14ac:dyDescent="0.35">
      <c r="A573" s="403">
        <v>6</v>
      </c>
      <c r="B573" s="608">
        <v>606.1</v>
      </c>
      <c r="C573" s="604"/>
      <c r="D573" s="604"/>
      <c r="E573" s="604"/>
      <c r="F573" s="604"/>
      <c r="G573" s="403" t="str">
        <f ca="1">IF(N573&gt;0,"P","")</f>
        <v/>
      </c>
      <c r="H573" s="403" t="s">
        <v>4323</v>
      </c>
      <c r="I573" s="123">
        <v>606.1</v>
      </c>
      <c r="J573" s="124"/>
      <c r="K573" s="125"/>
      <c r="L573" s="81" t="s">
        <v>714</v>
      </c>
      <c r="M573" s="199"/>
      <c r="N573" s="940">
        <f ca="1">'Ch6'!O318</f>
        <v>0</v>
      </c>
      <c r="O573" s="940">
        <f ca="1">MIN(8,IF(R586&gt;1,6+R586+R584-2,IF(R586+R584&gt;1,3+MIN(2,R584+R586-2),0)))</f>
        <v>0</v>
      </c>
      <c r="P573" s="62"/>
      <c r="Q573" s="62"/>
      <c r="R573" s="62"/>
      <c r="S573" s="62"/>
      <c r="T573" s="62"/>
      <c r="U573" s="62"/>
      <c r="V573" s="62"/>
      <c r="W573" s="62"/>
      <c r="X573" s="62"/>
      <c r="Z573" s="543"/>
      <c r="AN573" t="str">
        <f>SUBSTITUTE(SUBSTITUTE(SUBSTITUTE("vpc"&amp;$B573&amp;$C573&amp;$D573&amp;$E573&amp;$F573,".","_"),"(","_"),")","")</f>
        <v>vpc606_1</v>
      </c>
      <c r="AO573">
        <f ca="1">O573</f>
        <v>0</v>
      </c>
      <c r="BJ573" s="573" t="s">
        <v>4670</v>
      </c>
    </row>
    <row r="574" spans="1:62" x14ac:dyDescent="0.35">
      <c r="A574" s="403">
        <v>6</v>
      </c>
      <c r="B574" s="608">
        <v>606.1</v>
      </c>
      <c r="C574" s="604"/>
      <c r="D574" s="604"/>
      <c r="E574" s="604"/>
      <c r="F574" s="604" t="s">
        <v>121</v>
      </c>
      <c r="G574" s="403" t="str">
        <f t="shared" ref="G574:G589" ca="1" si="167">G573</f>
        <v/>
      </c>
      <c r="H574" s="605" t="s">
        <v>4323</v>
      </c>
      <c r="I574" s="32"/>
      <c r="J574" s="4"/>
      <c r="K574" s="50" t="s">
        <v>121</v>
      </c>
      <c r="L574" s="46" t="s">
        <v>715</v>
      </c>
      <c r="M574" s="43"/>
      <c r="N574" s="834"/>
      <c r="O574" s="834"/>
      <c r="P574" t="b">
        <v>1</v>
      </c>
      <c r="Q574" t="b">
        <v>1</v>
      </c>
      <c r="R574" t="b">
        <v>0</v>
      </c>
      <c r="S574" t="b">
        <f>OR(NOT(ISBLANK(W601)),NOT(ISBLANK(W602)),NOT(ISBLANK(W604)),NOT(ISBLANK(W605)))</f>
        <v>1</v>
      </c>
      <c r="T574" t="b">
        <f>IF(AND(NOT(S574),LEN(W574)&gt;0),TRUE,FALSE)</f>
        <v>0</v>
      </c>
      <c r="U574" t="str">
        <f t="shared" ref="U574:U581" si="168">SUBSTITUTE(SUBSTITUTE(SUBSTITUTE("dd"&amp;B574&amp;C574&amp;D574&amp;E574&amp;F574,".","_"),"(","_"),")","")</f>
        <v>dd606_1_a</v>
      </c>
      <c r="W574" s="9"/>
      <c r="X574" s="688"/>
      <c r="Y574" s="891" t="str">
        <f>IF(LEN('Ch6'!X319)=0,"None",'Ch6'!X319)</f>
        <v>None</v>
      </c>
      <c r="Z574" s="892"/>
      <c r="AC574" t="b">
        <f>OR(AD574:AE574)</f>
        <v>0</v>
      </c>
      <c r="AD574" t="b">
        <f>T574</f>
        <v>0</v>
      </c>
      <c r="AP574" t="str">
        <f t="shared" ref="AP574:AP581" si="169">SUBSTITUTE(SUBSTITUTE(SUBSTITUTE("vch"&amp;$B574&amp;$C574&amp;$D574&amp;$E574&amp;$F574,".","_"),"(","_"),")","")</f>
        <v>vch606_1_a</v>
      </c>
      <c r="AQ574">
        <f t="shared" ref="AQ574:AQ581" si="170">W574</f>
        <v>0</v>
      </c>
      <c r="AR574" t="str">
        <f>SUBSTITUTE(SUBSTITUTE(SUBSTITUTE("vnt"&amp;$B574&amp;$C574&amp;$D574&amp;$E574&amp;$F574,".","_"),"(","_"),")","")</f>
        <v>vnt606_1_a</v>
      </c>
      <c r="AS574">
        <f>X574</f>
        <v>0</v>
      </c>
      <c r="BJ574" s="573" t="s">
        <v>4670</v>
      </c>
    </row>
    <row r="575" spans="1:62" x14ac:dyDescent="0.35">
      <c r="A575" s="403">
        <v>6</v>
      </c>
      <c r="B575" s="608">
        <v>606.1</v>
      </c>
      <c r="C575" s="604"/>
      <c r="D575" s="604"/>
      <c r="E575" s="604"/>
      <c r="F575" s="604" t="s">
        <v>122</v>
      </c>
      <c r="G575" s="403" t="str">
        <f t="shared" ca="1" si="167"/>
        <v/>
      </c>
      <c r="H575" s="605" t="s">
        <v>4323</v>
      </c>
      <c r="I575" s="32"/>
      <c r="J575" s="4"/>
      <c r="K575" s="50" t="s">
        <v>122</v>
      </c>
      <c r="L575" s="46" t="s">
        <v>716</v>
      </c>
      <c r="M575" s="43"/>
      <c r="N575" s="834"/>
      <c r="O575" s="834"/>
      <c r="P575" t="b">
        <v>1</v>
      </c>
      <c r="Q575" t="b">
        <v>1</v>
      </c>
      <c r="R575" t="b">
        <v>0</v>
      </c>
      <c r="S575" t="b">
        <v>1</v>
      </c>
      <c r="T575" t="b">
        <v>0</v>
      </c>
      <c r="U575" t="str">
        <f t="shared" si="168"/>
        <v>dd606_1_b</v>
      </c>
      <c r="W575" s="9"/>
      <c r="X575" s="688"/>
      <c r="Y575" s="891"/>
      <c r="Z575" s="892"/>
      <c r="AP575" t="str">
        <f t="shared" si="169"/>
        <v>vch606_1_b</v>
      </c>
      <c r="AQ575">
        <f t="shared" si="170"/>
        <v>0</v>
      </c>
      <c r="BJ575" s="573" t="s">
        <v>4670</v>
      </c>
    </row>
    <row r="576" spans="1:62" x14ac:dyDescent="0.35">
      <c r="A576" s="403">
        <v>6</v>
      </c>
      <c r="B576" s="608">
        <v>606.1</v>
      </c>
      <c r="C576" s="604"/>
      <c r="D576" s="604"/>
      <c r="E576" s="604"/>
      <c r="F576" s="606" t="s">
        <v>123</v>
      </c>
      <c r="G576" s="403" t="str">
        <f t="shared" ca="1" si="167"/>
        <v/>
      </c>
      <c r="H576" s="607" t="s">
        <v>4323</v>
      </c>
      <c r="I576" s="32"/>
      <c r="J576" s="4"/>
      <c r="K576" s="52" t="s">
        <v>123</v>
      </c>
      <c r="L576" s="46" t="s">
        <v>717</v>
      </c>
      <c r="M576" s="43"/>
      <c r="N576" s="834"/>
      <c r="O576" s="834"/>
      <c r="P576" t="b">
        <v>1</v>
      </c>
      <c r="Q576" t="b">
        <v>1</v>
      </c>
      <c r="R576" t="b">
        <v>0</v>
      </c>
      <c r="S576" t="b">
        <v>1</v>
      </c>
      <c r="T576" t="b">
        <v>0</v>
      </c>
      <c r="U576" t="str">
        <f t="shared" si="168"/>
        <v>dd606_1_c</v>
      </c>
      <c r="W576" s="9"/>
      <c r="X576" s="688"/>
      <c r="Y576" s="891"/>
      <c r="Z576" s="892"/>
      <c r="AP576" t="str">
        <f t="shared" si="169"/>
        <v>vch606_1_c</v>
      </c>
      <c r="AQ576">
        <f t="shared" si="170"/>
        <v>0</v>
      </c>
      <c r="BJ576" s="573" t="s">
        <v>4670</v>
      </c>
    </row>
    <row r="577" spans="1:62" x14ac:dyDescent="0.35">
      <c r="A577" s="403">
        <v>6</v>
      </c>
      <c r="B577" s="608">
        <v>606.1</v>
      </c>
      <c r="C577" s="604"/>
      <c r="D577" s="604"/>
      <c r="E577" s="604"/>
      <c r="F577" s="604" t="s">
        <v>420</v>
      </c>
      <c r="G577" s="403" t="str">
        <f t="shared" ca="1" si="167"/>
        <v/>
      </c>
      <c r="H577" s="403" t="s">
        <v>4323</v>
      </c>
      <c r="I577" s="32"/>
      <c r="J577" s="4"/>
      <c r="K577" s="48" t="s">
        <v>420</v>
      </c>
      <c r="L577" s="46" t="s">
        <v>718</v>
      </c>
      <c r="M577" s="43"/>
      <c r="N577" s="834"/>
      <c r="O577" s="834"/>
      <c r="P577" t="b">
        <v>1</v>
      </c>
      <c r="Q577" t="b">
        <v>1</v>
      </c>
      <c r="R577" t="b">
        <v>0</v>
      </c>
      <c r="S577" t="b">
        <v>1</v>
      </c>
      <c r="T577" t="b">
        <v>0</v>
      </c>
      <c r="U577" t="str">
        <f t="shared" si="168"/>
        <v>dd606_1_d</v>
      </c>
      <c r="W577" s="9"/>
      <c r="X577" s="688"/>
      <c r="Y577" s="891"/>
      <c r="Z577" s="892"/>
      <c r="AP577" t="str">
        <f t="shared" si="169"/>
        <v>vch606_1_d</v>
      </c>
      <c r="AQ577">
        <f t="shared" si="170"/>
        <v>0</v>
      </c>
      <c r="BJ577" s="573" t="s">
        <v>4670</v>
      </c>
    </row>
    <row r="578" spans="1:62" x14ac:dyDescent="0.35">
      <c r="A578" s="403">
        <v>6</v>
      </c>
      <c r="B578" s="608">
        <v>606.1</v>
      </c>
      <c r="C578" s="604"/>
      <c r="D578" s="604"/>
      <c r="E578" s="604"/>
      <c r="F578" s="604" t="s">
        <v>575</v>
      </c>
      <c r="G578" s="403" t="str">
        <f t="shared" ca="1" si="167"/>
        <v/>
      </c>
      <c r="H578" s="605" t="s">
        <v>4323</v>
      </c>
      <c r="I578" s="32"/>
      <c r="J578" s="4"/>
      <c r="K578" s="50" t="s">
        <v>575</v>
      </c>
      <c r="L578" s="46" t="s">
        <v>719</v>
      </c>
      <c r="M578" s="43"/>
      <c r="N578" s="834"/>
      <c r="O578" s="834"/>
      <c r="P578" t="b">
        <v>1</v>
      </c>
      <c r="Q578" t="b">
        <v>1</v>
      </c>
      <c r="R578" t="b">
        <v>0</v>
      </c>
      <c r="S578" t="b">
        <v>1</v>
      </c>
      <c r="T578" t="b">
        <v>0</v>
      </c>
      <c r="U578" t="str">
        <f t="shared" si="168"/>
        <v>dd606_1_e</v>
      </c>
      <c r="W578" s="9"/>
      <c r="X578" s="688"/>
      <c r="Y578" s="891"/>
      <c r="Z578" s="892"/>
      <c r="AP578" t="str">
        <f t="shared" si="169"/>
        <v>vch606_1_e</v>
      </c>
      <c r="AQ578">
        <f t="shared" si="170"/>
        <v>0</v>
      </c>
      <c r="BJ578" s="573" t="s">
        <v>4670</v>
      </c>
    </row>
    <row r="579" spans="1:62" x14ac:dyDescent="0.35">
      <c r="A579" s="403">
        <v>6</v>
      </c>
      <c r="B579" s="608">
        <v>606.1</v>
      </c>
      <c r="C579" s="604"/>
      <c r="D579" s="604"/>
      <c r="E579" s="604"/>
      <c r="F579" s="604" t="s">
        <v>642</v>
      </c>
      <c r="G579" s="403" t="str">
        <f t="shared" ca="1" si="167"/>
        <v/>
      </c>
      <c r="H579" s="605" t="s">
        <v>4323</v>
      </c>
      <c r="I579" s="32"/>
      <c r="J579" s="4"/>
      <c r="K579" s="50" t="s">
        <v>642</v>
      </c>
      <c r="L579" s="46" t="s">
        <v>720</v>
      </c>
      <c r="M579" s="43"/>
      <c r="N579" s="834"/>
      <c r="O579" s="834"/>
      <c r="P579" t="b">
        <v>1</v>
      </c>
      <c r="Q579" t="b">
        <v>1</v>
      </c>
      <c r="R579" t="b">
        <v>0</v>
      </c>
      <c r="S579" t="b">
        <v>1</v>
      </c>
      <c r="T579" t="b">
        <v>0</v>
      </c>
      <c r="U579" t="str">
        <f t="shared" si="168"/>
        <v>dd606_1_f</v>
      </c>
      <c r="W579" s="9"/>
      <c r="X579" s="688"/>
      <c r="Y579" s="891"/>
      <c r="Z579" s="892"/>
      <c r="AP579" t="str">
        <f t="shared" si="169"/>
        <v>vch606_1_f</v>
      </c>
      <c r="AQ579">
        <f t="shared" si="170"/>
        <v>0</v>
      </c>
      <c r="BJ579" s="573" t="s">
        <v>4670</v>
      </c>
    </row>
    <row r="580" spans="1:62" x14ac:dyDescent="0.35">
      <c r="A580" s="403">
        <v>6</v>
      </c>
      <c r="B580" s="608">
        <v>606.1</v>
      </c>
      <c r="C580" s="604"/>
      <c r="D580" s="604"/>
      <c r="E580" s="604"/>
      <c r="F580" s="606" t="s">
        <v>644</v>
      </c>
      <c r="G580" s="403" t="str">
        <f t="shared" ca="1" si="167"/>
        <v/>
      </c>
      <c r="H580" s="607" t="s">
        <v>4323</v>
      </c>
      <c r="I580" s="32"/>
      <c r="J580" s="4"/>
      <c r="K580" s="52" t="s">
        <v>644</v>
      </c>
      <c r="L580" s="46" t="s">
        <v>721</v>
      </c>
      <c r="M580" s="43"/>
      <c r="N580" s="834"/>
      <c r="O580" s="834"/>
      <c r="P580" t="b">
        <v>1</v>
      </c>
      <c r="Q580" t="b">
        <v>1</v>
      </c>
      <c r="R580" t="b">
        <v>0</v>
      </c>
      <c r="S580" t="b">
        <v>1</v>
      </c>
      <c r="T580" t="b">
        <v>0</v>
      </c>
      <c r="U580" t="str">
        <f t="shared" si="168"/>
        <v>dd606_1_g</v>
      </c>
      <c r="W580" s="9"/>
      <c r="X580" s="688"/>
      <c r="Y580" s="891"/>
      <c r="Z580" s="892"/>
      <c r="AP580" t="str">
        <f t="shared" si="169"/>
        <v>vch606_1_g</v>
      </c>
      <c r="AQ580">
        <f t="shared" si="170"/>
        <v>0</v>
      </c>
      <c r="BJ580" s="573" t="s">
        <v>4670</v>
      </c>
    </row>
    <row r="581" spans="1:62" x14ac:dyDescent="0.35">
      <c r="A581" s="403">
        <v>6</v>
      </c>
      <c r="B581" s="608">
        <v>606.1</v>
      </c>
      <c r="C581" s="604"/>
      <c r="D581" s="604"/>
      <c r="E581" s="604"/>
      <c r="F581" s="604" t="s">
        <v>646</v>
      </c>
      <c r="G581" s="403" t="str">
        <f t="shared" ca="1" si="167"/>
        <v/>
      </c>
      <c r="H581" s="403" t="s">
        <v>4323</v>
      </c>
      <c r="I581" s="32"/>
      <c r="J581" s="4"/>
      <c r="K581" s="48" t="s">
        <v>646</v>
      </c>
      <c r="L581" s="707" t="s">
        <v>722</v>
      </c>
      <c r="M581" s="43"/>
      <c r="N581" s="834"/>
      <c r="O581" s="834"/>
      <c r="P581" t="b">
        <v>1</v>
      </c>
      <c r="Q581" t="b">
        <v>1</v>
      </c>
      <c r="R581" t="b">
        <v>0</v>
      </c>
      <c r="S581" t="b">
        <v>1</v>
      </c>
      <c r="T581" t="b">
        <v>0</v>
      </c>
      <c r="U581" t="str">
        <f t="shared" si="168"/>
        <v>dd606_1_h</v>
      </c>
      <c r="W581" s="9"/>
      <c r="X581" s="688"/>
      <c r="Y581" s="891"/>
      <c r="Z581" s="892"/>
      <c r="AC581" t="b">
        <f>OR(AD581:AE581)</f>
        <v>0</v>
      </c>
      <c r="AD581" t="b">
        <f>T581</f>
        <v>0</v>
      </c>
      <c r="AE581" t="b">
        <f>AND(NOT(ISBLANK(W581)),LEN(X574)=0)</f>
        <v>0</v>
      </c>
      <c r="AF581" t="b">
        <f>AND(AE581,NOT(Q581))</f>
        <v>0</v>
      </c>
      <c r="AP581" t="str">
        <f t="shared" si="169"/>
        <v>vch606_1_h</v>
      </c>
      <c r="AQ581">
        <f t="shared" si="170"/>
        <v>0</v>
      </c>
      <c r="BJ581" s="573" t="s">
        <v>4670</v>
      </c>
    </row>
    <row r="582" spans="1:62" x14ac:dyDescent="0.35">
      <c r="A582" s="403">
        <v>6</v>
      </c>
      <c r="B582" s="608">
        <v>606.1</v>
      </c>
      <c r="C582" s="604"/>
      <c r="D582" s="604"/>
      <c r="E582" s="604"/>
      <c r="F582" s="604" t="s">
        <v>646</v>
      </c>
      <c r="G582" s="403" t="str">
        <f t="shared" ca="1" si="167"/>
        <v/>
      </c>
      <c r="H582" s="605" t="s">
        <v>4323</v>
      </c>
      <c r="I582" s="32"/>
      <c r="J582" s="4"/>
      <c r="K582" s="48"/>
      <c r="L582" s="707"/>
      <c r="M582" s="43"/>
      <c r="N582" s="834"/>
      <c r="O582" s="834"/>
      <c r="X582" s="688"/>
      <c r="Y582" s="891"/>
      <c r="Z582" s="892"/>
      <c r="BJ582" s="573" t="s">
        <v>4670</v>
      </c>
    </row>
    <row r="583" spans="1:62" x14ac:dyDescent="0.35">
      <c r="A583" s="403">
        <v>6</v>
      </c>
      <c r="B583" s="608">
        <v>606.1</v>
      </c>
      <c r="C583" s="604"/>
      <c r="D583" s="604"/>
      <c r="E583" s="604"/>
      <c r="F583" s="604"/>
      <c r="G583" s="403" t="str">
        <f t="shared" ca="1" si="167"/>
        <v/>
      </c>
      <c r="H583" s="605" t="s">
        <v>4323</v>
      </c>
      <c r="I583" s="32"/>
      <c r="J583" s="4"/>
      <c r="K583" s="48"/>
      <c r="L583" s="105" t="s">
        <v>1302</v>
      </c>
      <c r="M583" s="43"/>
      <c r="N583" s="44"/>
      <c r="O583" s="44"/>
      <c r="X583" s="688"/>
      <c r="Y583" s="891"/>
      <c r="Z583" s="892"/>
      <c r="BJ583" s="573" t="s">
        <v>4670</v>
      </c>
    </row>
    <row r="584" spans="1:62" x14ac:dyDescent="0.35">
      <c r="A584" s="403">
        <v>6</v>
      </c>
      <c r="B584" s="608">
        <v>606.1</v>
      </c>
      <c r="C584" s="604"/>
      <c r="D584" s="604"/>
      <c r="E584" s="604" t="s">
        <v>270</v>
      </c>
      <c r="F584" s="604"/>
      <c r="G584" s="403" t="str">
        <f t="shared" ca="1" si="167"/>
        <v/>
      </c>
      <c r="H584" s="403" t="s">
        <v>4323</v>
      </c>
      <c r="I584" s="32"/>
      <c r="J584" s="19" t="s">
        <v>270</v>
      </c>
      <c r="K584" s="46"/>
      <c r="L584" s="707" t="s">
        <v>723</v>
      </c>
      <c r="M584" s="690">
        <v>3</v>
      </c>
      <c r="N584" s="44"/>
      <c r="O584" s="44"/>
      <c r="R584" s="1">
        <f ca="1">COUNTIF(W575:W581,INDEX(INDIRECT(U574),1))+IF(AND(S574,W574=INDEX(INDIRECT(U574),1)),1,0)</f>
        <v>0</v>
      </c>
      <c r="X584" s="688"/>
      <c r="Y584" s="891"/>
      <c r="Z584" s="892"/>
      <c r="AL584" t="str">
        <f t="shared" ref="AL584" si="171">SUBSTITUTE(SUBSTITUTE(SUBSTITUTE("vpa"&amp;$B584&amp;$C584&amp;$D584&amp;$E584&amp;$F584,".","_"),"(","_"),")","")</f>
        <v>vpa606_1_1</v>
      </c>
      <c r="AM584">
        <f>M584</f>
        <v>3</v>
      </c>
      <c r="BJ584" s="573" t="s">
        <v>4670</v>
      </c>
    </row>
    <row r="585" spans="1:62" x14ac:dyDescent="0.35">
      <c r="A585" s="403">
        <v>6</v>
      </c>
      <c r="B585" s="608">
        <v>606.1</v>
      </c>
      <c r="C585" s="604"/>
      <c r="D585" s="604"/>
      <c r="E585" s="604" t="s">
        <v>270</v>
      </c>
      <c r="F585" s="604"/>
      <c r="G585" s="403" t="str">
        <f t="shared" ca="1" si="167"/>
        <v/>
      </c>
      <c r="H585" s="403" t="s">
        <v>4323</v>
      </c>
      <c r="I585" s="32"/>
      <c r="J585" s="155"/>
      <c r="K585" s="116"/>
      <c r="L585" s="709"/>
      <c r="M585" s="691"/>
      <c r="N585" s="44"/>
      <c r="O585" s="44"/>
      <c r="X585" s="688"/>
      <c r="Y585" s="891"/>
      <c r="Z585" s="892"/>
      <c r="BJ585" s="573" t="s">
        <v>4670</v>
      </c>
    </row>
    <row r="586" spans="1:62" x14ac:dyDescent="0.35">
      <c r="A586" s="403">
        <v>6</v>
      </c>
      <c r="B586" s="608">
        <v>606.1</v>
      </c>
      <c r="C586" s="604"/>
      <c r="D586" s="604"/>
      <c r="E586" s="604" t="s">
        <v>272</v>
      </c>
      <c r="F586" s="604"/>
      <c r="G586" s="403" t="str">
        <f t="shared" ca="1" si="167"/>
        <v/>
      </c>
      <c r="H586" s="403" t="s">
        <v>4323</v>
      </c>
      <c r="I586" s="32"/>
      <c r="J586" s="154" t="s">
        <v>272</v>
      </c>
      <c r="K586" s="137"/>
      <c r="L586" s="742" t="s">
        <v>724</v>
      </c>
      <c r="M586" s="712">
        <v>6</v>
      </c>
      <c r="N586" s="44"/>
      <c r="O586" s="44"/>
      <c r="R586" s="1">
        <f ca="1">COUNTIF(W575:W581,INDEX(INDIRECT(U574),2))+IF(AND(S574,W574=INDEX(INDIRECT(U574),2)),1,0)</f>
        <v>0</v>
      </c>
      <c r="X586" s="688"/>
      <c r="Y586" s="891"/>
      <c r="Z586" s="892"/>
      <c r="AL586" t="str">
        <f t="shared" ref="AL586" si="172">SUBSTITUTE(SUBSTITUTE(SUBSTITUTE("vpa"&amp;$B586&amp;$C586&amp;$D586&amp;$E586&amp;$F586,".","_"),"(","_"),")","")</f>
        <v>vpa606_1_2</v>
      </c>
      <c r="AM586">
        <f>M586</f>
        <v>6</v>
      </c>
      <c r="BJ586" s="573" t="s">
        <v>4670</v>
      </c>
    </row>
    <row r="587" spans="1:62" x14ac:dyDescent="0.35">
      <c r="A587" s="403">
        <v>6</v>
      </c>
      <c r="B587" s="608">
        <v>606.1</v>
      </c>
      <c r="C587" s="604"/>
      <c r="D587" s="604"/>
      <c r="E587" s="604" t="s">
        <v>272</v>
      </c>
      <c r="F587" s="604"/>
      <c r="G587" s="403" t="str">
        <f t="shared" ca="1" si="167"/>
        <v/>
      </c>
      <c r="H587" s="403" t="s">
        <v>4323</v>
      </c>
      <c r="I587" s="32"/>
      <c r="J587" s="155"/>
      <c r="K587" s="116"/>
      <c r="L587" s="709"/>
      <c r="M587" s="691"/>
      <c r="N587" s="44"/>
      <c r="O587" s="44"/>
      <c r="X587" s="688"/>
      <c r="Y587" s="891"/>
      <c r="Z587" s="892"/>
      <c r="BJ587" s="573" t="s">
        <v>4670</v>
      </c>
    </row>
    <row r="588" spans="1:62" x14ac:dyDescent="0.35">
      <c r="A588" s="403">
        <v>6</v>
      </c>
      <c r="B588" s="608">
        <v>606.1</v>
      </c>
      <c r="C588" s="604"/>
      <c r="D588" s="604"/>
      <c r="E588" s="604" t="s">
        <v>274</v>
      </c>
      <c r="F588" s="604"/>
      <c r="G588" s="403" t="str">
        <f t="shared" ca="1" si="167"/>
        <v/>
      </c>
      <c r="H588" s="403" t="s">
        <v>4323</v>
      </c>
      <c r="I588" s="32"/>
      <c r="J588" s="19" t="s">
        <v>274</v>
      </c>
      <c r="K588" s="46"/>
      <c r="L588" s="707" t="s">
        <v>725</v>
      </c>
      <c r="M588" s="737" t="s">
        <v>3279</v>
      </c>
      <c r="N588" s="44"/>
      <c r="O588" s="44"/>
      <c r="X588" s="688"/>
      <c r="Y588" s="891"/>
      <c r="Z588" s="892"/>
      <c r="AL588" t="str">
        <f t="shared" ref="AL588" si="173">SUBSTITUTE(SUBSTITUTE(SUBSTITUTE("vpa"&amp;$B588&amp;$C588&amp;$D588&amp;$E588&amp;$F588,".","_"),"(","_"),")","")</f>
        <v>vpa606_1_3</v>
      </c>
      <c r="AM588" t="str">
        <f>M588</f>
        <v>1
2 Max</v>
      </c>
      <c r="BJ588" s="573" t="s">
        <v>4670</v>
      </c>
    </row>
    <row r="589" spans="1:62" ht="15" thickBot="1" x14ac:dyDescent="0.4">
      <c r="A589" s="403">
        <v>6</v>
      </c>
      <c r="B589" s="608">
        <v>606.1</v>
      </c>
      <c r="C589" s="604"/>
      <c r="D589" s="604"/>
      <c r="E589" s="604" t="s">
        <v>274</v>
      </c>
      <c r="F589" s="604"/>
      <c r="G589" s="403" t="str">
        <f t="shared" ca="1" si="167"/>
        <v/>
      </c>
      <c r="H589" s="403" t="s">
        <v>4323</v>
      </c>
      <c r="I589" s="32"/>
      <c r="J589" s="4"/>
      <c r="K589" s="46"/>
      <c r="L589" s="707"/>
      <c r="M589" s="737"/>
      <c r="N589" s="44"/>
      <c r="O589" s="44"/>
      <c r="X589" s="698"/>
      <c r="Y589" s="905"/>
      <c r="Z589" s="895"/>
      <c r="BJ589" s="573" t="s">
        <v>4670</v>
      </c>
    </row>
    <row r="590" spans="1:62" ht="15" thickTop="1" x14ac:dyDescent="0.35">
      <c r="A590" s="403">
        <v>6</v>
      </c>
      <c r="B590" s="608">
        <v>606.20000000000005</v>
      </c>
      <c r="C590" s="604"/>
      <c r="D590" s="604"/>
      <c r="E590" s="604"/>
      <c r="F590" s="604"/>
      <c r="G590" s="600" t="str">
        <f>IF(COUNTIF(G601:G604,"P")&gt;0,"P","")</f>
        <v>P</v>
      </c>
      <c r="H590" s="403" t="s">
        <v>4323</v>
      </c>
      <c r="I590" s="123">
        <v>606.20000000000005</v>
      </c>
      <c r="J590" s="124"/>
      <c r="K590" s="125"/>
      <c r="L590" s="711" t="s">
        <v>726</v>
      </c>
      <c r="M590" s="199"/>
      <c r="N590" s="195"/>
      <c r="O590" s="195"/>
      <c r="P590" s="62"/>
      <c r="Q590" s="62"/>
      <c r="R590" s="62"/>
      <c r="S590" s="62"/>
      <c r="T590" s="62"/>
      <c r="U590" s="62"/>
      <c r="V590" s="62"/>
      <c r="W590" s="62"/>
      <c r="X590" s="62"/>
      <c r="Z590" s="543"/>
      <c r="BJ590" s="573" t="s">
        <v>4670</v>
      </c>
    </row>
    <row r="591" spans="1:62" x14ac:dyDescent="0.35">
      <c r="A591" s="403">
        <v>6</v>
      </c>
      <c r="B591" s="608">
        <v>606.20000000000005</v>
      </c>
      <c r="C591" s="604"/>
      <c r="D591" s="604"/>
      <c r="E591" s="604"/>
      <c r="F591" s="604"/>
      <c r="G591" s="403" t="str">
        <f t="shared" ref="G591:G600" si="174">G590</f>
        <v>P</v>
      </c>
      <c r="H591" s="403" t="s">
        <v>4323</v>
      </c>
      <c r="I591" s="32"/>
      <c r="J591" s="4"/>
      <c r="K591" s="46"/>
      <c r="L591" s="706"/>
      <c r="M591" s="43"/>
      <c r="N591" s="44"/>
      <c r="O591" s="44"/>
      <c r="Z591" s="543"/>
      <c r="BJ591" s="573" t="s">
        <v>4670</v>
      </c>
    </row>
    <row r="592" spans="1:62" x14ac:dyDescent="0.35">
      <c r="A592" s="403">
        <v>6</v>
      </c>
      <c r="B592" s="608">
        <v>606.20000000000005</v>
      </c>
      <c r="C592" s="604"/>
      <c r="D592" s="604"/>
      <c r="E592" s="604"/>
      <c r="F592" s="604" t="s">
        <v>121</v>
      </c>
      <c r="G592" s="403" t="str">
        <f t="shared" si="174"/>
        <v>P</v>
      </c>
      <c r="H592" s="605" t="s">
        <v>4323</v>
      </c>
      <c r="I592" s="32"/>
      <c r="J592" s="4"/>
      <c r="K592" s="50" t="s">
        <v>121</v>
      </c>
      <c r="L592" s="46" t="s">
        <v>727</v>
      </c>
      <c r="M592" s="43"/>
      <c r="N592" s="44"/>
      <c r="O592" s="44"/>
      <c r="Z592" s="543"/>
      <c r="BJ592" s="573" t="s">
        <v>4670</v>
      </c>
    </row>
    <row r="593" spans="1:62" x14ac:dyDescent="0.35">
      <c r="A593" s="403">
        <v>6</v>
      </c>
      <c r="B593" s="608">
        <v>606.20000000000005</v>
      </c>
      <c r="C593" s="604"/>
      <c r="D593" s="604"/>
      <c r="E593" s="604"/>
      <c r="F593" s="604" t="s">
        <v>122</v>
      </c>
      <c r="G593" s="403" t="str">
        <f t="shared" si="174"/>
        <v>P</v>
      </c>
      <c r="H593" s="605" t="s">
        <v>4323</v>
      </c>
      <c r="I593" s="32"/>
      <c r="J593" s="4"/>
      <c r="K593" s="50" t="s">
        <v>122</v>
      </c>
      <c r="L593" s="707" t="s">
        <v>728</v>
      </c>
      <c r="M593" s="43"/>
      <c r="N593" s="44"/>
      <c r="O593" s="44"/>
      <c r="Z593" s="543"/>
      <c r="BJ593" s="573" t="s">
        <v>4670</v>
      </c>
    </row>
    <row r="594" spans="1:62" x14ac:dyDescent="0.35">
      <c r="A594" s="403">
        <v>6</v>
      </c>
      <c r="B594" s="608">
        <v>606.20000000000005</v>
      </c>
      <c r="C594" s="604"/>
      <c r="D594" s="604"/>
      <c r="E594" s="604"/>
      <c r="F594" s="604" t="s">
        <v>122</v>
      </c>
      <c r="G594" s="403" t="str">
        <f t="shared" si="174"/>
        <v>P</v>
      </c>
      <c r="H594" s="605" t="s">
        <v>4323</v>
      </c>
      <c r="I594" s="32"/>
      <c r="J594" s="4"/>
      <c r="K594" s="50"/>
      <c r="L594" s="707"/>
      <c r="M594" s="43"/>
      <c r="N594" s="44"/>
      <c r="O594" s="44"/>
      <c r="Z594" s="543"/>
      <c r="BJ594" s="573" t="s">
        <v>4670</v>
      </c>
    </row>
    <row r="595" spans="1:62" x14ac:dyDescent="0.35">
      <c r="A595" s="403">
        <v>6</v>
      </c>
      <c r="B595" s="608">
        <v>606.20000000000005</v>
      </c>
      <c r="C595" s="604"/>
      <c r="D595" s="604"/>
      <c r="E595" s="604"/>
      <c r="F595" s="604" t="s">
        <v>123</v>
      </c>
      <c r="G595" s="403" t="str">
        <f t="shared" si="174"/>
        <v>P</v>
      </c>
      <c r="H595" s="605" t="s">
        <v>4323</v>
      </c>
      <c r="I595" s="32"/>
      <c r="J595" s="4"/>
      <c r="K595" s="50" t="s">
        <v>123</v>
      </c>
      <c r="L595" s="101" t="s">
        <v>729</v>
      </c>
      <c r="M595" s="43"/>
      <c r="N595" s="44"/>
      <c r="O595" s="44"/>
      <c r="Z595" s="543"/>
      <c r="BJ595" s="573" t="s">
        <v>4670</v>
      </c>
    </row>
    <row r="596" spans="1:62" x14ac:dyDescent="0.35">
      <c r="A596" s="403">
        <v>6</v>
      </c>
      <c r="B596" s="608">
        <v>606.20000000000005</v>
      </c>
      <c r="C596" s="604"/>
      <c r="D596" s="604"/>
      <c r="E596" s="604"/>
      <c r="F596" s="606" t="s">
        <v>420</v>
      </c>
      <c r="G596" s="403" t="str">
        <f t="shared" si="174"/>
        <v>P</v>
      </c>
      <c r="H596" s="607" t="s">
        <v>4323</v>
      </c>
      <c r="I596" s="32"/>
      <c r="J596" s="4"/>
      <c r="K596" s="52" t="s">
        <v>420</v>
      </c>
      <c r="L596" s="101" t="s">
        <v>730</v>
      </c>
      <c r="M596" s="43"/>
      <c r="N596" s="44"/>
      <c r="O596" s="44"/>
      <c r="Z596" s="543"/>
      <c r="BJ596" s="573" t="s">
        <v>4670</v>
      </c>
    </row>
    <row r="597" spans="1:62" x14ac:dyDescent="0.35">
      <c r="A597" s="403">
        <v>6</v>
      </c>
      <c r="B597" s="608">
        <v>606.20000000000005</v>
      </c>
      <c r="C597" s="604"/>
      <c r="D597" s="604"/>
      <c r="E597" s="604"/>
      <c r="F597" s="604" t="s">
        <v>575</v>
      </c>
      <c r="G597" s="403" t="str">
        <f t="shared" si="174"/>
        <v>P</v>
      </c>
      <c r="H597" s="403" t="s">
        <v>4323</v>
      </c>
      <c r="I597" s="32"/>
      <c r="J597" s="4"/>
      <c r="K597" s="48" t="s">
        <v>575</v>
      </c>
      <c r="L597" s="101" t="s">
        <v>731</v>
      </c>
      <c r="M597" s="43"/>
      <c r="N597" s="44"/>
      <c r="O597" s="44"/>
      <c r="Z597" s="543"/>
      <c r="BJ597" s="573" t="s">
        <v>4670</v>
      </c>
    </row>
    <row r="598" spans="1:62" x14ac:dyDescent="0.35">
      <c r="A598" s="403">
        <v>6</v>
      </c>
      <c r="B598" s="608">
        <v>606.20000000000005</v>
      </c>
      <c r="C598" s="604"/>
      <c r="D598" s="604"/>
      <c r="E598" s="604"/>
      <c r="F598" s="604" t="s">
        <v>642</v>
      </c>
      <c r="G598" s="403" t="str">
        <f t="shared" si="174"/>
        <v>P</v>
      </c>
      <c r="H598" s="605" t="s">
        <v>4323</v>
      </c>
      <c r="I598" s="32"/>
      <c r="J598" s="4"/>
      <c r="K598" s="50" t="s">
        <v>642</v>
      </c>
      <c r="L598" s="46" t="s">
        <v>732</v>
      </c>
      <c r="M598" s="43"/>
      <c r="N598" s="44"/>
      <c r="O598" s="44"/>
      <c r="Z598" s="543"/>
      <c r="BJ598" s="573" t="s">
        <v>4670</v>
      </c>
    </row>
    <row r="599" spans="1:62" x14ac:dyDescent="0.35">
      <c r="A599" s="403">
        <v>6</v>
      </c>
      <c r="B599" s="608">
        <v>606.20000000000005</v>
      </c>
      <c r="C599" s="604"/>
      <c r="D599" s="604"/>
      <c r="E599" s="604"/>
      <c r="F599" s="604" t="s">
        <v>644</v>
      </c>
      <c r="G599" s="403" t="str">
        <f t="shared" si="174"/>
        <v>P</v>
      </c>
      <c r="H599" s="605" t="s">
        <v>4323</v>
      </c>
      <c r="I599" s="32"/>
      <c r="J599" s="4"/>
      <c r="K599" s="50" t="s">
        <v>644</v>
      </c>
      <c r="L599" s="46" t="s">
        <v>733</v>
      </c>
      <c r="M599" s="43"/>
      <c r="N599" s="44"/>
      <c r="O599" s="44"/>
      <c r="Z599" s="543"/>
      <c r="BJ599" s="573" t="s">
        <v>4670</v>
      </c>
    </row>
    <row r="600" spans="1:62" x14ac:dyDescent="0.35">
      <c r="A600" s="403">
        <v>6</v>
      </c>
      <c r="B600" s="608">
        <v>606.20000000000005</v>
      </c>
      <c r="C600" s="604"/>
      <c r="D600" s="604"/>
      <c r="E600" s="604"/>
      <c r="F600" s="604" t="s">
        <v>646</v>
      </c>
      <c r="G600" s="403" t="str">
        <f t="shared" si="174"/>
        <v>P</v>
      </c>
      <c r="H600" s="605" t="s">
        <v>4323</v>
      </c>
      <c r="I600" s="32"/>
      <c r="J600" s="4"/>
      <c r="K600" s="50"/>
      <c r="L600" s="46"/>
      <c r="M600" s="43"/>
      <c r="N600" s="44"/>
      <c r="O600" s="44"/>
      <c r="W600" t="s">
        <v>3281</v>
      </c>
      <c r="Z600" s="543"/>
      <c r="BJ600" s="573" t="s">
        <v>4670</v>
      </c>
    </row>
    <row r="601" spans="1:62" x14ac:dyDescent="0.35">
      <c r="A601" s="403">
        <v>6</v>
      </c>
      <c r="B601" s="608">
        <v>606.20000000000005</v>
      </c>
      <c r="C601" s="604"/>
      <c r="D601" s="604"/>
      <c r="E601" s="604" t="s">
        <v>270</v>
      </c>
      <c r="F601" s="610" t="s">
        <v>3170</v>
      </c>
      <c r="G601" s="403" t="str">
        <f>IF(N601&gt;0,"P","")</f>
        <v/>
      </c>
      <c r="H601" s="414" t="s">
        <v>4323</v>
      </c>
      <c r="I601" s="32"/>
      <c r="J601" s="19" t="s">
        <v>270</v>
      </c>
      <c r="K601" s="46"/>
      <c r="L601" s="707" t="s">
        <v>734</v>
      </c>
      <c r="M601" s="690">
        <v>3</v>
      </c>
      <c r="N601" s="834">
        <f>'Ch6'!O346</f>
        <v>0</v>
      </c>
      <c r="O601" s="834">
        <f>IF(AND(S601,NOT(ISBLANK(W601)),NOT(ISBLANK(W602))),M601,0)</f>
        <v>0</v>
      </c>
      <c r="P601" t="b">
        <v>1</v>
      </c>
      <c r="Q601" t="b">
        <v>1</v>
      </c>
      <c r="R601" t="b">
        <v>0</v>
      </c>
      <c r="S601" t="b">
        <v>1</v>
      </c>
      <c r="T601" t="b">
        <v>0</v>
      </c>
      <c r="U601" t="str">
        <f>SUBSTITUTE(SUBSTITUTE(SUBSTITUTE("dd"&amp;B601&amp;C601&amp;D601&amp;E601&amp;F601,".","_"),"(","_"),")","")</f>
        <v>dd606_2_1a</v>
      </c>
      <c r="W601" s="9"/>
      <c r="X601" s="39"/>
      <c r="Y601" s="200" t="str">
        <f>IF(LEN('Ch6'!X346)=0,"None",'Ch6'!X346)</f>
        <v>None</v>
      </c>
      <c r="Z601" s="563"/>
      <c r="AC601" t="b">
        <f>OR(AD601:AE601)</f>
        <v>0</v>
      </c>
      <c r="AD601" t="b">
        <f>T601</f>
        <v>0</v>
      </c>
      <c r="AE601" t="b">
        <f>AND(NOT(ISBLANK(W601)),LEN(X601)=0)</f>
        <v>0</v>
      </c>
      <c r="AF601" t="b">
        <f>AND(AE601,NOT(Q601))</f>
        <v>0</v>
      </c>
      <c r="AL601" t="str">
        <f t="shared" ref="AL601" si="175">SUBSTITUTE(SUBSTITUTE(SUBSTITUTE("vpa"&amp;$B601&amp;$C601&amp;$D601&amp;$E601&amp;$F601,".","_"),"(","_"),")","")</f>
        <v>vpa606_2_1a</v>
      </c>
      <c r="AM601">
        <f>M601</f>
        <v>3</v>
      </c>
      <c r="AN601" t="str">
        <f>SUBSTITUTE(SUBSTITUTE(SUBSTITUTE("vpc"&amp;$B601&amp;$C601&amp;$D601&amp;$E601&amp;$F601,".","_"),"(","_"),")","")</f>
        <v>vpc606_2_1a</v>
      </c>
      <c r="AO601">
        <f>O601</f>
        <v>0</v>
      </c>
      <c r="AP601" t="str">
        <f t="shared" ref="AP601:AP602" si="176">SUBSTITUTE(SUBSTITUTE(SUBSTITUTE("vch"&amp;$B601&amp;$C601&amp;$D601&amp;$E601&amp;$F601,".","_"),"(","_"),")","")</f>
        <v>vch606_2_1a</v>
      </c>
      <c r="AQ601">
        <f>W601</f>
        <v>0</v>
      </c>
      <c r="AR601" t="str">
        <f t="shared" ref="AR601:AR602" si="177">SUBSTITUTE(SUBSTITUTE(SUBSTITUTE("vnt"&amp;$B601&amp;$C601&amp;$D601&amp;$E601&amp;$F601,".","_"),"(","_"),")","")</f>
        <v>vnt606_2_1a</v>
      </c>
      <c r="AS601">
        <f>X601</f>
        <v>0</v>
      </c>
      <c r="BJ601" s="573" t="s">
        <v>4670</v>
      </c>
    </row>
    <row r="602" spans="1:62" x14ac:dyDescent="0.35">
      <c r="A602" s="403">
        <v>6</v>
      </c>
      <c r="B602" s="608">
        <v>606.20000000000005</v>
      </c>
      <c r="C602" s="604"/>
      <c r="D602" s="604"/>
      <c r="E602" s="604" t="s">
        <v>270</v>
      </c>
      <c r="F602" s="610" t="s">
        <v>3171</v>
      </c>
      <c r="G602" s="403" t="str">
        <f t="shared" ref="G602:G603" si="178">G601</f>
        <v/>
      </c>
      <c r="H602" s="414" t="s">
        <v>4323</v>
      </c>
      <c r="I602" s="32"/>
      <c r="J602" s="19"/>
      <c r="K602" s="46"/>
      <c r="L602" s="707"/>
      <c r="M602" s="690"/>
      <c r="N602" s="834"/>
      <c r="O602" s="834"/>
      <c r="P602" t="b">
        <v>1</v>
      </c>
      <c r="Q602" t="b">
        <v>1</v>
      </c>
      <c r="R602" t="b">
        <v>0</v>
      </c>
      <c r="S602" t="b">
        <v>1</v>
      </c>
      <c r="T602" t="b">
        <v>0</v>
      </c>
      <c r="U602" t="str">
        <f>SUBSTITUTE(SUBSTITUTE(SUBSTITUTE("dd"&amp;B602&amp;C602&amp;D602&amp;E602&amp;F602,".","_"),"(","_"),")","")</f>
        <v>dd606_2_1b</v>
      </c>
      <c r="W602" s="9"/>
      <c r="X602" s="688"/>
      <c r="Y602" s="891" t="str">
        <f>IF(LEN('Ch6'!X347)=0,"None",'Ch6'!X347)</f>
        <v>None</v>
      </c>
      <c r="Z602" s="892"/>
      <c r="AC602" t="b">
        <f>OR(AD602:AE602)</f>
        <v>0</v>
      </c>
      <c r="AD602" t="b">
        <f>T602</f>
        <v>0</v>
      </c>
      <c r="AE602" t="b">
        <f>AND(NOT(ISBLANK(W602)),LEN(X602)=0)</f>
        <v>0</v>
      </c>
      <c r="AF602" t="b">
        <f>AND(AE602,NOT(Q602))</f>
        <v>0</v>
      </c>
      <c r="AP602" t="str">
        <f t="shared" si="176"/>
        <v>vch606_2_1b</v>
      </c>
      <c r="AQ602">
        <f>W602</f>
        <v>0</v>
      </c>
      <c r="AR602" t="str">
        <f t="shared" si="177"/>
        <v>vnt606_2_1b</v>
      </c>
      <c r="AS602">
        <f>X602</f>
        <v>0</v>
      </c>
      <c r="BJ602" s="573" t="s">
        <v>4670</v>
      </c>
    </row>
    <row r="603" spans="1:62" x14ac:dyDescent="0.35">
      <c r="A603" s="403">
        <v>6</v>
      </c>
      <c r="B603" s="608">
        <v>606.20000000000005</v>
      </c>
      <c r="C603" s="604"/>
      <c r="D603" s="604"/>
      <c r="E603" s="604" t="s">
        <v>270</v>
      </c>
      <c r="F603" s="610"/>
      <c r="G603" s="403" t="str">
        <f t="shared" si="178"/>
        <v/>
      </c>
      <c r="H603" s="414" t="s">
        <v>4323</v>
      </c>
      <c r="I603" s="32"/>
      <c r="J603" s="148"/>
      <c r="K603" s="116"/>
      <c r="L603" s="121" t="s">
        <v>3282</v>
      </c>
      <c r="M603" s="691"/>
      <c r="N603" s="886"/>
      <c r="O603" s="886"/>
      <c r="X603" s="688"/>
      <c r="Y603" s="891"/>
      <c r="Z603" s="892"/>
      <c r="BJ603" s="573" t="s">
        <v>4670</v>
      </c>
    </row>
    <row r="604" spans="1:62" x14ac:dyDescent="0.35">
      <c r="A604" s="403">
        <v>6</v>
      </c>
      <c r="B604" s="608">
        <v>606.20000000000005</v>
      </c>
      <c r="C604" s="604"/>
      <c r="D604" s="604"/>
      <c r="E604" s="604" t="s">
        <v>272</v>
      </c>
      <c r="F604" s="610" t="s">
        <v>3170</v>
      </c>
      <c r="G604" s="403" t="str">
        <f>IF(N604&gt;0,"P","")</f>
        <v>P</v>
      </c>
      <c r="H604" s="414" t="s">
        <v>4323</v>
      </c>
      <c r="I604" s="32"/>
      <c r="J604" s="19" t="s">
        <v>272</v>
      </c>
      <c r="K604" s="46"/>
      <c r="L604" s="707" t="s">
        <v>735</v>
      </c>
      <c r="M604" s="690">
        <v>4</v>
      </c>
      <c r="N604" s="868">
        <f>'Ch6'!O349</f>
        <v>4</v>
      </c>
      <c r="O604" s="834">
        <f>IF(AND(S604,NOT(ISBLANK(W604)),NOT(ISBLANK(W605))),M604,0)</f>
        <v>4</v>
      </c>
      <c r="P604" t="b">
        <v>1</v>
      </c>
      <c r="Q604" t="b">
        <v>1</v>
      </c>
      <c r="R604" t="b">
        <v>0</v>
      </c>
      <c r="S604" t="b">
        <v>1</v>
      </c>
      <c r="T604" t="b">
        <v>0</v>
      </c>
      <c r="U604" t="str">
        <f>SUBSTITUTE(SUBSTITUTE(SUBSTITUTE("dd"&amp;B604&amp;C604&amp;D604&amp;E604&amp;F604,".","_"),"(","_"),")","")</f>
        <v>dd606_2_2a</v>
      </c>
      <c r="W604" s="9" t="s">
        <v>3734</v>
      </c>
      <c r="X604" s="39" t="s">
        <v>4834</v>
      </c>
      <c r="Y604" s="200" t="str">
        <f>IF(LEN('Ch6'!X349)=0,"None",'Ch6'!X349)</f>
        <v>Weyerhaeuser Trus Joist</v>
      </c>
      <c r="Z604" s="563"/>
      <c r="AC604" t="b">
        <f>OR(AD604:AE604)</f>
        <v>0</v>
      </c>
      <c r="AD604" t="b">
        <f>T604</f>
        <v>0</v>
      </c>
      <c r="AE604" t="b">
        <f>AND(NOT(ISBLANK(W604)),LEN(X604)=0)</f>
        <v>0</v>
      </c>
      <c r="AF604" t="b">
        <f>AND(AE604,NOT(Q604))</f>
        <v>0</v>
      </c>
      <c r="AL604" t="str">
        <f t="shared" ref="AL604" si="179">SUBSTITUTE(SUBSTITUTE(SUBSTITUTE("vpa"&amp;$B604&amp;$C604&amp;$D604&amp;$E604&amp;$F604,".","_"),"(","_"),")","")</f>
        <v>vpa606_2_2a</v>
      </c>
      <c r="AM604">
        <f>M604</f>
        <v>4</v>
      </c>
      <c r="AN604" t="str">
        <f>SUBSTITUTE(SUBSTITUTE(SUBSTITUTE("vpc"&amp;$B604&amp;$C604&amp;$D604&amp;$E604&amp;$F604,".","_"),"(","_"),")","")</f>
        <v>vpc606_2_2a</v>
      </c>
      <c r="AO604">
        <f>O604</f>
        <v>4</v>
      </c>
      <c r="AP604" t="str">
        <f t="shared" ref="AP604:AP605" si="180">SUBSTITUTE(SUBSTITUTE(SUBSTITUTE("vch"&amp;$B604&amp;$C604&amp;$D604&amp;$E604&amp;$F604,".","_"),"(","_"),")","")</f>
        <v>vch606_2_2a</v>
      </c>
      <c r="AQ604" t="str">
        <f>W604</f>
        <v>SFI</v>
      </c>
      <c r="AR604" t="str">
        <f t="shared" ref="AR604:AR605" si="181">SUBSTITUTE(SUBSTITUTE(SUBSTITUTE("vnt"&amp;$B604&amp;$C604&amp;$D604&amp;$E604&amp;$F604,".","_"),"(","_"),")","")</f>
        <v>vnt606_2_2a</v>
      </c>
      <c r="AS604" t="str">
        <f>X604</f>
        <v>zip walls</v>
      </c>
      <c r="BJ604" s="573" t="s">
        <v>4670</v>
      </c>
    </row>
    <row r="605" spans="1:62" x14ac:dyDescent="0.35">
      <c r="A605" s="403">
        <v>6</v>
      </c>
      <c r="B605" s="608">
        <v>606.20000000000005</v>
      </c>
      <c r="C605" s="604"/>
      <c r="D605" s="604"/>
      <c r="E605" s="604" t="s">
        <v>272</v>
      </c>
      <c r="F605" s="610" t="s">
        <v>3171</v>
      </c>
      <c r="G605" s="403" t="str">
        <f t="shared" ref="G605:G612" si="182">G604</f>
        <v>P</v>
      </c>
      <c r="H605" s="414" t="s">
        <v>4323</v>
      </c>
      <c r="I605" s="32"/>
      <c r="J605" s="4"/>
      <c r="K605" s="46"/>
      <c r="L605" s="707"/>
      <c r="M605" s="690"/>
      <c r="N605" s="834"/>
      <c r="O605" s="834"/>
      <c r="P605" t="b">
        <v>1</v>
      </c>
      <c r="Q605" t="b">
        <v>1</v>
      </c>
      <c r="R605" t="b">
        <v>0</v>
      </c>
      <c r="S605" t="b">
        <v>1</v>
      </c>
      <c r="T605" t="b">
        <v>0</v>
      </c>
      <c r="U605" t="str">
        <f>SUBSTITUTE(SUBSTITUTE(SUBSTITUTE("dd"&amp;B605&amp;C605&amp;D605&amp;E605&amp;F605,".","_"),"(","_"),")","")</f>
        <v>dd606_2_2b</v>
      </c>
      <c r="W605" s="9" t="s">
        <v>3734</v>
      </c>
      <c r="X605" s="688" t="s">
        <v>4835</v>
      </c>
      <c r="Y605" s="891" t="str">
        <f>IF(LEN('Ch6'!X350)=0,"None",'Ch6'!X350)</f>
        <v>Nordic Lam Products</v>
      </c>
      <c r="Z605" s="892"/>
      <c r="AC605" t="b">
        <f>OR(AD605:AE605)</f>
        <v>0</v>
      </c>
      <c r="AD605" t="b">
        <f>T605</f>
        <v>0</v>
      </c>
      <c r="AE605" t="b">
        <f>AND(NOT(ISBLANK(W605)),LEN(X605)=0)</f>
        <v>0</v>
      </c>
      <c r="AF605" t="b">
        <f>AND(AE605,NOT(Q605))</f>
        <v>0</v>
      </c>
      <c r="AP605" t="str">
        <f t="shared" si="180"/>
        <v>vch606_2_2b</v>
      </c>
      <c r="AQ605" t="str">
        <f>W605</f>
        <v>SFI</v>
      </c>
      <c r="AR605" t="str">
        <f t="shared" si="181"/>
        <v>vnt606_2_2b</v>
      </c>
      <c r="AS605" t="str">
        <f>X605</f>
        <v>tech shield</v>
      </c>
      <c r="BJ605" s="573" t="s">
        <v>4670</v>
      </c>
    </row>
    <row r="606" spans="1:62" ht="15" thickBot="1" x14ac:dyDescent="0.4">
      <c r="A606" s="403">
        <v>6</v>
      </c>
      <c r="B606" s="608">
        <v>606.20000000000005</v>
      </c>
      <c r="C606" s="604"/>
      <c r="D606" s="604"/>
      <c r="E606" s="604" t="s">
        <v>272</v>
      </c>
      <c r="F606" s="610"/>
      <c r="G606" s="403" t="str">
        <f t="shared" si="182"/>
        <v>P</v>
      </c>
      <c r="H606" s="414" t="s">
        <v>4323</v>
      </c>
      <c r="I606" s="32"/>
      <c r="J606" s="4"/>
      <c r="K606" s="46"/>
      <c r="L606" s="197" t="s">
        <v>3282</v>
      </c>
      <c r="M606" s="690"/>
      <c r="N606" s="938"/>
      <c r="O606" s="834"/>
      <c r="W606" s="205"/>
      <c r="X606" s="698"/>
      <c r="Y606" s="905"/>
      <c r="Z606" s="895"/>
      <c r="BJ606" s="573" t="s">
        <v>4670</v>
      </c>
    </row>
    <row r="607" spans="1:62" ht="15" thickTop="1" x14ac:dyDescent="0.35">
      <c r="A607" s="403">
        <v>6</v>
      </c>
      <c r="B607" s="608">
        <v>606.29999999999995</v>
      </c>
      <c r="C607" s="604"/>
      <c r="D607" s="604"/>
      <c r="E607" s="604"/>
      <c r="F607" s="604"/>
      <c r="G607" s="403" t="str">
        <f ca="1">IF(N607&gt;0,"P","")</f>
        <v>P</v>
      </c>
      <c r="H607" s="403" t="s">
        <v>4323</v>
      </c>
      <c r="I607" s="123">
        <v>606.29999999999995</v>
      </c>
      <c r="J607" s="124"/>
      <c r="K607" s="125"/>
      <c r="L607" s="711" t="s">
        <v>736</v>
      </c>
      <c r="M607" s="692" t="s">
        <v>709</v>
      </c>
      <c r="N607" s="940">
        <f ca="1">'Ch6'!O352</f>
        <v>2</v>
      </c>
      <c r="O607" s="940">
        <f ca="1">IFERROR(MATCH(W607,INDIRECT(U607),0),0)*2</f>
        <v>0</v>
      </c>
      <c r="P607" s="62" t="b">
        <v>1</v>
      </c>
      <c r="Q607" s="62" t="b">
        <v>1</v>
      </c>
      <c r="R607" s="62" t="b">
        <v>0</v>
      </c>
      <c r="S607" s="62" t="b">
        <v>1</v>
      </c>
      <c r="T607" s="62" t="b">
        <v>0</v>
      </c>
      <c r="U607" s="62" t="str">
        <f>SUBSTITUTE(SUBSTITUTE(SUBSTITUTE("dd"&amp;B607&amp;C607&amp;D607&amp;E607&amp;F607,".","_"),"(","_"),")","")</f>
        <v>dd606_3</v>
      </c>
      <c r="V607" s="62"/>
      <c r="W607" s="204"/>
      <c r="X607" s="721"/>
      <c r="Y607" s="904" t="str">
        <f>IF(LEN('Ch6'!X352)=0,"None",'Ch6'!X352)</f>
        <v>Weyerhaeuser Lumber-Framer Series</v>
      </c>
      <c r="Z607" s="896"/>
      <c r="AC607" t="b">
        <f>OR(AD607:AE607)</f>
        <v>0</v>
      </c>
      <c r="AD607" t="b">
        <f>T607</f>
        <v>0</v>
      </c>
      <c r="AE607" t="b">
        <f>AND(NOT(ISBLANK(W607)),LEN(X607)=0)</f>
        <v>0</v>
      </c>
      <c r="AF607" t="b">
        <f>AND(AE607,NOT(Q607))</f>
        <v>0</v>
      </c>
      <c r="AL607" t="str">
        <f t="shared" ref="AL607" si="183">SUBSTITUTE(SUBSTITUTE(SUBSTITUTE("vpa"&amp;$B607&amp;$C607&amp;$D607&amp;$E607&amp;$F607,".","_"),"(","_"),")","")</f>
        <v>vpa606_3</v>
      </c>
      <c r="AM607" t="str">
        <f>M607</f>
        <v>6 Max</v>
      </c>
      <c r="AN607" t="str">
        <f>SUBSTITUTE(SUBSTITUTE(SUBSTITUTE("vpc"&amp;$B607&amp;$C607&amp;$D607&amp;$E607&amp;$F607,".","_"),"(","_"),")","")</f>
        <v>vpc606_3</v>
      </c>
      <c r="AO607">
        <f ca="1">O607</f>
        <v>0</v>
      </c>
      <c r="AP607" t="str">
        <f>SUBSTITUTE(SUBSTITUTE(SUBSTITUTE("vch"&amp;$B607&amp;$C607&amp;$D607&amp;$E607&amp;$F607,".","_"),"(","_"),")","")</f>
        <v>vch606_3</v>
      </c>
      <c r="AQ607">
        <f>W607</f>
        <v>0</v>
      </c>
      <c r="AR607" t="str">
        <f>SUBSTITUTE(SUBSTITUTE(SUBSTITUTE("vnt"&amp;$B607&amp;$C607&amp;$D607&amp;$E607&amp;$F607,".","_"),"(","_"),")","")</f>
        <v>vnt606_3</v>
      </c>
      <c r="AS607">
        <f>X607</f>
        <v>0</v>
      </c>
      <c r="BJ607" s="573" t="s">
        <v>4670</v>
      </c>
    </row>
    <row r="608" spans="1:62" x14ac:dyDescent="0.35">
      <c r="A608" s="403">
        <v>6</v>
      </c>
      <c r="B608" s="608">
        <v>606.29999999999995</v>
      </c>
      <c r="C608" s="604"/>
      <c r="D608" s="604"/>
      <c r="E608" s="604"/>
      <c r="F608" s="604"/>
      <c r="G608" s="403" t="str">
        <f t="shared" ca="1" si="182"/>
        <v>P</v>
      </c>
      <c r="H608" s="403" t="s">
        <v>4323</v>
      </c>
      <c r="I608" s="32"/>
      <c r="J608" s="4"/>
      <c r="K608" s="46"/>
      <c r="L608" s="706"/>
      <c r="M608" s="690"/>
      <c r="N608" s="834"/>
      <c r="O608" s="834"/>
      <c r="X608" s="699"/>
      <c r="Y608" s="891"/>
      <c r="Z608" s="892"/>
      <c r="BJ608" s="573" t="s">
        <v>4670</v>
      </c>
    </row>
    <row r="609" spans="1:62" x14ac:dyDescent="0.35">
      <c r="A609" s="403">
        <v>6</v>
      </c>
      <c r="B609" s="608">
        <v>606.29999999999995</v>
      </c>
      <c r="C609" s="604"/>
      <c r="D609" s="604"/>
      <c r="E609" s="604"/>
      <c r="F609" s="604"/>
      <c r="G609" s="403" t="str">
        <f t="shared" ca="1" si="182"/>
        <v>P</v>
      </c>
      <c r="H609" s="403" t="s">
        <v>4323</v>
      </c>
      <c r="I609" s="32"/>
      <c r="J609" s="4"/>
      <c r="K609" s="46"/>
      <c r="L609" s="706"/>
      <c r="M609" s="690"/>
      <c r="N609" s="834"/>
      <c r="O609" s="834"/>
      <c r="X609" s="699"/>
      <c r="Y609" s="891"/>
      <c r="Z609" s="892"/>
      <c r="BJ609" s="573" t="s">
        <v>4670</v>
      </c>
    </row>
    <row r="610" spans="1:62" x14ac:dyDescent="0.35">
      <c r="A610" s="403">
        <v>6</v>
      </c>
      <c r="B610" s="608">
        <v>606.29999999999995</v>
      </c>
      <c r="C610" s="604"/>
      <c r="D610" s="604"/>
      <c r="E610" s="604"/>
      <c r="F610" s="604"/>
      <c r="G610" s="403" t="str">
        <f t="shared" ca="1" si="182"/>
        <v>P</v>
      </c>
      <c r="H610" s="403" t="s">
        <v>4323</v>
      </c>
      <c r="I610" s="32"/>
      <c r="J610" s="4"/>
      <c r="K610" s="46"/>
      <c r="L610" s="706"/>
      <c r="M610" s="690"/>
      <c r="N610" s="834"/>
      <c r="O610" s="834"/>
      <c r="X610" s="699"/>
      <c r="Y610" s="891"/>
      <c r="Z610" s="892"/>
      <c r="BJ610" s="573" t="s">
        <v>4670</v>
      </c>
    </row>
    <row r="611" spans="1:62" x14ac:dyDescent="0.35">
      <c r="A611" s="403">
        <v>6</v>
      </c>
      <c r="B611" s="608">
        <v>606.29999999999995</v>
      </c>
      <c r="C611" s="604"/>
      <c r="D611" s="604"/>
      <c r="E611" s="604"/>
      <c r="F611" s="604"/>
      <c r="G611" s="403" t="str">
        <f t="shared" ca="1" si="182"/>
        <v>P</v>
      </c>
      <c r="H611" s="403" t="s">
        <v>4323</v>
      </c>
      <c r="I611" s="32"/>
      <c r="J611" s="4"/>
      <c r="K611" s="46"/>
      <c r="L611" s="100" t="s">
        <v>737</v>
      </c>
      <c r="M611" s="690"/>
      <c r="N611" s="834"/>
      <c r="O611" s="834"/>
      <c r="X611" s="699"/>
      <c r="Y611" s="891"/>
      <c r="Z611" s="892"/>
      <c r="BJ611" s="573" t="s">
        <v>4670</v>
      </c>
    </row>
    <row r="612" spans="1:62" x14ac:dyDescent="0.35">
      <c r="A612" s="403">
        <v>6</v>
      </c>
      <c r="B612" s="608">
        <v>606.29999999999995</v>
      </c>
      <c r="C612" s="604"/>
      <c r="D612" s="604"/>
      <c r="E612" s="604"/>
      <c r="F612" s="604"/>
      <c r="G612" s="403" t="str">
        <f t="shared" ca="1" si="182"/>
        <v>P</v>
      </c>
      <c r="H612" s="403" t="s">
        <v>4323</v>
      </c>
      <c r="I612" s="32"/>
      <c r="J612" s="4"/>
      <c r="K612" s="46"/>
      <c r="L612" s="105" t="s">
        <v>3286</v>
      </c>
      <c r="M612" s="690"/>
      <c r="N612" s="834"/>
      <c r="O612" s="834"/>
      <c r="X612" s="700"/>
      <c r="Y612" s="891"/>
      <c r="Z612" s="892"/>
      <c r="BJ612" s="573" t="s">
        <v>4670</v>
      </c>
    </row>
    <row r="613" spans="1:62" ht="18.5" x14ac:dyDescent="0.45">
      <c r="A613" s="403">
        <v>6</v>
      </c>
      <c r="B613" s="608">
        <v>607</v>
      </c>
      <c r="C613" s="604"/>
      <c r="D613" s="604"/>
      <c r="E613" s="604"/>
      <c r="F613" s="604"/>
      <c r="G613" s="403" t="s">
        <v>4326</v>
      </c>
      <c r="H613" s="403" t="s">
        <v>4323</v>
      </c>
      <c r="I613" s="10" t="s">
        <v>738</v>
      </c>
      <c r="J613" s="15"/>
      <c r="K613" s="45"/>
      <c r="L613" s="42"/>
      <c r="M613" s="37"/>
      <c r="N613" s="37"/>
      <c r="O613" s="37"/>
      <c r="P613" s="15"/>
      <c r="Q613" s="15"/>
      <c r="R613" s="15"/>
      <c r="S613" s="15"/>
      <c r="T613" s="15"/>
      <c r="U613" s="15"/>
      <c r="V613" s="15"/>
      <c r="W613" s="15"/>
      <c r="X613" s="15"/>
      <c r="Y613" s="15"/>
      <c r="Z613" s="562"/>
      <c r="BJ613" s="573" t="s">
        <v>4670</v>
      </c>
    </row>
    <row r="614" spans="1:62" x14ac:dyDescent="0.35">
      <c r="A614" s="403">
        <v>6</v>
      </c>
      <c r="B614" s="608">
        <v>607.1</v>
      </c>
      <c r="C614" s="604"/>
      <c r="D614" s="604"/>
      <c r="E614" s="604"/>
      <c r="F614" s="604"/>
      <c r="G614" s="600" t="str">
        <f>IF(COUNTIF(G616:G618,"P")&gt;0,"P","")</f>
        <v>P</v>
      </c>
      <c r="H614" s="403" t="s">
        <v>4325</v>
      </c>
      <c r="I614" s="32">
        <v>607.1</v>
      </c>
      <c r="J614" s="4"/>
      <c r="K614" s="46"/>
      <c r="L614" s="706" t="s">
        <v>739</v>
      </c>
      <c r="M614" s="43"/>
      <c r="N614" s="44"/>
      <c r="O614" s="44"/>
      <c r="Z614" s="543"/>
      <c r="BJ614" s="573" t="s">
        <v>4670</v>
      </c>
    </row>
    <row r="615" spans="1:62" x14ac:dyDescent="0.35">
      <c r="A615" s="403">
        <v>6</v>
      </c>
      <c r="B615" s="608">
        <v>607.1</v>
      </c>
      <c r="C615" s="604"/>
      <c r="D615" s="604"/>
      <c r="E615" s="604"/>
      <c r="F615" s="604"/>
      <c r="G615" s="403" t="str">
        <f t="shared" ref="G615" si="184">G614</f>
        <v>P</v>
      </c>
      <c r="H615" s="403" t="s">
        <v>4325</v>
      </c>
      <c r="I615" s="32"/>
      <c r="J615" s="4"/>
      <c r="K615" s="46"/>
      <c r="L615" s="706"/>
      <c r="M615" s="43"/>
      <c r="N615" s="44"/>
      <c r="O615" s="44"/>
      <c r="Z615" s="543"/>
      <c r="BJ615" s="573" t="s">
        <v>4670</v>
      </c>
    </row>
    <row r="616" spans="1:62" x14ac:dyDescent="0.35">
      <c r="A616" s="403">
        <v>6</v>
      </c>
      <c r="B616" s="608">
        <v>607.1</v>
      </c>
      <c r="C616" s="604"/>
      <c r="D616" s="604"/>
      <c r="E616" s="604" t="s">
        <v>270</v>
      </c>
      <c r="F616" s="604"/>
      <c r="G616" s="403" t="str">
        <f>IF(N616&gt;0,"P","")</f>
        <v>P</v>
      </c>
      <c r="H616" s="403" t="s">
        <v>4325</v>
      </c>
      <c r="I616" s="32"/>
      <c r="J616" s="19" t="s">
        <v>270</v>
      </c>
      <c r="K616" s="46"/>
      <c r="L616" s="707" t="s">
        <v>740</v>
      </c>
      <c r="M616" s="690">
        <v>3</v>
      </c>
      <c r="N616" s="834">
        <f>'Ch6'!O361</f>
        <v>3</v>
      </c>
      <c r="O616" s="834">
        <f>M616*S616*W616</f>
        <v>0</v>
      </c>
      <c r="P616" t="b">
        <v>0</v>
      </c>
      <c r="Q616" t="b">
        <v>1</v>
      </c>
      <c r="R616" t="b">
        <v>0</v>
      </c>
      <c r="S616" t="b">
        <v>1</v>
      </c>
      <c r="T616" t="b">
        <v>0</v>
      </c>
      <c r="W616" s="17"/>
      <c r="X616" s="688"/>
      <c r="Y616" s="891" t="str">
        <f>IF(LEN('Ch6'!X361)=0,"None",'Ch6'!X361)</f>
        <v>None</v>
      </c>
      <c r="Z616" s="892"/>
      <c r="AL616" t="str">
        <f t="shared" ref="AL616" si="185">SUBSTITUTE(SUBSTITUTE(SUBSTITUTE("vpa"&amp;$B616&amp;$C616&amp;$D616&amp;$E616&amp;$F616,".","_"),"(","_"),")","")</f>
        <v>vpa607_1_1</v>
      </c>
      <c r="AM616">
        <f>M616</f>
        <v>3</v>
      </c>
      <c r="AN616" t="str">
        <f>SUBSTITUTE(SUBSTITUTE(SUBSTITUTE("vpc"&amp;$B616&amp;$C616&amp;$D616&amp;$E616&amp;$F616,".","_"),"(","_"),")","")</f>
        <v>vpc607_1_1</v>
      </c>
      <c r="AO616">
        <f>O616</f>
        <v>0</v>
      </c>
      <c r="AP616" t="str">
        <f>SUBSTITUTE(SUBSTITUTE(SUBSTITUTE("vch"&amp;$B616&amp;$C616&amp;$D616&amp;$E616&amp;$F616,".","_"),"(","_"),")","")</f>
        <v>vch607_1_1</v>
      </c>
      <c r="AQ616">
        <f>W616</f>
        <v>0</v>
      </c>
      <c r="AR616" t="str">
        <f>SUBSTITUTE(SUBSTITUTE(SUBSTITUTE("vnt"&amp;$B616&amp;$C616&amp;$D616&amp;$E616&amp;$F616,".","_"),"(","_"),")","")</f>
        <v>vnt607_1_1</v>
      </c>
      <c r="AS616">
        <f>X616</f>
        <v>0</v>
      </c>
      <c r="BJ616" s="573" t="s">
        <v>4670</v>
      </c>
    </row>
    <row r="617" spans="1:62" x14ac:dyDescent="0.35">
      <c r="A617" s="403">
        <v>6</v>
      </c>
      <c r="B617" s="608">
        <v>607.1</v>
      </c>
      <c r="C617" s="604"/>
      <c r="D617" s="604"/>
      <c r="E617" s="604" t="s">
        <v>270</v>
      </c>
      <c r="F617" s="604"/>
      <c r="G617" s="403" t="str">
        <f t="shared" ref="G617" si="186">G616</f>
        <v>P</v>
      </c>
      <c r="H617" s="403" t="s">
        <v>4325</v>
      </c>
      <c r="I617" s="32"/>
      <c r="J617" s="148"/>
      <c r="K617" s="116"/>
      <c r="L617" s="709"/>
      <c r="M617" s="691"/>
      <c r="N617" s="886"/>
      <c r="O617" s="886"/>
      <c r="X617" s="688"/>
      <c r="Y617" s="891"/>
      <c r="Z617" s="892"/>
      <c r="BJ617" s="573" t="s">
        <v>4670</v>
      </c>
    </row>
    <row r="618" spans="1:62" ht="15" thickBot="1" x14ac:dyDescent="0.4">
      <c r="A618" s="403">
        <v>6</v>
      </c>
      <c r="B618" s="608">
        <v>607.1</v>
      </c>
      <c r="C618" s="604"/>
      <c r="D618" s="604"/>
      <c r="E618" s="604" t="s">
        <v>272</v>
      </c>
      <c r="F618" s="604"/>
      <c r="G618" s="403" t="str">
        <f>IF(N618&gt;0,"P","")</f>
        <v/>
      </c>
      <c r="H618" s="403" t="s">
        <v>4325</v>
      </c>
      <c r="I618" s="32"/>
      <c r="J618" s="19" t="s">
        <v>272</v>
      </c>
      <c r="K618" s="46"/>
      <c r="L618" s="46" t="s">
        <v>741</v>
      </c>
      <c r="M618" s="43">
        <v>3</v>
      </c>
      <c r="N618" s="44">
        <f>'Ch6'!O363</f>
        <v>0</v>
      </c>
      <c r="O618" s="44">
        <f>M618*S618*W618</f>
        <v>0</v>
      </c>
      <c r="P618" t="b">
        <v>0</v>
      </c>
      <c r="Q618" t="b">
        <v>1</v>
      </c>
      <c r="R618" t="b">
        <v>0</v>
      </c>
      <c r="S618" t="b">
        <v>1</v>
      </c>
      <c r="T618" t="b">
        <v>0</v>
      </c>
      <c r="W618" s="59"/>
      <c r="X618" s="111"/>
      <c r="Y618" s="201" t="str">
        <f>IF(LEN('Ch6'!X363)=0,"None",'Ch6'!X363)</f>
        <v>None</v>
      </c>
      <c r="Z618" s="567"/>
      <c r="AL618" t="str">
        <f t="shared" ref="AL618:AL619" si="187">SUBSTITUTE(SUBSTITUTE(SUBSTITUTE("vpa"&amp;$B618&amp;$C618&amp;$D618&amp;$E618&amp;$F618,".","_"),"(","_"),")","")</f>
        <v>vpa607_1_2</v>
      </c>
      <c r="AM618">
        <f>M618</f>
        <v>3</v>
      </c>
      <c r="AN618" t="str">
        <f t="shared" ref="AN618:AN619" si="188">SUBSTITUTE(SUBSTITUTE(SUBSTITUTE("vpc"&amp;$B618&amp;$C618&amp;$D618&amp;$E618&amp;$F618,".","_"),"(","_"),")","")</f>
        <v>vpc607_1_2</v>
      </c>
      <c r="AO618">
        <f>O618</f>
        <v>0</v>
      </c>
      <c r="AP618" t="str">
        <f>SUBSTITUTE(SUBSTITUTE(SUBSTITUTE("vch"&amp;$B618&amp;$C618&amp;$D618&amp;$E618&amp;$F618,".","_"),"(","_"),")","")</f>
        <v>vch607_1_2</v>
      </c>
      <c r="AQ618">
        <f>W618</f>
        <v>0</v>
      </c>
      <c r="AR618" t="str">
        <f t="shared" ref="AR618:AR619" si="189">SUBSTITUTE(SUBSTITUTE(SUBSTITUTE("vnt"&amp;$B618&amp;$C618&amp;$D618&amp;$E618&amp;$F618,".","_"),"(","_"),")","")</f>
        <v>vnt607_1_2</v>
      </c>
      <c r="AS618">
        <f>X618</f>
        <v>0</v>
      </c>
      <c r="BJ618" s="573" t="s">
        <v>4670</v>
      </c>
    </row>
    <row r="619" spans="1:62" ht="15" thickTop="1" x14ac:dyDescent="0.35">
      <c r="A619" s="403">
        <v>6</v>
      </c>
      <c r="B619" s="608">
        <v>607.20000000000005</v>
      </c>
      <c r="C619" s="604"/>
      <c r="D619" s="604"/>
      <c r="E619" s="604"/>
      <c r="F619" s="604"/>
      <c r="G619" s="403" t="str">
        <f>IF(N619&gt;0,"P","")</f>
        <v/>
      </c>
      <c r="H619" s="403" t="s">
        <v>4325</v>
      </c>
      <c r="I619" s="123">
        <v>607.20000000000005</v>
      </c>
      <c r="J619" s="124"/>
      <c r="K619" s="125"/>
      <c r="L619" s="711" t="s">
        <v>742</v>
      </c>
      <c r="M619" s="692">
        <v>1</v>
      </c>
      <c r="N619" s="940">
        <f>'Ch6'!O364</f>
        <v>0</v>
      </c>
      <c r="O619" s="940">
        <f>M619*S619*W619</f>
        <v>0</v>
      </c>
      <c r="P619" t="b">
        <v>0</v>
      </c>
      <c r="Q619" t="b">
        <v>1</v>
      </c>
      <c r="R619" s="62" t="b">
        <v>0</v>
      </c>
      <c r="S619" s="62" t="b">
        <v>1</v>
      </c>
      <c r="T619" s="62" t="b">
        <v>0</v>
      </c>
      <c r="U619" s="62"/>
      <c r="V619" s="62"/>
      <c r="W619" s="77"/>
      <c r="X619" s="687"/>
      <c r="Y619" s="904" t="str">
        <f>IF(LEN('Ch6'!X364)=0,"None",'Ch6'!X364)</f>
        <v>None</v>
      </c>
      <c r="Z619" s="896"/>
      <c r="AL619" t="str">
        <f t="shared" si="187"/>
        <v>vpa607_2</v>
      </c>
      <c r="AM619">
        <f>M619</f>
        <v>1</v>
      </c>
      <c r="AN619" t="str">
        <f t="shared" si="188"/>
        <v>vpc607_2</v>
      </c>
      <c r="AO619">
        <f>O619</f>
        <v>0</v>
      </c>
      <c r="AP619" t="str">
        <f>SUBSTITUTE(SUBSTITUTE(SUBSTITUTE("vch"&amp;$B619&amp;$C619&amp;$D619&amp;$E619&amp;$F619,".","_"),"(","_"),")","")</f>
        <v>vch607_2</v>
      </c>
      <c r="AQ619">
        <f>W619</f>
        <v>0</v>
      </c>
      <c r="AR619" t="str">
        <f t="shared" si="189"/>
        <v>vnt607_2</v>
      </c>
      <c r="AS619">
        <f>X619</f>
        <v>0</v>
      </c>
      <c r="BJ619" s="573" t="s">
        <v>4670</v>
      </c>
    </row>
    <row r="620" spans="1:62" x14ac:dyDescent="0.35">
      <c r="A620" s="403">
        <v>6</v>
      </c>
      <c r="B620" s="608">
        <v>607.20000000000005</v>
      </c>
      <c r="C620" s="604"/>
      <c r="D620" s="604"/>
      <c r="E620" s="604"/>
      <c r="F620" s="604"/>
      <c r="G620" s="403" t="str">
        <f t="shared" ref="G620" si="190">G619</f>
        <v/>
      </c>
      <c r="H620" s="403" t="s">
        <v>4325</v>
      </c>
      <c r="I620" s="32"/>
      <c r="J620" s="4"/>
      <c r="K620" s="46"/>
      <c r="L620" s="706"/>
      <c r="M620" s="690"/>
      <c r="N620" s="834"/>
      <c r="O620" s="834"/>
      <c r="X620" s="688"/>
      <c r="Y620" s="891"/>
      <c r="Z620" s="892"/>
      <c r="BJ620" s="573" t="s">
        <v>4670</v>
      </c>
    </row>
    <row r="621" spans="1:62" ht="18.5" x14ac:dyDescent="0.45">
      <c r="A621" s="403">
        <v>6</v>
      </c>
      <c r="B621" s="608">
        <v>608</v>
      </c>
      <c r="C621" s="604"/>
      <c r="D621" s="604"/>
      <c r="E621" s="604"/>
      <c r="F621" s="604"/>
      <c r="G621" s="403" t="s">
        <v>4326</v>
      </c>
      <c r="H621" s="403" t="s">
        <v>4323</v>
      </c>
      <c r="I621" s="10" t="s">
        <v>743</v>
      </c>
      <c r="J621" s="15"/>
      <c r="K621" s="45"/>
      <c r="L621" s="42"/>
      <c r="M621" s="37"/>
      <c r="N621" s="37"/>
      <c r="O621" s="37"/>
      <c r="P621" s="15"/>
      <c r="Q621" s="15"/>
      <c r="R621" s="15"/>
      <c r="S621" s="15"/>
      <c r="T621" s="15"/>
      <c r="U621" s="15"/>
      <c r="V621" s="15"/>
      <c r="W621" s="15"/>
      <c r="X621" s="15"/>
      <c r="Y621" s="15"/>
      <c r="Z621" s="562"/>
      <c r="BJ621" s="573" t="s">
        <v>4670</v>
      </c>
    </row>
    <row r="622" spans="1:62" x14ac:dyDescent="0.35">
      <c r="A622" s="403">
        <v>6</v>
      </c>
      <c r="B622" s="608">
        <v>608.1</v>
      </c>
      <c r="C622" s="604"/>
      <c r="D622" s="604"/>
      <c r="E622" s="604"/>
      <c r="F622" s="604"/>
      <c r="G622" s="403" t="str">
        <f ca="1">IF(N622&gt;0,"P","")</f>
        <v>P</v>
      </c>
      <c r="H622" s="403" t="s">
        <v>4323</v>
      </c>
      <c r="I622" s="32">
        <v>608.1</v>
      </c>
      <c r="J622" s="4"/>
      <c r="K622" s="46"/>
      <c r="L622" s="706" t="s">
        <v>744</v>
      </c>
      <c r="M622" s="736" t="s">
        <v>3287</v>
      </c>
      <c r="N622" s="834">
        <f ca="1">'Ch6'!O367</f>
        <v>6</v>
      </c>
      <c r="O622" s="834">
        <f ca="1">IFERROR(MATCH(W622,INDIRECT(U622),0),0)*3</f>
        <v>6</v>
      </c>
      <c r="P622" t="b">
        <v>1</v>
      </c>
      <c r="Q622" t="b">
        <v>1</v>
      </c>
      <c r="R622" t="b">
        <v>0</v>
      </c>
      <c r="S622" t="b">
        <v>1</v>
      </c>
      <c r="T622" t="b">
        <v>0</v>
      </c>
      <c r="U622" t="str">
        <f>SUBSTITUTE(SUBSTITUTE(SUBSTITUTE("dd"&amp;B622&amp;C622&amp;D622&amp;E622&amp;F622,".","_"),"(","_"),")","")</f>
        <v>dd608_1</v>
      </c>
      <c r="W622" s="9" t="s">
        <v>3289</v>
      </c>
      <c r="X622" s="698" t="s">
        <v>4836</v>
      </c>
      <c r="Y622" s="891" t="str">
        <f>IF(LEN('Ch6'!X367)=0,"None",'Ch6'!X367)</f>
        <v>Weyerhaeuser Flooring and Sheating; Boise Cascade Versa-Lam</v>
      </c>
      <c r="Z622" s="892"/>
      <c r="AC622" t="b">
        <f>OR(AD622:AE622)</f>
        <v>0</v>
      </c>
      <c r="AD622" t="b">
        <f>T622</f>
        <v>0</v>
      </c>
      <c r="AE622" t="b">
        <f>AND(NOT(ISBLANK(W622)),LEN(X622)=0)</f>
        <v>0</v>
      </c>
      <c r="AF622" t="b">
        <f>AND(AE622,NOT(Q622))</f>
        <v>0</v>
      </c>
      <c r="AL622" t="str">
        <f t="shared" ref="AL622" si="191">SUBSTITUTE(SUBSTITUTE(SUBSTITUTE("vpa"&amp;$B622&amp;$C622&amp;$D622&amp;$E622&amp;$F622,".","_"),"(","_"),")","")</f>
        <v>vpa608_1</v>
      </c>
      <c r="AM622" t="str">
        <f>M622</f>
        <v>9 Max
3 per material</v>
      </c>
      <c r="AN622" t="str">
        <f>SUBSTITUTE(SUBSTITUTE(SUBSTITUTE("vpc"&amp;$B622&amp;$C622&amp;$D622&amp;$E622&amp;$F622,".","_"),"(","_"),")","")</f>
        <v>vpc608_1</v>
      </c>
      <c r="AO622">
        <f ca="1">O622</f>
        <v>6</v>
      </c>
      <c r="AP622" t="str">
        <f>SUBSTITUTE(SUBSTITUTE(SUBSTITUTE("vch"&amp;$B622&amp;$C622&amp;$D622&amp;$E622&amp;$F622,".","_"),"(","_"),")","")</f>
        <v>vch608_1</v>
      </c>
      <c r="AQ622" t="str">
        <f>W622</f>
        <v>2 products</v>
      </c>
      <c r="AR622" t="str">
        <f>SUBSTITUTE(SUBSTITUTE(SUBSTITUTE("vnt"&amp;$B622&amp;$C622&amp;$D622&amp;$E622&amp;$F622,".","_"),"(","_"),")","")</f>
        <v>vnt608_1</v>
      </c>
      <c r="AS622" t="str">
        <f>X622</f>
        <v>zip walls and tech shield</v>
      </c>
      <c r="BJ622" s="573" t="s">
        <v>4670</v>
      </c>
    </row>
    <row r="623" spans="1:62" x14ac:dyDescent="0.35">
      <c r="A623" s="403">
        <v>6</v>
      </c>
      <c r="B623" s="608">
        <v>608.1</v>
      </c>
      <c r="C623" s="604"/>
      <c r="D623" s="604"/>
      <c r="E623" s="604"/>
      <c r="F623" s="604"/>
      <c r="G623" s="403" t="str">
        <f t="shared" ref="G623:G629" ca="1" si="192">G622</f>
        <v>P</v>
      </c>
      <c r="H623" s="403" t="s">
        <v>4323</v>
      </c>
      <c r="I623" s="32"/>
      <c r="J623" s="4"/>
      <c r="K623" s="46"/>
      <c r="L623" s="706"/>
      <c r="M623" s="736"/>
      <c r="N623" s="834"/>
      <c r="O623" s="834"/>
      <c r="X623" s="699"/>
      <c r="Y623" s="891"/>
      <c r="Z623" s="892"/>
      <c r="BJ623" s="573" t="s">
        <v>4670</v>
      </c>
    </row>
    <row r="624" spans="1:62" x14ac:dyDescent="0.35">
      <c r="A624" s="403">
        <v>6</v>
      </c>
      <c r="B624" s="608">
        <v>608.1</v>
      </c>
      <c r="C624" s="604"/>
      <c r="D624" s="604"/>
      <c r="E624" s="604"/>
      <c r="F624" s="604"/>
      <c r="G624" s="403" t="str">
        <f t="shared" ca="1" si="192"/>
        <v>P</v>
      </c>
      <c r="H624" s="403" t="s">
        <v>4323</v>
      </c>
      <c r="I624" s="32"/>
      <c r="J624" s="4"/>
      <c r="K624" s="46"/>
      <c r="L624" s="706"/>
      <c r="M624" s="736"/>
      <c r="N624" s="834"/>
      <c r="O624" s="834"/>
      <c r="X624" s="699"/>
      <c r="Y624" s="891"/>
      <c r="Z624" s="892"/>
      <c r="BJ624" s="573" t="s">
        <v>4670</v>
      </c>
    </row>
    <row r="625" spans="1:62" x14ac:dyDescent="0.35">
      <c r="A625" s="403">
        <v>6</v>
      </c>
      <c r="B625" s="608">
        <v>608.1</v>
      </c>
      <c r="C625" s="604"/>
      <c r="D625" s="604"/>
      <c r="E625" s="604" t="s">
        <v>270</v>
      </c>
      <c r="F625" s="604"/>
      <c r="G625" s="403" t="str">
        <f t="shared" ca="1" si="192"/>
        <v>P</v>
      </c>
      <c r="H625" s="403" t="s">
        <v>4323</v>
      </c>
      <c r="I625" s="32"/>
      <c r="J625" s="19" t="s">
        <v>270</v>
      </c>
      <c r="K625" s="46"/>
      <c r="L625" s="707" t="s">
        <v>745</v>
      </c>
      <c r="M625" s="736"/>
      <c r="N625" s="834"/>
      <c r="O625" s="834"/>
      <c r="X625" s="699"/>
      <c r="Y625" s="891"/>
      <c r="Z625" s="892"/>
      <c r="BJ625" s="573" t="s">
        <v>4670</v>
      </c>
    </row>
    <row r="626" spans="1:62" x14ac:dyDescent="0.35">
      <c r="A626" s="403">
        <v>6</v>
      </c>
      <c r="B626" s="608">
        <v>608.1</v>
      </c>
      <c r="C626" s="604"/>
      <c r="D626" s="604"/>
      <c r="E626" s="604" t="s">
        <v>270</v>
      </c>
      <c r="F626" s="604"/>
      <c r="G626" s="403" t="str">
        <f t="shared" ca="1" si="192"/>
        <v>P</v>
      </c>
      <c r="H626" s="403" t="s">
        <v>4323</v>
      </c>
      <c r="I626" s="32"/>
      <c r="J626" s="19"/>
      <c r="K626" s="46"/>
      <c r="L626" s="707"/>
      <c r="M626" s="736"/>
      <c r="N626" s="834"/>
      <c r="O626" s="834"/>
      <c r="X626" s="699"/>
      <c r="Y626" s="891"/>
      <c r="Z626" s="892"/>
      <c r="BJ626" s="573" t="s">
        <v>4670</v>
      </c>
    </row>
    <row r="627" spans="1:62" x14ac:dyDescent="0.35">
      <c r="A627" s="403">
        <v>6</v>
      </c>
      <c r="B627" s="608">
        <v>608.1</v>
      </c>
      <c r="C627" s="604"/>
      <c r="D627" s="604"/>
      <c r="E627" s="604" t="s">
        <v>272</v>
      </c>
      <c r="F627" s="604"/>
      <c r="G627" s="403" t="str">
        <f t="shared" ca="1" si="192"/>
        <v>P</v>
      </c>
      <c r="H627" s="403" t="s">
        <v>4323</v>
      </c>
      <c r="I627" s="32"/>
      <c r="J627" s="19" t="s">
        <v>272</v>
      </c>
      <c r="K627" s="46"/>
      <c r="L627" s="46" t="s">
        <v>746</v>
      </c>
      <c r="M627" s="736"/>
      <c r="N627" s="834"/>
      <c r="O627" s="834"/>
      <c r="X627" s="699"/>
      <c r="Y627" s="891"/>
      <c r="Z627" s="892"/>
      <c r="BJ627" s="573" t="s">
        <v>4670</v>
      </c>
    </row>
    <row r="628" spans="1:62" x14ac:dyDescent="0.35">
      <c r="A628" s="403">
        <v>6</v>
      </c>
      <c r="B628" s="608">
        <v>608.1</v>
      </c>
      <c r="C628" s="604"/>
      <c r="D628" s="604"/>
      <c r="E628" s="604" t="s">
        <v>274</v>
      </c>
      <c r="F628" s="604"/>
      <c r="G628" s="403" t="str">
        <f t="shared" ca="1" si="192"/>
        <v>P</v>
      </c>
      <c r="H628" s="403" t="s">
        <v>4323</v>
      </c>
      <c r="I628" s="32"/>
      <c r="J628" s="19" t="s">
        <v>274</v>
      </c>
      <c r="K628" s="46"/>
      <c r="L628" s="46" t="s">
        <v>747</v>
      </c>
      <c r="M628" s="736"/>
      <c r="N628" s="834"/>
      <c r="O628" s="834"/>
      <c r="X628" s="699"/>
      <c r="Y628" s="891"/>
      <c r="Z628" s="892"/>
      <c r="BJ628" s="573" t="s">
        <v>4670</v>
      </c>
    </row>
    <row r="629" spans="1:62" ht="15" customHeight="1" x14ac:dyDescent="0.35">
      <c r="A629" s="403">
        <v>6</v>
      </c>
      <c r="B629" s="608">
        <v>608.1</v>
      </c>
      <c r="C629" s="604"/>
      <c r="D629" s="604"/>
      <c r="E629" s="604"/>
      <c r="F629" s="604"/>
      <c r="G629" s="403" t="str">
        <f t="shared" ca="1" si="192"/>
        <v>P</v>
      </c>
      <c r="H629" s="403" t="s">
        <v>4323</v>
      </c>
      <c r="I629" s="32"/>
      <c r="J629" s="19"/>
      <c r="K629" s="46"/>
      <c r="L629" s="105" t="s">
        <v>3291</v>
      </c>
      <c r="M629" s="736"/>
      <c r="N629" s="834"/>
      <c r="O629" s="834"/>
      <c r="X629" s="700"/>
      <c r="Y629" s="891"/>
      <c r="Z629" s="892"/>
      <c r="BJ629" s="573" t="s">
        <v>4670</v>
      </c>
    </row>
    <row r="630" spans="1:62" ht="18.5" x14ac:dyDescent="0.45">
      <c r="A630" s="403">
        <v>6</v>
      </c>
      <c r="B630" s="608">
        <v>609</v>
      </c>
      <c r="C630" s="604"/>
      <c r="D630" s="604"/>
      <c r="E630" s="604"/>
      <c r="F630" s="604"/>
      <c r="G630" s="403" t="s">
        <v>4326</v>
      </c>
      <c r="H630" s="403" t="s">
        <v>4323</v>
      </c>
      <c r="I630" s="10" t="s">
        <v>748</v>
      </c>
      <c r="J630" s="15"/>
      <c r="K630" s="45"/>
      <c r="L630" s="42"/>
      <c r="M630" s="37"/>
      <c r="N630" s="37"/>
      <c r="O630" s="37"/>
      <c r="P630" s="15"/>
      <c r="Q630" s="15"/>
      <c r="R630" s="15"/>
      <c r="S630" s="15"/>
      <c r="T630" s="15"/>
      <c r="U630" s="15"/>
      <c r="V630" s="15"/>
      <c r="W630" s="15"/>
      <c r="X630" s="15"/>
      <c r="Y630" s="15"/>
      <c r="Z630" s="562"/>
      <c r="BJ630" s="573" t="s">
        <v>4670</v>
      </c>
    </row>
    <row r="631" spans="1:62" x14ac:dyDescent="0.35">
      <c r="A631" s="403">
        <v>6</v>
      </c>
      <c r="B631" s="608">
        <v>609.1</v>
      </c>
      <c r="C631" s="604" t="s">
        <v>3170</v>
      </c>
      <c r="D631" s="604"/>
      <c r="E631" s="604"/>
      <c r="F631" s="604"/>
      <c r="G631" s="403" t="str">
        <f ca="1">IF(N631&gt;0,"P","")</f>
        <v/>
      </c>
      <c r="H631" s="403" t="s">
        <v>4323</v>
      </c>
      <c r="I631" s="32">
        <v>609.1</v>
      </c>
      <c r="J631" s="4"/>
      <c r="K631" s="46"/>
      <c r="L631" s="706" t="s">
        <v>749</v>
      </c>
      <c r="M631" s="736" t="s">
        <v>3292</v>
      </c>
      <c r="N631" s="834">
        <f ca="1">'Ch6'!O376</f>
        <v>0</v>
      </c>
      <c r="O631" s="834">
        <f ca="1">MIN(10,IFERROR(MATCH(W632,INDIRECT(U632),0),0)*2+IFERROR(MATCH(W635,INDIRECT(U635),0),0))</f>
        <v>0</v>
      </c>
      <c r="W631" t="s">
        <v>3293</v>
      </c>
      <c r="X631" s="688"/>
      <c r="Y631" s="891" t="str">
        <f>IF(LEN('Ch6'!X376)=0,"None",'Ch6'!X376)</f>
        <v>None</v>
      </c>
      <c r="Z631" s="892"/>
      <c r="AL631" t="str">
        <f t="shared" ref="AL631" si="193">SUBSTITUTE(SUBSTITUTE(SUBSTITUTE("vpa"&amp;$B631&amp;$C631&amp;$D631&amp;$E631&amp;$F631,".","_"),"(","_"),")","")</f>
        <v>vpa609_1a</v>
      </c>
      <c r="AM631" t="str">
        <f>M631</f>
        <v>10 Max
2 per each major comp. 
and 
1 per each minor comp.</v>
      </c>
      <c r="AN631" t="str">
        <f>SUBSTITUTE(SUBSTITUTE(SUBSTITUTE("vpc"&amp;$B631&amp;$C631&amp;$D631&amp;$E631&amp;$F631,".","_"),"(","_"),")","")</f>
        <v>vpc609_1a</v>
      </c>
      <c r="AO631">
        <f ca="1">O631</f>
        <v>0</v>
      </c>
      <c r="AR631" t="str">
        <f>SUBSTITUTE(SUBSTITUTE(SUBSTITUTE("vnt"&amp;$B631&amp;$C631&amp;$D631&amp;$E631&amp;$F631,".","_"),"(","_"),")","")</f>
        <v>vnt609_1a</v>
      </c>
      <c r="AS631">
        <f>X631</f>
        <v>0</v>
      </c>
      <c r="BJ631" s="573" t="s">
        <v>4670</v>
      </c>
    </row>
    <row r="632" spans="1:62" x14ac:dyDescent="0.35">
      <c r="A632" s="403">
        <v>6</v>
      </c>
      <c r="B632" s="608">
        <v>609.1</v>
      </c>
      <c r="C632" s="604" t="s">
        <v>3170</v>
      </c>
      <c r="D632" s="604"/>
      <c r="E632" s="604"/>
      <c r="F632" s="604"/>
      <c r="G632" s="403" t="str">
        <f t="shared" ref="G632:G637" ca="1" si="194">G631</f>
        <v/>
      </c>
      <c r="H632" s="403" t="s">
        <v>4323</v>
      </c>
      <c r="I632" s="32"/>
      <c r="J632" s="4"/>
      <c r="K632" s="46"/>
      <c r="L632" s="706"/>
      <c r="M632" s="736"/>
      <c r="N632" s="834"/>
      <c r="O632" s="834"/>
      <c r="P632" t="b">
        <v>1</v>
      </c>
      <c r="Q632" t="b">
        <v>1</v>
      </c>
      <c r="R632" t="b">
        <v>0</v>
      </c>
      <c r="S632" t="b">
        <v>1</v>
      </c>
      <c r="T632" t="b">
        <v>0</v>
      </c>
      <c r="U632" t="str">
        <f>SUBSTITUTE(SUBSTITUTE(SUBSTITUTE("dd"&amp;B632&amp;C632&amp;D632&amp;E632&amp;F632,".","_"),"(","_"),")","")</f>
        <v>dd609_1a</v>
      </c>
      <c r="W632" s="9"/>
      <c r="X632" s="688"/>
      <c r="Y632" s="891"/>
      <c r="Z632" s="892"/>
      <c r="AC632" t="b">
        <f>OR(AD632:AE632)</f>
        <v>0</v>
      </c>
      <c r="AD632" t="b">
        <f>T632</f>
        <v>0</v>
      </c>
      <c r="AE632" t="b">
        <f>AND(NOT(ISBLANK(W632)),LEN(X631)=0)</f>
        <v>0</v>
      </c>
      <c r="AF632" t="b">
        <f>AND(AE632,NOT(Q632))</f>
        <v>0</v>
      </c>
      <c r="AP632" t="str">
        <f>SUBSTITUTE(SUBSTITUTE(SUBSTITUTE("vch"&amp;$B632&amp;$C632&amp;$D632&amp;$E632&amp;$F632,".","_"),"(","_"),")","")</f>
        <v>vch609_1a</v>
      </c>
      <c r="AQ632">
        <f>W632</f>
        <v>0</v>
      </c>
      <c r="BJ632" s="573" t="s">
        <v>4670</v>
      </c>
    </row>
    <row r="633" spans="1:62" x14ac:dyDescent="0.35">
      <c r="A633" s="403">
        <v>6</v>
      </c>
      <c r="B633" s="608">
        <v>609.1</v>
      </c>
      <c r="C633" s="604"/>
      <c r="D633" s="604"/>
      <c r="E633" s="604"/>
      <c r="F633" s="604"/>
      <c r="G633" s="403" t="str">
        <f t="shared" ca="1" si="194"/>
        <v/>
      </c>
      <c r="H633" s="403" t="s">
        <v>4323</v>
      </c>
      <c r="I633" s="32"/>
      <c r="J633" s="4"/>
      <c r="K633" s="46"/>
      <c r="L633" s="752" t="s">
        <v>3307</v>
      </c>
      <c r="M633" s="736"/>
      <c r="N633" s="834"/>
      <c r="O633" s="834"/>
      <c r="X633" s="688"/>
      <c r="Y633" s="891"/>
      <c r="Z633" s="892"/>
      <c r="BJ633" s="573" t="s">
        <v>4670</v>
      </c>
    </row>
    <row r="634" spans="1:62" x14ac:dyDescent="0.35">
      <c r="A634" s="403">
        <v>6</v>
      </c>
      <c r="B634" s="608">
        <v>609.1</v>
      </c>
      <c r="C634" s="604" t="s">
        <v>3171</v>
      </c>
      <c r="D634" s="604"/>
      <c r="E634" s="604"/>
      <c r="F634" s="604"/>
      <c r="G634" s="403" t="str">
        <f t="shared" ca="1" si="194"/>
        <v/>
      </c>
      <c r="H634" s="403" t="s">
        <v>4323</v>
      </c>
      <c r="I634" s="32"/>
      <c r="J634" s="4"/>
      <c r="K634" s="46"/>
      <c r="L634" s="752"/>
      <c r="M634" s="736"/>
      <c r="N634" s="834"/>
      <c r="O634" s="834"/>
      <c r="W634" t="s">
        <v>3294</v>
      </c>
      <c r="X634" s="698"/>
      <c r="Y634" s="891" t="str">
        <f>IF(LEN('Ch6'!X379)=0,"None",'Ch6'!X379)</f>
        <v>None</v>
      </c>
      <c r="Z634" s="892"/>
      <c r="AR634" t="str">
        <f>SUBSTITUTE(SUBSTITUTE(SUBSTITUTE("vnt"&amp;$B634&amp;$C634&amp;$D634&amp;$E634&amp;$F634,".","_"),"(","_"),")","")</f>
        <v>vnt609_1b</v>
      </c>
      <c r="AS634">
        <f>X634</f>
        <v>0</v>
      </c>
      <c r="BJ634" s="573" t="s">
        <v>4670</v>
      </c>
    </row>
    <row r="635" spans="1:62" x14ac:dyDescent="0.35">
      <c r="A635" s="403">
        <v>6</v>
      </c>
      <c r="B635" s="608">
        <v>609.1</v>
      </c>
      <c r="C635" s="604" t="s">
        <v>3171</v>
      </c>
      <c r="D635" s="604"/>
      <c r="E635" s="604"/>
      <c r="F635" s="604"/>
      <c r="G635" s="403" t="str">
        <f t="shared" ca="1" si="194"/>
        <v/>
      </c>
      <c r="H635" s="403" t="s">
        <v>4323</v>
      </c>
      <c r="I635" s="32"/>
      <c r="J635" s="4"/>
      <c r="K635" s="46"/>
      <c r="L635" s="752"/>
      <c r="M635" s="736"/>
      <c r="N635" s="834"/>
      <c r="O635" s="834"/>
      <c r="P635" t="b">
        <v>1</v>
      </c>
      <c r="Q635" t="b">
        <v>1</v>
      </c>
      <c r="R635" t="b">
        <v>0</v>
      </c>
      <c r="S635" t="b">
        <v>1</v>
      </c>
      <c r="T635" t="b">
        <v>0</v>
      </c>
      <c r="U635" t="str">
        <f>SUBSTITUTE(SUBSTITUTE(SUBSTITUTE("dd"&amp;B635&amp;C635&amp;D635&amp;E635&amp;F635,".","_"),"(","_"),")","")</f>
        <v>dd609_1b</v>
      </c>
      <c r="W635" s="9"/>
      <c r="X635" s="699"/>
      <c r="Y635" s="891"/>
      <c r="Z635" s="892"/>
      <c r="AC635" t="b">
        <f>OR(AD635:AE635)</f>
        <v>0</v>
      </c>
      <c r="AD635" t="b">
        <f>T635</f>
        <v>0</v>
      </c>
      <c r="AE635" t="b">
        <f>AND(NOT(ISBLANK(W635)),LEN(X634)=0)</f>
        <v>0</v>
      </c>
      <c r="AF635" t="b">
        <f>AND(AE635,NOT(Q635))</f>
        <v>0</v>
      </c>
      <c r="AP635" t="str">
        <f>SUBSTITUTE(SUBSTITUTE(SUBSTITUTE("vch"&amp;$B635&amp;$C635&amp;$D635&amp;$E635&amp;$F635,".","_"),"(","_"),")","")</f>
        <v>vch609_1b</v>
      </c>
      <c r="AQ635">
        <f>W635</f>
        <v>0</v>
      </c>
      <c r="BJ635" s="573" t="s">
        <v>4670</v>
      </c>
    </row>
    <row r="636" spans="1:62" x14ac:dyDescent="0.35">
      <c r="A636" s="403">
        <v>6</v>
      </c>
      <c r="B636" s="608">
        <v>609.1</v>
      </c>
      <c r="C636" s="604"/>
      <c r="D636" s="604"/>
      <c r="E636" s="604"/>
      <c r="F636" s="604"/>
      <c r="G636" s="403" t="str">
        <f t="shared" ca="1" si="194"/>
        <v/>
      </c>
      <c r="H636" s="403" t="s">
        <v>4323</v>
      </c>
      <c r="I636" s="32"/>
      <c r="J636" s="4"/>
      <c r="K636" s="46"/>
      <c r="L636" s="744" t="s">
        <v>3306</v>
      </c>
      <c r="M636" s="736"/>
      <c r="N636" s="834"/>
      <c r="O636" s="834"/>
      <c r="X636" s="699"/>
      <c r="Y636" s="891"/>
      <c r="Z636" s="892"/>
      <c r="BJ636" s="573" t="s">
        <v>4670</v>
      </c>
    </row>
    <row r="637" spans="1:62" x14ac:dyDescent="0.35">
      <c r="A637" s="403">
        <v>6</v>
      </c>
      <c r="B637" s="608">
        <v>609.1</v>
      </c>
      <c r="C637" s="604"/>
      <c r="D637" s="604"/>
      <c r="E637" s="604"/>
      <c r="F637" s="604"/>
      <c r="G637" s="403" t="str">
        <f t="shared" ca="1" si="194"/>
        <v/>
      </c>
      <c r="H637" s="403" t="s">
        <v>4323</v>
      </c>
      <c r="I637" s="32"/>
      <c r="J637" s="4"/>
      <c r="K637" s="46"/>
      <c r="L637" s="754"/>
      <c r="M637" s="736"/>
      <c r="N637" s="834"/>
      <c r="O637" s="834"/>
      <c r="X637" s="700"/>
      <c r="Y637" s="891"/>
      <c r="Z637" s="892"/>
      <c r="BJ637" s="573" t="s">
        <v>4670</v>
      </c>
    </row>
    <row r="638" spans="1:62" ht="18.5" x14ac:dyDescent="0.45">
      <c r="A638" s="403">
        <v>6</v>
      </c>
      <c r="B638" s="608">
        <v>610</v>
      </c>
      <c r="C638" s="604"/>
      <c r="D638" s="604"/>
      <c r="E638" s="604"/>
      <c r="F638" s="604"/>
      <c r="G638" s="403" t="s">
        <v>4326</v>
      </c>
      <c r="H638" s="403" t="s">
        <v>4323</v>
      </c>
      <c r="I638" s="10" t="s">
        <v>751</v>
      </c>
      <c r="J638" s="15"/>
      <c r="K638" s="45"/>
      <c r="L638" s="42"/>
      <c r="M638" s="37"/>
      <c r="N638" s="37"/>
      <c r="O638" s="37"/>
      <c r="P638" s="15"/>
      <c r="Q638" s="15"/>
      <c r="R638" s="15"/>
      <c r="S638" s="15"/>
      <c r="T638" s="15"/>
      <c r="U638" s="15"/>
      <c r="V638" s="15"/>
      <c r="W638" s="15"/>
      <c r="X638" s="15"/>
      <c r="Y638" s="15"/>
      <c r="Z638" s="562"/>
      <c r="BJ638" s="573" t="s">
        <v>4670</v>
      </c>
    </row>
    <row r="639" spans="1:62" x14ac:dyDescent="0.35">
      <c r="A639" s="403">
        <v>6</v>
      </c>
      <c r="B639" s="608">
        <v>610.1</v>
      </c>
      <c r="C639" s="604"/>
      <c r="D639" s="604"/>
      <c r="E639" s="604"/>
      <c r="F639" s="604"/>
      <c r="G639" s="605"/>
      <c r="I639" s="32">
        <v>610.1</v>
      </c>
      <c r="J639" s="4"/>
      <c r="K639" s="46"/>
      <c r="L639" s="706" t="s">
        <v>752</v>
      </c>
      <c r="N639" s="44"/>
      <c r="O639" s="44"/>
      <c r="Z639" s="543"/>
      <c r="BJ639" s="573" t="s">
        <v>4670</v>
      </c>
    </row>
    <row r="640" spans="1:62" x14ac:dyDescent="0.35">
      <c r="A640" s="403">
        <v>6</v>
      </c>
      <c r="B640" s="608">
        <v>610.1</v>
      </c>
      <c r="C640" s="604"/>
      <c r="D640" s="604"/>
      <c r="E640" s="604"/>
      <c r="F640" s="604"/>
      <c r="G640" s="605"/>
      <c r="I640" s="32"/>
      <c r="J640" s="4"/>
      <c r="K640" s="46"/>
      <c r="L640" s="706"/>
      <c r="N640" s="44"/>
      <c r="O640" s="44"/>
      <c r="Z640" s="543"/>
      <c r="BJ640" s="573" t="s">
        <v>4670</v>
      </c>
    </row>
    <row r="641" spans="1:62" x14ac:dyDescent="0.35">
      <c r="A641" s="403">
        <v>6</v>
      </c>
      <c r="B641" s="608">
        <v>610.1</v>
      </c>
      <c r="C641" s="604"/>
      <c r="D641" s="604"/>
      <c r="E641" s="604"/>
      <c r="F641" s="604"/>
      <c r="G641" s="605"/>
      <c r="I641" s="32"/>
      <c r="J641" s="4"/>
      <c r="K641" s="46"/>
      <c r="L641" s="706"/>
      <c r="N641" s="44"/>
      <c r="O641" s="44"/>
      <c r="Z641" s="543"/>
      <c r="BJ641" s="573" t="s">
        <v>4670</v>
      </c>
    </row>
    <row r="642" spans="1:62" x14ac:dyDescent="0.35">
      <c r="A642" s="403">
        <v>6</v>
      </c>
      <c r="B642" s="608">
        <v>610.1</v>
      </c>
      <c r="C642" s="604"/>
      <c r="D642" s="604"/>
      <c r="E642" s="604"/>
      <c r="F642" s="604"/>
      <c r="G642" s="605"/>
      <c r="I642" s="32"/>
      <c r="J642" s="4"/>
      <c r="K642" s="46"/>
      <c r="L642" s="706"/>
      <c r="N642" s="44"/>
      <c r="O642" s="44"/>
      <c r="Z642" s="543"/>
      <c r="BJ642" s="573" t="s">
        <v>4670</v>
      </c>
    </row>
    <row r="643" spans="1:62" x14ac:dyDescent="0.35">
      <c r="A643" s="403">
        <v>6</v>
      </c>
      <c r="B643" s="608">
        <v>610.1</v>
      </c>
      <c r="C643" s="604"/>
      <c r="D643" s="604"/>
      <c r="E643" s="604"/>
      <c r="F643" s="604"/>
      <c r="G643" s="605"/>
      <c r="I643" s="32"/>
      <c r="J643" s="4"/>
      <c r="K643" s="46"/>
      <c r="L643" s="706"/>
      <c r="N643" s="44"/>
      <c r="O643" s="44"/>
      <c r="Z643" s="543"/>
      <c r="BJ643" s="573" t="s">
        <v>4670</v>
      </c>
    </row>
    <row r="644" spans="1:62" ht="15" thickBot="1" x14ac:dyDescent="0.4">
      <c r="A644" s="403">
        <v>6</v>
      </c>
      <c r="B644" s="608">
        <v>610.1</v>
      </c>
      <c r="C644" s="604"/>
      <c r="D644" s="604"/>
      <c r="E644" s="604"/>
      <c r="F644" s="604"/>
      <c r="G644" s="605"/>
      <c r="I644" s="32"/>
      <c r="J644" s="4"/>
      <c r="K644" s="46"/>
      <c r="L644" s="706"/>
      <c r="N644" s="44"/>
      <c r="O644" s="44"/>
      <c r="Y644" s="58"/>
      <c r="Z644" s="566"/>
      <c r="BJ644" s="573" t="s">
        <v>4670</v>
      </c>
    </row>
    <row r="645" spans="1:62" ht="15" thickTop="1" x14ac:dyDescent="0.35">
      <c r="A645" s="403">
        <v>6</v>
      </c>
      <c r="B645" s="608" t="s">
        <v>753</v>
      </c>
      <c r="C645" s="604"/>
      <c r="D645" s="604"/>
      <c r="E645" s="604"/>
      <c r="F645" s="604"/>
      <c r="G645" s="600" t="str">
        <f>IF(COUNTIF(G647:G663,"P")&gt;0,"P","")</f>
        <v/>
      </c>
      <c r="H645" s="403" t="s">
        <v>4324</v>
      </c>
      <c r="I645" s="123" t="s">
        <v>753</v>
      </c>
      <c r="J645" s="124"/>
      <c r="K645" s="125"/>
      <c r="L645" s="711" t="s">
        <v>754</v>
      </c>
      <c r="M645" s="62"/>
      <c r="N645" s="195"/>
      <c r="O645" s="195"/>
      <c r="P645" s="62"/>
      <c r="Q645" s="62"/>
      <c r="R645" s="62"/>
      <c r="S645" s="62"/>
      <c r="T645" s="62"/>
      <c r="U645" s="62"/>
      <c r="V645" s="62"/>
      <c r="W645" s="62"/>
      <c r="X645" s="62"/>
      <c r="Z645" s="543"/>
      <c r="BJ645" s="573" t="s">
        <v>4670</v>
      </c>
    </row>
    <row r="646" spans="1:62" x14ac:dyDescent="0.35">
      <c r="A646" s="403">
        <v>6</v>
      </c>
      <c r="B646" s="608" t="s">
        <v>753</v>
      </c>
      <c r="C646" s="604"/>
      <c r="D646" s="604"/>
      <c r="E646" s="604"/>
      <c r="F646" s="604"/>
      <c r="G646" s="403" t="str">
        <f t="shared" ref="G646" si="195">G645</f>
        <v/>
      </c>
      <c r="H646" s="403" t="s">
        <v>4324</v>
      </c>
      <c r="I646" s="32"/>
      <c r="J646" s="4"/>
      <c r="K646" s="46"/>
      <c r="L646" s="706"/>
      <c r="N646" s="44"/>
      <c r="O646" s="44"/>
      <c r="Z646" s="543"/>
      <c r="BJ646" s="573" t="s">
        <v>4670</v>
      </c>
    </row>
    <row r="647" spans="1:62" x14ac:dyDescent="0.35">
      <c r="A647" s="403">
        <v>6</v>
      </c>
      <c r="B647" s="608" t="s">
        <v>753</v>
      </c>
      <c r="C647" s="604"/>
      <c r="D647" s="604"/>
      <c r="E647" s="604" t="s">
        <v>270</v>
      </c>
      <c r="F647" s="610"/>
      <c r="G647" s="403" t="str">
        <f>IF(N647&gt;0,"P","")</f>
        <v/>
      </c>
      <c r="H647" s="414" t="s">
        <v>4324</v>
      </c>
      <c r="I647" s="32"/>
      <c r="J647" s="19" t="s">
        <v>270</v>
      </c>
      <c r="K647" s="46"/>
      <c r="L647" s="707" t="s">
        <v>755</v>
      </c>
      <c r="M647" s="690">
        <v>8</v>
      </c>
      <c r="N647" s="834">
        <f>'Ch6'!O392</f>
        <v>0</v>
      </c>
      <c r="O647" s="834">
        <f>M647*S647*W647</f>
        <v>0</v>
      </c>
      <c r="P647" t="b">
        <v>1</v>
      </c>
      <c r="Q647" t="b">
        <v>0</v>
      </c>
      <c r="R647" t="b">
        <v>0</v>
      </c>
      <c r="S647" t="b">
        <f>NOT(OR(NOT(ISBLANK(W671)),NOT(ISBLANK(W678)),NOT(ISBLANK(W684)),NOT(ISBLANK(W690)),NOT(ISBLANK(W696)),NOT(ISBLANK(W702))))</f>
        <v>1</v>
      </c>
      <c r="T647" t="b">
        <f>IF(AND(NOT(S647),W647=TRUE),TRUE,FALSE)</f>
        <v>0</v>
      </c>
      <c r="W647" s="17"/>
      <c r="X647" s="688"/>
      <c r="Y647" s="891" t="str">
        <f>IF(LEN('Ch6'!X392)=0,"None",'Ch6'!X392)</f>
        <v>None</v>
      </c>
      <c r="Z647" s="892"/>
      <c r="AC647" t="b">
        <f>OR(AD647:AE647)</f>
        <v>0</v>
      </c>
      <c r="AD647" t="b">
        <f>T647</f>
        <v>0</v>
      </c>
      <c r="AL647" t="str">
        <f t="shared" ref="AL647" si="196">SUBSTITUTE(SUBSTITUTE(SUBSTITUTE("vpa"&amp;$B647&amp;$C647&amp;$D647&amp;$E647&amp;$F647,".","_"),"(","_"),")","")</f>
        <v>vpa610_1_1_1</v>
      </c>
      <c r="AM647">
        <f>M647</f>
        <v>8</v>
      </c>
      <c r="AN647" t="str">
        <f>SUBSTITUTE(SUBSTITUTE(SUBSTITUTE("vpc"&amp;$B647&amp;$C647&amp;$D647&amp;$E647&amp;$F647,".","_"),"(","_"),")","")</f>
        <v>vpc610_1_1_1</v>
      </c>
      <c r="AO647">
        <f>O647</f>
        <v>0</v>
      </c>
      <c r="AP647" t="str">
        <f>SUBSTITUTE(SUBSTITUTE(SUBSTITUTE("vch"&amp;$B647&amp;$C647&amp;$D647&amp;$E647&amp;$F647,".","_"),"(","_"),")","")</f>
        <v>vch610_1_1_1</v>
      </c>
      <c r="AQ647">
        <f>W647</f>
        <v>0</v>
      </c>
      <c r="AR647" t="str">
        <f>SUBSTITUTE(SUBSTITUTE(SUBSTITUTE("vnt"&amp;$B647&amp;$C647&amp;$D647&amp;$E647&amp;$F647,".","_"),"(","_"),")","")</f>
        <v>vnt610_1_1_1</v>
      </c>
      <c r="AS647">
        <f>X647</f>
        <v>0</v>
      </c>
      <c r="BJ647" s="573" t="s">
        <v>4670</v>
      </c>
    </row>
    <row r="648" spans="1:62" x14ac:dyDescent="0.35">
      <c r="A648" s="403">
        <v>6</v>
      </c>
      <c r="B648" s="608" t="s">
        <v>753</v>
      </c>
      <c r="C648" s="604"/>
      <c r="D648" s="604"/>
      <c r="E648" s="604"/>
      <c r="F648" s="610"/>
      <c r="G648" s="403" t="str">
        <f t="shared" ref="G648:G655" si="197">G647</f>
        <v/>
      </c>
      <c r="H648" s="414" t="s">
        <v>4324</v>
      </c>
      <c r="I648" s="32"/>
      <c r="J648" s="4"/>
      <c r="K648" s="46"/>
      <c r="L648" s="707"/>
      <c r="M648" s="690"/>
      <c r="N648" s="834"/>
      <c r="O648" s="834"/>
      <c r="X648" s="688"/>
      <c r="Y648" s="891"/>
      <c r="Z648" s="892"/>
      <c r="BJ648" s="573" t="s">
        <v>4670</v>
      </c>
    </row>
    <row r="649" spans="1:62" x14ac:dyDescent="0.35">
      <c r="A649" s="403">
        <v>6</v>
      </c>
      <c r="B649" s="608" t="s">
        <v>753</v>
      </c>
      <c r="C649" s="604"/>
      <c r="D649" s="604"/>
      <c r="E649" s="604"/>
      <c r="F649" s="610"/>
      <c r="G649" s="403" t="str">
        <f t="shared" si="197"/>
        <v/>
      </c>
      <c r="H649" s="414" t="s">
        <v>4324</v>
      </c>
      <c r="I649" s="32"/>
      <c r="J649" s="4"/>
      <c r="K649" s="46"/>
      <c r="L649" s="707"/>
      <c r="M649" s="690"/>
      <c r="N649" s="834"/>
      <c r="O649" s="834"/>
      <c r="X649" s="688"/>
      <c r="Y649" s="891"/>
      <c r="Z649" s="892"/>
      <c r="BJ649" s="573" t="s">
        <v>4670</v>
      </c>
    </row>
    <row r="650" spans="1:62" x14ac:dyDescent="0.35">
      <c r="A650" s="403">
        <v>6</v>
      </c>
      <c r="B650" s="608" t="s">
        <v>753</v>
      </c>
      <c r="C650" s="604"/>
      <c r="D650" s="604"/>
      <c r="E650" s="604" t="s">
        <v>270</v>
      </c>
      <c r="F650" s="604" t="s">
        <v>121</v>
      </c>
      <c r="G650" s="403" t="str">
        <f t="shared" si="197"/>
        <v/>
      </c>
      <c r="H650" s="605" t="s">
        <v>4324</v>
      </c>
      <c r="I650" s="32"/>
      <c r="J650" s="4"/>
      <c r="K650" s="50" t="s">
        <v>121</v>
      </c>
      <c r="L650" s="46" t="s">
        <v>756</v>
      </c>
      <c r="M650" s="690"/>
      <c r="N650" s="834"/>
      <c r="O650" s="834"/>
      <c r="X650" s="688"/>
      <c r="Y650" s="891"/>
      <c r="Z650" s="892"/>
      <c r="BJ650" s="573" t="s">
        <v>4670</v>
      </c>
    </row>
    <row r="651" spans="1:62" x14ac:dyDescent="0.35">
      <c r="A651" s="403">
        <v>6</v>
      </c>
      <c r="B651" s="608" t="s">
        <v>753</v>
      </c>
      <c r="C651" s="604"/>
      <c r="D651" s="604"/>
      <c r="E651" s="604" t="s">
        <v>270</v>
      </c>
      <c r="F651" s="604" t="s">
        <v>122</v>
      </c>
      <c r="G651" s="403" t="str">
        <f t="shared" si="197"/>
        <v/>
      </c>
      <c r="H651" s="605" t="s">
        <v>4324</v>
      </c>
      <c r="I651" s="32"/>
      <c r="J651" s="4"/>
      <c r="K651" s="50" t="s">
        <v>122</v>
      </c>
      <c r="L651" s="46" t="s">
        <v>757</v>
      </c>
      <c r="M651" s="690"/>
      <c r="N651" s="834"/>
      <c r="O651" s="834"/>
      <c r="X651" s="688"/>
      <c r="Y651" s="891"/>
      <c r="Z651" s="892"/>
      <c r="BJ651" s="573" t="s">
        <v>4670</v>
      </c>
    </row>
    <row r="652" spans="1:62" x14ac:dyDescent="0.35">
      <c r="A652" s="403">
        <v>6</v>
      </c>
      <c r="B652" s="608" t="s">
        <v>753</v>
      </c>
      <c r="C652" s="604"/>
      <c r="D652" s="604"/>
      <c r="E652" s="604" t="s">
        <v>270</v>
      </c>
      <c r="F652" s="604" t="s">
        <v>123</v>
      </c>
      <c r="G652" s="403" t="str">
        <f t="shared" si="197"/>
        <v/>
      </c>
      <c r="H652" s="605" t="s">
        <v>4324</v>
      </c>
      <c r="I652" s="32"/>
      <c r="J652" s="4"/>
      <c r="K652" s="50" t="s">
        <v>123</v>
      </c>
      <c r="L652" s="46" t="s">
        <v>758</v>
      </c>
      <c r="M652" s="690"/>
      <c r="N652" s="834"/>
      <c r="O652" s="834"/>
      <c r="X652" s="688"/>
      <c r="Y652" s="891"/>
      <c r="Z652" s="892"/>
      <c r="BJ652" s="573" t="s">
        <v>4670</v>
      </c>
    </row>
    <row r="653" spans="1:62" x14ac:dyDescent="0.35">
      <c r="A653" s="403">
        <v>6</v>
      </c>
      <c r="B653" s="608" t="s">
        <v>753</v>
      </c>
      <c r="C653" s="604"/>
      <c r="D653" s="604"/>
      <c r="E653" s="604" t="s">
        <v>270</v>
      </c>
      <c r="F653" s="606" t="s">
        <v>420</v>
      </c>
      <c r="G653" s="403" t="str">
        <f t="shared" si="197"/>
        <v/>
      </c>
      <c r="H653" s="607" t="s">
        <v>4324</v>
      </c>
      <c r="I653" s="32"/>
      <c r="J653" s="4"/>
      <c r="K653" s="52" t="s">
        <v>420</v>
      </c>
      <c r="L653" s="46" t="s">
        <v>759</v>
      </c>
      <c r="M653" s="690"/>
      <c r="N653" s="834"/>
      <c r="O653" s="834"/>
      <c r="X653" s="688"/>
      <c r="Y653" s="891"/>
      <c r="Z653" s="892"/>
      <c r="BJ653" s="573" t="s">
        <v>4670</v>
      </c>
    </row>
    <row r="654" spans="1:62" x14ac:dyDescent="0.35">
      <c r="A654" s="403">
        <v>6</v>
      </c>
      <c r="B654" s="608" t="s">
        <v>753</v>
      </c>
      <c r="C654" s="604"/>
      <c r="D654" s="604"/>
      <c r="E654" s="604" t="s">
        <v>270</v>
      </c>
      <c r="F654" s="604" t="s">
        <v>575</v>
      </c>
      <c r="G654" s="403" t="str">
        <f t="shared" si="197"/>
        <v/>
      </c>
      <c r="H654" s="403" t="s">
        <v>4324</v>
      </c>
      <c r="I654" s="32"/>
      <c r="J654" s="4"/>
      <c r="K654" s="48" t="s">
        <v>575</v>
      </c>
      <c r="L654" s="46" t="s">
        <v>760</v>
      </c>
      <c r="M654" s="690"/>
      <c r="N654" s="834"/>
      <c r="O654" s="834"/>
      <c r="X654" s="688"/>
      <c r="Y654" s="891"/>
      <c r="Z654" s="892"/>
      <c r="BJ654" s="573" t="s">
        <v>4670</v>
      </c>
    </row>
    <row r="655" spans="1:62" x14ac:dyDescent="0.35">
      <c r="A655" s="403">
        <v>6</v>
      </c>
      <c r="B655" s="608" t="s">
        <v>753</v>
      </c>
      <c r="C655" s="604"/>
      <c r="D655" s="604"/>
      <c r="E655" s="604" t="s">
        <v>270</v>
      </c>
      <c r="F655" s="604" t="s">
        <v>642</v>
      </c>
      <c r="G655" s="403" t="str">
        <f t="shared" si="197"/>
        <v/>
      </c>
      <c r="H655" s="605" t="s">
        <v>4324</v>
      </c>
      <c r="I655" s="32"/>
      <c r="J655" s="155"/>
      <c r="K655" s="115" t="s">
        <v>642</v>
      </c>
      <c r="L655" s="116" t="s">
        <v>761</v>
      </c>
      <c r="M655" s="691"/>
      <c r="N655" s="886"/>
      <c r="O655" s="886"/>
      <c r="X655" s="688"/>
      <c r="Y655" s="891"/>
      <c r="Z655" s="892"/>
      <c r="BJ655" s="573" t="s">
        <v>4670</v>
      </c>
    </row>
    <row r="656" spans="1:62" x14ac:dyDescent="0.35">
      <c r="A656" s="403">
        <v>6</v>
      </c>
      <c r="B656" s="608" t="s">
        <v>753</v>
      </c>
      <c r="C656" s="604"/>
      <c r="D656" s="604"/>
      <c r="E656" s="604" t="s">
        <v>272</v>
      </c>
      <c r="F656" s="610"/>
      <c r="G656" s="403" t="str">
        <f>IF(N656&gt;0,"P","")</f>
        <v/>
      </c>
      <c r="H656" s="414" t="s">
        <v>4324</v>
      </c>
      <c r="I656" s="32"/>
      <c r="J656" s="154" t="s">
        <v>272</v>
      </c>
      <c r="K656" s="137"/>
      <c r="L656" s="742" t="s">
        <v>762</v>
      </c>
      <c r="M656" s="712">
        <v>5</v>
      </c>
      <c r="N656" s="868">
        <f>'Ch6'!O401</f>
        <v>0</v>
      </c>
      <c r="O656" s="868">
        <f>M656*S656*W656</f>
        <v>0</v>
      </c>
      <c r="P656" t="b">
        <v>1</v>
      </c>
      <c r="Q656" t="b">
        <v>0</v>
      </c>
      <c r="R656" t="b">
        <v>0</v>
      </c>
      <c r="S656" t="b">
        <f>NOT(OR(NOT(ISBLANK(W671)),NOT(ISBLANK(W678)),NOT(ISBLANK(W684)),NOT(ISBLANK(W690)),NOT(ISBLANK(W696)),NOT(ISBLANK(W702))))</f>
        <v>1</v>
      </c>
      <c r="T656" t="b">
        <f>IF(AND(NOT(S656),W656=TRUE),TRUE,FALSE)</f>
        <v>0</v>
      </c>
      <c r="W656" s="17"/>
      <c r="X656" s="688"/>
      <c r="Y656" s="891" t="str">
        <f>IF(LEN('Ch6'!X401)=0,"None",'Ch6'!X401)</f>
        <v>None</v>
      </c>
      <c r="Z656" s="892"/>
      <c r="AC656" t="b">
        <f>OR(AD656:AE656)</f>
        <v>0</v>
      </c>
      <c r="AD656" t="b">
        <f>T656</f>
        <v>0</v>
      </c>
      <c r="AL656" t="str">
        <f t="shared" ref="AL656" si="198">SUBSTITUTE(SUBSTITUTE(SUBSTITUTE("vpa"&amp;$B656&amp;$C656&amp;$D656&amp;$E656&amp;$F656,".","_"),"(","_"),")","")</f>
        <v>vpa610_1_1_2</v>
      </c>
      <c r="AM656">
        <f>M656</f>
        <v>5</v>
      </c>
      <c r="AN656" t="str">
        <f>SUBSTITUTE(SUBSTITUTE(SUBSTITUTE("vpc"&amp;$B656&amp;$C656&amp;$D656&amp;$E656&amp;$F656,".","_"),"(","_"),")","")</f>
        <v>vpc610_1_1_2</v>
      </c>
      <c r="AO656">
        <f>O656</f>
        <v>0</v>
      </c>
      <c r="AP656" t="str">
        <f>SUBSTITUTE(SUBSTITUTE(SUBSTITUTE("vch"&amp;$B656&amp;$C656&amp;$D656&amp;$E656&amp;$F656,".","_"),"(","_"),")","")</f>
        <v>vch610_1_1_2</v>
      </c>
      <c r="AQ656">
        <f>W656</f>
        <v>0</v>
      </c>
      <c r="AR656" t="str">
        <f>SUBSTITUTE(SUBSTITUTE(SUBSTITUTE("vnt"&amp;$B656&amp;$C656&amp;$D656&amp;$E656&amp;$F656,".","_"),"(","_"),")","")</f>
        <v>vnt610_1_1_2</v>
      </c>
      <c r="AS656">
        <f>X656</f>
        <v>0</v>
      </c>
      <c r="BJ656" s="573" t="s">
        <v>4670</v>
      </c>
    </row>
    <row r="657" spans="1:62" x14ac:dyDescent="0.35">
      <c r="A657" s="403">
        <v>6</v>
      </c>
      <c r="B657" s="608" t="s">
        <v>753</v>
      </c>
      <c r="C657" s="604"/>
      <c r="D657" s="604"/>
      <c r="E657" s="604" t="s">
        <v>272</v>
      </c>
      <c r="F657" s="610"/>
      <c r="G657" s="403" t="str">
        <f t="shared" ref="G657:G662" si="199">G656</f>
        <v/>
      </c>
      <c r="H657" s="414" t="s">
        <v>4324</v>
      </c>
      <c r="I657" s="32"/>
      <c r="J657" s="4"/>
      <c r="K657" s="46"/>
      <c r="L657" s="707"/>
      <c r="M657" s="690"/>
      <c r="N657" s="834"/>
      <c r="O657" s="834"/>
      <c r="X657" s="688"/>
      <c r="Y657" s="891"/>
      <c r="Z657" s="892"/>
      <c r="BJ657" s="573" t="s">
        <v>4670</v>
      </c>
    </row>
    <row r="658" spans="1:62" x14ac:dyDescent="0.35">
      <c r="A658" s="403">
        <v>6</v>
      </c>
      <c r="B658" s="608" t="s">
        <v>753</v>
      </c>
      <c r="C658" s="604"/>
      <c r="D658" s="604"/>
      <c r="E658" s="604" t="s">
        <v>272</v>
      </c>
      <c r="F658" s="610"/>
      <c r="G658" s="403" t="str">
        <f t="shared" si="199"/>
        <v/>
      </c>
      <c r="H658" s="414" t="s">
        <v>4324</v>
      </c>
      <c r="I658" s="32"/>
      <c r="J658" s="4"/>
      <c r="K658" s="46"/>
      <c r="L658" s="707"/>
      <c r="M658" s="690"/>
      <c r="N658" s="834"/>
      <c r="O658" s="834"/>
      <c r="X658" s="688"/>
      <c r="Y658" s="891"/>
      <c r="Z658" s="892"/>
      <c r="BJ658" s="573" t="s">
        <v>4670</v>
      </c>
    </row>
    <row r="659" spans="1:62" x14ac:dyDescent="0.35">
      <c r="A659" s="403">
        <v>6</v>
      </c>
      <c r="B659" s="608" t="s">
        <v>753</v>
      </c>
      <c r="C659" s="604"/>
      <c r="D659" s="604"/>
      <c r="E659" s="604" t="s">
        <v>272</v>
      </c>
      <c r="F659" s="610"/>
      <c r="G659" s="403" t="str">
        <f t="shared" si="199"/>
        <v/>
      </c>
      <c r="H659" s="414" t="s">
        <v>4324</v>
      </c>
      <c r="I659" s="32"/>
      <c r="J659" s="4"/>
      <c r="K659" s="46"/>
      <c r="L659" s="707"/>
      <c r="M659" s="690"/>
      <c r="N659" s="834"/>
      <c r="O659" s="834"/>
      <c r="X659" s="688"/>
      <c r="Y659" s="891"/>
      <c r="Z659" s="892"/>
      <c r="BJ659" s="573" t="s">
        <v>4670</v>
      </c>
    </row>
    <row r="660" spans="1:62" x14ac:dyDescent="0.35">
      <c r="A660" s="403">
        <v>6</v>
      </c>
      <c r="B660" s="608" t="s">
        <v>753</v>
      </c>
      <c r="C660" s="604"/>
      <c r="D660" s="604"/>
      <c r="E660" s="604" t="s">
        <v>272</v>
      </c>
      <c r="F660" s="610"/>
      <c r="G660" s="403" t="str">
        <f t="shared" si="199"/>
        <v/>
      </c>
      <c r="H660" s="414" t="s">
        <v>4324</v>
      </c>
      <c r="I660" s="32"/>
      <c r="J660" s="4"/>
      <c r="K660" s="46"/>
      <c r="L660" s="707"/>
      <c r="M660" s="690"/>
      <c r="N660" s="834"/>
      <c r="O660" s="834"/>
      <c r="X660" s="688"/>
      <c r="Y660" s="891"/>
      <c r="Z660" s="892"/>
      <c r="BJ660" s="573" t="s">
        <v>4670</v>
      </c>
    </row>
    <row r="661" spans="1:62" x14ac:dyDescent="0.35">
      <c r="A661" s="403">
        <v>6</v>
      </c>
      <c r="B661" s="608" t="s">
        <v>753</v>
      </c>
      <c r="C661" s="604"/>
      <c r="D661" s="604"/>
      <c r="E661" s="604" t="s">
        <v>272</v>
      </c>
      <c r="F661" s="610"/>
      <c r="G661" s="403" t="str">
        <f t="shared" si="199"/>
        <v/>
      </c>
      <c r="H661" s="414" t="s">
        <v>4324</v>
      </c>
      <c r="I661" s="32"/>
      <c r="J661" s="4"/>
      <c r="K661" s="46"/>
      <c r="L661" s="707"/>
      <c r="M661" s="690"/>
      <c r="N661" s="834"/>
      <c r="O661" s="834"/>
      <c r="X661" s="688"/>
      <c r="Y661" s="891"/>
      <c r="Z661" s="892"/>
      <c r="BJ661" s="573" t="s">
        <v>4670</v>
      </c>
    </row>
    <row r="662" spans="1:62" x14ac:dyDescent="0.35">
      <c r="A662" s="403">
        <v>6</v>
      </c>
      <c r="B662" s="608" t="s">
        <v>753</v>
      </c>
      <c r="C662" s="604"/>
      <c r="D662" s="604"/>
      <c r="E662" s="604" t="s">
        <v>272</v>
      </c>
      <c r="F662" s="610"/>
      <c r="G662" s="403" t="str">
        <f t="shared" si="199"/>
        <v/>
      </c>
      <c r="H662" s="414" t="s">
        <v>4324</v>
      </c>
      <c r="I662" s="32"/>
      <c r="J662" s="155"/>
      <c r="K662" s="116"/>
      <c r="L662" s="709"/>
      <c r="M662" s="691"/>
      <c r="N662" s="886"/>
      <c r="O662" s="886"/>
      <c r="X662" s="688"/>
      <c r="Y662" s="891"/>
      <c r="Z662" s="892"/>
      <c r="BJ662" s="573" t="s">
        <v>4670</v>
      </c>
    </row>
    <row r="663" spans="1:62" x14ac:dyDescent="0.35">
      <c r="A663" s="403">
        <v>6</v>
      </c>
      <c r="B663" s="608" t="s">
        <v>753</v>
      </c>
      <c r="C663" s="604"/>
      <c r="D663" s="604"/>
      <c r="E663" s="604" t="s">
        <v>274</v>
      </c>
      <c r="F663" s="610"/>
      <c r="G663" s="403" t="str">
        <f>IF(N663&gt;0,"P","")</f>
        <v/>
      </c>
      <c r="H663" s="414" t="s">
        <v>4324</v>
      </c>
      <c r="I663" s="32"/>
      <c r="J663" s="19" t="s">
        <v>274</v>
      </c>
      <c r="K663" s="46"/>
      <c r="L663" s="707" t="s">
        <v>763</v>
      </c>
      <c r="M663" s="690">
        <v>2</v>
      </c>
      <c r="N663" s="868">
        <f>'Ch6'!O408</f>
        <v>0</v>
      </c>
      <c r="O663" s="834">
        <f>M663*S663*W663</f>
        <v>0</v>
      </c>
      <c r="P663" t="b">
        <v>1</v>
      </c>
      <c r="Q663" t="b">
        <v>0</v>
      </c>
      <c r="R663" t="b">
        <v>0</v>
      </c>
      <c r="S663" t="b">
        <f>NOT(OR(NOT(ISBLANK(W671)),NOT(ISBLANK(W678)),NOT(ISBLANK(W684)),NOT(ISBLANK(W690)),NOT(ISBLANK(W696)),NOT(ISBLANK(W702))))</f>
        <v>1</v>
      </c>
      <c r="T663" t="b">
        <f>IF(AND(NOT(S663),W663=TRUE),TRUE,FALSE)</f>
        <v>0</v>
      </c>
      <c r="W663" s="17"/>
      <c r="X663" s="698"/>
      <c r="Y663" s="891" t="str">
        <f>IF(LEN('Ch6'!X408)=0,"None",'Ch6'!X408)</f>
        <v>None</v>
      </c>
      <c r="Z663" s="892"/>
      <c r="AC663" t="b">
        <f>OR(AD663:AE663)</f>
        <v>0</v>
      </c>
      <c r="AD663" t="b">
        <f>T663</f>
        <v>0</v>
      </c>
      <c r="AL663" t="str">
        <f t="shared" ref="AL663" si="200">SUBSTITUTE(SUBSTITUTE(SUBSTITUTE("vpa"&amp;$B663&amp;$C663&amp;$D663&amp;$E663&amp;$F663,".","_"),"(","_"),")","")</f>
        <v>vpa610_1_1_3</v>
      </c>
      <c r="AM663">
        <f>M663</f>
        <v>2</v>
      </c>
      <c r="AN663" t="str">
        <f>SUBSTITUTE(SUBSTITUTE(SUBSTITUTE("vpc"&amp;$B663&amp;$C663&amp;$D663&amp;$E663&amp;$F663,".","_"),"(","_"),")","")</f>
        <v>vpc610_1_1_3</v>
      </c>
      <c r="AO663">
        <f>O663</f>
        <v>0</v>
      </c>
      <c r="AP663" t="str">
        <f>SUBSTITUTE(SUBSTITUTE(SUBSTITUTE("vch"&amp;$B663&amp;$C663&amp;$D663&amp;$E663&amp;$F663,".","_"),"(","_"),")","")</f>
        <v>vch610_1_1_3</v>
      </c>
      <c r="AQ663">
        <f>W663</f>
        <v>0</v>
      </c>
      <c r="AR663" t="str">
        <f>SUBSTITUTE(SUBSTITUTE(SUBSTITUTE("vnt"&amp;$B663&amp;$C663&amp;$D663&amp;$E663&amp;$F663,".","_"),"(","_"),")","")</f>
        <v>vnt610_1_1_3</v>
      </c>
      <c r="AS663">
        <f>X663</f>
        <v>0</v>
      </c>
      <c r="BJ663" s="573" t="s">
        <v>4670</v>
      </c>
    </row>
    <row r="664" spans="1:62" ht="15" thickBot="1" x14ac:dyDescent="0.4">
      <c r="A664" s="403">
        <v>6</v>
      </c>
      <c r="B664" s="608" t="s">
        <v>753</v>
      </c>
      <c r="C664" s="604"/>
      <c r="D664" s="604"/>
      <c r="E664" s="604" t="s">
        <v>274</v>
      </c>
      <c r="F664" s="610"/>
      <c r="G664" s="403" t="str">
        <f t="shared" ref="G664" si="201">G663</f>
        <v/>
      </c>
      <c r="H664" s="414" t="s">
        <v>4324</v>
      </c>
      <c r="I664" s="32"/>
      <c r="J664" s="4"/>
      <c r="K664" s="46"/>
      <c r="L664" s="707"/>
      <c r="M664" s="690"/>
      <c r="N664" s="938"/>
      <c r="O664" s="834"/>
      <c r="X664" s="699"/>
      <c r="Y664" s="905"/>
      <c r="Z664" s="895"/>
      <c r="BJ664" s="573" t="s">
        <v>4670</v>
      </c>
    </row>
    <row r="665" spans="1:62" ht="15" thickTop="1" x14ac:dyDescent="0.35">
      <c r="A665" s="403">
        <v>6</v>
      </c>
      <c r="B665" s="608" t="s">
        <v>764</v>
      </c>
      <c r="C665" s="604"/>
      <c r="D665" s="604"/>
      <c r="E665" s="604"/>
      <c r="F665" s="604"/>
      <c r="G665" s="403" t="str">
        <f ca="1">IF(N665&gt;0,"P","")</f>
        <v/>
      </c>
      <c r="H665" s="403" t="s">
        <v>4324</v>
      </c>
      <c r="I665" s="123" t="s">
        <v>764</v>
      </c>
      <c r="J665" s="124"/>
      <c r="K665" s="125"/>
      <c r="L665" s="711" t="s">
        <v>765</v>
      </c>
      <c r="M665" s="692" t="s">
        <v>766</v>
      </c>
      <c r="N665" s="940">
        <f ca="1">'Ch6'!O410</f>
        <v>0</v>
      </c>
      <c r="O665" s="940">
        <f ca="1">MIN(10,(R672+R679)+IFERROR((INDEX({3,3,6,4,4,6,8,5,5,9,9,10},MATCH(R683*4+S683*5,{8,9,10,12,13,14,15,16,17,18,19,20},0))),0))</f>
        <v>0</v>
      </c>
      <c r="P665" s="62"/>
      <c r="Q665" s="62"/>
      <c r="R665" s="62"/>
      <c r="S665" s="62"/>
      <c r="T665" s="62"/>
      <c r="U665" s="62"/>
      <c r="V665" s="62"/>
      <c r="W665" s="62"/>
      <c r="X665" s="62"/>
      <c r="Z665" s="543"/>
      <c r="AL665" t="str">
        <f t="shared" ref="AL665" si="202">SUBSTITUTE(SUBSTITUTE(SUBSTITUTE("vpa"&amp;$B665&amp;$C665&amp;$D665&amp;$E665&amp;$F665,".","_"),"(","_"),")","")</f>
        <v>vpa610_1_2</v>
      </c>
      <c r="AM665" t="str">
        <f>M665</f>
        <v xml:space="preserve">10 Max </v>
      </c>
      <c r="AN665" t="str">
        <f>SUBSTITUTE(SUBSTITUTE(SUBSTITUTE("vpc"&amp;$B665&amp;$C665&amp;$D665&amp;$E665&amp;$F665,".","_"),"(","_"),")","")</f>
        <v>vpc610_1_2</v>
      </c>
      <c r="AO665">
        <f ca="1">O665</f>
        <v>0</v>
      </c>
      <c r="BJ665" s="573" t="s">
        <v>4670</v>
      </c>
    </row>
    <row r="666" spans="1:62" x14ac:dyDescent="0.35">
      <c r="A666" s="403">
        <v>6</v>
      </c>
      <c r="B666" s="608" t="s">
        <v>764</v>
      </c>
      <c r="C666" s="604"/>
      <c r="D666" s="604"/>
      <c r="E666" s="604"/>
      <c r="F666" s="604"/>
      <c r="G666" s="403" t="str">
        <f t="shared" ref="G666:G706" ca="1" si="203">G665</f>
        <v/>
      </c>
      <c r="H666" s="403" t="s">
        <v>4324</v>
      </c>
      <c r="I666" s="32"/>
      <c r="J666" s="4"/>
      <c r="K666" s="46"/>
      <c r="L666" s="706"/>
      <c r="M666" s="690"/>
      <c r="N666" s="834"/>
      <c r="O666" s="834"/>
      <c r="Z666" s="543"/>
      <c r="BJ666" s="573" t="s">
        <v>4670</v>
      </c>
    </row>
    <row r="667" spans="1:62" x14ac:dyDescent="0.35">
      <c r="A667" s="403">
        <v>6</v>
      </c>
      <c r="B667" s="608" t="s">
        <v>764</v>
      </c>
      <c r="C667" s="604"/>
      <c r="D667" s="604"/>
      <c r="E667" s="604"/>
      <c r="F667" s="604"/>
      <c r="G667" s="403" t="str">
        <f t="shared" ca="1" si="203"/>
        <v/>
      </c>
      <c r="H667" s="403" t="s">
        <v>4324</v>
      </c>
      <c r="I667" s="32"/>
      <c r="J667" s="4"/>
      <c r="K667" s="46"/>
      <c r="L667" s="706"/>
      <c r="M667" s="690"/>
      <c r="N667" s="834"/>
      <c r="O667" s="834"/>
      <c r="Z667" s="543"/>
      <c r="BJ667" s="573" t="s">
        <v>4670</v>
      </c>
    </row>
    <row r="668" spans="1:62" x14ac:dyDescent="0.35">
      <c r="A668" s="403">
        <v>6</v>
      </c>
      <c r="B668" s="608" t="s">
        <v>764</v>
      </c>
      <c r="C668" s="604"/>
      <c r="D668" s="604"/>
      <c r="E668" s="604"/>
      <c r="F668" s="604"/>
      <c r="G668" s="403" t="str">
        <f t="shared" ca="1" si="203"/>
        <v/>
      </c>
      <c r="H668" s="403" t="s">
        <v>4324</v>
      </c>
      <c r="I668" s="161"/>
      <c r="J668" s="155"/>
      <c r="K668" s="116"/>
      <c r="L668" s="739"/>
      <c r="M668" s="691"/>
      <c r="N668" s="886"/>
      <c r="O668" s="886"/>
      <c r="Z668" s="543"/>
      <c r="BJ668" s="573" t="s">
        <v>4670</v>
      </c>
    </row>
    <row r="669" spans="1:62" x14ac:dyDescent="0.35">
      <c r="A669" s="403">
        <v>6</v>
      </c>
      <c r="B669" s="608" t="s">
        <v>767</v>
      </c>
      <c r="C669" s="604"/>
      <c r="D669" s="604"/>
      <c r="E669" s="604"/>
      <c r="F669" s="604"/>
      <c r="G669" s="403" t="str">
        <f t="shared" ca="1" si="203"/>
        <v/>
      </c>
      <c r="H669" s="403" t="s">
        <v>4324</v>
      </c>
      <c r="I669" s="135" t="s">
        <v>767</v>
      </c>
      <c r="J669" s="136"/>
      <c r="K669" s="137"/>
      <c r="L669" s="753" t="s">
        <v>768</v>
      </c>
      <c r="M669" s="765" t="s">
        <v>3323</v>
      </c>
      <c r="N669" s="44"/>
      <c r="O669" s="44"/>
      <c r="W669" s="637" t="s">
        <v>3310</v>
      </c>
      <c r="X669" s="688"/>
      <c r="Y669" s="891" t="str">
        <f>IF(LEN('Ch6'!X414)=0,"None",'Ch6'!X414)</f>
        <v>None</v>
      </c>
      <c r="Z669" s="892"/>
      <c r="AL669" t="str">
        <f t="shared" ref="AL669" si="204">SUBSTITUTE(SUBSTITUTE(SUBSTITUTE("vpa"&amp;$B669&amp;$C669&amp;$D669&amp;$E669&amp;$F669,".","_"),"(","_"),")","")</f>
        <v>vpa610_1_2_1</v>
      </c>
      <c r="AM669" t="str">
        <f>M669</f>
        <v>per Table 610.1.2.1
10 Max</v>
      </c>
      <c r="AR669" t="str">
        <f>SUBSTITUTE(SUBSTITUTE(SUBSTITUTE("vnt"&amp;$B669&amp;$C669&amp;$D669&amp;$E669&amp;$F669,".","_"),"(","_"),")","")</f>
        <v>vnt610_1_2_1</v>
      </c>
      <c r="AS669">
        <f>X669</f>
        <v>0</v>
      </c>
      <c r="BJ669" s="573" t="s">
        <v>4670</v>
      </c>
    </row>
    <row r="670" spans="1:62" x14ac:dyDescent="0.35">
      <c r="A670" s="403">
        <v>6</v>
      </c>
      <c r="B670" s="608" t="s">
        <v>767</v>
      </c>
      <c r="C670" s="604"/>
      <c r="D670" s="604"/>
      <c r="E670" s="604"/>
      <c r="F670" s="604"/>
      <c r="G670" s="403" t="str">
        <f t="shared" ca="1" si="203"/>
        <v/>
      </c>
      <c r="H670" s="403" t="s">
        <v>4324</v>
      </c>
      <c r="I670" s="32"/>
      <c r="J670" s="4"/>
      <c r="K670" s="46"/>
      <c r="L670" s="706"/>
      <c r="M670" s="768"/>
      <c r="N670" s="44"/>
      <c r="O670" s="44"/>
      <c r="W670" s="637"/>
      <c r="X670" s="688"/>
      <c r="Y670" s="891"/>
      <c r="Z670" s="892"/>
      <c r="BJ670" s="573" t="s">
        <v>4670</v>
      </c>
    </row>
    <row r="671" spans="1:62" x14ac:dyDescent="0.35">
      <c r="A671" s="403">
        <v>6</v>
      </c>
      <c r="B671" s="608" t="s">
        <v>767</v>
      </c>
      <c r="C671" s="604"/>
      <c r="D671" s="604"/>
      <c r="E671" s="604" t="s">
        <v>3170</v>
      </c>
      <c r="F671" s="604"/>
      <c r="G671" s="403" t="str">
        <f t="shared" ca="1" si="203"/>
        <v/>
      </c>
      <c r="H671" s="403" t="s">
        <v>4324</v>
      </c>
      <c r="I671" s="32"/>
      <c r="J671" s="4"/>
      <c r="K671" s="46"/>
      <c r="L671" s="706"/>
      <c r="M671" s="768"/>
      <c r="N671" s="44"/>
      <c r="O671" s="44"/>
      <c r="P671" t="b">
        <v>1</v>
      </c>
      <c r="Q671" t="b">
        <v>0</v>
      </c>
      <c r="R671" t="b">
        <v>0</v>
      </c>
      <c r="S671" t="b">
        <f>COUNTIF(W647:W663,TRUE)&lt;1</f>
        <v>1</v>
      </c>
      <c r="T671" t="b">
        <f>IF(AND(NOT(S671),LEN(W671)&gt;0),TRUE,FALSE)</f>
        <v>0</v>
      </c>
      <c r="U671" t="str">
        <f>SUBSTITUTE(SUBSTITUTE(SUBSTITUTE("dd"&amp;B671&amp;C671&amp;D671&amp;E671&amp;F671,".","_"),"(","_"),")","")</f>
        <v>dd610_1_2_1a</v>
      </c>
      <c r="W671" s="9"/>
      <c r="X671" s="688"/>
      <c r="Y671" s="891"/>
      <c r="Z671" s="892"/>
      <c r="AC671" t="b">
        <f>OR(AD671:AE671)</f>
        <v>0</v>
      </c>
      <c r="AD671" t="b">
        <f>T671</f>
        <v>0</v>
      </c>
      <c r="AE671" t="b">
        <f>AND(NOT(ISBLANK(W671)),LEN(X669)=0)</f>
        <v>0</v>
      </c>
      <c r="AF671" t="b">
        <f>AND(AE671,NOT(Q671))</f>
        <v>0</v>
      </c>
      <c r="AP671" t="str">
        <f>SUBSTITUTE(SUBSTITUTE(SUBSTITUTE("vch"&amp;$B671&amp;$C671&amp;$D671&amp;$E671&amp;$F671,".","_"),"(","_"),")","")</f>
        <v>vch610_1_2_1a</v>
      </c>
      <c r="AQ671">
        <f>W671</f>
        <v>0</v>
      </c>
      <c r="BJ671" s="573" t="s">
        <v>4670</v>
      </c>
    </row>
    <row r="672" spans="1:62" x14ac:dyDescent="0.35">
      <c r="A672" s="403">
        <v>6</v>
      </c>
      <c r="B672" s="608" t="s">
        <v>767</v>
      </c>
      <c r="C672" s="604"/>
      <c r="D672" s="604"/>
      <c r="E672" s="604"/>
      <c r="F672" s="604" t="s">
        <v>121</v>
      </c>
      <c r="G672" s="403" t="str">
        <f t="shared" ca="1" si="203"/>
        <v/>
      </c>
      <c r="H672" s="605" t="s">
        <v>4324</v>
      </c>
      <c r="I672" s="32"/>
      <c r="J672" s="4"/>
      <c r="K672" s="50" t="s">
        <v>121</v>
      </c>
      <c r="L672" s="46" t="s">
        <v>756</v>
      </c>
      <c r="M672" s="768"/>
      <c r="N672" s="44"/>
      <c r="O672" s="44"/>
      <c r="R672" s="1">
        <f ca="1">2*IFERROR(MATCH(W671,INDIRECT(U671),0),0)*S671</f>
        <v>0</v>
      </c>
      <c r="X672" s="688"/>
      <c r="Y672" s="891"/>
      <c r="Z672" s="892"/>
      <c r="BJ672" s="573" t="s">
        <v>4670</v>
      </c>
    </row>
    <row r="673" spans="1:62" x14ac:dyDescent="0.35">
      <c r="A673" s="403">
        <v>6</v>
      </c>
      <c r="B673" s="608" t="s">
        <v>767</v>
      </c>
      <c r="C673" s="604"/>
      <c r="D673" s="604"/>
      <c r="E673" s="604"/>
      <c r="F673" s="604" t="s">
        <v>122</v>
      </c>
      <c r="G673" s="403" t="str">
        <f t="shared" ca="1" si="203"/>
        <v/>
      </c>
      <c r="H673" s="605" t="s">
        <v>4324</v>
      </c>
      <c r="I673" s="32"/>
      <c r="J673" s="4"/>
      <c r="K673" s="50" t="s">
        <v>122</v>
      </c>
      <c r="L673" s="46" t="s">
        <v>757</v>
      </c>
      <c r="M673" s="768"/>
      <c r="N673" s="44"/>
      <c r="O673" s="44"/>
      <c r="X673" s="688"/>
      <c r="Y673" s="891"/>
      <c r="Z673" s="892"/>
      <c r="BJ673" s="573" t="s">
        <v>4670</v>
      </c>
    </row>
    <row r="674" spans="1:62" x14ac:dyDescent="0.35">
      <c r="A674" s="403">
        <v>6</v>
      </c>
      <c r="B674" s="608" t="s">
        <v>767</v>
      </c>
      <c r="C674" s="604"/>
      <c r="D674" s="604"/>
      <c r="E674" s="604"/>
      <c r="F674" s="604" t="s">
        <v>123</v>
      </c>
      <c r="G674" s="403" t="str">
        <f t="shared" ca="1" si="203"/>
        <v/>
      </c>
      <c r="H674" s="605" t="s">
        <v>4324</v>
      </c>
      <c r="I674" s="32"/>
      <c r="J674" s="4"/>
      <c r="K674" s="50" t="s">
        <v>123</v>
      </c>
      <c r="L674" s="46" t="s">
        <v>758</v>
      </c>
      <c r="M674" s="768"/>
      <c r="N674" s="44"/>
      <c r="O674" s="44"/>
      <c r="X674" s="688"/>
      <c r="Y674" s="891"/>
      <c r="Z674" s="892"/>
      <c r="BJ674" s="573" t="s">
        <v>4670</v>
      </c>
    </row>
    <row r="675" spans="1:62" x14ac:dyDescent="0.35">
      <c r="A675" s="403">
        <v>6</v>
      </c>
      <c r="B675" s="608" t="s">
        <v>767</v>
      </c>
      <c r="C675" s="604"/>
      <c r="D675" s="604"/>
      <c r="E675" s="604"/>
      <c r="F675" s="606" t="s">
        <v>420</v>
      </c>
      <c r="G675" s="403" t="str">
        <f t="shared" ca="1" si="203"/>
        <v/>
      </c>
      <c r="H675" s="607" t="s">
        <v>4324</v>
      </c>
      <c r="I675" s="32"/>
      <c r="J675" s="4"/>
      <c r="K675" s="52" t="s">
        <v>420</v>
      </c>
      <c r="L675" s="46" t="s">
        <v>759</v>
      </c>
      <c r="M675" s="768"/>
      <c r="N675" s="44"/>
      <c r="O675" s="44"/>
      <c r="X675" s="688"/>
      <c r="Y675" s="891"/>
      <c r="Z675" s="892"/>
      <c r="BJ675" s="573" t="s">
        <v>4670</v>
      </c>
    </row>
    <row r="676" spans="1:62" x14ac:dyDescent="0.35">
      <c r="A676" s="403">
        <v>6</v>
      </c>
      <c r="B676" s="608" t="s">
        <v>767</v>
      </c>
      <c r="C676" s="604"/>
      <c r="D676" s="604"/>
      <c r="E676" s="604"/>
      <c r="F676" s="604" t="s">
        <v>575</v>
      </c>
      <c r="G676" s="403" t="str">
        <f t="shared" ca="1" si="203"/>
        <v/>
      </c>
      <c r="H676" s="403" t="s">
        <v>4324</v>
      </c>
      <c r="I676" s="32"/>
      <c r="J676" s="4"/>
      <c r="K676" s="48" t="s">
        <v>575</v>
      </c>
      <c r="L676" s="46" t="s">
        <v>760</v>
      </c>
      <c r="M676" s="768"/>
      <c r="N676" s="44"/>
      <c r="O676" s="44"/>
      <c r="W676" s="637" t="s">
        <v>3309</v>
      </c>
      <c r="X676" s="688"/>
      <c r="Y676" s="891" t="str">
        <f>IF(LEN('Ch6'!X421)=0,"None",'Ch6'!X421)</f>
        <v>None</v>
      </c>
      <c r="Z676" s="892"/>
      <c r="AR676" t="str">
        <f>SUBSTITUTE(SUBSTITUTE(SUBSTITUTE("vnt"&amp;$B676&amp;$C676&amp;$D676&amp;$E676&amp;$F676,".","_"),"(","_"),")","")</f>
        <v>vnt610_1_2_1_e</v>
      </c>
      <c r="AS676">
        <f>X676</f>
        <v>0</v>
      </c>
      <c r="BJ676" s="573" t="s">
        <v>4670</v>
      </c>
    </row>
    <row r="677" spans="1:62" x14ac:dyDescent="0.35">
      <c r="A677" s="403">
        <v>6</v>
      </c>
      <c r="B677" s="608" t="s">
        <v>767</v>
      </c>
      <c r="C677" s="604"/>
      <c r="D677" s="604"/>
      <c r="E677" s="604"/>
      <c r="F677" s="604" t="s">
        <v>642</v>
      </c>
      <c r="G677" s="403" t="str">
        <f t="shared" ca="1" si="203"/>
        <v/>
      </c>
      <c r="H677" s="605" t="s">
        <v>4324</v>
      </c>
      <c r="I677" s="32"/>
      <c r="J677" s="4"/>
      <c r="K677" s="50" t="s">
        <v>642</v>
      </c>
      <c r="L677" s="46" t="s">
        <v>761</v>
      </c>
      <c r="M677" s="768"/>
      <c r="N677" s="44"/>
      <c r="O677" s="44"/>
      <c r="W677" s="637"/>
      <c r="X677" s="688"/>
      <c r="Y677" s="891"/>
      <c r="Z677" s="892"/>
      <c r="BJ677" s="573" t="s">
        <v>4670</v>
      </c>
    </row>
    <row r="678" spans="1:62" x14ac:dyDescent="0.35">
      <c r="A678" s="403">
        <v>6</v>
      </c>
      <c r="B678" s="608" t="s">
        <v>767</v>
      </c>
      <c r="C678" s="604"/>
      <c r="D678" s="604"/>
      <c r="E678" s="604" t="s">
        <v>3171</v>
      </c>
      <c r="F678" s="604"/>
      <c r="G678" s="403" t="str">
        <f t="shared" ca="1" si="203"/>
        <v/>
      </c>
      <c r="H678" s="403" t="s">
        <v>4324</v>
      </c>
      <c r="I678" s="32"/>
      <c r="J678" s="4"/>
      <c r="L678" s="752" t="s">
        <v>769</v>
      </c>
      <c r="M678" s="768"/>
      <c r="N678" s="44"/>
      <c r="O678" s="44"/>
      <c r="P678" t="b">
        <v>1</v>
      </c>
      <c r="Q678" t="b">
        <v>0</v>
      </c>
      <c r="R678" t="b">
        <v>0</v>
      </c>
      <c r="S678" t="b">
        <f>COUNTIF(W647:W663,TRUE)&lt;1</f>
        <v>1</v>
      </c>
      <c r="T678" t="b">
        <f>IF(AND(NOT(S678),LEN(W678)&gt;0),TRUE,FALSE)</f>
        <v>0</v>
      </c>
      <c r="U678" t="str">
        <f>SUBSTITUTE(SUBSTITUTE(SUBSTITUTE("dd"&amp;B678&amp;C678&amp;D678&amp;E678&amp;F678,".","_"),"(","_"),")","")</f>
        <v>dd610_1_2_1b</v>
      </c>
      <c r="W678" s="9"/>
      <c r="X678" s="688"/>
      <c r="Y678" s="891"/>
      <c r="Z678" s="892"/>
      <c r="AC678" t="b">
        <f>OR(AD678:AE678)</f>
        <v>0</v>
      </c>
      <c r="AD678" t="b">
        <f>T678</f>
        <v>0</v>
      </c>
      <c r="AE678" t="b">
        <f>AND(NOT(ISBLANK(W678)),LEN(X676)=0)</f>
        <v>0</v>
      </c>
      <c r="AF678" t="b">
        <f>AND(AE678,NOT(Q678))</f>
        <v>0</v>
      </c>
      <c r="AP678" t="str">
        <f>SUBSTITUTE(SUBSTITUTE(SUBSTITUTE("vch"&amp;$B678&amp;$C678&amp;$D678&amp;$E678&amp;$F678,".","_"),"(","_"),")","")</f>
        <v>vch610_1_2_1b</v>
      </c>
      <c r="AQ678">
        <f>W678</f>
        <v>0</v>
      </c>
      <c r="BJ678" s="573" t="s">
        <v>4670</v>
      </c>
    </row>
    <row r="679" spans="1:62" x14ac:dyDescent="0.35">
      <c r="A679" s="403">
        <v>6</v>
      </c>
      <c r="B679" s="608" t="s">
        <v>767</v>
      </c>
      <c r="C679" s="604"/>
      <c r="D679" s="604"/>
      <c r="E679" s="604"/>
      <c r="F679" s="604"/>
      <c r="G679" s="403" t="str">
        <f t="shared" ca="1" si="203"/>
        <v/>
      </c>
      <c r="H679" s="403" t="s">
        <v>4324</v>
      </c>
      <c r="I679" s="32"/>
      <c r="J679" s="4"/>
      <c r="K679" s="107"/>
      <c r="L679" s="752"/>
      <c r="M679" s="768"/>
      <c r="N679" s="44"/>
      <c r="O679" s="44"/>
      <c r="R679" s="1">
        <f ca="1">3*IFERROR(MATCH(W678,INDIRECT(U678),0),0)*S678</f>
        <v>0</v>
      </c>
      <c r="X679" s="688"/>
      <c r="Y679" s="891"/>
      <c r="Z679" s="892"/>
      <c r="BJ679" s="573" t="s">
        <v>4670</v>
      </c>
    </row>
    <row r="680" spans="1:62" x14ac:dyDescent="0.35">
      <c r="A680" s="403">
        <v>6</v>
      </c>
      <c r="B680" s="608" t="s">
        <v>767</v>
      </c>
      <c r="C680" s="604"/>
      <c r="D680" s="604"/>
      <c r="E680" s="604"/>
      <c r="F680" s="604"/>
      <c r="G680" s="403" t="str">
        <f t="shared" ca="1" si="203"/>
        <v/>
      </c>
      <c r="H680" s="403" t="s">
        <v>4324</v>
      </c>
      <c r="I680" s="32"/>
      <c r="J680" s="4"/>
      <c r="K680" s="107"/>
      <c r="L680" s="752"/>
      <c r="M680" s="768"/>
      <c r="N680" s="44"/>
      <c r="O680" s="44"/>
      <c r="X680" s="688"/>
      <c r="Y680" s="891"/>
      <c r="Z680" s="892"/>
      <c r="BJ680" s="573" t="s">
        <v>4670</v>
      </c>
    </row>
    <row r="681" spans="1:62" x14ac:dyDescent="0.35">
      <c r="A681" s="403">
        <v>6</v>
      </c>
      <c r="B681" s="608" t="s">
        <v>767</v>
      </c>
      <c r="C681" s="604"/>
      <c r="D681" s="604"/>
      <c r="E681" s="604"/>
      <c r="F681" s="604"/>
      <c r="G681" s="403" t="str">
        <f t="shared" ca="1" si="203"/>
        <v/>
      </c>
      <c r="H681" s="403" t="s">
        <v>4324</v>
      </c>
      <c r="I681" s="32"/>
      <c r="J681" s="4"/>
      <c r="K681" s="107"/>
      <c r="L681" s="714" t="s">
        <v>3308</v>
      </c>
      <c r="M681" s="768"/>
      <c r="N681" s="44"/>
      <c r="O681" s="44"/>
      <c r="X681" s="688"/>
      <c r="Y681" s="891"/>
      <c r="Z681" s="892"/>
      <c r="BJ681" s="573" t="s">
        <v>4670</v>
      </c>
    </row>
    <row r="682" spans="1:62" x14ac:dyDescent="0.35">
      <c r="A682" s="403">
        <v>6</v>
      </c>
      <c r="B682" s="608" t="s">
        <v>767</v>
      </c>
      <c r="C682" s="604"/>
      <c r="D682" s="604"/>
      <c r="E682" s="604"/>
      <c r="F682" s="604"/>
      <c r="G682" s="403" t="str">
        <f t="shared" ca="1" si="203"/>
        <v/>
      </c>
      <c r="H682" s="403" t="s">
        <v>4324</v>
      </c>
      <c r="I682" s="161"/>
      <c r="J682" s="155"/>
      <c r="K682" s="165"/>
      <c r="L682" s="755"/>
      <c r="M682" s="766"/>
      <c r="N682" s="44"/>
      <c r="O682" s="44"/>
      <c r="X682" s="688"/>
      <c r="Y682" s="891"/>
      <c r="Z682" s="892"/>
      <c r="BJ682" s="573" t="s">
        <v>4670</v>
      </c>
    </row>
    <row r="683" spans="1:62" x14ac:dyDescent="0.35">
      <c r="A683" s="403">
        <v>6</v>
      </c>
      <c r="B683" s="608" t="s">
        <v>770</v>
      </c>
      <c r="C683" s="604"/>
      <c r="D683" s="604"/>
      <c r="E683" s="604" t="s">
        <v>3170</v>
      </c>
      <c r="F683" s="604"/>
      <c r="G683" s="403" t="str">
        <f t="shared" ca="1" si="203"/>
        <v/>
      </c>
      <c r="H683" s="403" t="s">
        <v>4324</v>
      </c>
      <c r="I683" s="32" t="s">
        <v>770</v>
      </c>
      <c r="J683" s="4"/>
      <c r="K683" s="46"/>
      <c r="L683" s="706" t="s">
        <v>771</v>
      </c>
      <c r="M683" s="770" t="s">
        <v>3324</v>
      </c>
      <c r="N683" s="44"/>
      <c r="O683" s="44"/>
      <c r="R683">
        <f ca="1">COUNTIF(W684:W702,INDEX(INDIRECT(U684),1))*S684</f>
        <v>0</v>
      </c>
      <c r="S683">
        <f ca="1">COUNTIF(W684:W702,INDEX(INDIRECT(U684),2))*S684</f>
        <v>0</v>
      </c>
      <c r="W683" t="s">
        <v>3319</v>
      </c>
      <c r="X683" s="688"/>
      <c r="Y683" s="891" t="str">
        <f>IF(LEN('Ch6'!X428)=0,"None",'Ch6'!X428)</f>
        <v>None</v>
      </c>
      <c r="Z683" s="892"/>
      <c r="AL683" t="str">
        <f t="shared" ref="AL683" si="205">SUBSTITUTE(SUBSTITUTE(SUBSTITUTE("vpa"&amp;$B683&amp;$C683&amp;$D683&amp;$E683&amp;$F683,".","_"),"(","_"),")","")</f>
        <v>vpa610_1_2_2a</v>
      </c>
      <c r="AM683" t="str">
        <f>M683</f>
        <v>per Table 610.1.2.2
10 Max</v>
      </c>
      <c r="AR683" t="str">
        <f>SUBSTITUTE(SUBSTITUTE(SUBSTITUTE("vnt"&amp;$B683&amp;$C683&amp;$D683&amp;$E683&amp;$F683,".","_"),"(","_"),")","")</f>
        <v>vnt610_1_2_2a</v>
      </c>
      <c r="AS683">
        <f>X683</f>
        <v>0</v>
      </c>
      <c r="BJ683" s="573" t="s">
        <v>4670</v>
      </c>
    </row>
    <row r="684" spans="1:62" x14ac:dyDescent="0.35">
      <c r="A684" s="403">
        <v>6</v>
      </c>
      <c r="B684" s="608" t="s">
        <v>770</v>
      </c>
      <c r="C684" s="604"/>
      <c r="D684" s="604"/>
      <c r="E684" s="604" t="s">
        <v>3170</v>
      </c>
      <c r="F684" s="604"/>
      <c r="G684" s="403" t="str">
        <f t="shared" ca="1" si="203"/>
        <v/>
      </c>
      <c r="H684" s="403" t="s">
        <v>4324</v>
      </c>
      <c r="I684" s="32"/>
      <c r="J684" s="4"/>
      <c r="K684" s="46"/>
      <c r="L684" s="706"/>
      <c r="M684" s="770"/>
      <c r="N684" s="44"/>
      <c r="O684" s="44"/>
      <c r="P684" t="b">
        <v>1</v>
      </c>
      <c r="Q684" t="b">
        <v>0</v>
      </c>
      <c r="R684" t="b">
        <v>0</v>
      </c>
      <c r="S684" t="b">
        <f>COUNTIF(W647:W663,TRUE)&lt;1</f>
        <v>1</v>
      </c>
      <c r="T684" t="b">
        <f>IF(AND(NOT(S684),LEN(W684)&gt;0),TRUE,FALSE)</f>
        <v>0</v>
      </c>
      <c r="U684" t="str">
        <f>SUBSTITUTE(SUBSTITUTE(SUBSTITUTE("dd"&amp;B684&amp;C684&amp;D684&amp;E684&amp;F684,".","_"),"(","_"),")","")</f>
        <v>dd610_1_2_2a</v>
      </c>
      <c r="W684" s="9"/>
      <c r="X684" s="688"/>
      <c r="Y684" s="891"/>
      <c r="Z684" s="892"/>
      <c r="AC684" t="b">
        <f>OR(AD684:AE684)</f>
        <v>0</v>
      </c>
      <c r="AD684" t="b">
        <f>T684</f>
        <v>0</v>
      </c>
      <c r="AE684" t="b">
        <f>AND(NOT(ISBLANK(W684)),LEN(X683)=0)</f>
        <v>0</v>
      </c>
      <c r="AF684" t="b">
        <f>AND(AE684,NOT(Q684))</f>
        <v>0</v>
      </c>
      <c r="AP684" t="str">
        <f>SUBSTITUTE(SUBSTITUTE(SUBSTITUTE("vch"&amp;$B684&amp;$C684&amp;$D684&amp;$E684&amp;$F684,".","_"),"(","_"),")","")</f>
        <v>vch610_1_2_2a</v>
      </c>
      <c r="AQ684">
        <f>W684</f>
        <v>0</v>
      </c>
      <c r="BJ684" s="573" t="s">
        <v>4670</v>
      </c>
    </row>
    <row r="685" spans="1:62" x14ac:dyDescent="0.35">
      <c r="A685" s="403">
        <v>6</v>
      </c>
      <c r="B685" s="608" t="s">
        <v>770</v>
      </c>
      <c r="C685" s="604"/>
      <c r="D685" s="604"/>
      <c r="E685" s="604"/>
      <c r="F685" s="604"/>
      <c r="G685" s="403" t="str">
        <f t="shared" ca="1" si="203"/>
        <v/>
      </c>
      <c r="H685" s="403" t="s">
        <v>4324</v>
      </c>
      <c r="I685" s="32"/>
      <c r="J685" s="4"/>
      <c r="K685" s="46"/>
      <c r="L685" s="706"/>
      <c r="M685" s="770"/>
      <c r="N685" s="44"/>
      <c r="O685" s="44"/>
      <c r="X685" s="688"/>
      <c r="Y685" s="891"/>
      <c r="Z685" s="892"/>
      <c r="BJ685" s="573" t="s">
        <v>4670</v>
      </c>
    </row>
    <row r="686" spans="1:62" x14ac:dyDescent="0.35">
      <c r="A686" s="403">
        <v>6</v>
      </c>
      <c r="B686" s="608" t="s">
        <v>770</v>
      </c>
      <c r="C686" s="604"/>
      <c r="D686" s="604"/>
      <c r="E686" s="604"/>
      <c r="F686" s="604"/>
      <c r="G686" s="403" t="str">
        <f t="shared" ca="1" si="203"/>
        <v/>
      </c>
      <c r="H686" s="403" t="s">
        <v>4324</v>
      </c>
      <c r="I686" s="32"/>
      <c r="J686" s="4"/>
      <c r="K686" s="46"/>
      <c r="L686" s="706"/>
      <c r="M686" s="770"/>
      <c r="N686" s="44"/>
      <c r="O686" s="44"/>
      <c r="X686" s="688"/>
      <c r="Y686" s="891"/>
      <c r="Z686" s="892"/>
      <c r="BJ686" s="573" t="s">
        <v>4670</v>
      </c>
    </row>
    <row r="687" spans="1:62" x14ac:dyDescent="0.35">
      <c r="A687" s="403">
        <v>6</v>
      </c>
      <c r="B687" s="608" t="s">
        <v>770</v>
      </c>
      <c r="C687" s="604"/>
      <c r="D687" s="604"/>
      <c r="E687" s="604"/>
      <c r="F687" s="604"/>
      <c r="G687" s="403" t="str">
        <f t="shared" ca="1" si="203"/>
        <v/>
      </c>
      <c r="H687" s="403" t="s">
        <v>4324</v>
      </c>
      <c r="I687" s="32"/>
      <c r="J687" s="4"/>
      <c r="K687" s="46"/>
      <c r="L687" s="706"/>
      <c r="M687" s="770"/>
      <c r="N687" s="44"/>
      <c r="O687" s="44"/>
      <c r="X687" s="688"/>
      <c r="Y687" s="891"/>
      <c r="Z687" s="892"/>
      <c r="BJ687" s="573" t="s">
        <v>4670</v>
      </c>
    </row>
    <row r="688" spans="1:62" x14ac:dyDescent="0.35">
      <c r="A688" s="403">
        <v>6</v>
      </c>
      <c r="B688" s="608" t="s">
        <v>770</v>
      </c>
      <c r="C688" s="604"/>
      <c r="D688" s="604"/>
      <c r="E688" s="604"/>
      <c r="F688" s="604"/>
      <c r="G688" s="403" t="str">
        <f t="shared" ca="1" si="203"/>
        <v/>
      </c>
      <c r="H688" s="403" t="s">
        <v>4324</v>
      </c>
      <c r="I688" s="32"/>
      <c r="J688" s="4"/>
      <c r="K688" s="46"/>
      <c r="L688" s="706"/>
      <c r="M688" s="770"/>
      <c r="N688" s="44"/>
      <c r="O688" s="44"/>
      <c r="X688" s="688"/>
      <c r="Y688" s="891"/>
      <c r="Z688" s="892"/>
      <c r="BJ688" s="573" t="s">
        <v>4670</v>
      </c>
    </row>
    <row r="689" spans="1:62" x14ac:dyDescent="0.35">
      <c r="A689" s="403">
        <v>6</v>
      </c>
      <c r="B689" s="608" t="s">
        <v>770</v>
      </c>
      <c r="C689" s="604"/>
      <c r="D689" s="604"/>
      <c r="E689" s="604" t="s">
        <v>3171</v>
      </c>
      <c r="F689" s="604"/>
      <c r="G689" s="403" t="str">
        <f t="shared" ca="1" si="203"/>
        <v/>
      </c>
      <c r="H689" s="403" t="s">
        <v>4324</v>
      </c>
      <c r="I689" s="32"/>
      <c r="J689" s="4"/>
      <c r="K689" s="46"/>
      <c r="L689" s="706"/>
      <c r="M689" s="770"/>
      <c r="N689" s="44"/>
      <c r="O689" s="44"/>
      <c r="W689" t="s">
        <v>3320</v>
      </c>
      <c r="X689" s="688"/>
      <c r="Y689" s="891" t="str">
        <f>IF(LEN('Ch6'!X434)=0,"None",'Ch6'!X434)</f>
        <v>None</v>
      </c>
      <c r="Z689" s="892"/>
      <c r="AR689" t="str">
        <f>SUBSTITUTE(SUBSTITUTE(SUBSTITUTE("vnt"&amp;$B689&amp;$C689&amp;$D689&amp;$E689&amp;$F689,".","_"),"(","_"),")","")</f>
        <v>vnt610_1_2_2b</v>
      </c>
      <c r="AS689">
        <f>X689</f>
        <v>0</v>
      </c>
      <c r="BJ689" s="573" t="s">
        <v>4670</v>
      </c>
    </row>
    <row r="690" spans="1:62" x14ac:dyDescent="0.35">
      <c r="A690" s="403">
        <v>6</v>
      </c>
      <c r="B690" s="608" t="s">
        <v>770</v>
      </c>
      <c r="C690" s="604"/>
      <c r="D690" s="604"/>
      <c r="E690" s="604" t="s">
        <v>3171</v>
      </c>
      <c r="F690" s="604"/>
      <c r="G690" s="403" t="str">
        <f t="shared" ca="1" si="203"/>
        <v/>
      </c>
      <c r="H690" s="403" t="s">
        <v>4324</v>
      </c>
      <c r="I690" s="32"/>
      <c r="J690" s="4"/>
      <c r="K690" s="46"/>
      <c r="L690" s="706"/>
      <c r="M690" s="770"/>
      <c r="N690" s="44"/>
      <c r="O690" s="44"/>
      <c r="P690" t="b">
        <v>1</v>
      </c>
      <c r="Q690" t="b">
        <v>0</v>
      </c>
      <c r="R690" t="b">
        <v>0</v>
      </c>
      <c r="S690" t="b">
        <f>COUNTIF(W647:W663,TRUE)&lt;1</f>
        <v>1</v>
      </c>
      <c r="T690" t="b">
        <f>IF(AND(NOT(S690),LEN(W690)&gt;0),TRUE,FALSE)</f>
        <v>0</v>
      </c>
      <c r="U690" t="str">
        <f>SUBSTITUTE(SUBSTITUTE(SUBSTITUTE("dd"&amp;B690&amp;C690&amp;D690&amp;E690&amp;F690,".","_"),"(","_"),")","")</f>
        <v>dd610_1_2_2b</v>
      </c>
      <c r="W690" s="9"/>
      <c r="X690" s="688"/>
      <c r="Y690" s="891"/>
      <c r="Z690" s="892"/>
      <c r="AC690" t="b">
        <f>OR(AD690:AE690)</f>
        <v>0</v>
      </c>
      <c r="AD690" t="b">
        <f>T690</f>
        <v>0</v>
      </c>
      <c r="AE690" t="b">
        <f>AND(NOT(ISBLANK(W690)),LEN(X689)=0)</f>
        <v>0</v>
      </c>
      <c r="AF690" t="b">
        <f>AND(AE690,NOT(Q690))</f>
        <v>0</v>
      </c>
      <c r="AP690" t="str">
        <f>SUBSTITUTE(SUBSTITUTE(SUBSTITUTE("vch"&amp;$B690&amp;$C690&amp;$D690&amp;$E690&amp;$F690,".","_"),"(","_"),")","")</f>
        <v>vch610_1_2_2b</v>
      </c>
      <c r="AQ690">
        <f>W690</f>
        <v>0</v>
      </c>
      <c r="BJ690" s="573" t="s">
        <v>4670</v>
      </c>
    </row>
    <row r="691" spans="1:62" x14ac:dyDescent="0.35">
      <c r="A691" s="403">
        <v>6</v>
      </c>
      <c r="B691" s="608" t="s">
        <v>770</v>
      </c>
      <c r="C691" s="604"/>
      <c r="D691" s="604"/>
      <c r="E691" s="604"/>
      <c r="F691" s="604" t="s">
        <v>121</v>
      </c>
      <c r="G691" s="403" t="str">
        <f t="shared" ca="1" si="203"/>
        <v/>
      </c>
      <c r="H691" s="605" t="s">
        <v>4324</v>
      </c>
      <c r="I691" s="32"/>
      <c r="J691" s="4"/>
      <c r="K691" s="50" t="s">
        <v>121</v>
      </c>
      <c r="L691" s="46" t="s">
        <v>772</v>
      </c>
      <c r="M691" s="770"/>
      <c r="N691" s="44"/>
      <c r="O691" s="44"/>
      <c r="X691" s="688"/>
      <c r="Y691" s="891"/>
      <c r="Z691" s="892"/>
      <c r="BJ691" s="573" t="s">
        <v>4670</v>
      </c>
    </row>
    <row r="692" spans="1:62" x14ac:dyDescent="0.35">
      <c r="A692" s="403">
        <v>6</v>
      </c>
      <c r="B692" s="608" t="s">
        <v>770</v>
      </c>
      <c r="C692" s="604"/>
      <c r="D692" s="604"/>
      <c r="E692" s="604"/>
      <c r="F692" s="604" t="s">
        <v>122</v>
      </c>
      <c r="G692" s="403" t="str">
        <f t="shared" ca="1" si="203"/>
        <v/>
      </c>
      <c r="H692" s="605" t="s">
        <v>4324</v>
      </c>
      <c r="I692" s="32"/>
      <c r="J692" s="4"/>
      <c r="K692" s="50" t="s">
        <v>122</v>
      </c>
      <c r="L692" s="46" t="s">
        <v>773</v>
      </c>
      <c r="M692" s="770"/>
      <c r="N692" s="44"/>
      <c r="O692" s="44"/>
      <c r="X692" s="688"/>
      <c r="Y692" s="891"/>
      <c r="Z692" s="892"/>
      <c r="BJ692" s="573" t="s">
        <v>4670</v>
      </c>
    </row>
    <row r="693" spans="1:62" x14ac:dyDescent="0.35">
      <c r="A693" s="403">
        <v>6</v>
      </c>
      <c r="B693" s="608" t="s">
        <v>770</v>
      </c>
      <c r="C693" s="604"/>
      <c r="D693" s="604"/>
      <c r="E693" s="604"/>
      <c r="F693" s="604" t="s">
        <v>123</v>
      </c>
      <c r="G693" s="403" t="str">
        <f t="shared" ca="1" si="203"/>
        <v/>
      </c>
      <c r="H693" s="605" t="s">
        <v>4324</v>
      </c>
      <c r="I693" s="32"/>
      <c r="J693" s="4"/>
      <c r="K693" s="50" t="s">
        <v>123</v>
      </c>
      <c r="L693" s="46" t="s">
        <v>774</v>
      </c>
      <c r="M693" s="770"/>
      <c r="N693" s="44"/>
      <c r="O693" s="44"/>
      <c r="X693" s="688"/>
      <c r="Y693" s="891"/>
      <c r="Z693" s="892"/>
      <c r="BJ693" s="573" t="s">
        <v>4670</v>
      </c>
    </row>
    <row r="694" spans="1:62" x14ac:dyDescent="0.35">
      <c r="A694" s="403">
        <v>6</v>
      </c>
      <c r="B694" s="608" t="s">
        <v>770</v>
      </c>
      <c r="C694" s="604"/>
      <c r="D694" s="604"/>
      <c r="E694" s="604"/>
      <c r="F694" s="606" t="s">
        <v>420</v>
      </c>
      <c r="G694" s="403" t="str">
        <f t="shared" ca="1" si="203"/>
        <v/>
      </c>
      <c r="H694" s="607" t="s">
        <v>4324</v>
      </c>
      <c r="I694" s="32"/>
      <c r="J694" s="4"/>
      <c r="K694" s="52" t="s">
        <v>420</v>
      </c>
      <c r="L694" s="46" t="s">
        <v>775</v>
      </c>
      <c r="M694" s="770"/>
      <c r="N694" s="44"/>
      <c r="O694" s="44"/>
      <c r="X694" s="688"/>
      <c r="Y694" s="891"/>
      <c r="Z694" s="892"/>
      <c r="BJ694" s="573" t="s">
        <v>4670</v>
      </c>
    </row>
    <row r="695" spans="1:62" x14ac:dyDescent="0.35">
      <c r="A695" s="403">
        <v>6</v>
      </c>
      <c r="B695" s="608" t="s">
        <v>770</v>
      </c>
      <c r="C695" s="604"/>
      <c r="D695" s="604"/>
      <c r="E695" s="604" t="s">
        <v>3172</v>
      </c>
      <c r="F695" s="604"/>
      <c r="G695" s="403" t="str">
        <f t="shared" ca="1" si="203"/>
        <v/>
      </c>
      <c r="H695" s="403" t="s">
        <v>4324</v>
      </c>
      <c r="I695" s="32"/>
      <c r="J695" s="4"/>
      <c r="K695" s="46"/>
      <c r="L695" s="723" t="s">
        <v>776</v>
      </c>
      <c r="M695" s="770"/>
      <c r="N695" s="44"/>
      <c r="O695" s="44"/>
      <c r="W695" t="s">
        <v>3321</v>
      </c>
      <c r="X695" s="688"/>
      <c r="Y695" s="891" t="str">
        <f>IF(LEN('Ch6'!X440)=0,"None",'Ch6'!X440)</f>
        <v>None</v>
      </c>
      <c r="Z695" s="892"/>
      <c r="AR695" t="str">
        <f>SUBSTITUTE(SUBSTITUTE(SUBSTITUTE("vnt"&amp;$B695&amp;$C695&amp;$D695&amp;$E695&amp;$F695,".","_"),"(","_"),")","")</f>
        <v>vnt610_1_2_2c</v>
      </c>
      <c r="AS695">
        <f>X695</f>
        <v>0</v>
      </c>
      <c r="BJ695" s="573" t="s">
        <v>4670</v>
      </c>
    </row>
    <row r="696" spans="1:62" x14ac:dyDescent="0.35">
      <c r="A696" s="403">
        <v>6</v>
      </c>
      <c r="B696" s="608" t="s">
        <v>770</v>
      </c>
      <c r="C696" s="604"/>
      <c r="D696" s="604"/>
      <c r="E696" s="604" t="s">
        <v>3172</v>
      </c>
      <c r="F696" s="604"/>
      <c r="G696" s="403" t="str">
        <f t="shared" ca="1" si="203"/>
        <v/>
      </c>
      <c r="H696" s="403" t="s">
        <v>4324</v>
      </c>
      <c r="I696" s="32"/>
      <c r="J696" s="4"/>
      <c r="K696" s="46"/>
      <c r="L696" s="723"/>
      <c r="M696" s="770"/>
      <c r="N696" s="44"/>
      <c r="O696" s="44"/>
      <c r="P696" t="b">
        <v>1</v>
      </c>
      <c r="Q696" t="b">
        <v>0</v>
      </c>
      <c r="R696" t="b">
        <v>0</v>
      </c>
      <c r="S696" t="b">
        <f>COUNTIF(W647:W663,TRUE)&lt;1</f>
        <v>1</v>
      </c>
      <c r="T696" t="b">
        <f>IF(AND(NOT(S696),LEN(W696)&gt;0),TRUE,FALSE)</f>
        <v>0</v>
      </c>
      <c r="U696" t="str">
        <f>SUBSTITUTE(SUBSTITUTE(SUBSTITUTE("dd"&amp;B696&amp;C696&amp;D696&amp;E696&amp;F696,".","_"),"(","_"),")","")</f>
        <v>dd610_1_2_2c</v>
      </c>
      <c r="W696" s="9"/>
      <c r="X696" s="688"/>
      <c r="Y696" s="891"/>
      <c r="Z696" s="892"/>
      <c r="AC696" t="b">
        <f>OR(AD696:AE696)</f>
        <v>0</v>
      </c>
      <c r="AD696" t="b">
        <f>T696</f>
        <v>0</v>
      </c>
      <c r="AE696" t="b">
        <f>AND(NOT(ISBLANK(W696)),LEN(X695)=0)</f>
        <v>0</v>
      </c>
      <c r="AF696" t="b">
        <f>AND(AE696,NOT(Q696))</f>
        <v>0</v>
      </c>
      <c r="AP696" t="str">
        <f>SUBSTITUTE(SUBSTITUTE(SUBSTITUTE("vch"&amp;$B696&amp;$C696&amp;$D696&amp;$E696&amp;$F696,".","_"),"(","_"),")","")</f>
        <v>vch610_1_2_2c</v>
      </c>
      <c r="AQ696">
        <f>W696</f>
        <v>0</v>
      </c>
      <c r="BJ696" s="573" t="s">
        <v>4670</v>
      </c>
    </row>
    <row r="697" spans="1:62" x14ac:dyDescent="0.35">
      <c r="A697" s="403">
        <v>6</v>
      </c>
      <c r="B697" s="608" t="s">
        <v>770</v>
      </c>
      <c r="C697" s="604"/>
      <c r="D697" s="604"/>
      <c r="E697" s="604"/>
      <c r="F697" s="604" t="s">
        <v>121</v>
      </c>
      <c r="G697" s="403" t="str">
        <f t="shared" ca="1" si="203"/>
        <v/>
      </c>
      <c r="H697" s="605" t="s">
        <v>4324</v>
      </c>
      <c r="I697" s="32"/>
      <c r="J697" s="4"/>
      <c r="K697" s="50" t="s">
        <v>121</v>
      </c>
      <c r="L697" s="46" t="s">
        <v>756</v>
      </c>
      <c r="M697" s="770"/>
      <c r="N697" s="44"/>
      <c r="O697" s="44"/>
      <c r="X697" s="688"/>
      <c r="Y697" s="891"/>
      <c r="Z697" s="892"/>
      <c r="BJ697" s="573" t="s">
        <v>4670</v>
      </c>
    </row>
    <row r="698" spans="1:62" x14ac:dyDescent="0.35">
      <c r="A698" s="403">
        <v>6</v>
      </c>
      <c r="B698" s="608" t="s">
        <v>770</v>
      </c>
      <c r="C698" s="604"/>
      <c r="D698" s="604"/>
      <c r="E698" s="604"/>
      <c r="F698" s="604" t="s">
        <v>122</v>
      </c>
      <c r="G698" s="403" t="str">
        <f t="shared" ca="1" si="203"/>
        <v/>
      </c>
      <c r="H698" s="605" t="s">
        <v>4324</v>
      </c>
      <c r="I698" s="32"/>
      <c r="J698" s="4"/>
      <c r="K698" s="50" t="s">
        <v>122</v>
      </c>
      <c r="L698" s="46" t="s">
        <v>757</v>
      </c>
      <c r="M698" s="770"/>
      <c r="N698" s="44"/>
      <c r="O698" s="44"/>
      <c r="X698" s="688"/>
      <c r="Y698" s="891"/>
      <c r="Z698" s="892"/>
      <c r="BJ698" s="573" t="s">
        <v>4670</v>
      </c>
    </row>
    <row r="699" spans="1:62" x14ac:dyDescent="0.35">
      <c r="A699" s="403">
        <v>6</v>
      </c>
      <c r="B699" s="608" t="s">
        <v>770</v>
      </c>
      <c r="C699" s="604"/>
      <c r="D699" s="604"/>
      <c r="E699" s="604"/>
      <c r="F699" s="604" t="s">
        <v>123</v>
      </c>
      <c r="G699" s="403" t="str">
        <f t="shared" ca="1" si="203"/>
        <v/>
      </c>
      <c r="H699" s="605" t="s">
        <v>4324</v>
      </c>
      <c r="I699" s="32"/>
      <c r="J699" s="4"/>
      <c r="K699" s="50" t="s">
        <v>123</v>
      </c>
      <c r="L699" s="46" t="s">
        <v>758</v>
      </c>
      <c r="M699" s="770"/>
      <c r="N699" s="44"/>
      <c r="O699" s="44"/>
      <c r="X699" s="688"/>
      <c r="Y699" s="891"/>
      <c r="Z699" s="892"/>
      <c r="BJ699" s="573" t="s">
        <v>4670</v>
      </c>
    </row>
    <row r="700" spans="1:62" x14ac:dyDescent="0.35">
      <c r="A700" s="403">
        <v>6</v>
      </c>
      <c r="B700" s="608" t="s">
        <v>770</v>
      </c>
      <c r="C700" s="604"/>
      <c r="D700" s="604"/>
      <c r="E700" s="604"/>
      <c r="F700" s="606" t="s">
        <v>420</v>
      </c>
      <c r="G700" s="403" t="str">
        <f t="shared" ca="1" si="203"/>
        <v/>
      </c>
      <c r="H700" s="607" t="s">
        <v>4324</v>
      </c>
      <c r="I700" s="32"/>
      <c r="J700" s="4"/>
      <c r="K700" s="52" t="s">
        <v>420</v>
      </c>
      <c r="L700" s="46" t="s">
        <v>759</v>
      </c>
      <c r="M700" s="770"/>
      <c r="N700" s="44"/>
      <c r="O700" s="44"/>
      <c r="X700" s="688"/>
      <c r="Y700" s="891"/>
      <c r="Z700" s="892"/>
      <c r="BJ700" s="573" t="s">
        <v>4670</v>
      </c>
    </row>
    <row r="701" spans="1:62" x14ac:dyDescent="0.35">
      <c r="A701" s="403">
        <v>6</v>
      </c>
      <c r="B701" s="608" t="s">
        <v>770</v>
      </c>
      <c r="C701" s="604"/>
      <c r="D701" s="604"/>
      <c r="E701" s="604"/>
      <c r="F701" s="604" t="s">
        <v>575</v>
      </c>
      <c r="G701" s="403" t="str">
        <f t="shared" ca="1" si="203"/>
        <v/>
      </c>
      <c r="H701" s="403" t="s">
        <v>4324</v>
      </c>
      <c r="I701" s="32"/>
      <c r="J701" s="4"/>
      <c r="K701" s="48" t="s">
        <v>575</v>
      </c>
      <c r="L701" s="46" t="s">
        <v>760</v>
      </c>
      <c r="M701" s="770"/>
      <c r="N701" s="44"/>
      <c r="O701" s="44"/>
      <c r="W701" t="s">
        <v>3322</v>
      </c>
      <c r="X701" s="688"/>
      <c r="Y701" s="891" t="str">
        <f>IF(LEN('Ch6'!X446)=0,"None",'Ch6'!X446)</f>
        <v>None</v>
      </c>
      <c r="Z701" s="892"/>
      <c r="AR701" t="str">
        <f>SUBSTITUTE(SUBSTITUTE(SUBSTITUTE("vnt"&amp;$B701&amp;$C701&amp;$D701&amp;$E701&amp;$F701,".","_"),"(","_"),")","")</f>
        <v>vnt610_1_2_2_e</v>
      </c>
      <c r="AS701">
        <f>X701</f>
        <v>0</v>
      </c>
      <c r="BJ701" s="573" t="s">
        <v>4670</v>
      </c>
    </row>
    <row r="702" spans="1:62" x14ac:dyDescent="0.35">
      <c r="A702" s="403">
        <v>6</v>
      </c>
      <c r="B702" s="608" t="s">
        <v>770</v>
      </c>
      <c r="C702" s="604"/>
      <c r="D702" s="604"/>
      <c r="E702" s="604"/>
      <c r="F702" s="604" t="s">
        <v>642</v>
      </c>
      <c r="G702" s="403" t="str">
        <f t="shared" ca="1" si="203"/>
        <v/>
      </c>
      <c r="H702" s="605" t="s">
        <v>4324</v>
      </c>
      <c r="I702" s="32"/>
      <c r="J702" s="4"/>
      <c r="K702" s="50" t="s">
        <v>642</v>
      </c>
      <c r="L702" s="46" t="s">
        <v>761</v>
      </c>
      <c r="M702" s="770"/>
      <c r="N702" s="44"/>
      <c r="O702" s="44"/>
      <c r="P702" t="b">
        <v>1</v>
      </c>
      <c r="Q702" t="b">
        <v>0</v>
      </c>
      <c r="R702" t="b">
        <v>0</v>
      </c>
      <c r="S702" t="b">
        <f>COUNTIF(W647:W663,TRUE)&lt;1</f>
        <v>1</v>
      </c>
      <c r="T702" t="b">
        <f>IF(AND(NOT(S702),LEN(W702)&gt;0),TRUE,FALSE)</f>
        <v>0</v>
      </c>
      <c r="U702" t="str">
        <f>SUBSTITUTE(SUBSTITUTE(SUBSTITUTE("dd"&amp;B702&amp;C702&amp;D702&amp;E702&amp;F702,".","_"),"(","_"),")","")</f>
        <v>dd610_1_2_2_f</v>
      </c>
      <c r="W702" s="9"/>
      <c r="X702" s="688"/>
      <c r="Y702" s="891"/>
      <c r="Z702" s="892"/>
      <c r="AC702" t="b">
        <f>OR(AD702:AE702)</f>
        <v>0</v>
      </c>
      <c r="AD702" t="b">
        <f>T702</f>
        <v>0</v>
      </c>
      <c r="AE702" t="b">
        <f>AND(NOT(ISBLANK(W702)),LEN(X701)=0)</f>
        <v>0</v>
      </c>
      <c r="AF702" t="b">
        <f>AND(AE702,NOT(Q702))</f>
        <v>0</v>
      </c>
      <c r="AP702" t="str">
        <f>SUBSTITUTE(SUBSTITUTE(SUBSTITUTE("vch"&amp;$B702&amp;$C702&amp;$D702&amp;$E702&amp;$F702,".","_"),"(","_"),")","")</f>
        <v>vch610_1_2_2_f</v>
      </c>
      <c r="AQ702">
        <f>W702</f>
        <v>0</v>
      </c>
      <c r="BJ702" s="573" t="s">
        <v>4670</v>
      </c>
    </row>
    <row r="703" spans="1:62" x14ac:dyDescent="0.35">
      <c r="A703" s="403">
        <v>6</v>
      </c>
      <c r="B703" s="608" t="s">
        <v>770</v>
      </c>
      <c r="C703" s="604"/>
      <c r="D703" s="604"/>
      <c r="E703" s="604"/>
      <c r="F703" s="604"/>
      <c r="G703" s="403" t="str">
        <f t="shared" ca="1" si="203"/>
        <v/>
      </c>
      <c r="H703" s="403" t="s">
        <v>4324</v>
      </c>
      <c r="I703" s="32"/>
      <c r="J703" s="4"/>
      <c r="K703" s="46"/>
      <c r="L703" s="752" t="s">
        <v>777</v>
      </c>
      <c r="M703" s="770"/>
      <c r="N703" s="44"/>
      <c r="O703" s="44"/>
      <c r="X703" s="688"/>
      <c r="Y703" s="891"/>
      <c r="Z703" s="892"/>
      <c r="BJ703" s="573" t="s">
        <v>4670</v>
      </c>
    </row>
    <row r="704" spans="1:62" x14ac:dyDescent="0.35">
      <c r="A704" s="403">
        <v>6</v>
      </c>
      <c r="B704" s="608" t="s">
        <v>770</v>
      </c>
      <c r="C704" s="604"/>
      <c r="D704" s="604"/>
      <c r="E704" s="604"/>
      <c r="F704" s="604"/>
      <c r="G704" s="403" t="str">
        <f t="shared" ca="1" si="203"/>
        <v/>
      </c>
      <c r="H704" s="403" t="s">
        <v>4324</v>
      </c>
      <c r="I704" s="32"/>
      <c r="J704" s="4"/>
      <c r="K704" s="46"/>
      <c r="L704" s="752"/>
      <c r="M704" s="770"/>
      <c r="N704" s="44"/>
      <c r="O704" s="44"/>
      <c r="X704" s="688"/>
      <c r="Y704" s="891"/>
      <c r="Z704" s="892"/>
      <c r="BJ704" s="573" t="s">
        <v>4670</v>
      </c>
    </row>
    <row r="705" spans="1:62" x14ac:dyDescent="0.35">
      <c r="A705" s="403">
        <v>6</v>
      </c>
      <c r="B705" s="608" t="s">
        <v>770</v>
      </c>
      <c r="C705" s="604"/>
      <c r="D705" s="604"/>
      <c r="E705" s="604"/>
      <c r="F705" s="604"/>
      <c r="G705" s="403" t="str">
        <f t="shared" ca="1" si="203"/>
        <v/>
      </c>
      <c r="H705" s="403" t="s">
        <v>4324</v>
      </c>
      <c r="I705" s="32"/>
      <c r="J705" s="4"/>
      <c r="K705" s="46"/>
      <c r="L705" s="744" t="s">
        <v>3316</v>
      </c>
      <c r="M705" s="770"/>
      <c r="N705" s="44"/>
      <c r="O705" s="44"/>
      <c r="X705" s="688"/>
      <c r="Y705" s="891"/>
      <c r="Z705" s="892"/>
      <c r="BJ705" s="573" t="s">
        <v>4670</v>
      </c>
    </row>
    <row r="706" spans="1:62" x14ac:dyDescent="0.35">
      <c r="A706" s="403">
        <v>6</v>
      </c>
      <c r="B706" s="608" t="s">
        <v>770</v>
      </c>
      <c r="C706" s="604"/>
      <c r="D706" s="604"/>
      <c r="E706" s="604"/>
      <c r="F706" s="604"/>
      <c r="G706" s="403" t="str">
        <f t="shared" ca="1" si="203"/>
        <v/>
      </c>
      <c r="H706" s="403" t="s">
        <v>4324</v>
      </c>
      <c r="I706" s="32"/>
      <c r="J706" s="4"/>
      <c r="K706" s="46"/>
      <c r="L706" s="754"/>
      <c r="M706" s="770"/>
      <c r="N706" s="44"/>
      <c r="O706" s="44"/>
      <c r="X706" s="688"/>
      <c r="Y706" s="891"/>
      <c r="Z706" s="892"/>
      <c r="BJ706" s="573" t="s">
        <v>4670</v>
      </c>
    </row>
    <row r="707" spans="1:62" ht="18.5" x14ac:dyDescent="0.45">
      <c r="A707" s="403">
        <v>6</v>
      </c>
      <c r="B707" s="608">
        <v>611</v>
      </c>
      <c r="C707" s="604"/>
      <c r="D707" s="604"/>
      <c r="E707" s="604"/>
      <c r="F707" s="604"/>
      <c r="G707" s="403" t="s">
        <v>4326</v>
      </c>
      <c r="H707" s="403" t="s">
        <v>4323</v>
      </c>
      <c r="I707" s="10" t="s">
        <v>778</v>
      </c>
      <c r="J707" s="15"/>
      <c r="K707" s="45"/>
      <c r="L707" s="42"/>
      <c r="M707" s="37"/>
      <c r="N707" s="37"/>
      <c r="O707" s="37"/>
      <c r="P707" s="15"/>
      <c r="Q707" s="15"/>
      <c r="R707" s="15"/>
      <c r="S707" s="15"/>
      <c r="T707" s="15"/>
      <c r="U707" s="15"/>
      <c r="V707" s="15"/>
      <c r="W707" s="15"/>
      <c r="X707" s="15"/>
      <c r="Y707" s="15"/>
      <c r="Z707" s="562"/>
      <c r="BJ707" s="573" t="s">
        <v>4670</v>
      </c>
    </row>
    <row r="708" spans="1:62" x14ac:dyDescent="0.35">
      <c r="A708" s="403">
        <v>6</v>
      </c>
      <c r="B708" s="608">
        <v>611.1</v>
      </c>
      <c r="C708" s="604"/>
      <c r="D708" s="604"/>
      <c r="E708" s="604"/>
      <c r="F708" s="604"/>
      <c r="G708" s="403" t="str">
        <f ca="1">IF(N708&gt;0,"P","")</f>
        <v/>
      </c>
      <c r="H708" s="403" t="s">
        <v>4323</v>
      </c>
      <c r="I708" s="32">
        <v>611.1</v>
      </c>
      <c r="J708" s="4"/>
      <c r="K708" s="46"/>
      <c r="L708" s="706" t="s">
        <v>779</v>
      </c>
      <c r="M708" s="690" t="s">
        <v>750</v>
      </c>
      <c r="N708" s="834">
        <f ca="1">'Ch6'!O453</f>
        <v>0</v>
      </c>
      <c r="O708" s="834">
        <f ca="1">IFERROR(MATCH(W708,INDIRECT(U708),0),0)</f>
        <v>0</v>
      </c>
      <c r="P708" t="b">
        <v>1</v>
      </c>
      <c r="Q708" t="b">
        <v>1</v>
      </c>
      <c r="R708" t="b">
        <v>0</v>
      </c>
      <c r="S708" t="b">
        <v>1</v>
      </c>
      <c r="T708" t="b">
        <v>0</v>
      </c>
      <c r="U708" t="str">
        <f>SUBSTITUTE(SUBSTITUTE(SUBSTITUTE("dd"&amp;B708&amp;C708&amp;D708&amp;E708&amp;F708,".","_"),"(","_"),")","")</f>
        <v>dd611_1</v>
      </c>
      <c r="W708" s="9"/>
      <c r="X708" s="688"/>
      <c r="Y708" s="891" t="str">
        <f>IF(LEN('Ch6'!X453)=0,"None",'Ch6'!X453)</f>
        <v>None</v>
      </c>
      <c r="Z708" s="892"/>
      <c r="AC708" t="b">
        <f>OR(AD708:AE708)</f>
        <v>0</v>
      </c>
      <c r="AD708" t="b">
        <f>T708</f>
        <v>0</v>
      </c>
      <c r="AE708" t="b">
        <f>AND(NOT(ISBLANK(W708)),LEN(X708)=0)</f>
        <v>0</v>
      </c>
      <c r="AF708" t="b">
        <f>AND(AE708,NOT(Q708))</f>
        <v>0</v>
      </c>
      <c r="AL708" t="str">
        <f t="shared" ref="AL708" si="206">SUBSTITUTE(SUBSTITUTE(SUBSTITUTE("vpa"&amp;$B708&amp;$C708&amp;$D708&amp;$E708&amp;$F708,".","_"),"(","_"),")","")</f>
        <v>vpa611_1</v>
      </c>
      <c r="AM708" t="str">
        <f>M708</f>
        <v>10 Max</v>
      </c>
      <c r="AN708" t="str">
        <f>SUBSTITUTE(SUBSTITUTE(SUBSTITUTE("vpc"&amp;$B708&amp;$C708&amp;$D708&amp;$E708&amp;$F708,".","_"),"(","_"),")","")</f>
        <v>vpc611_1</v>
      </c>
      <c r="AO708">
        <f ca="1">O708</f>
        <v>0</v>
      </c>
      <c r="AP708" t="str">
        <f>SUBSTITUTE(SUBSTITUTE(SUBSTITUTE("vch"&amp;$B708&amp;$C708&amp;$D708&amp;$E708&amp;$F708,".","_"),"(","_"),")","")</f>
        <v>vch611_1</v>
      </c>
      <c r="AQ708">
        <f>W708</f>
        <v>0</v>
      </c>
      <c r="AR708" t="str">
        <f>SUBSTITUTE(SUBSTITUTE(SUBSTITUTE("vnt"&amp;$B708&amp;$C708&amp;$D708&amp;$E708&amp;$F708,".","_"),"(","_"),")","")</f>
        <v>vnt611_1</v>
      </c>
      <c r="AS708">
        <f>X708</f>
        <v>0</v>
      </c>
      <c r="BJ708" s="573" t="s">
        <v>4670</v>
      </c>
    </row>
    <row r="709" spans="1:62" x14ac:dyDescent="0.35">
      <c r="A709" s="403">
        <v>6</v>
      </c>
      <c r="B709" s="608">
        <v>611.1</v>
      </c>
      <c r="C709" s="604"/>
      <c r="D709" s="604"/>
      <c r="E709" s="604"/>
      <c r="F709" s="604"/>
      <c r="G709" s="403" t="str">
        <f t="shared" ref="G709:G715" ca="1" si="207">G708</f>
        <v/>
      </c>
      <c r="H709" s="403" t="s">
        <v>4323</v>
      </c>
      <c r="I709" s="32"/>
      <c r="J709" s="4"/>
      <c r="K709" s="46"/>
      <c r="L709" s="706"/>
      <c r="M709" s="690"/>
      <c r="N709" s="834"/>
      <c r="O709" s="834"/>
      <c r="X709" s="688"/>
      <c r="Y709" s="891"/>
      <c r="Z709" s="892"/>
      <c r="BJ709" s="573" t="s">
        <v>4670</v>
      </c>
    </row>
    <row r="710" spans="1:62" x14ac:dyDescent="0.35">
      <c r="A710" s="403">
        <v>6</v>
      </c>
      <c r="B710" s="608">
        <v>611.1</v>
      </c>
      <c r="C710" s="604"/>
      <c r="D710" s="604"/>
      <c r="E710" s="604"/>
      <c r="F710" s="604"/>
      <c r="G710" s="403" t="str">
        <f t="shared" ca="1" si="207"/>
        <v/>
      </c>
      <c r="H710" s="403" t="s">
        <v>4323</v>
      </c>
      <c r="I710" s="32"/>
      <c r="J710" s="4"/>
      <c r="K710" s="46"/>
      <c r="L710" s="706"/>
      <c r="M710" s="690"/>
      <c r="N710" s="834"/>
      <c r="O710" s="834"/>
      <c r="X710" s="688"/>
      <c r="Y710" s="891"/>
      <c r="Z710" s="892"/>
      <c r="BJ710" s="573" t="s">
        <v>4670</v>
      </c>
    </row>
    <row r="711" spans="1:62" x14ac:dyDescent="0.35">
      <c r="A711" s="403">
        <v>6</v>
      </c>
      <c r="B711" s="608">
        <v>611.1</v>
      </c>
      <c r="C711" s="604"/>
      <c r="D711" s="604"/>
      <c r="E711" s="604"/>
      <c r="F711" s="604"/>
      <c r="G711" s="403" t="str">
        <f t="shared" ca="1" si="207"/>
        <v/>
      </c>
      <c r="H711" s="403" t="s">
        <v>4323</v>
      </c>
      <c r="I711" s="32"/>
      <c r="J711" s="4"/>
      <c r="K711" s="46"/>
      <c r="L711" s="706"/>
      <c r="M711" s="690"/>
      <c r="N711" s="834"/>
      <c r="O711" s="834"/>
      <c r="X711" s="688"/>
      <c r="Y711" s="891"/>
      <c r="Z711" s="892"/>
      <c r="BJ711" s="573" t="s">
        <v>4670</v>
      </c>
    </row>
    <row r="712" spans="1:62" x14ac:dyDescent="0.35">
      <c r="A712" s="403">
        <v>6</v>
      </c>
      <c r="B712" s="608">
        <v>611.1</v>
      </c>
      <c r="C712" s="604"/>
      <c r="D712" s="604"/>
      <c r="E712" s="604"/>
      <c r="F712" s="604"/>
      <c r="G712" s="403" t="str">
        <f t="shared" ca="1" si="207"/>
        <v/>
      </c>
      <c r="H712" s="403" t="s">
        <v>4323</v>
      </c>
      <c r="I712" s="32"/>
      <c r="J712" s="4"/>
      <c r="K712" s="46"/>
      <c r="L712" s="706"/>
      <c r="M712" s="690"/>
      <c r="N712" s="834"/>
      <c r="O712" s="834"/>
      <c r="X712" s="688"/>
      <c r="Y712" s="891"/>
      <c r="Z712" s="892"/>
      <c r="BJ712" s="573" t="s">
        <v>4670</v>
      </c>
    </row>
    <row r="713" spans="1:62" x14ac:dyDescent="0.35">
      <c r="A713" s="403">
        <v>6</v>
      </c>
      <c r="B713" s="608">
        <v>611.1</v>
      </c>
      <c r="C713" s="604"/>
      <c r="D713" s="604"/>
      <c r="E713" s="604"/>
      <c r="F713" s="604"/>
      <c r="G713" s="403" t="str">
        <f t="shared" ca="1" si="207"/>
        <v/>
      </c>
      <c r="H713" s="403" t="s">
        <v>4323</v>
      </c>
      <c r="I713" s="32"/>
      <c r="J713" s="4"/>
      <c r="K713" s="46"/>
      <c r="L713" s="102" t="s">
        <v>780</v>
      </c>
      <c r="M713" s="690"/>
      <c r="N713" s="834"/>
      <c r="O713" s="834"/>
      <c r="X713" s="688"/>
      <c r="Y713" s="891"/>
      <c r="Z713" s="892"/>
      <c r="BJ713" s="573" t="s">
        <v>4670</v>
      </c>
    </row>
    <row r="714" spans="1:62" x14ac:dyDescent="0.35">
      <c r="A714" s="403">
        <v>6</v>
      </c>
      <c r="B714" s="608">
        <v>611.1</v>
      </c>
      <c r="C714" s="604"/>
      <c r="D714" s="604"/>
      <c r="E714" s="604"/>
      <c r="F714" s="604"/>
      <c r="G714" s="403" t="str">
        <f t="shared" ca="1" si="207"/>
        <v/>
      </c>
      <c r="H714" s="403" t="s">
        <v>4323</v>
      </c>
      <c r="I714" s="32"/>
      <c r="J714" s="4"/>
      <c r="K714" s="46"/>
      <c r="L714" s="714" t="s">
        <v>3337</v>
      </c>
      <c r="M714" s="690"/>
      <c r="N714" s="834"/>
      <c r="O714" s="834"/>
      <c r="X714" s="688"/>
      <c r="Y714" s="891"/>
      <c r="Z714" s="892"/>
      <c r="BJ714" s="573" t="s">
        <v>4670</v>
      </c>
    </row>
    <row r="715" spans="1:62" ht="15" thickBot="1" x14ac:dyDescent="0.4">
      <c r="A715" s="403">
        <v>6</v>
      </c>
      <c r="B715" s="608">
        <v>611.1</v>
      </c>
      <c r="C715" s="604"/>
      <c r="D715" s="604"/>
      <c r="E715" s="604"/>
      <c r="F715" s="604"/>
      <c r="G715" s="403" t="str">
        <f t="shared" ca="1" si="207"/>
        <v/>
      </c>
      <c r="H715" s="403" t="s">
        <v>4323</v>
      </c>
      <c r="I715" s="32"/>
      <c r="J715" s="4"/>
      <c r="K715" s="46"/>
      <c r="L715" s="744"/>
      <c r="M715" s="690"/>
      <c r="N715" s="938"/>
      <c r="O715" s="834"/>
      <c r="X715" s="698"/>
      <c r="Y715" s="905"/>
      <c r="Z715" s="895"/>
      <c r="BJ715" s="573" t="s">
        <v>4670</v>
      </c>
    </row>
    <row r="716" spans="1:62" ht="15" thickTop="1" x14ac:dyDescent="0.35">
      <c r="A716" s="403">
        <v>6</v>
      </c>
      <c r="B716" s="608">
        <v>611.20000000000005</v>
      </c>
      <c r="C716" s="604"/>
      <c r="D716" s="604"/>
      <c r="E716" s="604"/>
      <c r="F716" s="604"/>
      <c r="G716" s="403" t="str">
        <f>IF(N716&gt;0,"P","")</f>
        <v/>
      </c>
      <c r="H716" s="403" t="s">
        <v>4323</v>
      </c>
      <c r="I716" s="123">
        <v>611.20000000000005</v>
      </c>
      <c r="J716" s="124"/>
      <c r="K716" s="125"/>
      <c r="L716" s="711" t="s">
        <v>781</v>
      </c>
      <c r="M716" s="692" t="s">
        <v>545</v>
      </c>
      <c r="N716" s="940">
        <f>'Ch6'!O461</f>
        <v>0</v>
      </c>
      <c r="O716" s="940">
        <f>MIN(9,M719*S719*W719+M720*S720*W720+M721*S721*W721+M722*S722*W722+M723*S723*W723+M724*S724*W724+M725*S725*W725)</f>
        <v>0</v>
      </c>
      <c r="P716" s="62"/>
      <c r="Q716" s="62"/>
      <c r="R716" s="62"/>
      <c r="S716" s="62"/>
      <c r="T716" s="62"/>
      <c r="U716" s="62"/>
      <c r="V716" s="62"/>
      <c r="W716" s="62"/>
      <c r="X716" s="62"/>
      <c r="Z716" s="543"/>
      <c r="AL716" t="str">
        <f t="shared" ref="AL716" si="208">SUBSTITUTE(SUBSTITUTE(SUBSTITUTE("vpa"&amp;$B716&amp;$C716&amp;$D716&amp;$E716&amp;$F716,".","_"),"(","_"),")","")</f>
        <v>vpa611_2</v>
      </c>
      <c r="AM716" t="str">
        <f>M716</f>
        <v>9 Max</v>
      </c>
      <c r="AN716" t="str">
        <f>SUBSTITUTE(SUBSTITUTE(SUBSTITUTE("vpc"&amp;$B716&amp;$C716&amp;$D716&amp;$E716&amp;$F716,".","_"),"(","_"),")","")</f>
        <v>vpc611_2</v>
      </c>
      <c r="AO716">
        <f>O716</f>
        <v>0</v>
      </c>
      <c r="BJ716" s="573" t="s">
        <v>4670</v>
      </c>
    </row>
    <row r="717" spans="1:62" x14ac:dyDescent="0.35">
      <c r="A717" s="403">
        <v>6</v>
      </c>
      <c r="B717" s="608">
        <v>611.20000000000005</v>
      </c>
      <c r="C717" s="604"/>
      <c r="D717" s="604"/>
      <c r="E717" s="604"/>
      <c r="F717" s="604"/>
      <c r="G717" s="403" t="str">
        <f t="shared" ref="G717:G726" si="209">G716</f>
        <v/>
      </c>
      <c r="H717" s="403" t="s">
        <v>4323</v>
      </c>
      <c r="I717" s="32"/>
      <c r="J717" s="4"/>
      <c r="K717" s="46"/>
      <c r="L717" s="706"/>
      <c r="M717" s="690"/>
      <c r="N717" s="834"/>
      <c r="O717" s="834"/>
      <c r="Z717" s="543"/>
      <c r="BJ717" s="573" t="s">
        <v>4670</v>
      </c>
    </row>
    <row r="718" spans="1:62" x14ac:dyDescent="0.35">
      <c r="A718" s="403">
        <v>6</v>
      </c>
      <c r="B718" s="608">
        <v>611.20000000000005</v>
      </c>
      <c r="C718" s="604"/>
      <c r="D718" s="604"/>
      <c r="E718" s="604"/>
      <c r="F718" s="604"/>
      <c r="G718" s="403" t="str">
        <f t="shared" si="209"/>
        <v/>
      </c>
      <c r="H718" s="403" t="s">
        <v>4323</v>
      </c>
      <c r="I718" s="32"/>
      <c r="J718" s="4"/>
      <c r="K718" s="46"/>
      <c r="L718" s="706"/>
      <c r="M718" s="690"/>
      <c r="N718" s="834"/>
      <c r="O718" s="834"/>
      <c r="Z718" s="543"/>
      <c r="BJ718" s="573" t="s">
        <v>4670</v>
      </c>
    </row>
    <row r="719" spans="1:62" x14ac:dyDescent="0.35">
      <c r="A719" s="403">
        <v>6</v>
      </c>
      <c r="B719" s="608">
        <v>611.20000000000005</v>
      </c>
      <c r="C719" s="604"/>
      <c r="D719" s="604"/>
      <c r="E719" s="604" t="s">
        <v>270</v>
      </c>
      <c r="F719" s="604"/>
      <c r="G719" s="403" t="str">
        <f t="shared" si="209"/>
        <v/>
      </c>
      <c r="H719" s="403" t="s">
        <v>4323</v>
      </c>
      <c r="I719" s="32"/>
      <c r="J719" s="148" t="s">
        <v>270</v>
      </c>
      <c r="K719" s="116"/>
      <c r="L719" s="116" t="s">
        <v>782</v>
      </c>
      <c r="M719" s="198">
        <v>3</v>
      </c>
      <c r="N719" s="44"/>
      <c r="O719" s="44"/>
      <c r="P719" t="b">
        <v>1</v>
      </c>
      <c r="Q719" t="b">
        <v>1</v>
      </c>
      <c r="R719" t="b">
        <v>0</v>
      </c>
      <c r="S719" t="b">
        <v>1</v>
      </c>
      <c r="T719" t="b">
        <v>0</v>
      </c>
      <c r="W719" s="17"/>
      <c r="X719" s="39"/>
      <c r="Y719" s="200" t="str">
        <f>IF(LEN('Ch6'!X464)=0,"None",'Ch6'!X464)</f>
        <v>None</v>
      </c>
      <c r="Z719" s="563"/>
      <c r="AC719" t="b">
        <f t="shared" ref="AC719:AC725" si="210">OR(AD719:AE719)</f>
        <v>0</v>
      </c>
      <c r="AD719" t="b">
        <f t="shared" ref="AD719:AD725" si="211">T719</f>
        <v>0</v>
      </c>
      <c r="AE719" t="b">
        <v>0</v>
      </c>
      <c r="AF719" t="b">
        <f t="shared" ref="AF719:AF725" si="212">AND(AE719,NOT(Q719))</f>
        <v>0</v>
      </c>
      <c r="AL719" t="str">
        <f t="shared" ref="AL719:AL725" si="213">SUBSTITUTE(SUBSTITUTE(SUBSTITUTE("vpa"&amp;$B719&amp;$C719&amp;$D719&amp;$E719&amp;$F719,".","_"),"(","_"),")","")</f>
        <v>vpa611_2_1</v>
      </c>
      <c r="AM719">
        <f t="shared" ref="AM719:AM725" si="214">M719</f>
        <v>3</v>
      </c>
      <c r="AP719" t="str">
        <f t="shared" ref="AP719:AP725" si="215">SUBSTITUTE(SUBSTITUTE(SUBSTITUTE("vch"&amp;$B719&amp;$C719&amp;$D719&amp;$E719&amp;$F719,".","_"),"(","_"),")","")</f>
        <v>vch611_2_1</v>
      </c>
      <c r="AQ719">
        <f t="shared" ref="AQ719:AQ725" si="216">W719</f>
        <v>0</v>
      </c>
      <c r="AR719" t="str">
        <f t="shared" ref="AR719:AR725" si="217">SUBSTITUTE(SUBSTITUTE(SUBSTITUTE("vnt"&amp;$B719&amp;$C719&amp;$D719&amp;$E719&amp;$F719,".","_"),"(","_"),")","")</f>
        <v>vnt611_2_1</v>
      </c>
      <c r="AS719">
        <f t="shared" ref="AS719:AS725" si="218">X719</f>
        <v>0</v>
      </c>
      <c r="BJ719" s="573" t="s">
        <v>4670</v>
      </c>
    </row>
    <row r="720" spans="1:62" x14ac:dyDescent="0.35">
      <c r="A720" s="403">
        <v>6</v>
      </c>
      <c r="B720" s="608">
        <v>611.20000000000005</v>
      </c>
      <c r="C720" s="604"/>
      <c r="D720" s="604"/>
      <c r="E720" s="604" t="s">
        <v>272</v>
      </c>
      <c r="F720" s="604"/>
      <c r="G720" s="403" t="str">
        <f t="shared" si="209"/>
        <v/>
      </c>
      <c r="H720" s="403" t="s">
        <v>4323</v>
      </c>
      <c r="I720" s="32"/>
      <c r="J720" s="150" t="s">
        <v>272</v>
      </c>
      <c r="K720" s="151"/>
      <c r="L720" s="151" t="s">
        <v>783</v>
      </c>
      <c r="M720" s="153">
        <v>3</v>
      </c>
      <c r="N720" s="44"/>
      <c r="O720" s="44"/>
      <c r="P720" t="b">
        <v>1</v>
      </c>
      <c r="Q720" t="b">
        <v>1</v>
      </c>
      <c r="R720" t="b">
        <v>0</v>
      </c>
      <c r="S720" t="b">
        <v>1</v>
      </c>
      <c r="T720" t="b">
        <v>0</v>
      </c>
      <c r="W720" s="17"/>
      <c r="X720" s="39"/>
      <c r="Y720" s="200" t="str">
        <f>IF(LEN('Ch6'!X465)=0,"None",'Ch6'!X465)</f>
        <v>None</v>
      </c>
      <c r="Z720" s="563"/>
      <c r="AC720" t="b">
        <f t="shared" si="210"/>
        <v>0</v>
      </c>
      <c r="AD720" t="b">
        <f t="shared" si="211"/>
        <v>0</v>
      </c>
      <c r="AE720" t="b">
        <v>0</v>
      </c>
      <c r="AF720" t="b">
        <f t="shared" si="212"/>
        <v>0</v>
      </c>
      <c r="AL720" t="str">
        <f t="shared" si="213"/>
        <v>vpa611_2_2</v>
      </c>
      <c r="AM720">
        <f t="shared" si="214"/>
        <v>3</v>
      </c>
      <c r="AP720" t="str">
        <f t="shared" si="215"/>
        <v>vch611_2_2</v>
      </c>
      <c r="AQ720">
        <f t="shared" si="216"/>
        <v>0</v>
      </c>
      <c r="AR720" t="str">
        <f t="shared" si="217"/>
        <v>vnt611_2_2</v>
      </c>
      <c r="AS720">
        <f t="shared" si="218"/>
        <v>0</v>
      </c>
      <c r="BJ720" s="573" t="s">
        <v>4670</v>
      </c>
    </row>
    <row r="721" spans="1:62" x14ac:dyDescent="0.35">
      <c r="A721" s="403">
        <v>6</v>
      </c>
      <c r="B721" s="608">
        <v>611.20000000000005</v>
      </c>
      <c r="C721" s="604"/>
      <c r="D721" s="604"/>
      <c r="E721" s="604" t="s">
        <v>274</v>
      </c>
      <c r="F721" s="604"/>
      <c r="G721" s="403" t="str">
        <f t="shared" si="209"/>
        <v/>
      </c>
      <c r="H721" s="403" t="s">
        <v>4323</v>
      </c>
      <c r="I721" s="32"/>
      <c r="J721" s="150" t="s">
        <v>274</v>
      </c>
      <c r="K721" s="151"/>
      <c r="L721" s="151" t="s">
        <v>784</v>
      </c>
      <c r="M721" s="153">
        <v>3</v>
      </c>
      <c r="N721" s="44"/>
      <c r="O721" s="44"/>
      <c r="P721" t="b">
        <v>1</v>
      </c>
      <c r="Q721" t="b">
        <v>1</v>
      </c>
      <c r="R721" t="b">
        <v>0</v>
      </c>
      <c r="S721" t="b">
        <v>1</v>
      </c>
      <c r="T721" t="b">
        <v>0</v>
      </c>
      <c r="W721" s="17"/>
      <c r="X721" s="39"/>
      <c r="Y721" s="200" t="str">
        <f>IF(LEN('Ch6'!X466)=0,"None",'Ch6'!X466)</f>
        <v>None</v>
      </c>
      <c r="Z721" s="563"/>
      <c r="AC721" t="b">
        <f t="shared" si="210"/>
        <v>0</v>
      </c>
      <c r="AD721" t="b">
        <f t="shared" si="211"/>
        <v>0</v>
      </c>
      <c r="AE721" t="b">
        <v>0</v>
      </c>
      <c r="AF721" t="b">
        <f t="shared" si="212"/>
        <v>0</v>
      </c>
      <c r="AL721" t="str">
        <f t="shared" si="213"/>
        <v>vpa611_2_3</v>
      </c>
      <c r="AM721">
        <f t="shared" si="214"/>
        <v>3</v>
      </c>
      <c r="AP721" t="str">
        <f t="shared" si="215"/>
        <v>vch611_2_3</v>
      </c>
      <c r="AQ721">
        <f t="shared" si="216"/>
        <v>0</v>
      </c>
      <c r="AR721" t="str">
        <f t="shared" si="217"/>
        <v>vnt611_2_3</v>
      </c>
      <c r="AS721">
        <f t="shared" si="218"/>
        <v>0</v>
      </c>
      <c r="BJ721" s="573" t="s">
        <v>4670</v>
      </c>
    </row>
    <row r="722" spans="1:62" x14ac:dyDescent="0.35">
      <c r="A722" s="403">
        <v>6</v>
      </c>
      <c r="B722" s="608">
        <v>611.20000000000005</v>
      </c>
      <c r="C722" s="604"/>
      <c r="D722" s="604"/>
      <c r="E722" s="604" t="s">
        <v>283</v>
      </c>
      <c r="F722" s="604"/>
      <c r="G722" s="403" t="str">
        <f t="shared" si="209"/>
        <v/>
      </c>
      <c r="H722" s="403" t="s">
        <v>4323</v>
      </c>
      <c r="I722" s="32"/>
      <c r="J722" s="150" t="s">
        <v>283</v>
      </c>
      <c r="K722" s="151"/>
      <c r="L722" s="151" t="s">
        <v>785</v>
      </c>
      <c r="M722" s="153">
        <v>3</v>
      </c>
      <c r="N722" s="44"/>
      <c r="O722" s="44"/>
      <c r="P722" t="b">
        <v>1</v>
      </c>
      <c r="Q722" t="b">
        <v>1</v>
      </c>
      <c r="R722" t="b">
        <v>0</v>
      </c>
      <c r="S722" t="b">
        <v>1</v>
      </c>
      <c r="T722" t="b">
        <v>0</v>
      </c>
      <c r="W722" s="17"/>
      <c r="X722" s="39"/>
      <c r="Y722" s="200" t="str">
        <f>IF(LEN('Ch6'!X467)=0,"None",'Ch6'!X467)</f>
        <v>None</v>
      </c>
      <c r="Z722" s="563"/>
      <c r="AC722" t="b">
        <f t="shared" si="210"/>
        <v>0</v>
      </c>
      <c r="AD722" t="b">
        <f t="shared" si="211"/>
        <v>0</v>
      </c>
      <c r="AE722" t="b">
        <v>0</v>
      </c>
      <c r="AF722" t="b">
        <f t="shared" si="212"/>
        <v>0</v>
      </c>
      <c r="AL722" t="str">
        <f t="shared" si="213"/>
        <v>vpa611_2_4</v>
      </c>
      <c r="AM722">
        <f t="shared" si="214"/>
        <v>3</v>
      </c>
      <c r="AP722" t="str">
        <f t="shared" si="215"/>
        <v>vch611_2_4</v>
      </c>
      <c r="AQ722">
        <f t="shared" si="216"/>
        <v>0</v>
      </c>
      <c r="AR722" t="str">
        <f t="shared" si="217"/>
        <v>vnt611_2_4</v>
      </c>
      <c r="AS722">
        <f t="shared" si="218"/>
        <v>0</v>
      </c>
      <c r="BJ722" s="573" t="s">
        <v>4670</v>
      </c>
    </row>
    <row r="723" spans="1:62" x14ac:dyDescent="0.35">
      <c r="A723" s="403">
        <v>6</v>
      </c>
      <c r="B723" s="608">
        <v>611.20000000000005</v>
      </c>
      <c r="C723" s="604"/>
      <c r="D723" s="604"/>
      <c r="E723" s="604" t="s">
        <v>289</v>
      </c>
      <c r="F723" s="604"/>
      <c r="G723" s="403" t="str">
        <f t="shared" si="209"/>
        <v/>
      </c>
      <c r="H723" s="403" t="s">
        <v>4323</v>
      </c>
      <c r="I723" s="32"/>
      <c r="J723" s="150" t="s">
        <v>289</v>
      </c>
      <c r="K723" s="151"/>
      <c r="L723" s="151" t="s">
        <v>786</v>
      </c>
      <c r="M723" s="153">
        <v>3</v>
      </c>
      <c r="N723" s="44"/>
      <c r="O723" s="44"/>
      <c r="P723" t="b">
        <v>1</v>
      </c>
      <c r="Q723" t="b">
        <v>1</v>
      </c>
      <c r="R723" t="b">
        <v>0</v>
      </c>
      <c r="S723" t="b">
        <v>1</v>
      </c>
      <c r="T723" t="b">
        <v>0</v>
      </c>
      <c r="W723" s="17"/>
      <c r="X723" s="39"/>
      <c r="Y723" s="200" t="str">
        <f>IF(LEN('Ch6'!X468)=0,"None",'Ch6'!X468)</f>
        <v>None</v>
      </c>
      <c r="Z723" s="563"/>
      <c r="AC723" t="b">
        <f t="shared" si="210"/>
        <v>0</v>
      </c>
      <c r="AD723" t="b">
        <f t="shared" si="211"/>
        <v>0</v>
      </c>
      <c r="AE723" t="b">
        <v>0</v>
      </c>
      <c r="AF723" t="b">
        <f t="shared" si="212"/>
        <v>0</v>
      </c>
      <c r="AL723" t="str">
        <f t="shared" si="213"/>
        <v>vpa611_2_5</v>
      </c>
      <c r="AM723">
        <f t="shared" si="214"/>
        <v>3</v>
      </c>
      <c r="AP723" t="str">
        <f t="shared" si="215"/>
        <v>vch611_2_5</v>
      </c>
      <c r="AQ723">
        <f t="shared" si="216"/>
        <v>0</v>
      </c>
      <c r="AR723" t="str">
        <f t="shared" si="217"/>
        <v>vnt611_2_5</v>
      </c>
      <c r="AS723">
        <f t="shared" si="218"/>
        <v>0</v>
      </c>
      <c r="BJ723" s="573" t="s">
        <v>4670</v>
      </c>
    </row>
    <row r="724" spans="1:62" x14ac:dyDescent="0.35">
      <c r="A724" s="403">
        <v>6</v>
      </c>
      <c r="B724" s="608">
        <v>611.20000000000005</v>
      </c>
      <c r="C724" s="604"/>
      <c r="D724" s="604"/>
      <c r="E724" s="604" t="s">
        <v>291</v>
      </c>
      <c r="F724" s="604"/>
      <c r="G724" s="403" t="str">
        <f t="shared" si="209"/>
        <v/>
      </c>
      <c r="H724" s="403" t="s">
        <v>4323</v>
      </c>
      <c r="I724" s="32"/>
      <c r="J724" s="150" t="s">
        <v>291</v>
      </c>
      <c r="K724" s="151"/>
      <c r="L724" s="151" t="s">
        <v>787</v>
      </c>
      <c r="M724" s="153">
        <v>3</v>
      </c>
      <c r="N724" s="44"/>
      <c r="O724" s="44"/>
      <c r="P724" t="b">
        <v>1</v>
      </c>
      <c r="Q724" t="b">
        <v>1</v>
      </c>
      <c r="R724" t="b">
        <v>0</v>
      </c>
      <c r="S724" t="b">
        <v>1</v>
      </c>
      <c r="T724" t="b">
        <v>0</v>
      </c>
      <c r="W724" s="17"/>
      <c r="X724" s="39"/>
      <c r="Y724" s="200" t="str">
        <f>IF(LEN('Ch6'!X469)=0,"None",'Ch6'!X469)</f>
        <v>None</v>
      </c>
      <c r="Z724" s="563"/>
      <c r="AC724" t="b">
        <f t="shared" si="210"/>
        <v>0</v>
      </c>
      <c r="AD724" t="b">
        <f t="shared" si="211"/>
        <v>0</v>
      </c>
      <c r="AE724" t="b">
        <v>0</v>
      </c>
      <c r="AF724" t="b">
        <f t="shared" si="212"/>
        <v>0</v>
      </c>
      <c r="AL724" t="str">
        <f t="shared" si="213"/>
        <v>vpa611_2_6</v>
      </c>
      <c r="AM724">
        <f t="shared" si="214"/>
        <v>3</v>
      </c>
      <c r="AP724" t="str">
        <f t="shared" si="215"/>
        <v>vch611_2_6</v>
      </c>
      <c r="AQ724">
        <f t="shared" si="216"/>
        <v>0</v>
      </c>
      <c r="AR724" t="str">
        <f t="shared" si="217"/>
        <v>vnt611_2_6</v>
      </c>
      <c r="AS724">
        <f t="shared" si="218"/>
        <v>0</v>
      </c>
      <c r="BJ724" s="573" t="s">
        <v>4670</v>
      </c>
    </row>
    <row r="725" spans="1:62" x14ac:dyDescent="0.35">
      <c r="A725" s="403">
        <v>6</v>
      </c>
      <c r="B725" s="608">
        <v>611.20000000000005</v>
      </c>
      <c r="C725" s="604"/>
      <c r="D725" s="604"/>
      <c r="E725" s="604" t="s">
        <v>403</v>
      </c>
      <c r="F725" s="604"/>
      <c r="G725" s="403" t="str">
        <f t="shared" si="209"/>
        <v/>
      </c>
      <c r="H725" s="403" t="s">
        <v>4323</v>
      </c>
      <c r="I725" s="32"/>
      <c r="J725" s="19" t="s">
        <v>403</v>
      </c>
      <c r="K725" s="46"/>
      <c r="L725" s="707" t="s">
        <v>788</v>
      </c>
      <c r="M725" s="690">
        <v>3</v>
      </c>
      <c r="N725" s="44"/>
      <c r="O725" s="44"/>
      <c r="P725" t="b">
        <v>1</v>
      </c>
      <c r="Q725" t="b">
        <v>1</v>
      </c>
      <c r="R725" t="b">
        <v>0</v>
      </c>
      <c r="S725" t="b">
        <v>1</v>
      </c>
      <c r="T725" t="b">
        <v>0</v>
      </c>
      <c r="W725" s="17"/>
      <c r="X725" s="688"/>
      <c r="Y725" s="891" t="str">
        <f>IF(LEN('Ch6'!X470)=0,"None",'Ch6'!X470)</f>
        <v>None</v>
      </c>
      <c r="Z725" s="892"/>
      <c r="AC725" t="b">
        <f t="shared" si="210"/>
        <v>0</v>
      </c>
      <c r="AD725" t="b">
        <f t="shared" si="211"/>
        <v>0</v>
      </c>
      <c r="AE725" t="b">
        <v>0</v>
      </c>
      <c r="AF725" t="b">
        <f t="shared" si="212"/>
        <v>0</v>
      </c>
      <c r="AL725" t="str">
        <f t="shared" si="213"/>
        <v>vpa611_2_7</v>
      </c>
      <c r="AM725">
        <f t="shared" si="214"/>
        <v>3</v>
      </c>
      <c r="AP725" t="str">
        <f t="shared" si="215"/>
        <v>vch611_2_7</v>
      </c>
      <c r="AQ725">
        <f t="shared" si="216"/>
        <v>0</v>
      </c>
      <c r="AR725" t="str">
        <f t="shared" si="217"/>
        <v>vnt611_2_7</v>
      </c>
      <c r="AS725">
        <f t="shared" si="218"/>
        <v>0</v>
      </c>
      <c r="BJ725" s="573" t="s">
        <v>4670</v>
      </c>
    </row>
    <row r="726" spans="1:62" ht="15" thickBot="1" x14ac:dyDescent="0.4">
      <c r="A726" s="403">
        <v>6</v>
      </c>
      <c r="B726" s="608">
        <v>611.20000000000005</v>
      </c>
      <c r="C726" s="604"/>
      <c r="D726" s="604"/>
      <c r="E726" s="604" t="s">
        <v>403</v>
      </c>
      <c r="F726" s="604"/>
      <c r="G726" s="403" t="str">
        <f t="shared" si="209"/>
        <v/>
      </c>
      <c r="H726" s="403" t="s">
        <v>4323</v>
      </c>
      <c r="I726" s="32"/>
      <c r="J726" s="19"/>
      <c r="K726" s="46"/>
      <c r="L726" s="707"/>
      <c r="M726" s="690"/>
      <c r="N726" s="44"/>
      <c r="O726" s="44"/>
      <c r="X726" s="698"/>
      <c r="Y726" s="905"/>
      <c r="Z726" s="895"/>
      <c r="BJ726" s="573" t="s">
        <v>4670</v>
      </c>
    </row>
    <row r="727" spans="1:62" ht="15" thickTop="1" x14ac:dyDescent="0.35">
      <c r="A727" s="403">
        <v>6</v>
      </c>
      <c r="B727" s="608">
        <v>611.29999999999995</v>
      </c>
      <c r="C727" s="604"/>
      <c r="D727" s="604"/>
      <c r="E727" s="604"/>
      <c r="F727" s="604"/>
      <c r="G727" s="403" t="str">
        <f>IF(N727&gt;0,"P","")</f>
        <v>P</v>
      </c>
      <c r="H727" s="403" t="s">
        <v>4323</v>
      </c>
      <c r="I727" s="123">
        <v>611.29999999999995</v>
      </c>
      <c r="J727" s="140"/>
      <c r="K727" s="125"/>
      <c r="L727" s="711" t="s">
        <v>789</v>
      </c>
      <c r="M727" s="692" t="s">
        <v>568</v>
      </c>
      <c r="N727" s="940">
        <f>'Ch6'!O472</f>
        <v>1</v>
      </c>
      <c r="O727" s="940">
        <f>MIN(12,M729*S729*W729+M734*S734*W734+M738*S738*W738+M740*S740*W740+M742*S742*W742+M743*S743*W743+M744*S744*W744+M748*S748*W748+M750*S750*W750)</f>
        <v>1</v>
      </c>
      <c r="P727" s="62"/>
      <c r="Q727" s="62"/>
      <c r="R727" s="62"/>
      <c r="S727" s="62"/>
      <c r="T727" s="62"/>
      <c r="U727" s="62"/>
      <c r="V727" s="62"/>
      <c r="W727" s="62"/>
      <c r="X727" s="62"/>
      <c r="Z727" s="543"/>
      <c r="AL727" t="str">
        <f t="shared" ref="AL727" si="219">SUBSTITUTE(SUBSTITUTE(SUBSTITUTE("vpa"&amp;$B727&amp;$C727&amp;$D727&amp;$E727&amp;$F727,".","_"),"(","_"),")","")</f>
        <v>vpa611_3</v>
      </c>
      <c r="AM727" t="str">
        <f>M727</f>
        <v>12 Max</v>
      </c>
      <c r="AN727" t="str">
        <f>SUBSTITUTE(SUBSTITUTE(SUBSTITUTE("vpc"&amp;$B727&amp;$C727&amp;$D727&amp;$E727&amp;$F727,".","_"),"(","_"),")","")</f>
        <v>vpc611_3</v>
      </c>
      <c r="AO727">
        <f>O727</f>
        <v>1</v>
      </c>
      <c r="BJ727" s="573" t="s">
        <v>4670</v>
      </c>
    </row>
    <row r="728" spans="1:62" x14ac:dyDescent="0.35">
      <c r="A728" s="403">
        <v>6</v>
      </c>
      <c r="B728" s="608">
        <v>611.29999999999995</v>
      </c>
      <c r="C728" s="604"/>
      <c r="D728" s="604"/>
      <c r="E728" s="604"/>
      <c r="F728" s="604"/>
      <c r="G728" s="403" t="str">
        <f t="shared" ref="G728:G751" si="220">G727</f>
        <v>P</v>
      </c>
      <c r="H728" s="403" t="s">
        <v>4323</v>
      </c>
      <c r="I728" s="32"/>
      <c r="J728" s="4"/>
      <c r="K728" s="46"/>
      <c r="L728" s="706"/>
      <c r="M728" s="690"/>
      <c r="N728" s="834"/>
      <c r="O728" s="834"/>
      <c r="Z728" s="543"/>
      <c r="BJ728" s="573" t="s">
        <v>4670</v>
      </c>
    </row>
    <row r="729" spans="1:62" x14ac:dyDescent="0.35">
      <c r="A729" s="403">
        <v>6</v>
      </c>
      <c r="B729" s="608">
        <v>611.29999999999995</v>
      </c>
      <c r="C729" s="604"/>
      <c r="D729" s="604"/>
      <c r="E729" s="604" t="s">
        <v>270</v>
      </c>
      <c r="F729" s="604"/>
      <c r="G729" s="403" t="str">
        <f t="shared" si="220"/>
        <v>P</v>
      </c>
      <c r="H729" s="403" t="s">
        <v>4323</v>
      </c>
      <c r="I729" s="32"/>
      <c r="J729" s="19" t="s">
        <v>270</v>
      </c>
      <c r="K729" s="46"/>
      <c r="L729" s="707" t="s">
        <v>790</v>
      </c>
      <c r="M729" s="690">
        <v>3</v>
      </c>
      <c r="N729" s="44"/>
      <c r="O729" s="44"/>
      <c r="P729" t="b">
        <v>1</v>
      </c>
      <c r="Q729" t="b">
        <v>1</v>
      </c>
      <c r="R729" t="b">
        <v>0</v>
      </c>
      <c r="S729" t="b">
        <v>1</v>
      </c>
      <c r="T729" t="b">
        <v>0</v>
      </c>
      <c r="W729" s="17"/>
      <c r="X729" s="688"/>
      <c r="Y729" s="891" t="str">
        <f>IF(LEN('Ch6'!X474)=0,"None",'Ch6'!X474)</f>
        <v>None</v>
      </c>
      <c r="Z729" s="892"/>
      <c r="AA729">
        <f>'Photo Review'!H729</f>
        <v>0</v>
      </c>
      <c r="AL729" t="str">
        <f t="shared" ref="AL729" si="221">SUBSTITUTE(SUBSTITUTE(SUBSTITUTE("vpa"&amp;$B729&amp;$C729&amp;$D729&amp;$E729&amp;$F729,".","_"),"(","_"),")","")</f>
        <v>vpa611_3_1</v>
      </c>
      <c r="AM729">
        <f>M729</f>
        <v>3</v>
      </c>
      <c r="AP729" t="str">
        <f>SUBSTITUTE(SUBSTITUTE(SUBSTITUTE("vch"&amp;$B729&amp;$C729&amp;$D729&amp;$E729&amp;$F729,".","_"),"(","_"),")","")</f>
        <v>vch611_3_1</v>
      </c>
      <c r="AQ729">
        <f>W729</f>
        <v>0</v>
      </c>
      <c r="AR729" t="str">
        <f>SUBSTITUTE(SUBSTITUTE(SUBSTITUTE("vnt"&amp;$B729&amp;$C729&amp;$D729&amp;$E729&amp;$F729,".","_"),"(","_"),")","")</f>
        <v>vnt611_3_1</v>
      </c>
      <c r="AS729">
        <f>X729</f>
        <v>0</v>
      </c>
      <c r="BJ729" s="573" t="s">
        <v>4670</v>
      </c>
    </row>
    <row r="730" spans="1:62" x14ac:dyDescent="0.35">
      <c r="A730" s="403">
        <v>6</v>
      </c>
      <c r="B730" s="608">
        <v>611.29999999999995</v>
      </c>
      <c r="C730" s="604"/>
      <c r="D730" s="604"/>
      <c r="E730" s="604" t="s">
        <v>270</v>
      </c>
      <c r="F730" s="604"/>
      <c r="G730" s="403" t="str">
        <f t="shared" si="220"/>
        <v>P</v>
      </c>
      <c r="H730" s="403" t="s">
        <v>4323</v>
      </c>
      <c r="I730" s="32"/>
      <c r="J730" s="4"/>
      <c r="K730" s="46"/>
      <c r="L730" s="707"/>
      <c r="M730" s="690"/>
      <c r="N730" s="44"/>
      <c r="O730" s="44"/>
      <c r="X730" s="688"/>
      <c r="Y730" s="891"/>
      <c r="Z730" s="892"/>
      <c r="BJ730" s="573" t="s">
        <v>4670</v>
      </c>
    </row>
    <row r="731" spans="1:62" x14ac:dyDescent="0.35">
      <c r="A731" s="403">
        <v>6</v>
      </c>
      <c r="B731" s="608">
        <v>611.29999999999995</v>
      </c>
      <c r="C731" s="604"/>
      <c r="D731" s="604"/>
      <c r="E731" s="604" t="s">
        <v>270</v>
      </c>
      <c r="F731" s="604"/>
      <c r="G731" s="403" t="str">
        <f t="shared" si="220"/>
        <v>P</v>
      </c>
      <c r="H731" s="403" t="s">
        <v>4323</v>
      </c>
      <c r="I731" s="32"/>
      <c r="J731" s="4"/>
      <c r="K731" s="46"/>
      <c r="L731" s="707"/>
      <c r="M731" s="690"/>
      <c r="N731" s="44"/>
      <c r="O731" s="44"/>
      <c r="X731" s="688"/>
      <c r="Y731" s="891"/>
      <c r="Z731" s="892"/>
      <c r="BJ731" s="573" t="s">
        <v>4670</v>
      </c>
    </row>
    <row r="732" spans="1:62" x14ac:dyDescent="0.35">
      <c r="A732" s="403">
        <v>6</v>
      </c>
      <c r="B732" s="608">
        <v>611.29999999999995</v>
      </c>
      <c r="C732" s="604"/>
      <c r="D732" s="604"/>
      <c r="E732" s="604" t="s">
        <v>270</v>
      </c>
      <c r="F732" s="604"/>
      <c r="G732" s="403" t="str">
        <f t="shared" si="220"/>
        <v>P</v>
      </c>
      <c r="H732" s="403" t="s">
        <v>4323</v>
      </c>
      <c r="I732" s="32"/>
      <c r="J732" s="4"/>
      <c r="K732" s="46"/>
      <c r="L732" s="707"/>
      <c r="M732" s="690"/>
      <c r="N732" s="44"/>
      <c r="O732" s="44"/>
      <c r="X732" s="688"/>
      <c r="Y732" s="891"/>
      <c r="Z732" s="892"/>
      <c r="BJ732" s="573" t="s">
        <v>4670</v>
      </c>
    </row>
    <row r="733" spans="1:62" x14ac:dyDescent="0.35">
      <c r="A733" s="403">
        <v>6</v>
      </c>
      <c r="B733" s="608">
        <v>611.29999999999995</v>
      </c>
      <c r="C733" s="604"/>
      <c r="D733" s="604"/>
      <c r="E733" s="604" t="s">
        <v>270</v>
      </c>
      <c r="F733" s="604"/>
      <c r="G733" s="403" t="str">
        <f t="shared" si="220"/>
        <v>P</v>
      </c>
      <c r="H733" s="403" t="s">
        <v>4323</v>
      </c>
      <c r="I733" s="32"/>
      <c r="J733" s="155"/>
      <c r="K733" s="116"/>
      <c r="L733" s="709"/>
      <c r="M733" s="691"/>
      <c r="N733" s="44"/>
      <c r="O733" s="44"/>
      <c r="X733" s="688"/>
      <c r="Y733" s="891"/>
      <c r="Z733" s="892"/>
      <c r="BJ733" s="573" t="s">
        <v>4670</v>
      </c>
    </row>
    <row r="734" spans="1:62" x14ac:dyDescent="0.35">
      <c r="A734" s="403">
        <v>6</v>
      </c>
      <c r="B734" s="608">
        <v>611.29999999999995</v>
      </c>
      <c r="C734" s="604"/>
      <c r="D734" s="604"/>
      <c r="E734" s="604" t="s">
        <v>272</v>
      </c>
      <c r="F734" s="604"/>
      <c r="G734" s="403" t="str">
        <f t="shared" si="220"/>
        <v>P</v>
      </c>
      <c r="H734" s="403" t="s">
        <v>4323</v>
      </c>
      <c r="I734" s="32"/>
      <c r="J734" s="154" t="s">
        <v>272</v>
      </c>
      <c r="K734" s="137"/>
      <c r="L734" s="742" t="s">
        <v>791</v>
      </c>
      <c r="M734" s="712">
        <v>3</v>
      </c>
      <c r="N734" s="44"/>
      <c r="O734" s="44"/>
      <c r="P734" t="b">
        <v>1</v>
      </c>
      <c r="Q734" t="b">
        <v>1</v>
      </c>
      <c r="R734" t="b">
        <v>0</v>
      </c>
      <c r="S734" t="b">
        <f>IF(W729=TRUE,TRUE,FALSE)</f>
        <v>0</v>
      </c>
      <c r="T734" t="b">
        <f>IF(AND(NOT(S734),W734=TRUE),TRUE,FALSE)</f>
        <v>0</v>
      </c>
      <c r="W734" s="17"/>
      <c r="X734" s="688"/>
      <c r="Y734" s="891" t="str">
        <f>IF(LEN('Ch6'!X479)=0,"None",'Ch6'!X479)</f>
        <v>None</v>
      </c>
      <c r="Z734" s="892"/>
      <c r="AC734" t="b">
        <f>OR(AD734:AE734)</f>
        <v>0</v>
      </c>
      <c r="AD734" t="b">
        <f>T734</f>
        <v>0</v>
      </c>
      <c r="AL734" t="str">
        <f t="shared" ref="AL734" si="222">SUBSTITUTE(SUBSTITUTE(SUBSTITUTE("vpa"&amp;$B734&amp;$C734&amp;$D734&amp;$E734&amp;$F734,".","_"),"(","_"),")","")</f>
        <v>vpa611_3_2</v>
      </c>
      <c r="AM734">
        <f>M734</f>
        <v>3</v>
      </c>
      <c r="AP734" t="str">
        <f>SUBSTITUTE(SUBSTITUTE(SUBSTITUTE("vch"&amp;$B734&amp;$C734&amp;$D734&amp;$E734&amp;$F734,".","_"),"(","_"),")","")</f>
        <v>vch611_3_2</v>
      </c>
      <c r="AQ734">
        <f>W734</f>
        <v>0</v>
      </c>
      <c r="AR734" t="str">
        <f>SUBSTITUTE(SUBSTITUTE(SUBSTITUTE("vnt"&amp;$B734&amp;$C734&amp;$D734&amp;$E734&amp;$F734,".","_"),"(","_"),")","")</f>
        <v>vnt611_3_2</v>
      </c>
      <c r="AS734">
        <f>X734</f>
        <v>0</v>
      </c>
      <c r="BJ734" s="573" t="s">
        <v>4670</v>
      </c>
    </row>
    <row r="735" spans="1:62" x14ac:dyDescent="0.35">
      <c r="A735" s="403">
        <v>6</v>
      </c>
      <c r="B735" s="608">
        <v>611.29999999999995</v>
      </c>
      <c r="C735" s="604"/>
      <c r="D735" s="604"/>
      <c r="E735" s="604" t="s">
        <v>272</v>
      </c>
      <c r="F735" s="604"/>
      <c r="G735" s="403" t="str">
        <f t="shared" si="220"/>
        <v>P</v>
      </c>
      <c r="H735" s="403" t="s">
        <v>4323</v>
      </c>
      <c r="I735" s="32"/>
      <c r="J735" s="4"/>
      <c r="K735" s="46"/>
      <c r="L735" s="707"/>
      <c r="M735" s="690"/>
      <c r="N735" s="44"/>
      <c r="O735" s="44"/>
      <c r="X735" s="688"/>
      <c r="Y735" s="891"/>
      <c r="Z735" s="892"/>
      <c r="BJ735" s="573" t="s">
        <v>4670</v>
      </c>
    </row>
    <row r="736" spans="1:62" x14ac:dyDescent="0.35">
      <c r="A736" s="403">
        <v>6</v>
      </c>
      <c r="B736" s="608">
        <v>611.29999999999995</v>
      </c>
      <c r="C736" s="604"/>
      <c r="D736" s="604"/>
      <c r="E736" s="604" t="s">
        <v>272</v>
      </c>
      <c r="F736" s="604"/>
      <c r="G736" s="403" t="str">
        <f t="shared" si="220"/>
        <v>P</v>
      </c>
      <c r="H736" s="403" t="s">
        <v>4323</v>
      </c>
      <c r="I736" s="32"/>
      <c r="J736" s="4"/>
      <c r="K736" s="46"/>
      <c r="L736" s="707"/>
      <c r="M736" s="690"/>
      <c r="N736" s="44"/>
      <c r="O736" s="44"/>
      <c r="X736" s="688"/>
      <c r="Y736" s="891"/>
      <c r="Z736" s="892"/>
      <c r="BJ736" s="573" t="s">
        <v>4670</v>
      </c>
    </row>
    <row r="737" spans="1:62" x14ac:dyDescent="0.35">
      <c r="A737" s="403">
        <v>6</v>
      </c>
      <c r="B737" s="608">
        <v>611.29999999999995</v>
      </c>
      <c r="C737" s="604"/>
      <c r="D737" s="604"/>
      <c r="E737" s="604" t="s">
        <v>272</v>
      </c>
      <c r="F737" s="604"/>
      <c r="G737" s="403" t="str">
        <f t="shared" si="220"/>
        <v>P</v>
      </c>
      <c r="H737" s="403" t="s">
        <v>4323</v>
      </c>
      <c r="I737" s="32"/>
      <c r="J737" s="155"/>
      <c r="K737" s="116"/>
      <c r="L737" s="709"/>
      <c r="M737" s="691"/>
      <c r="N737" s="44"/>
      <c r="O737" s="44"/>
      <c r="X737" s="688"/>
      <c r="Y737" s="891"/>
      <c r="Z737" s="892"/>
      <c r="BJ737" s="573" t="s">
        <v>4670</v>
      </c>
    </row>
    <row r="738" spans="1:62" x14ac:dyDescent="0.35">
      <c r="A738" s="403">
        <v>6</v>
      </c>
      <c r="B738" s="608">
        <v>611.29999999999995</v>
      </c>
      <c r="C738" s="604"/>
      <c r="D738" s="604"/>
      <c r="E738" s="604" t="s">
        <v>274</v>
      </c>
      <c r="F738" s="604"/>
      <c r="G738" s="403" t="str">
        <f t="shared" si="220"/>
        <v>P</v>
      </c>
      <c r="H738" s="403" t="s">
        <v>4323</v>
      </c>
      <c r="I738" s="32"/>
      <c r="J738" s="154" t="s">
        <v>274</v>
      </c>
      <c r="K738" s="137"/>
      <c r="L738" s="742" t="s">
        <v>792</v>
      </c>
      <c r="M738" s="712">
        <v>3</v>
      </c>
      <c r="N738" s="44"/>
      <c r="O738" s="44"/>
      <c r="P738" t="b">
        <v>1</v>
      </c>
      <c r="Q738" t="b">
        <v>1</v>
      </c>
      <c r="R738" t="b">
        <v>0</v>
      </c>
      <c r="S738" t="b">
        <f>IF(W729=TRUE,TRUE,FALSE)</f>
        <v>0</v>
      </c>
      <c r="T738" t="b">
        <f>IF(AND(NOT(S738),W738=TRUE),TRUE,FALSE)</f>
        <v>0</v>
      </c>
      <c r="W738" s="17"/>
      <c r="X738" s="688"/>
      <c r="Y738" s="891" t="str">
        <f>IF(LEN('Ch6'!X483)=0,"None",'Ch6'!X483)</f>
        <v>None</v>
      </c>
      <c r="Z738" s="892"/>
      <c r="AC738" t="b">
        <f>OR(AD738:AE738)</f>
        <v>0</v>
      </c>
      <c r="AD738" t="b">
        <f>T738</f>
        <v>0</v>
      </c>
      <c r="AL738" t="str">
        <f t="shared" ref="AL738" si="223">SUBSTITUTE(SUBSTITUTE(SUBSTITUTE("vpa"&amp;$B738&amp;$C738&amp;$D738&amp;$E738&amp;$F738,".","_"),"(","_"),")","")</f>
        <v>vpa611_3_3</v>
      </c>
      <c r="AM738">
        <f>M738</f>
        <v>3</v>
      </c>
      <c r="AP738" t="str">
        <f>SUBSTITUTE(SUBSTITUTE(SUBSTITUTE("vch"&amp;$B738&amp;$C738&amp;$D738&amp;$E738&amp;$F738,".","_"),"(","_"),")","")</f>
        <v>vch611_3_3</v>
      </c>
      <c r="AQ738">
        <f>W738</f>
        <v>0</v>
      </c>
      <c r="AR738" t="str">
        <f>SUBSTITUTE(SUBSTITUTE(SUBSTITUTE("vnt"&amp;$B738&amp;$C738&amp;$D738&amp;$E738&amp;$F738,".","_"),"(","_"),")","")</f>
        <v>vnt611_3_3</v>
      </c>
      <c r="AS738">
        <f>X738</f>
        <v>0</v>
      </c>
      <c r="BJ738" s="573" t="s">
        <v>4670</v>
      </c>
    </row>
    <row r="739" spans="1:62" x14ac:dyDescent="0.35">
      <c r="A739" s="403">
        <v>6</v>
      </c>
      <c r="B739" s="608">
        <v>611.29999999999995</v>
      </c>
      <c r="C739" s="604"/>
      <c r="D739" s="604"/>
      <c r="E739" s="604" t="s">
        <v>274</v>
      </c>
      <c r="F739" s="604"/>
      <c r="G739" s="403" t="str">
        <f t="shared" si="220"/>
        <v>P</v>
      </c>
      <c r="H739" s="403" t="s">
        <v>4323</v>
      </c>
      <c r="I739" s="32"/>
      <c r="J739" s="155"/>
      <c r="K739" s="116"/>
      <c r="L739" s="709"/>
      <c r="M739" s="691"/>
      <c r="N739" s="44"/>
      <c r="O739" s="44"/>
      <c r="X739" s="688"/>
      <c r="Y739" s="891"/>
      <c r="Z739" s="892"/>
      <c r="BJ739" s="573" t="s">
        <v>4670</v>
      </c>
    </row>
    <row r="740" spans="1:62" x14ac:dyDescent="0.35">
      <c r="A740" s="403">
        <v>6</v>
      </c>
      <c r="B740" s="608">
        <v>611.29999999999995</v>
      </c>
      <c r="C740" s="604"/>
      <c r="D740" s="604"/>
      <c r="E740" s="604" t="s">
        <v>283</v>
      </c>
      <c r="F740" s="604"/>
      <c r="G740" s="403" t="str">
        <f t="shared" si="220"/>
        <v>P</v>
      </c>
      <c r="H740" s="403" t="s">
        <v>4324</v>
      </c>
      <c r="I740" s="32"/>
      <c r="J740" s="154" t="s">
        <v>283</v>
      </c>
      <c r="K740" s="137"/>
      <c r="L740" s="742" t="s">
        <v>793</v>
      </c>
      <c r="M740" s="712">
        <v>1</v>
      </c>
      <c r="N740" s="44"/>
      <c r="O740" s="44"/>
      <c r="P740" t="b">
        <v>1</v>
      </c>
      <c r="Q740" t="b">
        <v>0</v>
      </c>
      <c r="R740" t="b">
        <v>0</v>
      </c>
      <c r="S740" t="b">
        <v>1</v>
      </c>
      <c r="T740" t="b">
        <v>0</v>
      </c>
      <c r="W740" s="17"/>
      <c r="X740" s="688"/>
      <c r="Y740" s="891" t="str">
        <f>IF(LEN('Ch6'!X485)=0,"None",'Ch6'!X485)</f>
        <v>None</v>
      </c>
      <c r="Z740" s="892"/>
      <c r="AL740" t="str">
        <f t="shared" ref="AL740" si="224">SUBSTITUTE(SUBSTITUTE(SUBSTITUTE("vpa"&amp;$B740&amp;$C740&amp;$D740&amp;$E740&amp;$F740,".","_"),"(","_"),")","")</f>
        <v>vpa611_3_4</v>
      </c>
      <c r="AM740">
        <f>M740</f>
        <v>1</v>
      </c>
      <c r="AP740" t="str">
        <f>SUBSTITUTE(SUBSTITUTE(SUBSTITUTE("vch"&amp;$B740&amp;$C740&amp;$D740&amp;$E740&amp;$F740,".","_"),"(","_"),")","")</f>
        <v>vch611_3_4</v>
      </c>
      <c r="AQ740">
        <f>W740</f>
        <v>0</v>
      </c>
      <c r="AR740" t="str">
        <f>SUBSTITUTE(SUBSTITUTE(SUBSTITUTE("vnt"&amp;$B740&amp;$C740&amp;$D740&amp;$E740&amp;$F740,".","_"),"(","_"),")","")</f>
        <v>vnt611_3_4</v>
      </c>
      <c r="AS740">
        <f>X740</f>
        <v>0</v>
      </c>
      <c r="BJ740" s="573" t="s">
        <v>4670</v>
      </c>
    </row>
    <row r="741" spans="1:62" x14ac:dyDescent="0.35">
      <c r="A741" s="403">
        <v>6</v>
      </c>
      <c r="B741" s="608">
        <v>611.29999999999995</v>
      </c>
      <c r="C741" s="604"/>
      <c r="D741" s="604"/>
      <c r="E741" s="604" t="s">
        <v>283</v>
      </c>
      <c r="F741" s="604"/>
      <c r="G741" s="403" t="str">
        <f t="shared" si="220"/>
        <v>P</v>
      </c>
      <c r="H741" s="403" t="s">
        <v>4324</v>
      </c>
      <c r="I741" s="32"/>
      <c r="J741" s="155"/>
      <c r="K741" s="116"/>
      <c r="L741" s="709"/>
      <c r="M741" s="691"/>
      <c r="N741" s="44"/>
      <c r="O741" s="44"/>
      <c r="X741" s="688"/>
      <c r="Y741" s="891"/>
      <c r="Z741" s="892"/>
      <c r="BJ741" s="573" t="s">
        <v>4670</v>
      </c>
    </row>
    <row r="742" spans="1:62" x14ac:dyDescent="0.35">
      <c r="A742" s="403">
        <v>6</v>
      </c>
      <c r="B742" s="608">
        <v>611.29999999999995</v>
      </c>
      <c r="C742" s="604"/>
      <c r="D742" s="604"/>
      <c r="E742" s="604" t="s">
        <v>289</v>
      </c>
      <c r="F742" s="604"/>
      <c r="G742" s="403" t="str">
        <f t="shared" si="220"/>
        <v>P</v>
      </c>
      <c r="H742" s="403" t="s">
        <v>4323</v>
      </c>
      <c r="I742" s="32"/>
      <c r="J742" s="150" t="s">
        <v>289</v>
      </c>
      <c r="K742" s="151"/>
      <c r="L742" s="151" t="s">
        <v>794</v>
      </c>
      <c r="M742" s="153">
        <v>1</v>
      </c>
      <c r="N742" s="44"/>
      <c r="O742" s="44"/>
      <c r="P742" t="b">
        <v>1</v>
      </c>
      <c r="Q742" t="b">
        <v>1</v>
      </c>
      <c r="R742" t="b">
        <v>0</v>
      </c>
      <c r="S742" t="b">
        <v>1</v>
      </c>
      <c r="T742" t="b">
        <v>0</v>
      </c>
      <c r="W742" s="17"/>
      <c r="X742" s="39"/>
      <c r="Y742" s="200" t="str">
        <f>IF(LEN('Ch6'!X487)=0,"None",'Ch6'!X487)</f>
        <v>None</v>
      </c>
      <c r="Z742" s="563"/>
      <c r="AL742" t="str">
        <f t="shared" ref="AL742:AL744" si="225">SUBSTITUTE(SUBSTITUTE(SUBSTITUTE("vpa"&amp;$B742&amp;$C742&amp;$D742&amp;$E742&amp;$F742,".","_"),"(","_"),")","")</f>
        <v>vpa611_3_5</v>
      </c>
      <c r="AM742">
        <f>M742</f>
        <v>1</v>
      </c>
      <c r="AP742" t="str">
        <f t="shared" ref="AP742:AP744" si="226">SUBSTITUTE(SUBSTITUTE(SUBSTITUTE("vch"&amp;$B742&amp;$C742&amp;$D742&amp;$E742&amp;$F742,".","_"),"(","_"),")","")</f>
        <v>vch611_3_5</v>
      </c>
      <c r="AQ742">
        <f>W742</f>
        <v>0</v>
      </c>
      <c r="AR742" t="str">
        <f t="shared" ref="AR742:AR744" si="227">SUBSTITUTE(SUBSTITUTE(SUBSTITUTE("vnt"&amp;$B742&amp;$C742&amp;$D742&amp;$E742&amp;$F742,".","_"),"(","_"),")","")</f>
        <v>vnt611_3_5</v>
      </c>
      <c r="AS742">
        <f>X742</f>
        <v>0</v>
      </c>
      <c r="BJ742" s="573" t="s">
        <v>4670</v>
      </c>
    </row>
    <row r="743" spans="1:62" x14ac:dyDescent="0.35">
      <c r="A743" s="403">
        <v>6</v>
      </c>
      <c r="B743" s="608">
        <v>611.29999999999995</v>
      </c>
      <c r="C743" s="604"/>
      <c r="D743" s="604"/>
      <c r="E743" s="604" t="s">
        <v>291</v>
      </c>
      <c r="F743" s="604"/>
      <c r="G743" s="403" t="str">
        <f t="shared" si="220"/>
        <v>P</v>
      </c>
      <c r="H743" s="403" t="s">
        <v>4323</v>
      </c>
      <c r="I743" s="32"/>
      <c r="J743" s="150" t="s">
        <v>291</v>
      </c>
      <c r="K743" s="151"/>
      <c r="L743" s="151" t="s">
        <v>795</v>
      </c>
      <c r="M743" s="153">
        <v>1</v>
      </c>
      <c r="N743" s="44"/>
      <c r="O743" s="44"/>
      <c r="P743" t="b">
        <v>1</v>
      </c>
      <c r="Q743" t="b">
        <v>1</v>
      </c>
      <c r="R743" t="b">
        <v>0</v>
      </c>
      <c r="S743" t="b">
        <v>1</v>
      </c>
      <c r="T743" t="b">
        <v>0</v>
      </c>
      <c r="W743" s="17"/>
      <c r="X743" s="39"/>
      <c r="Y743" s="200" t="str">
        <f>IF(LEN('Ch6'!X488)=0,"None",'Ch6'!X488)</f>
        <v>None</v>
      </c>
      <c r="Z743" s="563"/>
      <c r="AL743" t="str">
        <f t="shared" si="225"/>
        <v>vpa611_3_6</v>
      </c>
      <c r="AM743">
        <f>M743</f>
        <v>1</v>
      </c>
      <c r="AP743" t="str">
        <f t="shared" si="226"/>
        <v>vch611_3_6</v>
      </c>
      <c r="AQ743">
        <f>W743</f>
        <v>0</v>
      </c>
      <c r="AR743" t="str">
        <f t="shared" si="227"/>
        <v>vnt611_3_6</v>
      </c>
      <c r="AS743">
        <f>X743</f>
        <v>0</v>
      </c>
      <c r="BJ743" s="573" t="s">
        <v>4670</v>
      </c>
    </row>
    <row r="744" spans="1:62" x14ac:dyDescent="0.35">
      <c r="A744" s="403">
        <v>6</v>
      </c>
      <c r="B744" s="608">
        <v>611.29999999999995</v>
      </c>
      <c r="C744" s="604"/>
      <c r="D744" s="604"/>
      <c r="E744" s="604" t="s">
        <v>403</v>
      </c>
      <c r="F744" s="604"/>
      <c r="G744" s="403" t="str">
        <f t="shared" si="220"/>
        <v>P</v>
      </c>
      <c r="H744" s="403" t="s">
        <v>4323</v>
      </c>
      <c r="I744" s="32"/>
      <c r="J744" s="154" t="s">
        <v>403</v>
      </c>
      <c r="K744" s="137"/>
      <c r="L744" s="742" t="s">
        <v>796</v>
      </c>
      <c r="M744" s="712">
        <v>1</v>
      </c>
      <c r="N744" s="44"/>
      <c r="O744" s="44"/>
      <c r="P744" t="b">
        <v>1</v>
      </c>
      <c r="Q744" t="b">
        <v>1</v>
      </c>
      <c r="R744" t="b">
        <v>0</v>
      </c>
      <c r="S744" t="b">
        <v>1</v>
      </c>
      <c r="T744" t="b">
        <v>0</v>
      </c>
      <c r="W744" s="17"/>
      <c r="X744" s="688"/>
      <c r="Y744" s="891" t="str">
        <f>IF(LEN('Ch6'!X489)=0,"None",'Ch6'!X489)</f>
        <v>None</v>
      </c>
      <c r="Z744" s="892"/>
      <c r="AL744" t="str">
        <f t="shared" si="225"/>
        <v>vpa611_3_7</v>
      </c>
      <c r="AM744">
        <f>M744</f>
        <v>1</v>
      </c>
      <c r="AP744" t="str">
        <f t="shared" si="226"/>
        <v>vch611_3_7</v>
      </c>
      <c r="AQ744">
        <f>W744</f>
        <v>0</v>
      </c>
      <c r="AR744" t="str">
        <f t="shared" si="227"/>
        <v>vnt611_3_7</v>
      </c>
      <c r="AS744">
        <f>X744</f>
        <v>0</v>
      </c>
      <c r="BJ744" s="573" t="s">
        <v>4670</v>
      </c>
    </row>
    <row r="745" spans="1:62" x14ac:dyDescent="0.35">
      <c r="A745" s="403">
        <v>6</v>
      </c>
      <c r="B745" s="608">
        <v>611.29999999999995</v>
      </c>
      <c r="C745" s="604"/>
      <c r="D745" s="604"/>
      <c r="E745" s="604" t="s">
        <v>403</v>
      </c>
      <c r="F745" s="604"/>
      <c r="G745" s="403" t="str">
        <f t="shared" si="220"/>
        <v>P</v>
      </c>
      <c r="H745" s="403" t="s">
        <v>4323</v>
      </c>
      <c r="I745" s="32"/>
      <c r="J745" s="4"/>
      <c r="K745" s="46"/>
      <c r="L745" s="707"/>
      <c r="M745" s="690"/>
      <c r="N745" s="44"/>
      <c r="O745" s="44"/>
      <c r="X745" s="688"/>
      <c r="Y745" s="891"/>
      <c r="Z745" s="892"/>
      <c r="BJ745" s="573" t="s">
        <v>4670</v>
      </c>
    </row>
    <row r="746" spans="1:62" x14ac:dyDescent="0.35">
      <c r="A746" s="403">
        <v>6</v>
      </c>
      <c r="B746" s="608">
        <v>611.29999999999995</v>
      </c>
      <c r="C746" s="604"/>
      <c r="D746" s="604"/>
      <c r="E746" s="604" t="s">
        <v>403</v>
      </c>
      <c r="F746" s="604"/>
      <c r="G746" s="403" t="str">
        <f t="shared" si="220"/>
        <v>P</v>
      </c>
      <c r="H746" s="403" t="s">
        <v>4323</v>
      </c>
      <c r="I746" s="32"/>
      <c r="J746" s="4"/>
      <c r="K746" s="46"/>
      <c r="L746" s="707"/>
      <c r="M746" s="690"/>
      <c r="N746" s="44"/>
      <c r="O746" s="44"/>
      <c r="X746" s="688"/>
      <c r="Y746" s="891"/>
      <c r="Z746" s="892"/>
      <c r="BJ746" s="573" t="s">
        <v>4670</v>
      </c>
    </row>
    <row r="747" spans="1:62" x14ac:dyDescent="0.35">
      <c r="A747" s="403">
        <v>6</v>
      </c>
      <c r="B747" s="608">
        <v>611.29999999999995</v>
      </c>
      <c r="C747" s="604"/>
      <c r="D747" s="604"/>
      <c r="E747" s="604" t="s">
        <v>403</v>
      </c>
      <c r="F747" s="604"/>
      <c r="G747" s="403" t="str">
        <f t="shared" si="220"/>
        <v>P</v>
      </c>
      <c r="H747" s="403" t="s">
        <v>4323</v>
      </c>
      <c r="I747" s="32"/>
      <c r="J747" s="155"/>
      <c r="K747" s="116"/>
      <c r="L747" s="709"/>
      <c r="M747" s="691"/>
      <c r="N747" s="44"/>
      <c r="O747" s="44"/>
      <c r="X747" s="688"/>
      <c r="Y747" s="891"/>
      <c r="Z747" s="892"/>
      <c r="BJ747" s="573" t="s">
        <v>4670</v>
      </c>
    </row>
    <row r="748" spans="1:62" x14ac:dyDescent="0.35">
      <c r="A748" s="403">
        <v>6</v>
      </c>
      <c r="B748" s="608">
        <v>611.29999999999995</v>
      </c>
      <c r="C748" s="604"/>
      <c r="D748" s="604"/>
      <c r="E748" s="604" t="s">
        <v>453</v>
      </c>
      <c r="F748" s="604"/>
      <c r="G748" s="403" t="str">
        <f t="shared" si="220"/>
        <v>P</v>
      </c>
      <c r="H748" s="403" t="s">
        <v>4323</v>
      </c>
      <c r="I748" s="32"/>
      <c r="J748" s="154" t="s">
        <v>453</v>
      </c>
      <c r="K748" s="137"/>
      <c r="L748" s="742" t="s">
        <v>797</v>
      </c>
      <c r="M748" s="712">
        <v>1</v>
      </c>
      <c r="N748" s="44"/>
      <c r="O748" s="44"/>
      <c r="P748" t="b">
        <v>1</v>
      </c>
      <c r="Q748" t="b">
        <v>1</v>
      </c>
      <c r="R748" t="b">
        <v>0</v>
      </c>
      <c r="S748" t="b">
        <v>1</v>
      </c>
      <c r="T748" t="b">
        <v>0</v>
      </c>
      <c r="W748" s="17"/>
      <c r="X748" s="688"/>
      <c r="Y748" s="891" t="str">
        <f>IF(LEN('Ch6'!X493)=0,"None",'Ch6'!X493)</f>
        <v>None</v>
      </c>
      <c r="Z748" s="892"/>
      <c r="AL748" t="str">
        <f t="shared" ref="AL748" si="228">SUBSTITUTE(SUBSTITUTE(SUBSTITUTE("vpa"&amp;$B748&amp;$C748&amp;$D748&amp;$E748&amp;$F748,".","_"),"(","_"),")","")</f>
        <v>vpa611_3_8</v>
      </c>
      <c r="AM748">
        <f>M748</f>
        <v>1</v>
      </c>
      <c r="AP748" t="str">
        <f>SUBSTITUTE(SUBSTITUTE(SUBSTITUTE("vch"&amp;$B748&amp;$C748&amp;$D748&amp;$E748&amp;$F748,".","_"),"(","_"),")","")</f>
        <v>vch611_3_8</v>
      </c>
      <c r="AQ748">
        <f>W748</f>
        <v>0</v>
      </c>
      <c r="AR748" t="str">
        <f>SUBSTITUTE(SUBSTITUTE(SUBSTITUTE("vnt"&amp;$B748&amp;$C748&amp;$D748&amp;$E748&amp;$F748,".","_"),"(","_"),")","")</f>
        <v>vnt611_3_8</v>
      </c>
      <c r="AS748">
        <f>X748</f>
        <v>0</v>
      </c>
      <c r="BJ748" s="573" t="s">
        <v>4670</v>
      </c>
    </row>
    <row r="749" spans="1:62" x14ac:dyDescent="0.35">
      <c r="A749" s="403">
        <v>6</v>
      </c>
      <c r="B749" s="608">
        <v>611.29999999999995</v>
      </c>
      <c r="C749" s="604"/>
      <c r="D749" s="604"/>
      <c r="E749" s="604" t="s">
        <v>453</v>
      </c>
      <c r="F749" s="604"/>
      <c r="G749" s="403" t="str">
        <f t="shared" si="220"/>
        <v>P</v>
      </c>
      <c r="H749" s="403" t="s">
        <v>4323</v>
      </c>
      <c r="I749" s="32"/>
      <c r="J749" s="155"/>
      <c r="K749" s="116"/>
      <c r="L749" s="709"/>
      <c r="M749" s="691"/>
      <c r="N749" s="44"/>
      <c r="O749" s="44"/>
      <c r="X749" s="688"/>
      <c r="Y749" s="891"/>
      <c r="Z749" s="892"/>
      <c r="BJ749" s="573" t="s">
        <v>4670</v>
      </c>
    </row>
    <row r="750" spans="1:62" x14ac:dyDescent="0.35">
      <c r="A750" s="403">
        <v>6</v>
      </c>
      <c r="B750" s="608">
        <v>611.29999999999995</v>
      </c>
      <c r="C750" s="604"/>
      <c r="D750" s="604"/>
      <c r="E750" s="604" t="s">
        <v>455</v>
      </c>
      <c r="F750" s="604"/>
      <c r="G750" s="403" t="str">
        <f t="shared" si="220"/>
        <v>P</v>
      </c>
      <c r="H750" s="403" t="s">
        <v>4323</v>
      </c>
      <c r="I750" s="32"/>
      <c r="J750" s="19" t="s">
        <v>455</v>
      </c>
      <c r="K750" s="46"/>
      <c r="L750" s="707" t="s">
        <v>798</v>
      </c>
      <c r="M750" s="690">
        <v>1</v>
      </c>
      <c r="N750" s="44"/>
      <c r="O750" s="44"/>
      <c r="P750" t="b">
        <v>1</v>
      </c>
      <c r="Q750" t="b">
        <v>1</v>
      </c>
      <c r="R750" t="b">
        <v>0</v>
      </c>
      <c r="S750" t="b">
        <v>1</v>
      </c>
      <c r="T750" t="b">
        <v>0</v>
      </c>
      <c r="W750" s="17" t="b">
        <v>1</v>
      </c>
      <c r="X750" s="688"/>
      <c r="Y750" s="891" t="str">
        <f>IF(LEN('Ch6'!X495)=0,"None",'Ch6'!X495)</f>
        <v>None</v>
      </c>
      <c r="Z750" s="892"/>
      <c r="AL750" t="str">
        <f t="shared" ref="AL750" si="229">SUBSTITUTE(SUBSTITUTE(SUBSTITUTE("vpa"&amp;$B750&amp;$C750&amp;$D750&amp;$E750&amp;$F750,".","_"),"(","_"),")","")</f>
        <v>vpa611_3_9</v>
      </c>
      <c r="AM750">
        <f>M750</f>
        <v>1</v>
      </c>
      <c r="AP750" t="str">
        <f>SUBSTITUTE(SUBSTITUTE(SUBSTITUTE("vch"&amp;$B750&amp;$C750&amp;$D750&amp;$E750&amp;$F750,".","_"),"(","_"),")","")</f>
        <v>vch611_3_9</v>
      </c>
      <c r="AQ750" t="b">
        <f>W750</f>
        <v>1</v>
      </c>
      <c r="AR750" t="str">
        <f>SUBSTITUTE(SUBSTITUTE(SUBSTITUTE("vnt"&amp;$B750&amp;$C750&amp;$D750&amp;$E750&amp;$F750,".","_"),"(","_"),")","")</f>
        <v>vnt611_3_9</v>
      </c>
      <c r="AS750">
        <f>X750</f>
        <v>0</v>
      </c>
      <c r="BJ750" s="573" t="s">
        <v>4670</v>
      </c>
    </row>
    <row r="751" spans="1:62" ht="15" thickBot="1" x14ac:dyDescent="0.4">
      <c r="A751" s="403">
        <v>6</v>
      </c>
      <c r="B751" s="608">
        <v>611.29999999999995</v>
      </c>
      <c r="C751" s="604"/>
      <c r="D751" s="604"/>
      <c r="E751" s="604" t="s">
        <v>455</v>
      </c>
      <c r="F751" s="604"/>
      <c r="G751" s="403" t="str">
        <f t="shared" si="220"/>
        <v>P</v>
      </c>
      <c r="H751" s="403" t="s">
        <v>4323</v>
      </c>
      <c r="I751" s="32"/>
      <c r="J751" s="4"/>
      <c r="K751" s="46"/>
      <c r="L751" s="707"/>
      <c r="M751" s="690"/>
      <c r="N751" s="44"/>
      <c r="O751" s="44"/>
      <c r="X751" s="698"/>
      <c r="Y751" s="905"/>
      <c r="Z751" s="895"/>
      <c r="BJ751" s="573" t="s">
        <v>4670</v>
      </c>
    </row>
    <row r="752" spans="1:62" ht="15" thickTop="1" x14ac:dyDescent="0.35">
      <c r="A752" s="403">
        <v>6</v>
      </c>
      <c r="B752" s="608">
        <v>611.4</v>
      </c>
      <c r="C752" s="604"/>
      <c r="D752" s="604"/>
      <c r="E752" s="604"/>
      <c r="F752" s="604"/>
      <c r="G752" s="403" t="str">
        <f>IF(N752&gt;0,"P","")</f>
        <v/>
      </c>
      <c r="H752" s="403" t="s">
        <v>4325</v>
      </c>
      <c r="I752" s="123">
        <v>611.4</v>
      </c>
      <c r="J752" s="124"/>
      <c r="K752" s="125"/>
      <c r="L752" s="711" t="s">
        <v>799</v>
      </c>
      <c r="M752" s="692">
        <v>5</v>
      </c>
      <c r="N752" s="940">
        <f>'Ch6'!O497</f>
        <v>0</v>
      </c>
      <c r="O752" s="940">
        <f>IF(W758+W768*2&gt;=10,5,0)</f>
        <v>0</v>
      </c>
      <c r="P752" s="62"/>
      <c r="Q752" s="62"/>
      <c r="R752" s="62"/>
      <c r="S752" s="62"/>
      <c r="T752" s="62"/>
      <c r="U752" s="62"/>
      <c r="V752" s="62"/>
      <c r="W752" s="62"/>
      <c r="X752" s="62"/>
      <c r="Z752" s="543"/>
      <c r="AL752" t="str">
        <f t="shared" ref="AL752" si="230">SUBSTITUTE(SUBSTITUTE(SUBSTITUTE("vpa"&amp;$B752&amp;$C752&amp;$D752&amp;$E752&amp;$F752,".","_"),"(","_"),")","")</f>
        <v>vpa611_4</v>
      </c>
      <c r="AM752">
        <f>M752</f>
        <v>5</v>
      </c>
      <c r="AN752" t="str">
        <f>SUBSTITUTE(SUBSTITUTE(SUBSTITUTE("vpc"&amp;$B752&amp;$C752&amp;$D752&amp;$E752&amp;$F752,".","_"),"(","_"),")","")</f>
        <v>vpc611_4</v>
      </c>
      <c r="AO752">
        <f>O752</f>
        <v>0</v>
      </c>
      <c r="BJ752" s="573" t="s">
        <v>4670</v>
      </c>
    </row>
    <row r="753" spans="1:62" x14ac:dyDescent="0.35">
      <c r="A753" s="403">
        <v>6</v>
      </c>
      <c r="B753" s="608">
        <v>611.4</v>
      </c>
      <c r="C753" s="604"/>
      <c r="D753" s="604"/>
      <c r="E753" s="604"/>
      <c r="F753" s="604"/>
      <c r="G753" s="403" t="str">
        <f t="shared" ref="G753:G772" si="231">G752</f>
        <v/>
      </c>
      <c r="H753" s="403" t="s">
        <v>4325</v>
      </c>
      <c r="I753" s="32"/>
      <c r="J753" s="4"/>
      <c r="K753" s="46"/>
      <c r="L753" s="706"/>
      <c r="M753" s="690"/>
      <c r="N753" s="834"/>
      <c r="O753" s="834"/>
      <c r="Z753" s="543"/>
      <c r="BJ753" s="573" t="s">
        <v>4670</v>
      </c>
    </row>
    <row r="754" spans="1:62" x14ac:dyDescent="0.35">
      <c r="A754" s="403">
        <v>6</v>
      </c>
      <c r="B754" s="608">
        <v>611.4</v>
      </c>
      <c r="C754" s="604"/>
      <c r="D754" s="604"/>
      <c r="E754" s="604"/>
      <c r="F754" s="604"/>
      <c r="G754" s="403" t="str">
        <f t="shared" si="231"/>
        <v/>
      </c>
      <c r="H754" s="403" t="s">
        <v>4325</v>
      </c>
      <c r="I754" s="32"/>
      <c r="J754" s="4"/>
      <c r="K754" s="46"/>
      <c r="L754" s="706"/>
      <c r="M754" s="690"/>
      <c r="N754" s="834"/>
      <c r="O754" s="834"/>
      <c r="Z754" s="543"/>
      <c r="BJ754" s="573" t="s">
        <v>4670</v>
      </c>
    </row>
    <row r="755" spans="1:62" x14ac:dyDescent="0.35">
      <c r="A755" s="403">
        <v>6</v>
      </c>
      <c r="B755" s="608">
        <v>611.4</v>
      </c>
      <c r="C755" s="604"/>
      <c r="D755" s="604"/>
      <c r="E755" s="604"/>
      <c r="F755" s="604"/>
      <c r="G755" s="403" t="str">
        <f t="shared" si="231"/>
        <v/>
      </c>
      <c r="H755" s="403" t="s">
        <v>4325</v>
      </c>
      <c r="I755" s="32"/>
      <c r="J755" s="4"/>
      <c r="K755" s="46"/>
      <c r="L755" s="706"/>
      <c r="M755" s="690"/>
      <c r="N755" s="834"/>
      <c r="O755" s="834"/>
      <c r="Z755" s="543"/>
      <c r="BJ755" s="573" t="s">
        <v>4670</v>
      </c>
    </row>
    <row r="756" spans="1:62" x14ac:dyDescent="0.35">
      <c r="A756" s="403">
        <v>6</v>
      </c>
      <c r="B756" s="608">
        <v>611.4</v>
      </c>
      <c r="C756" s="604"/>
      <c r="D756" s="604"/>
      <c r="E756" s="604"/>
      <c r="F756" s="604"/>
      <c r="G756" s="403" t="str">
        <f t="shared" si="231"/>
        <v/>
      </c>
      <c r="H756" s="403" t="s">
        <v>4325</v>
      </c>
      <c r="I756" s="161"/>
      <c r="J756" s="155"/>
      <c r="K756" s="116"/>
      <c r="L756" s="739"/>
      <c r="M756" s="691"/>
      <c r="N756" s="886"/>
      <c r="O756" s="886"/>
      <c r="Z756" s="543"/>
      <c r="BJ756" s="573" t="s">
        <v>4670</v>
      </c>
    </row>
    <row r="757" spans="1:62" x14ac:dyDescent="0.35">
      <c r="A757" s="403">
        <v>6</v>
      </c>
      <c r="B757" s="608" t="s">
        <v>800</v>
      </c>
      <c r="C757" s="604"/>
      <c r="D757" s="604"/>
      <c r="E757" s="604"/>
      <c r="F757" s="604"/>
      <c r="G757" s="403" t="str">
        <f t="shared" si="231"/>
        <v/>
      </c>
      <c r="H757" s="403" t="s">
        <v>4325</v>
      </c>
      <c r="I757" s="32" t="s">
        <v>800</v>
      </c>
      <c r="J757" s="4"/>
      <c r="K757" s="46"/>
      <c r="L757" s="738" t="s">
        <v>801</v>
      </c>
      <c r="M757" s="43"/>
      <c r="N757" s="44"/>
      <c r="O757" s="44"/>
      <c r="W757" t="s">
        <v>3338</v>
      </c>
      <c r="X757" s="688"/>
      <c r="Y757" s="891" t="str">
        <f>IF(LEN('Ch6'!X502)=0,"None",'Ch6'!X502)</f>
        <v>None</v>
      </c>
      <c r="Z757" s="892"/>
      <c r="AR757" t="str">
        <f>SUBSTITUTE(SUBSTITUTE(SUBSTITUTE("vnt"&amp;$B757&amp;$C757&amp;$D757&amp;$E757&amp;$F757,".","_"),"(","_"),")","")</f>
        <v>vnt611_4_1</v>
      </c>
      <c r="AS757">
        <f>X757</f>
        <v>0</v>
      </c>
      <c r="BJ757" s="573" t="s">
        <v>4670</v>
      </c>
    </row>
    <row r="758" spans="1:62" x14ac:dyDescent="0.35">
      <c r="A758" s="403">
        <v>6</v>
      </c>
      <c r="B758" s="608" t="s">
        <v>800</v>
      </c>
      <c r="C758" s="604"/>
      <c r="D758" s="604"/>
      <c r="E758" s="604"/>
      <c r="F758" s="604"/>
      <c r="G758" s="403" t="str">
        <f t="shared" si="231"/>
        <v/>
      </c>
      <c r="H758" s="403" t="s">
        <v>4325</v>
      </c>
      <c r="I758" s="32"/>
      <c r="J758" s="4"/>
      <c r="K758" s="46"/>
      <c r="L758" s="738"/>
      <c r="M758" s="43"/>
      <c r="N758" s="44"/>
      <c r="O758" s="44"/>
      <c r="P758" t="b">
        <v>0</v>
      </c>
      <c r="Q758" t="b">
        <v>1</v>
      </c>
      <c r="R758" t="b">
        <v>0</v>
      </c>
      <c r="S758" t="b">
        <v>1</v>
      </c>
      <c r="T758" t="b">
        <v>0</v>
      </c>
      <c r="W758" s="114"/>
      <c r="X758" s="688"/>
      <c r="Y758" s="891"/>
      <c r="Z758" s="892"/>
      <c r="AC758" t="b">
        <f>OR(AD758:AE758)</f>
        <v>0</v>
      </c>
      <c r="AD758" t="b">
        <f>T758</f>
        <v>0</v>
      </c>
      <c r="AE758" t="b">
        <f>AND(W758&gt;0,LEN(X757)=0)</f>
        <v>0</v>
      </c>
      <c r="AF758" t="b">
        <f>AND(AE758,NOT(Q758))</f>
        <v>0</v>
      </c>
      <c r="AP758" t="str">
        <f>SUBSTITUTE(SUBSTITUTE(SUBSTITUTE("vch"&amp;$B758&amp;$C758&amp;$D758&amp;$E758&amp;$F758,".","_"),"(","_"),")","")</f>
        <v>vch611_4_1</v>
      </c>
      <c r="AQ758" s="621">
        <f>W758</f>
        <v>0</v>
      </c>
      <c r="BJ758" s="573" t="s">
        <v>4670</v>
      </c>
    </row>
    <row r="759" spans="1:62" x14ac:dyDescent="0.35">
      <c r="A759" s="403">
        <v>6</v>
      </c>
      <c r="B759" s="608" t="s">
        <v>800</v>
      </c>
      <c r="C759" s="604"/>
      <c r="D759" s="604"/>
      <c r="E759" s="604"/>
      <c r="F759" s="604"/>
      <c r="G759" s="403" t="str">
        <f t="shared" si="231"/>
        <v/>
      </c>
      <c r="H759" s="403" t="s">
        <v>4325</v>
      </c>
      <c r="I759" s="32"/>
      <c r="J759" s="4"/>
      <c r="K759" s="46"/>
      <c r="L759" s="738"/>
      <c r="M759" s="43"/>
      <c r="N759" s="44"/>
      <c r="O759" s="44"/>
      <c r="X759" s="688"/>
      <c r="Y759" s="891"/>
      <c r="Z759" s="892"/>
      <c r="BJ759" s="573" t="s">
        <v>4670</v>
      </c>
    </row>
    <row r="760" spans="1:62" x14ac:dyDescent="0.35">
      <c r="A760" s="403">
        <v>6</v>
      </c>
      <c r="B760" s="608" t="s">
        <v>800</v>
      </c>
      <c r="C760" s="604"/>
      <c r="D760" s="604"/>
      <c r="E760" s="604"/>
      <c r="F760" s="604"/>
      <c r="G760" s="403" t="str">
        <f t="shared" si="231"/>
        <v/>
      </c>
      <c r="H760" s="403" t="s">
        <v>4325</v>
      </c>
      <c r="I760" s="32"/>
      <c r="J760" s="4"/>
      <c r="K760" s="46"/>
      <c r="L760" s="738"/>
      <c r="M760" s="43"/>
      <c r="N760" s="44"/>
      <c r="O760" s="44"/>
      <c r="X760" s="688"/>
      <c r="Y760" s="891"/>
      <c r="Z760" s="892"/>
      <c r="BJ760" s="573" t="s">
        <v>4670</v>
      </c>
    </row>
    <row r="761" spans="1:62" x14ac:dyDescent="0.35">
      <c r="A761" s="403">
        <v>6</v>
      </c>
      <c r="B761" s="608" t="s">
        <v>800</v>
      </c>
      <c r="C761" s="604"/>
      <c r="D761" s="604"/>
      <c r="E761" s="604"/>
      <c r="F761" s="604"/>
      <c r="G761" s="403" t="str">
        <f t="shared" si="231"/>
        <v/>
      </c>
      <c r="H761" s="403" t="s">
        <v>4325</v>
      </c>
      <c r="I761" s="32"/>
      <c r="J761" s="4"/>
      <c r="K761" s="46"/>
      <c r="L761" s="738"/>
      <c r="M761" s="43"/>
      <c r="N761" s="44"/>
      <c r="O761" s="44"/>
      <c r="X761" s="688"/>
      <c r="Y761" s="891"/>
      <c r="Z761" s="892"/>
      <c r="BJ761" s="573" t="s">
        <v>4670</v>
      </c>
    </row>
    <row r="762" spans="1:62" x14ac:dyDescent="0.35">
      <c r="A762" s="403">
        <v>6</v>
      </c>
      <c r="B762" s="608" t="s">
        <v>800</v>
      </c>
      <c r="C762" s="604"/>
      <c r="D762" s="604"/>
      <c r="E762" s="604"/>
      <c r="F762" s="604"/>
      <c r="G762" s="403" t="str">
        <f t="shared" si="231"/>
        <v/>
      </c>
      <c r="H762" s="403" t="s">
        <v>4325</v>
      </c>
      <c r="I762" s="32"/>
      <c r="J762" s="4"/>
      <c r="K762" s="46"/>
      <c r="L762" s="738"/>
      <c r="M762" s="43"/>
      <c r="N762" s="44"/>
      <c r="O762" s="44"/>
      <c r="X762" s="688"/>
      <c r="Y762" s="891"/>
      <c r="Z762" s="892"/>
      <c r="BJ762" s="573" t="s">
        <v>4670</v>
      </c>
    </row>
    <row r="763" spans="1:62" x14ac:dyDescent="0.35">
      <c r="A763" s="403">
        <v>6</v>
      </c>
      <c r="B763" s="608" t="s">
        <v>800</v>
      </c>
      <c r="C763" s="604"/>
      <c r="D763" s="604"/>
      <c r="E763" s="604"/>
      <c r="F763" s="604"/>
      <c r="G763" s="403" t="str">
        <f t="shared" si="231"/>
        <v/>
      </c>
      <c r="H763" s="403" t="s">
        <v>4325</v>
      </c>
      <c r="I763" s="32"/>
      <c r="J763" s="4"/>
      <c r="K763" s="46"/>
      <c r="L763" s="738"/>
      <c r="M763" s="43"/>
      <c r="N763" s="44"/>
      <c r="O763" s="44"/>
      <c r="X763" s="688"/>
      <c r="Y763" s="891"/>
      <c r="Z763" s="892"/>
      <c r="BJ763" s="573" t="s">
        <v>4670</v>
      </c>
    </row>
    <row r="764" spans="1:62" x14ac:dyDescent="0.35">
      <c r="A764" s="403">
        <v>6</v>
      </c>
      <c r="B764" s="608" t="s">
        <v>800</v>
      </c>
      <c r="C764" s="604"/>
      <c r="D764" s="604"/>
      <c r="E764" s="604"/>
      <c r="F764" s="604"/>
      <c r="G764" s="403" t="str">
        <f t="shared" si="231"/>
        <v/>
      </c>
      <c r="H764" s="403" t="s">
        <v>4325</v>
      </c>
      <c r="I764" s="32"/>
      <c r="J764" s="4"/>
      <c r="K764" s="46"/>
      <c r="L764" s="738"/>
      <c r="M764" s="43"/>
      <c r="N764" s="44"/>
      <c r="O764" s="44"/>
      <c r="X764" s="688"/>
      <c r="Y764" s="891"/>
      <c r="Z764" s="892"/>
      <c r="BJ764" s="573" t="s">
        <v>4670</v>
      </c>
    </row>
    <row r="765" spans="1:62" x14ac:dyDescent="0.35">
      <c r="A765" s="403">
        <v>6</v>
      </c>
      <c r="B765" s="608" t="s">
        <v>800</v>
      </c>
      <c r="C765" s="604"/>
      <c r="D765" s="604"/>
      <c r="E765" s="604"/>
      <c r="F765" s="604"/>
      <c r="G765" s="403" t="str">
        <f t="shared" si="231"/>
        <v/>
      </c>
      <c r="H765" s="403" t="s">
        <v>4325</v>
      </c>
      <c r="I765" s="161"/>
      <c r="J765" s="155"/>
      <c r="K765" s="116"/>
      <c r="L765" s="121" t="s">
        <v>3340</v>
      </c>
      <c r="M765" s="43"/>
      <c r="N765" s="44"/>
      <c r="O765" s="44"/>
      <c r="X765" s="688"/>
      <c r="Y765" s="891"/>
      <c r="Z765" s="892"/>
      <c r="BJ765" s="573" t="s">
        <v>4670</v>
      </c>
    </row>
    <row r="766" spans="1:62" x14ac:dyDescent="0.35">
      <c r="A766" s="403">
        <v>6</v>
      </c>
      <c r="B766" s="608" t="s">
        <v>802</v>
      </c>
      <c r="C766" s="604"/>
      <c r="D766" s="604"/>
      <c r="E766" s="604"/>
      <c r="F766" s="604"/>
      <c r="G766" s="403" t="str">
        <f t="shared" si="231"/>
        <v/>
      </c>
      <c r="H766" s="403" t="s">
        <v>4325</v>
      </c>
      <c r="I766" s="32" t="s">
        <v>802</v>
      </c>
      <c r="J766" s="4"/>
      <c r="K766" s="46"/>
      <c r="L766" s="738" t="s">
        <v>803</v>
      </c>
      <c r="M766" s="43"/>
      <c r="N766" s="44"/>
      <c r="O766" s="44"/>
      <c r="W766" s="637" t="s">
        <v>3339</v>
      </c>
      <c r="X766" s="688"/>
      <c r="Y766" s="891" t="str">
        <f>IF(LEN('Ch6'!X511)=0,"None",'Ch6'!X511)</f>
        <v>None</v>
      </c>
      <c r="Z766" s="892"/>
      <c r="AR766" t="str">
        <f>SUBSTITUTE(SUBSTITUTE(SUBSTITUTE("vnt"&amp;$B766&amp;$C766&amp;$D766&amp;$E766&amp;$F766,".","_"),"(","_"),")","")</f>
        <v>vnt611_4_2</v>
      </c>
      <c r="AS766">
        <f>X766</f>
        <v>0</v>
      </c>
      <c r="BJ766" s="573" t="s">
        <v>4670</v>
      </c>
    </row>
    <row r="767" spans="1:62" x14ac:dyDescent="0.35">
      <c r="A767" s="403">
        <v>6</v>
      </c>
      <c r="B767" s="608" t="s">
        <v>802</v>
      </c>
      <c r="C767" s="604"/>
      <c r="D767" s="604"/>
      <c r="E767" s="604"/>
      <c r="F767" s="604"/>
      <c r="G767" s="403" t="str">
        <f t="shared" si="231"/>
        <v/>
      </c>
      <c r="H767" s="403" t="s">
        <v>4325</v>
      </c>
      <c r="I767" s="32"/>
      <c r="J767" s="4"/>
      <c r="K767" s="46"/>
      <c r="L767" s="738"/>
      <c r="M767" s="43"/>
      <c r="N767" s="44"/>
      <c r="O767" s="44"/>
      <c r="W767" s="637"/>
      <c r="X767" s="688"/>
      <c r="Y767" s="891"/>
      <c r="Z767" s="892"/>
      <c r="BJ767" s="573" t="s">
        <v>4670</v>
      </c>
    </row>
    <row r="768" spans="1:62" x14ac:dyDescent="0.35">
      <c r="A768" s="403">
        <v>6</v>
      </c>
      <c r="B768" s="608" t="s">
        <v>802</v>
      </c>
      <c r="C768" s="604"/>
      <c r="D768" s="604"/>
      <c r="E768" s="604"/>
      <c r="F768" s="604"/>
      <c r="G768" s="403" t="str">
        <f t="shared" si="231"/>
        <v/>
      </c>
      <c r="H768" s="403" t="s">
        <v>4325</v>
      </c>
      <c r="I768" s="32"/>
      <c r="J768" s="4"/>
      <c r="K768" s="46"/>
      <c r="L768" s="738"/>
      <c r="M768" s="43"/>
      <c r="N768" s="44"/>
      <c r="O768" s="44"/>
      <c r="P768" t="b">
        <v>0</v>
      </c>
      <c r="Q768" t="b">
        <v>1</v>
      </c>
      <c r="R768" t="b">
        <v>0</v>
      </c>
      <c r="S768" t="b">
        <v>1</v>
      </c>
      <c r="T768" t="b">
        <v>0</v>
      </c>
      <c r="W768" s="114"/>
      <c r="X768" s="688"/>
      <c r="Y768" s="891"/>
      <c r="Z768" s="892"/>
      <c r="AC768" t="b">
        <f>OR(AD768:AE768)</f>
        <v>0</v>
      </c>
      <c r="AD768" t="b">
        <f>T768</f>
        <v>0</v>
      </c>
      <c r="AE768" t="b">
        <f>AND(W768&gt;0,LEN(X766)=0)</f>
        <v>0</v>
      </c>
      <c r="AF768" t="b">
        <f>AND(AE768,NOT(Q768))</f>
        <v>0</v>
      </c>
      <c r="AP768" t="str">
        <f>SUBSTITUTE(SUBSTITUTE(SUBSTITUTE("vch"&amp;$B768&amp;$C768&amp;$D768&amp;$E768&amp;$F768,".","_"),"(","_"),")","")</f>
        <v>vch611_4_2</v>
      </c>
      <c r="AQ768" s="621">
        <f>W768</f>
        <v>0</v>
      </c>
      <c r="BJ768" s="573" t="s">
        <v>4670</v>
      </c>
    </row>
    <row r="769" spans="1:62" x14ac:dyDescent="0.35">
      <c r="A769" s="403">
        <v>6</v>
      </c>
      <c r="B769" s="608" t="s">
        <v>802</v>
      </c>
      <c r="C769" s="604"/>
      <c r="D769" s="604"/>
      <c r="E769" s="604"/>
      <c r="F769" s="604"/>
      <c r="G769" s="403" t="str">
        <f t="shared" si="231"/>
        <v/>
      </c>
      <c r="H769" s="403" t="s">
        <v>4325</v>
      </c>
      <c r="I769" s="32"/>
      <c r="J769" s="4"/>
      <c r="K769" s="46"/>
      <c r="L769" s="738"/>
      <c r="M769" s="43"/>
      <c r="N769" s="44"/>
      <c r="O769" s="44"/>
      <c r="X769" s="688"/>
      <c r="Y769" s="891"/>
      <c r="Z769" s="892"/>
      <c r="BJ769" s="573" t="s">
        <v>4670</v>
      </c>
    </row>
    <row r="770" spans="1:62" x14ac:dyDescent="0.35">
      <c r="A770" s="403">
        <v>6</v>
      </c>
      <c r="B770" s="608" t="s">
        <v>802</v>
      </c>
      <c r="C770" s="604"/>
      <c r="D770" s="604"/>
      <c r="E770" s="604"/>
      <c r="F770" s="604"/>
      <c r="G770" s="403" t="str">
        <f t="shared" si="231"/>
        <v/>
      </c>
      <c r="H770" s="403" t="s">
        <v>4325</v>
      </c>
      <c r="I770" s="32"/>
      <c r="J770" s="4"/>
      <c r="K770" s="46"/>
      <c r="L770" s="738"/>
      <c r="M770" s="43"/>
      <c r="N770" s="44"/>
      <c r="O770" s="44"/>
      <c r="X770" s="688"/>
      <c r="Y770" s="891"/>
      <c r="Z770" s="892"/>
      <c r="BJ770" s="573" t="s">
        <v>4670</v>
      </c>
    </row>
    <row r="771" spans="1:62" x14ac:dyDescent="0.35">
      <c r="A771" s="403">
        <v>6</v>
      </c>
      <c r="B771" s="608" t="s">
        <v>802</v>
      </c>
      <c r="C771" s="604"/>
      <c r="D771" s="604"/>
      <c r="E771" s="604"/>
      <c r="F771" s="604"/>
      <c r="G771" s="403" t="str">
        <f t="shared" si="231"/>
        <v/>
      </c>
      <c r="H771" s="403" t="s">
        <v>4325</v>
      </c>
      <c r="I771" s="32"/>
      <c r="J771" s="4"/>
      <c r="K771" s="46"/>
      <c r="L771" s="738"/>
      <c r="M771" s="43"/>
      <c r="N771" s="44"/>
      <c r="O771" s="44"/>
      <c r="X771" s="688"/>
      <c r="Y771" s="891"/>
      <c r="Z771" s="892"/>
      <c r="BJ771" s="573" t="s">
        <v>4670</v>
      </c>
    </row>
    <row r="772" spans="1:62" ht="15" thickBot="1" x14ac:dyDescent="0.4">
      <c r="A772" s="403">
        <v>6</v>
      </c>
      <c r="B772" s="608" t="s">
        <v>802</v>
      </c>
      <c r="C772" s="605"/>
      <c r="D772" s="605"/>
      <c r="E772" s="605"/>
      <c r="F772" s="605"/>
      <c r="G772" s="403" t="str">
        <f t="shared" si="231"/>
        <v/>
      </c>
      <c r="H772" s="403" t="s">
        <v>4325</v>
      </c>
      <c r="I772" s="58"/>
      <c r="J772" s="58"/>
      <c r="K772" s="58"/>
      <c r="L772" s="122" t="s">
        <v>3340</v>
      </c>
      <c r="M772" s="141"/>
      <c r="N772" s="80"/>
      <c r="O772" s="80"/>
      <c r="P772" s="58"/>
      <c r="Q772" s="58"/>
      <c r="R772" s="58"/>
      <c r="S772" s="58"/>
      <c r="T772" s="58"/>
      <c r="U772" s="58"/>
      <c r="V772" s="58"/>
      <c r="W772" s="58"/>
      <c r="X772" s="689"/>
      <c r="Y772" s="905"/>
      <c r="Z772" s="895"/>
      <c r="BJ772" s="573" t="s">
        <v>4670</v>
      </c>
    </row>
    <row r="773" spans="1:62" ht="19" thickTop="1" x14ac:dyDescent="0.45">
      <c r="A773" s="403">
        <v>7</v>
      </c>
      <c r="B773" s="612" t="s">
        <v>943</v>
      </c>
      <c r="G773" s="403" t="s">
        <v>4326</v>
      </c>
      <c r="H773" s="403" t="s">
        <v>4323</v>
      </c>
      <c r="I773" s="14" t="s">
        <v>944</v>
      </c>
      <c r="J773" s="14"/>
      <c r="K773" s="14"/>
      <c r="L773" s="15"/>
      <c r="M773" s="16"/>
      <c r="N773" s="16"/>
      <c r="O773" s="16"/>
      <c r="P773" t="s">
        <v>260</v>
      </c>
      <c r="Q773" t="s">
        <v>260</v>
      </c>
      <c r="R773" t="s">
        <v>260</v>
      </c>
      <c r="S773" t="s">
        <v>260</v>
      </c>
      <c r="T773" t="s">
        <v>260</v>
      </c>
      <c r="U773" t="s">
        <v>260</v>
      </c>
      <c r="V773" t="s">
        <v>260</v>
      </c>
      <c r="W773" s="15"/>
      <c r="X773" s="15"/>
      <c r="Y773" s="15"/>
      <c r="Z773" s="562"/>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573" t="s">
        <v>4670</v>
      </c>
    </row>
    <row r="774" spans="1:62" x14ac:dyDescent="0.35">
      <c r="A774" s="403">
        <v>7</v>
      </c>
      <c r="B774" s="609" t="s">
        <v>4578</v>
      </c>
      <c r="C774" s="613"/>
      <c r="D774" s="604"/>
      <c r="E774" s="604"/>
      <c r="F774" s="604"/>
      <c r="G774" s="403" t="s">
        <v>4326</v>
      </c>
      <c r="H774" s="403" t="s">
        <v>4323</v>
      </c>
      <c r="I774" s="32">
        <v>701.1</v>
      </c>
      <c r="J774" s="175"/>
      <c r="K774" s="104"/>
      <c r="L774" s="706" t="s">
        <v>945</v>
      </c>
      <c r="M774" s="43"/>
      <c r="O774" s="44"/>
      <c r="Z774" s="543"/>
      <c r="BJ774" s="573" t="s">
        <v>4670</v>
      </c>
    </row>
    <row r="775" spans="1:62" x14ac:dyDescent="0.35">
      <c r="A775" s="403">
        <v>7</v>
      </c>
      <c r="B775" s="609" t="s">
        <v>4578</v>
      </c>
      <c r="C775" s="613"/>
      <c r="D775" s="604"/>
      <c r="E775" s="604"/>
      <c r="F775" s="604"/>
      <c r="G775" s="403" t="s">
        <v>4326</v>
      </c>
      <c r="H775" s="403" t="s">
        <v>4323</v>
      </c>
      <c r="I775" s="32"/>
      <c r="J775" s="175"/>
      <c r="K775" s="104"/>
      <c r="L775" s="706"/>
      <c r="M775" s="43"/>
      <c r="O775" s="44"/>
      <c r="W775" t="s">
        <v>1303</v>
      </c>
      <c r="Z775" s="543"/>
      <c r="AX775" s="6" t="str">
        <f>'Overview (Verification)'!A8</f>
        <v>Builder Name:</v>
      </c>
      <c r="AY775" t="str">
        <f>IF(LEN('Overview (Verification)'!P8)=0,0,'Overview (Verification)'!P8)</f>
        <v>ABC Builder</v>
      </c>
      <c r="BJ775" s="573" t="s">
        <v>4670</v>
      </c>
    </row>
    <row r="776" spans="1:62" x14ac:dyDescent="0.35">
      <c r="A776" s="403">
        <v>7</v>
      </c>
      <c r="B776" s="609" t="s">
        <v>4578</v>
      </c>
      <c r="C776" s="613"/>
      <c r="D776" s="604"/>
      <c r="E776" s="604"/>
      <c r="F776" s="604"/>
      <c r="G776" s="403" t="s">
        <v>4326</v>
      </c>
      <c r="H776" s="403" t="s">
        <v>4323</v>
      </c>
      <c r="I776" s="32"/>
      <c r="J776" s="175"/>
      <c r="K776" s="104"/>
      <c r="L776" s="706"/>
      <c r="M776" s="43"/>
      <c r="O776" s="44"/>
      <c r="P776" t="b">
        <v>1</v>
      </c>
      <c r="Q776" t="b">
        <v>0</v>
      </c>
      <c r="R776" t="b">
        <v>1</v>
      </c>
      <c r="S776" t="b">
        <v>1</v>
      </c>
      <c r="T776" t="b">
        <f>AND(NOT(S776),LEN(W776)&gt;0)</f>
        <v>0</v>
      </c>
      <c r="U776" t="str">
        <f>SUBSTITUTE(SUBSTITUTE(SUBSTITUTE("dd"&amp;B776&amp;C776&amp;D776&amp;E776&amp;F776,".","_"),"(","_"),")","")</f>
        <v>dd701_1</v>
      </c>
      <c r="W776" s="9" t="s">
        <v>3191</v>
      </c>
      <c r="Z776" s="543"/>
      <c r="AC776" t="b">
        <f>OR(AD776:AE776)</f>
        <v>0</v>
      </c>
      <c r="AD776" t="b">
        <f>T776</f>
        <v>0</v>
      </c>
      <c r="AE776" t="b">
        <f>AND(R776,ISBLANK(W776))</f>
        <v>0</v>
      </c>
      <c r="AF776" t="b">
        <f>AND(AE776,NOT(Q776))</f>
        <v>0</v>
      </c>
      <c r="AP776" t="str">
        <f>SUBSTITUTE(SUBSTITUTE(SUBSTITUTE("vch"&amp;$B776&amp;$C776&amp;$D776&amp;$E776&amp;$F776,".","_"),"(","_"),")","")</f>
        <v>vch701_1</v>
      </c>
      <c r="AQ776" t="str">
        <f>W776</f>
        <v>HERS Index Target</v>
      </c>
      <c r="AX776" s="6" t="str">
        <f>'Overview (Verification)'!A9</f>
        <v>Physical Address of Home:</v>
      </c>
      <c r="AY776" t="str">
        <f>IF(LEN('Overview (Verification)'!P9)=0,0,'Overview (Verification)'!P9)</f>
        <v>123 Example Drive</v>
      </c>
      <c r="BJ776" s="573" t="s">
        <v>4670</v>
      </c>
    </row>
    <row r="777" spans="1:62" x14ac:dyDescent="0.35">
      <c r="A777" s="403">
        <v>7</v>
      </c>
      <c r="B777" s="609" t="s">
        <v>4578</v>
      </c>
      <c r="C777" s="613"/>
      <c r="D777" s="604"/>
      <c r="E777" s="604"/>
      <c r="F777" s="604"/>
      <c r="G777" s="403" t="s">
        <v>4326</v>
      </c>
      <c r="H777" s="403" t="s">
        <v>4323</v>
      </c>
      <c r="I777" s="32"/>
      <c r="J777" s="175"/>
      <c r="K777" s="104"/>
      <c r="L777" s="706"/>
      <c r="M777" s="43"/>
      <c r="O777" s="44"/>
      <c r="R777" s="1" t="s">
        <v>3596</v>
      </c>
      <c r="S777" s="1">
        <f ca="1">IFERROR(MATCH(W776,INDIRECT(U776),0),0)</f>
        <v>3</v>
      </c>
      <c r="W777" t="s">
        <v>4771</v>
      </c>
      <c r="X777" s="119"/>
      <c r="Z777" s="543"/>
      <c r="AX777" s="6" t="str">
        <f>'Overview (Verification)'!A10</f>
        <v>Community/Lot #:</v>
      </c>
      <c r="AY777" t="str">
        <f>IF(LEN('Overview (Verification)'!P10)=0,0,'Overview (Verification)'!P10)</f>
        <v>Lot 1A</v>
      </c>
      <c r="BJ777" s="573" t="s">
        <v>4670</v>
      </c>
    </row>
    <row r="778" spans="1:62" ht="15" customHeight="1" x14ac:dyDescent="0.35">
      <c r="A778" s="403">
        <v>7</v>
      </c>
      <c r="B778" s="609" t="s">
        <v>4578</v>
      </c>
      <c r="C778" s="613" t="s">
        <v>4769</v>
      </c>
      <c r="D778" s="604"/>
      <c r="E778" s="604"/>
      <c r="F778" s="604"/>
      <c r="G778" s="403" t="s">
        <v>4326</v>
      </c>
      <c r="H778" s="403" t="s">
        <v>4323</v>
      </c>
      <c r="I778" s="32"/>
      <c r="J778" s="175"/>
      <c r="K778" s="104"/>
      <c r="L778" s="714" t="s">
        <v>4780</v>
      </c>
      <c r="M778" s="43"/>
      <c r="O778" s="44"/>
      <c r="P778" t="b">
        <v>1</v>
      </c>
      <c r="Q778" t="b">
        <v>0</v>
      </c>
      <c r="R778" t="b">
        <f ca="1">S778</f>
        <v>1</v>
      </c>
      <c r="S778" t="b">
        <f ca="1">OR(S777=1,S777=3,S777=4)</f>
        <v>1</v>
      </c>
      <c r="T778" t="b">
        <f ca="1">AND(NOT(S778),LEN(W778)&gt;0)</f>
        <v>0</v>
      </c>
      <c r="U778" t="str">
        <f>SUBSTITUTE(SUBSTITUTE(SUBSTITUTE("dd"&amp;B778&amp;C778&amp;D778&amp;E778&amp;F778,".","_"),"(","_"),")","")</f>
        <v>dd701_1_</v>
      </c>
      <c r="W778" s="9" t="s">
        <v>4772</v>
      </c>
      <c r="X778" s="688" t="s">
        <v>4852</v>
      </c>
      <c r="Y778" s="891" t="str">
        <f>IF(LEN('Ch7'!X14)=0,"None",'Ch7'!X14)</f>
        <v>None</v>
      </c>
      <c r="Z778" s="892"/>
      <c r="AC778" t="b">
        <f ca="1">OR(AD778:AE778)</f>
        <v>0</v>
      </c>
      <c r="AD778" t="b">
        <f ca="1">T778</f>
        <v>0</v>
      </c>
      <c r="AE778" t="b">
        <f ca="1">AND(R778,OR(LEN(W778)=0,LEN(X778)=0))</f>
        <v>0</v>
      </c>
      <c r="AF778" t="b">
        <f ca="1">AND(AE778,NOT(Q778))</f>
        <v>0</v>
      </c>
      <c r="AP778" t="str">
        <f>SUBSTITUTE(SUBSTITUTE(SUBSTITUTE("vch"&amp;$B778&amp;$C778&amp;$D778&amp;$E778&amp;$F778,".","_"),"(","_"),")","")</f>
        <v>vch701_1_</v>
      </c>
      <c r="AQ778" t="str">
        <f>W778</f>
        <v>HERS Rater</v>
      </c>
      <c r="AR778" t="str">
        <f>SUBSTITUTE(SUBSTITUTE(SUBSTITUTE("vnt"&amp;$B778&amp;$C778&amp;$D778&amp;$E778&amp;$F778,".","_"),"(","_"),")","")</f>
        <v>vnt701_1_</v>
      </c>
      <c r="AS778" t="str">
        <f>X778</f>
        <v>John Smith</v>
      </c>
      <c r="AX778" s="6" t="str">
        <f>'Overview (Verification)'!A11</f>
        <v>City:</v>
      </c>
      <c r="AY778" t="str">
        <f>IF(LEN('Overview (Verification)'!P11)=0,0,'Overview (Verification)'!P11)</f>
        <v>Durham</v>
      </c>
    </row>
    <row r="779" spans="1:62" x14ac:dyDescent="0.35">
      <c r="A779" s="403">
        <v>7</v>
      </c>
      <c r="B779" s="609" t="s">
        <v>4578</v>
      </c>
      <c r="C779" s="613"/>
      <c r="D779" s="604"/>
      <c r="E779" s="604"/>
      <c r="F779" s="604"/>
      <c r="G779" s="403" t="s">
        <v>4326</v>
      </c>
      <c r="H779" s="403" t="s">
        <v>4323</v>
      </c>
      <c r="I779" s="32"/>
      <c r="J779" s="175"/>
      <c r="K779" s="104"/>
      <c r="L779" s="714"/>
      <c r="M779" s="43"/>
      <c r="O779" s="44"/>
      <c r="X779" s="688"/>
      <c r="Y779" s="891"/>
      <c r="Z779" s="892"/>
      <c r="AX779" s="6"/>
    </row>
    <row r="780" spans="1:62" x14ac:dyDescent="0.35">
      <c r="A780" s="403">
        <v>7</v>
      </c>
      <c r="B780" s="609" t="s">
        <v>4578</v>
      </c>
      <c r="C780" s="613"/>
      <c r="D780" s="604"/>
      <c r="E780" s="604"/>
      <c r="F780" s="604"/>
      <c r="G780" s="403" t="s">
        <v>4326</v>
      </c>
      <c r="H780" s="403" t="s">
        <v>4323</v>
      </c>
      <c r="I780" s="32"/>
      <c r="J780" s="175"/>
      <c r="K780" s="104"/>
      <c r="L780" s="714"/>
      <c r="M780" s="43"/>
      <c r="O780" s="44"/>
      <c r="X780" s="688"/>
      <c r="Y780" s="891"/>
      <c r="Z780" s="892"/>
      <c r="AX780" s="6" t="str">
        <f>'Overview (Verification)'!A12</f>
        <v>State:</v>
      </c>
      <c r="AY780" t="str">
        <f>IF(LEN('Overview (Verification)'!P12)=0,0,'Overview (Verification)'!P12)</f>
        <v>North Carolina</v>
      </c>
      <c r="BC780" t="str">
        <f>'Overview (Verification)'!T12</f>
        <v>State</v>
      </c>
      <c r="BD780" t="str">
        <f>'Overview (Verification)'!U12</f>
        <v>County</v>
      </c>
      <c r="BE780" t="str">
        <f>'Overview (Verification)'!V12</f>
        <v>Radon</v>
      </c>
      <c r="BF780" t="str">
        <f>'Overview (Verification)'!W12</f>
        <v>Climate</v>
      </c>
      <c r="BG780" t="str">
        <f>'Overview (Verification)'!X12</f>
        <v>Moist</v>
      </c>
      <c r="BH780" t="str">
        <f>'Overview (Verification)'!Y12</f>
        <v>WarmHumid</v>
      </c>
      <c r="BI780" t="str">
        <f>'Overview (Verification)'!Z12</f>
        <v>Tropical</v>
      </c>
    </row>
    <row r="781" spans="1:62" x14ac:dyDescent="0.35">
      <c r="A781" s="403">
        <v>7</v>
      </c>
      <c r="B781" s="609" t="s">
        <v>946</v>
      </c>
      <c r="C781" s="613"/>
      <c r="D781" s="604"/>
      <c r="E781" s="604"/>
      <c r="F781" s="604"/>
      <c r="G781" s="403" t="s">
        <v>4326</v>
      </c>
      <c r="H781" s="403" t="s">
        <v>4323</v>
      </c>
      <c r="I781" s="135" t="s">
        <v>946</v>
      </c>
      <c r="J781" s="320"/>
      <c r="K781" s="320"/>
      <c r="L781" s="753" t="s">
        <v>947</v>
      </c>
      <c r="M781" s="775" t="s">
        <v>3598</v>
      </c>
      <c r="N781" s="136"/>
      <c r="O781" s="189"/>
      <c r="P781" s="138" t="b">
        <v>0</v>
      </c>
      <c r="Q781" s="138" t="b">
        <v>1</v>
      </c>
      <c r="R781" s="360" t="s">
        <v>3597</v>
      </c>
      <c r="S781" s="360">
        <f ca="1">COUNTIF(O1234:O1287,"&gt;0")+MIN(1,O1295+O1298)+COUNTIF(O1301:O1334,"&gt;0")</f>
        <v>4</v>
      </c>
      <c r="T781" s="138"/>
      <c r="U781" s="138"/>
      <c r="V781" s="138"/>
      <c r="W781" s="138"/>
      <c r="X781" s="688"/>
      <c r="Y781" s="891" t="str">
        <f>IF(LEN('Ch7'!X17)=0,"None",'Ch7'!X17)</f>
        <v>None</v>
      </c>
      <c r="Z781" s="892"/>
      <c r="AC781" t="b">
        <f ca="1">OR(AD781:AE781)</f>
        <v>0</v>
      </c>
      <c r="AE781" t="b">
        <f ca="1">IF(AND(OR(S777=1,S777=2,S777=3),S781&lt;2),TRUE,FALSE)</f>
        <v>0</v>
      </c>
      <c r="AF781" t="b">
        <f ca="1">AND(AE781,NOT(Q781))</f>
        <v>0</v>
      </c>
      <c r="AR781" t="str">
        <f>SUBSTITUTE(SUBSTITUTE(SUBSTITUTE("vnt"&amp;$B781&amp;$C781&amp;$D781&amp;$E781&amp;$F781,".","_"),"(","_"),")","")</f>
        <v>vnt701_1_1</v>
      </c>
      <c r="AS781">
        <f>X781</f>
        <v>0</v>
      </c>
      <c r="AX781" s="6" t="str">
        <f>'Overview (Verification)'!A13</f>
        <v>County:</v>
      </c>
      <c r="AY781" t="str">
        <f>IF(LEN('Overview (Verification)'!P13)=0,0,'Overview (Verification)'!P13)</f>
        <v xml:space="preserve">Chatham  </v>
      </c>
      <c r="BC781" t="str">
        <f>'Overview (Verification)'!T13</f>
        <v>North Carolina</v>
      </c>
      <c r="BD781" t="str">
        <f>'Overview (Verification)'!U13</f>
        <v xml:space="preserve">Chatham  </v>
      </c>
      <c r="BE781">
        <f>'Overview (Verification)'!V13</f>
        <v>3</v>
      </c>
      <c r="BF781">
        <f>'Overview (Verification)'!W13</f>
        <v>4</v>
      </c>
      <c r="BG781" t="str">
        <f>'Overview (Verification)'!X13</f>
        <v>Moist</v>
      </c>
      <c r="BH781" t="str">
        <f>'Overview (Verification)'!Y13</f>
        <v xml:space="preserve"> </v>
      </c>
      <c r="BI781" t="str">
        <f>'Overview (Verification)'!Z13</f>
        <v xml:space="preserve"> </v>
      </c>
      <c r="BJ781" s="573" t="s">
        <v>4670</v>
      </c>
    </row>
    <row r="782" spans="1:62" x14ac:dyDescent="0.35">
      <c r="A782" s="403">
        <v>7</v>
      </c>
      <c r="B782" s="609" t="s">
        <v>946</v>
      </c>
      <c r="C782" s="613"/>
      <c r="D782" s="604"/>
      <c r="E782" s="604"/>
      <c r="F782" s="604"/>
      <c r="G782" s="403" t="s">
        <v>4326</v>
      </c>
      <c r="H782" s="403" t="s">
        <v>4323</v>
      </c>
      <c r="I782" s="155"/>
      <c r="J782" s="214"/>
      <c r="K782" s="214"/>
      <c r="L782" s="739"/>
      <c r="M782" s="776"/>
      <c r="N782" s="4"/>
      <c r="O782" s="85"/>
      <c r="X782" s="688"/>
      <c r="Y782" s="891"/>
      <c r="Z782" s="892"/>
      <c r="AX782" s="6" t="str">
        <f>'Overview (Verification)'!A14</f>
        <v>Zip:</v>
      </c>
      <c r="AY782" t="str">
        <f>IF(LEN('Overview (Verification)'!P14)=0,0,'Overview (Verification)'!P14)</f>
        <v>27703</v>
      </c>
      <c r="BJ782" s="573" t="s">
        <v>4670</v>
      </c>
    </row>
    <row r="783" spans="1:62" x14ac:dyDescent="0.35">
      <c r="A783" s="403">
        <v>7</v>
      </c>
      <c r="B783" s="609" t="s">
        <v>948</v>
      </c>
      <c r="C783" s="613"/>
      <c r="D783" s="604"/>
      <c r="E783" s="604"/>
      <c r="F783" s="604"/>
      <c r="G783" s="403" t="s">
        <v>4326</v>
      </c>
      <c r="H783" s="403" t="s">
        <v>4323</v>
      </c>
      <c r="I783" s="135" t="s">
        <v>948</v>
      </c>
      <c r="J783" s="320"/>
      <c r="K783" s="320"/>
      <c r="L783" s="753" t="s">
        <v>949</v>
      </c>
      <c r="M783" s="776"/>
      <c r="N783" s="4"/>
      <c r="O783" s="85"/>
      <c r="X783" s="688"/>
      <c r="Y783" s="891" t="str">
        <f>IF(LEN('Ch7'!X19)=0,"None",'Ch7'!X19)</f>
        <v>None</v>
      </c>
      <c r="Z783" s="892"/>
      <c r="AR783" t="str">
        <f>SUBSTITUTE(SUBSTITUTE(SUBSTITUTE("vnt"&amp;$B783&amp;$C783&amp;$D783&amp;$E783&amp;$F783,".","_"),"(","_"),")","")</f>
        <v>vnt701_1_2</v>
      </c>
      <c r="AS783">
        <f>X783</f>
        <v>0</v>
      </c>
      <c r="AX783" s="6"/>
      <c r="BJ783" s="573" t="s">
        <v>4670</v>
      </c>
    </row>
    <row r="784" spans="1:62" x14ac:dyDescent="0.35">
      <c r="A784" s="403">
        <v>7</v>
      </c>
      <c r="B784" s="609" t="s">
        <v>948</v>
      </c>
      <c r="C784" s="613"/>
      <c r="D784" s="604"/>
      <c r="E784" s="604"/>
      <c r="F784" s="604"/>
      <c r="G784" s="403" t="s">
        <v>4326</v>
      </c>
      <c r="H784" s="403" t="s">
        <v>4323</v>
      </c>
      <c r="I784" s="4"/>
      <c r="J784" s="104"/>
      <c r="K784" s="104"/>
      <c r="L784" s="706"/>
      <c r="M784" s="776"/>
      <c r="N784" s="4"/>
      <c r="O784" s="85"/>
      <c r="X784" s="688"/>
      <c r="Y784" s="891"/>
      <c r="Z784" s="892"/>
      <c r="AX784" s="6" t="str">
        <f>'Overview (Verification)'!A16</f>
        <v>Single-Family or Multifamily:</v>
      </c>
      <c r="AY784" t="str">
        <f>IF(LEN('Overview (Verification)'!P16)=0,0,'Overview (Verification)'!P16)</f>
        <v>Single-Family</v>
      </c>
      <c r="BJ784" s="573" t="s">
        <v>4670</v>
      </c>
    </row>
    <row r="785" spans="1:62" x14ac:dyDescent="0.35">
      <c r="A785" s="403">
        <v>7</v>
      </c>
      <c r="B785" s="609" t="s">
        <v>948</v>
      </c>
      <c r="C785" s="613"/>
      <c r="D785" s="604"/>
      <c r="E785" s="604"/>
      <c r="F785" s="604"/>
      <c r="G785" s="403" t="s">
        <v>4326</v>
      </c>
      <c r="H785" s="403" t="s">
        <v>4323</v>
      </c>
      <c r="I785" s="155"/>
      <c r="J785" s="214"/>
      <c r="K785" s="214"/>
      <c r="L785" s="739"/>
      <c r="M785" s="776"/>
      <c r="N785" s="4"/>
      <c r="O785" s="85"/>
      <c r="X785" s="688"/>
      <c r="Y785" s="891"/>
      <c r="Z785" s="892"/>
      <c r="AX785" s="6" t="str">
        <f>'Overview (Verification)'!A17</f>
        <v>Number of Units:</v>
      </c>
      <c r="AY785">
        <f>IF(LEN('Overview (Verification)'!P17)=0,0,'Overview (Verification)'!P17)</f>
        <v>0</v>
      </c>
      <c r="BJ785" s="573" t="s">
        <v>4670</v>
      </c>
    </row>
    <row r="786" spans="1:62" x14ac:dyDescent="0.35">
      <c r="A786" s="403">
        <v>7</v>
      </c>
      <c r="B786" s="609" t="s">
        <v>950</v>
      </c>
      <c r="C786" s="613"/>
      <c r="D786" s="604"/>
      <c r="E786" s="604"/>
      <c r="F786" s="604"/>
      <c r="G786" s="403" t="s">
        <v>4326</v>
      </c>
      <c r="H786" s="403" t="s">
        <v>4323</v>
      </c>
      <c r="I786" s="32" t="s">
        <v>950</v>
      </c>
      <c r="J786" s="104"/>
      <c r="K786" s="104"/>
      <c r="L786" s="706" t="s">
        <v>951</v>
      </c>
      <c r="M786" s="776"/>
      <c r="O786" s="85"/>
      <c r="X786" s="688"/>
      <c r="Y786" s="891" t="str">
        <f>IF(LEN('Ch7'!X22)=0,"None",'Ch7'!X22)</f>
        <v>None</v>
      </c>
      <c r="Z786" s="892"/>
      <c r="AR786" t="str">
        <f>SUBSTITUTE(SUBSTITUTE(SUBSTITUTE("vnt"&amp;$B786&amp;$C786&amp;$D786&amp;$E786&amp;$F786,".","_"),"(","_"),")","")</f>
        <v>vnt701_1_3</v>
      </c>
      <c r="AS786">
        <f>X786</f>
        <v>0</v>
      </c>
      <c r="AX786" s="6" t="str">
        <f>'Overview (Verification)'!A18</f>
        <v>Project Name:</v>
      </c>
      <c r="AY786">
        <f>IF(LEN('Overview (Verification)'!P18)=0,0,'Overview (Verification)'!P18)</f>
        <v>0</v>
      </c>
      <c r="BJ786" s="573" t="s">
        <v>4670</v>
      </c>
    </row>
    <row r="787" spans="1:62" x14ac:dyDescent="0.35">
      <c r="A787" s="403">
        <v>7</v>
      </c>
      <c r="B787" s="609" t="s">
        <v>950</v>
      </c>
      <c r="C787" s="613"/>
      <c r="D787" s="604"/>
      <c r="E787" s="604"/>
      <c r="F787" s="604"/>
      <c r="G787" s="403" t="s">
        <v>4326</v>
      </c>
      <c r="H787" s="403" t="s">
        <v>4323</v>
      </c>
      <c r="I787" s="4"/>
      <c r="J787" s="104"/>
      <c r="K787" s="104"/>
      <c r="L787" s="706"/>
      <c r="M787" s="776"/>
      <c r="O787" s="85"/>
      <c r="X787" s="688"/>
      <c r="Y787" s="891"/>
      <c r="Z787" s="892"/>
      <c r="AX787" s="6"/>
      <c r="BJ787" s="573" t="s">
        <v>4670</v>
      </c>
    </row>
    <row r="788" spans="1:62" x14ac:dyDescent="0.35">
      <c r="A788" s="403">
        <v>7</v>
      </c>
      <c r="B788" s="609" t="s">
        <v>950</v>
      </c>
      <c r="C788" s="613"/>
      <c r="D788" s="604"/>
      <c r="E788" s="604"/>
      <c r="F788" s="604"/>
      <c r="G788" s="403" t="s">
        <v>4326</v>
      </c>
      <c r="H788" s="403" t="s">
        <v>4323</v>
      </c>
      <c r="I788" s="155"/>
      <c r="J788" s="214"/>
      <c r="K788" s="214"/>
      <c r="L788" s="739"/>
      <c r="M788" s="777"/>
      <c r="N788" s="155"/>
      <c r="O788" s="342"/>
      <c r="P788" s="119"/>
      <c r="Q788" s="119"/>
      <c r="R788" s="119"/>
      <c r="S788" s="119"/>
      <c r="T788" s="119"/>
      <c r="U788" s="119"/>
      <c r="V788" s="119"/>
      <c r="W788" s="119"/>
      <c r="X788" s="688"/>
      <c r="Y788" s="891"/>
      <c r="Z788" s="892"/>
      <c r="AX788" s="6" t="str">
        <f>'Overview (Verification)'!A20</f>
        <v>Above grade plane finished floor area:</v>
      </c>
      <c r="AY788">
        <f>IF(LEN('Overview (Verification)'!P20)=0,0,'Overview (Verification)'!P20)</f>
        <v>2644</v>
      </c>
      <c r="BJ788" s="573" t="s">
        <v>4670</v>
      </c>
    </row>
    <row r="789" spans="1:62" x14ac:dyDescent="0.35">
      <c r="A789" s="403">
        <v>7</v>
      </c>
      <c r="B789" s="609" t="s">
        <v>952</v>
      </c>
      <c r="C789" s="613"/>
      <c r="D789" s="604"/>
      <c r="E789" s="604"/>
      <c r="F789" s="604"/>
      <c r="G789" s="403" t="s">
        <v>4326</v>
      </c>
      <c r="H789" s="403" t="s">
        <v>4323</v>
      </c>
      <c r="I789" s="34" t="s">
        <v>952</v>
      </c>
      <c r="J789" s="104"/>
      <c r="K789" s="104"/>
      <c r="L789" s="706" t="s">
        <v>953</v>
      </c>
      <c r="M789" s="43"/>
      <c r="N789" s="696">
        <f ca="1">'Ch7'!O25</f>
        <v>0</v>
      </c>
      <c r="O789" s="696">
        <f ca="1">IFERROR(MATCH(W790,INDIRECT(U790),0)*15+15,0)*S790</f>
        <v>0</v>
      </c>
      <c r="W789" t="s">
        <v>3196</v>
      </c>
      <c r="X789" s="700"/>
      <c r="Y789" s="891" t="str">
        <f>IF(LEN('Ch7'!X25)=0,"None",'Ch7'!X25)</f>
        <v>None</v>
      </c>
      <c r="Z789" s="892"/>
      <c r="AN789" t="str">
        <f>SUBSTITUTE(SUBSTITUTE(SUBSTITUTE("vpc"&amp;$B789&amp;$C789&amp;$D789&amp;$E789&amp;$F789,".","_"),"(","_"),")","")</f>
        <v>vpc701_1_4</v>
      </c>
      <c r="AO789">
        <f ca="1">O789</f>
        <v>0</v>
      </c>
      <c r="AR789" t="str">
        <f>SUBSTITUTE(SUBSTITUTE(SUBSTITUTE("vnt"&amp;$B789&amp;$C789&amp;$D789&amp;$E789&amp;$F789,".","_"),"(","_"),")","")</f>
        <v>vnt701_1_4</v>
      </c>
      <c r="AS789">
        <f>X789</f>
        <v>0</v>
      </c>
      <c r="AX789" s="6" t="str">
        <f>'Overview (Verification)'!A21</f>
        <v>Total conditioned floor area:</v>
      </c>
      <c r="AY789">
        <f>IF(LEN('Overview (Verification)'!P21)=0,0,'Overview (Verification)'!P21)</f>
        <v>2644</v>
      </c>
      <c r="BJ789" s="573" t="s">
        <v>4670</v>
      </c>
    </row>
    <row r="790" spans="1:62" x14ac:dyDescent="0.35">
      <c r="A790" s="403">
        <v>7</v>
      </c>
      <c r="B790" s="609" t="s">
        <v>952</v>
      </c>
      <c r="C790" s="613"/>
      <c r="D790" s="604"/>
      <c r="E790" s="604"/>
      <c r="F790" s="604"/>
      <c r="G790" s="403" t="s">
        <v>4326</v>
      </c>
      <c r="H790" s="403" t="s">
        <v>4323</v>
      </c>
      <c r="I790" s="4"/>
      <c r="J790" s="104"/>
      <c r="K790" s="104"/>
      <c r="L790" s="706"/>
      <c r="M790" s="43"/>
      <c r="N790" s="696"/>
      <c r="O790" s="696"/>
      <c r="P790" t="b">
        <v>0</v>
      </c>
      <c r="Q790" t="b">
        <v>1</v>
      </c>
      <c r="R790" t="b">
        <f ca="1">S790</f>
        <v>0</v>
      </c>
      <c r="S790" t="b">
        <f ca="1">IFERROR(S777=4,FALSE)</f>
        <v>0</v>
      </c>
      <c r="T790" t="b">
        <f ca="1">AND(NOT(S790),LEN(W790)&gt;0)</f>
        <v>0</v>
      </c>
      <c r="U790" t="str">
        <f>SUBSTITUTE(SUBSTITUTE(SUBSTITUTE("dd"&amp;B789&amp;C789&amp;D789&amp;E789&amp;F789,".","_"),"(","_"),")","")</f>
        <v>dd701_1_4</v>
      </c>
      <c r="W790" s="9"/>
      <c r="X790" s="688"/>
      <c r="Y790" s="891"/>
      <c r="Z790" s="892"/>
      <c r="AC790" t="b">
        <f ca="1">OR(AD790:AE790)</f>
        <v>0</v>
      </c>
      <c r="AD790" t="b">
        <f ca="1">T790</f>
        <v>0</v>
      </c>
      <c r="AE790" t="b">
        <f ca="1">AND(R790,ISBLANK(W790))</f>
        <v>0</v>
      </c>
      <c r="AF790" t="b">
        <f ca="1">AND(AE790,NOT(Q790))</f>
        <v>0</v>
      </c>
      <c r="AP790" t="str">
        <f>SUBSTITUTE(SUBSTITUTE(SUBSTITUTE("vch"&amp;$B790&amp;$C790&amp;$D790&amp;$E790&amp;$F790,".","_"),"(","_"),")","")</f>
        <v>vch701_1_4</v>
      </c>
      <c r="AQ790">
        <f>W790</f>
        <v>0</v>
      </c>
      <c r="AX790" s="6" t="str">
        <f>'Overview (Verification)'!A22</f>
        <v>Stories above grade:</v>
      </c>
      <c r="AY790">
        <f>IF(LEN('Overview (Verification)'!P22)=0,0,'Overview (Verification)'!P22)</f>
        <v>2</v>
      </c>
      <c r="BJ790" s="573" t="s">
        <v>4670</v>
      </c>
    </row>
    <row r="791" spans="1:62" x14ac:dyDescent="0.35">
      <c r="A791" s="403">
        <v>7</v>
      </c>
      <c r="B791" s="609" t="s">
        <v>952</v>
      </c>
      <c r="C791" s="613"/>
      <c r="D791" s="604"/>
      <c r="E791" s="604"/>
      <c r="F791" s="604"/>
      <c r="G791" s="403" t="s">
        <v>4326</v>
      </c>
      <c r="H791" s="403" t="s">
        <v>4323</v>
      </c>
      <c r="I791" s="4"/>
      <c r="J791" s="104"/>
      <c r="K791" s="104"/>
      <c r="L791" s="706"/>
      <c r="M791" s="43"/>
      <c r="N791" s="696"/>
      <c r="O791" s="696"/>
      <c r="X791" s="688"/>
      <c r="Y791" s="891"/>
      <c r="Z791" s="892"/>
      <c r="AX791" s="6"/>
      <c r="BJ791" s="573" t="s">
        <v>4670</v>
      </c>
    </row>
    <row r="792" spans="1:62" x14ac:dyDescent="0.35">
      <c r="A792" s="403">
        <v>7</v>
      </c>
      <c r="B792" s="609" t="s">
        <v>952</v>
      </c>
      <c r="C792" s="613"/>
      <c r="D792" s="604"/>
      <c r="E792" s="604"/>
      <c r="F792" s="604"/>
      <c r="G792" s="403" t="s">
        <v>4326</v>
      </c>
      <c r="H792" s="403" t="s">
        <v>4323</v>
      </c>
      <c r="I792" s="4"/>
      <c r="J792" s="104"/>
      <c r="K792" s="104"/>
      <c r="L792" s="706"/>
      <c r="M792" s="43"/>
      <c r="N792" s="696"/>
      <c r="O792" s="696"/>
      <c r="X792" s="688"/>
      <c r="Y792" s="891"/>
      <c r="Z792" s="892"/>
      <c r="AX792" s="6" t="str">
        <f>'Overview (Verification)'!A24</f>
        <v xml:space="preserve">Project Description (optional): </v>
      </c>
      <c r="AY792">
        <f>IF(LEN('Overview (Verification)'!P24)=0,0,'Overview (Verification)'!P24)</f>
        <v>0</v>
      </c>
      <c r="BJ792" s="573" t="s">
        <v>4670</v>
      </c>
    </row>
    <row r="793" spans="1:62" x14ac:dyDescent="0.35">
      <c r="A793" s="403">
        <v>7</v>
      </c>
      <c r="B793" s="609" t="s">
        <v>952</v>
      </c>
      <c r="C793" s="613"/>
      <c r="D793" s="604"/>
      <c r="E793" s="604"/>
      <c r="F793" s="604"/>
      <c r="G793" s="403" t="s">
        <v>4326</v>
      </c>
      <c r="H793" s="403" t="s">
        <v>4323</v>
      </c>
      <c r="I793" s="4"/>
      <c r="J793" s="104"/>
      <c r="K793" s="104"/>
      <c r="L793" s="706"/>
      <c r="M793" s="43"/>
      <c r="N793" s="696"/>
      <c r="O793" s="696"/>
      <c r="X793" s="688"/>
      <c r="Y793" s="891"/>
      <c r="Z793" s="892"/>
      <c r="AX793" s="6"/>
      <c r="BJ793" s="573" t="s">
        <v>4670</v>
      </c>
    </row>
    <row r="794" spans="1:62" x14ac:dyDescent="0.35">
      <c r="A794" s="403">
        <v>7</v>
      </c>
      <c r="B794" s="609" t="s">
        <v>952</v>
      </c>
      <c r="C794" s="613"/>
      <c r="D794" s="604"/>
      <c r="E794" s="604"/>
      <c r="F794" s="604"/>
      <c r="G794" s="403" t="s">
        <v>4326</v>
      </c>
      <c r="H794" s="403" t="s">
        <v>4323</v>
      </c>
      <c r="I794" s="4"/>
      <c r="J794" s="104"/>
      <c r="K794" s="104"/>
      <c r="L794" s="706"/>
      <c r="M794" s="43"/>
      <c r="N794" s="696"/>
      <c r="O794" s="696"/>
      <c r="X794" s="688"/>
      <c r="Y794" s="891"/>
      <c r="Z794" s="892"/>
      <c r="AX794" s="6" t="str">
        <f>'Overview (Verification)'!A26</f>
        <v>HERS Index (if available):</v>
      </c>
      <c r="AY794">
        <f>IF(LEN('Overview (Verification)'!P26)=0,0,'Overview (Verification)'!P26)</f>
        <v>0</v>
      </c>
      <c r="BJ794" s="573" t="s">
        <v>4670</v>
      </c>
    </row>
    <row r="795" spans="1:62" x14ac:dyDescent="0.35">
      <c r="A795" s="403">
        <v>7</v>
      </c>
      <c r="B795" s="609" t="s">
        <v>952</v>
      </c>
      <c r="C795" s="613"/>
      <c r="D795" s="604"/>
      <c r="E795" s="604"/>
      <c r="F795" s="604"/>
      <c r="G795" s="403" t="s">
        <v>4326</v>
      </c>
      <c r="H795" s="403" t="s">
        <v>4323</v>
      </c>
      <c r="I795" s="4"/>
      <c r="J795" s="104"/>
      <c r="K795" s="104"/>
      <c r="L795" s="706"/>
      <c r="M795" s="43"/>
      <c r="N795" s="696"/>
      <c r="O795" s="696"/>
      <c r="X795" s="688"/>
      <c r="Y795" s="891"/>
      <c r="Z795" s="892"/>
      <c r="AX795" s="6" t="str">
        <f>'Overview (Verification)'!A27</f>
        <v>Foundation Type:</v>
      </c>
      <c r="AY795" t="str">
        <f>IF(LEN('Overview (Verification)'!P27)=0,0,'Overview (Verification)'!P27)</f>
        <v>Conditioned crawlspace</v>
      </c>
      <c r="BJ795" s="573" t="s">
        <v>4670</v>
      </c>
    </row>
    <row r="796" spans="1:62" ht="15" thickBot="1" x14ac:dyDescent="0.4">
      <c r="A796" s="403">
        <v>7</v>
      </c>
      <c r="B796" s="609" t="s">
        <v>952</v>
      </c>
      <c r="C796" s="613"/>
      <c r="D796" s="604"/>
      <c r="E796" s="604"/>
      <c r="F796" s="604"/>
      <c r="G796" s="403" t="s">
        <v>4326</v>
      </c>
      <c r="H796" s="403" t="s">
        <v>4323</v>
      </c>
      <c r="I796" s="183"/>
      <c r="J796" s="223"/>
      <c r="K796" s="223"/>
      <c r="L796" s="710"/>
      <c r="M796" s="270"/>
      <c r="N796" s="695"/>
      <c r="O796" s="695"/>
      <c r="P796" s="58"/>
      <c r="Q796" s="58"/>
      <c r="R796" s="58"/>
      <c r="S796" s="58"/>
      <c r="T796" s="58"/>
      <c r="U796" s="58"/>
      <c r="V796" s="58"/>
      <c r="W796" s="58"/>
      <c r="X796" s="689"/>
      <c r="Y796" s="905"/>
      <c r="Z796" s="895"/>
      <c r="AX796" s="6"/>
      <c r="BJ796" s="573" t="s">
        <v>4670</v>
      </c>
    </row>
    <row r="797" spans="1:62" ht="15" thickTop="1" x14ac:dyDescent="0.35">
      <c r="A797" s="403">
        <v>7</v>
      </c>
      <c r="B797" s="609">
        <v>701.2</v>
      </c>
      <c r="C797" s="613"/>
      <c r="D797" s="604"/>
      <c r="E797" s="604"/>
      <c r="F797" s="604"/>
      <c r="G797" s="403" t="s">
        <v>4326</v>
      </c>
      <c r="H797" s="403" t="s">
        <v>4323</v>
      </c>
      <c r="I797" s="123">
        <v>701.2</v>
      </c>
      <c r="J797" s="349"/>
      <c r="K797" s="349"/>
      <c r="L797" s="711" t="s">
        <v>954</v>
      </c>
      <c r="M797" s="773" t="s">
        <v>3193</v>
      </c>
      <c r="N797" s="341"/>
      <c r="O797" s="341"/>
      <c r="P797" s="62"/>
      <c r="Q797" s="62"/>
      <c r="R797" s="62"/>
      <c r="S797" s="62"/>
      <c r="T797" s="62"/>
      <c r="U797" s="62"/>
      <c r="V797" s="62"/>
      <c r="W797" s="62"/>
      <c r="X797" s="62"/>
      <c r="Z797" s="543"/>
      <c r="AX797" s="6" t="str">
        <f>'Overview (Verification)'!A29</f>
        <v>Type of Heating System (main system):</v>
      </c>
      <c r="AY797" t="str">
        <f>IF(LEN('Overview (Verification)'!P29)=0,0,'Overview (Verification)'!P29)</f>
        <v>Furnace</v>
      </c>
      <c r="BJ797" s="573" t="s">
        <v>4670</v>
      </c>
    </row>
    <row r="798" spans="1:62" ht="15" thickBot="1" x14ac:dyDescent="0.4">
      <c r="A798" s="403">
        <v>7</v>
      </c>
      <c r="B798" s="609">
        <v>701.2</v>
      </c>
      <c r="C798" s="613"/>
      <c r="D798" s="604"/>
      <c r="E798" s="604"/>
      <c r="F798" s="604"/>
      <c r="G798" s="403" t="s">
        <v>4326</v>
      </c>
      <c r="H798" s="403" t="s">
        <v>4323</v>
      </c>
      <c r="I798" s="183"/>
      <c r="J798" s="223"/>
      <c r="K798" s="223"/>
      <c r="L798" s="710"/>
      <c r="M798" s="774"/>
      <c r="N798" s="184"/>
      <c r="O798" s="184"/>
      <c r="P798" s="58"/>
      <c r="Q798" s="58"/>
      <c r="R798" s="58"/>
      <c r="S798" s="58"/>
      <c r="T798" s="58"/>
      <c r="U798" s="58"/>
      <c r="V798" s="58"/>
      <c r="W798" s="58"/>
      <c r="X798" s="58"/>
      <c r="Y798" s="58"/>
      <c r="Z798" s="566"/>
      <c r="AX798" s="6" t="str">
        <f>'Overview (Verification)'!A30</f>
        <v>Type of Heating System (system 2):</v>
      </c>
      <c r="AY798">
        <f>IF(LEN('Overview (Verification)'!P30)=0,0,'Overview (Verification)'!P30)</f>
        <v>0</v>
      </c>
      <c r="BJ798" s="573" t="s">
        <v>4670</v>
      </c>
    </row>
    <row r="799" spans="1:62" ht="15" thickTop="1" x14ac:dyDescent="0.35">
      <c r="A799" s="403">
        <v>7</v>
      </c>
      <c r="B799" s="609">
        <v>701.3</v>
      </c>
      <c r="C799" s="613"/>
      <c r="D799" s="604"/>
      <c r="E799" s="604"/>
      <c r="F799" s="604"/>
      <c r="G799" s="403" t="s">
        <v>4326</v>
      </c>
      <c r="H799" s="403" t="s">
        <v>4325</v>
      </c>
      <c r="I799" s="123">
        <v>701.3</v>
      </c>
      <c r="J799" s="349"/>
      <c r="K799" s="349"/>
      <c r="L799" s="711" t="s">
        <v>955</v>
      </c>
      <c r="M799" s="199"/>
      <c r="N799" s="341"/>
      <c r="O799" s="341"/>
      <c r="P799" t="b">
        <v>0</v>
      </c>
      <c r="Q799" t="b">
        <v>1</v>
      </c>
      <c r="R799" s="62" t="b">
        <f ca="1">IF(S777=4,FALSE,TRUE)</f>
        <v>1</v>
      </c>
      <c r="S799" s="62" t="b">
        <f ca="1">IF(S777=4,FALSE,TRUE)</f>
        <v>1</v>
      </c>
      <c r="T799" s="62" t="b">
        <f ca="1">AND(NOT(S799),W799=TRUE)</f>
        <v>0</v>
      </c>
      <c r="U799" s="62"/>
      <c r="V799" s="62"/>
      <c r="W799" s="17" t="b">
        <v>1</v>
      </c>
      <c r="X799" s="687" t="s">
        <v>4817</v>
      </c>
      <c r="Y799" s="907" t="str">
        <f>IF(LEN('Ch7'!X35)=0,"None",'Ch7'!X35)</f>
        <v>NGBS Green Verifier</v>
      </c>
      <c r="Z799" s="898"/>
      <c r="AC799" t="b">
        <f ca="1">OR(AD799:AE799)</f>
        <v>0</v>
      </c>
      <c r="AD799" t="b">
        <f ca="1">T799</f>
        <v>0</v>
      </c>
      <c r="AE799" t="b">
        <f ca="1">OR(AND(R799,NOT(W799)),AND(W799=TRUE,LEN(X799)=0))</f>
        <v>0</v>
      </c>
      <c r="AF799" t="b">
        <f ca="1">AND(AE799,NOT(Q799))</f>
        <v>0</v>
      </c>
      <c r="AP799" t="str">
        <f>SUBSTITUTE(SUBSTITUTE(SUBSTITUTE("vch"&amp;$B799&amp;$C799&amp;$D799&amp;$E799&amp;$F799,".","_"),"(","_"),")","")</f>
        <v>vch701_3</v>
      </c>
      <c r="AQ799" t="b">
        <f>W799</f>
        <v>1</v>
      </c>
      <c r="AR799" t="str">
        <f>SUBSTITUTE(SUBSTITUTE(SUBSTITUTE("vnt"&amp;$B799&amp;$C799&amp;$D799&amp;$E799&amp;$F799,".","_"),"(","_"),")","")</f>
        <v>vnt701_3</v>
      </c>
      <c r="AS799" t="str">
        <f>X799</f>
        <v>NGBS Green Verifier</v>
      </c>
      <c r="AX799" s="6" t="str">
        <f>'Overview (Verification)'!A31</f>
        <v>Type of Heating System (system 3):</v>
      </c>
      <c r="AY799">
        <f>IF(LEN('Overview (Verification)'!P31)=0,0,'Overview (Verification)'!P31)</f>
        <v>0</v>
      </c>
      <c r="BJ799" s="573" t="s">
        <v>4670</v>
      </c>
    </row>
    <row r="800" spans="1:62" x14ac:dyDescent="0.35">
      <c r="A800" s="403">
        <v>7</v>
      </c>
      <c r="B800" s="609">
        <v>701.3</v>
      </c>
      <c r="C800" s="613"/>
      <c r="D800" s="604"/>
      <c r="E800" s="604"/>
      <c r="F800" s="604"/>
      <c r="G800" s="403" t="s">
        <v>4326</v>
      </c>
      <c r="H800" s="403" t="s">
        <v>4325</v>
      </c>
      <c r="I800" s="4"/>
      <c r="J800" s="104"/>
      <c r="K800" s="104"/>
      <c r="L800" s="706"/>
      <c r="M800" s="43"/>
      <c r="N800" s="85"/>
      <c r="O800" s="85"/>
      <c r="X800" s="688"/>
      <c r="Y800" s="891"/>
      <c r="Z800" s="892"/>
      <c r="AX800" s="6" t="str">
        <f>'Overview (Verification)'!A32</f>
        <v>Heating Fuel:</v>
      </c>
      <c r="AY800">
        <f>IF(LEN('Overview (Verification)'!P32)=0,0,'Overview (Verification)'!P32)</f>
        <v>0</v>
      </c>
      <c r="BJ800" s="573" t="s">
        <v>4670</v>
      </c>
    </row>
    <row r="801" spans="1:62" ht="15" thickBot="1" x14ac:dyDescent="0.4">
      <c r="A801" s="403">
        <v>7</v>
      </c>
      <c r="B801" s="609">
        <v>701.3</v>
      </c>
      <c r="C801" s="613"/>
      <c r="D801" s="604"/>
      <c r="E801" s="604"/>
      <c r="F801" s="604"/>
      <c r="G801" s="403" t="s">
        <v>4326</v>
      </c>
      <c r="H801" s="403" t="s">
        <v>4325</v>
      </c>
      <c r="I801" s="183"/>
      <c r="J801" s="223"/>
      <c r="K801" s="223"/>
      <c r="L801" s="122" t="s">
        <v>3599</v>
      </c>
      <c r="M801" s="270"/>
      <c r="N801" s="184"/>
      <c r="O801" s="184"/>
      <c r="P801" s="58"/>
      <c r="Q801" s="58"/>
      <c r="R801" s="58"/>
      <c r="S801" s="58"/>
      <c r="T801" s="58"/>
      <c r="U801" s="58"/>
      <c r="V801" s="58"/>
      <c r="W801" s="58"/>
      <c r="X801" s="689"/>
      <c r="Y801" s="905"/>
      <c r="Z801" s="895"/>
      <c r="AX801" s="6" t="str">
        <f>'Overview (Verification)'!A33</f>
        <v>Heating Ducts:</v>
      </c>
      <c r="AY801" t="str">
        <f>IF(LEN('Overview (Verification)'!P33)=0,0,'Overview (Verification)'!P33)</f>
        <v>Ducted</v>
      </c>
      <c r="BJ801" s="573" t="s">
        <v>4670</v>
      </c>
    </row>
    <row r="802" spans="1:62" ht="15" thickTop="1" x14ac:dyDescent="0.35">
      <c r="A802" s="403">
        <v>7</v>
      </c>
      <c r="B802" s="609">
        <v>701.4</v>
      </c>
      <c r="C802" s="613"/>
      <c r="D802" s="604"/>
      <c r="E802" s="604"/>
      <c r="F802" s="604"/>
      <c r="G802" s="403" t="s">
        <v>4326</v>
      </c>
      <c r="H802" s="403" t="s">
        <v>4323</v>
      </c>
      <c r="I802" s="123">
        <v>701.4</v>
      </c>
      <c r="J802" s="349"/>
      <c r="K802" s="349"/>
      <c r="L802" s="222" t="s">
        <v>956</v>
      </c>
      <c r="M802" s="199"/>
      <c r="N802" s="341"/>
      <c r="O802" s="341"/>
      <c r="P802" s="62"/>
      <c r="Q802" s="62"/>
      <c r="R802" s="62"/>
      <c r="S802" s="62"/>
      <c r="T802" s="62"/>
      <c r="U802" s="62"/>
      <c r="V802" s="62"/>
      <c r="W802" s="62"/>
      <c r="X802" s="62"/>
      <c r="Z802" s="543"/>
      <c r="AX802" s="6" t="str">
        <f>'Overview (Verification)'!A34</f>
        <v>Type of Cooling System (main system):</v>
      </c>
      <c r="AY802" t="str">
        <f>IF(LEN('Overview (Verification)'!P34)=0,0,'Overview (Verification)'!P34)</f>
        <v>Electric Air Conditiner</v>
      </c>
      <c r="BJ802" s="573" t="s">
        <v>4670</v>
      </c>
    </row>
    <row r="803" spans="1:62" x14ac:dyDescent="0.35">
      <c r="A803" s="403">
        <v>7</v>
      </c>
      <c r="B803" s="609" t="s">
        <v>957</v>
      </c>
      <c r="C803" s="613"/>
      <c r="D803" s="604"/>
      <c r="E803" s="604"/>
      <c r="F803" s="604"/>
      <c r="G803" s="403" t="s">
        <v>4326</v>
      </c>
      <c r="H803" s="403" t="s">
        <v>4324</v>
      </c>
      <c r="I803" s="161" t="s">
        <v>957</v>
      </c>
      <c r="J803" s="214"/>
      <c r="K803" s="214"/>
      <c r="L803" s="361" t="s">
        <v>958</v>
      </c>
      <c r="M803" s="198"/>
      <c r="N803" s="342"/>
      <c r="O803" s="342"/>
      <c r="P803" s="119"/>
      <c r="Q803" s="119"/>
      <c r="R803" s="119"/>
      <c r="S803" s="119"/>
      <c r="T803" s="119"/>
      <c r="U803" s="119"/>
      <c r="V803" s="119"/>
      <c r="W803" s="119"/>
      <c r="X803" s="119"/>
      <c r="Z803" s="543"/>
      <c r="AX803" s="6" t="str">
        <f>'Overview (Verification)'!A35</f>
        <v>Type of Cooling System (system 2):</v>
      </c>
      <c r="AY803">
        <f>IF(LEN('Overview (Verification)'!P35)=0,0,'Overview (Verification)'!P35)</f>
        <v>0</v>
      </c>
      <c r="BJ803" s="573" t="s">
        <v>4670</v>
      </c>
    </row>
    <row r="804" spans="1:62" x14ac:dyDescent="0.35">
      <c r="A804" s="403">
        <v>7</v>
      </c>
      <c r="B804" s="609" t="s">
        <v>959</v>
      </c>
      <c r="C804" s="609"/>
      <c r="D804" s="604"/>
      <c r="E804" s="604"/>
      <c r="F804" s="604"/>
      <c r="G804" s="403" t="s">
        <v>4326</v>
      </c>
      <c r="H804" s="403" t="s">
        <v>4324</v>
      </c>
      <c r="I804" s="135" t="s">
        <v>959</v>
      </c>
      <c r="J804" s="320"/>
      <c r="K804" s="320"/>
      <c r="L804" s="753" t="s">
        <v>960</v>
      </c>
      <c r="M804" s="769" t="str">
        <f ca="1">IF(R804,"Mandatory","N/A")</f>
        <v>Mandatory</v>
      </c>
      <c r="N804" s="189"/>
      <c r="O804" s="189"/>
      <c r="P804" t="b">
        <v>1</v>
      </c>
      <c r="Q804" t="b">
        <v>0</v>
      </c>
      <c r="R804" s="138" t="b">
        <f ca="1">S804</f>
        <v>1</v>
      </c>
      <c r="S804" s="138" t="b">
        <f ca="1">NOT(S777=4)</f>
        <v>1</v>
      </c>
      <c r="T804" s="138" t="b">
        <f ca="1">AND(NOT(S804),W804=TRUE)</f>
        <v>0</v>
      </c>
      <c r="U804" s="138"/>
      <c r="V804" s="138"/>
      <c r="W804" s="17" t="b">
        <v>1</v>
      </c>
      <c r="X804" s="688"/>
      <c r="Y804" s="891" t="str">
        <f>IF(LEN('Ch7'!X40)=0,"None",'Ch7'!X40)</f>
        <v>None</v>
      </c>
      <c r="Z804" s="892"/>
      <c r="AC804" t="b">
        <f ca="1">OR(AD804:AE804)</f>
        <v>0</v>
      </c>
      <c r="AD804" t="b">
        <f ca="1">T804</f>
        <v>0</v>
      </c>
      <c r="AE804" t="b">
        <f ca="1">AND(R804,NOT(W804))</f>
        <v>0</v>
      </c>
      <c r="AF804" t="b">
        <f ca="1">AND(AE804,NOT(Q804))</f>
        <v>0</v>
      </c>
      <c r="AL804" t="str">
        <f t="shared" ref="AL804" si="232">SUBSTITUTE(SUBSTITUTE(SUBSTITUTE("vpa"&amp;$B804&amp;$C804&amp;$D804&amp;$E804&amp;$F804,".","_"),"(","_"),")","")</f>
        <v>vpa701_4_1_1</v>
      </c>
      <c r="AM804" t="str">
        <f ca="1">M804</f>
        <v>Mandatory</v>
      </c>
      <c r="AP804" t="str">
        <f>SUBSTITUTE(SUBSTITUTE(SUBSTITUTE("vch"&amp;$B804&amp;$C804&amp;$D804&amp;$E804&amp;$F804,".","_"),"(","_"),")","")</f>
        <v>vch701_4_1_1</v>
      </c>
      <c r="AQ804" t="b">
        <f>W804</f>
        <v>1</v>
      </c>
      <c r="AR804" t="str">
        <f>SUBSTITUTE(SUBSTITUTE(SUBSTITUTE("vnt"&amp;$B804&amp;$C804&amp;$D804&amp;$E804&amp;$F804,".","_"),"(","_"),")","")</f>
        <v>vnt701_4_1_1</v>
      </c>
      <c r="AS804">
        <f>X804</f>
        <v>0</v>
      </c>
      <c r="AX804" s="6" t="str">
        <f>'Overview (Verification)'!A36</f>
        <v>Type of Cooling System (system 3):</v>
      </c>
      <c r="AY804">
        <f>IF(LEN('Overview (Verification)'!P36)=0,0,'Overview (Verification)'!P36)</f>
        <v>0</v>
      </c>
      <c r="BJ804" s="573" t="s">
        <v>4670</v>
      </c>
    </row>
    <row r="805" spans="1:62" x14ac:dyDescent="0.35">
      <c r="A805" s="403">
        <v>7</v>
      </c>
      <c r="B805" s="609" t="s">
        <v>959</v>
      </c>
      <c r="C805" s="609"/>
      <c r="D805" s="604"/>
      <c r="E805" s="604"/>
      <c r="F805" s="604"/>
      <c r="G805" s="403" t="s">
        <v>4326</v>
      </c>
      <c r="H805" s="403" t="s">
        <v>4324</v>
      </c>
      <c r="I805" s="4"/>
      <c r="J805" s="104"/>
      <c r="K805" s="104"/>
      <c r="L805" s="706"/>
      <c r="M805" s="740"/>
      <c r="N805" s="85"/>
      <c r="O805" s="85"/>
      <c r="X805" s="688"/>
      <c r="Y805" s="891"/>
      <c r="Z805" s="892"/>
      <c r="AX805" s="6" t="str">
        <f>'Overview (Verification)'!A37</f>
        <v>Cooling Ducts:</v>
      </c>
      <c r="AY805" t="str">
        <f>IF(LEN('Overview (Verification)'!P37)=0,0,'Overview (Verification)'!P37)</f>
        <v>Ducted</v>
      </c>
      <c r="BJ805" s="573" t="s">
        <v>4670</v>
      </c>
    </row>
    <row r="806" spans="1:62" x14ac:dyDescent="0.35">
      <c r="A806" s="403">
        <v>7</v>
      </c>
      <c r="B806" s="609" t="s">
        <v>959</v>
      </c>
      <c r="C806" s="609"/>
      <c r="D806" s="604"/>
      <c r="E806" s="604"/>
      <c r="F806" s="604"/>
      <c r="G806" s="403" t="s">
        <v>4326</v>
      </c>
      <c r="H806" s="403" t="s">
        <v>4324</v>
      </c>
      <c r="I806" s="155"/>
      <c r="J806" s="214"/>
      <c r="K806" s="214"/>
      <c r="L806" s="739"/>
      <c r="M806" s="741"/>
      <c r="N806" s="342"/>
      <c r="O806" s="342"/>
      <c r="P806" s="119"/>
      <c r="Q806" s="119"/>
      <c r="R806" s="119"/>
      <c r="S806" s="119"/>
      <c r="T806" s="119"/>
      <c r="U806" s="119"/>
      <c r="V806" s="119"/>
      <c r="W806" s="119"/>
      <c r="X806" s="688"/>
      <c r="Y806" s="891"/>
      <c r="Z806" s="892"/>
      <c r="AX806" s="6"/>
      <c r="BJ806" s="573" t="s">
        <v>4670</v>
      </c>
    </row>
    <row r="807" spans="1:62" x14ac:dyDescent="0.35">
      <c r="A807" s="403">
        <v>7</v>
      </c>
      <c r="B807" s="609" t="s">
        <v>961</v>
      </c>
      <c r="C807" s="609"/>
      <c r="D807" s="604"/>
      <c r="E807" s="604"/>
      <c r="F807" s="604"/>
      <c r="G807" s="403" t="s">
        <v>4326</v>
      </c>
      <c r="H807" s="403" t="s">
        <v>4324</v>
      </c>
      <c r="I807" s="362" t="s">
        <v>961</v>
      </c>
      <c r="J807" s="320"/>
      <c r="K807" s="320"/>
      <c r="L807" s="753" t="s">
        <v>962</v>
      </c>
      <c r="M807" s="769" t="str">
        <f ca="1">IF(R807,"Mandatory","N/A")</f>
        <v>Mandatory</v>
      </c>
      <c r="N807" s="189"/>
      <c r="O807" s="189"/>
      <c r="P807" t="b">
        <v>1</v>
      </c>
      <c r="Q807" t="b">
        <v>0</v>
      </c>
      <c r="R807" s="138" t="b">
        <f ca="1">S807</f>
        <v>1</v>
      </c>
      <c r="S807" s="138" t="b">
        <f ca="1">NOT(S777=4)</f>
        <v>1</v>
      </c>
      <c r="T807" s="138" t="b">
        <f ca="1">AND(NOT(S807),LEN(W807)&gt;0)</f>
        <v>0</v>
      </c>
      <c r="U807" s="138" t="str">
        <f>SUBSTITUTE(SUBSTITUTE(SUBSTITUTE("dd"&amp;B807&amp;C807&amp;D807&amp;E807&amp;F807,".","_"),"(","_"),")","")</f>
        <v>dd701_4_1_2</v>
      </c>
      <c r="V807" s="138"/>
      <c r="W807" s="9" t="s">
        <v>3601</v>
      </c>
      <c r="X807" s="688"/>
      <c r="Y807" s="891" t="str">
        <f>IF(LEN('Ch7'!X43)=0,"None",'Ch7'!X43)</f>
        <v>None</v>
      </c>
      <c r="Z807" s="892"/>
      <c r="AC807" t="b">
        <f ca="1">OR(AD807:AE807)</f>
        <v>0</v>
      </c>
      <c r="AD807" t="b">
        <f ca="1">T807</f>
        <v>0</v>
      </c>
      <c r="AE807" t="b">
        <f ca="1">AND(R807,OR(W807="Not Met",W807=""))</f>
        <v>0</v>
      </c>
      <c r="AF807" t="b">
        <f ca="1">AND(AE807,NOT(Q807))</f>
        <v>0</v>
      </c>
      <c r="AL807" t="str">
        <f t="shared" ref="AL807" si="233">SUBSTITUTE(SUBSTITUTE(SUBSTITUTE("vpa"&amp;$B807&amp;$C807&amp;$D807&amp;$E807&amp;$F807,".","_"),"(","_"),")","")</f>
        <v>vpa701_4_1_2</v>
      </c>
      <c r="AM807" t="str">
        <f ca="1">M807</f>
        <v>Mandatory</v>
      </c>
      <c r="AP807" t="str">
        <f>SUBSTITUTE(SUBSTITUTE(SUBSTITUTE("vch"&amp;$B807&amp;$C807&amp;$D807&amp;$E807&amp;$F807,".","_"),"(","_"),")","")</f>
        <v>vch701_4_1_2</v>
      </c>
      <c r="AQ807" t="str">
        <f>W807</f>
        <v>No Radiant or Hydronic</v>
      </c>
      <c r="AR807" t="str">
        <f>SUBSTITUTE(SUBSTITUTE(SUBSTITUTE("vnt"&amp;$B807&amp;$C807&amp;$D807&amp;$E807&amp;$F807,".","_"),"(","_"),")","")</f>
        <v>vnt701_4_1_2</v>
      </c>
      <c r="AS807">
        <f>X807</f>
        <v>0</v>
      </c>
      <c r="AX807" s="6" t="str">
        <f>'Overview (Verification)'!A39</f>
        <v>Maximum window and door SHGC:</v>
      </c>
      <c r="AY807">
        <f>IF(LEN('Overview (Verification)'!P39)=0,0,'Overview (Verification)'!P39)</f>
        <v>0.22</v>
      </c>
      <c r="BJ807" s="573" t="s">
        <v>4670</v>
      </c>
    </row>
    <row r="808" spans="1:62" x14ac:dyDescent="0.35">
      <c r="A808" s="403">
        <v>7</v>
      </c>
      <c r="B808" s="609" t="s">
        <v>961</v>
      </c>
      <c r="C808" s="609"/>
      <c r="D808" s="604"/>
      <c r="E808" s="604"/>
      <c r="F808" s="604"/>
      <c r="G808" s="403" t="s">
        <v>4326</v>
      </c>
      <c r="H808" s="403" t="s">
        <v>4324</v>
      </c>
      <c r="I808" s="4"/>
      <c r="J808" s="104"/>
      <c r="K808" s="104"/>
      <c r="L808" s="706"/>
      <c r="M808" s="740"/>
      <c r="N808" s="85"/>
      <c r="O808" s="85"/>
      <c r="X808" s="688"/>
      <c r="Y808" s="891"/>
      <c r="Z808" s="892"/>
      <c r="AX808" s="6" t="str">
        <f>'Overview (Verification)'!A40</f>
        <v>Maximum skylight SHGC:</v>
      </c>
      <c r="AY808">
        <f>IF(LEN('Overview (Verification)'!P40)=0,0,'Overview (Verification)'!P40)</f>
        <v>0</v>
      </c>
      <c r="BJ808" s="573" t="s">
        <v>4670</v>
      </c>
    </row>
    <row r="809" spans="1:62" x14ac:dyDescent="0.35">
      <c r="A809" s="403">
        <v>7</v>
      </c>
      <c r="B809" s="609" t="s">
        <v>961</v>
      </c>
      <c r="C809" s="609"/>
      <c r="D809" s="604"/>
      <c r="E809" s="604"/>
      <c r="F809" s="604"/>
      <c r="G809" s="403" t="s">
        <v>4326</v>
      </c>
      <c r="H809" s="403" t="s">
        <v>4324</v>
      </c>
      <c r="I809" s="4"/>
      <c r="J809" s="104"/>
      <c r="K809" s="104"/>
      <c r="L809" s="706"/>
      <c r="M809" s="740"/>
      <c r="N809" s="85"/>
      <c r="O809" s="85"/>
      <c r="X809" s="688"/>
      <c r="Y809" s="891"/>
      <c r="Z809" s="892"/>
      <c r="AX809" s="6" t="str">
        <f>'Overview (Verification)'!A41</f>
        <v>Maximum window and door U-value:</v>
      </c>
      <c r="AY809">
        <f>IF(LEN('Overview (Verification)'!P41)=0,0,'Overview (Verification)'!P41)</f>
        <v>0.32</v>
      </c>
      <c r="BJ809" s="573" t="s">
        <v>4670</v>
      </c>
    </row>
    <row r="810" spans="1:62" x14ac:dyDescent="0.35">
      <c r="A810" s="403">
        <v>7</v>
      </c>
      <c r="B810" s="609" t="s">
        <v>961</v>
      </c>
      <c r="C810" s="609"/>
      <c r="D810" s="604"/>
      <c r="E810" s="604"/>
      <c r="F810" s="604"/>
      <c r="G810" s="403" t="s">
        <v>4326</v>
      </c>
      <c r="H810" s="403" t="s">
        <v>4324</v>
      </c>
      <c r="I810" s="4"/>
      <c r="J810" s="104"/>
      <c r="K810" s="104"/>
      <c r="L810" s="706"/>
      <c r="M810" s="740"/>
      <c r="N810" s="85"/>
      <c r="O810" s="85"/>
      <c r="X810" s="688"/>
      <c r="Y810" s="891"/>
      <c r="Z810" s="892"/>
      <c r="AX810" s="6" t="str">
        <f>'Overview (Verification)'!A42</f>
        <v>Maximum skylight U-value:</v>
      </c>
      <c r="AY810">
        <f>IF(LEN('Overview (Verification)'!P42)=0,0,'Overview (Verification)'!P42)</f>
        <v>0</v>
      </c>
      <c r="BJ810" s="573" t="s">
        <v>4670</v>
      </c>
    </row>
    <row r="811" spans="1:62" x14ac:dyDescent="0.35">
      <c r="A811" s="403">
        <v>7</v>
      </c>
      <c r="B811" s="609" t="s">
        <v>961</v>
      </c>
      <c r="C811" s="609"/>
      <c r="D811" s="604"/>
      <c r="E811" s="604"/>
      <c r="F811" s="604"/>
      <c r="G811" s="403" t="s">
        <v>4326</v>
      </c>
      <c r="H811" s="403" t="s">
        <v>4324</v>
      </c>
      <c r="I811" s="155"/>
      <c r="J811" s="214"/>
      <c r="K811" s="214"/>
      <c r="L811" s="739"/>
      <c r="M811" s="741"/>
      <c r="N811" s="342"/>
      <c r="O811" s="342"/>
      <c r="P811" s="119"/>
      <c r="Q811" s="119"/>
      <c r="R811" s="119"/>
      <c r="S811" s="119"/>
      <c r="T811" s="119"/>
      <c r="U811" s="119"/>
      <c r="V811" s="119"/>
      <c r="W811" s="119"/>
      <c r="X811" s="688"/>
      <c r="Y811" s="891"/>
      <c r="Z811" s="892"/>
      <c r="AX811" s="6" t="str">
        <f>'Overview (Verification)'!A43</f>
        <v>Renewable Energy:</v>
      </c>
      <c r="AY811">
        <f>IF(LEN('Overview (Verification)'!P43)=0,0,'Overview (Verification)'!P43)</f>
        <v>0</v>
      </c>
      <c r="BJ811" s="573" t="s">
        <v>4670</v>
      </c>
    </row>
    <row r="812" spans="1:62" x14ac:dyDescent="0.35">
      <c r="A812" s="403">
        <v>7</v>
      </c>
      <c r="B812" s="609" t="s">
        <v>963</v>
      </c>
      <c r="C812" s="609"/>
      <c r="D812" s="604"/>
      <c r="E812" s="604"/>
      <c r="F812" s="604"/>
      <c r="G812" s="403" t="s">
        <v>4326</v>
      </c>
      <c r="H812" s="403" t="s">
        <v>4324</v>
      </c>
      <c r="I812" s="362" t="s">
        <v>963</v>
      </c>
      <c r="J812" s="320"/>
      <c r="K812" s="320"/>
      <c r="L812" s="358" t="s">
        <v>964</v>
      </c>
      <c r="M812" s="317"/>
      <c r="N812" s="189"/>
      <c r="O812" s="189"/>
      <c r="P812" s="138"/>
      <c r="Q812" s="138"/>
      <c r="R812" s="138"/>
      <c r="S812" s="138"/>
      <c r="T812" s="138"/>
      <c r="U812" s="138"/>
      <c r="V812" s="138"/>
      <c r="W812" s="138"/>
      <c r="X812" s="138"/>
      <c r="Z812" s="543"/>
      <c r="AX812" s="6" t="str">
        <f>'Overview (Verification)'!A44</f>
        <v>Thermal Envelope Insulation:</v>
      </c>
      <c r="AY812">
        <f>IF(LEN('Overview (Verification)'!P44)=0,0,'Overview (Verification)'!P44)</f>
        <v>0</v>
      </c>
      <c r="BJ812" s="573" t="s">
        <v>4670</v>
      </c>
    </row>
    <row r="813" spans="1:62" x14ac:dyDescent="0.35">
      <c r="A813" s="403">
        <v>7</v>
      </c>
      <c r="B813" s="609" t="s">
        <v>957</v>
      </c>
      <c r="C813" s="609"/>
      <c r="D813" s="604"/>
      <c r="E813" s="604"/>
      <c r="F813" s="604"/>
      <c r="G813" s="403" t="s">
        <v>4326</v>
      </c>
      <c r="H813" s="403" t="s">
        <v>4324</v>
      </c>
      <c r="I813" s="34" t="s">
        <v>4072</v>
      </c>
      <c r="J813" s="104"/>
      <c r="K813" s="104"/>
      <c r="L813" s="706" t="s">
        <v>965</v>
      </c>
      <c r="M813" s="740" t="str">
        <f ca="1">IF(R813,"Mandatory","N/A")</f>
        <v>Mandatory</v>
      </c>
      <c r="N813" s="85"/>
      <c r="O813" s="85"/>
      <c r="P813" t="b">
        <v>1</v>
      </c>
      <c r="Q813" t="b">
        <v>0</v>
      </c>
      <c r="R813" t="b">
        <f ca="1">S813</f>
        <v>1</v>
      </c>
      <c r="S813" t="b">
        <f ca="1">AND(NOT(S777=4),NOT(AND(OR(AY801=INDEX(INDIRECT('Overview (Design)'!$E$35),2),AY801=INDEX(INDIRECT('Overview (Design)'!$E$35),3)),OR(AY805=INDEX(INDIRECT('Overview (Design)'!$E$39),2),AY805=INDEX(INDIRECT('Overview (Design)'!$E$39),3)))))</f>
        <v>1</v>
      </c>
      <c r="T813" t="b">
        <f ca="1">AND(NOT(S813),W813=TRUE)</f>
        <v>0</v>
      </c>
      <c r="W813" s="17" t="b">
        <v>1</v>
      </c>
      <c r="X813" s="688"/>
      <c r="Y813" s="891" t="str">
        <f>IF(LEN('Ch7'!X49)=0,"None",'Ch7'!X49)</f>
        <v>Aeroseal Air Duct Sealing</v>
      </c>
      <c r="Z813" s="892"/>
      <c r="AC813" t="b">
        <f ca="1">OR(AD813:AE813)</f>
        <v>0</v>
      </c>
      <c r="AD813" t="b">
        <f ca="1">T813</f>
        <v>0</v>
      </c>
      <c r="AE813" t="b">
        <f ca="1">AND(R813,NOT(W813))</f>
        <v>0</v>
      </c>
      <c r="AF813" t="b">
        <f ca="1">AND(AE813,NOT(Q813))</f>
        <v>0</v>
      </c>
      <c r="AL813" t="str">
        <f t="shared" ref="AL813" si="234">SUBSTITUTE(SUBSTITUTE(SUBSTITUTE("vpa"&amp;$B813&amp;$C813&amp;$D813&amp;$E813&amp;$F813,".","_"),"(","_"),")","")</f>
        <v>vpa701_4_1</v>
      </c>
      <c r="AM813" t="str">
        <f ca="1">M813</f>
        <v>Mandatory</v>
      </c>
      <c r="AP813" t="str">
        <f>SUBSTITUTE(SUBSTITUTE(SUBSTITUTE("vch"&amp;$B813&amp;$C813&amp;$D813&amp;$E813&amp;$F813,".","_"),"(","_"),")","")</f>
        <v>vch701_4_1</v>
      </c>
      <c r="AQ813" t="b">
        <f>W813</f>
        <v>1</v>
      </c>
      <c r="AR813" t="str">
        <f>SUBSTITUTE(SUBSTITUTE(SUBSTITUTE("vnt"&amp;$B813&amp;$C813&amp;$D813&amp;$E813&amp;$F813,".","_"),"(","_"),")","")</f>
        <v>vnt701_4_1</v>
      </c>
      <c r="AS813">
        <f>X813</f>
        <v>0</v>
      </c>
      <c r="AX813" s="6" t="str">
        <f>'Overview (Verification)'!A45</f>
        <v>Attic Type:</v>
      </c>
      <c r="AY813" t="str">
        <f>IF(LEN('Overview (Verification)'!P45)=0,0,'Overview (Verification)'!P45)</f>
        <v>Vented</v>
      </c>
      <c r="BJ813" s="573" t="s">
        <v>4670</v>
      </c>
    </row>
    <row r="814" spans="1:62" x14ac:dyDescent="0.35">
      <c r="A814" s="403">
        <v>7</v>
      </c>
      <c r="B814" s="609" t="s">
        <v>957</v>
      </c>
      <c r="C814" s="609"/>
      <c r="D814" s="604"/>
      <c r="E814" s="604"/>
      <c r="F814" s="604"/>
      <c r="G814" s="403" t="s">
        <v>4326</v>
      </c>
      <c r="H814" s="403" t="s">
        <v>4324</v>
      </c>
      <c r="I814" s="34"/>
      <c r="J814" s="104"/>
      <c r="K814" s="104"/>
      <c r="L814" s="706"/>
      <c r="M814" s="740"/>
      <c r="N814" s="85"/>
      <c r="O814" s="85"/>
      <c r="X814" s="688"/>
      <c r="Y814" s="891"/>
      <c r="Z814" s="892"/>
      <c r="AX814" s="6" t="str">
        <f>'Overview (Verification)'!A46</f>
        <v>Attached Garage:</v>
      </c>
      <c r="AY814" t="str">
        <f>IF(LEN('Overview (Verification)'!P46)=0,0,'Overview (Verification)'!P46)</f>
        <v>Yes</v>
      </c>
      <c r="BJ814" s="573" t="s">
        <v>4670</v>
      </c>
    </row>
    <row r="815" spans="1:62" x14ac:dyDescent="0.35">
      <c r="A815" s="403">
        <v>7</v>
      </c>
      <c r="B815" s="609" t="s">
        <v>957</v>
      </c>
      <c r="C815" s="609"/>
      <c r="D815" s="604"/>
      <c r="E815" s="604"/>
      <c r="F815" s="604"/>
      <c r="G815" s="403" t="s">
        <v>4326</v>
      </c>
      <c r="H815" s="403" t="s">
        <v>4324</v>
      </c>
      <c r="I815" s="363"/>
      <c r="J815" s="214"/>
      <c r="K815" s="214"/>
      <c r="L815" s="739"/>
      <c r="M815" s="741"/>
      <c r="N815" s="342"/>
      <c r="O815" s="342"/>
      <c r="P815" s="119"/>
      <c r="Q815" s="119"/>
      <c r="R815" s="119"/>
      <c r="S815" s="119"/>
      <c r="T815" s="119"/>
      <c r="U815" s="119"/>
      <c r="V815" s="119"/>
      <c r="W815" s="119"/>
      <c r="X815" s="688"/>
      <c r="Y815" s="891"/>
      <c r="Z815" s="892"/>
      <c r="AX815" s="6" t="str">
        <f>'Overview (Verification)'!A47</f>
        <v>Recessed Lighting:</v>
      </c>
      <c r="AY815">
        <f>IF(LEN('Overview (Verification)'!P47)=0,0,'Overview (Verification)'!P47)</f>
        <v>0</v>
      </c>
      <c r="BJ815" s="573" t="s">
        <v>4670</v>
      </c>
    </row>
    <row r="816" spans="1:62" ht="15" customHeight="1" x14ac:dyDescent="0.35">
      <c r="A816" s="403">
        <v>7</v>
      </c>
      <c r="B816" s="609" t="s">
        <v>966</v>
      </c>
      <c r="C816" s="609"/>
      <c r="D816" s="604"/>
      <c r="E816" s="604"/>
      <c r="F816" s="604"/>
      <c r="G816" s="403" t="s">
        <v>4326</v>
      </c>
      <c r="H816" s="403" t="s">
        <v>4324</v>
      </c>
      <c r="I816" s="364" t="s">
        <v>966</v>
      </c>
      <c r="J816" s="220"/>
      <c r="K816" s="220"/>
      <c r="L816" s="365" t="s">
        <v>967</v>
      </c>
      <c r="M816" s="557" t="str">
        <f ca="1">IF(R816,"Mandatory","N/A")</f>
        <v>Mandatory</v>
      </c>
      <c r="N816" s="313"/>
      <c r="O816" s="313"/>
      <c r="P816" t="b">
        <v>1</v>
      </c>
      <c r="Q816" t="b">
        <v>0</v>
      </c>
      <c r="R816" s="156" t="b">
        <f ca="1">S816</f>
        <v>1</v>
      </c>
      <c r="S816" s="156" t="b">
        <f ca="1">AND(NOT(S777=4),NOT(AND(OR(AY801=INDEX(INDIRECT('Overview (Design)'!$E$35),2),AY801=INDEX(INDIRECT('Overview (Design)'!$E$35),3)),OR(AY805=INDEX(INDIRECT('Overview (Design)'!$E$39),2),AY805=INDEX(INDIRECT('Overview (Design)'!$E$39),3)))))</f>
        <v>1</v>
      </c>
      <c r="T816" s="156" t="b">
        <f ca="1">AND(NOT(S816),W816=TRUE)</f>
        <v>0</v>
      </c>
      <c r="U816" s="156"/>
      <c r="V816" s="156"/>
      <c r="W816" s="17" t="b">
        <v>1</v>
      </c>
      <c r="X816" s="39"/>
      <c r="Y816" s="200" t="str">
        <f>IF(LEN('Ch7'!X52)=0,"None",'Ch7'!X52)</f>
        <v>None</v>
      </c>
      <c r="Z816" s="563"/>
      <c r="AC816" t="b">
        <f ca="1">OR(AD816:AE816)</f>
        <v>0</v>
      </c>
      <c r="AD816" t="b">
        <f ca="1">T816</f>
        <v>0</v>
      </c>
      <c r="AE816" t="b">
        <f ca="1">AND(R816,NOT(W816))</f>
        <v>0</v>
      </c>
      <c r="AF816" t="b">
        <f ca="1">AND(AE816,NOT(Q816))</f>
        <v>0</v>
      </c>
      <c r="AL816" t="str">
        <f t="shared" ref="AL816:AL817" si="235">SUBSTITUTE(SUBSTITUTE(SUBSTITUTE("vpa"&amp;$B816&amp;$C816&amp;$D816&amp;$E816&amp;$F816,".","_"),"(","_"),")","")</f>
        <v>vpa701_4_2_2</v>
      </c>
      <c r="AM816" t="str">
        <f ca="1">M816</f>
        <v>Mandatory</v>
      </c>
      <c r="AP816" t="str">
        <f t="shared" ref="AP816:AP817" si="236">SUBSTITUTE(SUBSTITUTE(SUBSTITUTE("vch"&amp;$B816&amp;$C816&amp;$D816&amp;$E816&amp;$F816,".","_"),"(","_"),")","")</f>
        <v>vch701_4_2_2</v>
      </c>
      <c r="AQ816" t="b">
        <f>W816</f>
        <v>1</v>
      </c>
      <c r="AR816" t="str">
        <f t="shared" ref="AR816:AR817" si="237">SUBSTITUTE(SUBSTITUTE(SUBSTITUTE("vnt"&amp;$B816&amp;$C816&amp;$D816&amp;$E816&amp;$F816,".","_"),"(","_"),")","")</f>
        <v>vnt701_4_2_2</v>
      </c>
      <c r="AS816">
        <f>X816</f>
        <v>0</v>
      </c>
      <c r="AX816" s="6"/>
      <c r="BJ816" s="573" t="s">
        <v>4670</v>
      </c>
    </row>
    <row r="817" spans="1:62" x14ac:dyDescent="0.35">
      <c r="A817" s="403">
        <v>7</v>
      </c>
      <c r="B817" s="609" t="s">
        <v>968</v>
      </c>
      <c r="C817" s="609"/>
      <c r="D817" s="604"/>
      <c r="E817" s="604"/>
      <c r="F817" s="604"/>
      <c r="G817" s="403" t="s">
        <v>4326</v>
      </c>
      <c r="H817" s="403" t="s">
        <v>4324</v>
      </c>
      <c r="I817" s="362" t="s">
        <v>968</v>
      </c>
      <c r="J817" s="320"/>
      <c r="K817" s="320"/>
      <c r="L817" s="753" t="s">
        <v>969</v>
      </c>
      <c r="M817" s="769" t="str">
        <f ca="1">IF(R817,"Mandatory","N/A")</f>
        <v>Mandatory</v>
      </c>
      <c r="N817" s="189"/>
      <c r="O817" s="189"/>
      <c r="P817" t="b">
        <v>1</v>
      </c>
      <c r="Q817" t="b">
        <v>0</v>
      </c>
      <c r="R817" s="138" t="b">
        <f ca="1">S817</f>
        <v>1</v>
      </c>
      <c r="S817" s="138" t="b">
        <f ca="1">AND(NOT(S777=4),NOT(AND(OR(AY801=INDEX(INDIRECT('Overview (Design)'!$E$35),2),AY801=INDEX(INDIRECT('Overview (Design)'!$E$35),3)),OR(AY805=INDEX(INDIRECT('Overview (Design)'!$E$39),2),AY805=INDEX(INDIRECT('Overview (Design)'!$E$39),3)))))</f>
        <v>1</v>
      </c>
      <c r="T817" s="138" t="b">
        <f ca="1">AND(NOT(S817),W817=TRUE)</f>
        <v>0</v>
      </c>
      <c r="U817" s="138"/>
      <c r="V817" s="138"/>
      <c r="W817" s="17" t="b">
        <v>1</v>
      </c>
      <c r="X817" s="688"/>
      <c r="Y817" s="891" t="str">
        <f>IF(LEN('Ch7'!X53)=0,"None",'Ch7'!X53)</f>
        <v>None</v>
      </c>
      <c r="Z817" s="892"/>
      <c r="AC817" t="b">
        <f ca="1">OR(AD817:AE817)</f>
        <v>0</v>
      </c>
      <c r="AD817" t="b">
        <f ca="1">T817</f>
        <v>0</v>
      </c>
      <c r="AE817" t="b">
        <f ca="1">AND(R817,NOT(W817))</f>
        <v>0</v>
      </c>
      <c r="AF817" t="b">
        <f ca="1">AND(AE817,NOT(Q817))</f>
        <v>0</v>
      </c>
      <c r="AL817" t="str">
        <f t="shared" si="235"/>
        <v>vpa701_4_2_3</v>
      </c>
      <c r="AM817" t="str">
        <f ca="1">M817</f>
        <v>Mandatory</v>
      </c>
      <c r="AP817" t="str">
        <f t="shared" si="236"/>
        <v>vch701_4_2_3</v>
      </c>
      <c r="AQ817" t="b">
        <f>W817</f>
        <v>1</v>
      </c>
      <c r="AR817" t="str">
        <f t="shared" si="237"/>
        <v>vnt701_4_2_3</v>
      </c>
      <c r="AS817">
        <f>X817</f>
        <v>0</v>
      </c>
      <c r="AX817" s="6"/>
      <c r="BJ817" s="573" t="s">
        <v>4670</v>
      </c>
    </row>
    <row r="818" spans="1:62" x14ac:dyDescent="0.35">
      <c r="A818" s="403">
        <v>7</v>
      </c>
      <c r="B818" s="609" t="s">
        <v>968</v>
      </c>
      <c r="C818" s="609"/>
      <c r="D818" s="604"/>
      <c r="E818" s="604"/>
      <c r="F818" s="604"/>
      <c r="G818" s="403" t="s">
        <v>4326</v>
      </c>
      <c r="H818" s="403" t="s">
        <v>4324</v>
      </c>
      <c r="I818" s="363"/>
      <c r="J818" s="214"/>
      <c r="K818" s="214"/>
      <c r="L818" s="739"/>
      <c r="M818" s="741"/>
      <c r="N818" s="342"/>
      <c r="O818" s="342"/>
      <c r="P818" s="119"/>
      <c r="Q818" s="119"/>
      <c r="R818" s="119"/>
      <c r="S818" s="119"/>
      <c r="T818" s="119"/>
      <c r="U818" s="119"/>
      <c r="V818" s="119"/>
      <c r="W818" s="119"/>
      <c r="X818" s="688"/>
      <c r="Y818" s="891"/>
      <c r="Z818" s="892"/>
      <c r="AX818" s="6" t="str">
        <f>'Overview (Verification)'!A50</f>
        <v>Passive Solar:</v>
      </c>
      <c r="AY818">
        <f>IF(LEN('Overview (Verification)'!P50)=0,0,'Overview (Verification)'!P50)</f>
        <v>0</v>
      </c>
      <c r="BJ818" s="573" t="s">
        <v>4670</v>
      </c>
    </row>
    <row r="819" spans="1:62" x14ac:dyDescent="0.35">
      <c r="A819" s="403">
        <v>7</v>
      </c>
      <c r="B819" s="609" t="s">
        <v>970</v>
      </c>
      <c r="C819" s="609"/>
      <c r="D819" s="604"/>
      <c r="E819" s="604"/>
      <c r="F819" s="604"/>
      <c r="G819" s="403" t="s">
        <v>4326</v>
      </c>
      <c r="H819" s="403" t="s">
        <v>4324</v>
      </c>
      <c r="I819" s="362" t="s">
        <v>970</v>
      </c>
      <c r="J819" s="320"/>
      <c r="K819" s="320"/>
      <c r="L819" s="358" t="s">
        <v>971</v>
      </c>
      <c r="M819" s="317"/>
      <c r="N819" s="189"/>
      <c r="O819" s="189"/>
      <c r="P819" s="138"/>
      <c r="Q819" s="138"/>
      <c r="R819" s="138"/>
      <c r="S819" s="138"/>
      <c r="T819" s="138"/>
      <c r="U819" s="138"/>
      <c r="V819" s="138"/>
      <c r="W819" s="138"/>
      <c r="X819" s="138"/>
      <c r="Z819" s="543"/>
      <c r="AX819" s="6" t="str">
        <f>'Overview (Verification)'!A51</f>
        <v>Mass Walls:</v>
      </c>
      <c r="AY819">
        <f>IF(LEN('Overview (Verification)'!P51)=0,0,'Overview (Verification)'!P51)</f>
        <v>0</v>
      </c>
      <c r="BJ819" s="573" t="s">
        <v>4670</v>
      </c>
    </row>
    <row r="820" spans="1:62" x14ac:dyDescent="0.35">
      <c r="A820" s="403">
        <v>7</v>
      </c>
      <c r="B820" s="609" t="s">
        <v>972</v>
      </c>
      <c r="C820" s="609"/>
      <c r="D820" s="604"/>
      <c r="E820" s="604"/>
      <c r="F820" s="604"/>
      <c r="G820" s="403" t="s">
        <v>4326</v>
      </c>
      <c r="H820" s="403" t="s">
        <v>4324</v>
      </c>
      <c r="I820" s="34" t="s">
        <v>972</v>
      </c>
      <c r="J820" s="104"/>
      <c r="K820" s="104"/>
      <c r="L820" s="706" t="s">
        <v>973</v>
      </c>
      <c r="M820" s="740" t="str">
        <f ca="1">IF(R823,"Mandatory","N/A")</f>
        <v>Mandatory</v>
      </c>
      <c r="N820" s="85"/>
      <c r="O820" s="85"/>
      <c r="W820" t="s">
        <v>3632</v>
      </c>
      <c r="X820" s="688"/>
      <c r="Y820" s="891" t="str">
        <f>IF(LEN('Ch7'!X56)=0,"None",'Ch7'!X56)</f>
        <v>Hardie™ Weather Barrier</v>
      </c>
      <c r="Z820" s="892"/>
      <c r="AL820" t="str">
        <f t="shared" ref="AL820" si="238">SUBSTITUTE(SUBSTITUTE(SUBSTITUTE("vpa"&amp;$B820&amp;$C820&amp;$D820&amp;$E820&amp;$F820,".","_"),"(","_"),")","")</f>
        <v>vpa701_4_3_1</v>
      </c>
      <c r="AM820" t="str">
        <f ca="1">M820</f>
        <v>Mandatory</v>
      </c>
      <c r="AR820" t="str">
        <f>SUBSTITUTE(SUBSTITUTE(SUBSTITUTE("vnt"&amp;$B820&amp;$C820&amp;$D820&amp;$E820&amp;$F820,".","_"),"(","_"),")","")</f>
        <v>vnt701_4_3_1</v>
      </c>
      <c r="AS820">
        <f>X820</f>
        <v>0</v>
      </c>
      <c r="AX820" s="6" t="str">
        <f>'Overview (Verification)'!A52</f>
        <v>Ductless:</v>
      </c>
      <c r="AY820">
        <f>IF(LEN('Overview (Verification)'!P52)=0,0,'Overview (Verification)'!P52)</f>
        <v>0</v>
      </c>
      <c r="BJ820" s="573" t="s">
        <v>4670</v>
      </c>
    </row>
    <row r="821" spans="1:62" x14ac:dyDescent="0.35">
      <c r="A821" s="403">
        <v>7</v>
      </c>
      <c r="B821" s="609" t="s">
        <v>972</v>
      </c>
      <c r="C821" s="609"/>
      <c r="D821" s="604" t="s">
        <v>270</v>
      </c>
      <c r="E821" s="604"/>
      <c r="F821" s="604"/>
      <c r="G821" s="403" t="s">
        <v>4326</v>
      </c>
      <c r="H821" s="403" t="s">
        <v>4324</v>
      </c>
      <c r="I821" s="4"/>
      <c r="J821" s="104"/>
      <c r="K821" s="104"/>
      <c r="L821" s="706"/>
      <c r="M821" s="740"/>
      <c r="N821" s="85"/>
      <c r="O821" s="85"/>
      <c r="P821" t="b">
        <v>1</v>
      </c>
      <c r="Q821" t="b">
        <v>1</v>
      </c>
      <c r="R821" t="b">
        <v>0</v>
      </c>
      <c r="S821" t="b">
        <f ca="1">AND(NOT(S777=4),AY790&gt;3,AY784=INDEX(INDIRECT('Overview (Design)'!$E$18),2))</f>
        <v>0</v>
      </c>
      <c r="T821" t="b">
        <f ca="1">AND(NOT(S821),W821=TRUE)</f>
        <v>0</v>
      </c>
      <c r="W821" s="17"/>
      <c r="X821" s="688"/>
      <c r="Y821" s="891"/>
      <c r="Z821" s="892"/>
      <c r="AC821" t="b">
        <f ca="1">OR(AD821:AE821)</f>
        <v>0</v>
      </c>
      <c r="AD821" t="b">
        <f ca="1">T821</f>
        <v>0</v>
      </c>
      <c r="AE821" t="b">
        <f>AND(R821,NOT(W821))</f>
        <v>0</v>
      </c>
      <c r="AF821" t="b">
        <f>AND(AE821,NOT(Q821))</f>
        <v>0</v>
      </c>
      <c r="AP821" t="str">
        <f>SUBSTITUTE(SUBSTITUTE(SUBSTITUTE("vch"&amp;$B821&amp;$C821&amp;$D821&amp;$E821&amp;$F821,".","_"),"(","_"),")","")</f>
        <v>vch701_4_3_1_1</v>
      </c>
      <c r="AQ821">
        <f>W821</f>
        <v>0</v>
      </c>
      <c r="AX821" s="6" t="str">
        <f>'Overview (Verification)'!A53</f>
        <v>Radiant/Hydronic:</v>
      </c>
      <c r="AY821">
        <f>IF(LEN('Overview (Verification)'!P53)=0,0,'Overview (Verification)'!P53)</f>
        <v>0</v>
      </c>
      <c r="BJ821" s="573" t="s">
        <v>4670</v>
      </c>
    </row>
    <row r="822" spans="1:62" x14ac:dyDescent="0.35">
      <c r="A822" s="403">
        <v>7</v>
      </c>
      <c r="B822" s="609" t="s">
        <v>972</v>
      </c>
      <c r="C822" s="609"/>
      <c r="D822" s="604"/>
      <c r="E822" s="604"/>
      <c r="F822" s="604"/>
      <c r="G822" s="403" t="s">
        <v>4326</v>
      </c>
      <c r="H822" s="403" t="s">
        <v>4324</v>
      </c>
      <c r="I822" s="4"/>
      <c r="J822" s="104"/>
      <c r="K822" s="104"/>
      <c r="L822" s="706"/>
      <c r="M822" s="740"/>
      <c r="N822" s="85"/>
      <c r="O822" s="85"/>
      <c r="X822" s="688"/>
      <c r="Y822" s="891"/>
      <c r="Z822" s="892"/>
      <c r="AX822" s="6" t="str">
        <f>'Overview (Verification)'!A54</f>
        <v>Tankless Water Heater:</v>
      </c>
      <c r="AY822">
        <f>IF(LEN('Overview (Verification)'!P54)=0,0,'Overview (Verification)'!P54)</f>
        <v>0</v>
      </c>
      <c r="BJ822" s="573" t="s">
        <v>4670</v>
      </c>
    </row>
    <row r="823" spans="1:62" x14ac:dyDescent="0.35">
      <c r="A823" s="403">
        <v>7</v>
      </c>
      <c r="B823" s="609" t="s">
        <v>972</v>
      </c>
      <c r="C823" s="609"/>
      <c r="D823" s="604" t="s">
        <v>272</v>
      </c>
      <c r="E823" s="604"/>
      <c r="F823" s="604"/>
      <c r="G823" s="403" t="s">
        <v>4326</v>
      </c>
      <c r="H823" s="403" t="s">
        <v>4324</v>
      </c>
      <c r="I823" s="4"/>
      <c r="J823" s="104"/>
      <c r="K823" s="104"/>
      <c r="L823" s="706"/>
      <c r="M823" s="740"/>
      <c r="N823" s="85"/>
      <c r="O823" s="85"/>
      <c r="P823" t="b">
        <v>1</v>
      </c>
      <c r="Q823" t="b">
        <v>1</v>
      </c>
      <c r="R823" t="b">
        <f ca="1">S823</f>
        <v>1</v>
      </c>
      <c r="S823" t="b">
        <f ca="1">AND(NOT(S777=4),NOT(W821))</f>
        <v>1</v>
      </c>
      <c r="T823" t="b">
        <f ca="1">AND(NOT(S823),W823=TRUE)</f>
        <v>0</v>
      </c>
      <c r="W823" s="17" t="b">
        <v>1</v>
      </c>
      <c r="X823" s="688"/>
      <c r="Y823" s="891"/>
      <c r="Z823" s="892"/>
      <c r="AC823" t="b">
        <f ca="1">OR(AD823:AE823)</f>
        <v>0</v>
      </c>
      <c r="AD823" t="b">
        <f ca="1">T823</f>
        <v>0</v>
      </c>
      <c r="AE823" t="b">
        <f ca="1">AND(R823,NOT(W823))</f>
        <v>0</v>
      </c>
      <c r="AF823" t="b">
        <f ca="1">AND(AE823,NOT(Q823))</f>
        <v>0</v>
      </c>
      <c r="AP823" t="str">
        <f>SUBSTITUTE(SUBSTITUTE(SUBSTITUTE("vch"&amp;$B823&amp;$C823&amp;$D823&amp;$E823&amp;$F823,".","_"),"(","_"),")","")</f>
        <v>vch701_4_3_1_2</v>
      </c>
      <c r="AQ823" t="b">
        <f>W823</f>
        <v>1</v>
      </c>
      <c r="AX823" s="6" t="str">
        <f>'Overview (Verification)'!A55</f>
        <v>Composting Toilet:</v>
      </c>
      <c r="AY823">
        <f>IF(LEN('Overview (Verification)'!P55)=0,0,'Overview (Verification)'!P55)</f>
        <v>0</v>
      </c>
      <c r="BJ823" s="573" t="s">
        <v>4670</v>
      </c>
    </row>
    <row r="824" spans="1:62" x14ac:dyDescent="0.35">
      <c r="A824" s="403">
        <v>7</v>
      </c>
      <c r="B824" s="609" t="s">
        <v>972</v>
      </c>
      <c r="C824" s="609"/>
      <c r="D824" s="604"/>
      <c r="E824" s="604" t="s">
        <v>121</v>
      </c>
      <c r="F824" s="604"/>
      <c r="G824" s="403" t="s">
        <v>4326</v>
      </c>
      <c r="H824" s="605" t="s">
        <v>4324</v>
      </c>
      <c r="I824" s="4"/>
      <c r="J824" s="104"/>
      <c r="K824" s="175" t="s">
        <v>121</v>
      </c>
      <c r="L824" s="104" t="s">
        <v>974</v>
      </c>
      <c r="M824" s="43"/>
      <c r="N824" s="85"/>
      <c r="O824" s="85"/>
      <c r="X824" s="39"/>
      <c r="Y824" s="200" t="str">
        <f>IF(LEN('Ch7'!X60)=0,"None",'Ch7'!X60)</f>
        <v>None</v>
      </c>
      <c r="Z824" s="563"/>
      <c r="AR824" t="str">
        <f t="shared" ref="AR824:AR835" si="239">SUBSTITUTE(SUBSTITUTE(SUBSTITUTE("vnt"&amp;$B824&amp;$C824&amp;$D824&amp;$E824&amp;$F824,".","_"),"(","_"),")","")</f>
        <v>vnt701_4_3_1_a</v>
      </c>
      <c r="AS824">
        <f t="shared" ref="AS824:AS835" si="240">X824</f>
        <v>0</v>
      </c>
      <c r="AX824" s="6"/>
      <c r="BJ824" s="573" t="s">
        <v>4670</v>
      </c>
    </row>
    <row r="825" spans="1:62" x14ac:dyDescent="0.35">
      <c r="A825" s="403">
        <v>7</v>
      </c>
      <c r="B825" s="609" t="s">
        <v>972</v>
      </c>
      <c r="C825" s="609"/>
      <c r="D825" s="604"/>
      <c r="E825" s="604" t="s">
        <v>122</v>
      </c>
      <c r="F825" s="604"/>
      <c r="G825" s="403" t="s">
        <v>4326</v>
      </c>
      <c r="H825" s="605" t="s">
        <v>4324</v>
      </c>
      <c r="I825" s="4"/>
      <c r="J825" s="104"/>
      <c r="K825" s="175" t="s">
        <v>122</v>
      </c>
      <c r="L825" s="104" t="s">
        <v>975</v>
      </c>
      <c r="M825" s="43"/>
      <c r="N825" s="85"/>
      <c r="O825" s="85"/>
      <c r="X825" s="39"/>
      <c r="Y825" s="200" t="str">
        <f>IF(LEN('Ch7'!X61)=0,"None",'Ch7'!X61)</f>
        <v>None</v>
      </c>
      <c r="Z825" s="563"/>
      <c r="AR825" t="str">
        <f t="shared" si="239"/>
        <v>vnt701_4_3_1_b</v>
      </c>
      <c r="AS825">
        <f t="shared" si="240"/>
        <v>0</v>
      </c>
      <c r="AX825" s="6" t="str">
        <f>'Overview (Verification)'!A57</f>
        <v>Local Energy Code:</v>
      </c>
      <c r="AY825">
        <f>IF(LEN('Overview (Verification)'!P57)=0,0,'Overview (Verification)'!P57)</f>
        <v>0</v>
      </c>
      <c r="BJ825" s="573" t="s">
        <v>4670</v>
      </c>
    </row>
    <row r="826" spans="1:62" ht="15" customHeight="1" x14ac:dyDescent="0.35">
      <c r="A826" s="403">
        <v>7</v>
      </c>
      <c r="B826" s="609" t="s">
        <v>972</v>
      </c>
      <c r="C826" s="609"/>
      <c r="D826" s="604"/>
      <c r="E826" s="606" t="s">
        <v>123</v>
      </c>
      <c r="F826" s="606"/>
      <c r="G826" s="403" t="s">
        <v>4326</v>
      </c>
      <c r="H826" s="607" t="s">
        <v>4324</v>
      </c>
      <c r="I826" s="4"/>
      <c r="J826" s="104"/>
      <c r="K826" s="176" t="s">
        <v>123</v>
      </c>
      <c r="L826" s="104" t="s">
        <v>976</v>
      </c>
      <c r="M826" s="43"/>
      <c r="N826" s="85"/>
      <c r="O826" s="85"/>
      <c r="X826" s="39"/>
      <c r="Y826" s="200" t="str">
        <f>IF(LEN('Ch7'!X62)=0,"None",'Ch7'!X62)</f>
        <v>None</v>
      </c>
      <c r="Z826" s="563"/>
      <c r="AR826" t="str">
        <f t="shared" si="239"/>
        <v>vnt701_4_3_1_c</v>
      </c>
      <c r="AS826">
        <f t="shared" si="240"/>
        <v>0</v>
      </c>
      <c r="AX826" s="6" t="str">
        <f>'Overview (Verification)'!A58</f>
        <v>Local Building Code:</v>
      </c>
      <c r="AY826">
        <f>IF(LEN('Overview (Verification)'!P58)=0,0,'Overview (Verification)'!P58)</f>
        <v>0</v>
      </c>
      <c r="BJ826" s="573" t="s">
        <v>4670</v>
      </c>
    </row>
    <row r="827" spans="1:62" x14ac:dyDescent="0.35">
      <c r="A827" s="403">
        <v>7</v>
      </c>
      <c r="B827" s="609" t="s">
        <v>972</v>
      </c>
      <c r="C827" s="609"/>
      <c r="D827" s="604"/>
      <c r="E827" s="604" t="s">
        <v>420</v>
      </c>
      <c r="F827" s="604"/>
      <c r="G827" s="403" t="s">
        <v>4326</v>
      </c>
      <c r="H827" s="403" t="s">
        <v>4324</v>
      </c>
      <c r="I827" s="4"/>
      <c r="J827" s="104"/>
      <c r="K827" s="110" t="s">
        <v>420</v>
      </c>
      <c r="L827" s="104" t="s">
        <v>977</v>
      </c>
      <c r="M827" s="43"/>
      <c r="N827" s="85"/>
      <c r="O827" s="85"/>
      <c r="X827" s="39"/>
      <c r="Y827" s="200" t="str">
        <f>IF(LEN('Ch7'!X63)=0,"None",'Ch7'!X63)</f>
        <v>None</v>
      </c>
      <c r="Z827" s="563"/>
      <c r="AR827" t="str">
        <f t="shared" si="239"/>
        <v>vnt701_4_3_1_d</v>
      </c>
      <c r="AS827">
        <f t="shared" si="240"/>
        <v>0</v>
      </c>
      <c r="BJ827" s="573" t="s">
        <v>4670</v>
      </c>
    </row>
    <row r="828" spans="1:62" x14ac:dyDescent="0.35">
      <c r="A828" s="403">
        <v>7</v>
      </c>
      <c r="B828" s="609" t="s">
        <v>972</v>
      </c>
      <c r="C828" s="609"/>
      <c r="D828" s="604"/>
      <c r="E828" s="604" t="s">
        <v>575</v>
      </c>
      <c r="F828" s="604"/>
      <c r="G828" s="403" t="s">
        <v>4326</v>
      </c>
      <c r="H828" s="403" t="s">
        <v>4324</v>
      </c>
      <c r="I828" s="4"/>
      <c r="J828" s="104"/>
      <c r="K828" s="110" t="s">
        <v>575</v>
      </c>
      <c r="L828" s="104" t="s">
        <v>978</v>
      </c>
      <c r="M828" s="43"/>
      <c r="N828" s="85"/>
      <c r="O828" s="85"/>
      <c r="X828" s="39"/>
      <c r="Y828" s="200" t="str">
        <f>IF(LEN('Ch7'!X64)=0,"None",'Ch7'!X64)</f>
        <v>None</v>
      </c>
      <c r="Z828" s="563"/>
      <c r="AR828" t="str">
        <f t="shared" si="239"/>
        <v>vnt701_4_3_1_e</v>
      </c>
      <c r="AS828">
        <f t="shared" si="240"/>
        <v>0</v>
      </c>
      <c r="BJ828" s="573" t="s">
        <v>4670</v>
      </c>
    </row>
    <row r="829" spans="1:62" x14ac:dyDescent="0.35">
      <c r="A829" s="403">
        <v>7</v>
      </c>
      <c r="B829" s="609" t="s">
        <v>972</v>
      </c>
      <c r="C829" s="609"/>
      <c r="D829" s="604"/>
      <c r="E829" s="606" t="s">
        <v>642</v>
      </c>
      <c r="F829" s="606"/>
      <c r="G829" s="403" t="s">
        <v>4326</v>
      </c>
      <c r="H829" s="607" t="s">
        <v>4324</v>
      </c>
      <c r="I829" s="4"/>
      <c r="J829" s="104"/>
      <c r="K829" s="176" t="s">
        <v>642</v>
      </c>
      <c r="L829" s="104" t="s">
        <v>979</v>
      </c>
      <c r="M829" s="43"/>
      <c r="N829" s="85"/>
      <c r="O829" s="85"/>
      <c r="X829" s="39"/>
      <c r="Y829" s="200" t="str">
        <f>IF(LEN('Ch7'!X65)=0,"None",'Ch7'!X65)</f>
        <v>None</v>
      </c>
      <c r="Z829" s="563"/>
      <c r="AR829" t="str">
        <f t="shared" si="239"/>
        <v>vnt701_4_3_1_f</v>
      </c>
      <c r="AS829">
        <f t="shared" si="240"/>
        <v>0</v>
      </c>
      <c r="BJ829" s="573" t="s">
        <v>4670</v>
      </c>
    </row>
    <row r="830" spans="1:62" x14ac:dyDescent="0.35">
      <c r="A830" s="403">
        <v>7</v>
      </c>
      <c r="B830" s="609" t="s">
        <v>972</v>
      </c>
      <c r="C830" s="609"/>
      <c r="D830" s="604"/>
      <c r="E830" s="604" t="s">
        <v>644</v>
      </c>
      <c r="F830" s="604"/>
      <c r="G830" s="403" t="s">
        <v>4326</v>
      </c>
      <c r="H830" s="403" t="s">
        <v>4324</v>
      </c>
      <c r="I830" s="4"/>
      <c r="J830" s="104"/>
      <c r="K830" s="110" t="s">
        <v>644</v>
      </c>
      <c r="L830" s="104" t="s">
        <v>980</v>
      </c>
      <c r="M830" s="43"/>
      <c r="N830" s="85"/>
      <c r="O830" s="85"/>
      <c r="X830" s="39"/>
      <c r="Y830" s="200" t="str">
        <f>IF(LEN('Ch7'!X66)=0,"None",'Ch7'!X66)</f>
        <v>None</v>
      </c>
      <c r="Z830" s="563"/>
      <c r="AR830" t="str">
        <f t="shared" si="239"/>
        <v>vnt701_4_3_1_g</v>
      </c>
      <c r="AS830">
        <f t="shared" si="240"/>
        <v>0</v>
      </c>
      <c r="BJ830" s="573" t="s">
        <v>4670</v>
      </c>
    </row>
    <row r="831" spans="1:62" x14ac:dyDescent="0.35">
      <c r="A831" s="403">
        <v>7</v>
      </c>
      <c r="B831" s="609" t="s">
        <v>972</v>
      </c>
      <c r="C831" s="609"/>
      <c r="D831" s="604"/>
      <c r="E831" s="604" t="s">
        <v>646</v>
      </c>
      <c r="F831" s="604"/>
      <c r="G831" s="403" t="s">
        <v>4326</v>
      </c>
      <c r="H831" s="403" t="s">
        <v>4324</v>
      </c>
      <c r="I831" s="4"/>
      <c r="J831" s="104"/>
      <c r="K831" s="110" t="s">
        <v>646</v>
      </c>
      <c r="L831" s="104" t="s">
        <v>981</v>
      </c>
      <c r="M831" s="43"/>
      <c r="N831" s="85"/>
      <c r="O831" s="85"/>
      <c r="X831" s="39"/>
      <c r="Y831" s="200" t="str">
        <f>IF(LEN('Ch7'!X67)=0,"None",'Ch7'!X67)</f>
        <v>None</v>
      </c>
      <c r="Z831" s="563"/>
      <c r="AR831" t="str">
        <f t="shared" si="239"/>
        <v>vnt701_4_3_1_h</v>
      </c>
      <c r="AS831">
        <f t="shared" si="240"/>
        <v>0</v>
      </c>
      <c r="BJ831" s="573" t="s">
        <v>4670</v>
      </c>
    </row>
    <row r="832" spans="1:62" x14ac:dyDescent="0.35">
      <c r="A832" s="403">
        <v>7</v>
      </c>
      <c r="B832" s="609" t="s">
        <v>972</v>
      </c>
      <c r="C832" s="609"/>
      <c r="D832" s="604"/>
      <c r="E832" s="604" t="s">
        <v>982</v>
      </c>
      <c r="F832" s="604"/>
      <c r="G832" s="403" t="s">
        <v>4326</v>
      </c>
      <c r="H832" s="403" t="s">
        <v>4324</v>
      </c>
      <c r="I832" s="4"/>
      <c r="J832" s="104"/>
      <c r="K832" s="110" t="s">
        <v>982</v>
      </c>
      <c r="L832" s="104" t="s">
        <v>983</v>
      </c>
      <c r="M832" s="43"/>
      <c r="N832" s="85"/>
      <c r="O832" s="85"/>
      <c r="X832" s="39"/>
      <c r="Y832" s="200" t="str">
        <f>IF(LEN('Ch7'!X68)=0,"None",'Ch7'!X68)</f>
        <v>None</v>
      </c>
      <c r="Z832" s="563"/>
      <c r="AR832" t="str">
        <f t="shared" si="239"/>
        <v>vnt701_4_3_1_i</v>
      </c>
      <c r="AS832">
        <f t="shared" si="240"/>
        <v>0</v>
      </c>
      <c r="BJ832" s="573" t="s">
        <v>4670</v>
      </c>
    </row>
    <row r="833" spans="1:62" x14ac:dyDescent="0.35">
      <c r="A833" s="403">
        <v>7</v>
      </c>
      <c r="B833" s="609" t="s">
        <v>972</v>
      </c>
      <c r="C833" s="609"/>
      <c r="D833" s="604"/>
      <c r="E833" s="604" t="s">
        <v>984</v>
      </c>
      <c r="F833" s="604"/>
      <c r="G833" s="403" t="s">
        <v>4326</v>
      </c>
      <c r="H833" s="403" t="s">
        <v>4324</v>
      </c>
      <c r="I833" s="4"/>
      <c r="J833" s="104"/>
      <c r="K833" s="110" t="s">
        <v>984</v>
      </c>
      <c r="L833" s="104" t="s">
        <v>985</v>
      </c>
      <c r="M833" s="43"/>
      <c r="N833" s="85"/>
      <c r="O833" s="85"/>
      <c r="X833" s="39"/>
      <c r="Y833" s="200" t="str">
        <f>IF(LEN('Ch7'!X69)=0,"None",'Ch7'!X69)</f>
        <v>None</v>
      </c>
      <c r="Z833" s="563"/>
      <c r="AR833" t="str">
        <f t="shared" si="239"/>
        <v>vnt701_4_3_1_j</v>
      </c>
      <c r="AS833">
        <f t="shared" si="240"/>
        <v>0</v>
      </c>
      <c r="BJ833" s="573" t="s">
        <v>4670</v>
      </c>
    </row>
    <row r="834" spans="1:62" x14ac:dyDescent="0.35">
      <c r="A834" s="403">
        <v>7</v>
      </c>
      <c r="B834" s="609" t="s">
        <v>972</v>
      </c>
      <c r="C834" s="609"/>
      <c r="D834" s="604"/>
      <c r="E834" s="604" t="s">
        <v>986</v>
      </c>
      <c r="F834" s="604"/>
      <c r="G834" s="403" t="s">
        <v>4326</v>
      </c>
      <c r="H834" s="403" t="s">
        <v>4324</v>
      </c>
      <c r="I834" s="4"/>
      <c r="J834" s="104"/>
      <c r="K834" s="110" t="s">
        <v>986</v>
      </c>
      <c r="L834" s="104" t="s">
        <v>987</v>
      </c>
      <c r="M834" s="43"/>
      <c r="N834" s="85"/>
      <c r="O834" s="85"/>
      <c r="X834" s="39"/>
      <c r="Y834" s="200" t="str">
        <f>IF(LEN('Ch7'!X70)=0,"None",'Ch7'!X70)</f>
        <v>None</v>
      </c>
      <c r="Z834" s="563"/>
      <c r="AR834" t="str">
        <f t="shared" si="239"/>
        <v>vnt701_4_3_1_k</v>
      </c>
      <c r="AS834">
        <f t="shared" si="240"/>
        <v>0</v>
      </c>
      <c r="BJ834" s="573" t="s">
        <v>4670</v>
      </c>
    </row>
    <row r="835" spans="1:62" x14ac:dyDescent="0.35">
      <c r="A835" s="403">
        <v>7</v>
      </c>
      <c r="B835" s="609" t="s">
        <v>972</v>
      </c>
      <c r="C835" s="609"/>
      <c r="D835" s="604"/>
      <c r="E835" s="604" t="s">
        <v>988</v>
      </c>
      <c r="F835" s="604"/>
      <c r="G835" s="403" t="s">
        <v>4326</v>
      </c>
      <c r="H835" s="403" t="s">
        <v>4324</v>
      </c>
      <c r="I835" s="155"/>
      <c r="J835" s="214"/>
      <c r="K835" s="361" t="s">
        <v>988</v>
      </c>
      <c r="L835" s="214" t="s">
        <v>989</v>
      </c>
      <c r="M835" s="198"/>
      <c r="N835" s="342"/>
      <c r="O835" s="342"/>
      <c r="P835" s="119"/>
      <c r="Q835" s="119"/>
      <c r="R835" s="119"/>
      <c r="S835" s="119"/>
      <c r="T835" s="119"/>
      <c r="U835" s="119"/>
      <c r="V835" s="119"/>
      <c r="W835" s="119"/>
      <c r="X835" s="39"/>
      <c r="Y835" s="200" t="str">
        <f>IF(LEN('Ch7'!X71)=0,"None",'Ch7'!X71)</f>
        <v>None</v>
      </c>
      <c r="Z835" s="563"/>
      <c r="AR835" t="str">
        <f t="shared" si="239"/>
        <v>vnt701_4_3_1_l</v>
      </c>
      <c r="AS835">
        <f t="shared" si="240"/>
        <v>0</v>
      </c>
      <c r="BJ835" s="573" t="s">
        <v>4670</v>
      </c>
    </row>
    <row r="836" spans="1:62" x14ac:dyDescent="0.35">
      <c r="A836" s="403">
        <v>7</v>
      </c>
      <c r="B836" s="609" t="s">
        <v>990</v>
      </c>
      <c r="C836" s="609"/>
      <c r="D836" s="604"/>
      <c r="E836" s="604"/>
      <c r="F836" s="604"/>
      <c r="G836" s="403" t="s">
        <v>4326</v>
      </c>
      <c r="H836" s="403" t="s">
        <v>4323</v>
      </c>
      <c r="I836" s="34" t="s">
        <v>990</v>
      </c>
      <c r="J836" s="104"/>
      <c r="K836" s="104"/>
      <c r="L836" s="706" t="s">
        <v>991</v>
      </c>
      <c r="M836" s="740" t="str">
        <f ca="1">IF(R839,"Mandatory","N/A")</f>
        <v>Mandatory</v>
      </c>
      <c r="N836" s="85"/>
      <c r="O836" s="85"/>
      <c r="Z836" s="543"/>
      <c r="AL836" t="str">
        <f t="shared" ref="AL836" si="241">SUBSTITUTE(SUBSTITUTE(SUBSTITUTE("vpa"&amp;$B836&amp;$C836&amp;$D836&amp;$E836&amp;$F836,".","_"),"(","_"),")","")</f>
        <v>vpa701_4_3_2</v>
      </c>
      <c r="AM836" t="str">
        <f ca="1">M836</f>
        <v>Mandatory</v>
      </c>
      <c r="BJ836" s="573" t="s">
        <v>4670</v>
      </c>
    </row>
    <row r="837" spans="1:62" x14ac:dyDescent="0.35">
      <c r="A837" s="403">
        <v>7</v>
      </c>
      <c r="B837" s="609" t="s">
        <v>990</v>
      </c>
      <c r="C837" s="609"/>
      <c r="D837" s="604"/>
      <c r="E837" s="604"/>
      <c r="F837" s="604"/>
      <c r="G837" s="403" t="s">
        <v>4326</v>
      </c>
      <c r="H837" s="403" t="s">
        <v>4323</v>
      </c>
      <c r="I837" s="4"/>
      <c r="J837" s="104"/>
      <c r="K837" s="104"/>
      <c r="L837" s="706"/>
      <c r="M837" s="740"/>
      <c r="N837" s="85"/>
      <c r="O837" s="85"/>
      <c r="Z837" s="543"/>
      <c r="BJ837" s="573" t="s">
        <v>4670</v>
      </c>
    </row>
    <row r="838" spans="1:62" x14ac:dyDescent="0.35">
      <c r="A838" s="403">
        <v>7</v>
      </c>
      <c r="B838" s="609" t="s">
        <v>990</v>
      </c>
      <c r="C838" s="609"/>
      <c r="D838" s="604"/>
      <c r="E838" s="604"/>
      <c r="F838" s="604"/>
      <c r="G838" s="403" t="s">
        <v>4326</v>
      </c>
      <c r="H838" s="403" t="s">
        <v>4323</v>
      </c>
      <c r="I838" s="4"/>
      <c r="J838" s="104"/>
      <c r="K838" s="104"/>
      <c r="L838" s="706"/>
      <c r="M838" s="740"/>
      <c r="N838" s="85"/>
      <c r="O838" s="85"/>
      <c r="W838" t="s">
        <v>4024</v>
      </c>
      <c r="Z838" s="543"/>
      <c r="BJ838" s="573" t="s">
        <v>4670</v>
      </c>
    </row>
    <row r="839" spans="1:62" x14ac:dyDescent="0.35">
      <c r="A839" s="403">
        <v>7</v>
      </c>
      <c r="B839" s="609" t="s">
        <v>990</v>
      </c>
      <c r="C839" s="609"/>
      <c r="D839" s="604" t="s">
        <v>4582</v>
      </c>
      <c r="E839" s="604"/>
      <c r="F839" s="604"/>
      <c r="G839" s="403" t="s">
        <v>4326</v>
      </c>
      <c r="H839" s="403" t="s">
        <v>4323</v>
      </c>
      <c r="I839" s="4"/>
      <c r="J839" s="175" t="s">
        <v>270</v>
      </c>
      <c r="K839" s="104"/>
      <c r="L839" s="706" t="s">
        <v>992</v>
      </c>
      <c r="M839" s="789" t="s">
        <v>4688</v>
      </c>
      <c r="N839" s="85"/>
      <c r="O839" s="85"/>
      <c r="P839" t="b">
        <v>1</v>
      </c>
      <c r="Q839" t="b">
        <v>1</v>
      </c>
      <c r="R839" t="b">
        <f ca="1">AND(S839,NOT(OR(AND(BF781=2,BG781="Dry"),BI781="Tropical")))</f>
        <v>1</v>
      </c>
      <c r="S839" t="b">
        <f ca="1">AND(NOT(S777=4),NOT(W821),LEN(W842)&lt;=0)</f>
        <v>1</v>
      </c>
      <c r="T839" t="b">
        <f ca="1">IF(AND(NOT(S839),LEN(W839)&gt;0),TRUE,FALSE)</f>
        <v>0</v>
      </c>
      <c r="W839" s="284">
        <v>3</v>
      </c>
      <c r="X839" s="698"/>
      <c r="Y839" s="906" t="str">
        <f>IF(LEN('Ch7'!X75)=0,"None",'Ch7'!X75)</f>
        <v>None</v>
      </c>
      <c r="Z839" s="897"/>
      <c r="AC839" t="b">
        <f ca="1">OR(AD839:AE839)</f>
        <v>0</v>
      </c>
      <c r="AD839" t="b">
        <f ca="1">T839</f>
        <v>0</v>
      </c>
      <c r="AE839" t="b">
        <f ca="1">AND(R839,LEN(W839)=0)</f>
        <v>0</v>
      </c>
      <c r="AF839" t="b">
        <f ca="1">AND(AE839,NOT(Q839))</f>
        <v>0</v>
      </c>
      <c r="AP839" t="str">
        <f>SUBSTITUTE(SUBSTITUTE(SUBSTITUTE("vch"&amp;$B839&amp;$C839&amp;$D839&amp;$E839&amp;$F839,".","_"),"(","_"),")","")</f>
        <v>vch701_4_3_2_1_</v>
      </c>
      <c r="AQ839" s="314">
        <f>W839</f>
        <v>3</v>
      </c>
      <c r="AR839" t="str">
        <f>SUBSTITUTE(SUBSTITUTE(SUBSTITUTE("vnt"&amp;$B839&amp;$C839&amp;$D839&amp;$E839&amp;$F839,".","_"),"(","_"),")","")</f>
        <v>vnt701_4_3_2_1_</v>
      </c>
      <c r="AS839">
        <f>X839</f>
        <v>0</v>
      </c>
      <c r="BJ839" s="573" t="s">
        <v>4670</v>
      </c>
    </row>
    <row r="840" spans="1:62" x14ac:dyDescent="0.35">
      <c r="A840" s="403">
        <v>7</v>
      </c>
      <c r="B840" s="609" t="s">
        <v>990</v>
      </c>
      <c r="C840" s="609"/>
      <c r="D840" s="604" t="s">
        <v>270</v>
      </c>
      <c r="E840" s="604"/>
      <c r="F840" s="604"/>
      <c r="G840" s="403" t="s">
        <v>4326</v>
      </c>
      <c r="H840" s="403" t="s">
        <v>4323</v>
      </c>
      <c r="I840" s="4"/>
      <c r="J840" s="104"/>
      <c r="K840" s="104"/>
      <c r="L840" s="706"/>
      <c r="M840" s="789"/>
      <c r="N840" s="85"/>
      <c r="O840" s="85"/>
      <c r="X840" s="699"/>
      <c r="Y840" s="908"/>
      <c r="Z840" s="899"/>
      <c r="BJ840" s="573" t="s">
        <v>4670</v>
      </c>
    </row>
    <row r="841" spans="1:62" x14ac:dyDescent="0.35">
      <c r="A841" s="403">
        <v>7</v>
      </c>
      <c r="B841" s="609" t="s">
        <v>990</v>
      </c>
      <c r="C841" s="609"/>
      <c r="D841" s="604" t="s">
        <v>270</v>
      </c>
      <c r="E841" s="604"/>
      <c r="F841" s="604"/>
      <c r="G841" s="403" t="s">
        <v>4326</v>
      </c>
      <c r="H841" s="403" t="s">
        <v>4323</v>
      </c>
      <c r="I841" s="4"/>
      <c r="J841" s="104"/>
      <c r="K841" s="104"/>
      <c r="L841" s="706"/>
      <c r="M841" s="789"/>
      <c r="N841" s="85"/>
      <c r="O841" s="85"/>
      <c r="W841" t="s">
        <v>4805</v>
      </c>
      <c r="X841" s="700"/>
      <c r="Y841" s="904"/>
      <c r="Z841" s="896"/>
      <c r="BJ841" s="573" t="s">
        <v>4670</v>
      </c>
    </row>
    <row r="842" spans="1:62" x14ac:dyDescent="0.35">
      <c r="A842" s="403">
        <v>7</v>
      </c>
      <c r="B842" s="609" t="s">
        <v>990</v>
      </c>
      <c r="C842" s="609"/>
      <c r="D842" s="604" t="s">
        <v>3174</v>
      </c>
      <c r="E842" s="604"/>
      <c r="F842" s="604"/>
      <c r="G842" s="403" t="s">
        <v>4326</v>
      </c>
      <c r="H842" s="403" t="s">
        <v>4323</v>
      </c>
      <c r="I842" s="4"/>
      <c r="J842" s="104"/>
      <c r="K842" s="104"/>
      <c r="L842" s="706"/>
      <c r="M842" s="789"/>
      <c r="N842" s="85"/>
      <c r="O842" s="85"/>
      <c r="P842" t="b">
        <v>1</v>
      </c>
      <c r="Q842" t="b">
        <v>1</v>
      </c>
      <c r="R842" t="b">
        <f ca="1">AND(S842,NOT(OR(AND(BF781=2,BG781="Dry"),BI781="Tropical")))</f>
        <v>0</v>
      </c>
      <c r="S842" t="b">
        <f ca="1">AND(NOT(S777=4),NOT(W821), LEN(W839)&lt;=0)</f>
        <v>0</v>
      </c>
      <c r="T842" t="b">
        <f ca="1">IF(AND(NOT(S842),LEN(W842)&gt;0),TRUE,FALSE)</f>
        <v>0</v>
      </c>
      <c r="W842" s="284"/>
      <c r="X842" s="698"/>
      <c r="Y842" s="906" t="str">
        <f>IF(LEN('Ch7'!X78)=0,"None",'Ch7'!X78)</f>
        <v>None</v>
      </c>
      <c r="Z842" s="897"/>
      <c r="AC842" t="b">
        <f ca="1">OR(AD842:AE842)</f>
        <v>0</v>
      </c>
      <c r="AD842" t="b">
        <f ca="1">T842</f>
        <v>0</v>
      </c>
      <c r="AE842" t="b">
        <f ca="1">AND(R842,LEN(W842)=0)</f>
        <v>0</v>
      </c>
      <c r="AF842" t="b">
        <f ca="1">AND(AE842,NOT(Q842))</f>
        <v>0</v>
      </c>
      <c r="AP842" t="str">
        <f>SUBSTITUTE(SUBSTITUTE(SUBSTITUTE("vch"&amp;$B842&amp;$C842&amp;$D842&amp;$E842&amp;$F842,".","_"),"(","_"),")","")</f>
        <v>vch701_4_3_2e</v>
      </c>
      <c r="AQ842" s="314">
        <f>W842</f>
        <v>0</v>
      </c>
      <c r="AR842" t="str">
        <f>SUBSTITUTE(SUBSTITUTE(SUBSTITUTE("vnt"&amp;$B842&amp;$C842&amp;$D842&amp;$E842&amp;$F842,".","_"),"(","_"),")","")</f>
        <v>vnt701_4_3_2e</v>
      </c>
      <c r="AS842">
        <f>X842</f>
        <v>0</v>
      </c>
      <c r="BJ842" s="573" t="s">
        <v>4670</v>
      </c>
    </row>
    <row r="843" spans="1:62" x14ac:dyDescent="0.35">
      <c r="A843" s="403">
        <v>7</v>
      </c>
      <c r="B843" s="609" t="s">
        <v>990</v>
      </c>
      <c r="C843" s="609"/>
      <c r="D843" s="604" t="s">
        <v>270</v>
      </c>
      <c r="E843" s="604"/>
      <c r="F843" s="604"/>
      <c r="G843" s="403" t="s">
        <v>4326</v>
      </c>
      <c r="H843" s="403" t="s">
        <v>4323</v>
      </c>
      <c r="I843" s="4"/>
      <c r="J843" s="104"/>
      <c r="K843" s="104"/>
      <c r="L843" s="706"/>
      <c r="M843" s="789"/>
      <c r="N843" s="85"/>
      <c r="O843" s="85"/>
      <c r="X843" s="700"/>
      <c r="Y843" s="904"/>
      <c r="Z843" s="896"/>
      <c r="BJ843" s="573" t="s">
        <v>4670</v>
      </c>
    </row>
    <row r="844" spans="1:62" x14ac:dyDescent="0.35">
      <c r="A844" s="403">
        <v>7</v>
      </c>
      <c r="B844" s="609" t="s">
        <v>990</v>
      </c>
      <c r="C844" s="609"/>
      <c r="D844" s="604" t="s">
        <v>270</v>
      </c>
      <c r="E844" s="604" t="s">
        <v>121</v>
      </c>
      <c r="F844" s="604"/>
      <c r="G844" s="403" t="s">
        <v>4326</v>
      </c>
      <c r="H844" s="403" t="s">
        <v>4323</v>
      </c>
      <c r="I844" s="4"/>
      <c r="J844" s="104"/>
      <c r="K844" s="175" t="s">
        <v>121</v>
      </c>
      <c r="L844" s="104" t="s">
        <v>993</v>
      </c>
      <c r="M844" s="789"/>
      <c r="N844" s="85"/>
      <c r="O844" s="85"/>
      <c r="X844" s="39"/>
      <c r="Y844" s="200" t="str">
        <f>IF(LEN('Ch7'!X80)=0,"None",'Ch7'!X80)</f>
        <v>None</v>
      </c>
      <c r="Z844" s="563"/>
      <c r="AR844" t="str">
        <f t="shared" ref="AR844:AR845" si="242">SUBSTITUTE(SUBSTITUTE(SUBSTITUTE("vnt"&amp;$B844&amp;$C844&amp;$D844&amp;$E844&amp;$F844,".","_"),"(","_"),")","")</f>
        <v>vnt701_4_3_2_1_a</v>
      </c>
      <c r="AS844">
        <f>X844</f>
        <v>0</v>
      </c>
      <c r="BJ844" s="573" t="s">
        <v>4670</v>
      </c>
    </row>
    <row r="845" spans="1:62" x14ac:dyDescent="0.35">
      <c r="A845" s="403">
        <v>7</v>
      </c>
      <c r="B845" s="609" t="s">
        <v>990</v>
      </c>
      <c r="C845" s="609"/>
      <c r="D845" s="604" t="s">
        <v>270</v>
      </c>
      <c r="E845" s="604" t="s">
        <v>122</v>
      </c>
      <c r="F845" s="604"/>
      <c r="G845" s="403" t="s">
        <v>4326</v>
      </c>
      <c r="H845" s="403" t="s">
        <v>4323</v>
      </c>
      <c r="I845" s="4"/>
      <c r="J845" s="104"/>
      <c r="K845" s="175" t="s">
        <v>122</v>
      </c>
      <c r="L845" s="707" t="s">
        <v>994</v>
      </c>
      <c r="M845" s="789"/>
      <c r="N845" s="85"/>
      <c r="O845" s="85"/>
      <c r="X845" s="688"/>
      <c r="Y845" s="891" t="str">
        <f>IF(LEN('Ch7'!X81)=0,"None",'Ch7'!X81)</f>
        <v>None</v>
      </c>
      <c r="Z845" s="892"/>
      <c r="AR845" t="str">
        <f t="shared" si="242"/>
        <v>vnt701_4_3_2_1_b</v>
      </c>
      <c r="AS845">
        <f>X845</f>
        <v>0</v>
      </c>
      <c r="BJ845" s="573" t="s">
        <v>4670</v>
      </c>
    </row>
    <row r="846" spans="1:62" x14ac:dyDescent="0.35">
      <c r="A846" s="403">
        <v>7</v>
      </c>
      <c r="B846" s="609" t="s">
        <v>990</v>
      </c>
      <c r="C846" s="609"/>
      <c r="D846" s="604" t="s">
        <v>270</v>
      </c>
      <c r="E846" s="604" t="s">
        <v>122</v>
      </c>
      <c r="F846" s="604"/>
      <c r="G846" s="403" t="s">
        <v>4326</v>
      </c>
      <c r="H846" s="403" t="s">
        <v>4323</v>
      </c>
      <c r="I846" s="4"/>
      <c r="J846" s="104"/>
      <c r="K846" s="175"/>
      <c r="L846" s="707"/>
      <c r="M846" s="789"/>
      <c r="N846" s="85"/>
      <c r="O846" s="85"/>
      <c r="X846" s="688"/>
      <c r="Y846" s="891"/>
      <c r="Z846" s="892"/>
      <c r="BJ846" s="573" t="s">
        <v>4670</v>
      </c>
    </row>
    <row r="847" spans="1:62" x14ac:dyDescent="0.35">
      <c r="A847" s="403">
        <v>7</v>
      </c>
      <c r="B847" s="609" t="s">
        <v>990</v>
      </c>
      <c r="C847" s="609"/>
      <c r="D847" s="604" t="s">
        <v>270</v>
      </c>
      <c r="E847" s="606" t="s">
        <v>123</v>
      </c>
      <c r="F847" s="606"/>
      <c r="G847" s="403" t="s">
        <v>4326</v>
      </c>
      <c r="H847" s="403" t="s">
        <v>4323</v>
      </c>
      <c r="I847" s="4"/>
      <c r="J847" s="104"/>
      <c r="K847" s="176" t="s">
        <v>123</v>
      </c>
      <c r="L847" s="104" t="s">
        <v>995</v>
      </c>
      <c r="M847" s="789"/>
      <c r="N847" s="85"/>
      <c r="O847" s="85"/>
      <c r="X847" s="39"/>
      <c r="Y847" s="200" t="str">
        <f>IF(LEN('Ch7'!X83)=0,"None",'Ch7'!X83)</f>
        <v>None</v>
      </c>
      <c r="Z847" s="563"/>
      <c r="AR847" t="str">
        <f t="shared" ref="AR847:AR848" si="243">SUBSTITUTE(SUBSTITUTE(SUBSTITUTE("vnt"&amp;$B847&amp;$C847&amp;$D847&amp;$E847&amp;$F847,".","_"),"(","_"),")","")</f>
        <v>vnt701_4_3_2_1_c</v>
      </c>
      <c r="AS847">
        <f>X847</f>
        <v>0</v>
      </c>
      <c r="BJ847" s="573" t="s">
        <v>4670</v>
      </c>
    </row>
    <row r="848" spans="1:62" x14ac:dyDescent="0.35">
      <c r="A848" s="403">
        <v>7</v>
      </c>
      <c r="B848" s="609" t="s">
        <v>990</v>
      </c>
      <c r="C848" s="609"/>
      <c r="D848" s="604" t="s">
        <v>270</v>
      </c>
      <c r="E848" s="604" t="s">
        <v>420</v>
      </c>
      <c r="F848" s="604"/>
      <c r="G848" s="403" t="s">
        <v>4326</v>
      </c>
      <c r="H848" s="403" t="s">
        <v>4323</v>
      </c>
      <c r="I848" s="4"/>
      <c r="J848" s="104"/>
      <c r="K848" s="110" t="s">
        <v>420</v>
      </c>
      <c r="L848" s="707" t="s">
        <v>996</v>
      </c>
      <c r="M848" s="789"/>
      <c r="N848" s="85"/>
      <c r="O848" s="85"/>
      <c r="X848" s="688"/>
      <c r="Y848" s="891" t="str">
        <f>IF(LEN('Ch7'!X84)=0,"None",'Ch7'!X84)</f>
        <v>None</v>
      </c>
      <c r="Z848" s="892"/>
      <c r="AR848" t="str">
        <f t="shared" si="243"/>
        <v>vnt701_4_3_2_1_d</v>
      </c>
      <c r="AS848">
        <f>X848</f>
        <v>0</v>
      </c>
      <c r="BJ848" s="573" t="s">
        <v>4670</v>
      </c>
    </row>
    <row r="849" spans="1:62" x14ac:dyDescent="0.35">
      <c r="A849" s="403">
        <v>7</v>
      </c>
      <c r="B849" s="609" t="s">
        <v>990</v>
      </c>
      <c r="C849" s="609"/>
      <c r="D849" s="604" t="s">
        <v>270</v>
      </c>
      <c r="E849" s="604" t="s">
        <v>420</v>
      </c>
      <c r="F849" s="604"/>
      <c r="G849" s="403" t="s">
        <v>4326</v>
      </c>
      <c r="H849" s="403" t="s">
        <v>4323</v>
      </c>
      <c r="I849" s="4"/>
      <c r="J849" s="104"/>
      <c r="K849" s="110"/>
      <c r="L849" s="707"/>
      <c r="M849" s="789"/>
      <c r="N849" s="85"/>
      <c r="O849" s="85"/>
      <c r="X849" s="688"/>
      <c r="Y849" s="891"/>
      <c r="Z849" s="892"/>
      <c r="BJ849" s="573" t="s">
        <v>4670</v>
      </c>
    </row>
    <row r="850" spans="1:62" x14ac:dyDescent="0.35">
      <c r="A850" s="403">
        <v>7</v>
      </c>
      <c r="B850" s="609" t="s">
        <v>990</v>
      </c>
      <c r="C850" s="609"/>
      <c r="D850" s="604" t="s">
        <v>270</v>
      </c>
      <c r="E850" s="604" t="s">
        <v>575</v>
      </c>
      <c r="F850" s="604"/>
      <c r="G850" s="403" t="s">
        <v>4326</v>
      </c>
      <c r="H850" s="403" t="s">
        <v>4323</v>
      </c>
      <c r="I850" s="4"/>
      <c r="J850" s="104"/>
      <c r="K850" s="110" t="s">
        <v>575</v>
      </c>
      <c r="L850" s="104" t="s">
        <v>997</v>
      </c>
      <c r="M850" s="789"/>
      <c r="N850" s="85"/>
      <c r="O850" s="85"/>
      <c r="X850" s="39"/>
      <c r="Y850" s="200" t="str">
        <f>IF(LEN('Ch7'!X86)=0,"None",'Ch7'!X86)</f>
        <v>None</v>
      </c>
      <c r="Z850" s="563"/>
      <c r="AR850" t="str">
        <f t="shared" ref="AR850:AR853" si="244">SUBSTITUTE(SUBSTITUTE(SUBSTITUTE("vnt"&amp;$B850&amp;$C850&amp;$D850&amp;$E850&amp;$F850,".","_"),"(","_"),")","")</f>
        <v>vnt701_4_3_2_1_e</v>
      </c>
      <c r="AS850">
        <f>X850</f>
        <v>0</v>
      </c>
      <c r="BJ850" s="573" t="s">
        <v>4670</v>
      </c>
    </row>
    <row r="851" spans="1:62" x14ac:dyDescent="0.35">
      <c r="A851" s="403">
        <v>7</v>
      </c>
      <c r="B851" s="609" t="s">
        <v>990</v>
      </c>
      <c r="C851" s="609"/>
      <c r="D851" s="604" t="s">
        <v>270</v>
      </c>
      <c r="E851" s="606" t="s">
        <v>642</v>
      </c>
      <c r="F851" s="606"/>
      <c r="G851" s="403" t="s">
        <v>4326</v>
      </c>
      <c r="H851" s="403" t="s">
        <v>4323</v>
      </c>
      <c r="I851" s="4"/>
      <c r="J851" s="104"/>
      <c r="K851" s="176" t="s">
        <v>642</v>
      </c>
      <c r="L851" s="104" t="s">
        <v>998</v>
      </c>
      <c r="M851" s="789"/>
      <c r="N851" s="85"/>
      <c r="O851" s="85"/>
      <c r="X851" s="39"/>
      <c r="Y851" s="200" t="str">
        <f>IF(LEN('Ch7'!X87)=0,"None",'Ch7'!X87)</f>
        <v>None</v>
      </c>
      <c r="Z851" s="563"/>
      <c r="AR851" t="str">
        <f t="shared" si="244"/>
        <v>vnt701_4_3_2_1_f</v>
      </c>
      <c r="AS851">
        <f>X851</f>
        <v>0</v>
      </c>
      <c r="BJ851" s="573" t="s">
        <v>4670</v>
      </c>
    </row>
    <row r="852" spans="1:62" x14ac:dyDescent="0.35">
      <c r="A852" s="403">
        <v>7</v>
      </c>
      <c r="B852" s="609" t="s">
        <v>990</v>
      </c>
      <c r="C852" s="609"/>
      <c r="D852" s="604" t="s">
        <v>270</v>
      </c>
      <c r="E852" s="604" t="s">
        <v>644</v>
      </c>
      <c r="F852" s="604"/>
      <c r="G852" s="403" t="s">
        <v>4326</v>
      </c>
      <c r="H852" s="403" t="s">
        <v>4323</v>
      </c>
      <c r="I852" s="4"/>
      <c r="J852" s="104"/>
      <c r="K852" s="110" t="s">
        <v>644</v>
      </c>
      <c r="L852" s="104" t="s">
        <v>999</v>
      </c>
      <c r="M852" s="789"/>
      <c r="N852" s="85"/>
      <c r="O852" s="85"/>
      <c r="X852" s="39"/>
      <c r="Y852" s="200" t="str">
        <f>IF(LEN('Ch7'!X88)=0,"None",'Ch7'!X88)</f>
        <v>None</v>
      </c>
      <c r="Z852" s="563"/>
      <c r="AR852" t="str">
        <f t="shared" si="244"/>
        <v>vnt701_4_3_2_1_g</v>
      </c>
      <c r="AS852">
        <f>X852</f>
        <v>0</v>
      </c>
      <c r="BJ852" s="573" t="s">
        <v>4670</v>
      </c>
    </row>
    <row r="853" spans="1:62" x14ac:dyDescent="0.35">
      <c r="A853" s="403">
        <v>7</v>
      </c>
      <c r="B853" s="609" t="s">
        <v>990</v>
      </c>
      <c r="C853" s="609"/>
      <c r="D853" s="604" t="s">
        <v>270</v>
      </c>
      <c r="E853" s="604" t="s">
        <v>646</v>
      </c>
      <c r="F853" s="604"/>
      <c r="G853" s="403" t="s">
        <v>4326</v>
      </c>
      <c r="H853" s="403" t="s">
        <v>4323</v>
      </c>
      <c r="I853" s="4"/>
      <c r="J853" s="104"/>
      <c r="K853" s="376"/>
      <c r="L853" s="714" t="s">
        <v>4069</v>
      </c>
      <c r="M853" s="789"/>
      <c r="N853" s="85"/>
      <c r="O853" s="85"/>
      <c r="X853" s="688"/>
      <c r="Y853" s="891" t="str">
        <f>IF(LEN('Ch7'!X89)=0,"None",'Ch7'!X89)</f>
        <v>None</v>
      </c>
      <c r="Z853" s="892"/>
      <c r="AR853" t="str">
        <f t="shared" si="244"/>
        <v>vnt701_4_3_2_1_h</v>
      </c>
      <c r="AS853">
        <f>X853</f>
        <v>0</v>
      </c>
      <c r="BJ853" s="573" t="s">
        <v>4670</v>
      </c>
    </row>
    <row r="854" spans="1:62" x14ac:dyDescent="0.35">
      <c r="A854" s="403">
        <v>7</v>
      </c>
      <c r="B854" s="609" t="s">
        <v>990</v>
      </c>
      <c r="C854" s="609"/>
      <c r="D854" s="604" t="s">
        <v>270</v>
      </c>
      <c r="E854" s="604"/>
      <c r="F854" s="604"/>
      <c r="G854" s="403" t="s">
        <v>4326</v>
      </c>
      <c r="H854" s="403" t="s">
        <v>4323</v>
      </c>
      <c r="I854" s="4"/>
      <c r="J854" s="214"/>
      <c r="K854" s="377"/>
      <c r="L854" s="755"/>
      <c r="M854" s="789"/>
      <c r="N854" s="85"/>
      <c r="O854" s="85"/>
      <c r="X854" s="688"/>
      <c r="Y854" s="891"/>
      <c r="Z854" s="892"/>
      <c r="BJ854" s="573" t="s">
        <v>4670</v>
      </c>
    </row>
    <row r="855" spans="1:62" x14ac:dyDescent="0.35">
      <c r="A855" s="403">
        <v>7</v>
      </c>
      <c r="B855" s="609" t="s">
        <v>990</v>
      </c>
      <c r="C855" s="609"/>
      <c r="D855" s="604" t="s">
        <v>272</v>
      </c>
      <c r="E855" s="604"/>
      <c r="F855" s="604"/>
      <c r="G855" s="403" t="s">
        <v>4326</v>
      </c>
      <c r="H855" s="403" t="s">
        <v>4324</v>
      </c>
      <c r="I855" s="4"/>
      <c r="J855" s="175" t="s">
        <v>272</v>
      </c>
      <c r="K855" s="104"/>
      <c r="L855" s="706" t="s">
        <v>1000</v>
      </c>
      <c r="M855" s="43"/>
      <c r="N855" s="85"/>
      <c r="O855" s="85"/>
      <c r="P855" t="b">
        <v>1</v>
      </c>
      <c r="Q855" t="b">
        <v>1</v>
      </c>
      <c r="R855" t="b">
        <f ca="1">S855</f>
        <v>1</v>
      </c>
      <c r="S855" t="b">
        <f ca="1">AND(NOT(S777=4))</f>
        <v>1</v>
      </c>
      <c r="T855" t="b">
        <f ca="1">AND(NOT(S855),W855=TRUE)</f>
        <v>0</v>
      </c>
      <c r="W855" s="17" t="b">
        <v>1</v>
      </c>
      <c r="X855" s="688"/>
      <c r="Y855" s="891" t="str">
        <f>IF(LEN('Ch7'!X91)=0,"None",'Ch7'!X91)</f>
        <v>None</v>
      </c>
      <c r="Z855" s="892"/>
      <c r="AC855" t="b">
        <f ca="1">OR(AD855:AE855)</f>
        <v>0</v>
      </c>
      <c r="AD855" t="b">
        <f ca="1">T855</f>
        <v>0</v>
      </c>
      <c r="AE855" t="b">
        <f ca="1">AND(R855,NOT(W855))</f>
        <v>0</v>
      </c>
      <c r="AF855" t="b">
        <f ca="1">AND(AE855,NOT(Q855))</f>
        <v>0</v>
      </c>
      <c r="AP855" t="str">
        <f>SUBSTITUTE(SUBSTITUTE(SUBSTITUTE("vch"&amp;$B855&amp;$C855&amp;$D855&amp;$E855&amp;$F855,".","_"),"(","_"),")","")</f>
        <v>vch701_4_3_2_2</v>
      </c>
      <c r="AQ855" t="b">
        <f>W855</f>
        <v>1</v>
      </c>
      <c r="AR855" t="str">
        <f>SUBSTITUTE(SUBSTITUTE(SUBSTITUTE("vnt"&amp;$B855&amp;$C855&amp;$D855&amp;$E855&amp;$F855,".","_"),"(","_"),")","")</f>
        <v>vnt701_4_3_2_2</v>
      </c>
      <c r="AS855">
        <f>X855</f>
        <v>0</v>
      </c>
      <c r="BJ855" s="573" t="s">
        <v>4670</v>
      </c>
    </row>
    <row r="856" spans="1:62" x14ac:dyDescent="0.35">
      <c r="A856" s="403">
        <v>7</v>
      </c>
      <c r="B856" s="609" t="s">
        <v>990</v>
      </c>
      <c r="C856" s="609"/>
      <c r="D856" s="604" t="s">
        <v>272</v>
      </c>
      <c r="E856" s="604"/>
      <c r="F856" s="604"/>
      <c r="G856" s="403" t="s">
        <v>4326</v>
      </c>
      <c r="H856" s="403" t="s">
        <v>4324</v>
      </c>
      <c r="I856" s="4"/>
      <c r="J856" s="104"/>
      <c r="K856" s="104"/>
      <c r="L856" s="706"/>
      <c r="M856" s="43"/>
      <c r="N856" s="85"/>
      <c r="O856" s="85"/>
      <c r="X856" s="688"/>
      <c r="Y856" s="891"/>
      <c r="Z856" s="892"/>
      <c r="BJ856" s="573" t="s">
        <v>4670</v>
      </c>
    </row>
    <row r="857" spans="1:62" x14ac:dyDescent="0.35">
      <c r="A857" s="403">
        <v>7</v>
      </c>
      <c r="B857" s="609" t="s">
        <v>990</v>
      </c>
      <c r="C857" s="609"/>
      <c r="D857" s="604" t="s">
        <v>272</v>
      </c>
      <c r="E857" s="604"/>
      <c r="F857" s="604"/>
      <c r="G857" s="403" t="s">
        <v>4326</v>
      </c>
      <c r="H857" s="403" t="s">
        <v>4324</v>
      </c>
      <c r="I857" s="155"/>
      <c r="J857" s="214"/>
      <c r="K857" s="214"/>
      <c r="L857" s="356" t="s">
        <v>3633</v>
      </c>
      <c r="M857" s="198"/>
      <c r="N857" s="342"/>
      <c r="O857" s="342"/>
      <c r="P857" s="119"/>
      <c r="Q857" s="119"/>
      <c r="R857" s="119"/>
      <c r="S857" s="119"/>
      <c r="T857" s="119"/>
      <c r="U857" s="119"/>
      <c r="V857" s="119"/>
      <c r="W857" s="119"/>
      <c r="X857" s="688"/>
      <c r="Y857" s="891"/>
      <c r="Z857" s="892"/>
      <c r="BJ857" s="573" t="s">
        <v>4670</v>
      </c>
    </row>
    <row r="858" spans="1:62" x14ac:dyDescent="0.35">
      <c r="A858" s="403">
        <v>7</v>
      </c>
      <c r="B858" s="609" t="s">
        <v>1001</v>
      </c>
      <c r="C858" s="609"/>
      <c r="D858" s="604"/>
      <c r="E858" s="604"/>
      <c r="F858" s="604"/>
      <c r="G858" s="403" t="s">
        <v>4326</v>
      </c>
      <c r="H858" s="403" t="s">
        <v>4324</v>
      </c>
      <c r="I858" s="34" t="s">
        <v>1001</v>
      </c>
      <c r="J858" s="104"/>
      <c r="K858" s="104"/>
      <c r="L858" s="110" t="s">
        <v>1002</v>
      </c>
      <c r="M858" s="556" t="str">
        <f ca="1">IF(R858,"Mandatory","N/A")</f>
        <v>Mandatory</v>
      </c>
      <c r="N858" s="85"/>
      <c r="O858" s="85"/>
      <c r="P858" t="b">
        <v>1</v>
      </c>
      <c r="Q858" t="b">
        <v>0</v>
      </c>
      <c r="R858" t="b">
        <f ca="1">S858</f>
        <v>1</v>
      </c>
      <c r="S858" t="b">
        <f ca="1">AND(NOT(S777=4))</f>
        <v>1</v>
      </c>
      <c r="T858" t="b">
        <f ca="1">AND(NOT(S858),W858=TRUE)</f>
        <v>0</v>
      </c>
      <c r="W858" s="17" t="b">
        <v>1</v>
      </c>
      <c r="Z858" s="543"/>
      <c r="AC858" t="b">
        <f ca="1">OR(AD858:AE858)</f>
        <v>0</v>
      </c>
      <c r="AD858" t="b">
        <f ca="1">T858</f>
        <v>0</v>
      </c>
      <c r="AE858" t="b">
        <f ca="1">AND(R858,NOT(W858))</f>
        <v>0</v>
      </c>
      <c r="AF858" t="b">
        <f ca="1">AND(AE858,NOT(Q858))</f>
        <v>0</v>
      </c>
      <c r="AL858" t="str">
        <f t="shared" ref="AL858" si="245">SUBSTITUTE(SUBSTITUTE(SUBSTITUTE("vpa"&amp;$B858&amp;$C858&amp;$D858&amp;$E858&amp;$F858,".","_"),"(","_"),")","")</f>
        <v>vpa701_4_3_2_1</v>
      </c>
      <c r="AM858" t="str">
        <f ca="1">M858</f>
        <v>Mandatory</v>
      </c>
      <c r="AP858" t="str">
        <f>SUBSTITUTE(SUBSTITUTE(SUBSTITUTE("vch"&amp;$B858&amp;$C858&amp;$D858&amp;$E858&amp;$F858,".","_"),"(","_"),")","")</f>
        <v>vch701_4_3_2_1</v>
      </c>
      <c r="AQ858" t="b">
        <f>W858</f>
        <v>1</v>
      </c>
      <c r="BJ858" s="573" t="s">
        <v>4670</v>
      </c>
    </row>
    <row r="859" spans="1:62" x14ac:dyDescent="0.35">
      <c r="A859" s="403">
        <v>7</v>
      </c>
      <c r="B859" s="609" t="s">
        <v>1001</v>
      </c>
      <c r="C859" s="609"/>
      <c r="D859" s="604" t="s">
        <v>270</v>
      </c>
      <c r="E859" s="604"/>
      <c r="F859" s="604"/>
      <c r="G859" s="403" t="s">
        <v>4326</v>
      </c>
      <c r="H859" s="605" t="s">
        <v>4324</v>
      </c>
      <c r="I859" s="4"/>
      <c r="J859" s="359" t="s">
        <v>270</v>
      </c>
      <c r="K859" s="214"/>
      <c r="L859" s="214" t="s">
        <v>1003</v>
      </c>
      <c r="M859" s="43"/>
      <c r="N859" s="85"/>
      <c r="O859" s="85"/>
      <c r="X859" s="39"/>
      <c r="Y859" s="200" t="str">
        <f>IF(LEN('Ch7'!X95)=0,"None",'Ch7'!X95)</f>
        <v>None</v>
      </c>
      <c r="Z859" s="563"/>
      <c r="AR859" t="str">
        <f t="shared" ref="AR859:AR860" si="246">SUBSTITUTE(SUBSTITUTE(SUBSTITUTE("vnt"&amp;$B859&amp;$C859&amp;$D859&amp;$E859&amp;$F859,".","_"),"(","_"),")","")</f>
        <v>vnt701_4_3_2_1_1</v>
      </c>
      <c r="AS859">
        <f>X859</f>
        <v>0</v>
      </c>
      <c r="BJ859" s="573" t="s">
        <v>4670</v>
      </c>
    </row>
    <row r="860" spans="1:62" x14ac:dyDescent="0.35">
      <c r="A860" s="403">
        <v>7</v>
      </c>
      <c r="B860" s="609" t="s">
        <v>1001</v>
      </c>
      <c r="C860" s="609"/>
      <c r="D860" s="604" t="s">
        <v>272</v>
      </c>
      <c r="E860" s="604"/>
      <c r="F860" s="604"/>
      <c r="G860" s="403" t="s">
        <v>4326</v>
      </c>
      <c r="H860" s="605" t="s">
        <v>4324</v>
      </c>
      <c r="I860" s="4"/>
      <c r="J860" s="378" t="s">
        <v>272</v>
      </c>
      <c r="K860" s="320"/>
      <c r="L860" s="742" t="s">
        <v>1004</v>
      </c>
      <c r="M860" s="43"/>
      <c r="N860" s="85"/>
      <c r="O860" s="85"/>
      <c r="X860" s="688"/>
      <c r="Y860" s="891" t="str">
        <f>IF(LEN('Ch7'!X96)=0,"None",'Ch7'!X96)</f>
        <v>None</v>
      </c>
      <c r="Z860" s="892"/>
      <c r="AR860" t="str">
        <f t="shared" si="246"/>
        <v>vnt701_4_3_2_1_2</v>
      </c>
      <c r="AS860">
        <f>X860</f>
        <v>0</v>
      </c>
      <c r="BJ860" s="573" t="s">
        <v>4670</v>
      </c>
    </row>
    <row r="861" spans="1:62" x14ac:dyDescent="0.35">
      <c r="A861" s="403">
        <v>7</v>
      </c>
      <c r="B861" s="609" t="s">
        <v>1001</v>
      </c>
      <c r="C861" s="609"/>
      <c r="D861" s="604" t="s">
        <v>272</v>
      </c>
      <c r="E861" s="604"/>
      <c r="F861" s="604"/>
      <c r="G861" s="403" t="s">
        <v>4326</v>
      </c>
      <c r="H861" s="605" t="s">
        <v>4324</v>
      </c>
      <c r="I861" s="4"/>
      <c r="J861" s="359"/>
      <c r="K861" s="214"/>
      <c r="L861" s="709"/>
      <c r="M861" s="43"/>
      <c r="N861" s="85"/>
      <c r="O861" s="85"/>
      <c r="X861" s="688"/>
      <c r="Y861" s="891"/>
      <c r="Z861" s="892"/>
      <c r="BJ861" s="573" t="s">
        <v>4670</v>
      </c>
    </row>
    <row r="862" spans="1:62" x14ac:dyDescent="0.35">
      <c r="A862" s="403">
        <v>7</v>
      </c>
      <c r="B862" s="609" t="s">
        <v>1001</v>
      </c>
      <c r="C862" s="609"/>
      <c r="D862" s="604" t="s">
        <v>274</v>
      </c>
      <c r="E862" s="604"/>
      <c r="F862" s="604"/>
      <c r="G862" s="403" t="s">
        <v>4326</v>
      </c>
      <c r="H862" s="605" t="s">
        <v>4324</v>
      </c>
      <c r="I862" s="4"/>
      <c r="J862" s="379" t="s">
        <v>274</v>
      </c>
      <c r="K862" s="220"/>
      <c r="L862" s="220" t="s">
        <v>1005</v>
      </c>
      <c r="M862" s="43"/>
      <c r="N862" s="85"/>
      <c r="O862" s="85"/>
      <c r="X862" s="39"/>
      <c r="Y862" s="200" t="str">
        <f>IF(LEN('Ch7'!X98)=0,"None",'Ch7'!X98)</f>
        <v>None</v>
      </c>
      <c r="Z862" s="563"/>
      <c r="AR862" t="str">
        <f t="shared" ref="AR862:AR863" si="247">SUBSTITUTE(SUBSTITUTE(SUBSTITUTE("vnt"&amp;$B862&amp;$C862&amp;$D862&amp;$E862&amp;$F862,".","_"),"(","_"),")","")</f>
        <v>vnt701_4_3_2_1_3</v>
      </c>
      <c r="AS862">
        <f>X862</f>
        <v>0</v>
      </c>
      <c r="BJ862" s="573" t="s">
        <v>4670</v>
      </c>
    </row>
    <row r="863" spans="1:62" x14ac:dyDescent="0.35">
      <c r="A863" s="403">
        <v>7</v>
      </c>
      <c r="B863" s="609" t="s">
        <v>1001</v>
      </c>
      <c r="C863" s="609"/>
      <c r="D863" s="604" t="s">
        <v>283</v>
      </c>
      <c r="E863" s="604"/>
      <c r="F863" s="604"/>
      <c r="G863" s="403" t="s">
        <v>4326</v>
      </c>
      <c r="H863" s="605" t="s">
        <v>4324</v>
      </c>
      <c r="I863" s="4"/>
      <c r="J863" s="175" t="s">
        <v>283</v>
      </c>
      <c r="K863" s="104"/>
      <c r="L863" s="707" t="s">
        <v>1006</v>
      </c>
      <c r="M863" s="43"/>
      <c r="N863" s="85"/>
      <c r="O863" s="85"/>
      <c r="X863" s="688"/>
      <c r="Y863" s="891" t="str">
        <f>IF(LEN('Ch7'!X99)=0,"None",'Ch7'!X99)</f>
        <v>None</v>
      </c>
      <c r="Z863" s="892"/>
      <c r="AR863" t="str">
        <f t="shared" si="247"/>
        <v>vnt701_4_3_2_1_4</v>
      </c>
      <c r="AS863">
        <f>X863</f>
        <v>0</v>
      </c>
      <c r="BJ863" s="573" t="s">
        <v>4670</v>
      </c>
    </row>
    <row r="864" spans="1:62" x14ac:dyDescent="0.35">
      <c r="A864" s="403">
        <v>7</v>
      </c>
      <c r="B864" s="609" t="s">
        <v>1001</v>
      </c>
      <c r="C864" s="609"/>
      <c r="D864" s="604" t="s">
        <v>283</v>
      </c>
      <c r="E864" s="604"/>
      <c r="F864" s="604"/>
      <c r="G864" s="403" t="s">
        <v>4326</v>
      </c>
      <c r="H864" s="605" t="s">
        <v>4324</v>
      </c>
      <c r="I864" s="4"/>
      <c r="J864" s="175"/>
      <c r="K864" s="104"/>
      <c r="L864" s="707"/>
      <c r="M864" s="43"/>
      <c r="N864" s="85"/>
      <c r="O864" s="85"/>
      <c r="X864" s="688"/>
      <c r="Y864" s="891"/>
      <c r="Z864" s="892"/>
      <c r="BJ864" s="573" t="s">
        <v>4670</v>
      </c>
    </row>
    <row r="865" spans="1:62" x14ac:dyDescent="0.35">
      <c r="A865" s="403">
        <v>7</v>
      </c>
      <c r="B865" s="609" t="s">
        <v>1001</v>
      </c>
      <c r="C865" s="609"/>
      <c r="D865" s="604" t="s">
        <v>283</v>
      </c>
      <c r="E865" s="604"/>
      <c r="F865" s="604"/>
      <c r="G865" s="403" t="s">
        <v>4326</v>
      </c>
      <c r="H865" s="605" t="s">
        <v>4324</v>
      </c>
      <c r="I865" s="4"/>
      <c r="J865" s="175"/>
      <c r="K865" s="104"/>
      <c r="L865" s="707"/>
      <c r="M865" s="43"/>
      <c r="N865" s="85"/>
      <c r="O865" s="85"/>
      <c r="X865" s="688"/>
      <c r="Y865" s="891"/>
      <c r="Z865" s="892"/>
      <c r="BJ865" s="573" t="s">
        <v>4670</v>
      </c>
    </row>
    <row r="866" spans="1:62" x14ac:dyDescent="0.35">
      <c r="A866" s="403">
        <v>7</v>
      </c>
      <c r="B866" s="609" t="s">
        <v>1001</v>
      </c>
      <c r="C866" s="609"/>
      <c r="D866" s="604" t="s">
        <v>283</v>
      </c>
      <c r="E866" s="604"/>
      <c r="F866" s="604"/>
      <c r="G866" s="403" t="s">
        <v>4326</v>
      </c>
      <c r="H866" s="605" t="s">
        <v>4324</v>
      </c>
      <c r="I866" s="4"/>
      <c r="J866" s="175"/>
      <c r="K866" s="104"/>
      <c r="L866" s="707"/>
      <c r="M866" s="43"/>
      <c r="N866" s="85"/>
      <c r="O866" s="85"/>
      <c r="X866" s="688"/>
      <c r="Y866" s="891"/>
      <c r="Z866" s="892"/>
      <c r="BJ866" s="573" t="s">
        <v>4670</v>
      </c>
    </row>
    <row r="867" spans="1:62" x14ac:dyDescent="0.35">
      <c r="A867" s="403">
        <v>7</v>
      </c>
      <c r="B867" s="609" t="s">
        <v>1001</v>
      </c>
      <c r="C867" s="609"/>
      <c r="D867" s="604" t="s">
        <v>289</v>
      </c>
      <c r="E867" s="604"/>
      <c r="F867" s="604"/>
      <c r="G867" s="403" t="s">
        <v>4326</v>
      </c>
      <c r="H867" s="605" t="s">
        <v>4324</v>
      </c>
      <c r="I867" s="4"/>
      <c r="J867" s="175" t="s">
        <v>289</v>
      </c>
      <c r="K867" s="104"/>
      <c r="L867" s="707" t="s">
        <v>1007</v>
      </c>
      <c r="M867" s="43"/>
      <c r="N867" s="85"/>
      <c r="O867" s="85"/>
      <c r="X867" s="688"/>
      <c r="Y867" s="891" t="str">
        <f>IF(LEN('Ch7'!X103)=0,"None",'Ch7'!X103)</f>
        <v>None</v>
      </c>
      <c r="Z867" s="892"/>
      <c r="AR867" t="str">
        <f>SUBSTITUTE(SUBSTITUTE(SUBSTITUTE("vnt"&amp;$B867&amp;$C867&amp;$D867&amp;$E867&amp;$F867,".","_"),"(","_"),")","")</f>
        <v>vnt701_4_3_2_1_5</v>
      </c>
      <c r="AS867">
        <f>X867</f>
        <v>0</v>
      </c>
      <c r="BJ867" s="573" t="s">
        <v>4670</v>
      </c>
    </row>
    <row r="868" spans="1:62" x14ac:dyDescent="0.35">
      <c r="A868" s="403">
        <v>7</v>
      </c>
      <c r="B868" s="609" t="s">
        <v>1001</v>
      </c>
      <c r="C868" s="609"/>
      <c r="D868" s="604" t="s">
        <v>289</v>
      </c>
      <c r="E868" s="604"/>
      <c r="F868" s="604"/>
      <c r="G868" s="403" t="s">
        <v>4326</v>
      </c>
      <c r="H868" s="605" t="s">
        <v>4324</v>
      </c>
      <c r="I868" s="4"/>
      <c r="J868" s="359"/>
      <c r="K868" s="214"/>
      <c r="L868" s="709"/>
      <c r="M868" s="43"/>
      <c r="N868" s="85"/>
      <c r="O868" s="85"/>
      <c r="X868" s="688"/>
      <c r="Y868" s="891"/>
      <c r="Z868" s="892"/>
      <c r="BJ868" s="573" t="s">
        <v>4670</v>
      </c>
    </row>
    <row r="869" spans="1:62" x14ac:dyDescent="0.35">
      <c r="A869" s="403">
        <v>7</v>
      </c>
      <c r="B869" s="609" t="s">
        <v>1001</v>
      </c>
      <c r="C869" s="609"/>
      <c r="D869" s="604" t="s">
        <v>291</v>
      </c>
      <c r="E869" s="604"/>
      <c r="F869" s="604"/>
      <c r="G869" s="403" t="s">
        <v>4326</v>
      </c>
      <c r="H869" s="605" t="s">
        <v>4324</v>
      </c>
      <c r="I869" s="4"/>
      <c r="J869" s="378" t="s">
        <v>291</v>
      </c>
      <c r="K869" s="320"/>
      <c r="L869" s="742" t="s">
        <v>1008</v>
      </c>
      <c r="M869" s="43"/>
      <c r="N869" s="85"/>
      <c r="O869" s="85"/>
      <c r="X869" s="688"/>
      <c r="Y869" s="891" t="str">
        <f>IF(LEN('Ch7'!X105)=0,"None",'Ch7'!X105)</f>
        <v>None</v>
      </c>
      <c r="Z869" s="892"/>
      <c r="AR869" t="str">
        <f>SUBSTITUTE(SUBSTITUTE(SUBSTITUTE("vnt"&amp;$B869&amp;$C869&amp;$D869&amp;$E869&amp;$F869,".","_"),"(","_"),")","")</f>
        <v>vnt701_4_3_2_1_6</v>
      </c>
      <c r="AS869">
        <f>X869</f>
        <v>0</v>
      </c>
      <c r="BJ869" s="573" t="s">
        <v>4670</v>
      </c>
    </row>
    <row r="870" spans="1:62" x14ac:dyDescent="0.35">
      <c r="A870" s="403">
        <v>7</v>
      </c>
      <c r="B870" s="609" t="s">
        <v>1001</v>
      </c>
      <c r="C870" s="609"/>
      <c r="D870" s="604" t="s">
        <v>291</v>
      </c>
      <c r="E870" s="604"/>
      <c r="F870" s="604"/>
      <c r="G870" s="403" t="s">
        <v>4326</v>
      </c>
      <c r="H870" s="605" t="s">
        <v>4324</v>
      </c>
      <c r="I870" s="4"/>
      <c r="J870" s="175"/>
      <c r="K870" s="104"/>
      <c r="L870" s="707"/>
      <c r="M870" s="43"/>
      <c r="N870" s="85"/>
      <c r="O870" s="85"/>
      <c r="X870" s="688"/>
      <c r="Y870" s="891"/>
      <c r="Z870" s="892"/>
      <c r="BJ870" s="573" t="s">
        <v>4670</v>
      </c>
    </row>
    <row r="871" spans="1:62" x14ac:dyDescent="0.35">
      <c r="A871" s="403">
        <v>7</v>
      </c>
      <c r="B871" s="609" t="s">
        <v>1001</v>
      </c>
      <c r="C871" s="609"/>
      <c r="D871" s="604" t="s">
        <v>291</v>
      </c>
      <c r="E871" s="604"/>
      <c r="F871" s="604"/>
      <c r="G871" s="403" t="s">
        <v>4326</v>
      </c>
      <c r="H871" s="605" t="s">
        <v>4324</v>
      </c>
      <c r="I871" s="4"/>
      <c r="J871" s="359"/>
      <c r="K871" s="214"/>
      <c r="L871" s="709"/>
      <c r="M871" s="43"/>
      <c r="N871" s="85"/>
      <c r="O871" s="85"/>
      <c r="X871" s="688"/>
      <c r="Y871" s="891"/>
      <c r="Z871" s="892"/>
      <c r="BJ871" s="573" t="s">
        <v>4670</v>
      </c>
    </row>
    <row r="872" spans="1:62" x14ac:dyDescent="0.35">
      <c r="A872" s="403">
        <v>7</v>
      </c>
      <c r="B872" s="609" t="s">
        <v>1001</v>
      </c>
      <c r="C872" s="609"/>
      <c r="D872" s="604" t="s">
        <v>403</v>
      </c>
      <c r="E872" s="604"/>
      <c r="F872" s="604"/>
      <c r="G872" s="403" t="s">
        <v>4326</v>
      </c>
      <c r="H872" s="605" t="s">
        <v>4324</v>
      </c>
      <c r="I872" s="4"/>
      <c r="J872" s="378" t="s">
        <v>403</v>
      </c>
      <c r="K872" s="320"/>
      <c r="L872" s="742" t="s">
        <v>1009</v>
      </c>
      <c r="M872" s="43"/>
      <c r="N872" s="85"/>
      <c r="O872" s="85"/>
      <c r="X872" s="688"/>
      <c r="Y872" s="891" t="str">
        <f>IF(LEN('Ch7'!X108)=0,"None",'Ch7'!X108)</f>
        <v>None</v>
      </c>
      <c r="Z872" s="892"/>
      <c r="AR872" t="str">
        <f>SUBSTITUTE(SUBSTITUTE(SUBSTITUTE("vnt"&amp;$B872&amp;$C872&amp;$D872&amp;$E872&amp;$F872,".","_"),"(","_"),")","")</f>
        <v>vnt701_4_3_2_1_7</v>
      </c>
      <c r="AS872">
        <f>X872</f>
        <v>0</v>
      </c>
      <c r="BJ872" s="573" t="s">
        <v>4670</v>
      </c>
    </row>
    <row r="873" spans="1:62" x14ac:dyDescent="0.35">
      <c r="A873" s="403">
        <v>7</v>
      </c>
      <c r="B873" s="609" t="s">
        <v>1001</v>
      </c>
      <c r="C873" s="609"/>
      <c r="D873" s="604" t="s">
        <v>403</v>
      </c>
      <c r="E873" s="604"/>
      <c r="F873" s="604"/>
      <c r="G873" s="403" t="s">
        <v>4326</v>
      </c>
      <c r="H873" s="605" t="s">
        <v>4324</v>
      </c>
      <c r="I873" s="4"/>
      <c r="J873" s="359"/>
      <c r="K873" s="214"/>
      <c r="L873" s="709"/>
      <c r="M873" s="43"/>
      <c r="N873" s="85"/>
      <c r="O873" s="85"/>
      <c r="X873" s="688"/>
      <c r="Y873" s="891"/>
      <c r="Z873" s="892"/>
      <c r="BJ873" s="573" t="s">
        <v>4670</v>
      </c>
    </row>
    <row r="874" spans="1:62" ht="15" customHeight="1" x14ac:dyDescent="0.35">
      <c r="A874" s="403">
        <v>7</v>
      </c>
      <c r="B874" s="609" t="s">
        <v>1001</v>
      </c>
      <c r="C874" s="609"/>
      <c r="D874" s="604" t="s">
        <v>453</v>
      </c>
      <c r="E874" s="604"/>
      <c r="F874" s="604"/>
      <c r="G874" s="403" t="s">
        <v>4326</v>
      </c>
      <c r="H874" s="605" t="s">
        <v>4324</v>
      </c>
      <c r="I874" s="4"/>
      <c r="J874" s="379" t="s">
        <v>453</v>
      </c>
      <c r="K874" s="220"/>
      <c r="L874" s="220" t="s">
        <v>1010</v>
      </c>
      <c r="M874" s="43"/>
      <c r="N874" s="85"/>
      <c r="O874" s="85"/>
      <c r="X874" s="39"/>
      <c r="Y874" s="200" t="str">
        <f>IF(LEN('Ch7'!X110)=0,"None",'Ch7'!X110)</f>
        <v>None</v>
      </c>
      <c r="Z874" s="563"/>
      <c r="AR874" t="str">
        <f t="shared" ref="AR874:AR876" si="248">SUBSTITUTE(SUBSTITUTE(SUBSTITUTE("vnt"&amp;$B874&amp;$C874&amp;$D874&amp;$E874&amp;$F874,".","_"),"(","_"),")","")</f>
        <v>vnt701_4_3_2_1_8</v>
      </c>
      <c r="AS874">
        <f>X874</f>
        <v>0</v>
      </c>
      <c r="BJ874" s="573" t="s">
        <v>4670</v>
      </c>
    </row>
    <row r="875" spans="1:62" x14ac:dyDescent="0.35">
      <c r="A875" s="403">
        <v>7</v>
      </c>
      <c r="B875" s="609" t="s">
        <v>1001</v>
      </c>
      <c r="C875" s="609"/>
      <c r="D875" s="604" t="s">
        <v>455</v>
      </c>
      <c r="E875" s="604"/>
      <c r="F875" s="604"/>
      <c r="G875" s="403" t="s">
        <v>4326</v>
      </c>
      <c r="H875" s="605" t="s">
        <v>4324</v>
      </c>
      <c r="I875" s="4"/>
      <c r="J875" s="379" t="s">
        <v>455</v>
      </c>
      <c r="K875" s="220"/>
      <c r="L875" s="220" t="s">
        <v>1011</v>
      </c>
      <c r="M875" s="43"/>
      <c r="N875" s="85"/>
      <c r="O875" s="85"/>
      <c r="X875" s="39"/>
      <c r="Y875" s="200" t="str">
        <f>IF(LEN('Ch7'!X111)=0,"None",'Ch7'!X111)</f>
        <v>None</v>
      </c>
      <c r="Z875" s="563"/>
      <c r="AR875" t="str">
        <f t="shared" si="248"/>
        <v>vnt701_4_3_2_1_9</v>
      </c>
      <c r="AS875">
        <f>X875</f>
        <v>0</v>
      </c>
      <c r="BJ875" s="573" t="s">
        <v>4670</v>
      </c>
    </row>
    <row r="876" spans="1:62" ht="15" customHeight="1" x14ac:dyDescent="0.35">
      <c r="A876" s="403">
        <v>7</v>
      </c>
      <c r="B876" s="609" t="s">
        <v>1001</v>
      </c>
      <c r="C876" s="609"/>
      <c r="D876" s="604" t="s">
        <v>457</v>
      </c>
      <c r="E876" s="604"/>
      <c r="F876" s="604"/>
      <c r="G876" s="403" t="s">
        <v>4326</v>
      </c>
      <c r="H876" s="605" t="s">
        <v>4324</v>
      </c>
      <c r="I876" s="4"/>
      <c r="J876" s="378" t="s">
        <v>457</v>
      </c>
      <c r="K876" s="320"/>
      <c r="L876" s="742" t="s">
        <v>1012</v>
      </c>
      <c r="M876" s="43"/>
      <c r="N876" s="85"/>
      <c r="O876" s="85"/>
      <c r="X876" s="688"/>
      <c r="Y876" s="891" t="str">
        <f>IF(LEN('Ch7'!X112)=0,"None",'Ch7'!X112)</f>
        <v>None</v>
      </c>
      <c r="Z876" s="892"/>
      <c r="AR876" t="str">
        <f t="shared" si="248"/>
        <v>vnt701_4_3_2_1_10</v>
      </c>
      <c r="AS876">
        <f>X876</f>
        <v>0</v>
      </c>
      <c r="BJ876" s="573" t="s">
        <v>4670</v>
      </c>
    </row>
    <row r="877" spans="1:62" x14ac:dyDescent="0.35">
      <c r="A877" s="403">
        <v>7</v>
      </c>
      <c r="B877" s="609" t="s">
        <v>1001</v>
      </c>
      <c r="C877" s="609"/>
      <c r="D877" s="604" t="s">
        <v>457</v>
      </c>
      <c r="E877" s="604"/>
      <c r="F877" s="604"/>
      <c r="G877" s="403" t="s">
        <v>4326</v>
      </c>
      <c r="H877" s="605" t="s">
        <v>4324</v>
      </c>
      <c r="I877" s="4"/>
      <c r="J877" s="175"/>
      <c r="K877" s="104"/>
      <c r="L877" s="707"/>
      <c r="M877" s="43"/>
      <c r="N877" s="85"/>
      <c r="O877" s="85"/>
      <c r="X877" s="688"/>
      <c r="Y877" s="891"/>
      <c r="Z877" s="892"/>
      <c r="BJ877" s="573" t="s">
        <v>4670</v>
      </c>
    </row>
    <row r="878" spans="1:62" x14ac:dyDescent="0.35">
      <c r="A878" s="403">
        <v>7</v>
      </c>
      <c r="B878" s="609" t="s">
        <v>1001</v>
      </c>
      <c r="C878" s="609"/>
      <c r="D878" s="604" t="s">
        <v>457</v>
      </c>
      <c r="E878" s="604"/>
      <c r="F878" s="604"/>
      <c r="G878" s="403" t="s">
        <v>4326</v>
      </c>
      <c r="H878" s="605" t="s">
        <v>4324</v>
      </c>
      <c r="I878" s="4"/>
      <c r="J878" s="359"/>
      <c r="K878" s="214"/>
      <c r="L878" s="709"/>
      <c r="M878" s="43"/>
      <c r="N878" s="85"/>
      <c r="O878" s="85"/>
      <c r="X878" s="688"/>
      <c r="Y878" s="891"/>
      <c r="Z878" s="892"/>
      <c r="BJ878" s="573" t="s">
        <v>4670</v>
      </c>
    </row>
    <row r="879" spans="1:62" ht="15" customHeight="1" x14ac:dyDescent="0.35">
      <c r="A879" s="403">
        <v>7</v>
      </c>
      <c r="B879" s="609" t="s">
        <v>1001</v>
      </c>
      <c r="C879" s="609"/>
      <c r="D879" s="604" t="s">
        <v>459</v>
      </c>
      <c r="E879" s="604"/>
      <c r="F879" s="604"/>
      <c r="G879" s="403" t="s">
        <v>4326</v>
      </c>
      <c r="H879" s="605" t="s">
        <v>4324</v>
      </c>
      <c r="I879" s="4"/>
      <c r="J879" s="175" t="s">
        <v>459</v>
      </c>
      <c r="K879" s="104"/>
      <c r="L879" s="707" t="s">
        <v>1013</v>
      </c>
      <c r="M879" s="43"/>
      <c r="N879" s="85"/>
      <c r="O879" s="85"/>
      <c r="X879" s="688"/>
      <c r="Y879" s="891" t="str">
        <f>IF(LEN('Ch7'!X115)=0,"None",'Ch7'!X115)</f>
        <v>None</v>
      </c>
      <c r="Z879" s="892"/>
      <c r="AR879" t="str">
        <f>SUBSTITUTE(SUBSTITUTE(SUBSTITUTE("vnt"&amp;$B879&amp;$C879&amp;$D879&amp;$E879&amp;$F879,".","_"),"(","_"),")","")</f>
        <v>vnt701_4_3_2_1_11</v>
      </c>
      <c r="AS879">
        <f>X879</f>
        <v>0</v>
      </c>
      <c r="BJ879" s="573" t="s">
        <v>4670</v>
      </c>
    </row>
    <row r="880" spans="1:62" x14ac:dyDescent="0.35">
      <c r="A880" s="403">
        <v>7</v>
      </c>
      <c r="B880" s="609" t="s">
        <v>1001</v>
      </c>
      <c r="C880" s="609"/>
      <c r="D880" s="604" t="s">
        <v>459</v>
      </c>
      <c r="E880" s="604"/>
      <c r="F880" s="604"/>
      <c r="G880" s="403" t="s">
        <v>4326</v>
      </c>
      <c r="H880" s="605" t="s">
        <v>4324</v>
      </c>
      <c r="I880" s="4"/>
      <c r="J880" s="175"/>
      <c r="K880" s="104"/>
      <c r="L880" s="707"/>
      <c r="M880" s="43"/>
      <c r="N880" s="85"/>
      <c r="O880" s="85"/>
      <c r="X880" s="688"/>
      <c r="Y880" s="891"/>
      <c r="Z880" s="892"/>
      <c r="BJ880" s="573" t="s">
        <v>4670</v>
      </c>
    </row>
    <row r="881" spans="1:62" x14ac:dyDescent="0.35">
      <c r="A881" s="403">
        <v>7</v>
      </c>
      <c r="B881" s="609" t="s">
        <v>1001</v>
      </c>
      <c r="C881" s="609"/>
      <c r="D881" s="604" t="s">
        <v>459</v>
      </c>
      <c r="E881" s="604"/>
      <c r="F881" s="604"/>
      <c r="G881" s="403" t="s">
        <v>4326</v>
      </c>
      <c r="H881" s="605" t="s">
        <v>4324</v>
      </c>
      <c r="I881" s="155"/>
      <c r="J881" s="359"/>
      <c r="K881" s="214"/>
      <c r="L881" s="709"/>
      <c r="M881" s="198"/>
      <c r="N881" s="342"/>
      <c r="O881" s="342"/>
      <c r="P881" s="119"/>
      <c r="Q881" s="119"/>
      <c r="R881" s="119"/>
      <c r="S881" s="119"/>
      <c r="T881" s="119"/>
      <c r="U881" s="119"/>
      <c r="V881" s="119"/>
      <c r="W881" s="119"/>
      <c r="X881" s="688"/>
      <c r="Y881" s="891"/>
      <c r="Z881" s="892"/>
      <c r="BJ881" s="573" t="s">
        <v>4670</v>
      </c>
    </row>
    <row r="882" spans="1:62" x14ac:dyDescent="0.35">
      <c r="A882" s="403">
        <v>7</v>
      </c>
      <c r="B882" s="609" t="s">
        <v>1014</v>
      </c>
      <c r="C882" s="609"/>
      <c r="D882" s="604"/>
      <c r="E882" s="604"/>
      <c r="F882" s="604"/>
      <c r="G882" s="403" t="s">
        <v>4326</v>
      </c>
      <c r="H882" s="403" t="s">
        <v>4324</v>
      </c>
      <c r="I882" s="135" t="s">
        <v>1015</v>
      </c>
      <c r="J882" s="320"/>
      <c r="K882" s="320"/>
      <c r="L882" s="753" t="s">
        <v>1016</v>
      </c>
      <c r="M882" s="317"/>
      <c r="N882" s="189"/>
      <c r="O882" s="189"/>
      <c r="P882" s="138"/>
      <c r="Q882" s="138"/>
      <c r="R882" s="138"/>
      <c r="S882" s="138"/>
      <c r="T882" s="138"/>
      <c r="U882" s="138"/>
      <c r="V882" s="138"/>
      <c r="W882" s="138" t="s">
        <v>3754</v>
      </c>
      <c r="X882" s="688"/>
      <c r="Y882" s="891" t="str">
        <f>IF(LEN('Ch7'!X118)=0,"None",'Ch7'!X118)</f>
        <v>None</v>
      </c>
      <c r="Z882" s="892"/>
      <c r="AR882" t="str">
        <f>SUBSTITUTE(SUBSTITUTE(SUBSTITUTE("vnt"&amp;$B882&amp;$C882&amp;$D882&amp;$E882&amp;$F882,".","_"),"(","_"),")","")</f>
        <v>vnt701_4_3_3_3</v>
      </c>
      <c r="AS882">
        <f>X882</f>
        <v>0</v>
      </c>
      <c r="BJ882" s="573" t="s">
        <v>4670</v>
      </c>
    </row>
    <row r="883" spans="1:62" x14ac:dyDescent="0.35">
      <c r="A883" s="403">
        <v>7</v>
      </c>
      <c r="B883" s="609" t="s">
        <v>1014</v>
      </c>
      <c r="C883" s="609"/>
      <c r="D883" s="604"/>
      <c r="E883" s="604"/>
      <c r="F883" s="604"/>
      <c r="G883" s="403" t="s">
        <v>4326</v>
      </c>
      <c r="H883" s="403" t="s">
        <v>4324</v>
      </c>
      <c r="I883" s="32"/>
      <c r="J883" s="104"/>
      <c r="K883" s="104"/>
      <c r="L883" s="706"/>
      <c r="M883" s="43"/>
      <c r="N883" s="85"/>
      <c r="O883" s="85"/>
      <c r="X883" s="688"/>
      <c r="Y883" s="891"/>
      <c r="Z883" s="892"/>
      <c r="BJ883" s="573" t="s">
        <v>4670</v>
      </c>
    </row>
    <row r="884" spans="1:62" x14ac:dyDescent="0.35">
      <c r="A884" s="403">
        <v>7</v>
      </c>
      <c r="B884" s="609" t="s">
        <v>1014</v>
      </c>
      <c r="C884" s="609"/>
      <c r="D884" s="604"/>
      <c r="E884" s="604"/>
      <c r="F884" s="604"/>
      <c r="G884" s="403" t="s">
        <v>4326</v>
      </c>
      <c r="H884" s="403" t="s">
        <v>4324</v>
      </c>
      <c r="I884" s="161"/>
      <c r="J884" s="214"/>
      <c r="K884" s="214"/>
      <c r="L884" s="739"/>
      <c r="M884" s="198"/>
      <c r="N884" s="342"/>
      <c r="O884" s="342"/>
      <c r="P884" s="119"/>
      <c r="Q884" s="119"/>
      <c r="R884" s="119"/>
      <c r="S884" s="119"/>
      <c r="T884" s="119"/>
      <c r="U884" s="119"/>
      <c r="V884" s="119"/>
      <c r="W884" s="119"/>
      <c r="X884" s="688"/>
      <c r="Y884" s="891"/>
      <c r="Z884" s="892"/>
      <c r="BJ884" s="573" t="s">
        <v>4670</v>
      </c>
    </row>
    <row r="885" spans="1:62" x14ac:dyDescent="0.35">
      <c r="A885" s="403">
        <v>7</v>
      </c>
      <c r="B885" s="609" t="s">
        <v>1017</v>
      </c>
      <c r="C885" s="609"/>
      <c r="D885" s="604"/>
      <c r="E885" s="604"/>
      <c r="F885" s="604"/>
      <c r="G885" s="403" t="s">
        <v>4326</v>
      </c>
      <c r="H885" s="403" t="s">
        <v>4324</v>
      </c>
      <c r="I885" s="135" t="s">
        <v>1018</v>
      </c>
      <c r="J885" s="320"/>
      <c r="K885" s="320"/>
      <c r="L885" s="753" t="s">
        <v>1019</v>
      </c>
      <c r="M885" s="769" t="str">
        <f ca="1">IF(R885,"Mandatory","N/A")</f>
        <v>Mandatory</v>
      </c>
      <c r="N885" s="189"/>
      <c r="O885" s="189"/>
      <c r="P885" t="b">
        <v>1</v>
      </c>
      <c r="Q885" t="b">
        <v>1</v>
      </c>
      <c r="R885" s="138" t="b">
        <f ca="1">S885</f>
        <v>1</v>
      </c>
      <c r="S885" s="138" t="b">
        <f ca="1">NOT(S777=4)</f>
        <v>1</v>
      </c>
      <c r="T885" s="138" t="b">
        <f ca="1">AND(NOT(S885),W885=TRUE)</f>
        <v>0</v>
      </c>
      <c r="U885" s="138"/>
      <c r="V885" s="138"/>
      <c r="W885" s="17" t="b">
        <v>1</v>
      </c>
      <c r="X885" s="688"/>
      <c r="Y885" s="891" t="str">
        <f>IF(LEN('Ch7'!X121)=0,"None",'Ch7'!X121)</f>
        <v>None</v>
      </c>
      <c r="Z885" s="892"/>
      <c r="AC885" t="b">
        <f ca="1">OR(AD885:AE885)</f>
        <v>0</v>
      </c>
      <c r="AD885" t="b">
        <f ca="1">T885</f>
        <v>0</v>
      </c>
      <c r="AE885" t="b">
        <f ca="1">AND(R885,NOT(W885))</f>
        <v>0</v>
      </c>
      <c r="AF885" t="b">
        <f ca="1">AND(AE885,NOT(Q885))</f>
        <v>0</v>
      </c>
      <c r="AL885" t="str">
        <f t="shared" ref="AL885" si="249">SUBSTITUTE(SUBSTITUTE(SUBSTITUTE("vpa"&amp;$B885&amp;$C885&amp;$D885&amp;$E885&amp;$F885,".","_"),"(","_"),")","")</f>
        <v>vpa701_4_3_3_4</v>
      </c>
      <c r="AM885" t="str">
        <f ca="1">M885</f>
        <v>Mandatory</v>
      </c>
      <c r="AP885" t="str">
        <f>SUBSTITUTE(SUBSTITUTE(SUBSTITUTE("vch"&amp;$B885&amp;$C885&amp;$D885&amp;$E885&amp;$F885,".","_"),"(","_"),")","")</f>
        <v>vch701_4_3_3_4</v>
      </c>
      <c r="AQ885" t="b">
        <f>W885</f>
        <v>1</v>
      </c>
      <c r="AR885" t="str">
        <f>SUBSTITUTE(SUBSTITUTE(SUBSTITUTE("vnt"&amp;$B885&amp;$C885&amp;$D885&amp;$E885&amp;$F885,".","_"),"(","_"),")","")</f>
        <v>vnt701_4_3_3_4</v>
      </c>
      <c r="AS885">
        <f>X885</f>
        <v>0</v>
      </c>
      <c r="BJ885" s="573" t="s">
        <v>4670</v>
      </c>
    </row>
    <row r="886" spans="1:62" x14ac:dyDescent="0.35">
      <c r="A886" s="403">
        <v>7</v>
      </c>
      <c r="B886" s="609" t="s">
        <v>1017</v>
      </c>
      <c r="C886" s="609"/>
      <c r="D886" s="604"/>
      <c r="E886" s="604"/>
      <c r="F886" s="604"/>
      <c r="G886" s="403" t="s">
        <v>4326</v>
      </c>
      <c r="H886" s="403" t="s">
        <v>4324</v>
      </c>
      <c r="I886" s="4"/>
      <c r="J886" s="104"/>
      <c r="K886" s="104"/>
      <c r="L886" s="706"/>
      <c r="M886" s="740"/>
      <c r="N886" s="85"/>
      <c r="O886" s="85"/>
      <c r="X886" s="688"/>
      <c r="Y886" s="891"/>
      <c r="Z886" s="892"/>
      <c r="BJ886" s="573" t="s">
        <v>4670</v>
      </c>
    </row>
    <row r="887" spans="1:62" x14ac:dyDescent="0.35">
      <c r="A887" s="403">
        <v>7</v>
      </c>
      <c r="B887" s="609" t="s">
        <v>1017</v>
      </c>
      <c r="C887" s="609"/>
      <c r="D887" s="604"/>
      <c r="E887" s="604"/>
      <c r="F887" s="604"/>
      <c r="G887" s="403" t="s">
        <v>4326</v>
      </c>
      <c r="H887" s="403" t="s">
        <v>4324</v>
      </c>
      <c r="I887" s="4"/>
      <c r="J887" s="104"/>
      <c r="K887" s="104"/>
      <c r="L887" s="706"/>
      <c r="M887" s="740"/>
      <c r="N887" s="85"/>
      <c r="O887" s="85"/>
      <c r="X887" s="688"/>
      <c r="Y887" s="891"/>
      <c r="Z887" s="892"/>
      <c r="BJ887" s="573" t="s">
        <v>4670</v>
      </c>
    </row>
    <row r="888" spans="1:62" x14ac:dyDescent="0.35">
      <c r="A888" s="403">
        <v>7</v>
      </c>
      <c r="B888" s="609" t="s">
        <v>1017</v>
      </c>
      <c r="C888" s="609"/>
      <c r="D888" s="604"/>
      <c r="E888" s="604"/>
      <c r="F888" s="604"/>
      <c r="G888" s="403" t="s">
        <v>4326</v>
      </c>
      <c r="H888" s="403" t="s">
        <v>4324</v>
      </c>
      <c r="I888" s="4"/>
      <c r="J888" s="104"/>
      <c r="K888" s="104"/>
      <c r="L888" s="706"/>
      <c r="M888" s="740"/>
      <c r="N888" s="85"/>
      <c r="O888" s="85"/>
      <c r="X888" s="688"/>
      <c r="Y888" s="891"/>
      <c r="Z888" s="892"/>
      <c r="BJ888" s="573" t="s">
        <v>4670</v>
      </c>
    </row>
    <row r="889" spans="1:62" x14ac:dyDescent="0.35">
      <c r="A889" s="403">
        <v>7</v>
      </c>
      <c r="B889" s="609" t="s">
        <v>1017</v>
      </c>
      <c r="C889" s="609"/>
      <c r="D889" s="604"/>
      <c r="E889" s="604"/>
      <c r="F889" s="604"/>
      <c r="G889" s="403" t="s">
        <v>4326</v>
      </c>
      <c r="H889" s="403" t="s">
        <v>4324</v>
      </c>
      <c r="I889" s="4"/>
      <c r="J889" s="104"/>
      <c r="K889" s="104"/>
      <c r="L889" s="706"/>
      <c r="M889" s="740"/>
      <c r="N889" s="85"/>
      <c r="O889" s="85"/>
      <c r="X889" s="688"/>
      <c r="Y889" s="891"/>
      <c r="Z889" s="892"/>
      <c r="BJ889" s="573" t="s">
        <v>4670</v>
      </c>
    </row>
    <row r="890" spans="1:62" x14ac:dyDescent="0.35">
      <c r="A890" s="403">
        <v>7</v>
      </c>
      <c r="B890" s="609" t="s">
        <v>1017</v>
      </c>
      <c r="C890" s="609"/>
      <c r="D890" s="604"/>
      <c r="E890" s="604"/>
      <c r="F890" s="604"/>
      <c r="G890" s="403" t="s">
        <v>4326</v>
      </c>
      <c r="H890" s="403" t="s">
        <v>4324</v>
      </c>
      <c r="I890" s="155"/>
      <c r="J890" s="214"/>
      <c r="K890" s="214"/>
      <c r="L890" s="739"/>
      <c r="M890" s="741"/>
      <c r="N890" s="342"/>
      <c r="O890" s="342"/>
      <c r="P890" s="119"/>
      <c r="Q890" s="119"/>
      <c r="R890" s="119"/>
      <c r="S890" s="119"/>
      <c r="T890" s="119"/>
      <c r="U890" s="119"/>
      <c r="V890" s="119"/>
      <c r="W890" s="119"/>
      <c r="X890" s="688"/>
      <c r="Y890" s="891"/>
      <c r="Z890" s="892"/>
      <c r="BJ890" s="573" t="s">
        <v>4670</v>
      </c>
    </row>
    <row r="891" spans="1:62" x14ac:dyDescent="0.35">
      <c r="A891" s="403">
        <v>7</v>
      </c>
      <c r="B891" s="609" t="s">
        <v>1020</v>
      </c>
      <c r="C891" s="609"/>
      <c r="D891" s="604"/>
      <c r="E891" s="604"/>
      <c r="F891" s="604"/>
      <c r="G891" s="403" t="s">
        <v>4326</v>
      </c>
      <c r="H891" s="403" t="s">
        <v>4323</v>
      </c>
      <c r="I891" s="135" t="s">
        <v>1021</v>
      </c>
      <c r="J891" s="320"/>
      <c r="K891" s="320"/>
      <c r="L891" s="753" t="s">
        <v>1022</v>
      </c>
      <c r="M891" s="769" t="str">
        <f ca="1">IF(R891,"Mandatory","N/A")</f>
        <v>Mandatory</v>
      </c>
      <c r="N891" s="189"/>
      <c r="O891" s="189"/>
      <c r="P891" t="b">
        <v>1</v>
      </c>
      <c r="Q891" t="b">
        <v>1</v>
      </c>
      <c r="R891" s="138" t="b">
        <f ca="1">S891</f>
        <v>1</v>
      </c>
      <c r="S891" s="138" t="b">
        <f ca="1">NOT(S777=4)</f>
        <v>1</v>
      </c>
      <c r="T891" s="138" t="b">
        <f ca="1">AND(NOT(S891),LEN(W891)&gt;0)</f>
        <v>0</v>
      </c>
      <c r="U891" s="138" t="str">
        <f>SUBSTITUTE(SUBSTITUTE(SUBSTITUTE("dd"&amp;B891&amp;C891&amp;D891&amp;E891&amp;F891,".","_"),"(","_"),")","")</f>
        <v>dd701_4_3_3_5</v>
      </c>
      <c r="V891" s="138"/>
      <c r="W891" s="9" t="s">
        <v>3239</v>
      </c>
      <c r="X891" s="688"/>
      <c r="Y891" s="891" t="str">
        <f>IF(LEN('Ch7'!X127)=0,"None",'Ch7'!X127)</f>
        <v>None</v>
      </c>
      <c r="Z891" s="892"/>
      <c r="AC891" t="b">
        <f ca="1">OR(AD891:AE891)</f>
        <v>0</v>
      </c>
      <c r="AD891" t="b">
        <f ca="1">T891</f>
        <v>0</v>
      </c>
      <c r="AE891" t="b">
        <f ca="1">AND(R891,OR(W891="Not Met",W891=""))</f>
        <v>0</v>
      </c>
      <c r="AF891" t="b">
        <f ca="1">AND(AE891,NOT(Q891))</f>
        <v>0</v>
      </c>
      <c r="AL891" t="str">
        <f t="shared" ref="AL891" si="250">SUBSTITUTE(SUBSTITUTE(SUBSTITUTE("vpa"&amp;$B891&amp;$C891&amp;$D891&amp;$E891&amp;$F891,".","_"),"(","_"),")","")</f>
        <v>vpa701_4_3_3_5</v>
      </c>
      <c r="AM891" t="str">
        <f ca="1">M891</f>
        <v>Mandatory</v>
      </c>
      <c r="AP891" t="str">
        <f>SUBSTITUTE(SUBSTITUTE(SUBSTITUTE("vch"&amp;$B891&amp;$C891&amp;$D891&amp;$E891&amp;$F891,".","_"),"(","_"),")","")</f>
        <v>vch701_4_3_3_5</v>
      </c>
      <c r="AQ891" t="str">
        <f>W891</f>
        <v>Met</v>
      </c>
      <c r="AR891" t="str">
        <f>SUBSTITUTE(SUBSTITUTE(SUBSTITUTE("vnt"&amp;$B891&amp;$C891&amp;$D891&amp;$E891&amp;$F891,".","_"),"(","_"),")","")</f>
        <v>vnt701_4_3_3_5</v>
      </c>
      <c r="AS891">
        <f>X891</f>
        <v>0</v>
      </c>
      <c r="BJ891" s="573" t="s">
        <v>4670</v>
      </c>
    </row>
    <row r="892" spans="1:62" x14ac:dyDescent="0.35">
      <c r="A892" s="403">
        <v>7</v>
      </c>
      <c r="B892" s="609" t="s">
        <v>1020</v>
      </c>
      <c r="C892" s="609"/>
      <c r="D892" s="604"/>
      <c r="E892" s="604"/>
      <c r="F892" s="604"/>
      <c r="G892" s="403" t="s">
        <v>4326</v>
      </c>
      <c r="H892" s="403" t="s">
        <v>4323</v>
      </c>
      <c r="I892" s="4"/>
      <c r="J892" s="104"/>
      <c r="K892" s="104"/>
      <c r="L892" s="706"/>
      <c r="M892" s="740"/>
      <c r="N892" s="85"/>
      <c r="O892" s="85"/>
      <c r="X892" s="688"/>
      <c r="Y892" s="891"/>
      <c r="Z892" s="892"/>
      <c r="BJ892" s="573" t="s">
        <v>4670</v>
      </c>
    </row>
    <row r="893" spans="1:62" x14ac:dyDescent="0.35">
      <c r="A893" s="403">
        <v>7</v>
      </c>
      <c r="B893" s="609" t="s">
        <v>1020</v>
      </c>
      <c r="C893" s="609"/>
      <c r="D893" s="604"/>
      <c r="E893" s="604"/>
      <c r="F893" s="604"/>
      <c r="G893" s="403" t="s">
        <v>4326</v>
      </c>
      <c r="H893" s="403" t="s">
        <v>4323</v>
      </c>
      <c r="I893" s="4"/>
      <c r="J893" s="104"/>
      <c r="K893" s="104"/>
      <c r="L893" s="706"/>
      <c r="M893" s="740"/>
      <c r="N893" s="85"/>
      <c r="O893" s="85"/>
      <c r="X893" s="688"/>
      <c r="Y893" s="891"/>
      <c r="Z893" s="892"/>
      <c r="BJ893" s="573" t="s">
        <v>4670</v>
      </c>
    </row>
    <row r="894" spans="1:62" x14ac:dyDescent="0.35">
      <c r="A894" s="403">
        <v>7</v>
      </c>
      <c r="B894" s="609" t="s">
        <v>1020</v>
      </c>
      <c r="C894" s="609"/>
      <c r="D894" s="604"/>
      <c r="E894" s="604"/>
      <c r="F894" s="604"/>
      <c r="G894" s="403" t="s">
        <v>4326</v>
      </c>
      <c r="H894" s="403" t="s">
        <v>4323</v>
      </c>
      <c r="I894" s="4"/>
      <c r="J894" s="104"/>
      <c r="K894" s="104"/>
      <c r="L894" s="706"/>
      <c r="M894" s="740"/>
      <c r="N894" s="85"/>
      <c r="O894" s="85"/>
      <c r="X894" s="688"/>
      <c r="Y894" s="891"/>
      <c r="Z894" s="892"/>
      <c r="BJ894" s="573" t="s">
        <v>4670</v>
      </c>
    </row>
    <row r="895" spans="1:62" x14ac:dyDescent="0.35">
      <c r="A895" s="403">
        <v>7</v>
      </c>
      <c r="B895" s="609" t="s">
        <v>1020</v>
      </c>
      <c r="C895" s="609"/>
      <c r="D895" s="604"/>
      <c r="E895" s="604"/>
      <c r="F895" s="604"/>
      <c r="G895" s="403" t="s">
        <v>4326</v>
      </c>
      <c r="H895" s="403" t="s">
        <v>4323</v>
      </c>
      <c r="I895" s="4"/>
      <c r="J895" s="104"/>
      <c r="K895" s="104"/>
      <c r="L895" s="706"/>
      <c r="M895" s="740"/>
      <c r="N895" s="85"/>
      <c r="O895" s="85"/>
      <c r="X895" s="688"/>
      <c r="Y895" s="891"/>
      <c r="Z895" s="892"/>
      <c r="BJ895" s="573" t="s">
        <v>4670</v>
      </c>
    </row>
    <row r="896" spans="1:62" x14ac:dyDescent="0.35">
      <c r="A896" s="403">
        <v>7</v>
      </c>
      <c r="B896" s="609" t="s">
        <v>1020</v>
      </c>
      <c r="C896" s="609"/>
      <c r="D896" s="604"/>
      <c r="E896" s="604"/>
      <c r="F896" s="604"/>
      <c r="G896" s="403" t="s">
        <v>4326</v>
      </c>
      <c r="H896" s="403" t="s">
        <v>4323</v>
      </c>
      <c r="I896" s="155"/>
      <c r="J896" s="214"/>
      <c r="K896" s="214"/>
      <c r="L896" s="739"/>
      <c r="M896" s="741"/>
      <c r="N896" s="342"/>
      <c r="O896" s="342"/>
      <c r="P896" s="119"/>
      <c r="Q896" s="119"/>
      <c r="R896" s="119"/>
      <c r="S896" s="119"/>
      <c r="T896" s="119"/>
      <c r="U896" s="119"/>
      <c r="V896" s="119"/>
      <c r="W896" s="119"/>
      <c r="X896" s="688"/>
      <c r="Y896" s="891"/>
      <c r="Z896" s="892"/>
      <c r="BJ896" s="573" t="s">
        <v>4670</v>
      </c>
    </row>
    <row r="897" spans="1:62" x14ac:dyDescent="0.35">
      <c r="A897" s="403">
        <v>7</v>
      </c>
      <c r="B897" s="609" t="s">
        <v>1023</v>
      </c>
      <c r="C897" s="613"/>
      <c r="D897" s="604"/>
      <c r="E897" s="604"/>
      <c r="F897" s="604"/>
      <c r="G897" s="403" t="s">
        <v>4326</v>
      </c>
      <c r="H897" s="403" t="s">
        <v>4323</v>
      </c>
      <c r="I897" s="32" t="s">
        <v>1023</v>
      </c>
      <c r="J897" s="104"/>
      <c r="K897" s="104"/>
      <c r="L897" s="706" t="s">
        <v>1024</v>
      </c>
      <c r="M897" s="740" t="str">
        <f ca="1">IF(S899,"Mandatory","N/A")</f>
        <v>Mandatory</v>
      </c>
      <c r="N897" s="85"/>
      <c r="O897" s="85"/>
      <c r="Z897" s="543"/>
      <c r="AL897" t="str">
        <f t="shared" ref="AL897" si="251">SUBSTITUTE(SUBSTITUTE(SUBSTITUTE("vpa"&amp;$B897&amp;$C897&amp;$D897&amp;$E897&amp;$F897,".","_"),"(","_"),")","")</f>
        <v>vpa701_4_4</v>
      </c>
      <c r="AM897" t="str">
        <f ca="1">M897</f>
        <v>Mandatory</v>
      </c>
      <c r="BJ897" s="573" t="s">
        <v>4670</v>
      </c>
    </row>
    <row r="898" spans="1:62" x14ac:dyDescent="0.35">
      <c r="A898" s="403">
        <v>7</v>
      </c>
      <c r="B898" s="609" t="s">
        <v>1023</v>
      </c>
      <c r="C898" s="613"/>
      <c r="D898" s="604"/>
      <c r="E898" s="604"/>
      <c r="F898" s="604"/>
      <c r="G898" s="403" t="s">
        <v>4326</v>
      </c>
      <c r="H898" s="403" t="s">
        <v>4323</v>
      </c>
      <c r="I898" s="4"/>
      <c r="J898" s="104"/>
      <c r="K898" s="104"/>
      <c r="L898" s="706"/>
      <c r="M898" s="740"/>
      <c r="N898" s="85"/>
      <c r="O898" s="85"/>
      <c r="Z898" s="543"/>
      <c r="BJ898" s="573" t="s">
        <v>4670</v>
      </c>
    </row>
    <row r="899" spans="1:62" x14ac:dyDescent="0.35">
      <c r="A899" s="403">
        <v>7</v>
      </c>
      <c r="B899" s="609" t="s">
        <v>1023</v>
      </c>
      <c r="C899" s="613"/>
      <c r="D899" s="614" t="s">
        <v>270</v>
      </c>
      <c r="E899" s="604"/>
      <c r="F899" s="604"/>
      <c r="G899" s="403" t="s">
        <v>4326</v>
      </c>
      <c r="H899" s="403" t="s">
        <v>4323</v>
      </c>
      <c r="I899" s="4"/>
      <c r="J899" s="175" t="s">
        <v>270</v>
      </c>
      <c r="K899" s="104"/>
      <c r="L899" s="707" t="s">
        <v>1025</v>
      </c>
      <c r="M899" s="43"/>
      <c r="N899" s="85"/>
      <c r="O899" s="85"/>
      <c r="P899" t="b">
        <v>1</v>
      </c>
      <c r="Q899" t="b">
        <v>1</v>
      </c>
      <c r="R899" t="b">
        <f ca="1">AND(S899,NOT(W901))</f>
        <v>1</v>
      </c>
      <c r="S899" t="b">
        <f ca="1">NOT(S777=4)</f>
        <v>1</v>
      </c>
      <c r="T899" t="b">
        <f ca="1">AND(NOT(S899),W899=TRUE)</f>
        <v>0</v>
      </c>
      <c r="W899" s="17" t="b">
        <v>1</v>
      </c>
      <c r="X899" s="688"/>
      <c r="Y899" s="891" t="str">
        <f>IF(LEN('Ch7'!X135)=0,"None",'Ch7'!X135)</f>
        <v>None</v>
      </c>
      <c r="Z899" s="892"/>
      <c r="AC899" t="b">
        <f ca="1">OR(AD899:AE899)</f>
        <v>0</v>
      </c>
      <c r="AD899" t="b">
        <f ca="1">T899</f>
        <v>0</v>
      </c>
      <c r="AE899" t="b">
        <f ca="1">AND(R899,NOT(W899))</f>
        <v>0</v>
      </c>
      <c r="AF899" t="b">
        <f ca="1">AND(AE899,NOT(Q899))</f>
        <v>0</v>
      </c>
      <c r="AP899" t="str">
        <f>SUBSTITUTE(SUBSTITUTE(SUBSTITUTE("vch"&amp;$B899&amp;$C899&amp;$D899&amp;$E899&amp;$F899,".","_"),"(","_"),")","")</f>
        <v>vch701_4_4_1</v>
      </c>
      <c r="AQ899" t="b">
        <f>W899</f>
        <v>1</v>
      </c>
      <c r="AR899" t="str">
        <f>SUBSTITUTE(SUBSTITUTE(SUBSTITUTE("vnt"&amp;$B899&amp;$C899&amp;$D899&amp;$E899&amp;$F899,".","_"),"(","_"),")","")</f>
        <v>vnt701_4_4_1</v>
      </c>
      <c r="AS899">
        <f>X899</f>
        <v>0</v>
      </c>
      <c r="BJ899" s="573" t="s">
        <v>4670</v>
      </c>
    </row>
    <row r="900" spans="1:62" x14ac:dyDescent="0.35">
      <c r="A900" s="403">
        <v>7</v>
      </c>
      <c r="B900" s="609" t="s">
        <v>1023</v>
      </c>
      <c r="C900" s="613"/>
      <c r="D900" s="614" t="s">
        <v>270</v>
      </c>
      <c r="E900" s="604"/>
      <c r="F900" s="604"/>
      <c r="G900" s="403" t="s">
        <v>4326</v>
      </c>
      <c r="H900" s="403" t="s">
        <v>4323</v>
      </c>
      <c r="I900" s="4"/>
      <c r="J900" s="359"/>
      <c r="K900" s="214"/>
      <c r="L900" s="709"/>
      <c r="M900" s="43"/>
      <c r="N900" s="85"/>
      <c r="O900" s="85"/>
      <c r="X900" s="688"/>
      <c r="Y900" s="891"/>
      <c r="Z900" s="892"/>
      <c r="BJ900" s="573" t="s">
        <v>4670</v>
      </c>
    </row>
    <row r="901" spans="1:62" x14ac:dyDescent="0.35">
      <c r="A901" s="403">
        <v>7</v>
      </c>
      <c r="B901" s="609" t="s">
        <v>1023</v>
      </c>
      <c r="C901" s="613"/>
      <c r="D901" s="614" t="s">
        <v>272</v>
      </c>
      <c r="E901" s="604"/>
      <c r="F901" s="604"/>
      <c r="G901" s="403" t="s">
        <v>4326</v>
      </c>
      <c r="H901" s="403" t="s">
        <v>4323</v>
      </c>
      <c r="I901" s="155"/>
      <c r="J901" s="359" t="s">
        <v>272</v>
      </c>
      <c r="K901" s="214"/>
      <c r="L901" s="214" t="s">
        <v>1026</v>
      </c>
      <c r="M901" s="198"/>
      <c r="N901" s="342"/>
      <c r="O901" s="342"/>
      <c r="P901" t="b">
        <v>1</v>
      </c>
      <c r="Q901" t="b">
        <v>1</v>
      </c>
      <c r="R901" s="119" t="b">
        <f ca="1">AND(S901,NOT(W899))</f>
        <v>0</v>
      </c>
      <c r="S901" s="119" t="b">
        <f ca="1">NOT(S777=4)</f>
        <v>1</v>
      </c>
      <c r="T901" s="119" t="b">
        <f ca="1">AND(NOT(S901),W901=TRUE)</f>
        <v>0</v>
      </c>
      <c r="U901" s="119"/>
      <c r="V901" s="119"/>
      <c r="W901" s="17" t="b">
        <v>0</v>
      </c>
      <c r="X901" s="39"/>
      <c r="Y901" s="200" t="str">
        <f>IF(LEN('Ch7'!X137)=0,"None",'Ch7'!X137)</f>
        <v>None</v>
      </c>
      <c r="Z901" s="563"/>
      <c r="AC901" t="b">
        <f ca="1">OR(AD901:AE901)</f>
        <v>0</v>
      </c>
      <c r="AD901" t="b">
        <f ca="1">T901</f>
        <v>0</v>
      </c>
      <c r="AE901" t="b">
        <f ca="1">AND(R901,NOT(W901))</f>
        <v>0</v>
      </c>
      <c r="AF901" t="b">
        <f ca="1">AND(AE901,NOT(Q901))</f>
        <v>0</v>
      </c>
      <c r="AP901" t="str">
        <f t="shared" ref="AP901:AP902" si="252">SUBSTITUTE(SUBSTITUTE(SUBSTITUTE("vch"&amp;$B901&amp;$C901&amp;$D901&amp;$E901&amp;$F901,".","_"),"(","_"),")","")</f>
        <v>vch701_4_4_2</v>
      </c>
      <c r="AQ901" t="b">
        <f>W901</f>
        <v>0</v>
      </c>
      <c r="AR901" t="str">
        <f t="shared" ref="AR901:AR902" si="253">SUBSTITUTE(SUBSTITUTE(SUBSTITUTE("vnt"&amp;$B901&amp;$C901&amp;$D901&amp;$E901&amp;$F901,".","_"),"(","_"),")","")</f>
        <v>vnt701_4_4_2</v>
      </c>
      <c r="AS901">
        <f>X901</f>
        <v>0</v>
      </c>
      <c r="BJ901" s="573" t="s">
        <v>4670</v>
      </c>
    </row>
    <row r="902" spans="1:62" x14ac:dyDescent="0.35">
      <c r="A902" s="403">
        <v>7</v>
      </c>
      <c r="B902" s="609" t="s">
        <v>1027</v>
      </c>
      <c r="C902" s="613"/>
      <c r="D902" s="604"/>
      <c r="E902" s="604"/>
      <c r="F902" s="604"/>
      <c r="G902" s="403" t="s">
        <v>4326</v>
      </c>
      <c r="H902" s="403" t="s">
        <v>4324</v>
      </c>
      <c r="I902" s="32" t="s">
        <v>1027</v>
      </c>
      <c r="J902" s="104"/>
      <c r="K902" s="104"/>
      <c r="L902" s="110" t="s">
        <v>1028</v>
      </c>
      <c r="M902" s="556" t="str">
        <f ca="1">IF(R902,"Mandatory","N/A")</f>
        <v>N/A</v>
      </c>
      <c r="N902" s="85"/>
      <c r="O902" s="85"/>
      <c r="P902" t="b">
        <v>1</v>
      </c>
      <c r="Q902" t="b">
        <v>0</v>
      </c>
      <c r="R902" t="b">
        <f ca="1">S902</f>
        <v>0</v>
      </c>
      <c r="S902" t="b">
        <f ca="1">AND(NOT(S777=4),OR(AY797=INDEX(INDIRECT('Overview (Design)'!$E$31),2),AY798=INDEX(INDIRECT('Overview (Design)'!$E$31),2),AY799=INDEX(INDIRECT('Overview (Design)'!$E$31),2)))</f>
        <v>0</v>
      </c>
      <c r="T902" t="b">
        <f ca="1">AND(NOT(S902),W902=TRUE)</f>
        <v>0</v>
      </c>
      <c r="W902" s="17"/>
      <c r="X902" s="315"/>
      <c r="Y902" s="200" t="str">
        <f>IF(LEN('Ch7'!X138)=0,"None",'Ch7'!X138)</f>
        <v>None</v>
      </c>
      <c r="Z902" s="563"/>
      <c r="AL902" t="str">
        <f t="shared" ref="AL902" si="254">SUBSTITUTE(SUBSTITUTE(SUBSTITUTE("vpa"&amp;$B902&amp;$C902&amp;$D902&amp;$E902&amp;$F902,".","_"),"(","_"),")","")</f>
        <v>vpa701_4_5</v>
      </c>
      <c r="AM902" t="str">
        <f ca="1">M902</f>
        <v>N/A</v>
      </c>
      <c r="AP902" t="str">
        <f t="shared" si="252"/>
        <v>vch701_4_5</v>
      </c>
      <c r="AQ902">
        <f>W902</f>
        <v>0</v>
      </c>
      <c r="AR902" t="str">
        <f t="shared" si="253"/>
        <v>vnt701_4_5</v>
      </c>
      <c r="AS902">
        <f>X902</f>
        <v>0</v>
      </c>
      <c r="BJ902" s="573" t="s">
        <v>4670</v>
      </c>
    </row>
    <row r="903" spans="1:62" ht="18.5" x14ac:dyDescent="0.45">
      <c r="A903" s="403">
        <v>7</v>
      </c>
      <c r="B903" s="609">
        <v>702</v>
      </c>
      <c r="C903" s="613"/>
      <c r="D903" s="604"/>
      <c r="E903" s="604"/>
      <c r="F903" s="604"/>
      <c r="G903" s="403" t="s">
        <v>4326</v>
      </c>
      <c r="H903" s="403" t="s">
        <v>4323</v>
      </c>
      <c r="I903" s="10" t="s">
        <v>1029</v>
      </c>
      <c r="J903" s="47"/>
      <c r="K903" s="47"/>
      <c r="L903" s="47"/>
      <c r="M903" s="286"/>
      <c r="N903" s="340"/>
      <c r="O903" s="340"/>
      <c r="P903" s="15"/>
      <c r="Q903" s="15"/>
      <c r="R903" s="15"/>
      <c r="S903" s="15"/>
      <c r="T903" s="15"/>
      <c r="U903" s="15"/>
      <c r="V903" s="15"/>
      <c r="W903" s="15"/>
      <c r="X903" s="15"/>
      <c r="Z903" s="543"/>
      <c r="BJ903" s="573" t="s">
        <v>4670</v>
      </c>
    </row>
    <row r="904" spans="1:62" x14ac:dyDescent="0.35">
      <c r="A904" s="403">
        <v>7</v>
      </c>
      <c r="B904" s="609">
        <v>702.1</v>
      </c>
      <c r="C904" s="613"/>
      <c r="D904" s="604"/>
      <c r="E904" s="604"/>
      <c r="F904" s="604"/>
      <c r="I904" s="32">
        <v>702.1</v>
      </c>
      <c r="J904" s="104"/>
      <c r="K904" s="104"/>
      <c r="L904" s="706" t="s">
        <v>1030</v>
      </c>
      <c r="M904" s="309"/>
      <c r="N904" s="85"/>
      <c r="O904" s="85"/>
      <c r="Z904" s="543"/>
      <c r="BJ904" s="573" t="s">
        <v>4670</v>
      </c>
    </row>
    <row r="905" spans="1:62" ht="15" thickBot="1" x14ac:dyDescent="0.4">
      <c r="A905" s="403">
        <v>7</v>
      </c>
      <c r="B905" s="609">
        <v>702.1</v>
      </c>
      <c r="C905" s="613"/>
      <c r="D905" s="604"/>
      <c r="E905" s="604"/>
      <c r="F905" s="604"/>
      <c r="I905" s="183"/>
      <c r="J905" s="223"/>
      <c r="K905" s="223"/>
      <c r="L905" s="710"/>
      <c r="M905" s="351"/>
      <c r="N905" s="184"/>
      <c r="O905" s="184"/>
      <c r="P905" s="58"/>
      <c r="Q905" s="58"/>
      <c r="R905" s="58"/>
      <c r="S905" s="58"/>
      <c r="T905" s="58"/>
      <c r="U905" s="58"/>
      <c r="V905" s="58"/>
      <c r="W905" s="58"/>
      <c r="X905" s="58"/>
      <c r="Y905" s="58"/>
      <c r="Z905" s="566"/>
      <c r="BJ905" s="573" t="s">
        <v>4670</v>
      </c>
    </row>
    <row r="906" spans="1:62" ht="15" thickTop="1" x14ac:dyDescent="0.35">
      <c r="A906" s="403">
        <v>7</v>
      </c>
      <c r="B906" s="609">
        <v>702.2</v>
      </c>
      <c r="C906" s="613"/>
      <c r="D906" s="604"/>
      <c r="E906" s="604"/>
      <c r="F906" s="604"/>
      <c r="G906" s="403" t="s">
        <v>4326</v>
      </c>
      <c r="H906" s="403" t="s">
        <v>4325</v>
      </c>
      <c r="I906" s="123">
        <v>702.2</v>
      </c>
      <c r="J906" s="349"/>
      <c r="K906" s="349"/>
      <c r="L906" s="222" t="s">
        <v>1031</v>
      </c>
      <c r="M906" s="199"/>
      <c r="N906" s="341"/>
      <c r="O906" s="341"/>
      <c r="P906" s="62"/>
      <c r="Q906" s="62"/>
      <c r="R906" s="62"/>
      <c r="S906" s="62"/>
      <c r="T906" s="62"/>
      <c r="U906" s="62"/>
      <c r="V906" s="62"/>
      <c r="W906" s="62"/>
      <c r="X906" s="62"/>
      <c r="Z906" s="543"/>
      <c r="BJ906" s="573" t="s">
        <v>4670</v>
      </c>
    </row>
    <row r="907" spans="1:62" x14ac:dyDescent="0.35">
      <c r="A907" s="403">
        <v>7</v>
      </c>
      <c r="B907" s="609" t="s">
        <v>1032</v>
      </c>
      <c r="C907" s="613"/>
      <c r="D907" s="604"/>
      <c r="E907" s="604"/>
      <c r="F907" s="604"/>
      <c r="G907" s="403" t="s">
        <v>4326</v>
      </c>
      <c r="H907" s="403" t="s">
        <v>4325</v>
      </c>
      <c r="I907" s="34" t="s">
        <v>1032</v>
      </c>
      <c r="J907" s="104"/>
      <c r="K907" s="104"/>
      <c r="L907" s="706" t="s">
        <v>1033</v>
      </c>
      <c r="M907" s="740" t="str">
        <f ca="1">IF(R907,"Mandatory","N/A")</f>
        <v>N/A</v>
      </c>
      <c r="N907" s="85"/>
      <c r="O907" s="85"/>
      <c r="P907" t="b">
        <v>0</v>
      </c>
      <c r="Q907" t="b">
        <v>1</v>
      </c>
      <c r="R907" t="b">
        <f ca="1">S907</f>
        <v>0</v>
      </c>
      <c r="S907" t="b">
        <f ca="1">(S777=1)</f>
        <v>0</v>
      </c>
      <c r="T907" t="b">
        <f ca="1">AND(NOT(S907),W907=TRUE)</f>
        <v>0</v>
      </c>
      <c r="W907" s="17"/>
      <c r="X907" s="688"/>
      <c r="Y907" s="891" t="str">
        <f>IF(LEN('Ch7'!X143)=0,"None",'Ch7'!X143)</f>
        <v>None</v>
      </c>
      <c r="Z907" s="892"/>
      <c r="AC907" t="b">
        <f ca="1">OR(AD907:AE907)</f>
        <v>0</v>
      </c>
      <c r="AD907" t="b">
        <f ca="1">T907</f>
        <v>0</v>
      </c>
      <c r="AE907" t="b">
        <f ca="1">AND(R907,NOT(W907))</f>
        <v>0</v>
      </c>
      <c r="AF907" t="b">
        <f ca="1">AND(AE907,NOT(Q907))</f>
        <v>0</v>
      </c>
      <c r="AL907" t="str">
        <f t="shared" ref="AL907" si="255">SUBSTITUTE(SUBSTITUTE(SUBSTITUTE("vpa"&amp;$B907&amp;$C907&amp;$D907&amp;$E907&amp;$F907,".","_"),"(","_"),")","")</f>
        <v>vpa702_2_1</v>
      </c>
      <c r="AM907" t="str">
        <f ca="1">M907</f>
        <v>N/A</v>
      </c>
      <c r="AP907" t="str">
        <f>SUBSTITUTE(SUBSTITUTE(SUBSTITUTE("vch"&amp;$B907&amp;$C907&amp;$D907&amp;$E907&amp;$F907,".","_"),"(","_"),")","")</f>
        <v>vch702_2_1</v>
      </c>
      <c r="AQ907">
        <f>W907</f>
        <v>0</v>
      </c>
      <c r="AR907" t="str">
        <f>SUBSTITUTE(SUBSTITUTE(SUBSTITUTE("vnt"&amp;$B907&amp;$C907&amp;$D907&amp;$E907&amp;$F907,".","_"),"(","_"),")","")</f>
        <v>vnt702_2_1</v>
      </c>
      <c r="AS907">
        <f>X907</f>
        <v>0</v>
      </c>
      <c r="BJ907" s="573" t="s">
        <v>4670</v>
      </c>
    </row>
    <row r="908" spans="1:62" x14ac:dyDescent="0.35">
      <c r="A908" s="403">
        <v>7</v>
      </c>
      <c r="B908" s="609" t="s">
        <v>1032</v>
      </c>
      <c r="C908" s="613"/>
      <c r="D908" s="604"/>
      <c r="E908" s="604"/>
      <c r="F908" s="604"/>
      <c r="G908" s="403" t="s">
        <v>4326</v>
      </c>
      <c r="H908" s="403" t="s">
        <v>4325</v>
      </c>
      <c r="I908" s="4"/>
      <c r="J908" s="104"/>
      <c r="K908" s="104"/>
      <c r="L908" s="706"/>
      <c r="M908" s="740"/>
      <c r="N908" s="85"/>
      <c r="O908" s="85"/>
      <c r="X908" s="688"/>
      <c r="Y908" s="891"/>
      <c r="Z908" s="892"/>
      <c r="BJ908" s="573" t="s">
        <v>4670</v>
      </c>
    </row>
    <row r="909" spans="1:62" x14ac:dyDescent="0.35">
      <c r="A909" s="403">
        <v>7</v>
      </c>
      <c r="B909" s="609" t="s">
        <v>1032</v>
      </c>
      <c r="C909" s="613"/>
      <c r="D909" s="604"/>
      <c r="E909" s="604"/>
      <c r="F909" s="604"/>
      <c r="G909" s="403" t="s">
        <v>4326</v>
      </c>
      <c r="H909" s="403" t="s">
        <v>4325</v>
      </c>
      <c r="I909" s="4"/>
      <c r="J909" s="104"/>
      <c r="K909" s="104"/>
      <c r="L909" s="706"/>
      <c r="M909" s="740"/>
      <c r="N909" s="85"/>
      <c r="O909" s="85"/>
      <c r="X909" s="688"/>
      <c r="Y909" s="891"/>
      <c r="Z909" s="892"/>
      <c r="BJ909" s="573" t="s">
        <v>4670</v>
      </c>
    </row>
    <row r="910" spans="1:62" x14ac:dyDescent="0.35">
      <c r="A910" s="403">
        <v>7</v>
      </c>
      <c r="B910" s="609" t="s">
        <v>1032</v>
      </c>
      <c r="C910" s="613"/>
      <c r="D910" s="604"/>
      <c r="E910" s="604"/>
      <c r="F910" s="604"/>
      <c r="G910" s="403" t="s">
        <v>4326</v>
      </c>
      <c r="H910" s="403" t="s">
        <v>4325</v>
      </c>
      <c r="I910" s="155"/>
      <c r="J910" s="214"/>
      <c r="K910" s="214"/>
      <c r="L910" s="739"/>
      <c r="M910" s="741"/>
      <c r="N910" s="342"/>
      <c r="O910" s="342"/>
      <c r="P910" s="119"/>
      <c r="Q910" s="119"/>
      <c r="R910" s="119"/>
      <c r="S910" s="119"/>
      <c r="T910" s="119"/>
      <c r="U910" s="119"/>
      <c r="V910" s="119"/>
      <c r="W910" s="119"/>
      <c r="X910" s="688"/>
      <c r="Y910" s="891"/>
      <c r="Z910" s="892"/>
      <c r="BJ910" s="573" t="s">
        <v>4670</v>
      </c>
    </row>
    <row r="911" spans="1:62" x14ac:dyDescent="0.35">
      <c r="A911" s="403">
        <v>7</v>
      </c>
      <c r="B911" s="609" t="s">
        <v>1034</v>
      </c>
      <c r="C911" s="613"/>
      <c r="D911" s="604"/>
      <c r="E911" s="604"/>
      <c r="F911" s="604"/>
      <c r="G911" s="403" t="str">
        <f ca="1">IF(N911&gt;0,"P","")</f>
        <v/>
      </c>
      <c r="H911" s="403" t="s">
        <v>4325</v>
      </c>
      <c r="I911" s="34" t="s">
        <v>1034</v>
      </c>
      <c r="J911" s="104"/>
      <c r="K911" s="104"/>
      <c r="L911" s="706" t="s">
        <v>1035</v>
      </c>
      <c r="M911" s="737" t="s">
        <v>3722</v>
      </c>
      <c r="N911" s="696">
        <f ca="1">'Ch7'!O147</f>
        <v>0</v>
      </c>
      <c r="O911" s="696">
        <f ca="1">ROUNDDOWN(S913*IF(NOT(W913=""),30+(W913*200),0),0)</f>
        <v>0</v>
      </c>
      <c r="W911" s="637" t="s">
        <v>3723</v>
      </c>
      <c r="X911" s="700"/>
      <c r="Y911" s="891" t="str">
        <f>IF(LEN('Ch7'!X147)=0,"None",'Ch7'!X147)</f>
        <v>None</v>
      </c>
      <c r="Z911" s="892"/>
      <c r="AL911" t="str">
        <f t="shared" ref="AL911" si="256">SUBSTITUTE(SUBSTITUTE(SUBSTITUTE("vpa"&amp;$B911&amp;$C911&amp;$D911&amp;$E911&amp;$F911,".","_"),"(","_"),")","")</f>
        <v>vpa702_2_2</v>
      </c>
      <c r="AM911" t="str">
        <f>M911</f>
        <v>Points per formula</v>
      </c>
      <c r="AN911" t="str">
        <f>SUBSTITUTE(SUBSTITUTE(SUBSTITUTE("vpc"&amp;$B911&amp;$C911&amp;$D911&amp;$E911&amp;$F911,".","_"),"(","_"),")","")</f>
        <v>vpc702_2_2</v>
      </c>
      <c r="AO911">
        <f ca="1">O911</f>
        <v>0</v>
      </c>
      <c r="AR911" t="str">
        <f>SUBSTITUTE(SUBSTITUTE(SUBSTITUTE("vnt"&amp;$B911&amp;$C911&amp;$D911&amp;$E911&amp;$F911,".","_"),"(","_"),")","")</f>
        <v>vnt702_2_2</v>
      </c>
      <c r="AS911">
        <f>X911</f>
        <v>0</v>
      </c>
      <c r="BJ911" s="573" t="s">
        <v>4670</v>
      </c>
    </row>
    <row r="912" spans="1:62" x14ac:dyDescent="0.35">
      <c r="A912" s="403">
        <v>7</v>
      </c>
      <c r="B912" s="609" t="s">
        <v>1034</v>
      </c>
      <c r="C912" s="613"/>
      <c r="D912" s="604"/>
      <c r="E912" s="604"/>
      <c r="F912" s="604"/>
      <c r="G912" s="403" t="str">
        <f t="shared" ref="G912:G921" ca="1" si="257">G911</f>
        <v/>
      </c>
      <c r="H912" s="403" t="s">
        <v>4325</v>
      </c>
      <c r="I912" s="4"/>
      <c r="J912" s="104"/>
      <c r="K912" s="104"/>
      <c r="L912" s="706"/>
      <c r="M912" s="737"/>
      <c r="N912" s="696"/>
      <c r="O912" s="696"/>
      <c r="W912" s="637"/>
      <c r="X912" s="688"/>
      <c r="Y912" s="891"/>
      <c r="Z912" s="892"/>
      <c r="BJ912" s="573" t="s">
        <v>4670</v>
      </c>
    </row>
    <row r="913" spans="1:62" x14ac:dyDescent="0.35">
      <c r="A913" s="403">
        <v>7</v>
      </c>
      <c r="B913" s="609" t="s">
        <v>1034</v>
      </c>
      <c r="C913" s="613"/>
      <c r="D913" s="604"/>
      <c r="E913" s="604"/>
      <c r="F913" s="604"/>
      <c r="G913" s="403" t="str">
        <f t="shared" ca="1" si="257"/>
        <v/>
      </c>
      <c r="H913" s="403" t="s">
        <v>4325</v>
      </c>
      <c r="I913" s="4"/>
      <c r="J913" s="104"/>
      <c r="K913" s="104"/>
      <c r="L913" s="706"/>
      <c r="M913" s="737"/>
      <c r="N913" s="696"/>
      <c r="O913" s="696"/>
      <c r="P913" t="b">
        <v>0</v>
      </c>
      <c r="Q913" t="b">
        <v>1</v>
      </c>
      <c r="R913" t="b">
        <f ca="1">S913</f>
        <v>0</v>
      </c>
      <c r="S913" t="b">
        <f ca="1">(S777=1)</f>
        <v>0</v>
      </c>
      <c r="T913" t="b">
        <f ca="1">AND(NOT(S913),LEN(W913)&gt;0)</f>
        <v>0</v>
      </c>
      <c r="W913" s="112"/>
      <c r="X913" s="688"/>
      <c r="Y913" s="891"/>
      <c r="Z913" s="892"/>
      <c r="AC913" t="b">
        <f ca="1">OR(AD913:AE913)</f>
        <v>0</v>
      </c>
      <c r="AD913" t="b">
        <f ca="1">T913</f>
        <v>0</v>
      </c>
      <c r="AE913" t="b">
        <f ca="1">AND(R913,ISBLANK(W913))</f>
        <v>0</v>
      </c>
      <c r="AF913" t="b">
        <f ca="1">AND(AE913,NOT(Q913))</f>
        <v>0</v>
      </c>
      <c r="AP913" t="str">
        <f>SUBSTITUTE(SUBSTITUTE(SUBSTITUTE("vch"&amp;$B913&amp;$C913&amp;$D913&amp;$E913&amp;$F913,".","_"),"(","_"),")","")</f>
        <v>vch702_2_2</v>
      </c>
      <c r="AQ913" s="620">
        <f>W913</f>
        <v>0</v>
      </c>
      <c r="BJ913" s="573" t="s">
        <v>4670</v>
      </c>
    </row>
    <row r="914" spans="1:62" x14ac:dyDescent="0.35">
      <c r="A914" s="403">
        <v>7</v>
      </c>
      <c r="B914" s="609" t="s">
        <v>1034</v>
      </c>
      <c r="C914" s="613"/>
      <c r="D914" s="604"/>
      <c r="E914" s="604"/>
      <c r="F914" s="604"/>
      <c r="G914" s="403" t="str">
        <f t="shared" ca="1" si="257"/>
        <v/>
      </c>
      <c r="H914" s="403" t="s">
        <v>4325</v>
      </c>
      <c r="I914" s="4"/>
      <c r="J914" s="104"/>
      <c r="K914" s="104"/>
      <c r="L914" s="706"/>
      <c r="M914" s="737"/>
      <c r="N914" s="696"/>
      <c r="O914" s="696"/>
      <c r="X914" s="688"/>
      <c r="Y914" s="891"/>
      <c r="Z914" s="892"/>
      <c r="BJ914" s="573" t="s">
        <v>4670</v>
      </c>
    </row>
    <row r="915" spans="1:62" x14ac:dyDescent="0.35">
      <c r="A915" s="403">
        <v>7</v>
      </c>
      <c r="B915" s="609" t="s">
        <v>1034</v>
      </c>
      <c r="C915" s="613"/>
      <c r="D915" s="604"/>
      <c r="E915" s="604"/>
      <c r="F915" s="604"/>
      <c r="G915" s="403" t="str">
        <f t="shared" ca="1" si="257"/>
        <v/>
      </c>
      <c r="H915" s="403" t="s">
        <v>4325</v>
      </c>
      <c r="I915" s="4"/>
      <c r="J915" s="104"/>
      <c r="K915" s="104"/>
      <c r="L915" s="706"/>
      <c r="M915" s="737"/>
      <c r="N915" s="696"/>
      <c r="O915" s="696"/>
      <c r="X915" s="688"/>
      <c r="Y915" s="891"/>
      <c r="Z915" s="892"/>
      <c r="BJ915" s="573" t="s">
        <v>4670</v>
      </c>
    </row>
    <row r="916" spans="1:62" x14ac:dyDescent="0.35">
      <c r="A916" s="403">
        <v>7</v>
      </c>
      <c r="B916" s="609" t="s">
        <v>1034</v>
      </c>
      <c r="C916" s="613"/>
      <c r="D916" s="604"/>
      <c r="E916" s="604"/>
      <c r="F916" s="604"/>
      <c r="G916" s="403" t="str">
        <f t="shared" ca="1" si="257"/>
        <v/>
      </c>
      <c r="H916" s="403" t="s">
        <v>4325</v>
      </c>
      <c r="I916" s="4"/>
      <c r="J916" s="104"/>
      <c r="K916" s="104"/>
      <c r="L916" s="110" t="s">
        <v>1036</v>
      </c>
      <c r="M916" s="43"/>
      <c r="N916" s="85"/>
      <c r="O916" s="85"/>
      <c r="X916" s="688"/>
      <c r="Y916" s="891"/>
      <c r="Z916" s="892"/>
      <c r="BJ916" s="573" t="s">
        <v>4670</v>
      </c>
    </row>
    <row r="917" spans="1:62" x14ac:dyDescent="0.35">
      <c r="A917" s="403">
        <v>7</v>
      </c>
      <c r="B917" s="609" t="s">
        <v>1034</v>
      </c>
      <c r="C917" s="613"/>
      <c r="D917" s="604"/>
      <c r="E917" s="604" t="s">
        <v>4321</v>
      </c>
      <c r="F917" s="604"/>
      <c r="G917" s="403" t="str">
        <f t="shared" ca="1" si="257"/>
        <v/>
      </c>
      <c r="H917" s="403" t="s">
        <v>4325</v>
      </c>
      <c r="I917" s="4"/>
      <c r="J917" s="104"/>
      <c r="K917" s="104"/>
      <c r="L917" s="714" t="s">
        <v>3198</v>
      </c>
      <c r="M917" s="43"/>
      <c r="N917" s="85"/>
      <c r="O917" s="85"/>
      <c r="X917" s="688"/>
      <c r="Y917" s="891" t="str">
        <f>IF(LEN('Ch7'!X153)=0,"None",'Ch7'!X153)</f>
        <v>None</v>
      </c>
      <c r="Z917" s="892"/>
      <c r="AR917" t="str">
        <f>SUBSTITUTE(SUBSTITUTE(SUBSTITUTE("vnt"&amp;$B917&amp;$C917&amp;$D917&amp;$E917&amp;$F917,".","_"),"(","_"),")","")</f>
        <v>vnt702_2_2_m</v>
      </c>
      <c r="AS917">
        <f>X917</f>
        <v>0</v>
      </c>
      <c r="BJ917" s="573" t="s">
        <v>4670</v>
      </c>
    </row>
    <row r="918" spans="1:62" x14ac:dyDescent="0.35">
      <c r="A918" s="403">
        <v>7</v>
      </c>
      <c r="B918" s="609" t="s">
        <v>1034</v>
      </c>
      <c r="C918" s="613"/>
      <c r="D918" s="604"/>
      <c r="E918" s="604"/>
      <c r="F918" s="604"/>
      <c r="G918" s="403" t="str">
        <f t="shared" ca="1" si="257"/>
        <v/>
      </c>
      <c r="H918" s="403" t="s">
        <v>4325</v>
      </c>
      <c r="I918" s="4"/>
      <c r="J918" s="104"/>
      <c r="K918" s="104"/>
      <c r="L918" s="714"/>
      <c r="M918" s="43"/>
      <c r="N918" s="85"/>
      <c r="O918" s="85"/>
      <c r="X918" s="688"/>
      <c r="Y918" s="891"/>
      <c r="Z918" s="892"/>
      <c r="BJ918" s="573" t="s">
        <v>4670</v>
      </c>
    </row>
    <row r="919" spans="1:62" x14ac:dyDescent="0.35">
      <c r="A919" s="403">
        <v>7</v>
      </c>
      <c r="B919" s="609" t="s">
        <v>1034</v>
      </c>
      <c r="C919" s="613"/>
      <c r="D919" s="604"/>
      <c r="E919" s="604"/>
      <c r="F919" s="604"/>
      <c r="G919" s="403" t="str">
        <f t="shared" ca="1" si="257"/>
        <v/>
      </c>
      <c r="H919" s="403" t="s">
        <v>4325</v>
      </c>
      <c r="I919" s="155"/>
      <c r="J919" s="214"/>
      <c r="K919" s="214"/>
      <c r="L919" s="755"/>
      <c r="M919" s="367"/>
      <c r="N919" s="85"/>
      <c r="O919" s="85"/>
      <c r="W919" s="68"/>
      <c r="X919" s="688"/>
      <c r="Y919" s="891"/>
      <c r="Z919" s="892"/>
      <c r="BJ919" s="573" t="s">
        <v>4670</v>
      </c>
    </row>
    <row r="920" spans="1:62" x14ac:dyDescent="0.35">
      <c r="A920" s="403">
        <v>7</v>
      </c>
      <c r="B920" s="609" t="s">
        <v>1037</v>
      </c>
      <c r="C920" s="613"/>
      <c r="D920" s="604"/>
      <c r="E920" s="604"/>
      <c r="F920" s="604"/>
      <c r="G920" s="403" t="str">
        <f t="shared" ca="1" si="257"/>
        <v/>
      </c>
      <c r="H920" s="403" t="s">
        <v>4325</v>
      </c>
      <c r="I920" s="34" t="s">
        <v>1037</v>
      </c>
      <c r="J920" s="104"/>
      <c r="K920" s="104"/>
      <c r="L920" s="706" t="s">
        <v>1038</v>
      </c>
      <c r="M920" s="43"/>
      <c r="N920" s="85"/>
      <c r="O920" s="85"/>
      <c r="X920" s="700"/>
      <c r="Y920" s="891" t="str">
        <f>IF(LEN('Ch7'!X156)=0,"None",'Ch7'!X156)</f>
        <v>None</v>
      </c>
      <c r="Z920" s="892"/>
      <c r="AR920" t="str">
        <f>SUBSTITUTE(SUBSTITUTE(SUBSTITUTE("vnt"&amp;$B920&amp;$C920&amp;$D920&amp;$E920&amp;$F920,".","_"),"(","_"),")","")</f>
        <v>vnt702_2_3</v>
      </c>
      <c r="AS920">
        <f>X920</f>
        <v>0</v>
      </c>
      <c r="BJ920" s="573" t="s">
        <v>4670</v>
      </c>
    </row>
    <row r="921" spans="1:62" x14ac:dyDescent="0.35">
      <c r="A921" s="403">
        <v>7</v>
      </c>
      <c r="B921" s="609" t="s">
        <v>1037</v>
      </c>
      <c r="C921" s="613"/>
      <c r="D921" s="604"/>
      <c r="E921" s="604"/>
      <c r="F921" s="604"/>
      <c r="G921" s="403" t="str">
        <f t="shared" ca="1" si="257"/>
        <v/>
      </c>
      <c r="H921" s="403" t="s">
        <v>4325</v>
      </c>
      <c r="I921" s="4"/>
      <c r="J921" s="104"/>
      <c r="K921" s="104"/>
      <c r="L921" s="706"/>
      <c r="M921" s="43"/>
      <c r="N921" s="85"/>
      <c r="O921" s="85"/>
      <c r="X921" s="688"/>
      <c r="Y921" s="891"/>
      <c r="Z921" s="892"/>
      <c r="BJ921" s="573" t="s">
        <v>4670</v>
      </c>
    </row>
    <row r="922" spans="1:62" ht="18.5" x14ac:dyDescent="0.45">
      <c r="A922" s="403">
        <v>7</v>
      </c>
      <c r="B922" s="609">
        <v>703</v>
      </c>
      <c r="C922" s="613"/>
      <c r="D922" s="604"/>
      <c r="E922" s="604"/>
      <c r="F922" s="604"/>
      <c r="G922" s="403" t="s">
        <v>4326</v>
      </c>
      <c r="H922" s="403" t="s">
        <v>4323</v>
      </c>
      <c r="I922" s="10" t="s">
        <v>1039</v>
      </c>
      <c r="J922" s="47"/>
      <c r="K922" s="47"/>
      <c r="L922" s="47"/>
      <c r="M922" s="286"/>
      <c r="N922" s="340"/>
      <c r="O922" s="340"/>
      <c r="P922" s="15"/>
      <c r="Q922" s="15"/>
      <c r="R922" s="15"/>
      <c r="S922" s="15"/>
      <c r="T922" s="15"/>
      <c r="U922" s="15"/>
      <c r="V922" s="15"/>
      <c r="W922" s="15"/>
      <c r="X922" s="15"/>
      <c r="Z922" s="543"/>
      <c r="BJ922" s="573" t="s">
        <v>4670</v>
      </c>
    </row>
    <row r="923" spans="1:62" x14ac:dyDescent="0.35">
      <c r="A923" s="403">
        <v>7</v>
      </c>
      <c r="B923" s="609">
        <v>703.1</v>
      </c>
      <c r="C923" s="613"/>
      <c r="D923" s="604"/>
      <c r="E923" s="604"/>
      <c r="F923" s="604"/>
      <c r="G923" s="403" t="s">
        <v>4326</v>
      </c>
      <c r="H923" s="403" t="s">
        <v>4325</v>
      </c>
      <c r="I923" s="32">
        <v>703.1</v>
      </c>
      <c r="J923" s="104"/>
      <c r="K923" s="104"/>
      <c r="L923" s="110" t="s">
        <v>1040</v>
      </c>
      <c r="M923" s="43">
        <v>30</v>
      </c>
      <c r="N923" s="85">
        <f ca="1">'Ch7'!O159</f>
        <v>30</v>
      </c>
      <c r="O923" s="43">
        <f ca="1">30*AND((W937=TRUE),(W924=TRUE),LEN(W940)&gt;0)*S924</f>
        <v>0</v>
      </c>
      <c r="Z923" s="543"/>
      <c r="AL923" t="str">
        <f t="shared" ref="AL923:AL924" si="258">SUBSTITUTE(SUBSTITUTE(SUBSTITUTE("vpa"&amp;$B923&amp;$C923&amp;$D923&amp;$E923&amp;$F923,".","_"),"(","_"),")","")</f>
        <v>vpa703_1</v>
      </c>
      <c r="AM923">
        <f>M923</f>
        <v>30</v>
      </c>
      <c r="AN923" t="str">
        <f>SUBSTITUTE(SUBSTITUTE(SUBSTITUTE("vpc"&amp;$B923&amp;$C923&amp;$D923&amp;$E923&amp;$F923,".","_"),"(","_"),")","")</f>
        <v>vpc703_1</v>
      </c>
      <c r="AO923">
        <f ca="1">O923</f>
        <v>0</v>
      </c>
      <c r="BJ923" s="573" t="s">
        <v>4670</v>
      </c>
    </row>
    <row r="924" spans="1:62" x14ac:dyDescent="0.35">
      <c r="A924" s="403">
        <v>7</v>
      </c>
      <c r="B924" s="609" t="s">
        <v>1041</v>
      </c>
      <c r="C924" s="613"/>
      <c r="D924" s="604"/>
      <c r="E924" s="604"/>
      <c r="F924" s="604"/>
      <c r="G924" s="403" t="s">
        <v>4326</v>
      </c>
      <c r="H924" s="403" t="s">
        <v>4325</v>
      </c>
      <c r="I924" s="34" t="s">
        <v>1041</v>
      </c>
      <c r="J924" s="104"/>
      <c r="K924" s="104"/>
      <c r="L924" s="706" t="s">
        <v>1042</v>
      </c>
      <c r="M924" s="740" t="str">
        <f ca="1">IF(R924,"Mandatory","N/A")</f>
        <v>N/A</v>
      </c>
      <c r="N924" s="85"/>
      <c r="O924" s="85"/>
      <c r="P924" t="b">
        <v>0</v>
      </c>
      <c r="Q924" t="b">
        <v>1</v>
      </c>
      <c r="R924" t="b">
        <f ca="1">AND(S924,NOT(BI781="Tropical"))</f>
        <v>0</v>
      </c>
      <c r="S924" t="b">
        <f ca="1">(S777=2)</f>
        <v>0</v>
      </c>
      <c r="T924" t="b">
        <f ca="1">AND(NOT(S924),W924=TRUE)</f>
        <v>0</v>
      </c>
      <c r="W924" s="17"/>
      <c r="X924" s="688"/>
      <c r="Y924" s="891" t="str">
        <f>IF(LEN('Ch7'!X160)=0,"None",'Ch7'!X160)</f>
        <v>None</v>
      </c>
      <c r="Z924" s="892"/>
      <c r="AC924" t="b">
        <f ca="1">OR(AD924:AE924)</f>
        <v>0</v>
      </c>
      <c r="AD924" t="b">
        <f ca="1">T924</f>
        <v>0</v>
      </c>
      <c r="AE924" t="b">
        <f ca="1">AND(R924,NOT(W924))</f>
        <v>0</v>
      </c>
      <c r="AF924" t="b">
        <f ca="1">AND(AE924,NOT(Q924))</f>
        <v>0</v>
      </c>
      <c r="AL924" t="str">
        <f t="shared" si="258"/>
        <v>vpa703_1_1</v>
      </c>
      <c r="AM924" t="str">
        <f ca="1">M924</f>
        <v>N/A</v>
      </c>
      <c r="AP924" t="str">
        <f>SUBSTITUTE(SUBSTITUTE(SUBSTITUTE("vch"&amp;$B924&amp;$C924&amp;$D924&amp;$E924&amp;$F924,".","_"),"(","_"),")","")</f>
        <v>vch703_1_1</v>
      </c>
      <c r="AQ924">
        <f>W924</f>
        <v>0</v>
      </c>
      <c r="AR924" t="str">
        <f>SUBSTITUTE(SUBSTITUTE(SUBSTITUTE("vnt"&amp;$B924&amp;$C924&amp;$D924&amp;$E924&amp;$F924,".","_"),"(","_"),")","")</f>
        <v>vnt703_1_1</v>
      </c>
      <c r="AS924">
        <f>X924</f>
        <v>0</v>
      </c>
      <c r="BJ924" s="573" t="s">
        <v>4670</v>
      </c>
    </row>
    <row r="925" spans="1:62" x14ac:dyDescent="0.35">
      <c r="A925" s="403">
        <v>7</v>
      </c>
      <c r="B925" s="609" t="s">
        <v>1041</v>
      </c>
      <c r="C925" s="613"/>
      <c r="D925" s="604"/>
      <c r="E925" s="604"/>
      <c r="F925" s="604"/>
      <c r="G925" s="403" t="s">
        <v>4326</v>
      </c>
      <c r="H925" s="403" t="s">
        <v>4325</v>
      </c>
      <c r="I925" s="4"/>
      <c r="J925" s="104"/>
      <c r="K925" s="104"/>
      <c r="L925" s="706"/>
      <c r="M925" s="740"/>
      <c r="N925" s="85"/>
      <c r="O925" s="85"/>
      <c r="X925" s="688"/>
      <c r="Y925" s="891"/>
      <c r="Z925" s="892"/>
      <c r="BJ925" s="573" t="s">
        <v>4670</v>
      </c>
    </row>
    <row r="926" spans="1:62" x14ac:dyDescent="0.35">
      <c r="A926" s="403">
        <v>7</v>
      </c>
      <c r="B926" s="609" t="s">
        <v>1041</v>
      </c>
      <c r="C926" s="613"/>
      <c r="D926" s="604"/>
      <c r="E926" s="604"/>
      <c r="F926" s="604"/>
      <c r="G926" s="403" t="s">
        <v>4326</v>
      </c>
      <c r="H926" s="403" t="s">
        <v>4325</v>
      </c>
      <c r="I926" s="155"/>
      <c r="J926" s="214"/>
      <c r="K926" s="214"/>
      <c r="L926" s="121" t="s">
        <v>3199</v>
      </c>
      <c r="M926" s="43"/>
      <c r="N926" s="85"/>
      <c r="O926" s="85"/>
      <c r="X926" s="688"/>
      <c r="Y926" s="891"/>
      <c r="Z926" s="892"/>
      <c r="BJ926" s="573" t="s">
        <v>4670</v>
      </c>
    </row>
    <row r="927" spans="1:62" x14ac:dyDescent="0.35">
      <c r="A927" s="403">
        <v>7</v>
      </c>
      <c r="B927" s="609" t="s">
        <v>1043</v>
      </c>
      <c r="C927" s="609"/>
      <c r="D927" s="604"/>
      <c r="E927" s="604"/>
      <c r="F927" s="604"/>
      <c r="G927" s="403" t="s">
        <v>4326</v>
      </c>
      <c r="H927" s="403" t="s">
        <v>4325</v>
      </c>
      <c r="I927" s="362" t="s">
        <v>1044</v>
      </c>
      <c r="J927" s="320"/>
      <c r="K927" s="320"/>
      <c r="L927" s="753" t="s">
        <v>1045</v>
      </c>
      <c r="M927" s="43"/>
      <c r="N927" s="85"/>
      <c r="O927" s="85"/>
      <c r="X927" s="688"/>
      <c r="Y927" s="891"/>
      <c r="Z927" s="892"/>
      <c r="BJ927" s="573" t="s">
        <v>4670</v>
      </c>
    </row>
    <row r="928" spans="1:62" x14ac:dyDescent="0.35">
      <c r="A928" s="403">
        <v>7</v>
      </c>
      <c r="B928" s="609" t="s">
        <v>1043</v>
      </c>
      <c r="C928" s="609"/>
      <c r="D928" s="604"/>
      <c r="E928" s="604"/>
      <c r="F928" s="604"/>
      <c r="G928" s="403" t="s">
        <v>4326</v>
      </c>
      <c r="H928" s="403" t="s">
        <v>4325</v>
      </c>
      <c r="I928" s="4"/>
      <c r="J928" s="104"/>
      <c r="K928" s="104"/>
      <c r="L928" s="706"/>
      <c r="M928" s="43"/>
      <c r="N928" s="85"/>
      <c r="O928" s="85"/>
      <c r="X928" s="688"/>
      <c r="Y928" s="891"/>
      <c r="Z928" s="892"/>
      <c r="BJ928" s="573" t="s">
        <v>4670</v>
      </c>
    </row>
    <row r="929" spans="1:62" x14ac:dyDescent="0.35">
      <c r="A929" s="403">
        <v>7</v>
      </c>
      <c r="B929" s="609" t="s">
        <v>1043</v>
      </c>
      <c r="C929" s="609"/>
      <c r="D929" s="604"/>
      <c r="E929" s="604"/>
      <c r="F929" s="604"/>
      <c r="G929" s="403" t="s">
        <v>4326</v>
      </c>
      <c r="H929" s="403" t="s">
        <v>4325</v>
      </c>
      <c r="I929" s="4"/>
      <c r="J929" s="104"/>
      <c r="K929" s="104"/>
      <c r="L929" s="706"/>
      <c r="M929" s="43"/>
      <c r="N929" s="85"/>
      <c r="O929" s="85"/>
      <c r="X929" s="688"/>
      <c r="Y929" s="891"/>
      <c r="Z929" s="892"/>
      <c r="BJ929" s="573" t="s">
        <v>4670</v>
      </c>
    </row>
    <row r="930" spans="1:62" x14ac:dyDescent="0.35">
      <c r="A930" s="403">
        <v>7</v>
      </c>
      <c r="B930" s="609" t="s">
        <v>1043</v>
      </c>
      <c r="C930" s="609"/>
      <c r="D930" s="604"/>
      <c r="E930" s="604"/>
      <c r="F930" s="604"/>
      <c r="G930" s="403" t="s">
        <v>4326</v>
      </c>
      <c r="H930" s="403" t="s">
        <v>4325</v>
      </c>
      <c r="I930" s="4"/>
      <c r="J930" s="104"/>
      <c r="K930" s="104"/>
      <c r="L930" s="706"/>
      <c r="M930" s="43"/>
      <c r="N930" s="85"/>
      <c r="O930" s="85"/>
      <c r="X930" s="688"/>
      <c r="Y930" s="891"/>
      <c r="Z930" s="892"/>
      <c r="BJ930" s="573" t="s">
        <v>4670</v>
      </c>
    </row>
    <row r="931" spans="1:62" x14ac:dyDescent="0.35">
      <c r="A931" s="403">
        <v>7</v>
      </c>
      <c r="B931" s="609" t="s">
        <v>1043</v>
      </c>
      <c r="C931" s="609"/>
      <c r="D931" s="604"/>
      <c r="E931" s="604"/>
      <c r="F931" s="604"/>
      <c r="G931" s="403" t="s">
        <v>4326</v>
      </c>
      <c r="H931" s="403" t="s">
        <v>4325</v>
      </c>
      <c r="I931" s="4"/>
      <c r="J931" s="104"/>
      <c r="K931" s="104"/>
      <c r="L931" s="706"/>
      <c r="M931" s="43"/>
      <c r="N931" s="85"/>
      <c r="O931" s="85"/>
      <c r="X931" s="688"/>
      <c r="Y931" s="891"/>
      <c r="Z931" s="892"/>
      <c r="BJ931" s="573" t="s">
        <v>4670</v>
      </c>
    </row>
    <row r="932" spans="1:62" x14ac:dyDescent="0.35">
      <c r="A932" s="403">
        <v>7</v>
      </c>
      <c r="B932" s="609" t="s">
        <v>1043</v>
      </c>
      <c r="C932" s="609"/>
      <c r="D932" s="604"/>
      <c r="E932" s="604"/>
      <c r="F932" s="604"/>
      <c r="G932" s="403" t="s">
        <v>4326</v>
      </c>
      <c r="H932" s="403" t="s">
        <v>4325</v>
      </c>
      <c r="I932" s="155"/>
      <c r="J932" s="214"/>
      <c r="K932" s="214"/>
      <c r="L932" s="739"/>
      <c r="M932" s="43"/>
      <c r="N932" s="85"/>
      <c r="O932" s="85"/>
      <c r="X932" s="688"/>
      <c r="Y932" s="891"/>
      <c r="Z932" s="892"/>
      <c r="BJ932" s="573" t="s">
        <v>4670</v>
      </c>
    </row>
    <row r="933" spans="1:62" x14ac:dyDescent="0.35">
      <c r="A933" s="403">
        <v>7</v>
      </c>
      <c r="B933" s="609" t="s">
        <v>1046</v>
      </c>
      <c r="C933" s="609"/>
      <c r="D933" s="604"/>
      <c r="E933" s="604"/>
      <c r="F933" s="604"/>
      <c r="G933" s="403" t="s">
        <v>4326</v>
      </c>
      <c r="H933" s="403" t="s">
        <v>4325</v>
      </c>
      <c r="I933" s="362" t="s">
        <v>1047</v>
      </c>
      <c r="J933" s="320"/>
      <c r="K933" s="320"/>
      <c r="L933" s="753" t="s">
        <v>1048</v>
      </c>
      <c r="M933" s="43"/>
      <c r="N933" s="85"/>
      <c r="O933" s="85"/>
      <c r="X933" s="688"/>
      <c r="Y933" s="891"/>
      <c r="Z933" s="892"/>
      <c r="BJ933" s="573" t="s">
        <v>4670</v>
      </c>
    </row>
    <row r="934" spans="1:62" x14ac:dyDescent="0.35">
      <c r="A934" s="403">
        <v>7</v>
      </c>
      <c r="B934" s="609" t="s">
        <v>1046</v>
      </c>
      <c r="C934" s="609"/>
      <c r="D934" s="604"/>
      <c r="E934" s="604"/>
      <c r="F934" s="604"/>
      <c r="G934" s="403" t="s">
        <v>4326</v>
      </c>
      <c r="H934" s="403" t="s">
        <v>4325</v>
      </c>
      <c r="I934" s="4"/>
      <c r="J934" s="104"/>
      <c r="K934" s="104"/>
      <c r="L934" s="706"/>
      <c r="M934" s="43"/>
      <c r="N934" s="85"/>
      <c r="O934" s="85"/>
      <c r="X934" s="688"/>
      <c r="Y934" s="891"/>
      <c r="Z934" s="892"/>
      <c r="BJ934" s="573" t="s">
        <v>4670</v>
      </c>
    </row>
    <row r="935" spans="1:62" x14ac:dyDescent="0.35">
      <c r="A935" s="403">
        <v>7</v>
      </c>
      <c r="B935" s="609" t="s">
        <v>1046</v>
      </c>
      <c r="C935" s="609"/>
      <c r="D935" s="604"/>
      <c r="E935" s="604"/>
      <c r="F935" s="604"/>
      <c r="G935" s="403" t="s">
        <v>4326</v>
      </c>
      <c r="H935" s="403" t="s">
        <v>4325</v>
      </c>
      <c r="I935" s="4"/>
      <c r="J935" s="104"/>
      <c r="K935" s="104"/>
      <c r="L935" s="706"/>
      <c r="M935" s="43"/>
      <c r="N935" s="85"/>
      <c r="O935" s="85"/>
      <c r="X935" s="688"/>
      <c r="Y935" s="891"/>
      <c r="Z935" s="892"/>
      <c r="BJ935" s="573" t="s">
        <v>4670</v>
      </c>
    </row>
    <row r="936" spans="1:62" x14ac:dyDescent="0.35">
      <c r="A936" s="403">
        <v>7</v>
      </c>
      <c r="B936" s="609" t="s">
        <v>1046</v>
      </c>
      <c r="C936" s="609"/>
      <c r="D936" s="604"/>
      <c r="E936" s="604"/>
      <c r="F936" s="604"/>
      <c r="G936" s="403" t="s">
        <v>4326</v>
      </c>
      <c r="H936" s="403" t="s">
        <v>4325</v>
      </c>
      <c r="I936" s="155"/>
      <c r="J936" s="214"/>
      <c r="K936" s="214"/>
      <c r="L936" s="739"/>
      <c r="M936" s="198"/>
      <c r="N936" s="85"/>
      <c r="O936" s="85"/>
      <c r="X936" s="688"/>
      <c r="Y936" s="891"/>
      <c r="Z936" s="892"/>
      <c r="BJ936" s="573" t="s">
        <v>4670</v>
      </c>
    </row>
    <row r="937" spans="1:62" x14ac:dyDescent="0.35">
      <c r="A937" s="403">
        <v>7</v>
      </c>
      <c r="B937" s="609" t="s">
        <v>1049</v>
      </c>
      <c r="C937" s="613"/>
      <c r="D937" s="604"/>
      <c r="E937" s="604"/>
      <c r="F937" s="604"/>
      <c r="G937" s="403" t="s">
        <v>4326</v>
      </c>
      <c r="H937" s="403" t="s">
        <v>4325</v>
      </c>
      <c r="I937" s="34" t="s">
        <v>1049</v>
      </c>
      <c r="J937" s="104"/>
      <c r="K937" s="104"/>
      <c r="L937" s="706" t="s">
        <v>1050</v>
      </c>
      <c r="M937" s="740" t="str">
        <f ca="1">IF(R937,"Mandatory","N/A")</f>
        <v>N/A</v>
      </c>
      <c r="N937" s="85"/>
      <c r="O937" s="85"/>
      <c r="P937" t="b">
        <v>0</v>
      </c>
      <c r="Q937" t="b">
        <v>1</v>
      </c>
      <c r="R937" t="b">
        <f ca="1">AND(S937,NOT(BI781="Tropical"))</f>
        <v>0</v>
      </c>
      <c r="S937" t="b">
        <f ca="1">(S777=2)</f>
        <v>0</v>
      </c>
      <c r="T937" t="b">
        <f ca="1">AND(W937=TRUE, OR(NOT(S937), MAX(W839,W1295)&gt;T938, MAX(W842,W1297)&gt;T939))</f>
        <v>0</v>
      </c>
      <c r="W937" s="17"/>
      <c r="X937" s="688"/>
      <c r="Y937" s="891" t="str">
        <f>IF(LEN('Ch7'!X173)=0,"None",'Ch7'!X173)</f>
        <v>None</v>
      </c>
      <c r="Z937" s="892"/>
      <c r="AC937" t="b">
        <f ca="1">OR(AD937:AE937)</f>
        <v>0</v>
      </c>
      <c r="AD937" t="b">
        <f ca="1">T937</f>
        <v>0</v>
      </c>
      <c r="AE937" t="b">
        <f ca="1">AND(R937,NOT(W937))</f>
        <v>0</v>
      </c>
      <c r="AF937" t="b">
        <f ca="1">AND(AE937,NOT(Q937))</f>
        <v>0</v>
      </c>
      <c r="AL937" t="str">
        <f t="shared" ref="AL937" si="259">SUBSTITUTE(SUBSTITUTE(SUBSTITUTE("vpa"&amp;$B937&amp;$C937&amp;$D937&amp;$E937&amp;$F937,".","_"),"(","_"),")","")</f>
        <v>vpa703_1_2</v>
      </c>
      <c r="AM937" t="str">
        <f ca="1">M937</f>
        <v>N/A</v>
      </c>
      <c r="AP937" t="str">
        <f>SUBSTITUTE(SUBSTITUTE(SUBSTITUTE("vch"&amp;$B937&amp;$C937&amp;$D937&amp;$E937&amp;$F937,".","_"),"(","_"),")","")</f>
        <v>vch703_1_2</v>
      </c>
      <c r="AQ937">
        <f>W937</f>
        <v>0</v>
      </c>
      <c r="AR937" t="str">
        <f>SUBSTITUTE(SUBSTITUTE(SUBSTITUTE("vnt"&amp;$B937&amp;$C937&amp;$D937&amp;$E937&amp;$F937,".","_"),"(","_"),")","")</f>
        <v>vnt703_1_2</v>
      </c>
      <c r="AS937">
        <f>X937</f>
        <v>0</v>
      </c>
      <c r="BJ937" s="573" t="s">
        <v>4670</v>
      </c>
    </row>
    <row r="938" spans="1:62" x14ac:dyDescent="0.35">
      <c r="A938" s="403">
        <v>7</v>
      </c>
      <c r="B938" s="609" t="s">
        <v>1049</v>
      </c>
      <c r="C938" s="613"/>
      <c r="D938" s="604"/>
      <c r="E938" s="604"/>
      <c r="F938" s="604"/>
      <c r="G938" s="403" t="s">
        <v>4326</v>
      </c>
      <c r="H938" s="403" t="s">
        <v>4325</v>
      </c>
      <c r="I938" s="4"/>
      <c r="J938" s="104"/>
      <c r="K938" s="104"/>
      <c r="L938" s="706"/>
      <c r="M938" s="740"/>
      <c r="N938" s="85"/>
      <c r="O938" s="85"/>
      <c r="S938" s="285" t="s">
        <v>4803</v>
      </c>
      <c r="T938" s="1">
        <f>IF(BF781&lt;=2, 3, 5)</f>
        <v>5</v>
      </c>
      <c r="X938" s="688"/>
      <c r="Y938" s="891"/>
      <c r="Z938" s="892"/>
      <c r="BJ938" s="573" t="s">
        <v>4670</v>
      </c>
    </row>
    <row r="939" spans="1:62" x14ac:dyDescent="0.35">
      <c r="A939" s="403">
        <v>7</v>
      </c>
      <c r="B939" s="609" t="s">
        <v>1049</v>
      </c>
      <c r="C939" s="613"/>
      <c r="D939" s="604"/>
      <c r="E939" s="604"/>
      <c r="F939" s="604"/>
      <c r="G939" s="403" t="s">
        <v>4326</v>
      </c>
      <c r="H939" s="403" t="s">
        <v>4325</v>
      </c>
      <c r="I939" s="155"/>
      <c r="J939" s="214"/>
      <c r="K939" s="214"/>
      <c r="L939" s="121" t="s">
        <v>4687</v>
      </c>
      <c r="M939" s="574"/>
      <c r="N939" s="342"/>
      <c r="O939" s="85"/>
      <c r="R939" s="119"/>
      <c r="S939" s="591" t="s">
        <v>4804</v>
      </c>
      <c r="T939" s="592">
        <f>IF(AY790&gt;=5, 0.4, IF(BF781&lt;=2, 0.33, 0.23))</f>
        <v>0.23</v>
      </c>
      <c r="U939" s="119"/>
      <c r="V939" s="119"/>
      <c r="X939" s="688"/>
      <c r="Y939" s="891"/>
      <c r="Z939" s="892"/>
      <c r="BJ939" s="573" t="s">
        <v>4670</v>
      </c>
    </row>
    <row r="940" spans="1:62" x14ac:dyDescent="0.35">
      <c r="A940" s="403">
        <v>7</v>
      </c>
      <c r="B940" s="609" t="s">
        <v>1051</v>
      </c>
      <c r="C940" s="613"/>
      <c r="D940" s="604"/>
      <c r="E940" s="604"/>
      <c r="F940" s="604"/>
      <c r="G940" s="403" t="s">
        <v>4326</v>
      </c>
      <c r="H940" s="403" t="s">
        <v>4323</v>
      </c>
      <c r="I940" s="34" t="s">
        <v>1051</v>
      </c>
      <c r="J940" s="104"/>
      <c r="K940" s="104"/>
      <c r="L940" s="706" t="s">
        <v>1052</v>
      </c>
      <c r="M940" s="740" t="str">
        <f ca="1">IF(R940,"Mandatory","N/A")</f>
        <v>N/A</v>
      </c>
      <c r="N940" s="85"/>
      <c r="O940" s="189"/>
      <c r="P940" s="138" t="b">
        <v>1</v>
      </c>
      <c r="Q940" s="138" t="b">
        <v>1</v>
      </c>
      <c r="R940" t="b">
        <f ca="1">AND(S940,NOT(AND(AY784="Multifamily",AY790&gt;3)),NOT(BI781="Tropical"))</f>
        <v>0</v>
      </c>
      <c r="S940" t="b">
        <f ca="1">AND(S777=2,NOT(AND(AY801=INDEX(INDIRECT('Overview (Design)'!$E$35),3),AY805=INDEX(INDIRECT('Overview (Design)'!$E$39),3))))</f>
        <v>0</v>
      </c>
      <c r="T940" t="b">
        <f ca="1">AND(NOT(S940),LEN(W940)&gt;0)</f>
        <v>0</v>
      </c>
      <c r="U940" s="138" t="str">
        <f>SUBSTITUTE(SUBSTITUTE(SUBSTITUTE("dd"&amp;B940&amp;C940&amp;D940&amp;E940&amp;F940,".","_"),"(","_"),")","")</f>
        <v>dd703_1_3</v>
      </c>
      <c r="W940" s="9"/>
      <c r="X940" s="688"/>
      <c r="Y940" s="891" t="str">
        <f>IF(LEN('Ch7'!X176)=0,"None",'Ch7'!X176)</f>
        <v>None</v>
      </c>
      <c r="Z940" s="892"/>
      <c r="AC940" t="b">
        <f ca="1">OR(AD940:AE940)</f>
        <v>0</v>
      </c>
      <c r="AD940" t="b">
        <f ca="1">T940</f>
        <v>0</v>
      </c>
      <c r="AE940" t="b">
        <f ca="1">AND(R940,OR(W940="Not Met",W940=""))</f>
        <v>0</v>
      </c>
      <c r="AF940" t="b">
        <f ca="1">AND(AE940,NOT(Q940))</f>
        <v>0</v>
      </c>
      <c r="AL940" t="str">
        <f t="shared" ref="AL940" si="260">SUBSTITUTE(SUBSTITUTE(SUBSTITUTE("vpa"&amp;$B940&amp;$C940&amp;$D940&amp;$E940&amp;$F940,".","_"),"(","_"),")","")</f>
        <v>vpa703_1_3</v>
      </c>
      <c r="AM940" t="str">
        <f ca="1">M940</f>
        <v>N/A</v>
      </c>
      <c r="AP940" t="str">
        <f>SUBSTITUTE(SUBSTITUTE(SUBSTITUTE("vch"&amp;$B940&amp;$C940&amp;$D940&amp;$E940&amp;$F940,".","_"),"(","_"),")","")</f>
        <v>vch703_1_3</v>
      </c>
      <c r="AQ940">
        <f>W940</f>
        <v>0</v>
      </c>
      <c r="AR940" t="str">
        <f>SUBSTITUTE(SUBSTITUTE(SUBSTITUTE("vnt"&amp;$B940&amp;$C940&amp;$D940&amp;$E940&amp;$F940,".","_"),"(","_"),")","")</f>
        <v>vnt703_1_3</v>
      </c>
      <c r="AS940">
        <f>X940</f>
        <v>0</v>
      </c>
      <c r="BJ940" s="573" t="s">
        <v>4670</v>
      </c>
    </row>
    <row r="941" spans="1:62" x14ac:dyDescent="0.35">
      <c r="A941" s="403">
        <v>7</v>
      </c>
      <c r="B941" s="609" t="s">
        <v>1051</v>
      </c>
      <c r="C941" s="613"/>
      <c r="D941" s="604"/>
      <c r="E941" s="604"/>
      <c r="F941" s="604"/>
      <c r="G941" s="403" t="s">
        <v>4326</v>
      </c>
      <c r="H941" s="403" t="s">
        <v>4323</v>
      </c>
      <c r="I941" s="34"/>
      <c r="J941" s="104"/>
      <c r="K941" s="104"/>
      <c r="L941" s="706"/>
      <c r="M941" s="740"/>
      <c r="N941" s="85"/>
      <c r="O941" s="85"/>
      <c r="W941" t="s">
        <v>4784</v>
      </c>
      <c r="X941" s="698"/>
      <c r="Y941" s="906"/>
      <c r="Z941" s="897"/>
      <c r="BJ941" s="573"/>
    </row>
    <row r="942" spans="1:62" x14ac:dyDescent="0.35">
      <c r="A942" s="403">
        <v>7</v>
      </c>
      <c r="B942" s="609" t="s">
        <v>1051</v>
      </c>
      <c r="C942" s="613" t="s">
        <v>4692</v>
      </c>
      <c r="D942" s="604"/>
      <c r="E942" s="604"/>
      <c r="F942" s="604"/>
      <c r="G942" s="403" t="s">
        <v>4326</v>
      </c>
      <c r="H942" s="403" t="s">
        <v>4323</v>
      </c>
      <c r="I942" s="34"/>
      <c r="J942" s="104"/>
      <c r="K942" s="104"/>
      <c r="L942" s="706"/>
      <c r="M942" s="740"/>
      <c r="N942" s="85"/>
      <c r="O942" s="85"/>
      <c r="P942" t="b">
        <v>1</v>
      </c>
      <c r="Q942" t="b">
        <v>0</v>
      </c>
      <c r="R942" t="b">
        <f ca="1">W940=INDEX(INDIRECT(U940),1)</f>
        <v>0</v>
      </c>
      <c r="S942" t="b">
        <f ca="1">S940</f>
        <v>0</v>
      </c>
      <c r="T942" t="b">
        <f ca="1">AND(NOT(S942),LEN(W942)&gt;0)</f>
        <v>0</v>
      </c>
      <c r="W942" s="112"/>
      <c r="X942" s="698"/>
      <c r="Y942" s="906"/>
      <c r="Z942" s="897"/>
      <c r="AC942" t="b">
        <f ca="1">OR(AD942:AE942)</f>
        <v>0</v>
      </c>
      <c r="AD942" t="b">
        <f ca="1">T942</f>
        <v>0</v>
      </c>
      <c r="AE942" t="b">
        <f ca="1">AND(R942,OR(W942="Not Met",W942=""))</f>
        <v>0</v>
      </c>
      <c r="AF942" t="b">
        <f ca="1">AND(AE942,NOT(Q942))</f>
        <v>0</v>
      </c>
      <c r="AP942" t="str">
        <f>SUBSTITUTE(SUBSTITUTE(SUBSTITUTE("vch"&amp;$B942&amp;$C942&amp;$D942&amp;$E942&amp;$F942,".","_"),"(","_"),")","")</f>
        <v>vch703_1_3_1</v>
      </c>
      <c r="AQ942">
        <f>W942</f>
        <v>0</v>
      </c>
      <c r="BJ942" s="573"/>
    </row>
    <row r="943" spans="1:62" x14ac:dyDescent="0.35">
      <c r="A943" s="403">
        <v>7</v>
      </c>
      <c r="B943" s="609" t="s">
        <v>1051</v>
      </c>
      <c r="C943" s="613"/>
      <c r="D943" s="604"/>
      <c r="E943" s="604"/>
      <c r="F943" s="604"/>
      <c r="G943" s="403" t="s">
        <v>4326</v>
      </c>
      <c r="H943" s="403" t="s">
        <v>4323</v>
      </c>
      <c r="I943" s="34"/>
      <c r="J943" s="104"/>
      <c r="K943" s="104"/>
      <c r="L943" s="706"/>
      <c r="M943" s="740"/>
      <c r="N943" s="85"/>
      <c r="O943" s="85"/>
      <c r="W943" t="s">
        <v>4785</v>
      </c>
      <c r="X943" s="698"/>
      <c r="Y943" s="906"/>
      <c r="Z943" s="897"/>
      <c r="BJ943" s="573"/>
    </row>
    <row r="944" spans="1:62" ht="15" thickBot="1" x14ac:dyDescent="0.4">
      <c r="A944" s="403">
        <v>7</v>
      </c>
      <c r="B944" s="609" t="s">
        <v>1051</v>
      </c>
      <c r="C944" s="613" t="s">
        <v>4693</v>
      </c>
      <c r="D944" s="604"/>
      <c r="E944" s="604"/>
      <c r="F944" s="604"/>
      <c r="G944" s="403" t="s">
        <v>4326</v>
      </c>
      <c r="H944" s="403" t="s">
        <v>4323</v>
      </c>
      <c r="I944" s="183"/>
      <c r="J944" s="223"/>
      <c r="K944" s="223"/>
      <c r="L944" s="710"/>
      <c r="M944" s="771"/>
      <c r="N944" s="184"/>
      <c r="O944" s="184"/>
      <c r="P944" s="58" t="b">
        <v>0</v>
      </c>
      <c r="Q944" s="58" t="b">
        <v>1</v>
      </c>
      <c r="R944" s="58" t="b">
        <f ca="1">W940=INDEX(INDIRECT(U940),1)</f>
        <v>0</v>
      </c>
      <c r="S944" s="58" t="b">
        <f ca="1">S940</f>
        <v>0</v>
      </c>
      <c r="T944" s="58" t="b">
        <f ca="1">AND(NOT(S944),LEN(W944)&gt;0)</f>
        <v>0</v>
      </c>
      <c r="U944" s="58"/>
      <c r="V944" s="58"/>
      <c r="W944" s="589"/>
      <c r="X944" s="689"/>
      <c r="Y944" s="905"/>
      <c r="Z944" s="895"/>
      <c r="AC944" t="b">
        <f ca="1">OR(AD944:AE944)</f>
        <v>0</v>
      </c>
      <c r="AD944" t="b">
        <f ca="1">T944</f>
        <v>0</v>
      </c>
      <c r="AE944" t="b">
        <f ca="1">AND(R944,OR(W944="Not Met",W944=""))</f>
        <v>0</v>
      </c>
      <c r="AF944" t="b">
        <f ca="1">AND(AE944,NOT(Q944))</f>
        <v>0</v>
      </c>
      <c r="AP944" t="str">
        <f>SUBSTITUTE(SUBSTITUTE(SUBSTITUTE("vch"&amp;$B944&amp;$C944&amp;$D944&amp;$E944&amp;$F944,".","_"),"(","_"),")","")</f>
        <v>vch703_1_3_2</v>
      </c>
      <c r="AQ944">
        <f>W944</f>
        <v>0</v>
      </c>
      <c r="BJ944" s="573" t="s">
        <v>4670</v>
      </c>
    </row>
    <row r="945" spans="1:62" ht="15" thickTop="1" x14ac:dyDescent="0.35">
      <c r="A945" s="403">
        <v>7</v>
      </c>
      <c r="B945" s="609">
        <v>703.2</v>
      </c>
      <c r="C945" s="613"/>
      <c r="D945" s="604"/>
      <c r="E945" s="604"/>
      <c r="F945" s="604"/>
      <c r="G945" s="600" t="str">
        <f ca="1">IF(COUNTIF(G946:G977,"P")&gt;0,"P","")</f>
        <v/>
      </c>
      <c r="H945" s="403" t="s">
        <v>4323</v>
      </c>
      <c r="I945" s="32">
        <v>703.2</v>
      </c>
      <c r="J945" s="104"/>
      <c r="K945" s="104"/>
      <c r="L945" s="110" t="s">
        <v>1053</v>
      </c>
      <c r="M945" s="43"/>
      <c r="N945" s="85"/>
      <c r="O945" s="85"/>
      <c r="Z945" s="543"/>
      <c r="BJ945" s="573" t="s">
        <v>4670</v>
      </c>
    </row>
    <row r="946" spans="1:62" x14ac:dyDescent="0.35">
      <c r="A946" s="403">
        <v>7</v>
      </c>
      <c r="B946" s="609" t="s">
        <v>1054</v>
      </c>
      <c r="C946" s="613"/>
      <c r="D946" s="604"/>
      <c r="E946" s="604"/>
      <c r="F946" s="604"/>
      <c r="G946" s="403" t="str">
        <f>IF(N946&gt;0,"P","")</f>
        <v/>
      </c>
      <c r="H946" s="403" t="s">
        <v>4325</v>
      </c>
      <c r="I946" s="32" t="s">
        <v>1054</v>
      </c>
      <c r="J946" s="104"/>
      <c r="K946" s="104"/>
      <c r="L946" s="706" t="s">
        <v>1055</v>
      </c>
      <c r="M946" s="770" t="s">
        <v>1056</v>
      </c>
      <c r="N946" s="696">
        <f>'Ch7'!O182</f>
        <v>0</v>
      </c>
      <c r="O946" s="696">
        <f>W946*IFERROR(Formulas!$C$19,0)</f>
        <v>0</v>
      </c>
      <c r="P946" t="b">
        <v>0</v>
      </c>
      <c r="Q946" t="b">
        <v>1</v>
      </c>
      <c r="R946" t="b">
        <v>0</v>
      </c>
      <c r="S946" t="b">
        <f ca="1">(S777=2)</f>
        <v>0</v>
      </c>
      <c r="T946" t="b">
        <f ca="1">AND(NOT(S946),W946=TRUE)</f>
        <v>0</v>
      </c>
      <c r="W946" s="17"/>
      <c r="X946" s="688"/>
      <c r="Y946" s="891" t="str">
        <f>IF(LEN('Ch7'!X182)=0,"None",'Ch7'!X182)</f>
        <v>None</v>
      </c>
      <c r="Z946" s="892"/>
      <c r="AC946" t="b">
        <f ca="1">OR(AD946:AE946)</f>
        <v>0</v>
      </c>
      <c r="AD946" t="b">
        <f ca="1">T946</f>
        <v>0</v>
      </c>
      <c r="AE946" t="b">
        <f>AND(R946,NOT(W946))</f>
        <v>0</v>
      </c>
      <c r="AF946" t="b">
        <f>AND(AE946,NOT(Q946))</f>
        <v>0</v>
      </c>
      <c r="AL946" t="str">
        <f t="shared" ref="AL946" si="261">SUBSTITUTE(SUBSTITUTE(SUBSTITUTE("vpa"&amp;$B946&amp;$C946&amp;$D946&amp;$E946&amp;$F946,".","_"),"(","_"),")","")</f>
        <v>vpa703_2_1</v>
      </c>
      <c r="AM946" t="str">
        <f>M946</f>
        <v>Per Table 703.2.1(b)</v>
      </c>
      <c r="AN946" t="str">
        <f>SUBSTITUTE(SUBSTITUTE(SUBSTITUTE("vpc"&amp;$B946&amp;$C946&amp;$D946&amp;$E946&amp;$F946,".","_"),"(","_"),")","")</f>
        <v>vpc703_2_1</v>
      </c>
      <c r="AO946">
        <f>O946</f>
        <v>0</v>
      </c>
      <c r="AP946" t="str">
        <f>SUBSTITUTE(SUBSTITUTE(SUBSTITUTE("vch"&amp;$B946&amp;$C946&amp;$D946&amp;$E946&amp;$F946,".","_"),"(","_"),")","")</f>
        <v>vch703_2_1</v>
      </c>
      <c r="AQ946">
        <f>W946</f>
        <v>0</v>
      </c>
      <c r="AR946" t="str">
        <f>SUBSTITUTE(SUBSTITUTE(SUBSTITUTE("vnt"&amp;$B946&amp;$C946&amp;$D946&amp;$E946&amp;$F946,".","_"),"(","_"),")","")</f>
        <v>vnt703_2_1</v>
      </c>
      <c r="AS946">
        <f>X946</f>
        <v>0</v>
      </c>
      <c r="BJ946" s="573" t="s">
        <v>4670</v>
      </c>
    </row>
    <row r="947" spans="1:62" x14ac:dyDescent="0.35">
      <c r="A947" s="403">
        <v>7</v>
      </c>
      <c r="B947" s="609" t="s">
        <v>1054</v>
      </c>
      <c r="C947" s="613"/>
      <c r="D947" s="604"/>
      <c r="E947" s="604"/>
      <c r="F947" s="604"/>
      <c r="G947" s="403" t="str">
        <f t="shared" ref="G947:G952" si="262">G946</f>
        <v/>
      </c>
      <c r="H947" s="403" t="s">
        <v>4325</v>
      </c>
      <c r="I947" s="4"/>
      <c r="J947" s="104"/>
      <c r="K947" s="104"/>
      <c r="L947" s="706"/>
      <c r="M947" s="770"/>
      <c r="N947" s="696"/>
      <c r="O947" s="696"/>
      <c r="W947" t="s">
        <v>3758</v>
      </c>
      <c r="X947" s="688"/>
      <c r="Y947" s="891"/>
      <c r="Z947" s="892"/>
      <c r="BJ947" s="573" t="s">
        <v>4670</v>
      </c>
    </row>
    <row r="948" spans="1:62" x14ac:dyDescent="0.35">
      <c r="A948" s="403">
        <v>7</v>
      </c>
      <c r="B948" s="609" t="s">
        <v>1054</v>
      </c>
      <c r="C948" s="613"/>
      <c r="D948" s="614" t="s">
        <v>272</v>
      </c>
      <c r="E948" s="604"/>
      <c r="F948" s="604"/>
      <c r="G948" s="403" t="str">
        <f t="shared" si="262"/>
        <v/>
      </c>
      <c r="H948" s="403" t="s">
        <v>4325</v>
      </c>
      <c r="I948" s="4"/>
      <c r="J948" s="104"/>
      <c r="K948" s="104"/>
      <c r="L948" s="706"/>
      <c r="M948" s="770"/>
      <c r="N948" s="696"/>
      <c r="O948" s="696"/>
      <c r="P948" t="b">
        <v>0</v>
      </c>
      <c r="Q948" t="b">
        <v>1</v>
      </c>
      <c r="R948" t="b">
        <v>0</v>
      </c>
      <c r="S948" t="b">
        <f ca="1">(S777=2)</f>
        <v>0</v>
      </c>
      <c r="T948" t="b">
        <f ca="1">AND(NOT(S948),LEN(W948)&gt;0)</f>
        <v>0</v>
      </c>
      <c r="W948" s="112"/>
      <c r="X948" s="688"/>
      <c r="Y948" s="891"/>
      <c r="Z948" s="892"/>
      <c r="AC948" t="b">
        <f ca="1">OR(AD948:AE948)</f>
        <v>0</v>
      </c>
      <c r="AD948" t="b">
        <f ca="1">T948</f>
        <v>0</v>
      </c>
      <c r="AE948" t="b">
        <f>AND(R948,ISBLANK(W948))</f>
        <v>0</v>
      </c>
      <c r="AF948" t="b">
        <f>AND(AE948,NOT(Q948))</f>
        <v>0</v>
      </c>
      <c r="AP948" t="str">
        <f>SUBSTITUTE(SUBSTITUTE(SUBSTITUTE("vch"&amp;$B948&amp;$C948&amp;$D948&amp;$E948&amp;$F948,".","_"),"(","_"),")","")</f>
        <v>vch703_2_1_2</v>
      </c>
      <c r="AQ948" s="620">
        <f>W948</f>
        <v>0</v>
      </c>
      <c r="BJ948" s="573" t="s">
        <v>4670</v>
      </c>
    </row>
    <row r="949" spans="1:62" x14ac:dyDescent="0.35">
      <c r="A949" s="403">
        <v>7</v>
      </c>
      <c r="B949" s="609" t="s">
        <v>1054</v>
      </c>
      <c r="C949" s="613"/>
      <c r="D949" s="604"/>
      <c r="E949" s="604"/>
      <c r="F949" s="604"/>
      <c r="G949" s="403" t="str">
        <f t="shared" si="262"/>
        <v/>
      </c>
      <c r="H949" s="403" t="s">
        <v>4325</v>
      </c>
      <c r="I949" s="4"/>
      <c r="J949" s="104"/>
      <c r="K949" s="104"/>
      <c r="L949" s="706"/>
      <c r="M949" s="770"/>
      <c r="N949" s="696"/>
      <c r="O949" s="696"/>
      <c r="X949" s="688"/>
      <c r="Y949" s="891"/>
      <c r="Z949" s="892"/>
      <c r="BJ949" s="573" t="s">
        <v>4670</v>
      </c>
    </row>
    <row r="950" spans="1:62" x14ac:dyDescent="0.35">
      <c r="A950" s="403">
        <v>7</v>
      </c>
      <c r="B950" s="609" t="s">
        <v>1054</v>
      </c>
      <c r="C950" s="613"/>
      <c r="D950" s="604"/>
      <c r="E950" s="604"/>
      <c r="F950" s="604"/>
      <c r="G950" s="403" t="str">
        <f t="shared" si="262"/>
        <v/>
      </c>
      <c r="H950" s="403" t="s">
        <v>4325</v>
      </c>
      <c r="I950" s="4"/>
      <c r="J950" s="104"/>
      <c r="K950" s="104"/>
      <c r="L950" s="706"/>
      <c r="M950" s="770"/>
      <c r="N950" s="696"/>
      <c r="O950" s="696"/>
      <c r="X950" s="688"/>
      <c r="Y950" s="891"/>
      <c r="Z950" s="892"/>
      <c r="BJ950" s="573" t="s">
        <v>4670</v>
      </c>
    </row>
    <row r="951" spans="1:62" x14ac:dyDescent="0.35">
      <c r="A951" s="403">
        <v>7</v>
      </c>
      <c r="B951" s="609" t="s">
        <v>1054</v>
      </c>
      <c r="C951" s="613"/>
      <c r="D951" s="604"/>
      <c r="E951" s="604"/>
      <c r="F951" s="604"/>
      <c r="G951" s="403" t="str">
        <f t="shared" si="262"/>
        <v/>
      </c>
      <c r="H951" s="403" t="s">
        <v>4325</v>
      </c>
      <c r="I951" s="4"/>
      <c r="J951" s="104"/>
      <c r="K951" s="104"/>
      <c r="L951" s="706"/>
      <c r="M951" s="770"/>
      <c r="N951" s="696"/>
      <c r="O951" s="696"/>
      <c r="X951" s="688"/>
      <c r="Y951" s="891"/>
      <c r="Z951" s="892"/>
      <c r="BJ951" s="573" t="s">
        <v>4670</v>
      </c>
    </row>
    <row r="952" spans="1:62" x14ac:dyDescent="0.35">
      <c r="A952" s="403">
        <v>7</v>
      </c>
      <c r="B952" s="609" t="s">
        <v>1054</v>
      </c>
      <c r="C952" s="613"/>
      <c r="D952" s="604"/>
      <c r="E952" s="604"/>
      <c r="F952" s="604"/>
      <c r="G952" s="403" t="str">
        <f t="shared" si="262"/>
        <v/>
      </c>
      <c r="H952" s="403" t="s">
        <v>4325</v>
      </c>
      <c r="I952" s="155"/>
      <c r="J952" s="214"/>
      <c r="K952" s="214"/>
      <c r="L952" s="356" t="s">
        <v>3756</v>
      </c>
      <c r="M952" s="319"/>
      <c r="N952" s="342"/>
      <c r="O952" s="342"/>
      <c r="P952" s="119"/>
      <c r="Q952" s="119"/>
      <c r="R952" s="119"/>
      <c r="S952" s="119"/>
      <c r="T952" s="119"/>
      <c r="U952" s="119"/>
      <c r="V952" s="119"/>
      <c r="W952" s="368"/>
      <c r="X952" s="688"/>
      <c r="Y952" s="891"/>
      <c r="Z952" s="892"/>
      <c r="BJ952" s="573" t="s">
        <v>4670</v>
      </c>
    </row>
    <row r="953" spans="1:62" x14ac:dyDescent="0.35">
      <c r="A953" s="403">
        <v>7</v>
      </c>
      <c r="B953" s="609" t="s">
        <v>1057</v>
      </c>
      <c r="C953" s="613"/>
      <c r="D953" s="604"/>
      <c r="E953" s="604"/>
      <c r="F953" s="604"/>
      <c r="G953" s="403" t="str">
        <f>IF(N953&gt;0,"P","")</f>
        <v/>
      </c>
      <c r="H953" s="403" t="s">
        <v>4323</v>
      </c>
      <c r="I953" s="135" t="s">
        <v>1057</v>
      </c>
      <c r="J953" s="320"/>
      <c r="K953" s="320"/>
      <c r="L953" s="753" t="s">
        <v>1058</v>
      </c>
      <c r="M953" s="765" t="s">
        <v>1059</v>
      </c>
      <c r="N953" s="713">
        <f>'Ch7'!O189</f>
        <v>0</v>
      </c>
      <c r="O953" s="713">
        <f>IF(ROUND(W954,0)&gt;=6,INDEX({3,3,3,3,2,2,0,0},BF781),IF(ROUND(W954,0)&gt;=3,INDEX({1,1,1,1,0,0,0,0},BF781),0))</f>
        <v>0</v>
      </c>
      <c r="P953" s="138"/>
      <c r="Q953" s="138"/>
      <c r="R953" s="138"/>
      <c r="S953" s="138"/>
      <c r="T953" s="138"/>
      <c r="U953" s="138"/>
      <c r="V953" s="138"/>
      <c r="W953" s="369" t="s">
        <v>3765</v>
      </c>
      <c r="X953" s="688"/>
      <c r="Y953" s="891" t="str">
        <f>IF(LEN('Ch7'!X189)=0,"None",'Ch7'!X189)</f>
        <v>None</v>
      </c>
      <c r="Z953" s="892"/>
      <c r="AL953" t="str">
        <f t="shared" ref="AL953" si="263">SUBSTITUTE(SUBSTITUTE(SUBSTITUTE("vpa"&amp;$B953&amp;$C953&amp;$D953&amp;$E953&amp;$F953,".","_"),"(","_"),")","")</f>
        <v>vpa703_2_2</v>
      </c>
      <c r="AM953" t="str">
        <f>M953</f>
        <v>Per Table 703.2.2</v>
      </c>
      <c r="AN953" t="str">
        <f>SUBSTITUTE(SUBSTITUTE(SUBSTITUTE("vpc"&amp;$B953&amp;$C953&amp;$D953&amp;$E953&amp;$F953,".","_"),"(","_"),")","")</f>
        <v>vpc703_2_2</v>
      </c>
      <c r="AO953">
        <f>O953</f>
        <v>0</v>
      </c>
      <c r="AR953" t="str">
        <f>SUBSTITUTE(SUBSTITUTE(SUBSTITUTE("vnt"&amp;$B953&amp;$C953&amp;$D953&amp;$E953&amp;$F953,".","_"),"(","_"),")","")</f>
        <v>vnt703_2_2</v>
      </c>
      <c r="AS953">
        <f>X953</f>
        <v>0</v>
      </c>
      <c r="BJ953" s="573" t="s">
        <v>4670</v>
      </c>
    </row>
    <row r="954" spans="1:62" x14ac:dyDescent="0.35">
      <c r="A954" s="403">
        <v>7</v>
      </c>
      <c r="B954" s="609" t="s">
        <v>1057</v>
      </c>
      <c r="C954" s="613"/>
      <c r="D954" s="604"/>
      <c r="E954" s="604"/>
      <c r="F954" s="604"/>
      <c r="G954" s="403" t="str">
        <f t="shared" ref="G954" si="264">G953</f>
        <v/>
      </c>
      <c r="H954" s="403" t="s">
        <v>4323</v>
      </c>
      <c r="I954" s="155"/>
      <c r="J954" s="214"/>
      <c r="K954" s="214"/>
      <c r="L954" s="739"/>
      <c r="M954" s="766"/>
      <c r="N954" s="697"/>
      <c r="O954" s="697"/>
      <c r="P954" t="b">
        <v>1</v>
      </c>
      <c r="Q954" t="b">
        <v>1</v>
      </c>
      <c r="R954" s="119" t="b">
        <v>0</v>
      </c>
      <c r="S954" s="119" t="b">
        <f ca="1">(S777=2)</f>
        <v>0</v>
      </c>
      <c r="T954" s="119" t="b">
        <f ca="1">AND(NOT(S954),LEN(W954)&gt;0)</f>
        <v>0</v>
      </c>
      <c r="U954" s="119"/>
      <c r="V954" s="119"/>
      <c r="W954" s="260"/>
      <c r="X954" s="688"/>
      <c r="Y954" s="891"/>
      <c r="Z954" s="892"/>
      <c r="AC954" t="b">
        <f ca="1">OR(AD954:AE954)</f>
        <v>0</v>
      </c>
      <c r="AD954" t="b">
        <f ca="1">T954</f>
        <v>0</v>
      </c>
      <c r="AE954" t="b">
        <f>AND(R954,ISBLANK(W954))</f>
        <v>0</v>
      </c>
      <c r="AF954" t="b">
        <f>AND(AE954,NOT(Q954))</f>
        <v>0</v>
      </c>
      <c r="AP954" t="str">
        <f t="shared" ref="AP954:AP955" si="265">SUBSTITUTE(SUBSTITUTE(SUBSTITUTE("vch"&amp;$B954&amp;$C954&amp;$D954&amp;$E954&amp;$F954,".","_"),"(","_"),")","")</f>
        <v>vch703_2_2</v>
      </c>
      <c r="AQ954" s="622">
        <f>W954</f>
        <v>0</v>
      </c>
      <c r="BJ954" s="573" t="s">
        <v>4670</v>
      </c>
    </row>
    <row r="955" spans="1:62" x14ac:dyDescent="0.35">
      <c r="A955" s="403">
        <v>7</v>
      </c>
      <c r="B955" s="609" t="s">
        <v>1060</v>
      </c>
      <c r="C955" s="613"/>
      <c r="D955" s="604"/>
      <c r="E955" s="604"/>
      <c r="F955" s="604"/>
      <c r="G955" s="403" t="str">
        <f ca="1">IF(N955&gt;0,"P","")</f>
        <v/>
      </c>
      <c r="H955" s="403" t="s">
        <v>4323</v>
      </c>
      <c r="I955" s="135" t="s">
        <v>1060</v>
      </c>
      <c r="J955" s="320"/>
      <c r="K955" s="320"/>
      <c r="L955" s="753" t="s">
        <v>1061</v>
      </c>
      <c r="M955" s="767">
        <f>IFERROR(MIN(IF(AND(AY784=INDEX(ddSingleOrMulti,2),AY790&gt;3,BF781&lt;4),1,3),IF(BI781="Tropical",3,INDEX({2,3,3,1,1,0,0},BF781))),0)</f>
        <v>1</v>
      </c>
      <c r="N955" s="713">
        <f ca="1">'Ch7'!O191</f>
        <v>0</v>
      </c>
      <c r="O955" s="713">
        <f ca="1">M955*S955*W955</f>
        <v>0</v>
      </c>
      <c r="P955" t="b">
        <v>1</v>
      </c>
      <c r="Q955" t="b">
        <v>1</v>
      </c>
      <c r="R955" s="138" t="b">
        <v>0</v>
      </c>
      <c r="S955" s="138" t="b">
        <f ca="1">(S777=2)</f>
        <v>0</v>
      </c>
      <c r="T955" s="138" t="b">
        <f ca="1">AND(NOT(S955),W955=TRUE)</f>
        <v>0</v>
      </c>
      <c r="U955" s="138"/>
      <c r="V955" s="138"/>
      <c r="W955" s="17"/>
      <c r="X955" s="688"/>
      <c r="Y955" s="891" t="str">
        <f>IF(LEN('Ch7'!X191)=0,"None",'Ch7'!X191)</f>
        <v>None</v>
      </c>
      <c r="Z955" s="892"/>
      <c r="AC955" t="b">
        <f ca="1">OR(AD955:AE955)</f>
        <v>0</v>
      </c>
      <c r="AD955" t="b">
        <f ca="1">T955</f>
        <v>0</v>
      </c>
      <c r="AE955" t="b">
        <f>AND(R955,NOT(W955))</f>
        <v>0</v>
      </c>
      <c r="AF955" t="b">
        <f>AND(AE955,NOT(Q955))</f>
        <v>0</v>
      </c>
      <c r="AL955" t="str">
        <f t="shared" ref="AL955" si="266">SUBSTITUTE(SUBSTITUTE(SUBSTITUTE("vpa"&amp;$B955&amp;$C955&amp;$D955&amp;$E955&amp;$F955,".","_"),"(","_"),")","")</f>
        <v>vpa703_2_3</v>
      </c>
      <c r="AM955">
        <f>M955</f>
        <v>1</v>
      </c>
      <c r="AN955" t="str">
        <f>SUBSTITUTE(SUBSTITUTE(SUBSTITUTE("vpc"&amp;$B955&amp;$C955&amp;$D955&amp;$E955&amp;$F955,".","_"),"(","_"),")","")</f>
        <v>vpc703_2_3</v>
      </c>
      <c r="AO955">
        <f ca="1">O955</f>
        <v>0</v>
      </c>
      <c r="AP955" t="str">
        <f t="shared" si="265"/>
        <v>vch703_2_3</v>
      </c>
      <c r="AQ955">
        <f>W955</f>
        <v>0</v>
      </c>
      <c r="AR955" t="str">
        <f>SUBSTITUTE(SUBSTITUTE(SUBSTITUTE("vnt"&amp;$B955&amp;$C955&amp;$D955&amp;$E955&amp;$F955,".","_"),"(","_"),")","")</f>
        <v>vnt703_2_3</v>
      </c>
      <c r="AS955">
        <f>X955</f>
        <v>0</v>
      </c>
      <c r="BJ955" s="573" t="s">
        <v>4670</v>
      </c>
    </row>
    <row r="956" spans="1:62" x14ac:dyDescent="0.35">
      <c r="A956" s="403">
        <v>7</v>
      </c>
      <c r="B956" s="609" t="s">
        <v>1060</v>
      </c>
      <c r="C956" s="613"/>
      <c r="D956" s="604"/>
      <c r="E956" s="604"/>
      <c r="F956" s="604"/>
      <c r="G956" s="403" t="str">
        <f t="shared" ref="G956:G957" ca="1" si="267">G955</f>
        <v/>
      </c>
      <c r="H956" s="403" t="s">
        <v>4323</v>
      </c>
      <c r="I956" s="4"/>
      <c r="J956" s="104"/>
      <c r="K956" s="104"/>
      <c r="L956" s="706"/>
      <c r="M956" s="737"/>
      <c r="N956" s="696"/>
      <c r="O956" s="696"/>
      <c r="W956" s="68"/>
      <c r="X956" s="688"/>
      <c r="Y956" s="891"/>
      <c r="Z956" s="892"/>
      <c r="BJ956" s="573" t="s">
        <v>4670</v>
      </c>
    </row>
    <row r="957" spans="1:62" x14ac:dyDescent="0.35">
      <c r="A957" s="403">
        <v>7</v>
      </c>
      <c r="B957" s="609" t="s">
        <v>1060</v>
      </c>
      <c r="C957" s="613"/>
      <c r="D957" s="604"/>
      <c r="E957" s="604"/>
      <c r="F957" s="604"/>
      <c r="G957" s="403" t="str">
        <f t="shared" ca="1" si="267"/>
        <v/>
      </c>
      <c r="H957" s="403" t="s">
        <v>4323</v>
      </c>
      <c r="I957" s="155"/>
      <c r="J957" s="214"/>
      <c r="K957" s="214"/>
      <c r="L957" s="739"/>
      <c r="M957" s="756"/>
      <c r="N957" s="697"/>
      <c r="O957" s="697"/>
      <c r="P957" s="119"/>
      <c r="Q957" s="119"/>
      <c r="R957" s="119"/>
      <c r="S957" s="119"/>
      <c r="T957" s="119"/>
      <c r="U957" s="119"/>
      <c r="V957" s="119"/>
      <c r="W957" s="368"/>
      <c r="X957" s="688"/>
      <c r="Y957" s="891"/>
      <c r="Z957" s="892"/>
      <c r="BJ957" s="573" t="s">
        <v>4670</v>
      </c>
    </row>
    <row r="958" spans="1:62" x14ac:dyDescent="0.35">
      <c r="A958" s="403">
        <v>7</v>
      </c>
      <c r="B958" s="609" t="s">
        <v>1062</v>
      </c>
      <c r="C958" s="613"/>
      <c r="D958" s="604"/>
      <c r="E958" s="604"/>
      <c r="F958" s="604"/>
      <c r="G958" s="403" t="str">
        <f ca="1">IF(N958&gt;0,"P","")</f>
        <v/>
      </c>
      <c r="H958" s="403" t="s">
        <v>4323</v>
      </c>
      <c r="I958" s="135" t="s">
        <v>1062</v>
      </c>
      <c r="J958" s="320"/>
      <c r="K958" s="320"/>
      <c r="L958" s="753" t="s">
        <v>1063</v>
      </c>
      <c r="M958" s="765" t="s">
        <v>1064</v>
      </c>
      <c r="N958" s="713">
        <f ca="1">'Ch7'!O194</f>
        <v>0</v>
      </c>
      <c r="O958" s="713">
        <f ca="1">MAX(S958:T958)*S959</f>
        <v>0</v>
      </c>
      <c r="R958" s="1" t="s">
        <v>4602</v>
      </c>
      <c r="S958" s="1">
        <f>Formulas!N38</f>
        <v>0</v>
      </c>
      <c r="T958" s="1">
        <f>Formulas!O38</f>
        <v>0</v>
      </c>
      <c r="W958" s="661" t="s">
        <v>4696</v>
      </c>
      <c r="X958" s="688"/>
      <c r="Y958" s="891" t="str">
        <f>IF(LEN('Ch7'!X194)=0,"None",'Ch7'!X194)</f>
        <v>None</v>
      </c>
      <c r="Z958" s="892"/>
      <c r="AL958" t="str">
        <f t="shared" ref="AL958" si="268">SUBSTITUTE(SUBSTITUTE(SUBSTITUTE("vpa"&amp;$B958&amp;$C958&amp;$D958&amp;$E958&amp;$F958,".","_"),"(","_"),")","")</f>
        <v>vpa703_2_4</v>
      </c>
      <c r="AM958" t="str">
        <f>M958</f>
        <v>Per Table 703.2.4</v>
      </c>
      <c r="AN958" t="str">
        <f>SUBSTITUTE(SUBSTITUTE(SUBSTITUTE("vpc"&amp;$B958&amp;$C958&amp;$D958&amp;$E958&amp;$F958,".","_"),"(","_"),")","")</f>
        <v>vpc703_2_4</v>
      </c>
      <c r="AO958">
        <f ca="1">O958</f>
        <v>0</v>
      </c>
      <c r="AR958" t="str">
        <f>SUBSTITUTE(SUBSTITUTE(SUBSTITUTE("vnt"&amp;$B958&amp;$C958&amp;$D958&amp;$E958&amp;$F958,".","_"),"(","_"),")","")</f>
        <v>vnt703_2_4</v>
      </c>
      <c r="AS958">
        <f>X958</f>
        <v>0</v>
      </c>
      <c r="BJ958" s="573" t="s">
        <v>4670</v>
      </c>
    </row>
    <row r="959" spans="1:62" x14ac:dyDescent="0.35">
      <c r="A959" s="403">
        <v>7</v>
      </c>
      <c r="B959" s="609" t="s">
        <v>1062</v>
      </c>
      <c r="C959" s="613"/>
      <c r="D959" s="604"/>
      <c r="E959" s="604"/>
      <c r="F959" s="604"/>
      <c r="G959" s="403" t="str">
        <f t="shared" ref="G959:G960" ca="1" si="269">G958</f>
        <v/>
      </c>
      <c r="H959" s="403" t="s">
        <v>4323</v>
      </c>
      <c r="I959" s="4"/>
      <c r="J959" s="104"/>
      <c r="K959" s="104"/>
      <c r="L959" s="706"/>
      <c r="M959" s="768"/>
      <c r="N959" s="696"/>
      <c r="O959" s="696"/>
      <c r="R959" t="b">
        <v>0</v>
      </c>
      <c r="S959" t="b">
        <f ca="1">(S777=2)</f>
        <v>0</v>
      </c>
      <c r="T959" t="b">
        <v>0</v>
      </c>
      <c r="W959" s="663"/>
      <c r="X959" s="688"/>
      <c r="Y959" s="891"/>
      <c r="Z959" s="892"/>
      <c r="BJ959" s="573" t="s">
        <v>4670</v>
      </c>
    </row>
    <row r="960" spans="1:62" x14ac:dyDescent="0.35">
      <c r="A960" s="403">
        <v>7</v>
      </c>
      <c r="B960" s="609" t="s">
        <v>1062</v>
      </c>
      <c r="C960" s="613"/>
      <c r="D960" s="604"/>
      <c r="E960" s="604"/>
      <c r="F960" s="604"/>
      <c r="G960" s="403" t="str">
        <f t="shared" ca="1" si="269"/>
        <v/>
      </c>
      <c r="H960" s="403" t="s">
        <v>4323</v>
      </c>
      <c r="I960" s="155"/>
      <c r="J960" s="214"/>
      <c r="K960" s="214"/>
      <c r="L960" s="739"/>
      <c r="M960" s="766"/>
      <c r="N960" s="697"/>
      <c r="O960" s="697"/>
      <c r="R960" s="1" t="s">
        <v>4695</v>
      </c>
      <c r="S960" s="332">
        <f>Formulas!N25</f>
        <v>3</v>
      </c>
      <c r="T960" s="332">
        <f>Formulas!O25</f>
        <v>0</v>
      </c>
      <c r="W960" s="575">
        <f>MAX(S960,T960)</f>
        <v>3</v>
      </c>
      <c r="X960" s="688"/>
      <c r="Y960" s="891"/>
      <c r="Z960" s="892"/>
      <c r="BJ960" s="573" t="s">
        <v>4670</v>
      </c>
    </row>
    <row r="961" spans="1:62" x14ac:dyDescent="0.35">
      <c r="A961" s="403">
        <v>7</v>
      </c>
      <c r="B961" s="613" t="s">
        <v>1065</v>
      </c>
      <c r="C961" s="613"/>
      <c r="D961" s="604"/>
      <c r="E961" s="604"/>
      <c r="F961" s="604"/>
      <c r="G961" s="600" t="str">
        <f ca="1">IF(COUNTIF(G962:G977,"P")&gt;0,"P","")</f>
        <v/>
      </c>
      <c r="H961" s="403" t="s">
        <v>4323</v>
      </c>
      <c r="I961" s="34" t="s">
        <v>1065</v>
      </c>
      <c r="J961" s="104"/>
      <c r="K961" s="104"/>
      <c r="L961" s="110" t="s">
        <v>1066</v>
      </c>
      <c r="M961" s="43"/>
      <c r="N961" s="85"/>
      <c r="O961" s="85"/>
      <c r="Z961" s="543"/>
      <c r="BJ961" s="573" t="s">
        <v>4670</v>
      </c>
    </row>
    <row r="962" spans="1:62" x14ac:dyDescent="0.35">
      <c r="A962" s="403">
        <v>7</v>
      </c>
      <c r="B962" s="609" t="s">
        <v>1067</v>
      </c>
      <c r="C962" s="613"/>
      <c r="D962" s="604"/>
      <c r="E962" s="604"/>
      <c r="F962" s="604"/>
      <c r="G962" s="403" t="str">
        <f ca="1">IF(M962="Mandatory","M","")</f>
        <v/>
      </c>
      <c r="H962" s="403" t="s">
        <v>4323</v>
      </c>
      <c r="I962" s="34" t="s">
        <v>1067</v>
      </c>
      <c r="J962" s="104"/>
      <c r="K962" s="104"/>
      <c r="L962" s="707" t="s">
        <v>1068</v>
      </c>
      <c r="M962" s="740" t="str">
        <f ca="1">IF(R962,"Mandatory","N/A")</f>
        <v>N/A</v>
      </c>
      <c r="N962" s="85"/>
      <c r="O962" s="85"/>
      <c r="P962" t="b">
        <v>1</v>
      </c>
      <c r="Q962" t="b">
        <v>1</v>
      </c>
      <c r="R962" t="b">
        <f ca="1">S962</f>
        <v>0</v>
      </c>
      <c r="S962" t="b">
        <f ca="1">(S777=2)</f>
        <v>0</v>
      </c>
      <c r="T962" t="b">
        <f ca="1">AND(NOT(S962),LEN(W962)&gt;0)</f>
        <v>0</v>
      </c>
      <c r="U962" t="str">
        <f>SUBSTITUTE(SUBSTITUTE(SUBSTITUTE("dd"&amp;B962&amp;C962&amp;D962&amp;E962&amp;F962,".","_"),"(","_"),")","")</f>
        <v>dd703_2_5_1</v>
      </c>
      <c r="W962" s="9"/>
      <c r="X962" s="688"/>
      <c r="Y962" s="891" t="str">
        <f>IF(LEN('Ch7'!X198)=0,"None",'Ch7'!X198)</f>
        <v>None</v>
      </c>
      <c r="Z962" s="892"/>
      <c r="AC962" t="b">
        <f ca="1">OR(AD962:AE962)</f>
        <v>0</v>
      </c>
      <c r="AD962" t="b">
        <f ca="1">T962</f>
        <v>0</v>
      </c>
      <c r="AE962" t="b">
        <f ca="1">AND(R962,OR(W962="Not Met",W962=""))</f>
        <v>0</v>
      </c>
      <c r="AF962" t="b">
        <f ca="1">AND(AE962,NOT(Q962))</f>
        <v>0</v>
      </c>
      <c r="AL962" t="str">
        <f t="shared" ref="AL962" si="270">SUBSTITUTE(SUBSTITUTE(SUBSTITUTE("vpa"&amp;$B962&amp;$C962&amp;$D962&amp;$E962&amp;$F962,".","_"),"(","_"),")","")</f>
        <v>vpa703_2_5_1</v>
      </c>
      <c r="AM962" t="str">
        <f ca="1">M962</f>
        <v>N/A</v>
      </c>
      <c r="AP962" t="str">
        <f>SUBSTITUTE(SUBSTITUTE(SUBSTITUTE("vch"&amp;$B962&amp;$C962&amp;$D962&amp;$E962&amp;$F962,".","_"),"(","_"),")","")</f>
        <v>vch703_2_5_1</v>
      </c>
      <c r="AQ962">
        <f>W962</f>
        <v>0</v>
      </c>
      <c r="AR962" t="str">
        <f>SUBSTITUTE(SUBSTITUTE(SUBSTITUTE("vnt"&amp;$B962&amp;$C962&amp;$D962&amp;$E962&amp;$F962,".","_"),"(","_"),")","")</f>
        <v>vnt703_2_5_1</v>
      </c>
      <c r="AS962">
        <f>X962</f>
        <v>0</v>
      </c>
      <c r="BJ962" s="573" t="s">
        <v>4670</v>
      </c>
    </row>
    <row r="963" spans="1:62" x14ac:dyDescent="0.35">
      <c r="A963" s="403">
        <v>7</v>
      </c>
      <c r="B963" s="609" t="s">
        <v>1067</v>
      </c>
      <c r="C963" s="613"/>
      <c r="D963" s="604"/>
      <c r="E963" s="604"/>
      <c r="F963" s="604"/>
      <c r="G963" s="403" t="str">
        <f t="shared" ref="G963:G976" ca="1" si="271">G962</f>
        <v/>
      </c>
      <c r="H963" s="403" t="s">
        <v>4323</v>
      </c>
      <c r="I963" s="4"/>
      <c r="J963" s="104"/>
      <c r="K963" s="104"/>
      <c r="L963" s="707"/>
      <c r="M963" s="740"/>
      <c r="N963" s="85"/>
      <c r="O963" s="85"/>
      <c r="X963" s="688"/>
      <c r="Y963" s="891"/>
      <c r="Z963" s="892"/>
      <c r="BJ963" s="573" t="s">
        <v>4670</v>
      </c>
    </row>
    <row r="964" spans="1:62" x14ac:dyDescent="0.35">
      <c r="A964" s="403">
        <v>7</v>
      </c>
      <c r="B964" s="609" t="s">
        <v>1067</v>
      </c>
      <c r="C964" s="613"/>
      <c r="D964" s="604"/>
      <c r="E964" s="604"/>
      <c r="F964" s="604"/>
      <c r="G964" s="403" t="str">
        <f t="shared" ca="1" si="271"/>
        <v/>
      </c>
      <c r="H964" s="403" t="s">
        <v>4323</v>
      </c>
      <c r="I964" s="4"/>
      <c r="J964" s="104"/>
      <c r="K964" s="104"/>
      <c r="L964" s="707"/>
      <c r="M964" s="740"/>
      <c r="N964" s="85"/>
      <c r="O964" s="85"/>
      <c r="X964" s="688"/>
      <c r="Y964" s="891"/>
      <c r="Z964" s="892"/>
      <c r="BJ964" s="573" t="s">
        <v>4670</v>
      </c>
    </row>
    <row r="965" spans="1:62" x14ac:dyDescent="0.35">
      <c r="A965" s="403">
        <v>7</v>
      </c>
      <c r="B965" s="609" t="s">
        <v>1067</v>
      </c>
      <c r="C965" s="613"/>
      <c r="D965" s="604"/>
      <c r="E965" s="604"/>
      <c r="F965" s="604"/>
      <c r="G965" s="403" t="str">
        <f t="shared" ca="1" si="271"/>
        <v/>
      </c>
      <c r="H965" s="403" t="s">
        <v>4323</v>
      </c>
      <c r="I965" s="4"/>
      <c r="J965" s="104"/>
      <c r="K965" s="104"/>
      <c r="L965" s="707"/>
      <c r="M965" s="740"/>
      <c r="N965" s="85"/>
      <c r="O965" s="85"/>
      <c r="X965" s="688"/>
      <c r="Y965" s="891"/>
      <c r="Z965" s="892"/>
      <c r="BJ965" s="573" t="s">
        <v>4670</v>
      </c>
    </row>
    <row r="966" spans="1:62" x14ac:dyDescent="0.35">
      <c r="A966" s="403">
        <v>7</v>
      </c>
      <c r="B966" s="609" t="s">
        <v>1067</v>
      </c>
      <c r="C966" s="613"/>
      <c r="D966" s="604"/>
      <c r="E966" s="604"/>
      <c r="F966" s="604"/>
      <c r="G966" s="403" t="str">
        <f t="shared" ca="1" si="271"/>
        <v/>
      </c>
      <c r="H966" s="403" t="s">
        <v>4323</v>
      </c>
      <c r="I966" s="4"/>
      <c r="J966" s="104"/>
      <c r="K966" s="104"/>
      <c r="L966" s="707"/>
      <c r="M966" s="740"/>
      <c r="N966" s="85"/>
      <c r="O966" s="85"/>
      <c r="X966" s="688"/>
      <c r="Y966" s="891"/>
      <c r="Z966" s="892"/>
      <c r="BJ966" s="573" t="s">
        <v>4670</v>
      </c>
    </row>
    <row r="967" spans="1:62" x14ac:dyDescent="0.35">
      <c r="A967" s="403">
        <v>7</v>
      </c>
      <c r="B967" s="609" t="s">
        <v>1067</v>
      </c>
      <c r="C967" s="613"/>
      <c r="D967" s="604"/>
      <c r="E967" s="604"/>
      <c r="F967" s="604"/>
      <c r="G967" s="403" t="str">
        <f t="shared" ca="1" si="271"/>
        <v/>
      </c>
      <c r="H967" s="403" t="s">
        <v>4323</v>
      </c>
      <c r="I967" s="4"/>
      <c r="J967" s="104"/>
      <c r="K967" s="104"/>
      <c r="L967" s="707"/>
      <c r="M967" s="740"/>
      <c r="N967" s="85"/>
      <c r="O967" s="85"/>
      <c r="X967" s="688"/>
      <c r="Y967" s="891"/>
      <c r="Z967" s="892"/>
      <c r="BJ967" s="573" t="s">
        <v>4670</v>
      </c>
    </row>
    <row r="968" spans="1:62" x14ac:dyDescent="0.35">
      <c r="A968" s="403">
        <v>7</v>
      </c>
      <c r="B968" s="609" t="s">
        <v>1067</v>
      </c>
      <c r="C968" s="613"/>
      <c r="D968" s="604"/>
      <c r="E968" s="604"/>
      <c r="F968" s="604"/>
      <c r="G968" s="403" t="str">
        <f t="shared" ca="1" si="271"/>
        <v/>
      </c>
      <c r="H968" s="403" t="s">
        <v>4323</v>
      </c>
      <c r="I968" s="155"/>
      <c r="J968" s="214"/>
      <c r="K968" s="214"/>
      <c r="L968" s="356" t="s">
        <v>4041</v>
      </c>
      <c r="M968" s="309"/>
      <c r="N968" s="85"/>
      <c r="O968" s="85"/>
      <c r="X968" s="688"/>
      <c r="Y968" s="891"/>
      <c r="Z968" s="892"/>
      <c r="BJ968" s="573" t="s">
        <v>4670</v>
      </c>
    </row>
    <row r="969" spans="1:62" x14ac:dyDescent="0.35">
      <c r="A969" s="403">
        <v>7</v>
      </c>
      <c r="B969" s="609" t="s">
        <v>1069</v>
      </c>
      <c r="C969" s="613"/>
      <c r="D969" s="604"/>
      <c r="E969" s="604"/>
      <c r="F969" s="604"/>
      <c r="G969" s="403" t="str">
        <f t="shared" ca="1" si="271"/>
        <v/>
      </c>
      <c r="H969" s="403" t="s">
        <v>4323</v>
      </c>
      <c r="I969" s="362" t="s">
        <v>1069</v>
      </c>
      <c r="J969" s="320"/>
      <c r="K969" s="320"/>
      <c r="L969" s="753" t="s">
        <v>1070</v>
      </c>
      <c r="M969" s="43"/>
      <c r="N969" s="85"/>
      <c r="O969" s="85"/>
      <c r="P969" t="b">
        <v>1</v>
      </c>
      <c r="Q969" t="b">
        <v>1</v>
      </c>
      <c r="R969" t="b">
        <f ca="1">S969</f>
        <v>0</v>
      </c>
      <c r="S969" t="b">
        <f ca="1">(S777=2)</f>
        <v>0</v>
      </c>
      <c r="T969" t="b">
        <f ca="1">AND(NOT(S969),LEN(W969)&gt;0)</f>
        <v>0</v>
      </c>
      <c r="U969" t="str">
        <f>SUBSTITUTE(SUBSTITUTE(SUBSTITUTE("dd"&amp;B969&amp;C969&amp;D969&amp;E969&amp;F969,".","_"),"(","_"),")","")</f>
        <v>dd703_2_5_1_1</v>
      </c>
      <c r="W969" s="9"/>
      <c r="X969" s="688"/>
      <c r="Y969" s="891" t="str">
        <f>IF(LEN('Ch7'!X205)=0,"None",'Ch7'!X205)</f>
        <v>None</v>
      </c>
      <c r="Z969" s="892"/>
      <c r="AC969" t="b">
        <f ca="1">OR(AD969:AE969)</f>
        <v>0</v>
      </c>
      <c r="AD969" t="b">
        <f ca="1">T969</f>
        <v>0</v>
      </c>
      <c r="AE969" t="b">
        <f ca="1">AND(R969,OR(W969="Not Met",W969=""))</f>
        <v>0</v>
      </c>
      <c r="AF969" t="b">
        <f ca="1">AND(AE969,NOT(Q969))</f>
        <v>0</v>
      </c>
      <c r="AP969" t="str">
        <f>SUBSTITUTE(SUBSTITUTE(SUBSTITUTE("vch"&amp;$B969&amp;$C969&amp;$D969&amp;$E969&amp;$F969,".","_"),"(","_"),")","")</f>
        <v>vch703_2_5_1_1</v>
      </c>
      <c r="AQ969">
        <f>W969</f>
        <v>0</v>
      </c>
      <c r="AR969" t="str">
        <f>SUBSTITUTE(SUBSTITUTE(SUBSTITUTE("vnt"&amp;$B969&amp;$C969&amp;$D969&amp;$E969&amp;$F969,".","_"),"(","_"),")","")</f>
        <v>vnt703_2_5_1_1</v>
      </c>
      <c r="AS969">
        <f>X969</f>
        <v>0</v>
      </c>
      <c r="BJ969" s="573" t="s">
        <v>4670</v>
      </c>
    </row>
    <row r="970" spans="1:62" x14ac:dyDescent="0.35">
      <c r="A970" s="403">
        <v>7</v>
      </c>
      <c r="B970" s="609" t="s">
        <v>1069</v>
      </c>
      <c r="C970" s="613"/>
      <c r="D970" s="604"/>
      <c r="E970" s="604"/>
      <c r="F970" s="604"/>
      <c r="G970" s="403" t="str">
        <f t="shared" ca="1" si="271"/>
        <v/>
      </c>
      <c r="H970" s="403" t="s">
        <v>4323</v>
      </c>
      <c r="I970" s="4"/>
      <c r="J970" s="104"/>
      <c r="K970" s="104"/>
      <c r="L970" s="706"/>
      <c r="M970" s="43"/>
      <c r="N970" s="85"/>
      <c r="O970" s="85"/>
      <c r="X970" s="688"/>
      <c r="Y970" s="891"/>
      <c r="Z970" s="892"/>
      <c r="BJ970" s="573" t="s">
        <v>4670</v>
      </c>
    </row>
    <row r="971" spans="1:62" x14ac:dyDescent="0.35">
      <c r="A971" s="403">
        <v>7</v>
      </c>
      <c r="B971" s="609" t="s">
        <v>1069</v>
      </c>
      <c r="C971" s="613"/>
      <c r="D971" s="604"/>
      <c r="E971" s="604"/>
      <c r="F971" s="604"/>
      <c r="G971" s="403" t="str">
        <f t="shared" ca="1" si="271"/>
        <v/>
      </c>
      <c r="H971" s="403" t="s">
        <v>4323</v>
      </c>
      <c r="I971" s="4"/>
      <c r="J971" s="104"/>
      <c r="K971" s="104"/>
      <c r="L971" s="706"/>
      <c r="M971" s="43"/>
      <c r="N971" s="85"/>
      <c r="O971" s="85"/>
      <c r="X971" s="688"/>
      <c r="Y971" s="891"/>
      <c r="Z971" s="892"/>
      <c r="BJ971" s="573" t="s">
        <v>4670</v>
      </c>
    </row>
    <row r="972" spans="1:62" x14ac:dyDescent="0.35">
      <c r="A972" s="403">
        <v>7</v>
      </c>
      <c r="B972" s="609" t="s">
        <v>1069</v>
      </c>
      <c r="C972" s="613"/>
      <c r="D972" s="604"/>
      <c r="E972" s="604"/>
      <c r="F972" s="604"/>
      <c r="G972" s="403" t="str">
        <f t="shared" ca="1" si="271"/>
        <v/>
      </c>
      <c r="H972" s="403" t="s">
        <v>4323</v>
      </c>
      <c r="I972" s="4"/>
      <c r="J972" s="104"/>
      <c r="K972" s="104"/>
      <c r="L972" s="706"/>
      <c r="M972" s="43"/>
      <c r="N972" s="85"/>
      <c r="O972" s="85"/>
      <c r="X972" s="688"/>
      <c r="Y972" s="891"/>
      <c r="Z972" s="892"/>
      <c r="BJ972" s="573" t="s">
        <v>4670</v>
      </c>
    </row>
    <row r="973" spans="1:62" x14ac:dyDescent="0.35">
      <c r="A973" s="403">
        <v>7</v>
      </c>
      <c r="B973" s="609" t="s">
        <v>1069</v>
      </c>
      <c r="C973" s="613"/>
      <c r="D973" s="604"/>
      <c r="E973" s="604"/>
      <c r="F973" s="604"/>
      <c r="G973" s="403" t="str">
        <f t="shared" ca="1" si="271"/>
        <v/>
      </c>
      <c r="H973" s="403" t="s">
        <v>4323</v>
      </c>
      <c r="I973" s="4"/>
      <c r="J973" s="104"/>
      <c r="K973" s="104"/>
      <c r="L973" s="706"/>
      <c r="M973" s="43"/>
      <c r="N973" s="85"/>
      <c r="O973" s="85"/>
      <c r="X973" s="688"/>
      <c r="Y973" s="891"/>
      <c r="Z973" s="892"/>
      <c r="BJ973" s="573" t="s">
        <v>4670</v>
      </c>
    </row>
    <row r="974" spans="1:62" x14ac:dyDescent="0.35">
      <c r="A974" s="403">
        <v>7</v>
      </c>
      <c r="B974" s="609" t="s">
        <v>1069</v>
      </c>
      <c r="C974" s="613"/>
      <c r="D974" s="604"/>
      <c r="E974" s="604"/>
      <c r="F974" s="604"/>
      <c r="G974" s="403" t="str">
        <f t="shared" ca="1" si="271"/>
        <v/>
      </c>
      <c r="H974" s="403" t="s">
        <v>4323</v>
      </c>
      <c r="I974" s="4"/>
      <c r="J974" s="104"/>
      <c r="K974" s="104"/>
      <c r="L974" s="706"/>
      <c r="M974" s="43"/>
      <c r="N974" s="85"/>
      <c r="O974" s="85"/>
      <c r="X974" s="688"/>
      <c r="Y974" s="891"/>
      <c r="Z974" s="892"/>
      <c r="BJ974" s="573" t="s">
        <v>4670</v>
      </c>
    </row>
    <row r="975" spans="1:62" x14ac:dyDescent="0.35">
      <c r="A975" s="403">
        <v>7</v>
      </c>
      <c r="B975" s="609" t="s">
        <v>1069</v>
      </c>
      <c r="C975" s="613"/>
      <c r="D975" s="604"/>
      <c r="E975" s="604"/>
      <c r="F975" s="604"/>
      <c r="G975" s="403" t="str">
        <f t="shared" ca="1" si="271"/>
        <v/>
      </c>
      <c r="H975" s="403" t="s">
        <v>4323</v>
      </c>
      <c r="I975" s="4"/>
      <c r="J975" s="104"/>
      <c r="K975" s="104"/>
      <c r="L975" s="706"/>
      <c r="M975" s="43"/>
      <c r="N975" s="85"/>
      <c r="O975" s="85"/>
      <c r="X975" s="688"/>
      <c r="Y975" s="891"/>
      <c r="Z975" s="892"/>
      <c r="BJ975" s="573" t="s">
        <v>4670</v>
      </c>
    </row>
    <row r="976" spans="1:62" x14ac:dyDescent="0.35">
      <c r="A976" s="403">
        <v>7</v>
      </c>
      <c r="B976" s="609" t="s">
        <v>1069</v>
      </c>
      <c r="C976" s="613"/>
      <c r="D976" s="604"/>
      <c r="E976" s="604"/>
      <c r="F976" s="604"/>
      <c r="G976" s="403" t="str">
        <f t="shared" ca="1" si="271"/>
        <v/>
      </c>
      <c r="H976" s="403" t="s">
        <v>4323</v>
      </c>
      <c r="I976" s="155"/>
      <c r="J976" s="214"/>
      <c r="K976" s="214"/>
      <c r="L976" s="739"/>
      <c r="M976" s="198"/>
      <c r="N976" s="85"/>
      <c r="O976" s="85"/>
      <c r="X976" s="688"/>
      <c r="Y976" s="891"/>
      <c r="Z976" s="892"/>
      <c r="BJ976" s="573" t="s">
        <v>4670</v>
      </c>
    </row>
    <row r="977" spans="1:62" x14ac:dyDescent="0.35">
      <c r="A977" s="403">
        <v>7</v>
      </c>
      <c r="B977" s="609" t="s">
        <v>1071</v>
      </c>
      <c r="C977" s="613"/>
      <c r="D977" s="604"/>
      <c r="E977" s="604"/>
      <c r="F977" s="604"/>
      <c r="G977" s="403" t="str">
        <f ca="1">IF(N977&gt;0,"P","")</f>
        <v/>
      </c>
      <c r="H977" s="403" t="s">
        <v>4323</v>
      </c>
      <c r="I977" s="34" t="s">
        <v>1071</v>
      </c>
      <c r="J977" s="104"/>
      <c r="K977" s="104"/>
      <c r="L977" s="706" t="s">
        <v>1072</v>
      </c>
      <c r="M977" s="770" t="s">
        <v>4043</v>
      </c>
      <c r="N977" s="696">
        <f ca="1">'Ch7'!O213</f>
        <v>0</v>
      </c>
      <c r="O977" s="696">
        <f ca="1">IFERROR(INDEX(M982:M984,MATCH(W977,INDIRECT(U977),0)),0)*S977</f>
        <v>0</v>
      </c>
      <c r="P977" t="b">
        <v>1</v>
      </c>
      <c r="Q977" t="b">
        <v>1</v>
      </c>
      <c r="R977" t="b">
        <v>0</v>
      </c>
      <c r="S977" t="b">
        <f ca="1">AND(S777=2,OR(W985="Met",W985="N/A"))</f>
        <v>0</v>
      </c>
      <c r="T977" t="b">
        <f ca="1">AND(NOT(S977),LEN(W977)&gt;0)</f>
        <v>0</v>
      </c>
      <c r="U977" t="str">
        <f>SUBSTITUTE(SUBSTITUTE(SUBSTITUTE("dd"&amp;B977&amp;C977&amp;D977&amp;E977&amp;F977,".","_"),"(","_"),")","")</f>
        <v>dd703_2_5_2</v>
      </c>
      <c r="W977" s="9"/>
      <c r="X977" s="688"/>
      <c r="Y977" s="891" t="str">
        <f>IF(LEN('Ch7'!X213)=0,"None",'Ch7'!X213)</f>
        <v>32/27</v>
      </c>
      <c r="Z977" s="892"/>
      <c r="AC977" t="b">
        <f ca="1">OR(AD977:AE977)</f>
        <v>0</v>
      </c>
      <c r="AD977" t="b">
        <f ca="1">T977</f>
        <v>0</v>
      </c>
      <c r="AE977" t="b">
        <f>AND(R977,OR(W977="Not Met",W977=""))</f>
        <v>0</v>
      </c>
      <c r="AF977" t="b">
        <f>AND(AE977,NOT(Q977))</f>
        <v>0</v>
      </c>
      <c r="AL977" t="str">
        <f t="shared" ref="AL977" si="272">SUBSTITUTE(SUBSTITUTE(SUBSTITUTE("vpa"&amp;$B977&amp;$C977&amp;$D977&amp;$E977&amp;$F977,".","_"),"(","_"),")","")</f>
        <v>vpa703_2_5_2</v>
      </c>
      <c r="AM977" t="str">
        <f>M977</f>
        <v>Per Table 703.2.5.2(a) or
703.2.5.2(b) or 
703.2.5.2(c)</v>
      </c>
      <c r="AN977" t="str">
        <f>SUBSTITUTE(SUBSTITUTE(SUBSTITUTE("vpc"&amp;$B977&amp;$C977&amp;$D977&amp;$E977&amp;$F977,".","_"),"(","_"),")","")</f>
        <v>vpc703_2_5_2</v>
      </c>
      <c r="AO977">
        <f ca="1">O977</f>
        <v>0</v>
      </c>
      <c r="AP977" t="str">
        <f>SUBSTITUTE(SUBSTITUTE(SUBSTITUTE("vch"&amp;$B977&amp;$C977&amp;$D977&amp;$E977&amp;$F977,".","_"),"(","_"),")","")</f>
        <v>vch703_2_5_2</v>
      </c>
      <c r="AQ977">
        <f>W977</f>
        <v>0</v>
      </c>
      <c r="AR977" t="str">
        <f>SUBSTITUTE(SUBSTITUTE(SUBSTITUTE("vnt"&amp;$B977&amp;$C977&amp;$D977&amp;$E977&amp;$F977,".","_"),"(","_"),")","")</f>
        <v>vnt703_2_5_2</v>
      </c>
      <c r="AS977">
        <f>X977</f>
        <v>0</v>
      </c>
      <c r="BJ977" s="573" t="s">
        <v>4670</v>
      </c>
    </row>
    <row r="978" spans="1:62" x14ac:dyDescent="0.35">
      <c r="A978" s="403">
        <v>7</v>
      </c>
      <c r="B978" s="609" t="s">
        <v>1071</v>
      </c>
      <c r="C978" s="613"/>
      <c r="D978" s="604"/>
      <c r="E978" s="604"/>
      <c r="F978" s="604"/>
      <c r="G978" s="403" t="str">
        <f t="shared" ref="G978:G992" ca="1" si="273">G977</f>
        <v/>
      </c>
      <c r="H978" s="403" t="s">
        <v>4323</v>
      </c>
      <c r="I978" s="4"/>
      <c r="J978" s="104"/>
      <c r="K978" s="104"/>
      <c r="L978" s="706"/>
      <c r="M978" s="770"/>
      <c r="N978" s="696"/>
      <c r="O978" s="696"/>
      <c r="X978" s="688"/>
      <c r="Y978" s="891"/>
      <c r="Z978" s="892"/>
      <c r="BJ978" s="573" t="s">
        <v>4670</v>
      </c>
    </row>
    <row r="979" spans="1:62" x14ac:dyDescent="0.35">
      <c r="A979" s="403">
        <v>7</v>
      </c>
      <c r="B979" s="609" t="s">
        <v>1071</v>
      </c>
      <c r="C979" s="613"/>
      <c r="D979" s="604"/>
      <c r="E979" s="604"/>
      <c r="F979" s="604"/>
      <c r="G979" s="403" t="str">
        <f t="shared" ca="1" si="273"/>
        <v/>
      </c>
      <c r="H979" s="403" t="s">
        <v>4323</v>
      </c>
      <c r="I979" s="4"/>
      <c r="J979" s="104"/>
      <c r="K979" s="104"/>
      <c r="L979" s="706"/>
      <c r="M979" s="770"/>
      <c r="N979" s="696"/>
      <c r="O979" s="696"/>
      <c r="X979" s="688"/>
      <c r="Y979" s="891"/>
      <c r="Z979" s="892"/>
      <c r="BJ979" s="573" t="s">
        <v>4670</v>
      </c>
    </row>
    <row r="980" spans="1:62" x14ac:dyDescent="0.35">
      <c r="A980" s="403">
        <v>7</v>
      </c>
      <c r="B980" s="609" t="s">
        <v>1071</v>
      </c>
      <c r="C980" s="613"/>
      <c r="D980" s="604"/>
      <c r="E980" s="604"/>
      <c r="F980" s="604"/>
      <c r="G980" s="403" t="str">
        <f t="shared" ca="1" si="273"/>
        <v/>
      </c>
      <c r="H980" s="403" t="s">
        <v>4323</v>
      </c>
      <c r="I980" s="4"/>
      <c r="J980" s="104"/>
      <c r="K980" s="104"/>
      <c r="L980" s="706"/>
      <c r="M980" s="770"/>
      <c r="N980" s="696"/>
      <c r="O980" s="696"/>
      <c r="X980" s="688"/>
      <c r="Y980" s="891"/>
      <c r="Z980" s="892"/>
      <c r="BJ980" s="573" t="s">
        <v>4670</v>
      </c>
    </row>
    <row r="981" spans="1:62" x14ac:dyDescent="0.35">
      <c r="A981" s="403">
        <v>7</v>
      </c>
      <c r="B981" s="609" t="s">
        <v>1071</v>
      </c>
      <c r="C981" s="613"/>
      <c r="D981" s="604"/>
      <c r="E981" s="604"/>
      <c r="F981" s="604"/>
      <c r="G981" s="403" t="str">
        <f t="shared" ca="1" si="273"/>
        <v/>
      </c>
      <c r="H981" s="403" t="s">
        <v>4323</v>
      </c>
      <c r="I981" s="4"/>
      <c r="J981" s="104"/>
      <c r="K981" s="104"/>
      <c r="L981" s="706"/>
      <c r="M981" s="770"/>
      <c r="N981" s="696"/>
      <c r="O981" s="696"/>
      <c r="X981" s="688"/>
      <c r="Y981" s="891"/>
      <c r="Z981" s="892"/>
      <c r="BJ981" s="573" t="s">
        <v>4670</v>
      </c>
    </row>
    <row r="982" spans="1:62" x14ac:dyDescent="0.35">
      <c r="A982" s="403">
        <v>7</v>
      </c>
      <c r="B982" s="609" t="s">
        <v>1071</v>
      </c>
      <c r="C982" s="613"/>
      <c r="D982" s="604"/>
      <c r="E982" s="604" t="s">
        <v>121</v>
      </c>
      <c r="F982" s="604"/>
      <c r="G982" s="403" t="str">
        <f t="shared" ca="1" si="273"/>
        <v/>
      </c>
      <c r="H982" s="403" t="s">
        <v>4323</v>
      </c>
      <c r="I982" s="4"/>
      <c r="J982" s="104"/>
      <c r="K982" s="359" t="s">
        <v>121</v>
      </c>
      <c r="L982" s="193" t="s">
        <v>3702</v>
      </c>
      <c r="M982" s="324">
        <f>IFERROR(INDEX({1,1,2,3,3,4,4,4},T1009),0)</f>
        <v>3</v>
      </c>
      <c r="N982" s="85"/>
      <c r="O982" s="85"/>
      <c r="X982" s="688"/>
      <c r="Y982" s="891"/>
      <c r="Z982" s="892"/>
      <c r="AL982" t="str">
        <f t="shared" ref="AL982:AL984" si="274">SUBSTITUTE(SUBSTITUTE(SUBSTITUTE("vpa"&amp;$B982&amp;$C982&amp;$D982&amp;$E982&amp;$F982,".","_"),"(","_"),")","")</f>
        <v>vpa703_2_5_2_a</v>
      </c>
      <c r="AM982">
        <f>M982</f>
        <v>3</v>
      </c>
      <c r="BJ982" s="573" t="s">
        <v>4670</v>
      </c>
    </row>
    <row r="983" spans="1:62" x14ac:dyDescent="0.35">
      <c r="A983" s="403">
        <v>7</v>
      </c>
      <c r="B983" s="609" t="s">
        <v>1071</v>
      </c>
      <c r="C983" s="613"/>
      <c r="D983" s="604"/>
      <c r="E983" s="604" t="s">
        <v>122</v>
      </c>
      <c r="F983" s="604"/>
      <c r="G983" s="403" t="str">
        <f t="shared" ca="1" si="273"/>
        <v/>
      </c>
      <c r="H983" s="403" t="s">
        <v>4323</v>
      </c>
      <c r="I983" s="4"/>
      <c r="J983" s="104"/>
      <c r="K983" s="359" t="s">
        <v>122</v>
      </c>
      <c r="L983" s="193" t="s">
        <v>3699</v>
      </c>
      <c r="M983" s="324">
        <f>IFERROR(INDEX({2,3,4,4,4,5,5,4},T1009),0)</f>
        <v>4</v>
      </c>
      <c r="N983" s="85"/>
      <c r="O983" s="85"/>
      <c r="X983" s="688"/>
      <c r="Y983" s="891"/>
      <c r="Z983" s="892"/>
      <c r="AL983" t="str">
        <f t="shared" si="274"/>
        <v>vpa703_2_5_2_b</v>
      </c>
      <c r="AM983">
        <f>M983</f>
        <v>4</v>
      </c>
      <c r="BJ983" s="573" t="s">
        <v>4670</v>
      </c>
    </row>
    <row r="984" spans="1:62" x14ac:dyDescent="0.35">
      <c r="A984" s="403">
        <v>7</v>
      </c>
      <c r="B984" s="609" t="s">
        <v>1071</v>
      </c>
      <c r="C984" s="613"/>
      <c r="D984" s="604"/>
      <c r="E984" s="604" t="s">
        <v>123</v>
      </c>
      <c r="F984" s="604"/>
      <c r="G984" s="403" t="str">
        <f t="shared" ca="1" si="273"/>
        <v/>
      </c>
      <c r="H984" s="403" t="s">
        <v>4323</v>
      </c>
      <c r="I984" s="155"/>
      <c r="J984" s="214"/>
      <c r="K984" s="380" t="s">
        <v>123</v>
      </c>
      <c r="L984" s="219" t="s">
        <v>3698</v>
      </c>
      <c r="M984" s="88">
        <f>IF(T1010,3,1)*IFERROR(INDEX({0,0,0,6,6,6,6,6},T1009),0)</f>
        <v>6</v>
      </c>
      <c r="N984" s="85"/>
      <c r="O984" s="85"/>
      <c r="X984" s="688"/>
      <c r="Y984" s="891"/>
      <c r="Z984" s="892"/>
      <c r="AL984" t="str">
        <f t="shared" si="274"/>
        <v>vpa703_2_5_2_c</v>
      </c>
      <c r="AM984">
        <f>M984</f>
        <v>6</v>
      </c>
      <c r="BJ984" s="573" t="s">
        <v>4670</v>
      </c>
    </row>
    <row r="985" spans="1:62" x14ac:dyDescent="0.35">
      <c r="A985" s="403">
        <v>7</v>
      </c>
      <c r="B985" s="609" t="s">
        <v>1073</v>
      </c>
      <c r="C985" s="613"/>
      <c r="D985" s="604"/>
      <c r="E985" s="604"/>
      <c r="F985" s="604"/>
      <c r="G985" s="403" t="str">
        <f t="shared" ca="1" si="273"/>
        <v/>
      </c>
      <c r="H985" s="403" t="s">
        <v>4323</v>
      </c>
      <c r="I985" s="34" t="s">
        <v>1073</v>
      </c>
      <c r="J985" s="104"/>
      <c r="L985" s="706" t="s">
        <v>1074</v>
      </c>
      <c r="M985" s="318"/>
      <c r="N985" s="85"/>
      <c r="O985" s="85"/>
      <c r="P985" t="b">
        <v>1</v>
      </c>
      <c r="Q985" t="b">
        <v>1</v>
      </c>
      <c r="R985" t="b">
        <v>0</v>
      </c>
      <c r="S985" t="b">
        <f ca="1">(S777=2)</f>
        <v>0</v>
      </c>
      <c r="T985" t="b">
        <f ca="1">AND(NOT(S985),LEN(W985)&gt;0)</f>
        <v>0</v>
      </c>
      <c r="U985" t="str">
        <f>SUBSTITUTE(SUBSTITUTE(SUBSTITUTE("dd"&amp;B985&amp;C985&amp;D985&amp;E985&amp;F985,".","_"),"(","_"),")","")</f>
        <v>dd703_2_5_2_1</v>
      </c>
      <c r="W985" s="9"/>
      <c r="X985" s="688"/>
      <c r="Y985" s="891" t="str">
        <f>IF(LEN('Ch7'!X221)=0,"None",'Ch7'!X221)</f>
        <v>None</v>
      </c>
      <c r="Z985" s="892"/>
      <c r="AC985" t="b">
        <f ca="1">OR(AD985:AE985)</f>
        <v>0</v>
      </c>
      <c r="AD985" t="b">
        <f ca="1">T985</f>
        <v>0</v>
      </c>
      <c r="AE985" t="b">
        <f>AND(R985,OR(W985="Not Met",W985=""))</f>
        <v>0</v>
      </c>
      <c r="AF985" t="b">
        <f>AND(AE985,NOT(Q985))</f>
        <v>0</v>
      </c>
      <c r="AP985" t="str">
        <f>SUBSTITUTE(SUBSTITUTE(SUBSTITUTE("vch"&amp;$B985&amp;$C985&amp;$D985&amp;$E985&amp;$F985,".","_"),"(","_"),")","")</f>
        <v>vch703_2_5_2_1</v>
      </c>
      <c r="AQ985">
        <f>W985</f>
        <v>0</v>
      </c>
      <c r="AR985" t="str">
        <f>SUBSTITUTE(SUBSTITUTE(SUBSTITUTE("vnt"&amp;$B985&amp;$C985&amp;$D985&amp;$E985&amp;$F985,".","_"),"(","_"),")","")</f>
        <v>vnt703_2_5_2_1</v>
      </c>
      <c r="AS985">
        <f>X985</f>
        <v>0</v>
      </c>
      <c r="BJ985" s="573" t="s">
        <v>4670</v>
      </c>
    </row>
    <row r="986" spans="1:62" x14ac:dyDescent="0.35">
      <c r="A986" s="403">
        <v>7</v>
      </c>
      <c r="B986" s="609" t="s">
        <v>1073</v>
      </c>
      <c r="C986" s="613"/>
      <c r="D986" s="604"/>
      <c r="E986" s="604"/>
      <c r="F986" s="604"/>
      <c r="G986" s="403" t="str">
        <f t="shared" ca="1" si="273"/>
        <v/>
      </c>
      <c r="H986" s="403" t="s">
        <v>4323</v>
      </c>
      <c r="I986" s="4"/>
      <c r="J986" s="104"/>
      <c r="K986" s="104"/>
      <c r="L986" s="706"/>
      <c r="M986" s="318"/>
      <c r="N986" s="85"/>
      <c r="O986" s="85"/>
      <c r="X986" s="688"/>
      <c r="Y986" s="891"/>
      <c r="Z986" s="892"/>
      <c r="BJ986" s="573" t="s">
        <v>4670</v>
      </c>
    </row>
    <row r="987" spans="1:62" x14ac:dyDescent="0.35">
      <c r="A987" s="403">
        <v>7</v>
      </c>
      <c r="B987" s="609" t="s">
        <v>1073</v>
      </c>
      <c r="C987" s="613"/>
      <c r="D987" s="604"/>
      <c r="E987" s="604"/>
      <c r="F987" s="604"/>
      <c r="G987" s="403" t="str">
        <f t="shared" ca="1" si="273"/>
        <v/>
      </c>
      <c r="H987" s="403" t="s">
        <v>4323</v>
      </c>
      <c r="I987" s="4"/>
      <c r="J987" s="104"/>
      <c r="K987" s="104"/>
      <c r="L987" s="706"/>
      <c r="M987" s="318"/>
      <c r="N987" s="85"/>
      <c r="O987" s="85"/>
      <c r="X987" s="688"/>
      <c r="Y987" s="891"/>
      <c r="Z987" s="892"/>
      <c r="BJ987" s="573" t="s">
        <v>4670</v>
      </c>
    </row>
    <row r="988" spans="1:62" x14ac:dyDescent="0.35">
      <c r="A988" s="403">
        <v>7</v>
      </c>
      <c r="B988" s="609" t="s">
        <v>1073</v>
      </c>
      <c r="C988" s="613"/>
      <c r="D988" s="604"/>
      <c r="E988" s="604"/>
      <c r="F988" s="604"/>
      <c r="G988" s="403" t="str">
        <f t="shared" ca="1" si="273"/>
        <v/>
      </c>
      <c r="H988" s="403" t="s">
        <v>4323</v>
      </c>
      <c r="I988" s="4"/>
      <c r="J988" s="104"/>
      <c r="K988" s="104"/>
      <c r="L988" s="706"/>
      <c r="M988" s="318"/>
      <c r="N988" s="85"/>
      <c r="O988" s="85"/>
      <c r="X988" s="688"/>
      <c r="Y988" s="891"/>
      <c r="Z988" s="892"/>
      <c r="BJ988" s="573" t="s">
        <v>4670</v>
      </c>
    </row>
    <row r="989" spans="1:62" x14ac:dyDescent="0.35">
      <c r="A989" s="403">
        <v>7</v>
      </c>
      <c r="B989" s="609" t="s">
        <v>1073</v>
      </c>
      <c r="C989" s="613"/>
      <c r="D989" s="604"/>
      <c r="E989" s="604"/>
      <c r="F989" s="604"/>
      <c r="G989" s="403" t="str">
        <f t="shared" ca="1" si="273"/>
        <v/>
      </c>
      <c r="H989" s="403" t="s">
        <v>4323</v>
      </c>
      <c r="I989" s="4"/>
      <c r="J989" s="104"/>
      <c r="K989" s="104"/>
      <c r="L989" s="706"/>
      <c r="M989" s="318"/>
      <c r="N989" s="85"/>
      <c r="O989" s="85"/>
      <c r="X989" s="688"/>
      <c r="Y989" s="891"/>
      <c r="Z989" s="892"/>
      <c r="BJ989" s="573" t="s">
        <v>4670</v>
      </c>
    </row>
    <row r="990" spans="1:62" x14ac:dyDescent="0.35">
      <c r="A990" s="403">
        <v>7</v>
      </c>
      <c r="B990" s="609" t="s">
        <v>1073</v>
      </c>
      <c r="C990" s="613"/>
      <c r="D990" s="604"/>
      <c r="E990" s="604"/>
      <c r="F990" s="604"/>
      <c r="G990" s="403" t="str">
        <f t="shared" ca="1" si="273"/>
        <v/>
      </c>
      <c r="H990" s="403" t="s">
        <v>4323</v>
      </c>
      <c r="I990" s="4"/>
      <c r="J990" s="104"/>
      <c r="K990" s="104"/>
      <c r="L990" s="706"/>
      <c r="M990" s="318"/>
      <c r="N990" s="85"/>
      <c r="O990" s="85"/>
      <c r="X990" s="688"/>
      <c r="Y990" s="891"/>
      <c r="Z990" s="892"/>
      <c r="BJ990" s="573" t="s">
        <v>4670</v>
      </c>
    </row>
    <row r="991" spans="1:62" x14ac:dyDescent="0.35">
      <c r="A991" s="403">
        <v>7</v>
      </c>
      <c r="B991" s="609" t="s">
        <v>1073</v>
      </c>
      <c r="C991" s="613"/>
      <c r="D991" s="604"/>
      <c r="E991" s="604"/>
      <c r="F991" s="604"/>
      <c r="G991" s="403" t="str">
        <f t="shared" ca="1" si="273"/>
        <v/>
      </c>
      <c r="H991" s="403" t="s">
        <v>4323</v>
      </c>
      <c r="I991" s="4"/>
      <c r="J991" s="104"/>
      <c r="K991" s="104"/>
      <c r="L991" s="706"/>
      <c r="M991" s="318"/>
      <c r="N991" s="85"/>
      <c r="O991" s="85"/>
      <c r="X991" s="688"/>
      <c r="Y991" s="891"/>
      <c r="Z991" s="892"/>
      <c r="BJ991" s="573" t="s">
        <v>4670</v>
      </c>
    </row>
    <row r="992" spans="1:62" ht="15" thickBot="1" x14ac:dyDescent="0.4">
      <c r="A992" s="403">
        <v>7</v>
      </c>
      <c r="B992" s="609" t="s">
        <v>1073</v>
      </c>
      <c r="C992" s="613"/>
      <c r="D992" s="604"/>
      <c r="E992" s="604"/>
      <c r="F992" s="604"/>
      <c r="G992" s="403" t="str">
        <f t="shared" ca="1" si="273"/>
        <v/>
      </c>
      <c r="H992" s="403" t="s">
        <v>4323</v>
      </c>
      <c r="I992" s="183"/>
      <c r="J992" s="223"/>
      <c r="K992" s="223"/>
      <c r="L992" s="710"/>
      <c r="M992" s="351"/>
      <c r="N992" s="184"/>
      <c r="O992" s="184"/>
      <c r="P992" s="58"/>
      <c r="Q992" s="58"/>
      <c r="R992" s="58"/>
      <c r="S992" s="58"/>
      <c r="T992" s="58"/>
      <c r="U992" s="58"/>
      <c r="V992" s="58"/>
      <c r="W992" s="58"/>
      <c r="X992" s="689"/>
      <c r="Y992" s="905"/>
      <c r="Z992" s="895"/>
      <c r="BJ992" s="573" t="s">
        <v>4670</v>
      </c>
    </row>
    <row r="993" spans="1:62" ht="15" thickTop="1" x14ac:dyDescent="0.35">
      <c r="A993" s="403">
        <v>7</v>
      </c>
      <c r="B993" s="609" t="s">
        <v>1075</v>
      </c>
      <c r="C993" s="613"/>
      <c r="D993" s="604"/>
      <c r="E993" s="604"/>
      <c r="F993" s="604"/>
      <c r="G993" s="403" t="s">
        <v>4326</v>
      </c>
      <c r="H993" s="403" t="s">
        <v>4323</v>
      </c>
      <c r="I993" s="19">
        <v>703.3</v>
      </c>
      <c r="J993" s="104"/>
      <c r="K993" s="104"/>
      <c r="L993" s="110" t="s">
        <v>1076</v>
      </c>
      <c r="M993" s="43"/>
      <c r="N993" s="85"/>
      <c r="O993" s="85"/>
      <c r="Z993" s="543"/>
      <c r="BJ993" s="573" t="s">
        <v>4670</v>
      </c>
    </row>
    <row r="994" spans="1:62" x14ac:dyDescent="0.35">
      <c r="A994" s="403">
        <v>7</v>
      </c>
      <c r="B994" s="609" t="s">
        <v>1075</v>
      </c>
      <c r="C994" s="613"/>
      <c r="D994" s="604" t="s">
        <v>270</v>
      </c>
      <c r="E994" s="604"/>
      <c r="F994" s="604"/>
      <c r="G994" s="403" t="s">
        <v>4326</v>
      </c>
      <c r="H994" s="403" t="s">
        <v>4323</v>
      </c>
      <c r="I994" s="34" t="s">
        <v>1075</v>
      </c>
      <c r="J994" s="104"/>
      <c r="K994" s="104"/>
      <c r="L994" s="706" t="s">
        <v>1077</v>
      </c>
      <c r="M994" s="43"/>
      <c r="N994" s="85"/>
      <c r="O994" s="85"/>
      <c r="W994" t="s">
        <v>4030</v>
      </c>
      <c r="X994" s="688" t="s">
        <v>4837</v>
      </c>
      <c r="Y994" s="891" t="str">
        <f>IF(LEN('Ch7'!X230)=0,"None",'Ch7'!X230)</f>
        <v>None</v>
      </c>
      <c r="Z994" s="892"/>
      <c r="AR994" t="str">
        <f>SUBSTITUTE(SUBSTITUTE(SUBSTITUTE("vnt"&amp;$B994&amp;$C994&amp;$D994&amp;$E994&amp;$F994,".","_"),"(","_"),")","")</f>
        <v>vnt703_3_0_1</v>
      </c>
      <c r="AS994" t="str">
        <f>X994</f>
        <v>furnace</v>
      </c>
      <c r="BJ994" s="573" t="s">
        <v>4670</v>
      </c>
    </row>
    <row r="995" spans="1:62" x14ac:dyDescent="0.35">
      <c r="A995" s="403">
        <v>7</v>
      </c>
      <c r="B995" s="609" t="s">
        <v>1075</v>
      </c>
      <c r="C995" s="613"/>
      <c r="D995" s="604" t="s">
        <v>270</v>
      </c>
      <c r="E995" s="604"/>
      <c r="F995" s="604"/>
      <c r="G995" s="403" t="s">
        <v>4326</v>
      </c>
      <c r="H995" s="403" t="s">
        <v>4323</v>
      </c>
      <c r="I995" s="4"/>
      <c r="J995" s="104"/>
      <c r="K995" s="104"/>
      <c r="L995" s="706"/>
      <c r="M995" s="43"/>
      <c r="N995" s="85"/>
      <c r="O995" s="85"/>
      <c r="P995" t="b">
        <v>1</v>
      </c>
      <c r="Q995" t="b">
        <v>1</v>
      </c>
      <c r="R995" t="b">
        <v>0</v>
      </c>
      <c r="S995" t="b">
        <f ca="1">(S777=2)</f>
        <v>0</v>
      </c>
      <c r="T995" t="b">
        <f ca="1">AND(NOT(S995),LEN(W995)&gt;0)</f>
        <v>0</v>
      </c>
      <c r="U995" t="str">
        <f>SUBSTITUTE(SUBSTITUTE(SUBSTITUTE("dd"&amp;B995&amp;C995&amp;D995&amp;E995&amp;F995,".","_"),"(","_"),")","")</f>
        <v>dd703_3_0_1</v>
      </c>
      <c r="W995" s="9"/>
      <c r="X995" s="688"/>
      <c r="Y995" s="891"/>
      <c r="Z995" s="892"/>
      <c r="AC995" t="b">
        <f ca="1">OR(AD995:AE995)</f>
        <v>0</v>
      </c>
      <c r="AD995" t="b">
        <f ca="1">T995</f>
        <v>0</v>
      </c>
      <c r="AE995" t="b">
        <f ca="1">AND(W995=INDEX(INDIRECT(U995),1),LEN(X994)=0)</f>
        <v>0</v>
      </c>
      <c r="AF995" t="b">
        <f ca="1">AND(AE995,NOT(Q995))</f>
        <v>0</v>
      </c>
      <c r="AP995" t="str">
        <f>SUBSTITUTE(SUBSTITUTE(SUBSTITUTE("vch"&amp;$B995&amp;$C995&amp;$D995&amp;$E995&amp;$F995,".","_"),"(","_"),")","")</f>
        <v>vch703_3_0_1</v>
      </c>
      <c r="AQ995">
        <f>W995</f>
        <v>0</v>
      </c>
      <c r="BJ995" s="573" t="s">
        <v>4670</v>
      </c>
    </row>
    <row r="996" spans="1:62" x14ac:dyDescent="0.35">
      <c r="A996" s="403">
        <v>7</v>
      </c>
      <c r="B996" s="609" t="s">
        <v>1075</v>
      </c>
      <c r="C996" s="613"/>
      <c r="D996" s="604"/>
      <c r="E996" s="604"/>
      <c r="F996" s="604"/>
      <c r="G996" s="403" t="s">
        <v>4326</v>
      </c>
      <c r="H996" s="403" t="s">
        <v>4323</v>
      </c>
      <c r="I996" s="4"/>
      <c r="J996" s="104"/>
      <c r="K996" s="104"/>
      <c r="L996" s="706"/>
      <c r="M996" s="43"/>
      <c r="N996" s="85"/>
      <c r="O996" s="85"/>
      <c r="X996" s="688"/>
      <c r="Y996" s="891"/>
      <c r="Z996" s="892"/>
      <c r="BJ996" s="573" t="s">
        <v>4670</v>
      </c>
    </row>
    <row r="997" spans="1:62" x14ac:dyDescent="0.35">
      <c r="A997" s="403">
        <v>7</v>
      </c>
      <c r="B997" s="609" t="s">
        <v>1075</v>
      </c>
      <c r="C997" s="613"/>
      <c r="D997" s="604"/>
      <c r="E997" s="604"/>
      <c r="F997" s="604"/>
      <c r="G997" s="403" t="s">
        <v>4326</v>
      </c>
      <c r="H997" s="403" t="s">
        <v>4323</v>
      </c>
      <c r="I997" s="4"/>
      <c r="J997" s="104"/>
      <c r="K997" s="104"/>
      <c r="L997" s="706"/>
      <c r="M997" s="43"/>
      <c r="N997" s="85"/>
      <c r="O997" s="85"/>
      <c r="X997" s="688"/>
      <c r="Y997" s="891"/>
      <c r="Z997" s="892"/>
      <c r="BJ997" s="573" t="s">
        <v>4670</v>
      </c>
    </row>
    <row r="998" spans="1:62" x14ac:dyDescent="0.35">
      <c r="A998" s="403">
        <v>7</v>
      </c>
      <c r="B998" s="609" t="s">
        <v>1075</v>
      </c>
      <c r="C998" s="613"/>
      <c r="D998" s="604"/>
      <c r="E998" s="604"/>
      <c r="F998" s="604"/>
      <c r="G998" s="403" t="s">
        <v>4326</v>
      </c>
      <c r="H998" s="403" t="s">
        <v>4323</v>
      </c>
      <c r="I998" s="4"/>
      <c r="J998" s="104"/>
      <c r="K998" s="104"/>
      <c r="L998" s="706"/>
      <c r="M998" s="43"/>
      <c r="N998" s="85"/>
      <c r="O998" s="85"/>
      <c r="X998" s="688"/>
      <c r="Y998" s="891"/>
      <c r="Z998" s="892"/>
      <c r="BJ998" s="573" t="s">
        <v>4670</v>
      </c>
    </row>
    <row r="999" spans="1:62" x14ac:dyDescent="0.35">
      <c r="A999" s="403">
        <v>7</v>
      </c>
      <c r="B999" s="609" t="s">
        <v>1075</v>
      </c>
      <c r="C999" s="613"/>
      <c r="D999" s="604"/>
      <c r="E999" s="604"/>
      <c r="F999" s="604"/>
      <c r="G999" s="403" t="s">
        <v>4326</v>
      </c>
      <c r="H999" s="403" t="s">
        <v>4323</v>
      </c>
      <c r="I999" s="4"/>
      <c r="J999" s="104"/>
      <c r="K999" s="104"/>
      <c r="L999" s="706"/>
      <c r="M999" s="43"/>
      <c r="N999" s="85"/>
      <c r="O999" s="85"/>
      <c r="X999" s="688"/>
      <c r="Y999" s="891"/>
      <c r="Z999" s="892"/>
      <c r="BJ999" s="573" t="s">
        <v>4670</v>
      </c>
    </row>
    <row r="1000" spans="1:62" x14ac:dyDescent="0.35">
      <c r="A1000" s="403">
        <v>7</v>
      </c>
      <c r="B1000" s="609" t="s">
        <v>1075</v>
      </c>
      <c r="C1000" s="613"/>
      <c r="D1000" s="604" t="s">
        <v>272</v>
      </c>
      <c r="E1000" s="604"/>
      <c r="F1000" s="604"/>
      <c r="G1000" s="403" t="s">
        <v>4326</v>
      </c>
      <c r="H1000" s="403" t="s">
        <v>4323</v>
      </c>
      <c r="I1000" s="4"/>
      <c r="J1000" s="104"/>
      <c r="K1000" s="104"/>
      <c r="L1000" s="706"/>
      <c r="M1000" s="43"/>
      <c r="N1000" s="85"/>
      <c r="O1000" s="85"/>
      <c r="W1000" t="s">
        <v>4031</v>
      </c>
      <c r="X1000" s="688" t="s">
        <v>4838</v>
      </c>
      <c r="Y1000" s="891" t="str">
        <f>IF(LEN('Ch7'!X236)=0,"None",'Ch7'!X236)</f>
        <v>None</v>
      </c>
      <c r="Z1000" s="892"/>
      <c r="AR1000" t="str">
        <f>SUBSTITUTE(SUBSTITUTE(SUBSTITUTE("vnt"&amp;$B1000&amp;$C1000&amp;$D1000&amp;$E1000&amp;$F1000,".","_"),"(","_"),")","")</f>
        <v>vnt703_3_0_2</v>
      </c>
      <c r="AS1000" t="str">
        <f>X1000</f>
        <v>ac</v>
      </c>
      <c r="BJ1000" s="573" t="s">
        <v>4670</v>
      </c>
    </row>
    <row r="1001" spans="1:62" x14ac:dyDescent="0.35">
      <c r="A1001" s="403">
        <v>7</v>
      </c>
      <c r="B1001" s="609" t="s">
        <v>1075</v>
      </c>
      <c r="C1001" s="613"/>
      <c r="D1001" s="604" t="s">
        <v>272</v>
      </c>
      <c r="E1001" s="604"/>
      <c r="F1001" s="604"/>
      <c r="G1001" s="403" t="s">
        <v>4326</v>
      </c>
      <c r="H1001" s="403" t="s">
        <v>4323</v>
      </c>
      <c r="I1001" s="4"/>
      <c r="J1001" s="104"/>
      <c r="K1001" s="104"/>
      <c r="L1001" s="706"/>
      <c r="M1001" s="43"/>
      <c r="N1001" s="85"/>
      <c r="O1001" s="85"/>
      <c r="P1001" t="b">
        <v>1</v>
      </c>
      <c r="Q1001" t="b">
        <v>1</v>
      </c>
      <c r="R1001" t="b">
        <v>0</v>
      </c>
      <c r="S1001" t="b">
        <f ca="1">(S777=2)</f>
        <v>0</v>
      </c>
      <c r="T1001" t="b">
        <f ca="1">AND(NOT(S1001),LEN(W1001)&gt;0)</f>
        <v>0</v>
      </c>
      <c r="U1001" t="str">
        <f>SUBSTITUTE(SUBSTITUTE(SUBSTITUTE("dd"&amp;B1001&amp;C1001&amp;D1001&amp;E1001&amp;F1001,".","_"),"(","_"),")","")</f>
        <v>dd703_3_0_2</v>
      </c>
      <c r="W1001" s="9"/>
      <c r="X1001" s="688"/>
      <c r="Y1001" s="891"/>
      <c r="Z1001" s="892"/>
      <c r="AC1001" t="b">
        <f ca="1">OR(AD1001:AE1001)</f>
        <v>0</v>
      </c>
      <c r="AD1001" t="b">
        <f ca="1">T1001</f>
        <v>0</v>
      </c>
      <c r="AE1001" t="b">
        <f ca="1">AND(W1001=INDEX(INDIRECT(U1001),1),LEN(X1000)=0)</f>
        <v>0</v>
      </c>
      <c r="AF1001" t="b">
        <f ca="1">AND(AE1001,NOT(Q1001))</f>
        <v>0</v>
      </c>
      <c r="AP1001" t="str">
        <f>SUBSTITUTE(SUBSTITUTE(SUBSTITUTE("vch"&amp;$B1001&amp;$C1001&amp;$D1001&amp;$E1001&amp;$F1001,".","_"),"(","_"),")","")</f>
        <v>vch703_3_0_2</v>
      </c>
      <c r="AQ1001">
        <f>W1001</f>
        <v>0</v>
      </c>
      <c r="BJ1001" s="573" t="s">
        <v>4670</v>
      </c>
    </row>
    <row r="1002" spans="1:62" x14ac:dyDescent="0.35">
      <c r="A1002" s="403">
        <v>7</v>
      </c>
      <c r="B1002" s="609" t="s">
        <v>1075</v>
      </c>
      <c r="C1002" s="613"/>
      <c r="D1002" s="604"/>
      <c r="E1002" s="604"/>
      <c r="F1002" s="604"/>
      <c r="G1002" s="403" t="s">
        <v>4326</v>
      </c>
      <c r="H1002" s="403" t="s">
        <v>4323</v>
      </c>
      <c r="I1002" s="4"/>
      <c r="J1002" s="104"/>
      <c r="K1002" s="104"/>
      <c r="L1002" s="778" t="s">
        <v>1297</v>
      </c>
      <c r="M1002" s="43"/>
      <c r="N1002" s="85"/>
      <c r="O1002" s="85"/>
      <c r="X1002" s="688"/>
      <c r="Y1002" s="891"/>
      <c r="Z1002" s="892"/>
      <c r="BJ1002" s="573" t="s">
        <v>4670</v>
      </c>
    </row>
    <row r="1003" spans="1:62" x14ac:dyDescent="0.35">
      <c r="A1003" s="403">
        <v>7</v>
      </c>
      <c r="B1003" s="609" t="s">
        <v>1075</v>
      </c>
      <c r="C1003" s="613"/>
      <c r="D1003" s="604"/>
      <c r="E1003" s="604"/>
      <c r="F1003" s="604"/>
      <c r="G1003" s="403" t="s">
        <v>4326</v>
      </c>
      <c r="H1003" s="403" t="s">
        <v>4323</v>
      </c>
      <c r="I1003" s="4"/>
      <c r="J1003" s="104"/>
      <c r="K1003" s="104"/>
      <c r="L1003" s="778"/>
      <c r="M1003" s="43"/>
      <c r="N1003" s="85"/>
      <c r="O1003" s="85"/>
      <c r="X1003" s="688"/>
      <c r="Y1003" s="891"/>
      <c r="Z1003" s="892"/>
      <c r="BJ1003" s="573" t="s">
        <v>4670</v>
      </c>
    </row>
    <row r="1004" spans="1:62" x14ac:dyDescent="0.35">
      <c r="A1004" s="403">
        <v>7</v>
      </c>
      <c r="B1004" s="609" t="s">
        <v>1075</v>
      </c>
      <c r="C1004" s="613"/>
      <c r="D1004" s="604"/>
      <c r="E1004" s="604"/>
      <c r="F1004" s="604"/>
      <c r="G1004" s="403" t="s">
        <v>4326</v>
      </c>
      <c r="H1004" s="403" t="s">
        <v>4323</v>
      </c>
      <c r="I1004" s="4"/>
      <c r="J1004" s="104"/>
      <c r="K1004" s="104"/>
      <c r="L1004" s="177" t="s">
        <v>1078</v>
      </c>
      <c r="M1004" s="43"/>
      <c r="N1004" s="85"/>
      <c r="O1004" s="85"/>
      <c r="X1004" s="688"/>
      <c r="Y1004" s="891"/>
      <c r="Z1004" s="892"/>
      <c r="BJ1004" s="573" t="s">
        <v>4670</v>
      </c>
    </row>
    <row r="1005" spans="1:62" x14ac:dyDescent="0.35">
      <c r="A1005" s="403">
        <v>7</v>
      </c>
      <c r="B1005" s="609" t="s">
        <v>1075</v>
      </c>
      <c r="C1005" s="613"/>
      <c r="D1005" s="604"/>
      <c r="E1005" s="604"/>
      <c r="F1005" s="604"/>
      <c r="G1005" s="403" t="s">
        <v>4326</v>
      </c>
      <c r="H1005" s="403" t="s">
        <v>4323</v>
      </c>
      <c r="I1005" s="4"/>
      <c r="J1005" s="104"/>
      <c r="K1005" s="104"/>
      <c r="L1005" s="177" t="s">
        <v>1079</v>
      </c>
      <c r="M1005" s="43"/>
      <c r="N1005" s="85"/>
      <c r="O1005" s="85"/>
      <c r="X1005" s="688"/>
      <c r="Y1005" s="891"/>
      <c r="Z1005" s="892"/>
      <c r="BJ1005" s="573" t="s">
        <v>4670</v>
      </c>
    </row>
    <row r="1006" spans="1:62" x14ac:dyDescent="0.35">
      <c r="A1006" s="403">
        <v>7</v>
      </c>
      <c r="B1006" s="609" t="s">
        <v>1075</v>
      </c>
      <c r="C1006" s="613"/>
      <c r="D1006" s="604"/>
      <c r="E1006" s="604"/>
      <c r="F1006" s="604"/>
      <c r="G1006" s="403" t="s">
        <v>4326</v>
      </c>
      <c r="H1006" s="403" t="s">
        <v>4323</v>
      </c>
      <c r="I1006" s="155"/>
      <c r="J1006" s="214"/>
      <c r="K1006" s="214"/>
      <c r="L1006" s="370" t="s">
        <v>1080</v>
      </c>
      <c r="M1006" s="43"/>
      <c r="N1006" s="85"/>
      <c r="O1006" s="85"/>
      <c r="X1006" s="688"/>
      <c r="Y1006" s="891"/>
      <c r="Z1006" s="892"/>
      <c r="BJ1006" s="573" t="s">
        <v>4670</v>
      </c>
    </row>
    <row r="1007" spans="1:62" x14ac:dyDescent="0.35">
      <c r="A1007" s="403">
        <v>7</v>
      </c>
      <c r="B1007" s="609" t="s">
        <v>1081</v>
      </c>
      <c r="C1007" s="613"/>
      <c r="D1007" s="604"/>
      <c r="E1007" s="604"/>
      <c r="F1007" s="604"/>
      <c r="G1007" s="403" t="str">
        <f ca="1">IF(N1007&gt;0,"P","")</f>
        <v/>
      </c>
      <c r="H1007" s="403" t="s">
        <v>4323</v>
      </c>
      <c r="I1007" s="34" t="s">
        <v>1081</v>
      </c>
      <c r="J1007" s="104"/>
      <c r="K1007" s="104"/>
      <c r="L1007" s="706" t="s">
        <v>1082</v>
      </c>
      <c r="M1007" s="737">
        <v>4</v>
      </c>
      <c r="N1007" s="696">
        <f ca="1">'Ch7'!O243</f>
        <v>0</v>
      </c>
      <c r="O1007" s="696">
        <f ca="1">M1007*S1007*W1007</f>
        <v>0</v>
      </c>
      <c r="P1007" t="b">
        <v>1</v>
      </c>
      <c r="Q1007" t="b">
        <v>1</v>
      </c>
      <c r="R1007" t="b">
        <v>0</v>
      </c>
      <c r="S1007" t="b">
        <f ca="1">(S777=2)</f>
        <v>0</v>
      </c>
      <c r="T1007" t="b">
        <f ca="1">AND(NOT(S1007),W1007=TRUE)</f>
        <v>0</v>
      </c>
      <c r="W1007" s="17"/>
      <c r="X1007" s="688"/>
      <c r="Y1007" s="891" t="str">
        <f>IF(LEN('Ch7'!X243)=0,"None",'Ch7'!X243)</f>
        <v>None</v>
      </c>
      <c r="Z1007" s="892"/>
      <c r="AC1007" t="b">
        <f ca="1">OR(AD1007:AE1007)</f>
        <v>0</v>
      </c>
      <c r="AD1007" t="b">
        <f ca="1">T1007</f>
        <v>0</v>
      </c>
      <c r="AE1007" t="b">
        <f>AND(R1007,NOT(W1007))</f>
        <v>0</v>
      </c>
      <c r="AF1007" t="b">
        <f>AND(AE1007,NOT(Q1007))</f>
        <v>0</v>
      </c>
      <c r="AL1007" t="str">
        <f t="shared" ref="AL1007" si="275">SUBSTITUTE(SUBSTITUTE(SUBSTITUTE("vpa"&amp;$B1007&amp;$C1007&amp;$D1007&amp;$E1007&amp;$F1007,".","_"),"(","_"),")","")</f>
        <v>vpa703_3_1</v>
      </c>
      <c r="AM1007">
        <f>M1007</f>
        <v>4</v>
      </c>
      <c r="AN1007" t="str">
        <f>SUBSTITUTE(SUBSTITUTE(SUBSTITUTE("vpc"&amp;$B1007&amp;$C1007&amp;$D1007&amp;$E1007&amp;$F1007,".","_"),"(","_"),")","")</f>
        <v>vpc703_3_1</v>
      </c>
      <c r="AO1007">
        <f ca="1">O1007</f>
        <v>0</v>
      </c>
      <c r="AP1007" t="str">
        <f>SUBSTITUTE(SUBSTITUTE(SUBSTITUTE("vch"&amp;$B1007&amp;$C1007&amp;$D1007&amp;$E1007&amp;$F1007,".","_"),"(","_"),")","")</f>
        <v>vch703_3_1</v>
      </c>
      <c r="AQ1007">
        <f>W1007</f>
        <v>0</v>
      </c>
      <c r="AR1007" t="str">
        <f>SUBSTITUTE(SUBSTITUTE(SUBSTITUTE("vnt"&amp;$B1007&amp;$C1007&amp;$D1007&amp;$E1007&amp;$F1007,".","_"),"(","_"),")","")</f>
        <v>vnt703_3_1</v>
      </c>
      <c r="AS1007">
        <f>X1007</f>
        <v>0</v>
      </c>
      <c r="BJ1007" s="573" t="s">
        <v>4670</v>
      </c>
    </row>
    <row r="1008" spans="1:62" x14ac:dyDescent="0.35">
      <c r="A1008" s="403">
        <v>7</v>
      </c>
      <c r="B1008" s="609" t="s">
        <v>1081</v>
      </c>
      <c r="C1008" s="613"/>
      <c r="D1008" s="604"/>
      <c r="E1008" s="604"/>
      <c r="F1008" s="604"/>
      <c r="G1008" s="403" t="str">
        <f t="shared" ref="G1008:G1011" ca="1" si="276">G1007</f>
        <v/>
      </c>
      <c r="H1008" s="403" t="s">
        <v>4323</v>
      </c>
      <c r="I1008" s="4"/>
      <c r="J1008" s="104"/>
      <c r="K1008" s="104"/>
      <c r="L1008" s="706"/>
      <c r="M1008" s="737"/>
      <c r="N1008" s="696"/>
      <c r="O1008" s="696"/>
      <c r="X1008" s="688"/>
      <c r="Y1008" s="891"/>
      <c r="Z1008" s="892"/>
      <c r="BJ1008" s="573" t="s">
        <v>4670</v>
      </c>
    </row>
    <row r="1009" spans="1:62" x14ac:dyDescent="0.35">
      <c r="A1009" s="403">
        <v>7</v>
      </c>
      <c r="B1009" s="609" t="s">
        <v>1081</v>
      </c>
      <c r="C1009" s="613"/>
      <c r="D1009" s="604"/>
      <c r="E1009" s="604"/>
      <c r="F1009" s="604"/>
      <c r="G1009" s="403" t="str">
        <f t="shared" ca="1" si="276"/>
        <v/>
      </c>
      <c r="H1009" s="403" t="s">
        <v>4323</v>
      </c>
      <c r="I1009" s="4"/>
      <c r="J1009" s="104"/>
      <c r="K1009" s="104"/>
      <c r="L1009" s="706"/>
      <c r="M1009" s="737"/>
      <c r="N1009" s="696"/>
      <c r="O1009" s="696"/>
      <c r="S1009" s="285" t="s">
        <v>4038</v>
      </c>
      <c r="T1009" s="1">
        <f>BF781</f>
        <v>4</v>
      </c>
      <c r="X1009" s="688"/>
      <c r="Y1009" s="891"/>
      <c r="Z1009" s="892"/>
      <c r="BJ1009" s="573" t="s">
        <v>4670</v>
      </c>
    </row>
    <row r="1010" spans="1:62" x14ac:dyDescent="0.35">
      <c r="A1010" s="403">
        <v>7</v>
      </c>
      <c r="B1010" s="609" t="s">
        <v>1081</v>
      </c>
      <c r="C1010" s="613"/>
      <c r="D1010" s="604"/>
      <c r="E1010" s="604"/>
      <c r="F1010" s="604"/>
      <c r="G1010" s="403" t="str">
        <f t="shared" ca="1" si="276"/>
        <v/>
      </c>
      <c r="H1010" s="403" t="s">
        <v>4323</v>
      </c>
      <c r="I1010" s="4"/>
      <c r="J1010" s="104"/>
      <c r="K1010" s="104"/>
      <c r="L1010" s="706"/>
      <c r="M1010" s="737"/>
      <c r="N1010" s="696"/>
      <c r="O1010" s="696"/>
      <c r="R1010" s="1"/>
      <c r="S1010" s="285" t="s">
        <v>3905</v>
      </c>
      <c r="T1010" s="1" t="b">
        <f>AND(AY790&gt;4,AY784=INDEX(ddSingleOrMulti,2))</f>
        <v>0</v>
      </c>
      <c r="X1010" s="688"/>
      <c r="Y1010" s="891"/>
      <c r="Z1010" s="892"/>
      <c r="BJ1010" s="573" t="s">
        <v>4670</v>
      </c>
    </row>
    <row r="1011" spans="1:62" x14ac:dyDescent="0.35">
      <c r="A1011" s="403">
        <v>7</v>
      </c>
      <c r="B1011" s="609" t="s">
        <v>1081</v>
      </c>
      <c r="C1011" s="613"/>
      <c r="D1011" s="604"/>
      <c r="E1011" s="604"/>
      <c r="F1011" s="604"/>
      <c r="G1011" s="403" t="str">
        <f t="shared" ca="1" si="276"/>
        <v/>
      </c>
      <c r="H1011" s="403" t="s">
        <v>4323</v>
      </c>
      <c r="I1011" s="155"/>
      <c r="J1011" s="214"/>
      <c r="K1011" s="214"/>
      <c r="L1011" s="739"/>
      <c r="M1011" s="756"/>
      <c r="N1011" s="697"/>
      <c r="O1011" s="697"/>
      <c r="X1011" s="688"/>
      <c r="Y1011" s="891"/>
      <c r="Z1011" s="892"/>
      <c r="BJ1011" s="573" t="s">
        <v>4670</v>
      </c>
    </row>
    <row r="1012" spans="1:62" x14ac:dyDescent="0.35">
      <c r="A1012" s="403">
        <v>7</v>
      </c>
      <c r="B1012" s="609" t="s">
        <v>1083</v>
      </c>
      <c r="C1012" s="613"/>
      <c r="D1012" s="604"/>
      <c r="E1012" s="604"/>
      <c r="F1012" s="604"/>
      <c r="G1012" s="600" t="str">
        <f ca="1">IF(COUNTIF(G1013:G1027,"P")&gt;0,"P","")</f>
        <v/>
      </c>
      <c r="H1012" s="403" t="s">
        <v>4323</v>
      </c>
      <c r="I1012" s="34" t="s">
        <v>1083</v>
      </c>
      <c r="J1012" s="104"/>
      <c r="K1012" s="104"/>
      <c r="L1012" s="110" t="s">
        <v>1084</v>
      </c>
      <c r="M1012" s="310"/>
      <c r="N1012" s="85"/>
      <c r="O1012" s="85"/>
      <c r="Z1012" s="543"/>
      <c r="BJ1012" s="573" t="s">
        <v>4670</v>
      </c>
    </row>
    <row r="1013" spans="1:62" x14ac:dyDescent="0.35">
      <c r="A1013" s="403">
        <v>7</v>
      </c>
      <c r="B1013" s="609" t="s">
        <v>1083</v>
      </c>
      <c r="C1013" s="613"/>
      <c r="D1013" s="604" t="s">
        <v>270</v>
      </c>
      <c r="E1013" s="604"/>
      <c r="F1013" s="604"/>
      <c r="G1013" s="403" t="str">
        <f ca="1">IF(N1013&gt;0,"P","")</f>
        <v/>
      </c>
      <c r="H1013" s="403" t="s">
        <v>4323</v>
      </c>
      <c r="I1013" s="4"/>
      <c r="J1013" s="175" t="s">
        <v>270</v>
      </c>
      <c r="K1013" s="104"/>
      <c r="L1013" s="104" t="s">
        <v>1085</v>
      </c>
      <c r="M1013" s="43"/>
      <c r="N1013" s="85">
        <f ca="1">'Ch7'!O249</f>
        <v>0</v>
      </c>
      <c r="O1013" s="85">
        <f ca="1">IFERROR(INDEX(M1014:M1018,MATCH(W1014,{0.9,0.92,0.94,0.96,0.98},1)),0)*S1014</f>
        <v>0</v>
      </c>
      <c r="W1013" t="s">
        <v>4047</v>
      </c>
      <c r="X1013" s="688"/>
      <c r="Y1013" s="891" t="str">
        <f>IF(LEN('Ch7'!X249)=0,"None",'Ch7'!X249)</f>
        <v>None</v>
      </c>
      <c r="Z1013" s="892"/>
      <c r="AN1013" t="str">
        <f>SUBSTITUTE(SUBSTITUTE(SUBSTITUTE("vpc"&amp;$B1013&amp;$C1013&amp;$D1013&amp;$E1013&amp;$F1013,".","_"),"(","_"),")","")</f>
        <v>vpc703_3_2 _1</v>
      </c>
      <c r="AO1013">
        <f ca="1">O1013</f>
        <v>0</v>
      </c>
      <c r="AR1013" t="str">
        <f>SUBSTITUTE(SUBSTITUTE(SUBSTITUTE("vnt"&amp;$B1013&amp;$C1013&amp;$D1013&amp;$E1013&amp;$F1013,".","_"),"(","_"),")","")</f>
        <v>vnt703_3_2 _1</v>
      </c>
      <c r="AS1013">
        <f>X1013</f>
        <v>0</v>
      </c>
      <c r="BJ1013" s="573" t="s">
        <v>4670</v>
      </c>
    </row>
    <row r="1014" spans="1:62" x14ac:dyDescent="0.35">
      <c r="A1014" s="403">
        <v>7</v>
      </c>
      <c r="B1014" s="609" t="s">
        <v>1083</v>
      </c>
      <c r="C1014" s="613"/>
      <c r="D1014" s="604" t="s">
        <v>270</v>
      </c>
      <c r="E1014" s="604" t="s">
        <v>270</v>
      </c>
      <c r="F1014" s="604"/>
      <c r="G1014" s="403" t="str">
        <f t="shared" ref="G1014:G1018" ca="1" si="277">G1013</f>
        <v/>
      </c>
      <c r="H1014" s="403" t="s">
        <v>4323</v>
      </c>
      <c r="I1014" s="4"/>
      <c r="J1014" s="175"/>
      <c r="K1014" s="104"/>
      <c r="L1014" s="104" t="s">
        <v>4032</v>
      </c>
      <c r="M1014" s="43">
        <f>IF(T1010,IFERROR(INDEX({0,4,4,8,8,10,11,13},T1009),0),IFERROR(INDEX({0,2,3,6,6,9,10,12},T1009),0))</f>
        <v>6</v>
      </c>
      <c r="N1014" s="85"/>
      <c r="O1014" s="85"/>
      <c r="P1014" t="b">
        <v>1</v>
      </c>
      <c r="Q1014" t="b">
        <v>1</v>
      </c>
      <c r="R1014" t="b">
        <v>0</v>
      </c>
      <c r="S1014" t="b">
        <f ca="1">AND(S777=2,LEN(W1020)=0,LEN(W1023)=0,LEN(W1028)=0,LEN(W1034)=0,LEN(W1039)=0,NOT(W1051=TRUE),LEN(W1056)=0,LEN(W1056)=0)</f>
        <v>0</v>
      </c>
      <c r="T1014" t="b">
        <f ca="1">AND(NOT(S1014),LEN(W1014)&gt;0)</f>
        <v>0</v>
      </c>
      <c r="W1014" s="333"/>
      <c r="X1014" s="688"/>
      <c r="Y1014" s="891"/>
      <c r="Z1014" s="892"/>
      <c r="AC1014" t="b">
        <f ca="1">OR(AD1014:AE1014)</f>
        <v>0</v>
      </c>
      <c r="AD1014" t="b">
        <f ca="1">T1014</f>
        <v>0</v>
      </c>
      <c r="AE1014" t="b">
        <f>AND(R1014,OR(W1014="Not Met",W1014=""))</f>
        <v>0</v>
      </c>
      <c r="AF1014" t="b">
        <f>AND(AE1014,NOT(Q1014))</f>
        <v>0</v>
      </c>
      <c r="AL1014" t="str">
        <f t="shared" ref="AL1014:AL1018" si="278">SUBSTITUTE(SUBSTITUTE(SUBSTITUTE("vpa"&amp;$B1014&amp;$C1014&amp;$D1014&amp;$E1014&amp;$F1014,".","_"),"(","_"),")","")</f>
        <v>vpa703_3_2 _1_1</v>
      </c>
      <c r="AM1014">
        <f>M1014</f>
        <v>6</v>
      </c>
      <c r="AP1014" t="str">
        <f>SUBSTITUTE(SUBSTITUTE(SUBSTITUTE("vch"&amp;$B1014&amp;$C1014&amp;$D1014&amp;$E1014&amp;$F1014,".","_"),"(","_"),")","")</f>
        <v>vch703_3_2 _1_1</v>
      </c>
      <c r="AQ1014" s="258">
        <f>W1014</f>
        <v>0</v>
      </c>
      <c r="BJ1014" s="573" t="s">
        <v>4670</v>
      </c>
    </row>
    <row r="1015" spans="1:62" x14ac:dyDescent="0.35">
      <c r="A1015" s="403">
        <v>7</v>
      </c>
      <c r="B1015" s="609" t="s">
        <v>1083</v>
      </c>
      <c r="C1015" s="613"/>
      <c r="D1015" s="604" t="s">
        <v>270</v>
      </c>
      <c r="E1015" s="604" t="s">
        <v>272</v>
      </c>
      <c r="F1015" s="604"/>
      <c r="G1015" s="403" t="str">
        <f t="shared" ca="1" si="277"/>
        <v/>
      </c>
      <c r="H1015" s="403" t="s">
        <v>4323</v>
      </c>
      <c r="I1015" s="4"/>
      <c r="J1015" s="175"/>
      <c r="K1015" s="104"/>
      <c r="L1015" s="104" t="s">
        <v>4033</v>
      </c>
      <c r="M1015" s="43">
        <f>IF(T1010,IFERROR(INDEX({0,4,4,9,10,11,12,14},T1009),0),IFERROR(INDEX({0,2,4,7,8,10,12,14},T1009),0))</f>
        <v>7</v>
      </c>
      <c r="N1015" s="85"/>
      <c r="O1015" s="85"/>
      <c r="X1015" s="688"/>
      <c r="Y1015" s="891"/>
      <c r="Z1015" s="892"/>
      <c r="AL1015" t="str">
        <f t="shared" si="278"/>
        <v>vpa703_3_2 _1_2</v>
      </c>
      <c r="AM1015">
        <f>M1015</f>
        <v>7</v>
      </c>
      <c r="BJ1015" s="573" t="s">
        <v>4670</v>
      </c>
    </row>
    <row r="1016" spans="1:62" x14ac:dyDescent="0.35">
      <c r="A1016" s="403">
        <v>7</v>
      </c>
      <c r="B1016" s="609" t="s">
        <v>1083</v>
      </c>
      <c r="C1016" s="613"/>
      <c r="D1016" s="604" t="s">
        <v>270</v>
      </c>
      <c r="E1016" s="604" t="s">
        <v>274</v>
      </c>
      <c r="F1016" s="604"/>
      <c r="G1016" s="403" t="str">
        <f t="shared" ca="1" si="277"/>
        <v/>
      </c>
      <c r="H1016" s="403" t="s">
        <v>4323</v>
      </c>
      <c r="I1016" s="4"/>
      <c r="J1016" s="175"/>
      <c r="K1016" s="104"/>
      <c r="L1016" s="104" t="s">
        <v>4034</v>
      </c>
      <c r="M1016" s="43">
        <f>IF(T1010,IFERROR(INDEX({0,5,5,10,11,12,14,16},T1009),0),IFERROR(INDEX({0,3,4,9,9,12,14,16},T1009),0))</f>
        <v>9</v>
      </c>
      <c r="N1016" s="85"/>
      <c r="O1016" s="85"/>
      <c r="X1016" s="688"/>
      <c r="Y1016" s="891"/>
      <c r="Z1016" s="892"/>
      <c r="AL1016" t="str">
        <f t="shared" si="278"/>
        <v>vpa703_3_2 _1_3</v>
      </c>
      <c r="AM1016">
        <f>M1016</f>
        <v>9</v>
      </c>
      <c r="BJ1016" s="573" t="s">
        <v>4670</v>
      </c>
    </row>
    <row r="1017" spans="1:62" x14ac:dyDescent="0.35">
      <c r="A1017" s="403">
        <v>7</v>
      </c>
      <c r="B1017" s="609" t="s">
        <v>1083</v>
      </c>
      <c r="C1017" s="613"/>
      <c r="D1017" s="604" t="s">
        <v>270</v>
      </c>
      <c r="E1017" s="604" t="s">
        <v>283</v>
      </c>
      <c r="F1017" s="604"/>
      <c r="G1017" s="403" t="str">
        <f t="shared" ca="1" si="277"/>
        <v/>
      </c>
      <c r="H1017" s="403" t="s">
        <v>4323</v>
      </c>
      <c r="I1017" s="4"/>
      <c r="J1017" s="175"/>
      <c r="K1017" s="104"/>
      <c r="L1017" s="104" t="s">
        <v>4035</v>
      </c>
      <c r="M1017" s="43">
        <f>IF(T1010,IFERROR(INDEX({0,5,5,12,12,13,15,17},T1009),0),IFERROR(INDEX({1,3,5,10,10,14,16,19},T1009),0))</f>
        <v>10</v>
      </c>
      <c r="N1017" s="85"/>
      <c r="O1017" s="85"/>
      <c r="X1017" s="688"/>
      <c r="Y1017" s="891"/>
      <c r="Z1017" s="892"/>
      <c r="AL1017" t="str">
        <f t="shared" si="278"/>
        <v>vpa703_3_2 _1_4</v>
      </c>
      <c r="AM1017">
        <f>M1017</f>
        <v>10</v>
      </c>
      <c r="BJ1017" s="573" t="s">
        <v>4670</v>
      </c>
    </row>
    <row r="1018" spans="1:62" x14ac:dyDescent="0.35">
      <c r="A1018" s="403">
        <v>7</v>
      </c>
      <c r="B1018" s="609" t="s">
        <v>1083</v>
      </c>
      <c r="C1018" s="613"/>
      <c r="D1018" s="604" t="s">
        <v>270</v>
      </c>
      <c r="E1018" s="604" t="s">
        <v>289</v>
      </c>
      <c r="F1018" s="604"/>
      <c r="G1018" s="403" t="str">
        <f t="shared" ca="1" si="277"/>
        <v/>
      </c>
      <c r="H1018" s="403" t="s">
        <v>4323</v>
      </c>
      <c r="I1018" s="4"/>
      <c r="J1018" s="214"/>
      <c r="K1018" s="214"/>
      <c r="L1018" s="214" t="s">
        <v>4036</v>
      </c>
      <c r="M1018" s="198">
        <f>IF(T1010,IFERROR(INDEX({0,6,6,13,13,14,16,18},T1009),0),IFERROR(INDEX({1,3,6,11,12,16,18,21},T1009),0))</f>
        <v>11</v>
      </c>
      <c r="N1018" s="342"/>
      <c r="O1018" s="342"/>
      <c r="X1018" s="688"/>
      <c r="Y1018" s="891"/>
      <c r="Z1018" s="892"/>
      <c r="AL1018" t="str">
        <f t="shared" si="278"/>
        <v>vpa703_3_2 _1_5</v>
      </c>
      <c r="AM1018">
        <f>M1018</f>
        <v>11</v>
      </c>
      <c r="BJ1018" s="573" t="s">
        <v>4670</v>
      </c>
    </row>
    <row r="1019" spans="1:62" x14ac:dyDescent="0.35">
      <c r="A1019" s="403">
        <v>7</v>
      </c>
      <c r="B1019" s="609" t="s">
        <v>1083</v>
      </c>
      <c r="C1019" s="613"/>
      <c r="D1019" s="604" t="s">
        <v>272</v>
      </c>
      <c r="E1019" s="604"/>
      <c r="F1019" s="604"/>
      <c r="G1019" s="403" t="str">
        <f ca="1">IF(N1019&gt;0,"P","")</f>
        <v/>
      </c>
      <c r="H1019" s="403" t="s">
        <v>4323</v>
      </c>
      <c r="I1019" s="4"/>
      <c r="J1019" s="175" t="s">
        <v>272</v>
      </c>
      <c r="K1019" s="104"/>
      <c r="L1019" s="104" t="s">
        <v>1086</v>
      </c>
      <c r="M1019" s="43"/>
      <c r="N1019" s="85">
        <f ca="1">'Ch7'!O255</f>
        <v>0</v>
      </c>
      <c r="O1019" s="85">
        <f ca="1">IFERROR(INDEX(M1020:M1021,MATCH(W1020,{0.85,0.9},1)),0)*S1020</f>
        <v>0</v>
      </c>
      <c r="W1019" t="s">
        <v>4047</v>
      </c>
      <c r="X1019" s="688"/>
      <c r="Y1019" s="891" t="str">
        <f>IF(LEN('Ch7'!X255)=0,"None",'Ch7'!X255)</f>
        <v>None</v>
      </c>
      <c r="Z1019" s="892"/>
      <c r="AN1019" t="str">
        <f>SUBSTITUTE(SUBSTITUTE(SUBSTITUTE("vpc"&amp;$B1019&amp;$C1019&amp;$D1019&amp;$E1019&amp;$F1019,".","_"),"(","_"),")","")</f>
        <v>vpc703_3_2 _2</v>
      </c>
      <c r="AO1019">
        <f ca="1">O1019</f>
        <v>0</v>
      </c>
      <c r="AR1019" t="str">
        <f>SUBSTITUTE(SUBSTITUTE(SUBSTITUTE("vnt"&amp;$B1019&amp;$C1019&amp;$D1019&amp;$E1019&amp;$F1019,".","_"),"(","_"),")","")</f>
        <v>vnt703_3_2 _2</v>
      </c>
      <c r="AS1019">
        <f>X1019</f>
        <v>0</v>
      </c>
      <c r="BJ1019" s="573" t="s">
        <v>4670</v>
      </c>
    </row>
    <row r="1020" spans="1:62" x14ac:dyDescent="0.35">
      <c r="A1020" s="403">
        <v>7</v>
      </c>
      <c r="B1020" s="609" t="s">
        <v>1083</v>
      </c>
      <c r="C1020" s="613"/>
      <c r="D1020" s="604" t="s">
        <v>272</v>
      </c>
      <c r="E1020" s="604" t="s">
        <v>270</v>
      </c>
      <c r="F1020" s="604"/>
      <c r="G1020" s="403" t="str">
        <f t="shared" ref="G1020:G1021" ca="1" si="279">G1019</f>
        <v/>
      </c>
      <c r="H1020" s="403" t="s">
        <v>4323</v>
      </c>
      <c r="I1020" s="4"/>
      <c r="J1020" s="175"/>
      <c r="K1020" s="104"/>
      <c r="L1020" s="104" t="s">
        <v>4037</v>
      </c>
      <c r="M1020" s="43">
        <f>IFERROR(INDEX({0,1,2,3,3,4,5,6},T1009),0)</f>
        <v>3</v>
      </c>
      <c r="N1020" s="85"/>
      <c r="O1020" s="85"/>
      <c r="P1020" t="b">
        <v>1</v>
      </c>
      <c r="Q1020" t="b">
        <v>1</v>
      </c>
      <c r="R1020" t="b">
        <v>0</v>
      </c>
      <c r="S1020" t="b">
        <f ca="1">AND(S777=2,LEN(W1014)=0,LEN(W1023)=0,LEN(W1028)=0,LEN(W1034)=0,LEN(W1039)=0,NOT(W1051=TRUE),LEN(W1038)=0,LEN(W1056)=0)</f>
        <v>0</v>
      </c>
      <c r="T1020" t="b">
        <f ca="1">AND(NOT(S1020),LEN(W1020)&gt;0)</f>
        <v>0</v>
      </c>
      <c r="W1020" s="333"/>
      <c r="X1020" s="688"/>
      <c r="Y1020" s="891"/>
      <c r="Z1020" s="892"/>
      <c r="AC1020" t="b">
        <f ca="1">OR(AD1020:AE1020)</f>
        <v>0</v>
      </c>
      <c r="AD1020" t="b">
        <f ca="1">T1020</f>
        <v>0</v>
      </c>
      <c r="AE1020" t="b">
        <f>AND(R1020,OR(W1020="Not Met",W1020=""))</f>
        <v>0</v>
      </c>
      <c r="AF1020" t="b">
        <f>AND(AE1020,NOT(Q1020))</f>
        <v>0</v>
      </c>
      <c r="AL1020" t="str">
        <f t="shared" ref="AL1020:AL1021" si="280">SUBSTITUTE(SUBSTITUTE(SUBSTITUTE("vpa"&amp;$B1020&amp;$C1020&amp;$D1020&amp;$E1020&amp;$F1020,".","_"),"(","_"),")","")</f>
        <v>vpa703_3_2 _2_1</v>
      </c>
      <c r="AM1020">
        <f>M1020</f>
        <v>3</v>
      </c>
      <c r="AP1020" t="str">
        <f>SUBSTITUTE(SUBSTITUTE(SUBSTITUTE("vch"&amp;$B1020&amp;$C1020&amp;$D1020&amp;$E1020&amp;$F1020,".","_"),"(","_"),")","")</f>
        <v>vch703_3_2 _2_1</v>
      </c>
      <c r="AQ1020" s="258">
        <f>W1020</f>
        <v>0</v>
      </c>
      <c r="BJ1020" s="573" t="s">
        <v>4670</v>
      </c>
    </row>
    <row r="1021" spans="1:62" x14ac:dyDescent="0.35">
      <c r="A1021" s="403">
        <v>7</v>
      </c>
      <c r="B1021" s="609" t="s">
        <v>1083</v>
      </c>
      <c r="C1021" s="613"/>
      <c r="D1021" s="604" t="s">
        <v>272</v>
      </c>
      <c r="E1021" s="604" t="s">
        <v>272</v>
      </c>
      <c r="F1021" s="604"/>
      <c r="G1021" s="403" t="str">
        <f t="shared" ca="1" si="279"/>
        <v/>
      </c>
      <c r="H1021" s="403" t="s">
        <v>4323</v>
      </c>
      <c r="I1021" s="4"/>
      <c r="J1021" s="214"/>
      <c r="K1021" s="214"/>
      <c r="L1021" s="214" t="s">
        <v>4032</v>
      </c>
      <c r="M1021" s="198">
        <f>IFERROR(INDEX({0,2,3,6,6,9,10,12},T1009),0)</f>
        <v>6</v>
      </c>
      <c r="N1021" s="342"/>
      <c r="O1021" s="342"/>
      <c r="X1021" s="688"/>
      <c r="Y1021" s="891"/>
      <c r="Z1021" s="892"/>
      <c r="AL1021" t="str">
        <f t="shared" si="280"/>
        <v>vpa703_3_2 _2_2</v>
      </c>
      <c r="AM1021">
        <f>M1021</f>
        <v>6</v>
      </c>
      <c r="BJ1021" s="573" t="s">
        <v>4670</v>
      </c>
    </row>
    <row r="1022" spans="1:62" x14ac:dyDescent="0.35">
      <c r="A1022" s="403">
        <v>7</v>
      </c>
      <c r="B1022" s="609" t="s">
        <v>1083</v>
      </c>
      <c r="C1022" s="613"/>
      <c r="D1022" s="604" t="s">
        <v>274</v>
      </c>
      <c r="E1022" s="604"/>
      <c r="F1022" s="604"/>
      <c r="G1022" s="403" t="str">
        <f ca="1">IF(N1022&gt;0,"P","")</f>
        <v/>
      </c>
      <c r="H1022" s="403" t="s">
        <v>4323</v>
      </c>
      <c r="I1022" s="4"/>
      <c r="J1022" s="175" t="s">
        <v>274</v>
      </c>
      <c r="K1022" s="104"/>
      <c r="L1022" s="104" t="s">
        <v>1087</v>
      </c>
      <c r="M1022" s="43"/>
      <c r="N1022" s="85">
        <f ca="1">'Ch7'!O258</f>
        <v>0</v>
      </c>
      <c r="O1022" s="85">
        <f ca="1">IFERROR(INDEX(M1023:M1026,MATCH(W1023,{0.85,0.9,0.94,0.96},1)),0)*S1023</f>
        <v>0</v>
      </c>
      <c r="W1022" t="s">
        <v>4047</v>
      </c>
      <c r="X1022" s="688"/>
      <c r="Y1022" s="891" t="str">
        <f>IF(LEN('Ch7'!X258)=0,"None",'Ch7'!X258)</f>
        <v>None</v>
      </c>
      <c r="Z1022" s="892"/>
      <c r="AN1022" t="str">
        <f>SUBSTITUTE(SUBSTITUTE(SUBSTITUTE("vpc"&amp;$B1022&amp;$C1022&amp;$D1022&amp;$E1022&amp;$F1022,".","_"),"(","_"),")","")</f>
        <v>vpc703_3_2 _3</v>
      </c>
      <c r="AO1022">
        <f ca="1">O1022</f>
        <v>0</v>
      </c>
      <c r="AR1022" t="str">
        <f>SUBSTITUTE(SUBSTITUTE(SUBSTITUTE("vnt"&amp;$B1022&amp;$C1022&amp;$D1022&amp;$E1022&amp;$F1022,".","_"),"(","_"),")","")</f>
        <v>vnt703_3_2 _3</v>
      </c>
      <c r="AS1022">
        <f>X1022</f>
        <v>0</v>
      </c>
      <c r="BJ1022" s="573" t="s">
        <v>4670</v>
      </c>
    </row>
    <row r="1023" spans="1:62" x14ac:dyDescent="0.35">
      <c r="A1023" s="403">
        <v>7</v>
      </c>
      <c r="B1023" s="609" t="s">
        <v>1083</v>
      </c>
      <c r="C1023" s="613"/>
      <c r="D1023" s="604" t="s">
        <v>274</v>
      </c>
      <c r="E1023" s="604" t="s">
        <v>270</v>
      </c>
      <c r="F1023" s="604"/>
      <c r="G1023" s="403" t="str">
        <f t="shared" ref="G1023:G1026" ca="1" si="281">G1022</f>
        <v/>
      </c>
      <c r="H1023" s="403" t="s">
        <v>4323</v>
      </c>
      <c r="I1023" s="4"/>
      <c r="J1023" s="175"/>
      <c r="K1023" s="104"/>
      <c r="L1023" s="104" t="s">
        <v>4037</v>
      </c>
      <c r="M1023" s="43">
        <f>IFERROR(INDEX({0,1,1,2,3,4,4,4},T1009),0)</f>
        <v>2</v>
      </c>
      <c r="N1023" s="85"/>
      <c r="O1023" s="85"/>
      <c r="P1023" t="b">
        <v>1</v>
      </c>
      <c r="Q1023" t="b">
        <v>1</v>
      </c>
      <c r="R1023" t="b">
        <v>0</v>
      </c>
      <c r="S1023" t="b">
        <f ca="1">AND(S777=2,LEN(W1014)=0,LEN(W1020)=0,LEN(W1028)=0,LEN(W1034)=0,LEN(W1039)=0,NOT(W1051=TRUE),LEN(W1038)=0,LEN(W1056)=0)</f>
        <v>0</v>
      </c>
      <c r="T1023" t="b">
        <f ca="1">AND(NOT(S1023),LEN(W1023)&gt;0)</f>
        <v>0</v>
      </c>
      <c r="W1023" s="333"/>
      <c r="X1023" s="688"/>
      <c r="Y1023" s="891"/>
      <c r="Z1023" s="892"/>
      <c r="AC1023" t="b">
        <f ca="1">OR(AD1023:AE1023)</f>
        <v>0</v>
      </c>
      <c r="AD1023" t="b">
        <f ca="1">T1023</f>
        <v>0</v>
      </c>
      <c r="AE1023" t="b">
        <f>AND(R1023,OR(W1023="Not Met",W1023=""))</f>
        <v>0</v>
      </c>
      <c r="AF1023" t="b">
        <f>AND(AE1023,NOT(Q1023))</f>
        <v>0</v>
      </c>
      <c r="AL1023" t="str">
        <f t="shared" ref="AL1023:AL1026" si="282">SUBSTITUTE(SUBSTITUTE(SUBSTITUTE("vpa"&amp;$B1023&amp;$C1023&amp;$D1023&amp;$E1023&amp;$F1023,".","_"),"(","_"),")","")</f>
        <v>vpa703_3_2 _3_1</v>
      </c>
      <c r="AM1023">
        <f>M1023</f>
        <v>2</v>
      </c>
      <c r="AP1023" t="str">
        <f>SUBSTITUTE(SUBSTITUTE(SUBSTITUTE("vch"&amp;$B1023&amp;$C1023&amp;$D1023&amp;$E1023&amp;$F1023,".","_"),"(","_"),")","")</f>
        <v>vch703_3_2 _3_1</v>
      </c>
      <c r="AQ1023" s="258">
        <f>W1023</f>
        <v>0</v>
      </c>
      <c r="BJ1023" s="573" t="s">
        <v>4670</v>
      </c>
    </row>
    <row r="1024" spans="1:62" x14ac:dyDescent="0.35">
      <c r="A1024" s="403">
        <v>7</v>
      </c>
      <c r="B1024" s="609" t="s">
        <v>1083</v>
      </c>
      <c r="C1024" s="613"/>
      <c r="D1024" s="604" t="s">
        <v>274</v>
      </c>
      <c r="E1024" s="604" t="s">
        <v>272</v>
      </c>
      <c r="F1024" s="604"/>
      <c r="G1024" s="403" t="str">
        <f t="shared" ca="1" si="281"/>
        <v/>
      </c>
      <c r="H1024" s="403" t="s">
        <v>4323</v>
      </c>
      <c r="I1024" s="4"/>
      <c r="J1024" s="175"/>
      <c r="K1024" s="104"/>
      <c r="L1024" s="104" t="s">
        <v>4032</v>
      </c>
      <c r="M1024" s="43">
        <f>IFERROR(INDEX({0,1,2,4,6,7,8,6},T1009),0)</f>
        <v>4</v>
      </c>
      <c r="N1024" s="85"/>
      <c r="O1024" s="85"/>
      <c r="X1024" s="688"/>
      <c r="Y1024" s="891"/>
      <c r="Z1024" s="892"/>
      <c r="AL1024" t="str">
        <f t="shared" si="282"/>
        <v>vpa703_3_2 _3_2</v>
      </c>
      <c r="AM1024">
        <f>M1024</f>
        <v>4</v>
      </c>
      <c r="BJ1024" s="573" t="s">
        <v>4670</v>
      </c>
    </row>
    <row r="1025" spans="1:62" x14ac:dyDescent="0.35">
      <c r="A1025" s="403">
        <v>7</v>
      </c>
      <c r="B1025" s="609" t="s">
        <v>1083</v>
      </c>
      <c r="C1025" s="613"/>
      <c r="D1025" s="604" t="s">
        <v>274</v>
      </c>
      <c r="E1025" s="604" t="s">
        <v>274</v>
      </c>
      <c r="F1025" s="604"/>
      <c r="G1025" s="403" t="str">
        <f t="shared" ca="1" si="281"/>
        <v/>
      </c>
      <c r="H1025" s="403" t="s">
        <v>4323</v>
      </c>
      <c r="I1025" s="4"/>
      <c r="J1025" s="175"/>
      <c r="K1025" s="104"/>
      <c r="L1025" s="104" t="s">
        <v>4034</v>
      </c>
      <c r="M1025" s="43">
        <f>IFERROR(INDEX({0,2,3,5,8,9,10,8},T1009),0)</f>
        <v>5</v>
      </c>
      <c r="N1025" s="85"/>
      <c r="O1025" s="85"/>
      <c r="X1025" s="688"/>
      <c r="Y1025" s="891"/>
      <c r="Z1025" s="892"/>
      <c r="AL1025" t="str">
        <f t="shared" si="282"/>
        <v>vpa703_3_2 _3_3</v>
      </c>
      <c r="AM1025">
        <f>M1025</f>
        <v>5</v>
      </c>
      <c r="BJ1025" s="573" t="s">
        <v>4670</v>
      </c>
    </row>
    <row r="1026" spans="1:62" x14ac:dyDescent="0.35">
      <c r="A1026" s="403">
        <v>7</v>
      </c>
      <c r="B1026" s="609" t="s">
        <v>1083</v>
      </c>
      <c r="C1026" s="613"/>
      <c r="D1026" s="604" t="s">
        <v>274</v>
      </c>
      <c r="E1026" s="604" t="s">
        <v>283</v>
      </c>
      <c r="F1026" s="604"/>
      <c r="G1026" s="403" t="str">
        <f t="shared" ca="1" si="281"/>
        <v/>
      </c>
      <c r="H1026" s="403" t="s">
        <v>4323</v>
      </c>
      <c r="I1026" s="4"/>
      <c r="J1026" s="214"/>
      <c r="K1026" s="214"/>
      <c r="L1026" s="214" t="s">
        <v>4035</v>
      </c>
      <c r="M1026" s="198">
        <f>IFERROR(INDEX({0,2,4,6,9,11,12,10},T1009),0)</f>
        <v>6</v>
      </c>
      <c r="N1026" s="342"/>
      <c r="O1026" s="342"/>
      <c r="X1026" s="688"/>
      <c r="Y1026" s="891"/>
      <c r="Z1026" s="892"/>
      <c r="AL1026" t="str">
        <f t="shared" si="282"/>
        <v>vpa703_3_2 _3_4</v>
      </c>
      <c r="AM1026">
        <f>M1026</f>
        <v>6</v>
      </c>
      <c r="BJ1026" s="573" t="s">
        <v>4670</v>
      </c>
    </row>
    <row r="1027" spans="1:62" x14ac:dyDescent="0.35">
      <c r="A1027" s="403">
        <v>7</v>
      </c>
      <c r="B1027" s="609" t="s">
        <v>1083</v>
      </c>
      <c r="C1027" s="613"/>
      <c r="D1027" s="604" t="s">
        <v>283</v>
      </c>
      <c r="E1027" s="604"/>
      <c r="F1027" s="604"/>
      <c r="G1027" s="403" t="str">
        <f ca="1">IF(N1027&gt;0,"P","")</f>
        <v/>
      </c>
      <c r="H1027" s="403" t="s">
        <v>4323</v>
      </c>
      <c r="I1027" s="4"/>
      <c r="J1027" s="175" t="s">
        <v>283</v>
      </c>
      <c r="K1027" s="104"/>
      <c r="L1027" s="104" t="s">
        <v>1088</v>
      </c>
      <c r="M1027" s="43"/>
      <c r="N1027" s="85">
        <f ca="1">'Ch7'!O263</f>
        <v>0</v>
      </c>
      <c r="O1027" s="85">
        <f ca="1">IFERROR(INDEX(M1028:M1029,MATCH(W1028,{0.85,0.9},1)),0)*S1028</f>
        <v>0</v>
      </c>
      <c r="W1027" t="s">
        <v>4047</v>
      </c>
      <c r="X1027" s="688"/>
      <c r="Y1027" s="891" t="str">
        <f>IF(LEN('Ch7'!X263)=0,"None",'Ch7'!X263)</f>
        <v>None</v>
      </c>
      <c r="Z1027" s="892"/>
      <c r="AN1027" t="str">
        <f>SUBSTITUTE(SUBSTITUTE(SUBSTITUTE("vpc"&amp;$B1027&amp;$C1027&amp;$D1027&amp;$E1027&amp;$F1027,".","_"),"(","_"),")","")</f>
        <v>vpc703_3_2 _4</v>
      </c>
      <c r="AO1027">
        <f ca="1">O1027</f>
        <v>0</v>
      </c>
      <c r="AR1027" t="str">
        <f>SUBSTITUTE(SUBSTITUTE(SUBSTITUTE("vnt"&amp;$B1027&amp;$C1027&amp;$D1027&amp;$E1027&amp;$F1027,".","_"),"(","_"),")","")</f>
        <v>vnt703_3_2 _4</v>
      </c>
      <c r="AS1027">
        <f>X1027</f>
        <v>0</v>
      </c>
      <c r="BJ1027" s="573" t="s">
        <v>4670</v>
      </c>
    </row>
    <row r="1028" spans="1:62" x14ac:dyDescent="0.35">
      <c r="A1028" s="403">
        <v>7</v>
      </c>
      <c r="B1028" s="609" t="s">
        <v>1083</v>
      </c>
      <c r="C1028" s="613"/>
      <c r="D1028" s="604" t="s">
        <v>283</v>
      </c>
      <c r="E1028" s="604" t="s">
        <v>270</v>
      </c>
      <c r="F1028" s="604"/>
      <c r="G1028" s="403" t="str">
        <f t="shared" ref="G1028:G1029" ca="1" si="283">G1027</f>
        <v/>
      </c>
      <c r="H1028" s="403" t="s">
        <v>4323</v>
      </c>
      <c r="I1028" s="4"/>
      <c r="J1028" s="175"/>
      <c r="K1028" s="104"/>
      <c r="L1028" s="104" t="s">
        <v>4037</v>
      </c>
      <c r="M1028" s="43">
        <f>IFERROR(INDEX({0,1,1,3,3,4,4,5},T1009),0)</f>
        <v>3</v>
      </c>
      <c r="N1028" s="85"/>
      <c r="O1028" s="85"/>
      <c r="P1028" t="b">
        <v>1</v>
      </c>
      <c r="Q1028" t="b">
        <v>1</v>
      </c>
      <c r="R1028" t="b">
        <v>0</v>
      </c>
      <c r="S1028" t="b">
        <f ca="1">AND(S777=2,LEN(W1014)=0,LEN(W1020)=0,LEN(W1023)=0,LEN(W1034)=0,LEN(W1039)=0,NOT(W1051=TRUE),LEN(W1038)=0,LEN(W1056)=0)</f>
        <v>0</v>
      </c>
      <c r="T1028" t="b">
        <f ca="1">AND(NOT(S1028),LEN(W1028)&gt;0)</f>
        <v>0</v>
      </c>
      <c r="W1028" s="333"/>
      <c r="X1028" s="688"/>
      <c r="Y1028" s="891"/>
      <c r="Z1028" s="892"/>
      <c r="AC1028" t="b">
        <f ca="1">OR(AD1028:AE1028)</f>
        <v>0</v>
      </c>
      <c r="AD1028" t="b">
        <f ca="1">T1028</f>
        <v>0</v>
      </c>
      <c r="AE1028" t="b">
        <f>AND(R1028,OR(W1028="Not Met",W1028=""))</f>
        <v>0</v>
      </c>
      <c r="AF1028" t="b">
        <f>AND(AE1028,NOT(Q1028))</f>
        <v>0</v>
      </c>
      <c r="AL1028" t="str">
        <f t="shared" ref="AL1028:AL1029" si="284">SUBSTITUTE(SUBSTITUTE(SUBSTITUTE("vpa"&amp;$B1028&amp;$C1028&amp;$D1028&amp;$E1028&amp;$F1028,".","_"),"(","_"),")","")</f>
        <v>vpa703_3_2 _4_1</v>
      </c>
      <c r="AM1028">
        <f>M1028</f>
        <v>3</v>
      </c>
      <c r="AP1028" t="str">
        <f>SUBSTITUTE(SUBSTITUTE(SUBSTITUTE("vch"&amp;$B1028&amp;$C1028&amp;$D1028&amp;$E1028&amp;$F1028,".","_"),"(","_"),")","")</f>
        <v>vch703_3_2 _4_1</v>
      </c>
      <c r="AQ1028" s="258">
        <f>W1028</f>
        <v>0</v>
      </c>
      <c r="BJ1028" s="573" t="s">
        <v>4670</v>
      </c>
    </row>
    <row r="1029" spans="1:62" x14ac:dyDescent="0.35">
      <c r="A1029" s="403">
        <v>7</v>
      </c>
      <c r="B1029" s="609" t="s">
        <v>1083</v>
      </c>
      <c r="C1029" s="613"/>
      <c r="D1029" s="604" t="s">
        <v>283</v>
      </c>
      <c r="E1029" s="604" t="s">
        <v>272</v>
      </c>
      <c r="F1029" s="604"/>
      <c r="G1029" s="403" t="str">
        <f t="shared" ca="1" si="283"/>
        <v/>
      </c>
      <c r="H1029" s="403" t="s">
        <v>4323</v>
      </c>
      <c r="I1029" s="155"/>
      <c r="J1029" s="214"/>
      <c r="K1029" s="214"/>
      <c r="L1029" s="214" t="s">
        <v>4032</v>
      </c>
      <c r="M1029" s="198">
        <f>IFERROR(INDEX({1,2,3,5,6,7,9,10},T1009),0)</f>
        <v>5</v>
      </c>
      <c r="N1029" s="85"/>
      <c r="O1029" s="85"/>
      <c r="X1029" s="688"/>
      <c r="Y1029" s="891"/>
      <c r="Z1029" s="892"/>
      <c r="AL1029" t="str">
        <f t="shared" si="284"/>
        <v>vpa703_3_2 _4_2</v>
      </c>
      <c r="AM1029">
        <f>M1029</f>
        <v>5</v>
      </c>
      <c r="BJ1029" s="573" t="s">
        <v>4670</v>
      </c>
    </row>
    <row r="1030" spans="1:62" x14ac:dyDescent="0.35">
      <c r="A1030" s="403">
        <v>7</v>
      </c>
      <c r="B1030" s="613" t="s">
        <v>1089</v>
      </c>
      <c r="C1030" s="613"/>
      <c r="D1030" s="604"/>
      <c r="E1030" s="604"/>
      <c r="F1030" s="604"/>
      <c r="G1030" s="600" t="str">
        <f ca="1">IF(COUNTIF(G1033:G1039,"P")&gt;0,"P","")</f>
        <v/>
      </c>
      <c r="H1030" s="403" t="s">
        <v>4323</v>
      </c>
      <c r="I1030" s="34" t="s">
        <v>1089</v>
      </c>
      <c r="J1030" s="104"/>
      <c r="K1030" s="104"/>
      <c r="L1030" s="706" t="s">
        <v>1090</v>
      </c>
      <c r="M1030" s="43"/>
      <c r="N1030" s="85"/>
      <c r="O1030" s="85"/>
      <c r="Z1030" s="543"/>
      <c r="BJ1030" s="573" t="s">
        <v>4670</v>
      </c>
    </row>
    <row r="1031" spans="1:62" x14ac:dyDescent="0.35">
      <c r="A1031" s="403">
        <v>7</v>
      </c>
      <c r="B1031" s="613" t="s">
        <v>1089</v>
      </c>
      <c r="C1031" s="613"/>
      <c r="D1031" s="604"/>
      <c r="E1031" s="604"/>
      <c r="F1031" s="604"/>
      <c r="G1031" s="403" t="str">
        <f t="shared" ref="G1031:G1032" ca="1" si="285">G1030</f>
        <v/>
      </c>
      <c r="H1031" s="403" t="s">
        <v>4323</v>
      </c>
      <c r="I1031" s="4"/>
      <c r="J1031" s="104"/>
      <c r="K1031" s="104"/>
      <c r="L1031" s="706"/>
      <c r="M1031" s="43"/>
      <c r="N1031" s="85"/>
      <c r="O1031" s="85"/>
      <c r="Z1031" s="543"/>
      <c r="BJ1031" s="573" t="s">
        <v>4670</v>
      </c>
    </row>
    <row r="1032" spans="1:62" x14ac:dyDescent="0.35">
      <c r="A1032" s="403">
        <v>7</v>
      </c>
      <c r="B1032" s="613" t="s">
        <v>1089</v>
      </c>
      <c r="C1032" s="613"/>
      <c r="D1032" s="604"/>
      <c r="E1032" s="604"/>
      <c r="F1032" s="604"/>
      <c r="G1032" s="403" t="str">
        <f t="shared" ca="1" si="285"/>
        <v/>
      </c>
      <c r="H1032" s="403" t="s">
        <v>4323</v>
      </c>
      <c r="I1032" s="4"/>
      <c r="J1032" s="104"/>
      <c r="K1032" s="104"/>
      <c r="L1032" s="706"/>
      <c r="M1032" s="43"/>
      <c r="N1032" s="85"/>
      <c r="O1032" s="85"/>
      <c r="Z1032" s="543"/>
      <c r="BJ1032" s="573" t="s">
        <v>4670</v>
      </c>
    </row>
    <row r="1033" spans="1:62" x14ac:dyDescent="0.35">
      <c r="A1033" s="403">
        <v>7</v>
      </c>
      <c r="B1033" s="613" t="s">
        <v>1089</v>
      </c>
      <c r="C1033" s="613"/>
      <c r="D1033" s="604" t="s">
        <v>270</v>
      </c>
      <c r="E1033" s="604"/>
      <c r="F1033" s="604"/>
      <c r="G1033" s="403" t="str">
        <f ca="1">IF(N1033&gt;0,"P","")</f>
        <v/>
      </c>
      <c r="H1033" s="403" t="s">
        <v>4323</v>
      </c>
      <c r="I1033" s="4"/>
      <c r="J1033" s="175" t="s">
        <v>270</v>
      </c>
      <c r="K1033" s="104"/>
      <c r="L1033" s="103" t="s">
        <v>3703</v>
      </c>
      <c r="M1033" s="43"/>
      <c r="N1033" s="85">
        <f ca="1">'Ch7'!O269</f>
        <v>0</v>
      </c>
      <c r="O1033" s="85">
        <f ca="1">IFERROR(INDEX(M1034:M1037,MATCH(W1034,{8.5,9,9.5,10},1)),0)*S1034</f>
        <v>0</v>
      </c>
      <c r="W1033" t="s">
        <v>4054</v>
      </c>
      <c r="X1033" s="688"/>
      <c r="Y1033" s="891" t="str">
        <f>IF(LEN('Ch7'!X269)=0,"None",'Ch7'!X269)</f>
        <v>None</v>
      </c>
      <c r="Z1033" s="892"/>
      <c r="AN1033" t="str">
        <f>SUBSTITUTE(SUBSTITUTE(SUBSTITUTE("vpc"&amp;$B1033&amp;$C1033&amp;$D1033&amp;$E1033&amp;$F1033,".","_"),"(","_"),")","")</f>
        <v>vpc703_3_3 _1</v>
      </c>
      <c r="AO1033">
        <f ca="1">O1033</f>
        <v>0</v>
      </c>
      <c r="AR1033" t="str">
        <f>SUBSTITUTE(SUBSTITUTE(SUBSTITUTE("vnt"&amp;$B1033&amp;$C1033&amp;$D1033&amp;$E1033&amp;$F1033,".","_"),"(","_"),")","")</f>
        <v>vnt703_3_3 _1</v>
      </c>
      <c r="AS1033">
        <f>X1033</f>
        <v>0</v>
      </c>
      <c r="BJ1033" s="573" t="s">
        <v>4670</v>
      </c>
    </row>
    <row r="1034" spans="1:62" x14ac:dyDescent="0.35">
      <c r="A1034" s="403">
        <v>7</v>
      </c>
      <c r="B1034" s="613" t="s">
        <v>1089</v>
      </c>
      <c r="C1034" s="613"/>
      <c r="D1034" s="604" t="s">
        <v>270</v>
      </c>
      <c r="E1034" s="604" t="s">
        <v>270</v>
      </c>
      <c r="F1034" s="604"/>
      <c r="G1034" s="403" t="str">
        <f t="shared" ref="G1034:G1037" ca="1" si="286">G1033</f>
        <v/>
      </c>
      <c r="H1034" s="403" t="s">
        <v>4323</v>
      </c>
      <c r="I1034" s="4"/>
      <c r="J1034" s="175"/>
      <c r="K1034" s="104"/>
      <c r="L1034" s="104" t="s">
        <v>4048</v>
      </c>
      <c r="M1034" s="43">
        <f>IF(T1010,IFERROR(INDEX({0,3,4,8,11,13,13,13},T1009),0),IFERROR(INDEX({0,1,1,2,2,2,2,2},T1009),0))</f>
        <v>2</v>
      </c>
      <c r="N1034" s="85"/>
      <c r="O1034" s="85"/>
      <c r="P1034" t="b">
        <v>1</v>
      </c>
      <c r="Q1034" t="b">
        <v>1</v>
      </c>
      <c r="R1034" t="b">
        <v>0</v>
      </c>
      <c r="S1034" t="b">
        <f ca="1">AND(S777=2,LEN(W1014)=0,LEN(W1020)=0,LEN(W1023)=0,LEN(W1028)=0,LEN(W1039)=0,NOT(W1051=TRUE),LEN(W1038)=0,LEN(W1056)=0)</f>
        <v>0</v>
      </c>
      <c r="T1034" t="b">
        <f ca="1">AND(NOT(S1034),LEN(W1034)&gt;0)</f>
        <v>0</v>
      </c>
      <c r="W1034" s="334"/>
      <c r="X1034" s="688"/>
      <c r="Y1034" s="891"/>
      <c r="Z1034" s="892"/>
      <c r="AC1034" t="b">
        <f ca="1">OR(AD1034:AE1034)</f>
        <v>0</v>
      </c>
      <c r="AD1034" t="b">
        <f ca="1">T1034</f>
        <v>0</v>
      </c>
      <c r="AE1034" t="b">
        <f>AND(R1034,OR(W1034="Not Met",W1034=""))</f>
        <v>0</v>
      </c>
      <c r="AF1034" t="b">
        <f>AND(AE1034,NOT(Q1034))</f>
        <v>0</v>
      </c>
      <c r="AL1034" t="str">
        <f t="shared" ref="AL1034:AL1039" si="287">SUBSTITUTE(SUBSTITUTE(SUBSTITUTE("vpa"&amp;$B1034&amp;$C1034&amp;$D1034&amp;$E1034&amp;$F1034,".","_"),"(","_"),")","")</f>
        <v>vpa703_3_3 _1_1</v>
      </c>
      <c r="AM1034">
        <f t="shared" ref="AM1034:AM1039" si="288">M1034</f>
        <v>2</v>
      </c>
      <c r="AP1034" t="str">
        <f>SUBSTITUTE(SUBSTITUTE(SUBSTITUTE("vch"&amp;$B1034&amp;$C1034&amp;$D1034&amp;$E1034&amp;$F1034,".","_"),"(","_"),")","")</f>
        <v>vch703_3_3 _1_1</v>
      </c>
      <c r="AQ1034" s="623">
        <f>W1034</f>
        <v>0</v>
      </c>
      <c r="BJ1034" s="573" t="s">
        <v>4670</v>
      </c>
    </row>
    <row r="1035" spans="1:62" x14ac:dyDescent="0.35">
      <c r="A1035" s="403">
        <v>7</v>
      </c>
      <c r="B1035" s="613" t="s">
        <v>1089</v>
      </c>
      <c r="C1035" s="613"/>
      <c r="D1035" s="604" t="s">
        <v>270</v>
      </c>
      <c r="E1035" s="604" t="s">
        <v>272</v>
      </c>
      <c r="F1035" s="604"/>
      <c r="G1035" s="403" t="str">
        <f t="shared" ca="1" si="286"/>
        <v/>
      </c>
      <c r="H1035" s="403" t="s">
        <v>4323</v>
      </c>
      <c r="I1035" s="4"/>
      <c r="J1035" s="175"/>
      <c r="K1035" s="104"/>
      <c r="L1035" s="104" t="s">
        <v>4049</v>
      </c>
      <c r="M1035" s="43">
        <f>IF(T1010,IFERROR(INDEX({0,3,4,8,11,13,13,13},T1009),0),IFERROR(INDEX({0,2,4,5,6,10,10,10},T1009),0))</f>
        <v>5</v>
      </c>
      <c r="N1035" s="85"/>
      <c r="O1035" s="85"/>
      <c r="X1035" s="688"/>
      <c r="Y1035" s="891"/>
      <c r="Z1035" s="892"/>
      <c r="AL1035" t="str">
        <f t="shared" si="287"/>
        <v>vpa703_3_3 _1_2</v>
      </c>
      <c r="AM1035">
        <f t="shared" si="288"/>
        <v>5</v>
      </c>
      <c r="BJ1035" s="573" t="s">
        <v>4670</v>
      </c>
    </row>
    <row r="1036" spans="1:62" x14ac:dyDescent="0.35">
      <c r="A1036" s="403">
        <v>7</v>
      </c>
      <c r="B1036" s="613" t="s">
        <v>1089</v>
      </c>
      <c r="C1036" s="613"/>
      <c r="D1036" s="604" t="s">
        <v>270</v>
      </c>
      <c r="E1036" s="604" t="s">
        <v>274</v>
      </c>
      <c r="F1036" s="604"/>
      <c r="G1036" s="403" t="str">
        <f t="shared" ca="1" si="286"/>
        <v/>
      </c>
      <c r="H1036" s="403" t="s">
        <v>4323</v>
      </c>
      <c r="I1036" s="4"/>
      <c r="J1036" s="175"/>
      <c r="K1036" s="104"/>
      <c r="L1036" s="104" t="s">
        <v>4050</v>
      </c>
      <c r="M1036" s="43">
        <f>IF(T1010,IFERROR(INDEX({0,3,4,8,11,13,13,13},T1009),0),IFERROR(INDEX({0,3,7,7,11,18,18,18},T1009),0))</f>
        <v>7</v>
      </c>
      <c r="N1036" s="85"/>
      <c r="O1036" s="85"/>
      <c r="X1036" s="688"/>
      <c r="Y1036" s="891"/>
      <c r="Z1036" s="892"/>
      <c r="AL1036" t="str">
        <f t="shared" si="287"/>
        <v>vpa703_3_3 _1_3</v>
      </c>
      <c r="AM1036">
        <f t="shared" si="288"/>
        <v>7</v>
      </c>
      <c r="BJ1036" s="573" t="s">
        <v>4670</v>
      </c>
    </row>
    <row r="1037" spans="1:62" x14ac:dyDescent="0.35">
      <c r="A1037" s="403">
        <v>7</v>
      </c>
      <c r="B1037" s="613" t="s">
        <v>1089</v>
      </c>
      <c r="C1037" s="613"/>
      <c r="D1037" s="604" t="s">
        <v>270</v>
      </c>
      <c r="E1037" s="604" t="s">
        <v>283</v>
      </c>
      <c r="F1037" s="604"/>
      <c r="G1037" s="403" t="str">
        <f t="shared" ca="1" si="286"/>
        <v/>
      </c>
      <c r="H1037" s="403" t="s">
        <v>4323</v>
      </c>
      <c r="I1037" s="4"/>
      <c r="J1037" s="359"/>
      <c r="K1037" s="214"/>
      <c r="L1037" s="214" t="s">
        <v>4051</v>
      </c>
      <c r="M1037" s="198">
        <f>IF(T1010,IFERROR(INDEX({0,3,4,8,11,13,13,13},T1009),0),IFERROR(INDEX({1,5,10,10,15,26,26,26},T1009),0))</f>
        <v>10</v>
      </c>
      <c r="N1037" s="342"/>
      <c r="O1037" s="342"/>
      <c r="X1037" s="688"/>
      <c r="Y1037" s="891"/>
      <c r="Z1037" s="892"/>
      <c r="AL1037" t="str">
        <f t="shared" si="287"/>
        <v>vpa703_3_3 _1_4</v>
      </c>
      <c r="AM1037">
        <f t="shared" si="288"/>
        <v>10</v>
      </c>
      <c r="BJ1037" s="573" t="s">
        <v>4670</v>
      </c>
    </row>
    <row r="1038" spans="1:62" x14ac:dyDescent="0.35">
      <c r="A1038" s="403">
        <v>7</v>
      </c>
      <c r="B1038" s="613" t="s">
        <v>4683</v>
      </c>
      <c r="C1038" s="613"/>
      <c r="D1038" s="604" t="s">
        <v>272</v>
      </c>
      <c r="E1038" s="604"/>
      <c r="F1038" s="604"/>
      <c r="G1038" s="403" t="str">
        <f ca="1">IF(N1038&gt;0,"P","")</f>
        <v/>
      </c>
      <c r="H1038" s="403" t="s">
        <v>4323</v>
      </c>
      <c r="I1038" s="4"/>
      <c r="J1038" s="359" t="s">
        <v>272</v>
      </c>
      <c r="K1038" s="214"/>
      <c r="L1038" s="214" t="s">
        <v>4684</v>
      </c>
      <c r="M1038" s="198">
        <f>IFERROR(INDEX({0,3,4,8,11,13,13,13},T1009),0)</f>
        <v>8</v>
      </c>
      <c r="N1038" s="342">
        <f ca="1">'Ch7'!O274</f>
        <v>0</v>
      </c>
      <c r="O1038" s="342">
        <f ca="1">IF(AND(S1038,W1038&gt;=8.5),M1038,0)</f>
        <v>0</v>
      </c>
      <c r="P1038" t="b">
        <v>1</v>
      </c>
      <c r="Q1038" t="b">
        <v>1</v>
      </c>
      <c r="R1038" t="b">
        <v>0</v>
      </c>
      <c r="S1038" t="b">
        <f ca="1">AND(S777=2,LEN(W1014)=0,LEN(W1020)=0,LEN(W1023)=0,LEN(W1028)=0,LEN(W1034)=0,NOT(W1051=TRUE),LEN(W1039) =0,LEN(W1056)=0)</f>
        <v>0</v>
      </c>
      <c r="T1038" t="b">
        <f ca="1">AND(NOT(S1038),LEN(W1038)&gt;0)</f>
        <v>0</v>
      </c>
      <c r="W1038" s="334"/>
      <c r="X1038" s="39"/>
      <c r="Y1038" s="200"/>
      <c r="Z1038" s="563"/>
      <c r="AC1038" t="b">
        <f ca="1">OR(AD1038:AE1038)</f>
        <v>0</v>
      </c>
      <c r="AD1038" t="b">
        <f ca="1">T1038</f>
        <v>0</v>
      </c>
      <c r="AE1038" t="b">
        <f>AND(R1038,OR(W1038="Not Met",W1038=""))</f>
        <v>0</v>
      </c>
      <c r="AF1038" t="b">
        <f>AND(AE1038,NOT(Q1038))</f>
        <v>0</v>
      </c>
      <c r="AL1038" t="str">
        <f t="shared" si="287"/>
        <v>vpa703_3_3_2</v>
      </c>
      <c r="AM1038">
        <f t="shared" si="288"/>
        <v>8</v>
      </c>
      <c r="AN1038" t="str">
        <f>SUBSTITUTE(SUBSTITUTE(SUBSTITUTE("vpc"&amp;$B1038&amp;$C1038&amp;$D1038&amp;$E1038&amp;$F1038,".","_"),"(","_"),")","")</f>
        <v>vpc703_3_3_2</v>
      </c>
      <c r="AO1038">
        <f ca="1">O1038</f>
        <v>0</v>
      </c>
      <c r="AP1038" t="str">
        <f>SUBSTITUTE(SUBSTITUTE(SUBSTITUTE("vch"&amp;$B1038&amp;$C1038&amp;$D1038&amp;$E1038&amp;$F1038,".","_"),"(","_"),")","")</f>
        <v>vch703_3_3_2</v>
      </c>
      <c r="AQ1038">
        <f>W1038</f>
        <v>0</v>
      </c>
      <c r="AR1038" t="str">
        <f>SUBSTITUTE(SUBSTITUTE(SUBSTITUTE("vnt"&amp;$B1038&amp;$C1038&amp;$D1038&amp;$E1038&amp;$F1038,".","_"),"(","_"),")","")</f>
        <v>vnt703_3_3_2</v>
      </c>
      <c r="AS1038">
        <f>X1038</f>
        <v>0</v>
      </c>
      <c r="BJ1038" s="573"/>
    </row>
    <row r="1039" spans="1:62" x14ac:dyDescent="0.35">
      <c r="A1039" s="403">
        <v>7</v>
      </c>
      <c r="B1039" s="613" t="s">
        <v>1089</v>
      </c>
      <c r="C1039" s="613"/>
      <c r="D1039" s="604" t="s">
        <v>274</v>
      </c>
      <c r="E1039" s="604"/>
      <c r="F1039" s="604"/>
      <c r="G1039" s="403" t="str">
        <f ca="1">IF(N1039&gt;0,"P","")</f>
        <v/>
      </c>
      <c r="H1039" s="403" t="s">
        <v>4323</v>
      </c>
      <c r="I1039" s="155"/>
      <c r="J1039" s="359" t="s">
        <v>274</v>
      </c>
      <c r="K1039" s="214"/>
      <c r="L1039" s="193" t="s">
        <v>4052</v>
      </c>
      <c r="M1039" s="198">
        <f>IFERROR(INDEX({2,7,11,14,16,18,18,18},T1009),0)</f>
        <v>14</v>
      </c>
      <c r="N1039" s="342">
        <f ca="1">'Ch7'!O275</f>
        <v>0</v>
      </c>
      <c r="O1039" s="342">
        <f ca="1">IF(AND(S1039,W1039&gt;=1.3),M1039,0)</f>
        <v>0</v>
      </c>
      <c r="P1039" t="b">
        <v>1</v>
      </c>
      <c r="Q1039" t="b">
        <v>1</v>
      </c>
      <c r="R1039" s="119" t="b">
        <v>0</v>
      </c>
      <c r="S1039" s="119" t="b">
        <f ca="1">AND(S777=2,LEN(W1014)=0,LEN(W1020)=0,LEN(W1023)=0,LEN(W1028)=0,LEN(W1034)=0,NOT(W1051=TRUE),LEN(W1038) =0,LEN(W1056)=0)</f>
        <v>0</v>
      </c>
      <c r="T1039" s="119" t="b">
        <f ca="1">AND(NOT(S1039),LEN(W1039)&gt;0)</f>
        <v>0</v>
      </c>
      <c r="U1039" s="119"/>
      <c r="V1039" s="119"/>
      <c r="W1039" s="334"/>
      <c r="X1039" s="39"/>
      <c r="Y1039" s="200" t="str">
        <f>IF(LEN('Ch7'!X275)=0,"None",'Ch7'!X275)</f>
        <v>None</v>
      </c>
      <c r="Z1039" s="563"/>
      <c r="AC1039" t="b">
        <f ca="1">OR(AD1039:AE1039)</f>
        <v>0</v>
      </c>
      <c r="AD1039" t="b">
        <f ca="1">T1039</f>
        <v>0</v>
      </c>
      <c r="AE1039" t="b">
        <f>AND(R1039,OR(W1039="Not Met",W1039=""))</f>
        <v>0</v>
      </c>
      <c r="AF1039" t="b">
        <f>AND(AE1039,NOT(Q1039))</f>
        <v>0</v>
      </c>
      <c r="AL1039" t="str">
        <f t="shared" si="287"/>
        <v>vpa703_3_3 _3</v>
      </c>
      <c r="AM1039">
        <f t="shared" si="288"/>
        <v>14</v>
      </c>
      <c r="AN1039" t="str">
        <f>SUBSTITUTE(SUBSTITUTE(SUBSTITUTE("vpc"&amp;$B1039&amp;$C1039&amp;$D1039&amp;$E1039&amp;$F1039,".","_"),"(","_"),")","")</f>
        <v>vpc703_3_3 _3</v>
      </c>
      <c r="AO1039">
        <f ca="1">O1039</f>
        <v>0</v>
      </c>
      <c r="AP1039" t="str">
        <f>SUBSTITUTE(SUBSTITUTE(SUBSTITUTE("vch"&amp;$B1039&amp;$C1039&amp;$D1039&amp;$E1039&amp;$F1039,".","_"),"(","_"),")","")</f>
        <v>vch703_3_3 _3</v>
      </c>
      <c r="AQ1039" s="623">
        <f>W1039</f>
        <v>0</v>
      </c>
      <c r="AR1039" t="str">
        <f>SUBSTITUTE(SUBSTITUTE(SUBSTITUTE("vnt"&amp;$B1039&amp;$C1039&amp;$D1039&amp;$E1039&amp;$F1039,".","_"),"(","_"),")","")</f>
        <v>vnt703_3_3 _3</v>
      </c>
      <c r="AS1039">
        <f>X1039</f>
        <v>0</v>
      </c>
      <c r="BJ1039" s="573" t="s">
        <v>4670</v>
      </c>
    </row>
    <row r="1040" spans="1:62" x14ac:dyDescent="0.35">
      <c r="A1040" s="403">
        <v>7</v>
      </c>
      <c r="B1040" s="613" t="s">
        <v>1091</v>
      </c>
      <c r="C1040" s="613"/>
      <c r="D1040" s="604"/>
      <c r="E1040" s="604"/>
      <c r="F1040" s="604"/>
      <c r="G1040" s="600" t="str">
        <f ca="1">IF(COUNTIF(G1043:G1050,"P")&gt;0,"P","")</f>
        <v/>
      </c>
      <c r="H1040" s="403" t="s">
        <v>4323</v>
      </c>
      <c r="I1040" s="34" t="s">
        <v>1091</v>
      </c>
      <c r="J1040" s="104"/>
      <c r="K1040" s="104"/>
      <c r="L1040" s="783" t="s">
        <v>1092</v>
      </c>
      <c r="M1040" s="43"/>
      <c r="N1040" s="85"/>
      <c r="O1040" s="85"/>
      <c r="Z1040" s="543"/>
      <c r="BJ1040" s="573" t="s">
        <v>4670</v>
      </c>
    </row>
    <row r="1041" spans="1:62" x14ac:dyDescent="0.35">
      <c r="A1041" s="403">
        <v>7</v>
      </c>
      <c r="B1041" s="613" t="s">
        <v>1091</v>
      </c>
      <c r="C1041" s="613"/>
      <c r="D1041" s="604"/>
      <c r="E1041" s="604"/>
      <c r="F1041" s="604"/>
      <c r="G1041" s="403" t="str">
        <f t="shared" ref="G1041:G1042" ca="1" si="289">G1040</f>
        <v/>
      </c>
      <c r="H1041" s="403" t="s">
        <v>4323</v>
      </c>
      <c r="I1041" s="4"/>
      <c r="J1041" s="104"/>
      <c r="K1041" s="104"/>
      <c r="L1041" s="783"/>
      <c r="M1041" s="43"/>
      <c r="N1041" s="85"/>
      <c r="O1041" s="85"/>
      <c r="Z1041" s="543"/>
      <c r="BJ1041" s="573" t="s">
        <v>4670</v>
      </c>
    </row>
    <row r="1042" spans="1:62" x14ac:dyDescent="0.35">
      <c r="A1042" s="403">
        <v>7</v>
      </c>
      <c r="B1042" s="613" t="s">
        <v>1091</v>
      </c>
      <c r="C1042" s="613"/>
      <c r="D1042" s="604"/>
      <c r="E1042" s="604"/>
      <c r="F1042" s="604"/>
      <c r="G1042" s="403" t="str">
        <f t="shared" ca="1" si="289"/>
        <v/>
      </c>
      <c r="H1042" s="403" t="s">
        <v>4323</v>
      </c>
      <c r="I1042" s="4"/>
      <c r="J1042" s="104"/>
      <c r="K1042" s="104"/>
      <c r="L1042" s="783"/>
      <c r="M1042" s="43"/>
      <c r="N1042" s="85"/>
      <c r="O1042" s="85"/>
      <c r="Z1042" s="543"/>
      <c r="BJ1042" s="573" t="s">
        <v>4670</v>
      </c>
    </row>
    <row r="1043" spans="1:62" x14ac:dyDescent="0.35">
      <c r="A1043" s="403">
        <v>7</v>
      </c>
      <c r="B1043" s="613" t="s">
        <v>1091</v>
      </c>
      <c r="C1043" s="613"/>
      <c r="D1043" s="604" t="s">
        <v>270</v>
      </c>
      <c r="E1043" s="604"/>
      <c r="F1043" s="604"/>
      <c r="G1043" s="403" t="str">
        <f ca="1">IF(N1043&gt;0,"P","")</f>
        <v/>
      </c>
      <c r="H1043" s="403" t="s">
        <v>4323</v>
      </c>
      <c r="I1043" s="4"/>
      <c r="J1043" s="175" t="s">
        <v>270</v>
      </c>
      <c r="K1043" s="104"/>
      <c r="L1043" s="103" t="s">
        <v>4061</v>
      </c>
      <c r="M1043" s="43"/>
      <c r="N1043" s="85">
        <f ca="1">'Ch7'!O279</f>
        <v>0</v>
      </c>
      <c r="O1043" s="85">
        <f ca="1">IFERROR(INDEX(M1044:M1047,MATCH(W1044,{15,17,19,21},1)),0)*S1044</f>
        <v>0</v>
      </c>
      <c r="W1043" t="s">
        <v>4063</v>
      </c>
      <c r="X1043" s="688"/>
      <c r="Y1043" s="891" t="str">
        <f>IF(LEN('Ch7'!X279)=0,"None",'Ch7'!X279)</f>
        <v>None</v>
      </c>
      <c r="Z1043" s="892"/>
      <c r="AN1043" t="str">
        <f>SUBSTITUTE(SUBSTITUTE(SUBSTITUTE("vpc"&amp;$B1043&amp;$C1043&amp;$D1043&amp;$E1043&amp;$F1043,".","_"),"(","_"),")","")</f>
        <v>vpc703_3_4_1</v>
      </c>
      <c r="AO1043">
        <f ca="1">O1043</f>
        <v>0</v>
      </c>
      <c r="AR1043" t="str">
        <f>SUBSTITUTE(SUBSTITUTE(SUBSTITUTE("vnt"&amp;$B1043&amp;$C1043&amp;$D1043&amp;$E1043&amp;$F1043,".","_"),"(","_"),")","")</f>
        <v>vnt703_3_4_1</v>
      </c>
      <c r="AS1043">
        <f>X1043</f>
        <v>0</v>
      </c>
      <c r="BJ1043" s="573" t="s">
        <v>4670</v>
      </c>
    </row>
    <row r="1044" spans="1:62" x14ac:dyDescent="0.35">
      <c r="A1044" s="403">
        <v>7</v>
      </c>
      <c r="B1044" s="613" t="s">
        <v>1091</v>
      </c>
      <c r="C1044" s="613"/>
      <c r="D1044" s="604" t="s">
        <v>270</v>
      </c>
      <c r="E1044" s="604" t="s">
        <v>270</v>
      </c>
      <c r="F1044" s="604"/>
      <c r="G1044" s="403" t="str">
        <f t="shared" ref="G1044:G1047" ca="1" si="290">G1043</f>
        <v/>
      </c>
      <c r="H1044" s="403" t="s">
        <v>4323</v>
      </c>
      <c r="I1044" s="4"/>
      <c r="J1044" s="175"/>
      <c r="K1044" s="104"/>
      <c r="L1044" s="104" t="s">
        <v>4055</v>
      </c>
      <c r="M1044" s="43">
        <f>IFERROR(INDEX({9,6,3,1,1,1,1,0},T1009),0)</f>
        <v>1</v>
      </c>
      <c r="N1044" s="85"/>
      <c r="O1044" s="85"/>
      <c r="P1044" t="b">
        <v>1</v>
      </c>
      <c r="Q1044" t="b">
        <v>1</v>
      </c>
      <c r="R1044" t="b">
        <v>0</v>
      </c>
      <c r="S1044" t="b">
        <f ca="1">AND(S777=2,NOT(W1048=TRUE),LEN(W1050)=0,NOT(W1051=TRUE),LEN(W1056)=0)</f>
        <v>0</v>
      </c>
      <c r="T1044" t="b">
        <f ca="1">AND(NOT(S1044),LEN(W1044)&gt;0)</f>
        <v>0</v>
      </c>
      <c r="W1044" s="334"/>
      <c r="X1044" s="688"/>
      <c r="Y1044" s="891"/>
      <c r="Z1044" s="892"/>
      <c r="AC1044" t="b">
        <f ca="1">OR(AD1044:AE1044)</f>
        <v>0</v>
      </c>
      <c r="AD1044" t="b">
        <f ca="1">T1044</f>
        <v>0</v>
      </c>
      <c r="AE1044" t="b">
        <f>AND(R1044,OR(W1044="Not Met",W1044=""))</f>
        <v>0</v>
      </c>
      <c r="AF1044" t="b">
        <f>AND(AE1044,NOT(Q1044))</f>
        <v>0</v>
      </c>
      <c r="AL1044" t="str">
        <f t="shared" ref="AL1044:AL1051" si="291">SUBSTITUTE(SUBSTITUTE(SUBSTITUTE("vpa"&amp;$B1044&amp;$C1044&amp;$D1044&amp;$E1044&amp;$F1044,".","_"),"(","_"),")","")</f>
        <v>vpa703_3_4_1_1</v>
      </c>
      <c r="AM1044">
        <f t="shared" ref="AM1044:AM1051" si="292">M1044</f>
        <v>1</v>
      </c>
      <c r="AP1044" t="str">
        <f>SUBSTITUTE(SUBSTITUTE(SUBSTITUTE("vch"&amp;$B1044&amp;$C1044&amp;$D1044&amp;$E1044&amp;$F1044,".","_"),"(","_"),")","")</f>
        <v>vch703_3_4_1_1</v>
      </c>
      <c r="AQ1044" s="623">
        <f>W1044</f>
        <v>0</v>
      </c>
      <c r="BJ1044" s="573" t="s">
        <v>4670</v>
      </c>
    </row>
    <row r="1045" spans="1:62" x14ac:dyDescent="0.35">
      <c r="A1045" s="403">
        <v>7</v>
      </c>
      <c r="B1045" s="613" t="s">
        <v>1091</v>
      </c>
      <c r="C1045" s="613"/>
      <c r="D1045" s="604" t="s">
        <v>270</v>
      </c>
      <c r="E1045" s="604" t="s">
        <v>272</v>
      </c>
      <c r="F1045" s="604"/>
      <c r="G1045" s="403" t="str">
        <f t="shared" ca="1" si="290"/>
        <v/>
      </c>
      <c r="H1045" s="403" t="s">
        <v>4323</v>
      </c>
      <c r="I1045" s="4"/>
      <c r="J1045" s="175"/>
      <c r="K1045" s="104"/>
      <c r="L1045" s="104" t="s">
        <v>4056</v>
      </c>
      <c r="M1045" s="43">
        <f>IFERROR(INDEX({11,9,7,3,3,2,2,0},T1009),0)</f>
        <v>3</v>
      </c>
      <c r="N1045" s="85"/>
      <c r="O1045" s="85"/>
      <c r="X1045" s="688"/>
      <c r="Y1045" s="891"/>
      <c r="Z1045" s="892"/>
      <c r="AL1045" t="str">
        <f t="shared" si="291"/>
        <v>vpa703_3_4_1_2</v>
      </c>
      <c r="AM1045">
        <f t="shared" si="292"/>
        <v>3</v>
      </c>
      <c r="BJ1045" s="573" t="s">
        <v>4670</v>
      </c>
    </row>
    <row r="1046" spans="1:62" x14ac:dyDescent="0.35">
      <c r="A1046" s="403">
        <v>7</v>
      </c>
      <c r="B1046" s="613" t="s">
        <v>1091</v>
      </c>
      <c r="C1046" s="613"/>
      <c r="D1046" s="604" t="s">
        <v>270</v>
      </c>
      <c r="E1046" s="604" t="s">
        <v>274</v>
      </c>
      <c r="F1046" s="604"/>
      <c r="G1046" s="403" t="str">
        <f t="shared" ca="1" si="290"/>
        <v/>
      </c>
      <c r="H1046" s="403" t="s">
        <v>4323</v>
      </c>
      <c r="I1046" s="4"/>
      <c r="J1046" s="175"/>
      <c r="K1046" s="104"/>
      <c r="L1046" s="104" t="s">
        <v>4057</v>
      </c>
      <c r="M1046" s="43">
        <f>IFERROR(INDEX({19,12,10,6,4,4,4,0},T1009),0)</f>
        <v>6</v>
      </c>
      <c r="N1046" s="85"/>
      <c r="O1046" s="85"/>
      <c r="X1046" s="688"/>
      <c r="Y1046" s="891"/>
      <c r="Z1046" s="892"/>
      <c r="AL1046" t="str">
        <f t="shared" si="291"/>
        <v>vpa703_3_4_1_3</v>
      </c>
      <c r="AM1046">
        <f t="shared" si="292"/>
        <v>6</v>
      </c>
      <c r="BJ1046" s="573" t="s">
        <v>4670</v>
      </c>
    </row>
    <row r="1047" spans="1:62" x14ac:dyDescent="0.35">
      <c r="A1047" s="403">
        <v>7</v>
      </c>
      <c r="B1047" s="613" t="s">
        <v>1091</v>
      </c>
      <c r="C1047" s="613"/>
      <c r="D1047" s="604" t="s">
        <v>270</v>
      </c>
      <c r="E1047" s="604" t="s">
        <v>283</v>
      </c>
      <c r="F1047" s="604"/>
      <c r="G1047" s="403" t="str">
        <f t="shared" ca="1" si="290"/>
        <v/>
      </c>
      <c r="H1047" s="403" t="s">
        <v>4323</v>
      </c>
      <c r="I1047" s="4"/>
      <c r="J1047" s="175"/>
      <c r="K1047" s="104"/>
      <c r="L1047" s="104" t="s">
        <v>4058</v>
      </c>
      <c r="M1047" s="43">
        <f>IFERROR(INDEX({26,15,14,8,6,6,5,0},T1009),0)</f>
        <v>8</v>
      </c>
      <c r="N1047" s="85"/>
      <c r="O1047" s="85"/>
      <c r="X1047" s="688"/>
      <c r="Y1047" s="891"/>
      <c r="Z1047" s="892"/>
      <c r="AL1047" t="str">
        <f t="shared" si="291"/>
        <v>vpa703_3_4_1_4</v>
      </c>
      <c r="AM1047">
        <f t="shared" si="292"/>
        <v>8</v>
      </c>
      <c r="BJ1047" s="573" t="s">
        <v>4670</v>
      </c>
    </row>
    <row r="1048" spans="1:62" x14ac:dyDescent="0.35">
      <c r="A1048" s="403">
        <v>7</v>
      </c>
      <c r="B1048" s="613" t="s">
        <v>1091</v>
      </c>
      <c r="C1048" s="613"/>
      <c r="D1048" s="604" t="s">
        <v>270</v>
      </c>
      <c r="E1048" s="606" t="s">
        <v>289</v>
      </c>
      <c r="F1048" s="604"/>
      <c r="G1048" s="403" t="str">
        <f ca="1">IF(N1048&gt;0,"P","")</f>
        <v/>
      </c>
      <c r="H1048" s="403" t="s">
        <v>4323</v>
      </c>
      <c r="I1048" s="4"/>
      <c r="K1048" s="175" t="s">
        <v>4060</v>
      </c>
      <c r="L1048" s="723" t="s">
        <v>4059</v>
      </c>
      <c r="M1048" s="690">
        <v>20</v>
      </c>
      <c r="N1048" s="696">
        <f ca="1">'Ch7'!O284</f>
        <v>0</v>
      </c>
      <c r="O1048" s="696">
        <f ca="1">M1048*S1048*W1048</f>
        <v>0</v>
      </c>
      <c r="P1048" t="b">
        <v>1</v>
      </c>
      <c r="Q1048" t="b">
        <v>1</v>
      </c>
      <c r="R1048" t="b">
        <v>0</v>
      </c>
      <c r="S1048" t="b">
        <f ca="1">AND(S777=2,BI781="Tropical",LEN(W1044)=0,LEN(W1050)=0,NOT(W1051=TRUE),LEN(W1056)=0)</f>
        <v>0</v>
      </c>
      <c r="T1048" t="b">
        <f ca="1">AND(NOT(S1048),W1048=TRUE)</f>
        <v>0</v>
      </c>
      <c r="W1048" s="17"/>
      <c r="X1048" s="688"/>
      <c r="Y1048" s="891" t="str">
        <f>IF(LEN('Ch7'!X284)=0,"None",'Ch7'!X284)</f>
        <v>None</v>
      </c>
      <c r="Z1048" s="892"/>
      <c r="AC1048" t="b">
        <f ca="1">OR(AD1048:AE1048)</f>
        <v>0</v>
      </c>
      <c r="AD1048" t="b">
        <f ca="1">T1048</f>
        <v>0</v>
      </c>
      <c r="AE1048" t="b">
        <f>AND(R1048,NOT(W1048))</f>
        <v>0</v>
      </c>
      <c r="AF1048" t="b">
        <f>AND(AE1048,NOT(Q1048))</f>
        <v>0</v>
      </c>
      <c r="AL1048" t="str">
        <f t="shared" si="291"/>
        <v>vpa703_3_4_1_5</v>
      </c>
      <c r="AM1048">
        <f t="shared" si="292"/>
        <v>20</v>
      </c>
      <c r="AN1048" t="str">
        <f>SUBSTITUTE(SUBSTITUTE(SUBSTITUTE("vpc"&amp;$B1048&amp;$C1048&amp;$D1048&amp;$E1048&amp;$F1048,".","_"),"(","_"),")","")</f>
        <v>vpc703_3_4_1_5</v>
      </c>
      <c r="AO1048">
        <f ca="1">O1048</f>
        <v>0</v>
      </c>
      <c r="AP1048" t="str">
        <f>SUBSTITUTE(SUBSTITUTE(SUBSTITUTE("vch"&amp;$B1048&amp;$C1048&amp;$D1048&amp;$E1048&amp;$F1048,".","_"),"(","_"),")","")</f>
        <v>vch703_3_4_1_5</v>
      </c>
      <c r="AQ1048">
        <f>W1048</f>
        <v>0</v>
      </c>
      <c r="AR1048" t="str">
        <f>SUBSTITUTE(SUBSTITUTE(SUBSTITUTE("vnt"&amp;$B1048&amp;$C1048&amp;$D1048&amp;$E1048&amp;$F1048,".","_"),"(","_"),")","")</f>
        <v>vnt703_3_4_1_5</v>
      </c>
      <c r="AS1048">
        <f>X1048</f>
        <v>0</v>
      </c>
      <c r="BJ1048" s="573" t="s">
        <v>4670</v>
      </c>
    </row>
    <row r="1049" spans="1:62" x14ac:dyDescent="0.35">
      <c r="A1049" s="403">
        <v>7</v>
      </c>
      <c r="B1049" s="613" t="s">
        <v>1091</v>
      </c>
      <c r="C1049" s="613"/>
      <c r="D1049" s="604" t="s">
        <v>270</v>
      </c>
      <c r="E1049" s="604"/>
      <c r="F1049" s="604"/>
      <c r="G1049" s="403" t="str">
        <f t="shared" ref="G1049" ca="1" si="293">G1048</f>
        <v/>
      </c>
      <c r="H1049" s="403" t="s">
        <v>4323</v>
      </c>
      <c r="I1049" s="4"/>
      <c r="J1049" s="359"/>
      <c r="K1049" s="214"/>
      <c r="L1049" s="724"/>
      <c r="M1049" s="691"/>
      <c r="N1049" s="697"/>
      <c r="O1049" s="697"/>
      <c r="W1049" t="s">
        <v>4053</v>
      </c>
      <c r="X1049" s="688"/>
      <c r="Y1049" s="891"/>
      <c r="Z1049" s="892"/>
      <c r="AL1049" t="str">
        <f t="shared" si="291"/>
        <v>vpa703_3_4_1</v>
      </c>
      <c r="AM1049">
        <f t="shared" si="292"/>
        <v>0</v>
      </c>
      <c r="BJ1049" s="573" t="s">
        <v>4670</v>
      </c>
    </row>
    <row r="1050" spans="1:62" x14ac:dyDescent="0.35">
      <c r="A1050" s="403">
        <v>7</v>
      </c>
      <c r="B1050" s="613" t="s">
        <v>1091</v>
      </c>
      <c r="C1050" s="613"/>
      <c r="D1050" s="604" t="s">
        <v>272</v>
      </c>
      <c r="E1050" s="604"/>
      <c r="F1050" s="604"/>
      <c r="G1050" s="403" t="str">
        <f ca="1">IF(N1050&gt;0,"P","")</f>
        <v/>
      </c>
      <c r="H1050" s="403" t="s">
        <v>4323</v>
      </c>
      <c r="I1050" s="155"/>
      <c r="J1050" s="359" t="s">
        <v>272</v>
      </c>
      <c r="K1050" s="214"/>
      <c r="L1050" s="193" t="s">
        <v>4062</v>
      </c>
      <c r="M1050" s="198">
        <f>IFERROR(INDEX({3,6,3,1,1,0,0,0},T1009),0)</f>
        <v>1</v>
      </c>
      <c r="N1050" s="342">
        <f ca="1">'Ch7'!O286</f>
        <v>0</v>
      </c>
      <c r="O1050" s="342">
        <f ca="1">IF(AND(S1050,W1050&gt;=1.2),M1050,0)</f>
        <v>0</v>
      </c>
      <c r="P1050" t="b">
        <v>1</v>
      </c>
      <c r="Q1050" t="b">
        <v>1</v>
      </c>
      <c r="R1050" t="b">
        <v>0</v>
      </c>
      <c r="S1050" t="b">
        <f ca="1">AND(S777=2,LEN(W1044)=0,NOT(W1048=TRUE),NOT(W1051=TRUE),LEN(W1056)=0)</f>
        <v>0</v>
      </c>
      <c r="T1050" t="b">
        <f ca="1">AND(NOT(S1050),LEN(W1050)&gt;0)</f>
        <v>0</v>
      </c>
      <c r="W1050" s="334"/>
      <c r="X1050" s="39"/>
      <c r="Y1050" s="200" t="str">
        <f>IF(LEN('Ch7'!X286)=0,"None",'Ch7'!X286)</f>
        <v>None</v>
      </c>
      <c r="Z1050" s="563"/>
      <c r="AC1050" t="b">
        <f ca="1">OR(AD1050:AE1050)</f>
        <v>0</v>
      </c>
      <c r="AD1050" t="b">
        <f ca="1">T1050</f>
        <v>0</v>
      </c>
      <c r="AE1050" t="b">
        <f>AND(R1050,OR(W1050="Not Met",W1050=""))</f>
        <v>0</v>
      </c>
      <c r="AF1050" t="b">
        <f>AND(AE1050,NOT(Q1050))</f>
        <v>0</v>
      </c>
      <c r="AL1050" t="str">
        <f t="shared" si="291"/>
        <v>vpa703_3_4_2</v>
      </c>
      <c r="AM1050">
        <f t="shared" si="292"/>
        <v>1</v>
      </c>
      <c r="AN1050" t="str">
        <f t="shared" ref="AN1050:AN1051" si="294">SUBSTITUTE(SUBSTITUTE(SUBSTITUTE("vpc"&amp;$B1050&amp;$C1050&amp;$D1050&amp;$E1050&amp;$F1050,".","_"),"(","_"),")","")</f>
        <v>vpc703_3_4_2</v>
      </c>
      <c r="AO1050">
        <f ca="1">O1050</f>
        <v>0</v>
      </c>
      <c r="AP1050" t="str">
        <f>SUBSTITUTE(SUBSTITUTE(SUBSTITUTE("vch"&amp;$B1050&amp;$C1050&amp;$D1050&amp;$E1050&amp;$F1050,".","_"),"(","_"),")","")</f>
        <v>vch703_3_4_2</v>
      </c>
      <c r="AQ1050" s="623">
        <f>W1050</f>
        <v>0</v>
      </c>
      <c r="AR1050" t="str">
        <f t="shared" ref="AR1050:AR1051" si="295">SUBSTITUTE(SUBSTITUTE(SUBSTITUTE("vnt"&amp;$B1050&amp;$C1050&amp;$D1050&amp;$E1050&amp;$F1050,".","_"),"(","_"),")","")</f>
        <v>vnt703_3_4_2</v>
      </c>
      <c r="AS1050">
        <f>X1050</f>
        <v>0</v>
      </c>
      <c r="BJ1050" s="573" t="s">
        <v>4670</v>
      </c>
    </row>
    <row r="1051" spans="1:62" x14ac:dyDescent="0.35">
      <c r="A1051" s="403">
        <v>7</v>
      </c>
      <c r="B1051" s="613" t="s">
        <v>1093</v>
      </c>
      <c r="C1051" s="613"/>
      <c r="D1051" s="604"/>
      <c r="E1051" s="604"/>
      <c r="F1051" s="604"/>
      <c r="G1051" s="403" t="str">
        <f ca="1">IF(N1051&gt;0,"P","")</f>
        <v/>
      </c>
      <c r="H1051" s="403" t="s">
        <v>4323</v>
      </c>
      <c r="I1051" s="362" t="s">
        <v>1093</v>
      </c>
      <c r="J1051" s="320"/>
      <c r="K1051" s="320"/>
      <c r="L1051" s="753" t="s">
        <v>1094</v>
      </c>
      <c r="M1051" s="712">
        <f>IFERROR(INDEX({14,18,22,30,37,37,37,37},T1009),0)</f>
        <v>30</v>
      </c>
      <c r="N1051" s="713">
        <f ca="1">'Ch7'!O287</f>
        <v>0</v>
      </c>
      <c r="O1051" s="713">
        <f ca="1">M1051*S1051*W1051</f>
        <v>0</v>
      </c>
      <c r="P1051" t="b">
        <v>1</v>
      </c>
      <c r="Q1051" t="b">
        <v>1</v>
      </c>
      <c r="R1051" t="b">
        <v>0</v>
      </c>
      <c r="S1051" t="b">
        <f ca="1">AND(S777=2,LEN(W1014)=0,LEN(W1020)=0,LEN(W1023)=0,LEN(W1028)=0,LEN(W1034)=0,LEN(W1039)=0,LEN(W1044)=0,NOT(W1048=TRUE),LEN(W1050)=0,LEN(W1056)=0)</f>
        <v>0</v>
      </c>
      <c r="T1051" t="b">
        <f ca="1">AND(NOT(S1051),W1051=TRUE)</f>
        <v>0</v>
      </c>
      <c r="W1051" s="17"/>
      <c r="X1051" s="688"/>
      <c r="Y1051" s="891" t="str">
        <f>IF(LEN('Ch7'!X287)=0,"None",'Ch7'!X287)</f>
        <v>None</v>
      </c>
      <c r="Z1051" s="892"/>
      <c r="AC1051" t="b">
        <f ca="1">OR(AD1051:AE1051)</f>
        <v>0</v>
      </c>
      <c r="AD1051" t="b">
        <f ca="1">T1051</f>
        <v>0</v>
      </c>
      <c r="AE1051" t="b">
        <f>AND(R1051,NOT(W1051))</f>
        <v>0</v>
      </c>
      <c r="AF1051" t="b">
        <f>AND(AE1051,NOT(Q1051))</f>
        <v>0</v>
      </c>
      <c r="AL1051" t="str">
        <f t="shared" si="291"/>
        <v>vpa703_3_5</v>
      </c>
      <c r="AM1051">
        <f t="shared" si="292"/>
        <v>30</v>
      </c>
      <c r="AN1051" t="str">
        <f t="shared" si="294"/>
        <v>vpc703_3_5</v>
      </c>
      <c r="AO1051">
        <f ca="1">O1051</f>
        <v>0</v>
      </c>
      <c r="AP1051" t="str">
        <f>SUBSTITUTE(SUBSTITUTE(SUBSTITUTE("vch"&amp;$B1051&amp;$C1051&amp;$D1051&amp;$E1051&amp;$F1051,".","_"),"(","_"),")","")</f>
        <v>vch703_3_5</v>
      </c>
      <c r="AQ1051">
        <f>W1051</f>
        <v>0</v>
      </c>
      <c r="AR1051" t="str">
        <f t="shared" si="295"/>
        <v>vnt703_3_5</v>
      </c>
      <c r="AS1051">
        <f>X1051</f>
        <v>0</v>
      </c>
      <c r="BJ1051" s="573" t="s">
        <v>4670</v>
      </c>
    </row>
    <row r="1052" spans="1:62" x14ac:dyDescent="0.35">
      <c r="A1052" s="403">
        <v>7</v>
      </c>
      <c r="B1052" s="613" t="s">
        <v>1093</v>
      </c>
      <c r="C1052" s="613"/>
      <c r="D1052" s="604"/>
      <c r="E1052" s="604"/>
      <c r="F1052" s="604"/>
      <c r="G1052" s="403" t="str">
        <f t="shared" ref="G1052:G1054" ca="1" si="296">G1051</f>
        <v/>
      </c>
      <c r="H1052" s="403" t="s">
        <v>4323</v>
      </c>
      <c r="I1052" s="4"/>
      <c r="J1052" s="104"/>
      <c r="K1052" s="104"/>
      <c r="L1052" s="706"/>
      <c r="M1052" s="690"/>
      <c r="N1052" s="696"/>
      <c r="O1052" s="696"/>
      <c r="X1052" s="688"/>
      <c r="Y1052" s="891"/>
      <c r="Z1052" s="892"/>
      <c r="BJ1052" s="573" t="s">
        <v>4670</v>
      </c>
    </row>
    <row r="1053" spans="1:62" x14ac:dyDescent="0.35">
      <c r="A1053" s="403">
        <v>7</v>
      </c>
      <c r="B1053" s="613" t="s">
        <v>1093</v>
      </c>
      <c r="C1053" s="613"/>
      <c r="D1053" s="604"/>
      <c r="E1053" s="604"/>
      <c r="F1053" s="604"/>
      <c r="G1053" s="403" t="str">
        <f t="shared" ca="1" si="296"/>
        <v/>
      </c>
      <c r="H1053" s="403" t="s">
        <v>4323</v>
      </c>
      <c r="I1053" s="4"/>
      <c r="J1053" s="104"/>
      <c r="K1053" s="104"/>
      <c r="L1053" s="706"/>
      <c r="M1053" s="690"/>
      <c r="N1053" s="696"/>
      <c r="O1053" s="696"/>
      <c r="X1053" s="688"/>
      <c r="Y1053" s="891"/>
      <c r="Z1053" s="892"/>
      <c r="BJ1053" s="573" t="s">
        <v>4670</v>
      </c>
    </row>
    <row r="1054" spans="1:62" x14ac:dyDescent="0.35">
      <c r="A1054" s="403">
        <v>7</v>
      </c>
      <c r="B1054" s="613" t="s">
        <v>1093</v>
      </c>
      <c r="C1054" s="613"/>
      <c r="D1054" s="604"/>
      <c r="E1054" s="604"/>
      <c r="F1054" s="604"/>
      <c r="G1054" s="403" t="str">
        <f t="shared" ca="1" si="296"/>
        <v/>
      </c>
      <c r="H1054" s="403" t="s">
        <v>4323</v>
      </c>
      <c r="I1054" s="155"/>
      <c r="J1054" s="214"/>
      <c r="K1054" s="214"/>
      <c r="L1054" s="214" t="s">
        <v>4064</v>
      </c>
      <c r="M1054" s="691"/>
      <c r="N1054" s="697"/>
      <c r="O1054" s="697"/>
      <c r="X1054" s="688"/>
      <c r="Y1054" s="891"/>
      <c r="Z1054" s="892"/>
      <c r="BJ1054" s="573" t="s">
        <v>4670</v>
      </c>
    </row>
    <row r="1055" spans="1:62" x14ac:dyDescent="0.35">
      <c r="A1055" s="403">
        <v>7</v>
      </c>
      <c r="B1055" s="613" t="s">
        <v>1095</v>
      </c>
      <c r="C1055" s="613"/>
      <c r="D1055" s="604"/>
      <c r="E1055" s="604"/>
      <c r="F1055" s="604"/>
      <c r="G1055" s="403" t="str">
        <f ca="1">IF(N1055&gt;0,"P","")</f>
        <v/>
      </c>
      <c r="H1055" s="403" t="s">
        <v>4323</v>
      </c>
      <c r="I1055" s="34" t="s">
        <v>1095</v>
      </c>
      <c r="J1055" s="104"/>
      <c r="K1055" s="104"/>
      <c r="L1055" s="783" t="s">
        <v>4099</v>
      </c>
      <c r="M1055" s="43"/>
      <c r="N1055" s="696">
        <f ca="1">'Ch7'!O291</f>
        <v>0</v>
      </c>
      <c r="O1055" s="696">
        <f ca="1">IFERROR(INDEX(M1058:M1060,MATCH(W1056,{16,24,28},1)),0)*S1056</f>
        <v>0</v>
      </c>
      <c r="W1055" t="s">
        <v>4068</v>
      </c>
      <c r="X1055" s="688"/>
      <c r="Y1055" s="891" t="str">
        <f>IF(LEN('Ch7'!X291)=0,"None",'Ch7'!X291)</f>
        <v>None</v>
      </c>
      <c r="Z1055" s="892"/>
      <c r="AN1055" t="str">
        <f>SUBSTITUTE(SUBSTITUTE(SUBSTITUTE("vpc"&amp;$B1055&amp;$C1055&amp;$D1055&amp;$E1055&amp;$F1055,".","_"),"(","_"),")","")</f>
        <v>vpc703_3_6</v>
      </c>
      <c r="AO1055">
        <f ca="1">O1055</f>
        <v>0</v>
      </c>
      <c r="AR1055" t="str">
        <f>SUBSTITUTE(SUBSTITUTE(SUBSTITUTE("vnt"&amp;$B1055&amp;$C1055&amp;$D1055&amp;$E1055&amp;$F1055,".","_"),"(","_"),")","")</f>
        <v>vnt703_3_6</v>
      </c>
      <c r="AS1055">
        <f>X1055</f>
        <v>0</v>
      </c>
      <c r="BJ1055" s="573" t="s">
        <v>4670</v>
      </c>
    </row>
    <row r="1056" spans="1:62" x14ac:dyDescent="0.35">
      <c r="A1056" s="403">
        <v>7</v>
      </c>
      <c r="B1056" s="613" t="s">
        <v>1095</v>
      </c>
      <c r="C1056" s="613"/>
      <c r="D1056" s="604"/>
      <c r="E1056" s="604"/>
      <c r="F1056" s="604"/>
      <c r="G1056" s="403" t="str">
        <f t="shared" ref="G1056:G1060" ca="1" si="297">G1055</f>
        <v/>
      </c>
      <c r="H1056" s="403" t="s">
        <v>4323</v>
      </c>
      <c r="I1056" s="4"/>
      <c r="J1056" s="104"/>
      <c r="K1056" s="104"/>
      <c r="L1056" s="783"/>
      <c r="M1056" s="43"/>
      <c r="N1056" s="696"/>
      <c r="O1056" s="696"/>
      <c r="P1056" t="b">
        <v>1</v>
      </c>
      <c r="Q1056" t="b">
        <v>1</v>
      </c>
      <c r="R1056" t="b">
        <v>0</v>
      </c>
      <c r="S1056" t="b">
        <f ca="1">AND(S777=2,LEN(W1014)=0,LEN(W1020)=0,LEN(W1023)=0,LEN(W1028)=0,LEN(W1034)=0,LEN(W1039)=0,LEN(W1044)=0,NOT(W1048=TRUE),LEN(W1050)=0,NOT(W1051=TRUE))</f>
        <v>0</v>
      </c>
      <c r="T1056" t="b">
        <f ca="1">AND(NOT(S1056),LEN(W1056)&gt;0)</f>
        <v>0</v>
      </c>
      <c r="W1056" s="334"/>
      <c r="X1056" s="688"/>
      <c r="Y1056" s="891"/>
      <c r="Z1056" s="892"/>
      <c r="AC1056" t="b">
        <f ca="1">OR(AD1056:AE1056)</f>
        <v>0</v>
      </c>
      <c r="AD1056" t="b">
        <f ca="1">T1056</f>
        <v>0</v>
      </c>
      <c r="AE1056" t="b">
        <f>AND(R1056,OR(W1056="Not Met",W1056=""))</f>
        <v>0</v>
      </c>
      <c r="AF1056" t="b">
        <f>AND(AE1056,NOT(Q1056))</f>
        <v>0</v>
      </c>
      <c r="AP1056" t="str">
        <f>SUBSTITUTE(SUBSTITUTE(SUBSTITUTE("vch"&amp;$B1056&amp;$C1056&amp;$D1056&amp;$E1056&amp;$F1056,".","_"),"(","_"),")","")</f>
        <v>vch703_3_6</v>
      </c>
      <c r="AQ1056" s="623">
        <f>W1056</f>
        <v>0</v>
      </c>
      <c r="BJ1056" s="573" t="s">
        <v>4670</v>
      </c>
    </row>
    <row r="1057" spans="1:62" x14ac:dyDescent="0.35">
      <c r="A1057" s="403">
        <v>7</v>
      </c>
      <c r="B1057" s="613" t="s">
        <v>1095</v>
      </c>
      <c r="C1057" s="613"/>
      <c r="D1057" s="604"/>
      <c r="E1057" s="604"/>
      <c r="F1057" s="604"/>
      <c r="G1057" s="403" t="str">
        <f t="shared" ca="1" si="297"/>
        <v/>
      </c>
      <c r="H1057" s="403" t="s">
        <v>4323</v>
      </c>
      <c r="I1057" s="4"/>
      <c r="J1057" s="104"/>
      <c r="K1057" s="104"/>
      <c r="L1057" s="783"/>
      <c r="M1057" s="43"/>
      <c r="N1057" s="696"/>
      <c r="O1057" s="696"/>
      <c r="X1057" s="688"/>
      <c r="Y1057" s="891"/>
      <c r="Z1057" s="892"/>
      <c r="BJ1057" s="573" t="s">
        <v>4670</v>
      </c>
    </row>
    <row r="1058" spans="1:62" x14ac:dyDescent="0.35">
      <c r="A1058" s="403">
        <v>7</v>
      </c>
      <c r="B1058" s="613" t="s">
        <v>1095</v>
      </c>
      <c r="C1058" s="613"/>
      <c r="D1058" s="604"/>
      <c r="E1058" s="604" t="s">
        <v>270</v>
      </c>
      <c r="F1058" s="604"/>
      <c r="G1058" s="403" t="str">
        <f t="shared" ca="1" si="297"/>
        <v/>
      </c>
      <c r="H1058" s="403" t="s">
        <v>4323</v>
      </c>
      <c r="I1058" s="4"/>
      <c r="J1058" s="104"/>
      <c r="K1058" s="104"/>
      <c r="L1058" s="104" t="s">
        <v>4065</v>
      </c>
      <c r="M1058" s="43">
        <f>IFERROR(INDEX({1,1,2,16,22,22,0,0},T1009),0)</f>
        <v>16</v>
      </c>
      <c r="N1058" s="85"/>
      <c r="O1058" s="85"/>
      <c r="X1058" s="688"/>
      <c r="Y1058" s="891"/>
      <c r="Z1058" s="892"/>
      <c r="AL1058" t="str">
        <f t="shared" ref="AL1058:AL1061" si="298">SUBSTITUTE(SUBSTITUTE(SUBSTITUTE("vpa"&amp;$B1058&amp;$C1058&amp;$D1058&amp;$E1058&amp;$F1058,".","_"),"(","_"),")","")</f>
        <v>vpa703_3_6_1</v>
      </c>
      <c r="AM1058">
        <f>M1058</f>
        <v>16</v>
      </c>
      <c r="BJ1058" s="573" t="s">
        <v>4670</v>
      </c>
    </row>
    <row r="1059" spans="1:62" x14ac:dyDescent="0.35">
      <c r="A1059" s="403">
        <v>7</v>
      </c>
      <c r="B1059" s="613" t="s">
        <v>1095</v>
      </c>
      <c r="C1059" s="613"/>
      <c r="D1059" s="604"/>
      <c r="E1059" s="604" t="s">
        <v>272</v>
      </c>
      <c r="F1059" s="604"/>
      <c r="G1059" s="403" t="str">
        <f t="shared" ca="1" si="297"/>
        <v/>
      </c>
      <c r="H1059" s="403" t="s">
        <v>4323</v>
      </c>
      <c r="I1059" s="4"/>
      <c r="J1059" s="104"/>
      <c r="K1059" s="104"/>
      <c r="L1059" s="104" t="s">
        <v>4066</v>
      </c>
      <c r="M1059" s="43">
        <f>IFERROR(INDEX({24,29,22,31,35,35,0,0},T1009),0)</f>
        <v>31</v>
      </c>
      <c r="N1059" s="85"/>
      <c r="O1059" s="85"/>
      <c r="X1059" s="688"/>
      <c r="Y1059" s="891"/>
      <c r="Z1059" s="892"/>
      <c r="AL1059" t="str">
        <f t="shared" si="298"/>
        <v>vpa703_3_6_2</v>
      </c>
      <c r="AM1059">
        <f>M1059</f>
        <v>31</v>
      </c>
      <c r="BJ1059" s="573" t="s">
        <v>4670</v>
      </c>
    </row>
    <row r="1060" spans="1:62" x14ac:dyDescent="0.35">
      <c r="A1060" s="403">
        <v>7</v>
      </c>
      <c r="B1060" s="613" t="s">
        <v>1095</v>
      </c>
      <c r="C1060" s="613"/>
      <c r="D1060" s="604"/>
      <c r="E1060" s="604" t="s">
        <v>274</v>
      </c>
      <c r="F1060" s="604"/>
      <c r="G1060" s="403" t="str">
        <f t="shared" ca="1" si="297"/>
        <v/>
      </c>
      <c r="H1060" s="403" t="s">
        <v>4323</v>
      </c>
      <c r="I1060" s="155"/>
      <c r="J1060" s="214"/>
      <c r="K1060" s="214"/>
      <c r="L1060" s="214" t="s">
        <v>4067</v>
      </c>
      <c r="M1060" s="198">
        <f>IFERROR(INDEX({42,46,35,42,44,44,0,0},T1009),0)</f>
        <v>42</v>
      </c>
      <c r="N1060" s="342"/>
      <c r="O1060" s="342"/>
      <c r="X1060" s="688"/>
      <c r="Y1060" s="891"/>
      <c r="Z1060" s="892"/>
      <c r="AL1060" t="str">
        <f t="shared" si="298"/>
        <v>vpa703_3_6_3</v>
      </c>
      <c r="AM1060">
        <f>M1060</f>
        <v>42</v>
      </c>
      <c r="BJ1060" s="573" t="s">
        <v>4670</v>
      </c>
    </row>
    <row r="1061" spans="1:62" x14ac:dyDescent="0.35">
      <c r="A1061" s="403">
        <v>7</v>
      </c>
      <c r="B1061" s="613" t="s">
        <v>1096</v>
      </c>
      <c r="C1061" s="613"/>
      <c r="D1061" s="604"/>
      <c r="E1061" s="604" t="s">
        <v>270</v>
      </c>
      <c r="F1061" s="604"/>
      <c r="G1061" s="403" t="str">
        <f ca="1">IF(N1061&gt;0,"P","")</f>
        <v/>
      </c>
      <c r="H1061" s="403" t="s">
        <v>4325</v>
      </c>
      <c r="I1061" s="34" t="s">
        <v>1096</v>
      </c>
      <c r="J1061" s="104"/>
      <c r="K1061" s="104"/>
      <c r="L1061" s="110" t="s">
        <v>1097</v>
      </c>
      <c r="M1061" s="43">
        <v>1</v>
      </c>
      <c r="N1061" s="85">
        <f ca="1">'Ch7'!O297</f>
        <v>0</v>
      </c>
      <c r="O1061" s="85">
        <f ca="1">IF(AND(S1063,W1063&gt;0),MIN(8,W1063),M1061*S1061*W1061)</f>
        <v>0</v>
      </c>
      <c r="P1061" t="b">
        <v>0</v>
      </c>
      <c r="Q1061" t="b">
        <v>1</v>
      </c>
      <c r="R1061" t="b">
        <v>0</v>
      </c>
      <c r="S1061" t="b">
        <f ca="1">AND(S777=2,NOT(W1068))</f>
        <v>0</v>
      </c>
      <c r="T1061" t="b">
        <f ca="1">AND(NOT(S1061),W1061=TRUE)</f>
        <v>0</v>
      </c>
      <c r="W1061" s="17"/>
      <c r="X1061" s="688"/>
      <c r="Y1061" s="891" t="str">
        <f>IF(LEN('Ch7'!X297)=0,"None",'Ch7'!X297)</f>
        <v>None</v>
      </c>
      <c r="Z1061" s="892"/>
      <c r="AC1061" t="b">
        <f ca="1">OR(AD1061:AE1061)</f>
        <v>0</v>
      </c>
      <c r="AD1061" t="b">
        <f ca="1">T1061</f>
        <v>0</v>
      </c>
      <c r="AE1061" t="b">
        <f>AND(R1061,NOT(W1061))</f>
        <v>0</v>
      </c>
      <c r="AF1061" t="b">
        <f>AND(AE1061,NOT(Q1061))</f>
        <v>0</v>
      </c>
      <c r="AL1061" t="str">
        <f t="shared" si="298"/>
        <v>vpa703_3_7_1</v>
      </c>
      <c r="AM1061">
        <f>M1061</f>
        <v>1</v>
      </c>
      <c r="AN1061" t="str">
        <f>SUBSTITUTE(SUBSTITUTE(SUBSTITUTE("vpc"&amp;$B1061&amp;$C1061&amp;$D1061&amp;$E1061&amp;$F1061,".","_"),"(","_"),")","")</f>
        <v>vpc703_3_7_1</v>
      </c>
      <c r="AO1061">
        <f ca="1">O1061</f>
        <v>0</v>
      </c>
      <c r="AP1061" t="str">
        <f>SUBSTITUTE(SUBSTITUTE(SUBSTITUTE("vch"&amp;$B1061&amp;$C1061&amp;$D1061&amp;$E1061&amp;$F1061,".","_"),"(","_"),")","")</f>
        <v>vch703_3_7_1</v>
      </c>
      <c r="AQ1061">
        <f>W1061</f>
        <v>0</v>
      </c>
      <c r="AR1061" t="str">
        <f>SUBSTITUTE(SUBSTITUTE(SUBSTITUTE("vnt"&amp;$B1061&amp;$C1061&amp;$D1061&amp;$E1061&amp;$F1061,".","_"),"(","_"),")","")</f>
        <v>vnt703_3_7_1</v>
      </c>
      <c r="AS1061">
        <f>X1061</f>
        <v>0</v>
      </c>
      <c r="BJ1061" s="573" t="s">
        <v>4670</v>
      </c>
    </row>
    <row r="1062" spans="1:62" x14ac:dyDescent="0.35">
      <c r="A1062" s="403">
        <v>7</v>
      </c>
      <c r="B1062" s="613" t="s">
        <v>1096</v>
      </c>
      <c r="C1062" s="613"/>
      <c r="D1062" s="604"/>
      <c r="E1062" s="604"/>
      <c r="F1062" s="604"/>
      <c r="G1062" s="403" t="str">
        <f t="shared" ref="G1062:G1066" ca="1" si="299">G1061</f>
        <v/>
      </c>
      <c r="H1062" s="403" t="s">
        <v>4325</v>
      </c>
      <c r="I1062" s="4"/>
      <c r="J1062" s="104"/>
      <c r="K1062" s="104"/>
      <c r="L1062" s="106" t="s">
        <v>1098</v>
      </c>
      <c r="M1062" s="43"/>
      <c r="N1062" s="85"/>
      <c r="O1062" s="85"/>
      <c r="W1062" t="s">
        <v>4023</v>
      </c>
      <c r="X1062" s="688"/>
      <c r="Y1062" s="891"/>
      <c r="Z1062" s="892"/>
      <c r="BJ1062" s="573" t="s">
        <v>4670</v>
      </c>
    </row>
    <row r="1063" spans="1:62" x14ac:dyDescent="0.35">
      <c r="A1063" s="403">
        <v>7</v>
      </c>
      <c r="B1063" s="613" t="s">
        <v>1096</v>
      </c>
      <c r="C1063" s="613"/>
      <c r="D1063" s="604"/>
      <c r="E1063" s="604" t="s">
        <v>272</v>
      </c>
      <c r="F1063" s="604"/>
      <c r="G1063" s="403" t="str">
        <f t="shared" ca="1" si="299"/>
        <v/>
      </c>
      <c r="H1063" s="403" t="s">
        <v>4325</v>
      </c>
      <c r="I1063" s="4"/>
      <c r="J1063" s="104"/>
      <c r="K1063" s="104"/>
      <c r="L1063" s="783" t="s">
        <v>1099</v>
      </c>
      <c r="M1063" s="43"/>
      <c r="N1063" s="85"/>
      <c r="O1063" s="85"/>
      <c r="P1063" t="b">
        <v>0</v>
      </c>
      <c r="Q1063" t="b">
        <v>1</v>
      </c>
      <c r="R1063" t="b">
        <v>0</v>
      </c>
      <c r="S1063" t="b">
        <f ca="1">AND(S777=2,NOT(W1068),W1061=TRUE,OR(BI781="Tropical",AND(BG781="Dry",OR(BF781=2,BF781=3,BF781=4))))</f>
        <v>0</v>
      </c>
      <c r="T1063" t="b">
        <f ca="1">AND(NOT(S1063),LEN(W1063)&gt;0)</f>
        <v>0</v>
      </c>
      <c r="W1063" s="347"/>
      <c r="X1063" s="688"/>
      <c r="Y1063" s="891"/>
      <c r="Z1063" s="892"/>
      <c r="AC1063" t="b">
        <f ca="1">OR(AD1063:AE1063)</f>
        <v>0</v>
      </c>
      <c r="AD1063" t="b">
        <f ca="1">T1063</f>
        <v>0</v>
      </c>
      <c r="AE1063" t="b">
        <f>AND(R1063,OR(W1063="Not Met",W1063=""))</f>
        <v>0</v>
      </c>
      <c r="AF1063" t="b">
        <f>AND(AE1063,NOT(Q1063))</f>
        <v>0</v>
      </c>
      <c r="AP1063" t="str">
        <f>SUBSTITUTE(SUBSTITUTE(SUBSTITUTE("vch"&amp;$B1063&amp;$C1063&amp;$D1063&amp;$E1063&amp;$F1063,".","_"),"(","_"),")","")</f>
        <v>vch703_3_7_2</v>
      </c>
      <c r="AQ1063" s="624">
        <f>W1063</f>
        <v>0</v>
      </c>
      <c r="BJ1063" s="573" t="s">
        <v>4670</v>
      </c>
    </row>
    <row r="1064" spans="1:62" x14ac:dyDescent="0.35">
      <c r="A1064" s="403">
        <v>7</v>
      </c>
      <c r="B1064" s="613" t="s">
        <v>1096</v>
      </c>
      <c r="C1064" s="613"/>
      <c r="D1064" s="604"/>
      <c r="E1064" s="604"/>
      <c r="F1064" s="604"/>
      <c r="G1064" s="403" t="str">
        <f t="shared" ca="1" si="299"/>
        <v/>
      </c>
      <c r="H1064" s="403" t="s">
        <v>4325</v>
      </c>
      <c r="I1064" s="4"/>
      <c r="J1064" s="104"/>
      <c r="K1064" s="104"/>
      <c r="L1064" s="783"/>
      <c r="M1064" s="43"/>
      <c r="N1064" s="85"/>
      <c r="O1064" s="85"/>
      <c r="X1064" s="688"/>
      <c r="Y1064" s="891"/>
      <c r="Z1064" s="892"/>
      <c r="BJ1064" s="573" t="s">
        <v>4670</v>
      </c>
    </row>
    <row r="1065" spans="1:62" x14ac:dyDescent="0.35">
      <c r="A1065" s="403">
        <v>7</v>
      </c>
      <c r="B1065" s="613" t="s">
        <v>1096</v>
      </c>
      <c r="C1065" s="613"/>
      <c r="D1065" s="604"/>
      <c r="E1065" s="604"/>
      <c r="F1065" s="604"/>
      <c r="G1065" s="403" t="str">
        <f t="shared" ca="1" si="299"/>
        <v/>
      </c>
      <c r="H1065" s="403" t="s">
        <v>4325</v>
      </c>
      <c r="I1065" s="4"/>
      <c r="J1065" s="104"/>
      <c r="K1065" s="104"/>
      <c r="L1065" s="783"/>
      <c r="M1065" s="43"/>
      <c r="N1065" s="85"/>
      <c r="O1065" s="85"/>
      <c r="X1065" s="688"/>
      <c r="Y1065" s="891"/>
      <c r="Z1065" s="892"/>
      <c r="BJ1065" s="573" t="s">
        <v>4670</v>
      </c>
    </row>
    <row r="1066" spans="1:62" x14ac:dyDescent="0.35">
      <c r="A1066" s="403">
        <v>7</v>
      </c>
      <c r="B1066" s="613" t="s">
        <v>1096</v>
      </c>
      <c r="C1066" s="613"/>
      <c r="D1066" s="604"/>
      <c r="E1066" s="604"/>
      <c r="F1066" s="604"/>
      <c r="G1066" s="403" t="str">
        <f t="shared" ca="1" si="299"/>
        <v/>
      </c>
      <c r="H1066" s="403" t="s">
        <v>4325</v>
      </c>
      <c r="I1066" s="4"/>
      <c r="J1066" s="104"/>
      <c r="K1066" s="104"/>
      <c r="L1066" s="783"/>
      <c r="M1066" s="43"/>
      <c r="N1066" s="85"/>
      <c r="O1066" s="85"/>
      <c r="X1066" s="688"/>
      <c r="Y1066" s="891"/>
      <c r="Z1066" s="892"/>
      <c r="BJ1066" s="573" t="s">
        <v>4670</v>
      </c>
    </row>
    <row r="1067" spans="1:62" x14ac:dyDescent="0.35">
      <c r="A1067" s="403">
        <v>7</v>
      </c>
      <c r="B1067" s="613" t="s">
        <v>1096</v>
      </c>
      <c r="C1067" s="613"/>
      <c r="D1067" s="604"/>
      <c r="E1067" s="604"/>
      <c r="F1067" s="604"/>
      <c r="I1067" s="155"/>
      <c r="J1067" s="214"/>
      <c r="K1067" s="214"/>
      <c r="L1067" s="121" t="s">
        <v>4040</v>
      </c>
      <c r="M1067" s="198"/>
      <c r="N1067" s="342"/>
      <c r="O1067" s="342"/>
      <c r="P1067" s="119"/>
      <c r="Q1067" s="119"/>
      <c r="R1067" s="119"/>
      <c r="S1067" s="119"/>
      <c r="T1067" s="119"/>
      <c r="U1067" s="119"/>
      <c r="V1067" s="119"/>
      <c r="W1067" s="368"/>
      <c r="X1067" s="688"/>
      <c r="Y1067" s="891"/>
      <c r="Z1067" s="892"/>
      <c r="BJ1067" s="573" t="s">
        <v>4670</v>
      </c>
    </row>
    <row r="1068" spans="1:62" x14ac:dyDescent="0.35">
      <c r="A1068" s="403">
        <v>7</v>
      </c>
      <c r="B1068" s="613" t="s">
        <v>1100</v>
      </c>
      <c r="C1068" s="613"/>
      <c r="D1068" s="604"/>
      <c r="E1068" s="604"/>
      <c r="F1068" s="604"/>
      <c r="G1068" s="403" t="str">
        <f ca="1">IF(N1068&gt;0,"P","")</f>
        <v/>
      </c>
      <c r="H1068" s="403" t="s">
        <v>4323</v>
      </c>
      <c r="I1068" s="362" t="s">
        <v>1100</v>
      </c>
      <c r="J1068" s="320"/>
      <c r="K1068" s="320"/>
      <c r="L1068" s="787" t="s">
        <v>1101</v>
      </c>
      <c r="M1068" s="712">
        <f>IFERROR(INDEX({4,4,4,3,3,3,0,0},BF781),0)</f>
        <v>3</v>
      </c>
      <c r="N1068" s="713">
        <f ca="1">'Ch7'!O304</f>
        <v>0</v>
      </c>
      <c r="O1068" s="713">
        <f ca="1">M1068*S1068*W1068</f>
        <v>0</v>
      </c>
      <c r="P1068" t="b">
        <v>1</v>
      </c>
      <c r="Q1068" t="b">
        <v>1</v>
      </c>
      <c r="R1068" s="138" t="b">
        <v>0</v>
      </c>
      <c r="S1068" s="138" t="b">
        <f ca="1">(S777=2)</f>
        <v>0</v>
      </c>
      <c r="T1068" s="138" t="b">
        <f ca="1">AND(NOT(S1068),W1068=TRUE)</f>
        <v>0</v>
      </c>
      <c r="U1068" s="138"/>
      <c r="V1068" s="138"/>
      <c r="W1068" s="17"/>
      <c r="X1068" s="688"/>
      <c r="Y1068" s="891" t="str">
        <f>IF(LEN('Ch7'!X304)=0,"None",'Ch7'!X304)</f>
        <v>None</v>
      </c>
      <c r="Z1068" s="892"/>
      <c r="AC1068" t="b">
        <f ca="1">OR(AD1068:AE1068)</f>
        <v>0</v>
      </c>
      <c r="AD1068" t="b">
        <f ca="1">T1068</f>
        <v>0</v>
      </c>
      <c r="AE1068" t="b">
        <f>AND(R1068,NOT(W1068))</f>
        <v>0</v>
      </c>
      <c r="AF1068" t="b">
        <f>AND(AE1068,NOT(Q1068))</f>
        <v>0</v>
      </c>
      <c r="AL1068" t="str">
        <f t="shared" ref="AL1068" si="300">SUBSTITUTE(SUBSTITUTE(SUBSTITUTE("vpa"&amp;$B1068&amp;$C1068&amp;$D1068&amp;$E1068&amp;$F1068,".","_"),"(","_"),")","")</f>
        <v>vpa703_3_8</v>
      </c>
      <c r="AM1068">
        <f>M1068</f>
        <v>3</v>
      </c>
      <c r="AN1068" t="str">
        <f>SUBSTITUTE(SUBSTITUTE(SUBSTITUTE("vpc"&amp;$B1068&amp;$C1068&amp;$D1068&amp;$E1068&amp;$F1068,".","_"),"(","_"),")","")</f>
        <v>vpc703_3_8</v>
      </c>
      <c r="AO1068">
        <f ca="1">O1068</f>
        <v>0</v>
      </c>
      <c r="AP1068" t="str">
        <f>SUBSTITUTE(SUBSTITUTE(SUBSTITUTE("vch"&amp;$B1068&amp;$C1068&amp;$D1068&amp;$E1068&amp;$F1068,".","_"),"(","_"),")","")</f>
        <v>vch703_3_8</v>
      </c>
      <c r="AQ1068">
        <f>W1068</f>
        <v>0</v>
      </c>
      <c r="AR1068" t="str">
        <f>SUBSTITUTE(SUBSTITUTE(SUBSTITUTE("vnt"&amp;$B1068&amp;$C1068&amp;$D1068&amp;$E1068&amp;$F1068,".","_"),"(","_"),")","")</f>
        <v>vnt703_3_8</v>
      </c>
      <c r="AS1068">
        <f>X1068</f>
        <v>0</v>
      </c>
      <c r="BJ1068" s="573" t="s">
        <v>4670</v>
      </c>
    </row>
    <row r="1069" spans="1:62" x14ac:dyDescent="0.35">
      <c r="A1069" s="403">
        <v>7</v>
      </c>
      <c r="B1069" s="613" t="s">
        <v>1100</v>
      </c>
      <c r="C1069" s="613"/>
      <c r="D1069" s="604"/>
      <c r="E1069" s="604"/>
      <c r="F1069" s="604"/>
      <c r="G1069" s="403" t="str">
        <f t="shared" ref="G1069:G1070" ca="1" si="301">G1068</f>
        <v/>
      </c>
      <c r="H1069" s="403" t="s">
        <v>4323</v>
      </c>
      <c r="I1069" s="4"/>
      <c r="J1069" s="104"/>
      <c r="K1069" s="104"/>
      <c r="L1069" s="783"/>
      <c r="M1069" s="690"/>
      <c r="N1069" s="696"/>
      <c r="O1069" s="696"/>
      <c r="X1069" s="688"/>
      <c r="Y1069" s="891"/>
      <c r="Z1069" s="892"/>
      <c r="BJ1069" s="573" t="s">
        <v>4670</v>
      </c>
    </row>
    <row r="1070" spans="1:62" x14ac:dyDescent="0.35">
      <c r="A1070" s="403">
        <v>7</v>
      </c>
      <c r="B1070" s="613" t="s">
        <v>1100</v>
      </c>
      <c r="C1070" s="613"/>
      <c r="D1070" s="604"/>
      <c r="E1070" s="604"/>
      <c r="F1070" s="604"/>
      <c r="G1070" s="403" t="str">
        <f t="shared" ca="1" si="301"/>
        <v/>
      </c>
      <c r="H1070" s="403" t="s">
        <v>4323</v>
      </c>
      <c r="I1070" s="4"/>
      <c r="J1070" s="104"/>
      <c r="K1070" s="104"/>
      <c r="L1070" s="107" t="s">
        <v>1098</v>
      </c>
      <c r="M1070" s="43"/>
      <c r="N1070" s="85"/>
      <c r="O1070" s="85"/>
      <c r="X1070" s="688"/>
      <c r="Y1070" s="891"/>
      <c r="Z1070" s="892"/>
      <c r="BJ1070" s="573" t="s">
        <v>4670</v>
      </c>
    </row>
    <row r="1071" spans="1:62" x14ac:dyDescent="0.35">
      <c r="A1071" s="403">
        <v>7</v>
      </c>
      <c r="B1071" s="613" t="s">
        <v>1100</v>
      </c>
      <c r="C1071" s="613"/>
      <c r="D1071" s="604"/>
      <c r="E1071" s="604"/>
      <c r="F1071" s="604"/>
      <c r="I1071" s="4"/>
      <c r="J1071" s="104"/>
      <c r="K1071" s="104"/>
      <c r="L1071" s="714" t="s">
        <v>4039</v>
      </c>
      <c r="M1071" s="43"/>
      <c r="N1071" s="85"/>
      <c r="O1071" s="85"/>
      <c r="X1071" s="688"/>
      <c r="Y1071" s="891"/>
      <c r="Z1071" s="892"/>
      <c r="BJ1071" s="573" t="s">
        <v>4670</v>
      </c>
    </row>
    <row r="1072" spans="1:62" ht="15" thickBot="1" x14ac:dyDescent="0.4">
      <c r="A1072" s="403">
        <v>7</v>
      </c>
      <c r="B1072" s="613" t="s">
        <v>1100</v>
      </c>
      <c r="C1072" s="613"/>
      <c r="D1072" s="604"/>
      <c r="E1072" s="604"/>
      <c r="F1072" s="604"/>
      <c r="I1072" s="183"/>
      <c r="J1072" s="223"/>
      <c r="K1072" s="223"/>
      <c r="L1072" s="788"/>
      <c r="M1072" s="270"/>
      <c r="N1072" s="184"/>
      <c r="O1072" s="184"/>
      <c r="P1072" s="58"/>
      <c r="Q1072" s="58"/>
      <c r="R1072" s="58"/>
      <c r="S1072" s="58"/>
      <c r="T1072" s="58"/>
      <c r="U1072" s="58"/>
      <c r="V1072" s="58"/>
      <c r="W1072" s="58"/>
      <c r="X1072" s="689"/>
      <c r="Y1072" s="905"/>
      <c r="Z1072" s="895"/>
      <c r="BJ1072" s="573" t="s">
        <v>4670</v>
      </c>
    </row>
    <row r="1073" spans="1:62" ht="15" thickTop="1" x14ac:dyDescent="0.35">
      <c r="A1073" s="403">
        <v>7</v>
      </c>
      <c r="B1073" s="609">
        <v>703.4</v>
      </c>
      <c r="C1073" s="613"/>
      <c r="D1073" s="604"/>
      <c r="E1073" s="604"/>
      <c r="F1073" s="604"/>
      <c r="G1073" s="600" t="str">
        <f ca="1">IF(COUNTIF(G1074:G1084,"P")&gt;0,"P","")</f>
        <v>P</v>
      </c>
      <c r="H1073" s="403" t="s">
        <v>4323</v>
      </c>
      <c r="I1073" s="32">
        <v>703.4</v>
      </c>
      <c r="J1073" s="104"/>
      <c r="K1073" s="104"/>
      <c r="L1073" s="110" t="s">
        <v>1102</v>
      </c>
      <c r="M1073" s="43"/>
      <c r="N1073" s="85"/>
      <c r="O1073" s="85"/>
      <c r="R1073" s="1"/>
      <c r="S1073" s="285" t="s">
        <v>3905</v>
      </c>
      <c r="T1073" s="1" t="b">
        <f>AND(AY790&gt;4,AY784=INDEX(ddSingleOrMulti,2))</f>
        <v>0</v>
      </c>
      <c r="Z1073" s="543"/>
      <c r="BJ1073" s="573" t="s">
        <v>4670</v>
      </c>
    </row>
    <row r="1074" spans="1:62" x14ac:dyDescent="0.35">
      <c r="A1074" s="403">
        <v>7</v>
      </c>
      <c r="B1074" s="609" t="s">
        <v>1103</v>
      </c>
      <c r="C1074" s="613"/>
      <c r="D1074" s="604"/>
      <c r="E1074" s="604"/>
      <c r="F1074" s="604"/>
      <c r="G1074" s="403" t="str">
        <f ca="1">IF(N1074&gt;0,"P","")</f>
        <v/>
      </c>
      <c r="H1074" s="403" t="s">
        <v>4323</v>
      </c>
      <c r="I1074" s="32" t="s">
        <v>1103</v>
      </c>
      <c r="J1074" s="104"/>
      <c r="K1074" s="104"/>
      <c r="L1074" s="110" t="s">
        <v>1104</v>
      </c>
      <c r="M1074" s="690">
        <f>IFERROR(INDEX({0,2,4,6,8,8,8,8},BF781),0)</f>
        <v>6</v>
      </c>
      <c r="N1074" s="696">
        <f ca="1">'Ch7'!O310</f>
        <v>0</v>
      </c>
      <c r="O1074" s="696">
        <f ca="1">M1074*S1074*W1074</f>
        <v>0</v>
      </c>
      <c r="P1074" t="b">
        <v>1</v>
      </c>
      <c r="Q1074" t="b">
        <v>1</v>
      </c>
      <c r="R1074" t="b">
        <v>0</v>
      </c>
      <c r="S1074" t="b">
        <f ca="1">AND(S777=2,NOT(T1073),AY801=INDEX(ddHDucts,2))</f>
        <v>0</v>
      </c>
      <c r="T1074" t="b">
        <f ca="1">AND(NOT(S1074),W1074=TRUE)</f>
        <v>0</v>
      </c>
      <c r="W1074" s="17"/>
      <c r="X1074" s="688"/>
      <c r="Y1074" s="891" t="str">
        <f>IF(LEN('Ch7'!X310)=0,"None",'Ch7'!X310)</f>
        <v>None</v>
      </c>
      <c r="Z1074" s="892"/>
      <c r="AC1074" t="b">
        <f ca="1">OR(AD1074:AE1074)</f>
        <v>0</v>
      </c>
      <c r="AD1074" t="b">
        <f ca="1">T1074</f>
        <v>0</v>
      </c>
      <c r="AE1074" t="b">
        <f>AND(R1074,NOT(W1074))</f>
        <v>0</v>
      </c>
      <c r="AF1074" t="b">
        <f>AND(AE1074,NOT(Q1074))</f>
        <v>0</v>
      </c>
      <c r="AL1074" t="str">
        <f t="shared" ref="AL1074" si="302">SUBSTITUTE(SUBSTITUTE(SUBSTITUTE("vpa"&amp;$B1074&amp;$C1074&amp;$D1074&amp;$E1074&amp;$F1074,".","_"),"(","_"),")","")</f>
        <v>vpa703_4_1</v>
      </c>
      <c r="AM1074">
        <f>M1074</f>
        <v>6</v>
      </c>
      <c r="AN1074" t="str">
        <f>SUBSTITUTE(SUBSTITUTE(SUBSTITUTE("vpc"&amp;$B1074&amp;$C1074&amp;$D1074&amp;$E1074&amp;$F1074,".","_"),"(","_"),")","")</f>
        <v>vpc703_4_1</v>
      </c>
      <c r="AO1074">
        <f ca="1">O1074</f>
        <v>0</v>
      </c>
      <c r="AP1074" t="str">
        <f>SUBSTITUTE(SUBSTITUTE(SUBSTITUTE("vch"&amp;$B1074&amp;$C1074&amp;$D1074&amp;$E1074&amp;$F1074,".","_"),"(","_"),")","")</f>
        <v>vch703_4_1</v>
      </c>
      <c r="AQ1074">
        <f>W1074</f>
        <v>0</v>
      </c>
      <c r="AR1074" t="str">
        <f>SUBSTITUTE(SUBSTITUTE(SUBSTITUTE("vnt"&amp;$B1074&amp;$C1074&amp;$D1074&amp;$E1074&amp;$F1074,".","_"),"(","_"),")","")</f>
        <v>vnt703_4_1</v>
      </c>
      <c r="AS1074">
        <f>X1074</f>
        <v>0</v>
      </c>
      <c r="BJ1074" s="573" t="s">
        <v>4670</v>
      </c>
    </row>
    <row r="1075" spans="1:62" x14ac:dyDescent="0.35">
      <c r="A1075" s="403">
        <v>7</v>
      </c>
      <c r="B1075" s="609" t="s">
        <v>1103</v>
      </c>
      <c r="C1075" s="613"/>
      <c r="D1075" s="604"/>
      <c r="E1075" s="604"/>
      <c r="F1075" s="604"/>
      <c r="I1075" s="155"/>
      <c r="J1075" s="214"/>
      <c r="K1075" s="214"/>
      <c r="L1075" s="121" t="s">
        <v>1105</v>
      </c>
      <c r="M1075" s="691"/>
      <c r="N1075" s="697"/>
      <c r="O1075" s="697"/>
      <c r="X1075" s="688"/>
      <c r="Y1075" s="891"/>
      <c r="Z1075" s="892"/>
      <c r="BJ1075" s="573" t="s">
        <v>4670</v>
      </c>
    </row>
    <row r="1076" spans="1:62" x14ac:dyDescent="0.35">
      <c r="A1076" s="403">
        <v>7</v>
      </c>
      <c r="B1076" s="609" t="s">
        <v>1106</v>
      </c>
      <c r="C1076" s="613"/>
      <c r="D1076" s="604"/>
      <c r="E1076" s="604"/>
      <c r="F1076" s="604"/>
      <c r="G1076" s="403" t="str">
        <f ca="1">IF(N1076&gt;0,"P","")</f>
        <v/>
      </c>
      <c r="H1076" s="403" t="s">
        <v>4323</v>
      </c>
      <c r="I1076" s="135" t="s">
        <v>1106</v>
      </c>
      <c r="J1076" s="320"/>
      <c r="K1076" s="320"/>
      <c r="L1076" s="358" t="s">
        <v>1107</v>
      </c>
      <c r="M1076" s="712">
        <f>IFERROR(INDEX({8,8,4,2,1,0,0,0},BF781),0)</f>
        <v>2</v>
      </c>
      <c r="N1076" s="713">
        <f ca="1">'Ch7'!O312</f>
        <v>0</v>
      </c>
      <c r="O1076" s="713">
        <f ca="1">M1076*S1076*W1076</f>
        <v>0</v>
      </c>
      <c r="P1076" t="b">
        <v>1</v>
      </c>
      <c r="Q1076" t="b">
        <v>1</v>
      </c>
      <c r="R1076" t="b">
        <v>0</v>
      </c>
      <c r="S1076" t="b">
        <f ca="1">AND(S777=2,NOT(T1073),AY805=INDEX(ddCDucts,2))</f>
        <v>0</v>
      </c>
      <c r="T1076" t="b">
        <f ca="1">AND(NOT(S1076),W1076=TRUE)</f>
        <v>0</v>
      </c>
      <c r="W1076" s="17"/>
      <c r="X1076" s="688"/>
      <c r="Y1076" s="891" t="str">
        <f>IF(LEN('Ch7'!X312)=0,"None",'Ch7'!X312)</f>
        <v>None</v>
      </c>
      <c r="Z1076" s="892"/>
      <c r="AC1076" t="b">
        <f ca="1">OR(AD1076:AE1076)</f>
        <v>0</v>
      </c>
      <c r="AD1076" t="b">
        <f ca="1">T1076</f>
        <v>0</v>
      </c>
      <c r="AE1076" t="b">
        <f>AND(R1076,NOT(W1076))</f>
        <v>0</v>
      </c>
      <c r="AF1076" t="b">
        <f>AND(AE1076,NOT(Q1076))</f>
        <v>0</v>
      </c>
      <c r="AL1076" t="str">
        <f t="shared" ref="AL1076" si="303">SUBSTITUTE(SUBSTITUTE(SUBSTITUTE("vpa"&amp;$B1076&amp;$C1076&amp;$D1076&amp;$E1076&amp;$F1076,".","_"),"(","_"),")","")</f>
        <v>vpa703_4_2</v>
      </c>
      <c r="AM1076">
        <f>M1076</f>
        <v>2</v>
      </c>
      <c r="AN1076" t="str">
        <f>SUBSTITUTE(SUBSTITUTE(SUBSTITUTE("vpc"&amp;$B1076&amp;$C1076&amp;$D1076&amp;$E1076&amp;$F1076,".","_"),"(","_"),")","")</f>
        <v>vpc703_4_2</v>
      </c>
      <c r="AO1076">
        <f ca="1">O1076</f>
        <v>0</v>
      </c>
      <c r="AP1076" t="str">
        <f>SUBSTITUTE(SUBSTITUTE(SUBSTITUTE("vch"&amp;$B1076&amp;$C1076&amp;$D1076&amp;$E1076&amp;$F1076,".","_"),"(","_"),")","")</f>
        <v>vch703_4_2</v>
      </c>
      <c r="AQ1076">
        <f>W1076</f>
        <v>0</v>
      </c>
      <c r="AR1076" t="str">
        <f>SUBSTITUTE(SUBSTITUTE(SUBSTITUTE("vnt"&amp;$B1076&amp;$C1076&amp;$D1076&amp;$E1076&amp;$F1076,".","_"),"(","_"),")","")</f>
        <v>vnt703_4_2</v>
      </c>
      <c r="AS1076">
        <f>X1076</f>
        <v>0</v>
      </c>
      <c r="BJ1076" s="573" t="s">
        <v>4670</v>
      </c>
    </row>
    <row r="1077" spans="1:62" x14ac:dyDescent="0.35">
      <c r="A1077" s="403">
        <v>7</v>
      </c>
      <c r="B1077" s="609" t="s">
        <v>1106</v>
      </c>
      <c r="C1077" s="613"/>
      <c r="D1077" s="604"/>
      <c r="E1077" s="604"/>
      <c r="F1077" s="604"/>
      <c r="I1077" s="155"/>
      <c r="J1077" s="214"/>
      <c r="K1077" s="214"/>
      <c r="L1077" s="121" t="s">
        <v>1105</v>
      </c>
      <c r="M1077" s="691"/>
      <c r="N1077" s="697"/>
      <c r="O1077" s="697"/>
      <c r="X1077" s="688"/>
      <c r="Y1077" s="891"/>
      <c r="Z1077" s="892"/>
      <c r="BJ1077" s="573" t="s">
        <v>4670</v>
      </c>
    </row>
    <row r="1078" spans="1:62" x14ac:dyDescent="0.35">
      <c r="A1078" s="403">
        <v>7</v>
      </c>
      <c r="B1078" s="609" t="s">
        <v>1108</v>
      </c>
      <c r="C1078" s="613"/>
      <c r="D1078" s="604"/>
      <c r="E1078" s="604"/>
      <c r="F1078" s="604"/>
      <c r="G1078" s="403" t="str">
        <f ca="1">IF(N1078&gt;0,"P","")</f>
        <v>P</v>
      </c>
      <c r="H1078" s="403" t="s">
        <v>4324</v>
      </c>
      <c r="I1078" s="32" t="s">
        <v>1108</v>
      </c>
      <c r="J1078" s="104"/>
      <c r="K1078" s="104"/>
      <c r="L1078" s="110" t="s">
        <v>1109</v>
      </c>
      <c r="M1078" s="43">
        <f>IFERROR(INDEX({8,10,8,8,8,4,4,4},BF781),0)</f>
        <v>8</v>
      </c>
      <c r="N1078" s="85">
        <f ca="1">'Ch7'!O314</f>
        <v>8</v>
      </c>
      <c r="O1078" s="85">
        <f ca="1">M1078*S1079*S1080*S1082*W1079*W1080*W1082</f>
        <v>0</v>
      </c>
      <c r="Z1078" s="543"/>
      <c r="AL1078" t="str">
        <f t="shared" ref="AL1078" si="304">SUBSTITUTE(SUBSTITUTE(SUBSTITUTE("vpa"&amp;$B1078&amp;$C1078&amp;$D1078&amp;$E1078&amp;$F1078,".","_"),"(","_"),")","")</f>
        <v>vpa703_4_3</v>
      </c>
      <c r="AM1078">
        <f>M1078</f>
        <v>8</v>
      </c>
      <c r="AN1078" t="str">
        <f>SUBSTITUTE(SUBSTITUTE(SUBSTITUTE("vpc"&amp;$B1078&amp;$C1078&amp;$D1078&amp;$E1078&amp;$F1078,".","_"),"(","_"),")","")</f>
        <v>vpc703_4_3</v>
      </c>
      <c r="AO1078">
        <f ca="1">O1078</f>
        <v>0</v>
      </c>
      <c r="BJ1078" s="573" t="s">
        <v>4670</v>
      </c>
    </row>
    <row r="1079" spans="1:62" x14ac:dyDescent="0.35">
      <c r="A1079" s="403">
        <v>7</v>
      </c>
      <c r="B1079" s="609" t="s">
        <v>1108</v>
      </c>
      <c r="C1079" s="613"/>
      <c r="D1079" s="604" t="s">
        <v>270</v>
      </c>
      <c r="E1079" s="604"/>
      <c r="F1079" s="604"/>
      <c r="G1079" s="403" t="str">
        <f t="shared" ref="G1079:G1082" ca="1" si="305">G1078</f>
        <v>P</v>
      </c>
      <c r="H1079" s="403" t="s">
        <v>4324</v>
      </c>
      <c r="I1079" s="4"/>
      <c r="J1079" s="359" t="s">
        <v>270</v>
      </c>
      <c r="K1079" s="214"/>
      <c r="L1079" s="214" t="s">
        <v>1110</v>
      </c>
      <c r="M1079" s="43"/>
      <c r="N1079" s="85"/>
      <c r="O1079" s="85"/>
      <c r="P1079" t="b">
        <v>1</v>
      </c>
      <c r="Q1079" t="b">
        <v>0</v>
      </c>
      <c r="R1079" t="b">
        <v>0</v>
      </c>
      <c r="S1079" t="b">
        <f ca="1">AND(S777=2,NOT(T1073),OR(AY801&lt;&gt;INDEX(ddHDucts,2),AY805&lt;&gt;INDEX(ddCDucts,2)))</f>
        <v>0</v>
      </c>
      <c r="T1079" t="b">
        <f ca="1">AND(NOT(S1079),W1079=TRUE)</f>
        <v>0</v>
      </c>
      <c r="W1079" s="17"/>
      <c r="X1079" s="39"/>
      <c r="Y1079" s="200" t="str">
        <f>IF(LEN('Ch7'!X315)=0,"None",'Ch7'!X315)</f>
        <v>None</v>
      </c>
      <c r="Z1079" s="563"/>
      <c r="AC1079" t="b">
        <f ca="1">OR(AD1079:AE1079)</f>
        <v>0</v>
      </c>
      <c r="AD1079" t="b">
        <f ca="1">T1079</f>
        <v>0</v>
      </c>
      <c r="AE1079" t="b">
        <f>AND(R1079,NOT(W1079))</f>
        <v>0</v>
      </c>
      <c r="AF1079" t="b">
        <f>AND(AE1079,NOT(Q1079))</f>
        <v>0</v>
      </c>
      <c r="AP1079" t="str">
        <f t="shared" ref="AP1079:AP1080" si="306">SUBSTITUTE(SUBSTITUTE(SUBSTITUTE("vch"&amp;$B1079&amp;$C1079&amp;$D1079&amp;$E1079&amp;$F1079,".","_"),"(","_"),")","")</f>
        <v>vch703_4_3_1</v>
      </c>
      <c r="AQ1079">
        <f>W1079</f>
        <v>0</v>
      </c>
      <c r="AR1079" t="str">
        <f t="shared" ref="AR1079:AR1080" si="307">SUBSTITUTE(SUBSTITUTE(SUBSTITUTE("vnt"&amp;$B1079&amp;$C1079&amp;$D1079&amp;$E1079&amp;$F1079,".","_"),"(","_"),")","")</f>
        <v>vnt703_4_3_1</v>
      </c>
      <c r="AS1079">
        <f>X1079</f>
        <v>0</v>
      </c>
      <c r="BJ1079" s="573" t="s">
        <v>4670</v>
      </c>
    </row>
    <row r="1080" spans="1:62" x14ac:dyDescent="0.35">
      <c r="A1080" s="403">
        <v>7</v>
      </c>
      <c r="B1080" s="609" t="s">
        <v>1108</v>
      </c>
      <c r="C1080" s="613"/>
      <c r="D1080" s="604" t="s">
        <v>272</v>
      </c>
      <c r="E1080" s="604"/>
      <c r="F1080" s="604"/>
      <c r="G1080" s="403" t="str">
        <f t="shared" ca="1" si="305"/>
        <v>P</v>
      </c>
      <c r="H1080" s="403" t="s">
        <v>4324</v>
      </c>
      <c r="I1080" s="4"/>
      <c r="J1080" s="378" t="s">
        <v>272</v>
      </c>
      <c r="K1080" s="320"/>
      <c r="L1080" s="742" t="s">
        <v>1111</v>
      </c>
      <c r="M1080" s="43"/>
      <c r="N1080" s="85"/>
      <c r="O1080" s="85"/>
      <c r="P1080" t="b">
        <v>1</v>
      </c>
      <c r="Q1080" t="b">
        <v>0</v>
      </c>
      <c r="R1080" t="b">
        <v>0</v>
      </c>
      <c r="S1080" t="b">
        <f ca="1">AND(S777=2,NOT(T1073),OR(AY801&lt;&gt;INDEX(ddHDucts,2),AY805&lt;&gt;INDEX(ddCDucts,2)),W1084&lt;&gt;INDEX(INDIRECT(U1084),1),W1084&lt;&gt;INDEX(INDIRECT(U1084),3))</f>
        <v>0</v>
      </c>
      <c r="T1080" t="b">
        <f ca="1">AND(NOT(S1080),W1080=TRUE)</f>
        <v>0</v>
      </c>
      <c r="W1080" s="17"/>
      <c r="X1080" s="688"/>
      <c r="Y1080" s="891" t="str">
        <f>IF(LEN('Ch7'!X316)=0,"None",'Ch7'!X316)</f>
        <v>None</v>
      </c>
      <c r="Z1080" s="892"/>
      <c r="AC1080" t="b">
        <f ca="1">OR(AD1080:AE1080)</f>
        <v>0</v>
      </c>
      <c r="AD1080" t="b">
        <f ca="1">T1080</f>
        <v>0</v>
      </c>
      <c r="AE1080" t="b">
        <f>AND(R1080,NOT(W1080))</f>
        <v>0</v>
      </c>
      <c r="AF1080" t="b">
        <f>AND(AE1080,NOT(Q1080))</f>
        <v>0</v>
      </c>
      <c r="AP1080" t="str">
        <f t="shared" si="306"/>
        <v>vch703_4_3_2</v>
      </c>
      <c r="AQ1080">
        <f>W1080</f>
        <v>0</v>
      </c>
      <c r="AR1080" t="str">
        <f t="shared" si="307"/>
        <v>vnt703_4_3_2</v>
      </c>
      <c r="AS1080">
        <f>X1080</f>
        <v>0</v>
      </c>
      <c r="BJ1080" s="573" t="s">
        <v>4670</v>
      </c>
    </row>
    <row r="1081" spans="1:62" x14ac:dyDescent="0.35">
      <c r="A1081" s="403">
        <v>7</v>
      </c>
      <c r="B1081" s="609" t="s">
        <v>1108</v>
      </c>
      <c r="C1081" s="613"/>
      <c r="D1081" s="604" t="s">
        <v>272</v>
      </c>
      <c r="E1081" s="604"/>
      <c r="F1081" s="604"/>
      <c r="G1081" s="403" t="str">
        <f t="shared" ca="1" si="305"/>
        <v>P</v>
      </c>
      <c r="H1081" s="403" t="s">
        <v>4324</v>
      </c>
      <c r="I1081" s="4"/>
      <c r="J1081" s="214"/>
      <c r="K1081" s="214"/>
      <c r="L1081" s="709"/>
      <c r="M1081" s="43"/>
      <c r="N1081" s="85"/>
      <c r="O1081" s="85"/>
      <c r="X1081" s="688"/>
      <c r="Y1081" s="891"/>
      <c r="Z1081" s="892"/>
      <c r="BJ1081" s="573" t="s">
        <v>4670</v>
      </c>
    </row>
    <row r="1082" spans="1:62" x14ac:dyDescent="0.35">
      <c r="A1082" s="403">
        <v>7</v>
      </c>
      <c r="B1082" s="609" t="s">
        <v>1108</v>
      </c>
      <c r="C1082" s="613"/>
      <c r="D1082" s="604" t="s">
        <v>274</v>
      </c>
      <c r="E1082" s="604"/>
      <c r="F1082" s="604"/>
      <c r="G1082" s="403" t="str">
        <f t="shared" ca="1" si="305"/>
        <v>P</v>
      </c>
      <c r="H1082" s="403" t="s">
        <v>4324</v>
      </c>
      <c r="I1082" s="4"/>
      <c r="J1082" s="175" t="s">
        <v>274</v>
      </c>
      <c r="K1082" s="104"/>
      <c r="L1082" s="104" t="s">
        <v>1112</v>
      </c>
      <c r="M1082" s="43"/>
      <c r="N1082" s="85"/>
      <c r="O1082" s="85"/>
      <c r="P1082" t="b">
        <v>1</v>
      </c>
      <c r="Q1082" t="b">
        <v>0</v>
      </c>
      <c r="R1082" t="b">
        <v>0</v>
      </c>
      <c r="S1082" t="b">
        <f ca="1">AND(S777=2,NOT(T1073),OR(AY801&lt;&gt;INDEX(ddHDucts,2),AY805&lt;&gt;INDEX(ddCDucts,2)))</f>
        <v>0</v>
      </c>
      <c r="T1082" t="b">
        <f ca="1">AND(NOT(S1082),W1082=TRUE)</f>
        <v>0</v>
      </c>
      <c r="W1082" s="17"/>
      <c r="X1082" s="688"/>
      <c r="Y1082" s="891" t="str">
        <f>IF(LEN('Ch7'!X318)=0,"None",'Ch7'!X318)</f>
        <v>None</v>
      </c>
      <c r="Z1082" s="892"/>
      <c r="AC1082" t="b">
        <f ca="1">OR(AD1082:AE1082)</f>
        <v>0</v>
      </c>
      <c r="AD1082" t="b">
        <f ca="1">T1082</f>
        <v>0</v>
      </c>
      <c r="AE1082" t="b">
        <f>AND(R1082,NOT(W1082))</f>
        <v>0</v>
      </c>
      <c r="AF1082" t="b">
        <f>AND(AE1082,NOT(Q1082))</f>
        <v>0</v>
      </c>
      <c r="AP1082" t="str">
        <f>SUBSTITUTE(SUBSTITUTE(SUBSTITUTE("vch"&amp;$B1082&amp;$C1082&amp;$D1082&amp;$E1082&amp;$F1082,".","_"),"(","_"),")","")</f>
        <v>vch703_4_3_3</v>
      </c>
      <c r="AQ1082">
        <f>W1082</f>
        <v>0</v>
      </c>
      <c r="AR1082" t="str">
        <f>SUBSTITUTE(SUBSTITUTE(SUBSTITUTE("vnt"&amp;$B1082&amp;$C1082&amp;$D1082&amp;$E1082&amp;$F1082,".","_"),"(","_"),")","")</f>
        <v>vnt703_4_3_3</v>
      </c>
      <c r="AS1082">
        <f>X1082</f>
        <v>0</v>
      </c>
      <c r="BJ1082" s="573" t="s">
        <v>4670</v>
      </c>
    </row>
    <row r="1083" spans="1:62" x14ac:dyDescent="0.35">
      <c r="A1083" s="403">
        <v>7</v>
      </c>
      <c r="B1083" s="609" t="s">
        <v>1108</v>
      </c>
      <c r="C1083" s="613"/>
      <c r="D1083" s="604" t="s">
        <v>274</v>
      </c>
      <c r="E1083" s="604"/>
      <c r="F1083" s="604"/>
      <c r="I1083" s="155"/>
      <c r="J1083" s="214"/>
      <c r="K1083" s="214"/>
      <c r="L1083" s="121" t="s">
        <v>1105</v>
      </c>
      <c r="M1083" s="43"/>
      <c r="N1083" s="85"/>
      <c r="O1083" s="85"/>
      <c r="X1083" s="688"/>
      <c r="Y1083" s="891"/>
      <c r="Z1083" s="892"/>
      <c r="BJ1083" s="573" t="s">
        <v>4670</v>
      </c>
    </row>
    <row r="1084" spans="1:62" x14ac:dyDescent="0.35">
      <c r="A1084" s="403">
        <v>7</v>
      </c>
      <c r="B1084" s="609" t="s">
        <v>1113</v>
      </c>
      <c r="C1084" s="613"/>
      <c r="D1084" s="604"/>
      <c r="E1084" s="604"/>
      <c r="F1084" s="604"/>
      <c r="G1084" s="403" t="str">
        <f ca="1">IF(N1084&gt;0,"P","")</f>
        <v/>
      </c>
      <c r="H1084" s="403" t="s">
        <v>4325</v>
      </c>
      <c r="I1084" s="32" t="s">
        <v>1113</v>
      </c>
      <c r="J1084" s="104"/>
      <c r="K1084" s="104"/>
      <c r="L1084" s="706" t="s">
        <v>1114</v>
      </c>
      <c r="M1084" s="43"/>
      <c r="N1084" s="696">
        <f ca="1">'Ch7'!O320</f>
        <v>0</v>
      </c>
      <c r="O1084" s="696">
        <f ca="1">IFERROR(INDEX(M1090:M1092,MATCH(W1084,INDIRECT(U1084),0)),0)*S1084</f>
        <v>0</v>
      </c>
      <c r="P1084" t="b">
        <v>0</v>
      </c>
      <c r="Q1084" t="b">
        <v>1</v>
      </c>
      <c r="R1084" t="b">
        <v>0</v>
      </c>
      <c r="S1084" t="b">
        <f ca="1">AND(S777=2,OR(AY801&lt;&gt;INDEX(ddHDucts,2),AY805&lt;&gt;INDEX(ddCDucts,2)),W1080&lt;&gt;TRUE,LEN(W1309)=0)</f>
        <v>0</v>
      </c>
      <c r="T1084" t="b">
        <f ca="1">AND(NOT(S1084),LEN(W1084)&gt;0)</f>
        <v>0</v>
      </c>
      <c r="U1084" t="str">
        <f>SUBSTITUTE(SUBSTITUTE(SUBSTITUTE("dd"&amp;B1085&amp;C1085&amp;D1085&amp;E1085&amp;F1085,".","_"),"(","_"),")","")</f>
        <v>dd703_4_4</v>
      </c>
      <c r="W1084" s="9"/>
      <c r="X1084" s="688"/>
      <c r="Y1084" s="891" t="str">
        <f>IF(LEN('Ch7'!X320)=0,"None",'Ch7'!X320)</f>
        <v>None</v>
      </c>
      <c r="Z1084" s="892"/>
      <c r="AC1084" t="b">
        <f ca="1">OR(AD1084:AE1084)</f>
        <v>0</v>
      </c>
      <c r="AD1084" t="b">
        <f ca="1">T1084</f>
        <v>0</v>
      </c>
      <c r="AE1084" t="b">
        <f>AND(R1084,OR(W1084="Not Met",W1084=""))</f>
        <v>0</v>
      </c>
      <c r="AF1084" t="b">
        <f>AND(AE1084,NOT(Q1084))</f>
        <v>0</v>
      </c>
      <c r="AN1084" t="str">
        <f>SUBSTITUTE(SUBSTITUTE(SUBSTITUTE("vpc"&amp;$B1084&amp;$C1084&amp;$D1084&amp;$E1084&amp;$F1084,".","_"),"(","_"),")","")</f>
        <v>vpc703_4_4</v>
      </c>
      <c r="AO1084">
        <f ca="1">O1084</f>
        <v>0</v>
      </c>
      <c r="AP1084" t="str">
        <f>SUBSTITUTE(SUBSTITUTE(SUBSTITUTE("vch"&amp;$B1084&amp;$C1084&amp;$D1084&amp;$E1084&amp;$F1084,".","_"),"(","_"),")","")</f>
        <v>vch703_4_4</v>
      </c>
      <c r="AQ1084">
        <f>W1084</f>
        <v>0</v>
      </c>
      <c r="AR1084" t="str">
        <f>SUBSTITUTE(SUBSTITUTE(SUBSTITUTE("vnt"&amp;$B1084&amp;$C1084&amp;$D1084&amp;$E1084&amp;$F1084,".","_"),"(","_"),")","")</f>
        <v>vnt703_4_4</v>
      </c>
      <c r="AS1084">
        <f>X1084</f>
        <v>0</v>
      </c>
      <c r="BJ1084" s="573" t="s">
        <v>4670</v>
      </c>
    </row>
    <row r="1085" spans="1:62" x14ac:dyDescent="0.35">
      <c r="A1085" s="403">
        <v>7</v>
      </c>
      <c r="B1085" s="609" t="s">
        <v>1113</v>
      </c>
      <c r="C1085" s="613"/>
      <c r="D1085" s="604"/>
      <c r="E1085" s="604"/>
      <c r="F1085" s="604"/>
      <c r="G1085" s="403" t="str">
        <f t="shared" ref="G1085:G1092" ca="1" si="308">G1084</f>
        <v/>
      </c>
      <c r="H1085" s="403" t="s">
        <v>4325</v>
      </c>
      <c r="I1085" s="4"/>
      <c r="J1085" s="104"/>
      <c r="K1085" s="104"/>
      <c r="L1085" s="706"/>
      <c r="M1085" s="43"/>
      <c r="N1085" s="696"/>
      <c r="O1085" s="696"/>
      <c r="X1085" s="688"/>
      <c r="Y1085" s="891"/>
      <c r="Z1085" s="892"/>
      <c r="BJ1085" s="573" t="s">
        <v>4670</v>
      </c>
    </row>
    <row r="1086" spans="1:62" x14ac:dyDescent="0.35">
      <c r="A1086" s="403">
        <v>7</v>
      </c>
      <c r="B1086" s="609" t="s">
        <v>1113</v>
      </c>
      <c r="C1086" s="613"/>
      <c r="D1086" s="604"/>
      <c r="E1086" s="604"/>
      <c r="F1086" s="604"/>
      <c r="G1086" s="403" t="str">
        <f t="shared" ca="1" si="308"/>
        <v/>
      </c>
      <c r="H1086" s="403" t="s">
        <v>4325</v>
      </c>
      <c r="I1086" s="4"/>
      <c r="J1086" s="104"/>
      <c r="K1086" s="104"/>
      <c r="L1086" s="706"/>
      <c r="M1086" s="43"/>
      <c r="N1086" s="696"/>
      <c r="O1086" s="696"/>
      <c r="X1086" s="688"/>
      <c r="Y1086" s="891"/>
      <c r="Z1086" s="892"/>
      <c r="BJ1086" s="573" t="s">
        <v>4670</v>
      </c>
    </row>
    <row r="1087" spans="1:62" x14ac:dyDescent="0.35">
      <c r="A1087" s="403">
        <v>7</v>
      </c>
      <c r="B1087" s="609" t="s">
        <v>1113</v>
      </c>
      <c r="C1087" s="613"/>
      <c r="D1087" s="604"/>
      <c r="E1087" s="604"/>
      <c r="F1087" s="604"/>
      <c r="G1087" s="403" t="str">
        <f t="shared" ca="1" si="308"/>
        <v/>
      </c>
      <c r="H1087" s="403" t="s">
        <v>4325</v>
      </c>
      <c r="I1087" s="4"/>
      <c r="J1087" s="104"/>
      <c r="K1087" s="104"/>
      <c r="L1087" s="706"/>
      <c r="M1087" s="43"/>
      <c r="N1087" s="696"/>
      <c r="O1087" s="696"/>
      <c r="X1087" s="688"/>
      <c r="Y1087" s="891"/>
      <c r="Z1087" s="892"/>
      <c r="BJ1087" s="573" t="s">
        <v>4670</v>
      </c>
    </row>
    <row r="1088" spans="1:62" x14ac:dyDescent="0.35">
      <c r="A1088" s="403">
        <v>7</v>
      </c>
      <c r="B1088" s="609" t="s">
        <v>1113</v>
      </c>
      <c r="C1088" s="613"/>
      <c r="D1088" s="604"/>
      <c r="E1088" s="604"/>
      <c r="F1088" s="604"/>
      <c r="G1088" s="403" t="str">
        <f t="shared" ca="1" si="308"/>
        <v/>
      </c>
      <c r="H1088" s="403" t="s">
        <v>4325</v>
      </c>
      <c r="I1088" s="4"/>
      <c r="J1088" s="104"/>
      <c r="K1088" s="104"/>
      <c r="L1088" s="706"/>
      <c r="M1088" s="43"/>
      <c r="N1088" s="696"/>
      <c r="O1088" s="696"/>
      <c r="X1088" s="688"/>
      <c r="Y1088" s="891"/>
      <c r="Z1088" s="892"/>
      <c r="BJ1088" s="573" t="s">
        <v>4670</v>
      </c>
    </row>
    <row r="1089" spans="1:62" x14ac:dyDescent="0.35">
      <c r="A1089" s="403">
        <v>7</v>
      </c>
      <c r="B1089" s="609" t="s">
        <v>1113</v>
      </c>
      <c r="C1089" s="613"/>
      <c r="D1089" s="604"/>
      <c r="E1089" s="604"/>
      <c r="F1089" s="604"/>
      <c r="G1089" s="403" t="str">
        <f t="shared" ca="1" si="308"/>
        <v/>
      </c>
      <c r="H1089" s="403" t="s">
        <v>4325</v>
      </c>
      <c r="I1089" s="4"/>
      <c r="J1089" s="104"/>
      <c r="K1089" s="104"/>
      <c r="L1089" s="107" t="s">
        <v>1115</v>
      </c>
      <c r="M1089" s="43"/>
      <c r="N1089" s="85"/>
      <c r="O1089" s="85"/>
      <c r="X1089" s="688"/>
      <c r="Y1089" s="891"/>
      <c r="Z1089" s="892"/>
      <c r="BJ1089" s="573" t="s">
        <v>4670</v>
      </c>
    </row>
    <row r="1090" spans="1:62" x14ac:dyDescent="0.35">
      <c r="A1090" s="403">
        <v>7</v>
      </c>
      <c r="B1090" s="609" t="s">
        <v>1113</v>
      </c>
      <c r="C1090" s="613"/>
      <c r="D1090" s="604" t="s">
        <v>270</v>
      </c>
      <c r="E1090" s="604"/>
      <c r="F1090" s="604"/>
      <c r="G1090" s="403" t="str">
        <f t="shared" ca="1" si="308"/>
        <v/>
      </c>
      <c r="H1090" s="403" t="s">
        <v>4325</v>
      </c>
      <c r="I1090" s="4"/>
      <c r="J1090" s="359" t="s">
        <v>270</v>
      </c>
      <c r="K1090" s="214"/>
      <c r="L1090" s="214" t="s">
        <v>3902</v>
      </c>
      <c r="M1090" s="198">
        <f>IFERROR(INDEX({4,5,4,3,2,1,1,1},BF781),0)</f>
        <v>3</v>
      </c>
      <c r="N1090" s="85"/>
      <c r="O1090" s="85"/>
      <c r="X1090" s="688"/>
      <c r="Y1090" s="891"/>
      <c r="Z1090" s="892"/>
      <c r="AL1090" t="str">
        <f t="shared" ref="AL1090:AL1092" si="309">SUBSTITUTE(SUBSTITUTE(SUBSTITUTE("vpa"&amp;$B1090&amp;$C1090&amp;$D1090&amp;$E1090&amp;$F1090,".","_"),"(","_"),")","")</f>
        <v>vpa703_4_4_1</v>
      </c>
      <c r="AM1090">
        <f>M1090</f>
        <v>3</v>
      </c>
      <c r="BJ1090" s="573" t="s">
        <v>4670</v>
      </c>
    </row>
    <row r="1091" spans="1:62" x14ac:dyDescent="0.35">
      <c r="A1091" s="403">
        <v>7</v>
      </c>
      <c r="B1091" s="609" t="s">
        <v>1113</v>
      </c>
      <c r="C1091" s="613"/>
      <c r="D1091" s="604" t="s">
        <v>272</v>
      </c>
      <c r="E1091" s="604"/>
      <c r="F1091" s="604"/>
      <c r="G1091" s="403" t="str">
        <f t="shared" ca="1" si="308"/>
        <v/>
      </c>
      <c r="H1091" s="403" t="s">
        <v>4325</v>
      </c>
      <c r="I1091" s="4"/>
      <c r="J1091" s="379" t="s">
        <v>272</v>
      </c>
      <c r="K1091" s="220"/>
      <c r="L1091" s="220" t="s">
        <v>3903</v>
      </c>
      <c r="M1091" s="153">
        <f>IFERROR(INDEX({1,1,1,1,1,1,1,1},BF781),0)</f>
        <v>1</v>
      </c>
      <c r="N1091" s="85"/>
      <c r="O1091" s="85"/>
      <c r="X1091" s="688"/>
      <c r="Y1091" s="891"/>
      <c r="Z1091" s="892"/>
      <c r="AL1091" t="str">
        <f t="shared" si="309"/>
        <v>vpa703_4_4_2</v>
      </c>
      <c r="AM1091">
        <f>M1091</f>
        <v>1</v>
      </c>
      <c r="BJ1091" s="573" t="s">
        <v>4670</v>
      </c>
    </row>
    <row r="1092" spans="1:62" ht="15" thickBot="1" x14ac:dyDescent="0.4">
      <c r="A1092" s="403">
        <v>7</v>
      </c>
      <c r="B1092" s="609" t="s">
        <v>1113</v>
      </c>
      <c r="C1092" s="613"/>
      <c r="D1092" s="604" t="s">
        <v>274</v>
      </c>
      <c r="E1092" s="604"/>
      <c r="F1092" s="604"/>
      <c r="G1092" s="403" t="str">
        <f t="shared" ca="1" si="308"/>
        <v/>
      </c>
      <c r="H1092" s="403" t="s">
        <v>4325</v>
      </c>
      <c r="I1092" s="183"/>
      <c r="J1092" s="348" t="s">
        <v>274</v>
      </c>
      <c r="K1092" s="223"/>
      <c r="L1092" s="223" t="s">
        <v>3904</v>
      </c>
      <c r="M1092" s="270">
        <f>IFERROR(INDEX({3,4,3,2,1,1,1,1},BF781),0)</f>
        <v>2</v>
      </c>
      <c r="N1092" s="184"/>
      <c r="O1092" s="184"/>
      <c r="P1092" s="58"/>
      <c r="Q1092" s="58"/>
      <c r="R1092" s="58"/>
      <c r="S1092" s="58"/>
      <c r="T1092" s="58"/>
      <c r="U1092" s="58"/>
      <c r="V1092" s="58"/>
      <c r="W1092" s="58"/>
      <c r="X1092" s="689"/>
      <c r="Y1092" s="905"/>
      <c r="Z1092" s="895"/>
      <c r="AL1092" t="str">
        <f t="shared" si="309"/>
        <v>vpa703_4_4_3</v>
      </c>
      <c r="AM1092">
        <f>M1092</f>
        <v>2</v>
      </c>
      <c r="BJ1092" s="573" t="s">
        <v>4670</v>
      </c>
    </row>
    <row r="1093" spans="1:62" ht="15" thickTop="1" x14ac:dyDescent="0.35">
      <c r="A1093" s="403">
        <v>7</v>
      </c>
      <c r="B1093" s="609">
        <v>703.5</v>
      </c>
      <c r="C1093" s="613"/>
      <c r="D1093" s="604"/>
      <c r="E1093" s="604"/>
      <c r="F1093" s="604"/>
      <c r="G1093" s="600" t="str">
        <f ca="1">IF(COUNTIF(G1097:G1117,"P")&gt;0,"P","")</f>
        <v/>
      </c>
      <c r="H1093" s="403" t="s">
        <v>4323</v>
      </c>
      <c r="I1093" s="32">
        <v>703.5</v>
      </c>
      <c r="J1093" s="104"/>
      <c r="K1093" s="104"/>
      <c r="L1093" s="110" t="s">
        <v>1116</v>
      </c>
      <c r="M1093" s="43"/>
      <c r="N1093" s="85"/>
      <c r="O1093" s="85"/>
      <c r="Z1093" s="543"/>
      <c r="BJ1093" s="573" t="s">
        <v>4670</v>
      </c>
    </row>
    <row r="1094" spans="1:62" x14ac:dyDescent="0.35">
      <c r="A1094" s="403">
        <v>7</v>
      </c>
      <c r="B1094" s="609" t="s">
        <v>1117</v>
      </c>
      <c r="C1094" s="613"/>
      <c r="D1094" s="604"/>
      <c r="E1094" s="604"/>
      <c r="F1094" s="604"/>
      <c r="G1094" s="600" t="str">
        <f ca="1">IF(COUNTIF(G1097:G1100,"P")&gt;0,"P","")</f>
        <v/>
      </c>
      <c r="H1094" s="403" t="s">
        <v>4323</v>
      </c>
      <c r="I1094" s="32" t="s">
        <v>1117</v>
      </c>
      <c r="J1094" s="104"/>
      <c r="K1094" s="104"/>
      <c r="L1094" s="110" t="s">
        <v>1118</v>
      </c>
      <c r="M1094" s="43"/>
      <c r="N1094" s="4"/>
      <c r="O1094" s="4"/>
      <c r="W1094" t="s">
        <v>3882</v>
      </c>
      <c r="X1094" s="688"/>
      <c r="Y1094" s="891" t="str">
        <f>IF(LEN('Ch7'!X330)=0,"None",'Ch7'!X330)</f>
        <v>None</v>
      </c>
      <c r="Z1094" s="892"/>
      <c r="AR1094" t="str">
        <f>SUBSTITUTE(SUBSTITUTE(SUBSTITUTE("vnt"&amp;$B1094&amp;$C1094&amp;$D1094&amp;$E1094&amp;$F1094,".","_"),"(","_"),")","")</f>
        <v>vnt703_5_1</v>
      </c>
      <c r="AS1094">
        <f>X1094</f>
        <v>0</v>
      </c>
      <c r="BJ1094" s="573" t="s">
        <v>4670</v>
      </c>
    </row>
    <row r="1095" spans="1:62" x14ac:dyDescent="0.35">
      <c r="A1095" s="403">
        <v>7</v>
      </c>
      <c r="B1095" s="609" t="s">
        <v>1117</v>
      </c>
      <c r="C1095" s="613"/>
      <c r="D1095" s="604"/>
      <c r="E1095" s="604"/>
      <c r="F1095" s="604"/>
      <c r="G1095" s="403" t="str">
        <f t="shared" ref="G1095" ca="1" si="310">G1094</f>
        <v/>
      </c>
      <c r="H1095" s="403" t="s">
        <v>4323</v>
      </c>
      <c r="I1095" s="4"/>
      <c r="J1095" s="104"/>
      <c r="K1095" s="104"/>
      <c r="L1095" s="105" t="s">
        <v>3901</v>
      </c>
      <c r="M1095" s="43"/>
      <c r="N1095" s="4"/>
      <c r="O1095" s="4"/>
      <c r="P1095" t="b">
        <v>1</v>
      </c>
      <c r="Q1095" t="b">
        <v>1</v>
      </c>
      <c r="R1095" t="b">
        <v>0</v>
      </c>
      <c r="S1095" t="b">
        <f ca="1">AND(S777=2,LEN(W1118)=0)</f>
        <v>0</v>
      </c>
      <c r="T1095" t="b">
        <f ca="1">AND(NOT(S1095),LEN(W1095)&gt;0)</f>
        <v>0</v>
      </c>
      <c r="U1095" t="str">
        <f>SUBSTITUTE(SUBSTITUTE(SUBSTITUTE("dd"&amp;B1095&amp;C1095&amp;D1095&amp;E1095&amp;F1095,".","_"),"(","_"),")","")</f>
        <v>dd703_5_1</v>
      </c>
      <c r="W1095" s="9"/>
      <c r="X1095" s="688"/>
      <c r="Y1095" s="891"/>
      <c r="Z1095" s="892"/>
      <c r="AC1095" t="b">
        <f ca="1">OR(AD1095:AE1095)</f>
        <v>0</v>
      </c>
      <c r="AD1095" t="b">
        <f ca="1">T1095</f>
        <v>0</v>
      </c>
      <c r="AE1095" t="b">
        <f>AND(R1095,OR(W1095="Not Met",W1095=""))</f>
        <v>0</v>
      </c>
      <c r="AF1095" t="b">
        <f>AND(AE1095,NOT(Q1095))</f>
        <v>0</v>
      </c>
      <c r="AP1095" t="str">
        <f>SUBSTITUTE(SUBSTITUTE(SUBSTITUTE("vch"&amp;$B1095&amp;$C1095&amp;$D1095&amp;$E1095&amp;$F1095,".","_"),"(","_"),")","")</f>
        <v>vch703_5_1</v>
      </c>
      <c r="AQ1095">
        <f>W1095</f>
        <v>0</v>
      </c>
      <c r="BJ1095" s="573" t="s">
        <v>4670</v>
      </c>
    </row>
    <row r="1096" spans="1:62" x14ac:dyDescent="0.35">
      <c r="A1096" s="403">
        <v>7</v>
      </c>
      <c r="B1096" s="609" t="s">
        <v>1117</v>
      </c>
      <c r="C1096" s="613"/>
      <c r="D1096" s="604" t="s">
        <v>270</v>
      </c>
      <c r="E1096" s="604"/>
      <c r="F1096" s="604"/>
      <c r="G1096" s="600" t="str">
        <f ca="1">IF(COUNTIF(G1097:G1100,"P")&gt;0,"P","")</f>
        <v/>
      </c>
      <c r="H1096" s="403" t="s">
        <v>4323</v>
      </c>
      <c r="I1096" s="4"/>
      <c r="J1096" s="175" t="s">
        <v>270</v>
      </c>
      <c r="K1096" s="104"/>
      <c r="L1096" s="104" t="s">
        <v>1119</v>
      </c>
      <c r="M1096" s="43"/>
      <c r="N1096" s="85"/>
      <c r="O1096" s="85"/>
      <c r="W1096" t="s">
        <v>3881</v>
      </c>
      <c r="X1096" s="688"/>
      <c r="Y1096" s="891"/>
      <c r="Z1096" s="892"/>
      <c r="BJ1096" s="573" t="s">
        <v>4670</v>
      </c>
    </row>
    <row r="1097" spans="1:62" x14ac:dyDescent="0.35">
      <c r="A1097" s="403">
        <v>7</v>
      </c>
      <c r="B1097" s="609" t="s">
        <v>1117</v>
      </c>
      <c r="C1097" s="613"/>
      <c r="D1097" s="604" t="s">
        <v>270</v>
      </c>
      <c r="E1097" s="604" t="s">
        <v>121</v>
      </c>
      <c r="F1097" s="604"/>
      <c r="G1097" s="403" t="str">
        <f ca="1">IF((N1097+N1100+N1105+N1106+N1107+N1108)&gt;0,"P","")</f>
        <v/>
      </c>
      <c r="H1097" s="403" t="s">
        <v>4323</v>
      </c>
      <c r="I1097" s="4"/>
      <c r="J1097" s="175"/>
      <c r="K1097" s="175" t="s">
        <v>121</v>
      </c>
      <c r="L1097" s="104" t="s">
        <v>1119</v>
      </c>
      <c r="M1097" s="43"/>
      <c r="N1097" s="85">
        <f ca="1">'Ch7'!O333</f>
        <v>0</v>
      </c>
      <c r="O1097" s="85">
        <f ca="1">IFERROR(INDEX(M1098:M1099,MATCH(W1097,{0.67,0.8},1)),0)*S1098*S1095</f>
        <v>0</v>
      </c>
      <c r="P1097" t="b">
        <v>1</v>
      </c>
      <c r="Q1097" t="b">
        <v>1</v>
      </c>
      <c r="R1097" t="b">
        <v>0</v>
      </c>
      <c r="S1097" t="b">
        <f ca="1">AND(S777=2,LEN(W1118)=0)</f>
        <v>0</v>
      </c>
      <c r="T1097" t="b">
        <f ca="1">AND(NOT(S1097),LEN(W1097)&gt;0)</f>
        <v>0</v>
      </c>
      <c r="W1097" s="284"/>
      <c r="X1097" s="688"/>
      <c r="Y1097" s="891"/>
      <c r="Z1097" s="892"/>
      <c r="AC1097" t="b">
        <f ca="1">OR(AD1097:AE1097)</f>
        <v>0</v>
      </c>
      <c r="AD1097" t="b">
        <f ca="1">T1097</f>
        <v>0</v>
      </c>
      <c r="AE1097" t="b">
        <f>AND(R1097,OR(W1097="Not Met",W1097=""))</f>
        <v>0</v>
      </c>
      <c r="AF1097" t="b">
        <f>AND(AE1097,NOT(Q1097))</f>
        <v>0</v>
      </c>
      <c r="AN1097" t="str">
        <f>SUBSTITUTE(SUBSTITUTE(SUBSTITUTE("vpc"&amp;$B1097&amp;$C1097&amp;$D1097&amp;$E1097&amp;$F1097,".","_"),"(","_"),")","")</f>
        <v>vpc703_5_1_1_a</v>
      </c>
      <c r="AO1097">
        <f ca="1">O1097</f>
        <v>0</v>
      </c>
      <c r="AP1097" t="str">
        <f>SUBSTITUTE(SUBSTITUTE(SUBSTITUTE("vch"&amp;$B1097&amp;$C1097&amp;$D1097&amp;$E1097&amp;$F1097,".","_"),"(","_"),")","")</f>
        <v>vch703_5_1_1_a</v>
      </c>
      <c r="AQ1097" s="314">
        <f>W1097</f>
        <v>0</v>
      </c>
      <c r="BJ1097" s="573" t="s">
        <v>4670</v>
      </c>
    </row>
    <row r="1098" spans="1:62" x14ac:dyDescent="0.35">
      <c r="A1098" s="403">
        <v>7</v>
      </c>
      <c r="B1098" s="609" t="s">
        <v>1117</v>
      </c>
      <c r="C1098" s="613"/>
      <c r="D1098" s="604" t="s">
        <v>270</v>
      </c>
      <c r="E1098" s="604" t="s">
        <v>121</v>
      </c>
      <c r="F1098" s="604" t="s">
        <v>121</v>
      </c>
      <c r="G1098" s="403" t="str">
        <f ca="1">IF(N1097&gt;0,"P","")</f>
        <v/>
      </c>
      <c r="H1098" s="605" t="s">
        <v>4323</v>
      </c>
      <c r="I1098" s="4"/>
      <c r="J1098" s="175"/>
      <c r="K1098" s="175"/>
      <c r="L1098" s="104" t="s">
        <v>3889</v>
      </c>
      <c r="M1098" s="43">
        <f>IFERROR(INDEX({3,3,2,2,2,2,2,1},BF781),0)*IF(T1073,2,1)</f>
        <v>2</v>
      </c>
      <c r="N1098" s="85"/>
      <c r="O1098" s="85"/>
      <c r="S1098" s="1" t="b">
        <f ca="1">W1095=INDEX(INDIRECT(U1095),1)</f>
        <v>0</v>
      </c>
      <c r="X1098" s="688"/>
      <c r="Y1098" s="891"/>
      <c r="Z1098" s="892"/>
      <c r="AL1098" t="str">
        <f t="shared" ref="AL1098:AL1099" si="311">SUBSTITUTE(SUBSTITUTE(SUBSTITUTE("vpa"&amp;$B1098&amp;$C1098&amp;$D1098&amp;$E1098&amp;$F1098,".","_"),"(","_"),")","")</f>
        <v>vpa703_5_1_1_a_a</v>
      </c>
      <c r="AM1098">
        <f>M1098</f>
        <v>2</v>
      </c>
      <c r="BJ1098" s="573" t="s">
        <v>4670</v>
      </c>
    </row>
    <row r="1099" spans="1:62" x14ac:dyDescent="0.35">
      <c r="A1099" s="403">
        <v>7</v>
      </c>
      <c r="B1099" s="609" t="s">
        <v>1117</v>
      </c>
      <c r="C1099" s="613"/>
      <c r="D1099" s="604" t="s">
        <v>270</v>
      </c>
      <c r="E1099" s="604" t="s">
        <v>121</v>
      </c>
      <c r="F1099" s="604" t="s">
        <v>122</v>
      </c>
      <c r="G1099" s="403" t="str">
        <f t="shared" ref="G1099" ca="1" si="312">G1098</f>
        <v/>
      </c>
      <c r="H1099" s="605" t="s">
        <v>4323</v>
      </c>
      <c r="I1099" s="4"/>
      <c r="J1099" s="175"/>
      <c r="K1099" s="175"/>
      <c r="L1099" s="104" t="s">
        <v>3890</v>
      </c>
      <c r="M1099" s="43">
        <f>IFERROR(INDEX({4,4,3,3,3,3,3,2},BF781),0)*IF(T1073,2,1)</f>
        <v>3</v>
      </c>
      <c r="N1099" s="85"/>
      <c r="O1099" s="85"/>
      <c r="X1099" s="688"/>
      <c r="Y1099" s="891"/>
      <c r="Z1099" s="892"/>
      <c r="AL1099" t="str">
        <f t="shared" si="311"/>
        <v>vpa703_5_1_1_a_b</v>
      </c>
      <c r="AM1099">
        <f>M1099</f>
        <v>3</v>
      </c>
      <c r="BJ1099" s="573" t="s">
        <v>4670</v>
      </c>
    </row>
    <row r="1100" spans="1:62" x14ac:dyDescent="0.35">
      <c r="A1100" s="403">
        <v>7</v>
      </c>
      <c r="B1100" s="609" t="s">
        <v>1117</v>
      </c>
      <c r="C1100" s="613"/>
      <c r="D1100" s="604" t="s">
        <v>270</v>
      </c>
      <c r="E1100" s="604" t="s">
        <v>122</v>
      </c>
      <c r="F1100" s="604"/>
      <c r="G1100" s="403" t="str">
        <f ca="1">IF(N1100&gt;0,"P","")</f>
        <v/>
      </c>
      <c r="H1100" s="403" t="s">
        <v>4323</v>
      </c>
      <c r="I1100" s="4"/>
      <c r="J1100" s="104"/>
      <c r="K1100" s="175" t="s">
        <v>122</v>
      </c>
      <c r="L1100" s="723" t="s">
        <v>3886</v>
      </c>
      <c r="M1100" s="43"/>
      <c r="N1100" s="696">
        <f ca="1">'Ch7'!O336</f>
        <v>0</v>
      </c>
      <c r="O1100" s="696">
        <f ca="1">IFERROR(INDEX(M1102:M1103,MATCH(W1097,{0.9,0.95},1)),0)*S1100*S1095</f>
        <v>0</v>
      </c>
      <c r="S1100" s="1" t="b">
        <f ca="1">W1095=INDEX(INDIRECT(U1095),2)</f>
        <v>0</v>
      </c>
      <c r="X1100" s="688"/>
      <c r="Y1100" s="891"/>
      <c r="Z1100" s="892"/>
      <c r="AN1100" t="str">
        <f>SUBSTITUTE(SUBSTITUTE(SUBSTITUTE("vpc"&amp;$B1100&amp;$C1100&amp;$D1100&amp;$E1100&amp;$F1100,".","_"),"(","_"),")","")</f>
        <v>vpc703_5_1_1_b</v>
      </c>
      <c r="AO1100">
        <f ca="1">O1100</f>
        <v>0</v>
      </c>
      <c r="BJ1100" s="573" t="s">
        <v>4670</v>
      </c>
    </row>
    <row r="1101" spans="1:62" x14ac:dyDescent="0.35">
      <c r="A1101" s="403">
        <v>7</v>
      </c>
      <c r="B1101" s="609" t="s">
        <v>1117</v>
      </c>
      <c r="C1101" s="613"/>
      <c r="D1101" s="604" t="s">
        <v>270</v>
      </c>
      <c r="E1101" s="604" t="s">
        <v>122</v>
      </c>
      <c r="F1101" s="604"/>
      <c r="G1101" s="403" t="str">
        <f t="shared" ref="G1101:G1103" ca="1" si="313">G1100</f>
        <v/>
      </c>
      <c r="H1101" s="403" t="s">
        <v>4323</v>
      </c>
      <c r="I1101" s="4"/>
      <c r="J1101" s="104"/>
      <c r="K1101" s="175"/>
      <c r="L1101" s="723"/>
      <c r="M1101" s="43"/>
      <c r="N1101" s="696"/>
      <c r="O1101" s="696"/>
      <c r="X1101" s="688"/>
      <c r="Y1101" s="891"/>
      <c r="Z1101" s="892"/>
      <c r="BJ1101" s="573" t="s">
        <v>4670</v>
      </c>
    </row>
    <row r="1102" spans="1:62" x14ac:dyDescent="0.35">
      <c r="A1102" s="403">
        <v>7</v>
      </c>
      <c r="B1102" s="609" t="s">
        <v>1117</v>
      </c>
      <c r="C1102" s="613"/>
      <c r="D1102" s="604" t="s">
        <v>270</v>
      </c>
      <c r="E1102" s="604" t="s">
        <v>122</v>
      </c>
      <c r="F1102" s="604" t="s">
        <v>121</v>
      </c>
      <c r="G1102" s="403" t="str">
        <f t="shared" ca="1" si="313"/>
        <v/>
      </c>
      <c r="H1102" s="605" t="s">
        <v>4323</v>
      </c>
      <c r="I1102" s="4"/>
      <c r="J1102" s="104"/>
      <c r="K1102" s="175"/>
      <c r="L1102" s="104" t="s">
        <v>3891</v>
      </c>
      <c r="M1102" s="43">
        <f>IFERROR(INDEX({6,6,5,3,3,3,3,2},BF781),0)</f>
        <v>3</v>
      </c>
      <c r="N1102" s="85"/>
      <c r="O1102" s="85"/>
      <c r="X1102" s="688"/>
      <c r="Y1102" s="891"/>
      <c r="Z1102" s="892"/>
      <c r="AL1102" t="str">
        <f t="shared" ref="AL1102:AL1103" si="314">SUBSTITUTE(SUBSTITUTE(SUBSTITUTE("vpa"&amp;$B1102&amp;$C1102&amp;$D1102&amp;$E1102&amp;$F1102,".","_"),"(","_"),")","")</f>
        <v>vpa703_5_1_1_b_a</v>
      </c>
      <c r="AM1102">
        <f>M1102</f>
        <v>3</v>
      </c>
      <c r="BJ1102" s="573" t="s">
        <v>4670</v>
      </c>
    </row>
    <row r="1103" spans="1:62" x14ac:dyDescent="0.35">
      <c r="A1103" s="403">
        <v>7</v>
      </c>
      <c r="B1103" s="609" t="s">
        <v>1117</v>
      </c>
      <c r="C1103" s="613"/>
      <c r="D1103" s="604" t="s">
        <v>270</v>
      </c>
      <c r="E1103" s="604" t="s">
        <v>122</v>
      </c>
      <c r="F1103" s="604" t="s">
        <v>122</v>
      </c>
      <c r="G1103" s="403" t="str">
        <f t="shared" ca="1" si="313"/>
        <v/>
      </c>
      <c r="H1103" s="605" t="s">
        <v>4323</v>
      </c>
      <c r="I1103" s="4"/>
      <c r="J1103" s="214"/>
      <c r="K1103" s="359"/>
      <c r="L1103" s="214" t="s">
        <v>3892</v>
      </c>
      <c r="M1103" s="198">
        <f>IFERROR(INDEX({7,7,5,4,4,4,4,2},BF781),0)</f>
        <v>4</v>
      </c>
      <c r="N1103" s="85"/>
      <c r="O1103" s="85"/>
      <c r="X1103" s="688"/>
      <c r="Y1103" s="891"/>
      <c r="Z1103" s="892"/>
      <c r="AL1103" t="str">
        <f t="shared" si="314"/>
        <v>vpa703_5_1_1_b_b</v>
      </c>
      <c r="AM1103">
        <f>M1103</f>
        <v>4</v>
      </c>
      <c r="BJ1103" s="573" t="s">
        <v>4670</v>
      </c>
    </row>
    <row r="1104" spans="1:62" x14ac:dyDescent="0.35">
      <c r="A1104" s="403">
        <v>7</v>
      </c>
      <c r="B1104" s="609" t="s">
        <v>1117</v>
      </c>
      <c r="C1104" s="613"/>
      <c r="D1104" s="604" t="s">
        <v>272</v>
      </c>
      <c r="E1104" s="604"/>
      <c r="F1104" s="604"/>
      <c r="G1104" s="600" t="str">
        <f ca="1">IF(COUNTIF(G1105:G1106,"P")&gt;0,"P","")</f>
        <v/>
      </c>
      <c r="H1104" s="403" t="s">
        <v>4323</v>
      </c>
      <c r="I1104" s="4"/>
      <c r="J1104" s="175" t="s">
        <v>272</v>
      </c>
      <c r="K1104" s="104"/>
      <c r="L1104" s="104" t="s">
        <v>1120</v>
      </c>
      <c r="M1104" s="43"/>
      <c r="N1104" s="85"/>
      <c r="O1104" s="85"/>
      <c r="X1104" s="688"/>
      <c r="Y1104" s="891"/>
      <c r="Z1104" s="892"/>
      <c r="BJ1104" s="573" t="s">
        <v>4670</v>
      </c>
    </row>
    <row r="1105" spans="1:62" x14ac:dyDescent="0.35">
      <c r="A1105" s="403">
        <v>7</v>
      </c>
      <c r="B1105" s="609" t="s">
        <v>1117</v>
      </c>
      <c r="C1105" s="613"/>
      <c r="D1105" s="604" t="s">
        <v>272</v>
      </c>
      <c r="E1105" s="604" t="s">
        <v>121</v>
      </c>
      <c r="F1105" s="604"/>
      <c r="G1105" s="403" t="str">
        <f ca="1">IF(N1105&gt;0,"P","")</f>
        <v/>
      </c>
      <c r="H1105" s="403" t="s">
        <v>4323</v>
      </c>
      <c r="I1105" s="4"/>
      <c r="J1105" s="175"/>
      <c r="K1105" s="175" t="s">
        <v>121</v>
      </c>
      <c r="L1105" s="104" t="s">
        <v>3884</v>
      </c>
      <c r="M1105" s="43">
        <v>1</v>
      </c>
      <c r="N1105" s="85">
        <f ca="1">'Ch7'!O341</f>
        <v>0</v>
      </c>
      <c r="O1105" s="85">
        <f ca="1">M1105*AND(S1105,W1097&gt;=0.95)*S1095</f>
        <v>0</v>
      </c>
      <c r="S1105" s="1" t="b">
        <f ca="1">W1095=INDEX(INDIRECT(U1095),3)</f>
        <v>0</v>
      </c>
      <c r="X1105" s="688"/>
      <c r="Y1105" s="891"/>
      <c r="Z1105" s="892"/>
      <c r="AL1105" t="str">
        <f t="shared" ref="AL1105:AL1107" si="315">SUBSTITUTE(SUBSTITUTE(SUBSTITUTE("vpa"&amp;$B1105&amp;$C1105&amp;$D1105&amp;$E1105&amp;$F1105,".","_"),"(","_"),")","")</f>
        <v>vpa703_5_1_2_a</v>
      </c>
      <c r="AM1105">
        <f>M1105</f>
        <v>1</v>
      </c>
      <c r="AN1105" t="str">
        <f t="shared" ref="AN1105:AN1108" si="316">SUBSTITUTE(SUBSTITUTE(SUBSTITUTE("vpc"&amp;$B1105&amp;$C1105&amp;$D1105&amp;$E1105&amp;$F1105,".","_"),"(","_"),")","")</f>
        <v>vpc703_5_1_2_a</v>
      </c>
      <c r="AO1105">
        <f ca="1">O1105</f>
        <v>0</v>
      </c>
      <c r="BJ1105" s="573" t="s">
        <v>4670</v>
      </c>
    </row>
    <row r="1106" spans="1:62" x14ac:dyDescent="0.35">
      <c r="A1106" s="403">
        <v>7</v>
      </c>
      <c r="B1106" s="609" t="s">
        <v>1117</v>
      </c>
      <c r="C1106" s="613"/>
      <c r="D1106" s="604" t="s">
        <v>272</v>
      </c>
      <c r="E1106" s="604" t="s">
        <v>122</v>
      </c>
      <c r="F1106" s="604"/>
      <c r="G1106" s="403" t="str">
        <f ca="1">IF(N1106&gt;0,"P","")</f>
        <v/>
      </c>
      <c r="H1106" s="403" t="s">
        <v>4323</v>
      </c>
      <c r="I1106" s="4"/>
      <c r="J1106" s="214"/>
      <c r="K1106" s="359" t="s">
        <v>122</v>
      </c>
      <c r="L1106" s="214" t="s">
        <v>3885</v>
      </c>
      <c r="M1106" s="198">
        <v>2</v>
      </c>
      <c r="N1106" s="342">
        <f ca="1">'Ch7'!O342</f>
        <v>0</v>
      </c>
      <c r="O1106" s="342">
        <f ca="1">M1106*AND(S1106,W1097&gt;=0.97)*S1095</f>
        <v>0</v>
      </c>
      <c r="S1106" s="1" t="b">
        <f ca="1">W1095=INDEX(INDIRECT(U1095),4)</f>
        <v>0</v>
      </c>
      <c r="X1106" s="688"/>
      <c r="Y1106" s="891"/>
      <c r="Z1106" s="892"/>
      <c r="AL1106" t="str">
        <f t="shared" si="315"/>
        <v>vpa703_5_1_2_b</v>
      </c>
      <c r="AM1106">
        <f>M1106</f>
        <v>2</v>
      </c>
      <c r="AN1106" t="str">
        <f t="shared" si="316"/>
        <v>vpc703_5_1_2_b</v>
      </c>
      <c r="AO1106">
        <f ca="1">O1106</f>
        <v>0</v>
      </c>
      <c r="BJ1106" s="573" t="s">
        <v>4670</v>
      </c>
    </row>
    <row r="1107" spans="1:62" x14ac:dyDescent="0.35">
      <c r="A1107" s="403">
        <v>7</v>
      </c>
      <c r="B1107" s="609" t="s">
        <v>1117</v>
      </c>
      <c r="C1107" s="613"/>
      <c r="D1107" s="604" t="s">
        <v>274</v>
      </c>
      <c r="E1107" s="604"/>
      <c r="F1107" s="604"/>
      <c r="G1107" s="403" t="str">
        <f ca="1">IF(N1107&gt;0,"P","")</f>
        <v/>
      </c>
      <c r="H1107" s="403" t="s">
        <v>4323</v>
      </c>
      <c r="I1107" s="4"/>
      <c r="J1107" s="379" t="s">
        <v>274</v>
      </c>
      <c r="K1107" s="220"/>
      <c r="L1107" s="220" t="s">
        <v>3883</v>
      </c>
      <c r="M1107" s="153">
        <v>1</v>
      </c>
      <c r="N1107" s="313">
        <f ca="1">'Ch7'!O343</f>
        <v>0</v>
      </c>
      <c r="O1107" s="313">
        <f ca="1">M1107*AND(S1107,W1097&gt;=0.59)*S1095</f>
        <v>0</v>
      </c>
      <c r="S1107" s="1" t="b">
        <f ca="1">W1095=INDEX(INDIRECT(U1095),5)</f>
        <v>0</v>
      </c>
      <c r="X1107" s="688"/>
      <c r="Y1107" s="891"/>
      <c r="Z1107" s="892"/>
      <c r="AL1107" t="str">
        <f t="shared" si="315"/>
        <v>vpa703_5_1_3</v>
      </c>
      <c r="AM1107">
        <f>M1107</f>
        <v>1</v>
      </c>
      <c r="AN1107" t="str">
        <f t="shared" si="316"/>
        <v>vpc703_5_1_3</v>
      </c>
      <c r="AO1107">
        <f ca="1">O1107</f>
        <v>0</v>
      </c>
      <c r="BJ1107" s="573" t="s">
        <v>4670</v>
      </c>
    </row>
    <row r="1108" spans="1:62" x14ac:dyDescent="0.35">
      <c r="A1108" s="403">
        <v>7</v>
      </c>
      <c r="B1108" s="609" t="s">
        <v>1117</v>
      </c>
      <c r="C1108" s="613"/>
      <c r="D1108" s="604" t="s">
        <v>283</v>
      </c>
      <c r="E1108" s="604"/>
      <c r="F1108" s="604"/>
      <c r="G1108" s="403" t="str">
        <f ca="1">IF(N1108&gt;0,"P","")</f>
        <v/>
      </c>
      <c r="H1108" s="403" t="s">
        <v>4323</v>
      </c>
      <c r="I1108" s="4"/>
      <c r="J1108" s="175" t="s">
        <v>283</v>
      </c>
      <c r="K1108" s="104"/>
      <c r="L1108" s="104" t="s">
        <v>1121</v>
      </c>
      <c r="M1108" s="43"/>
      <c r="N1108" s="85">
        <f ca="1">'Ch7'!O344</f>
        <v>0</v>
      </c>
      <c r="O1108" s="85">
        <f ca="1">IFERROR(INDEX(M1109:M1111,MATCH(W1097,{1.5,2,2.2},1)),0)*S1108*S1095</f>
        <v>0</v>
      </c>
      <c r="S1108" s="1" t="b">
        <f ca="1">W1095=INDEX(INDIRECT(U1095),6)</f>
        <v>0</v>
      </c>
      <c r="X1108" s="688"/>
      <c r="Y1108" s="891"/>
      <c r="Z1108" s="892"/>
      <c r="AN1108" t="str">
        <f t="shared" si="316"/>
        <v>vpc703_5_1_4</v>
      </c>
      <c r="AO1108">
        <f ca="1">O1108</f>
        <v>0</v>
      </c>
      <c r="BJ1108" s="573" t="s">
        <v>4670</v>
      </c>
    </row>
    <row r="1109" spans="1:62" x14ac:dyDescent="0.35">
      <c r="A1109" s="403">
        <v>7</v>
      </c>
      <c r="B1109" s="609" t="s">
        <v>1117</v>
      </c>
      <c r="C1109" s="613"/>
      <c r="D1109" s="604" t="s">
        <v>283</v>
      </c>
      <c r="E1109" s="604" t="s">
        <v>121</v>
      </c>
      <c r="F1109" s="604"/>
      <c r="G1109" s="403" t="str">
        <f t="shared" ref="G1109:G1111" ca="1" si="317">G1108</f>
        <v/>
      </c>
      <c r="H1109" s="403" t="s">
        <v>4323</v>
      </c>
      <c r="I1109" s="4"/>
      <c r="J1109" s="175"/>
      <c r="K1109" s="104"/>
      <c r="L1109" s="104" t="s">
        <v>3893</v>
      </c>
      <c r="M1109" s="43">
        <f>IFERROR(INDEX({8,5,4,3,2,2,1,1},BF781),0)</f>
        <v>3</v>
      </c>
      <c r="N1109" s="85"/>
      <c r="O1109" s="85"/>
      <c r="X1109" s="688"/>
      <c r="Y1109" s="891"/>
      <c r="Z1109" s="892"/>
      <c r="AL1109" t="str">
        <f t="shared" ref="AL1109:AL1112" si="318">SUBSTITUTE(SUBSTITUTE(SUBSTITUTE("vpa"&amp;$B1109&amp;$C1109&amp;$D1109&amp;$E1109&amp;$F1109,".","_"),"(","_"),")","")</f>
        <v>vpa703_5_1_4_a</v>
      </c>
      <c r="AM1109">
        <f>M1109</f>
        <v>3</v>
      </c>
      <c r="BJ1109" s="573" t="s">
        <v>4670</v>
      </c>
    </row>
    <row r="1110" spans="1:62" x14ac:dyDescent="0.35">
      <c r="A1110" s="403">
        <v>7</v>
      </c>
      <c r="B1110" s="609" t="s">
        <v>1117</v>
      </c>
      <c r="C1110" s="613"/>
      <c r="D1110" s="604" t="s">
        <v>283</v>
      </c>
      <c r="E1110" s="604" t="s">
        <v>122</v>
      </c>
      <c r="F1110" s="604"/>
      <c r="G1110" s="403" t="str">
        <f t="shared" ca="1" si="317"/>
        <v/>
      </c>
      <c r="H1110" s="403" t="s">
        <v>4323</v>
      </c>
      <c r="I1110" s="4"/>
      <c r="J1110" s="175"/>
      <c r="K1110" s="104"/>
      <c r="L1110" s="104" t="s">
        <v>3894</v>
      </c>
      <c r="M1110" s="43">
        <f>IFERROR(INDEX({16,9,8,6,5,4,2,2},BF781),0)</f>
        <v>6</v>
      </c>
      <c r="N1110" s="85"/>
      <c r="O1110" s="85"/>
      <c r="X1110" s="688"/>
      <c r="Y1110" s="891"/>
      <c r="Z1110" s="892"/>
      <c r="AL1110" t="str">
        <f t="shared" si="318"/>
        <v>vpa703_5_1_4_b</v>
      </c>
      <c r="AM1110">
        <f>M1110</f>
        <v>6</v>
      </c>
      <c r="BJ1110" s="573" t="s">
        <v>4670</v>
      </c>
    </row>
    <row r="1111" spans="1:62" x14ac:dyDescent="0.35">
      <c r="A1111" s="403">
        <v>7</v>
      </c>
      <c r="B1111" s="609" t="s">
        <v>1117</v>
      </c>
      <c r="C1111" s="613"/>
      <c r="D1111" s="604" t="s">
        <v>283</v>
      </c>
      <c r="E1111" s="604" t="s">
        <v>123</v>
      </c>
      <c r="F1111" s="604"/>
      <c r="G1111" s="403" t="str">
        <f t="shared" ca="1" si="317"/>
        <v/>
      </c>
      <c r="H1111" s="403" t="s">
        <v>4323</v>
      </c>
      <c r="I1111" s="155"/>
      <c r="J1111" s="214"/>
      <c r="K1111" s="214"/>
      <c r="L1111" s="214" t="s">
        <v>3895</v>
      </c>
      <c r="M1111" s="198">
        <f>IFERROR(INDEX({19,10,9,7,6,5,3,3},BF781),0)</f>
        <v>7</v>
      </c>
      <c r="N1111" s="85"/>
      <c r="O1111" s="85"/>
      <c r="X1111" s="688"/>
      <c r="Y1111" s="891"/>
      <c r="Z1111" s="892"/>
      <c r="AL1111" t="str">
        <f t="shared" si="318"/>
        <v>vpa703_5_1_4_c</v>
      </c>
      <c r="AM1111">
        <f>M1111</f>
        <v>7</v>
      </c>
      <c r="BJ1111" s="573" t="s">
        <v>4670</v>
      </c>
    </row>
    <row r="1112" spans="1:62" x14ac:dyDescent="0.35">
      <c r="A1112" s="403">
        <v>7</v>
      </c>
      <c r="B1112" s="609" t="s">
        <v>1122</v>
      </c>
      <c r="C1112" s="613"/>
      <c r="D1112" s="604"/>
      <c r="E1112" s="604"/>
      <c r="F1112" s="604"/>
      <c r="G1112" s="403" t="str">
        <f ca="1">IF(N1112&gt;0,"P","")</f>
        <v/>
      </c>
      <c r="H1112" s="403" t="s">
        <v>4323</v>
      </c>
      <c r="I1112" s="34" t="s">
        <v>1122</v>
      </c>
      <c r="J1112" s="104"/>
      <c r="K1112" s="104"/>
      <c r="L1112" s="783" t="s">
        <v>1123</v>
      </c>
      <c r="M1112" s="719">
        <f>IFERROR(INDEX({23,17,9,7,5,4,2,2},BF781),0)</f>
        <v>7</v>
      </c>
      <c r="N1112" s="696">
        <f ca="1">'Ch7'!O348</f>
        <v>0</v>
      </c>
      <c r="O1112" s="696">
        <f ca="1">M1112*S1112*W1112</f>
        <v>0</v>
      </c>
      <c r="P1112" t="b">
        <v>1</v>
      </c>
      <c r="Q1112" t="b">
        <v>1</v>
      </c>
      <c r="R1112" t="b">
        <v>0</v>
      </c>
      <c r="S1112" t="b">
        <f ca="1">(S777=2)</f>
        <v>0</v>
      </c>
      <c r="T1112" t="b">
        <f ca="1">AND(NOT(S1112),W1112=TRUE)</f>
        <v>0</v>
      </c>
      <c r="W1112" s="17"/>
      <c r="X1112" s="688"/>
      <c r="Y1112" s="891" t="str">
        <f>IF(LEN('Ch7'!X348)=0,"None",'Ch7'!X348)</f>
        <v>None</v>
      </c>
      <c r="Z1112" s="892"/>
      <c r="AC1112" t="b">
        <f ca="1">OR(AD1112:AE1112)</f>
        <v>0</v>
      </c>
      <c r="AD1112" t="b">
        <f ca="1">T1112</f>
        <v>0</v>
      </c>
      <c r="AE1112" t="b">
        <f>AND(R1112,NOT(W1112))</f>
        <v>0</v>
      </c>
      <c r="AF1112" t="b">
        <f>AND(AE1112,NOT(Q1112))</f>
        <v>0</v>
      </c>
      <c r="AL1112" t="str">
        <f t="shared" si="318"/>
        <v>vpa703_5_2</v>
      </c>
      <c r="AM1112">
        <f>M1112</f>
        <v>7</v>
      </c>
      <c r="AN1112" t="str">
        <f>SUBSTITUTE(SUBSTITUTE(SUBSTITUTE("vpc"&amp;$B1112&amp;$C1112&amp;$D1112&amp;$E1112&amp;$F1112,".","_"),"(","_"),")","")</f>
        <v>vpc703_5_2</v>
      </c>
      <c r="AO1112">
        <f ca="1">O1112</f>
        <v>0</v>
      </c>
      <c r="AP1112" t="str">
        <f>SUBSTITUTE(SUBSTITUTE(SUBSTITUTE("vch"&amp;$B1112&amp;$C1112&amp;$D1112&amp;$E1112&amp;$F1112,".","_"),"(","_"),")","")</f>
        <v>vch703_5_2</v>
      </c>
      <c r="AQ1112">
        <f>W1112</f>
        <v>0</v>
      </c>
      <c r="AR1112" t="str">
        <f>SUBSTITUTE(SUBSTITUTE(SUBSTITUTE("vnt"&amp;$B1112&amp;$C1112&amp;$D1112&amp;$E1112&amp;$F1112,".","_"),"(","_"),")","")</f>
        <v>vnt703_5_2</v>
      </c>
      <c r="AS1112">
        <f>X1112</f>
        <v>0</v>
      </c>
      <c r="BJ1112" s="573" t="s">
        <v>4670</v>
      </c>
    </row>
    <row r="1113" spans="1:62" x14ac:dyDescent="0.35">
      <c r="A1113" s="403">
        <v>7</v>
      </c>
      <c r="B1113" s="609" t="s">
        <v>1122</v>
      </c>
      <c r="C1113" s="613"/>
      <c r="D1113" s="604"/>
      <c r="E1113" s="604"/>
      <c r="F1113" s="604"/>
      <c r="G1113" s="403" t="str">
        <f t="shared" ref="G1113" ca="1" si="319">G1112</f>
        <v/>
      </c>
      <c r="H1113" s="403" t="s">
        <v>4323</v>
      </c>
      <c r="I1113" s="363"/>
      <c r="J1113" s="214"/>
      <c r="K1113" s="214"/>
      <c r="L1113" s="785"/>
      <c r="M1113" s="720"/>
      <c r="N1113" s="697"/>
      <c r="O1113" s="697"/>
      <c r="P1113" s="119"/>
      <c r="Q1113" s="119"/>
      <c r="R1113" s="119"/>
      <c r="S1113" s="119"/>
      <c r="T1113" s="119"/>
      <c r="U1113" s="119"/>
      <c r="V1113" s="119"/>
      <c r="W1113" s="368"/>
      <c r="X1113" s="688"/>
      <c r="Y1113" s="891"/>
      <c r="Z1113" s="892"/>
      <c r="BJ1113" s="573" t="s">
        <v>4670</v>
      </c>
    </row>
    <row r="1114" spans="1:62" x14ac:dyDescent="0.35">
      <c r="A1114" s="403">
        <v>7</v>
      </c>
      <c r="B1114" s="609" t="s">
        <v>1124</v>
      </c>
      <c r="C1114" s="613"/>
      <c r="D1114" s="604"/>
      <c r="E1114" s="604"/>
      <c r="F1114" s="604"/>
      <c r="G1114" s="403" t="str">
        <f ca="1">IF(N1114&gt;0,"P","")</f>
        <v/>
      </c>
      <c r="H1114" s="403" t="s">
        <v>4323</v>
      </c>
      <c r="I1114" s="34" t="s">
        <v>1124</v>
      </c>
      <c r="J1114" s="104"/>
      <c r="K1114" s="104"/>
      <c r="L1114" s="110" t="s">
        <v>1125</v>
      </c>
      <c r="M1114" s="311">
        <v>2</v>
      </c>
      <c r="N1114" s="85">
        <f ca="1">'Ch7'!O350</f>
        <v>0</v>
      </c>
      <c r="O1114" s="85">
        <f ca="1">M1114*S1114*W1114</f>
        <v>0</v>
      </c>
      <c r="P1114" t="b">
        <v>1</v>
      </c>
      <c r="Q1114" t="b">
        <v>1</v>
      </c>
      <c r="R1114" t="b">
        <v>0</v>
      </c>
      <c r="S1114" t="b">
        <f ca="1">(S777=2)</f>
        <v>0</v>
      </c>
      <c r="T1114" t="b">
        <f ca="1">AND(NOT(S1114),W1114=TRUE)</f>
        <v>0</v>
      </c>
      <c r="W1114" s="17"/>
      <c r="X1114" s="688"/>
      <c r="Y1114" s="891" t="str">
        <f>IF(LEN('Ch7'!X350)=0,"None",'Ch7'!X350)</f>
        <v>None</v>
      </c>
      <c r="Z1114" s="892"/>
      <c r="AC1114" t="b">
        <f ca="1">OR(AD1114:AE1114)</f>
        <v>0</v>
      </c>
      <c r="AD1114" t="b">
        <f ca="1">T1114</f>
        <v>0</v>
      </c>
      <c r="AE1114" t="b">
        <f>AND(R1114,NOT(W1114))</f>
        <v>0</v>
      </c>
      <c r="AF1114" t="b">
        <f>AND(AE1114,NOT(Q1114))</f>
        <v>0</v>
      </c>
      <c r="AL1114" t="str">
        <f t="shared" ref="AL1114" si="320">SUBSTITUTE(SUBSTITUTE(SUBSTITUTE("vpa"&amp;$B1114&amp;$C1114&amp;$D1114&amp;$E1114&amp;$F1114,".","_"),"(","_"),")","")</f>
        <v>vpa703_5_3</v>
      </c>
      <c r="AM1114">
        <f>M1114</f>
        <v>2</v>
      </c>
      <c r="AN1114" t="str">
        <f>SUBSTITUTE(SUBSTITUTE(SUBSTITUTE("vpc"&amp;$B1114&amp;$C1114&amp;$D1114&amp;$E1114&amp;$F1114,".","_"),"(","_"),")","")</f>
        <v>vpc703_5_3</v>
      </c>
      <c r="AO1114">
        <f ca="1">O1114</f>
        <v>0</v>
      </c>
      <c r="AP1114" t="str">
        <f>SUBSTITUTE(SUBSTITUTE(SUBSTITUTE("vch"&amp;$B1114&amp;$C1114&amp;$D1114&amp;$E1114&amp;$F1114,".","_"),"(","_"),")","")</f>
        <v>vch703_5_3</v>
      </c>
      <c r="AQ1114">
        <f>W1114</f>
        <v>0</v>
      </c>
      <c r="AR1114" t="str">
        <f>SUBSTITUTE(SUBSTITUTE(SUBSTITUTE("vnt"&amp;$B1114&amp;$C1114&amp;$D1114&amp;$E1114&amp;$F1114,".","_"),"(","_"),")","")</f>
        <v>vnt703_5_3</v>
      </c>
      <c r="AS1114">
        <f>X1114</f>
        <v>0</v>
      </c>
      <c r="BJ1114" s="573" t="s">
        <v>4670</v>
      </c>
    </row>
    <row r="1115" spans="1:62" x14ac:dyDescent="0.35">
      <c r="A1115" s="403">
        <v>7</v>
      </c>
      <c r="B1115" s="609" t="s">
        <v>1124</v>
      </c>
      <c r="C1115" s="613"/>
      <c r="D1115" s="604"/>
      <c r="E1115" s="604"/>
      <c r="F1115" s="604"/>
      <c r="G1115" s="403" t="str">
        <f t="shared" ref="G1115" ca="1" si="321">G1114</f>
        <v/>
      </c>
      <c r="H1115" s="403" t="s">
        <v>4323</v>
      </c>
      <c r="I1115" s="119"/>
      <c r="J1115" s="214"/>
      <c r="K1115" s="214"/>
      <c r="L1115" s="165" t="s">
        <v>1098</v>
      </c>
      <c r="M1115" s="198"/>
      <c r="N1115" s="342"/>
      <c r="O1115" s="342"/>
      <c r="X1115" s="688"/>
      <c r="Y1115" s="891"/>
      <c r="Z1115" s="892"/>
      <c r="BJ1115" s="573" t="s">
        <v>4670</v>
      </c>
    </row>
    <row r="1116" spans="1:62" ht="15" customHeight="1" x14ac:dyDescent="0.35">
      <c r="A1116" s="403">
        <v>7</v>
      </c>
      <c r="B1116" s="609" t="s">
        <v>3880</v>
      </c>
      <c r="C1116" s="613"/>
      <c r="D1116" s="604"/>
      <c r="E1116" s="604"/>
      <c r="F1116" s="604"/>
      <c r="G1116" s="403" t="str">
        <f ca="1">IF(N1116&gt;0,"P","")</f>
        <v/>
      </c>
      <c r="H1116" s="403" t="s">
        <v>4323</v>
      </c>
      <c r="I1116" s="363" t="s">
        <v>3880</v>
      </c>
      <c r="J1116" s="214"/>
      <c r="K1116" s="214"/>
      <c r="L1116" s="361" t="s">
        <v>1126</v>
      </c>
      <c r="M1116" s="371">
        <v>1</v>
      </c>
      <c r="N1116" s="342">
        <f ca="1">'Ch7'!O352</f>
        <v>0</v>
      </c>
      <c r="O1116" s="342">
        <f ca="1">M1116*S1116*W1116</f>
        <v>0</v>
      </c>
      <c r="P1116" t="b">
        <v>1</v>
      </c>
      <c r="Q1116" t="b">
        <v>1</v>
      </c>
      <c r="R1116" s="119" t="b">
        <v>0</v>
      </c>
      <c r="S1116" s="119" t="b">
        <f ca="1">AND(S777=2,OR(AY797=INDEX(ddHeat1,2),AY798=INDEX(ddHeat2,2),AY799=INDEX(ddHeat3,2)))</f>
        <v>0</v>
      </c>
      <c r="T1116" s="119" t="b">
        <f ca="1">AND(NOT(S1116),W1116=TRUE)</f>
        <v>0</v>
      </c>
      <c r="U1116" s="119"/>
      <c r="V1116" s="119"/>
      <c r="W1116" s="17"/>
      <c r="X1116" s="39"/>
      <c r="Y1116" s="200" t="str">
        <f>IF(LEN('Ch7'!X352)=0,"None",'Ch7'!X352)</f>
        <v>None</v>
      </c>
      <c r="Z1116" s="563"/>
      <c r="AC1116" t="b">
        <f ca="1">OR(AD1116:AE1116)</f>
        <v>0</v>
      </c>
      <c r="AD1116" t="b">
        <f ca="1">T1116</f>
        <v>0</v>
      </c>
      <c r="AE1116" t="b">
        <f>AND(R1116,NOT(W1116))</f>
        <v>0</v>
      </c>
      <c r="AF1116" t="b">
        <f>AND(AE1116,NOT(Q1116))</f>
        <v>0</v>
      </c>
      <c r="AL1116" t="str">
        <f t="shared" ref="AL1116" si="322">SUBSTITUTE(SUBSTITUTE(SUBSTITUTE("vpa"&amp;$B1116&amp;$C1116&amp;$D1116&amp;$E1116&amp;$F1116,".","_"),"(","_"),")","")</f>
        <v>vpa703_5_4</v>
      </c>
      <c r="AM1116">
        <f>M1116</f>
        <v>1</v>
      </c>
      <c r="AN1116" t="str">
        <f t="shared" ref="AN1116:AN1117" si="323">SUBSTITUTE(SUBSTITUTE(SUBSTITUTE("vpc"&amp;$B1116&amp;$C1116&amp;$D1116&amp;$E1116&amp;$F1116,".","_"),"(","_"),")","")</f>
        <v>vpc703_5_4</v>
      </c>
      <c r="AO1116">
        <f ca="1">O1116</f>
        <v>0</v>
      </c>
      <c r="AP1116" t="str">
        <f>SUBSTITUTE(SUBSTITUTE(SUBSTITUTE("vch"&amp;$B1116&amp;$C1116&amp;$D1116&amp;$E1116&amp;$F1116,".","_"),"(","_"),")","")</f>
        <v>vch703_5_4</v>
      </c>
      <c r="AQ1116">
        <f>W1116</f>
        <v>0</v>
      </c>
      <c r="AR1116" t="str">
        <f t="shared" ref="AR1116:AR1117" si="324">SUBSTITUTE(SUBSTITUTE(SUBSTITUTE("vnt"&amp;$B1116&amp;$C1116&amp;$D1116&amp;$E1116&amp;$F1116,".","_"),"(","_"),")","")</f>
        <v>vnt703_5_4</v>
      </c>
      <c r="AS1116">
        <f>X1116</f>
        <v>0</v>
      </c>
      <c r="BJ1116" s="573" t="s">
        <v>4670</v>
      </c>
    </row>
    <row r="1117" spans="1:62" x14ac:dyDescent="0.35">
      <c r="A1117" s="403">
        <v>7</v>
      </c>
      <c r="B1117" s="609" t="s">
        <v>1127</v>
      </c>
      <c r="C1117" s="613"/>
      <c r="D1117" s="604"/>
      <c r="E1117" s="604"/>
      <c r="F1117" s="604"/>
      <c r="G1117" s="403" t="str">
        <f ca="1">IF(N1117&gt;0,"P","")</f>
        <v/>
      </c>
      <c r="H1117" s="403" t="s">
        <v>4323</v>
      </c>
      <c r="I1117" s="362" t="s">
        <v>1127</v>
      </c>
      <c r="J1117" s="320"/>
      <c r="K1117" s="320"/>
      <c r="L1117" s="753" t="s">
        <v>4100</v>
      </c>
      <c r="M1117" s="317"/>
      <c r="N1117" s="713">
        <f ca="1">'Ch7'!O353</f>
        <v>0</v>
      </c>
      <c r="O1117" s="713">
        <f ca="1">IFERROR(INDEX(M1120:M1124,MATCH(W1118,{1.3,1.51,1.81,2.31,3.01},1)),0)*S1118</f>
        <v>0</v>
      </c>
      <c r="P1117" s="138"/>
      <c r="Q1117" s="138"/>
      <c r="R1117" s="138"/>
      <c r="S1117" s="138"/>
      <c r="T1117" s="138"/>
      <c r="U1117" s="138"/>
      <c r="V1117" s="138"/>
      <c r="W1117" s="138" t="s">
        <v>3879</v>
      </c>
      <c r="X1117" s="688"/>
      <c r="Y1117" s="891" t="str">
        <f>IF(LEN('Ch7'!X353)=0,"None",'Ch7'!X353)</f>
        <v>None</v>
      </c>
      <c r="Z1117" s="892"/>
      <c r="AN1117" t="str">
        <f t="shared" si="323"/>
        <v>vpc703_5_5</v>
      </c>
      <c r="AO1117">
        <f ca="1">O1117</f>
        <v>0</v>
      </c>
      <c r="AR1117" t="str">
        <f t="shared" si="324"/>
        <v>vnt703_5_5</v>
      </c>
      <c r="AS1117">
        <f>X1117</f>
        <v>0</v>
      </c>
      <c r="BJ1117" s="573" t="s">
        <v>4670</v>
      </c>
    </row>
    <row r="1118" spans="1:62" x14ac:dyDescent="0.35">
      <c r="A1118" s="403">
        <v>7</v>
      </c>
      <c r="B1118" s="609" t="s">
        <v>1127</v>
      </c>
      <c r="C1118" s="613"/>
      <c r="D1118" s="604"/>
      <c r="E1118" s="604"/>
      <c r="F1118" s="604"/>
      <c r="G1118" s="403" t="str">
        <f t="shared" ref="G1118:G1124" ca="1" si="325">G1117</f>
        <v/>
      </c>
      <c r="H1118" s="403" t="s">
        <v>4323</v>
      </c>
      <c r="I1118" s="4"/>
      <c r="J1118" s="104"/>
      <c r="K1118" s="104"/>
      <c r="L1118" s="706"/>
      <c r="M1118" s="43"/>
      <c r="N1118" s="696"/>
      <c r="O1118" s="696"/>
      <c r="P1118" t="b">
        <v>1</v>
      </c>
      <c r="Q1118" t="b">
        <v>1</v>
      </c>
      <c r="R1118" t="b">
        <v>0</v>
      </c>
      <c r="S1118" t="b">
        <f ca="1">AND(S777=2,LEN(W1095)=0,LEN(W1097)=0)</f>
        <v>0</v>
      </c>
      <c r="T1118" t="b">
        <f ca="1">AND(NOT(S1118),LEN(W1118)&gt;0)</f>
        <v>0</v>
      </c>
      <c r="W1118" s="284"/>
      <c r="X1118" s="688"/>
      <c r="Y1118" s="891"/>
      <c r="Z1118" s="892"/>
      <c r="AC1118" t="b">
        <f ca="1">OR(AD1118:AE1118)</f>
        <v>0</v>
      </c>
      <c r="AD1118" t="b">
        <f ca="1">T1118</f>
        <v>0</v>
      </c>
      <c r="AE1118" t="b">
        <f>AND(R1118,OR(W1118="Not Met",W1118=""))</f>
        <v>0</v>
      </c>
      <c r="AF1118" t="b">
        <f>AND(AE1118,NOT(Q1118))</f>
        <v>0</v>
      </c>
      <c r="AP1118" t="str">
        <f>SUBSTITUTE(SUBSTITUTE(SUBSTITUTE("vch"&amp;$B1118&amp;$C1118&amp;$D1118&amp;$E1118&amp;$F1118,".","_"),"(","_"),")","")</f>
        <v>vch703_5_5</v>
      </c>
      <c r="AQ1118" s="314">
        <f>W1118</f>
        <v>0</v>
      </c>
      <c r="BJ1118" s="573" t="s">
        <v>4670</v>
      </c>
    </row>
    <row r="1119" spans="1:62" x14ac:dyDescent="0.35">
      <c r="A1119" s="403">
        <v>7</v>
      </c>
      <c r="B1119" s="609" t="s">
        <v>1127</v>
      </c>
      <c r="C1119" s="613"/>
      <c r="D1119" s="604"/>
      <c r="E1119" s="604"/>
      <c r="F1119" s="604"/>
      <c r="G1119" s="403" t="str">
        <f t="shared" ca="1" si="325"/>
        <v/>
      </c>
      <c r="H1119" s="403" t="s">
        <v>4323</v>
      </c>
      <c r="I1119" s="4"/>
      <c r="J1119" s="104"/>
      <c r="K1119" s="104"/>
      <c r="L1119" s="706"/>
      <c r="M1119" s="43"/>
      <c r="N1119" s="696"/>
      <c r="O1119" s="696"/>
      <c r="X1119" s="688"/>
      <c r="Y1119" s="891"/>
      <c r="Z1119" s="892"/>
      <c r="BJ1119" s="573" t="s">
        <v>4670</v>
      </c>
    </row>
    <row r="1120" spans="1:62" x14ac:dyDescent="0.35">
      <c r="A1120" s="403">
        <v>7</v>
      </c>
      <c r="B1120" s="609" t="s">
        <v>1127</v>
      </c>
      <c r="C1120" s="613"/>
      <c r="D1120" s="604" t="s">
        <v>270</v>
      </c>
      <c r="E1120" s="604"/>
      <c r="F1120" s="604"/>
      <c r="G1120" s="403" t="str">
        <f t="shared" ca="1" si="325"/>
        <v/>
      </c>
      <c r="H1120" s="403" t="s">
        <v>4323</v>
      </c>
      <c r="I1120" s="4"/>
      <c r="K1120" s="104"/>
      <c r="L1120" s="381" t="s">
        <v>3896</v>
      </c>
      <c r="M1120" s="371">
        <f>IFERROR(INDEX({1,2,3,5,7,8,7,7},BF781),0)</f>
        <v>5</v>
      </c>
      <c r="N1120" s="85"/>
      <c r="O1120" s="85"/>
      <c r="X1120" s="688"/>
      <c r="Y1120" s="891"/>
      <c r="Z1120" s="892"/>
      <c r="AL1120" t="str">
        <f t="shared" ref="AL1120:AL1124" si="326">SUBSTITUTE(SUBSTITUTE(SUBSTITUTE("vpa"&amp;$B1120&amp;$C1120&amp;$D1120&amp;$E1120&amp;$F1120,".","_"),"(","_"),")","")</f>
        <v>vpa703_5_5_1</v>
      </c>
      <c r="AM1120">
        <f>M1120</f>
        <v>5</v>
      </c>
      <c r="BJ1120" s="573" t="s">
        <v>4670</v>
      </c>
    </row>
    <row r="1121" spans="1:62" x14ac:dyDescent="0.35">
      <c r="A1121" s="403">
        <v>7</v>
      </c>
      <c r="B1121" s="609" t="s">
        <v>1127</v>
      </c>
      <c r="C1121" s="613"/>
      <c r="D1121" s="604" t="s">
        <v>272</v>
      </c>
      <c r="E1121" s="604"/>
      <c r="F1121" s="604"/>
      <c r="G1121" s="403" t="str">
        <f t="shared" ca="1" si="325"/>
        <v/>
      </c>
      <c r="H1121" s="403" t="s">
        <v>4323</v>
      </c>
      <c r="I1121" s="4"/>
      <c r="K1121" s="104"/>
      <c r="L1121" s="382" t="s">
        <v>3897</v>
      </c>
      <c r="M1121" s="383">
        <f>IFERROR(INDEX({2,2,4,7,10,11,11,11},BF781),0)</f>
        <v>7</v>
      </c>
      <c r="N1121" s="85"/>
      <c r="O1121" s="85"/>
      <c r="X1121" s="688"/>
      <c r="Y1121" s="891"/>
      <c r="Z1121" s="892"/>
      <c r="AL1121" t="str">
        <f t="shared" si="326"/>
        <v>vpa703_5_5_2</v>
      </c>
      <c r="AM1121">
        <f>M1121</f>
        <v>7</v>
      </c>
      <c r="BJ1121" s="573" t="s">
        <v>4670</v>
      </c>
    </row>
    <row r="1122" spans="1:62" x14ac:dyDescent="0.35">
      <c r="A1122" s="403">
        <v>7</v>
      </c>
      <c r="B1122" s="609" t="s">
        <v>1127</v>
      </c>
      <c r="C1122" s="613"/>
      <c r="D1122" s="604" t="s">
        <v>274</v>
      </c>
      <c r="E1122" s="604"/>
      <c r="F1122" s="604"/>
      <c r="G1122" s="403" t="str">
        <f t="shared" ca="1" si="325"/>
        <v/>
      </c>
      <c r="H1122" s="403" t="s">
        <v>4323</v>
      </c>
      <c r="I1122" s="4"/>
      <c r="K1122" s="104"/>
      <c r="L1122" s="382" t="s">
        <v>3898</v>
      </c>
      <c r="M1122" s="383">
        <f>IFERROR(INDEX({2,3,6,10,14,16,15,15},BF781),0)</f>
        <v>10</v>
      </c>
      <c r="N1122" s="85"/>
      <c r="O1122" s="85"/>
      <c r="X1122" s="688"/>
      <c r="Y1122" s="891"/>
      <c r="Z1122" s="892"/>
      <c r="AL1122" t="str">
        <f t="shared" si="326"/>
        <v>vpa703_5_5_3</v>
      </c>
      <c r="AM1122">
        <f>M1122</f>
        <v>10</v>
      </c>
      <c r="BJ1122" s="573" t="s">
        <v>4670</v>
      </c>
    </row>
    <row r="1123" spans="1:62" x14ac:dyDescent="0.35">
      <c r="A1123" s="403">
        <v>7</v>
      </c>
      <c r="B1123" s="609" t="s">
        <v>1127</v>
      </c>
      <c r="C1123" s="613"/>
      <c r="D1123" s="604" t="s">
        <v>283</v>
      </c>
      <c r="E1123" s="604"/>
      <c r="F1123" s="604"/>
      <c r="G1123" s="403" t="str">
        <f t="shared" ca="1" si="325"/>
        <v/>
      </c>
      <c r="H1123" s="403" t="s">
        <v>4323</v>
      </c>
      <c r="I1123" s="4"/>
      <c r="K1123" s="104"/>
      <c r="L1123" s="382" t="s">
        <v>3899</v>
      </c>
      <c r="M1123" s="383">
        <f>IFERROR(INDEX({4,5,9,16,21,23,22,22},BF781),0)</f>
        <v>16</v>
      </c>
      <c r="N1123" s="85"/>
      <c r="O1123" s="85"/>
      <c r="X1123" s="688"/>
      <c r="Y1123" s="891"/>
      <c r="Z1123" s="892"/>
      <c r="AL1123" t="str">
        <f t="shared" si="326"/>
        <v>vpa703_5_5_4</v>
      </c>
      <c r="AM1123">
        <f>M1123</f>
        <v>16</v>
      </c>
      <c r="BJ1123" s="573" t="s">
        <v>4670</v>
      </c>
    </row>
    <row r="1124" spans="1:62" ht="15" thickBot="1" x14ac:dyDescent="0.4">
      <c r="A1124" s="403">
        <v>7</v>
      </c>
      <c r="B1124" s="609" t="s">
        <v>1127</v>
      </c>
      <c r="C1124" s="613"/>
      <c r="D1124" s="604" t="s">
        <v>289</v>
      </c>
      <c r="E1124" s="604"/>
      <c r="F1124" s="604"/>
      <c r="G1124" s="403" t="str">
        <f t="shared" ca="1" si="325"/>
        <v/>
      </c>
      <c r="H1124" s="403" t="s">
        <v>4323</v>
      </c>
      <c r="I1124" s="183"/>
      <c r="J1124" s="58"/>
      <c r="K1124" s="223"/>
      <c r="L1124" s="372" t="s">
        <v>3900</v>
      </c>
      <c r="M1124" s="337">
        <f>IFERROR(INDEX({6,8,12,23,30,34,33,33},BF781),0)</f>
        <v>23</v>
      </c>
      <c r="N1124" s="184"/>
      <c r="O1124" s="184"/>
      <c r="P1124" s="58"/>
      <c r="Q1124" s="58"/>
      <c r="R1124" s="58"/>
      <c r="S1124" s="58"/>
      <c r="T1124" s="58"/>
      <c r="U1124" s="58"/>
      <c r="V1124" s="58"/>
      <c r="W1124" s="58"/>
      <c r="X1124" s="689"/>
      <c r="Y1124" s="905"/>
      <c r="Z1124" s="895"/>
      <c r="AL1124" t="str">
        <f t="shared" si="326"/>
        <v>vpa703_5_5_5</v>
      </c>
      <c r="AM1124">
        <f>M1124</f>
        <v>23</v>
      </c>
      <c r="BJ1124" s="573" t="s">
        <v>4670</v>
      </c>
    </row>
    <row r="1125" spans="1:62" ht="15" thickTop="1" x14ac:dyDescent="0.35">
      <c r="A1125" s="403">
        <v>7</v>
      </c>
      <c r="B1125" s="609">
        <v>703.6</v>
      </c>
      <c r="C1125" s="613"/>
      <c r="D1125" s="604"/>
      <c r="E1125" s="604"/>
      <c r="F1125" s="604"/>
      <c r="G1125" s="600" t="str">
        <f ca="1">IF(COUNTIF(G1128:G1137,"P")&gt;0,"P","")</f>
        <v/>
      </c>
      <c r="H1125" s="403" t="s">
        <v>4325</v>
      </c>
      <c r="I1125" s="32">
        <v>703.6</v>
      </c>
      <c r="J1125" s="104"/>
      <c r="K1125" s="104"/>
      <c r="L1125" s="110" t="s">
        <v>1128</v>
      </c>
      <c r="M1125" s="43"/>
      <c r="N1125" s="85"/>
      <c r="O1125" s="85"/>
      <c r="Z1125" s="543"/>
      <c r="BJ1125" s="573" t="s">
        <v>4670</v>
      </c>
    </row>
    <row r="1126" spans="1:62" x14ac:dyDescent="0.35">
      <c r="A1126" s="403">
        <v>7</v>
      </c>
      <c r="B1126" s="609" t="s">
        <v>1129</v>
      </c>
      <c r="C1126" s="613"/>
      <c r="D1126" s="604"/>
      <c r="E1126" s="604"/>
      <c r="F1126" s="604"/>
      <c r="G1126" s="600" t="str">
        <f ca="1">IF(COUNTIF(G1128:G1132,"P")&gt;0,"P","")</f>
        <v/>
      </c>
      <c r="H1126" s="403" t="s">
        <v>4325</v>
      </c>
      <c r="I1126" s="32" t="s">
        <v>1129</v>
      </c>
      <c r="J1126" s="104"/>
      <c r="K1126" s="104"/>
      <c r="L1126" s="783" t="s">
        <v>1130</v>
      </c>
      <c r="M1126" s="43"/>
      <c r="N1126" s="85"/>
      <c r="O1126" s="85"/>
      <c r="Z1126" s="543"/>
      <c r="BJ1126" s="573" t="s">
        <v>4670</v>
      </c>
    </row>
    <row r="1127" spans="1:62" x14ac:dyDescent="0.35">
      <c r="A1127" s="403">
        <v>7</v>
      </c>
      <c r="B1127" s="609" t="s">
        <v>1129</v>
      </c>
      <c r="C1127" s="613"/>
      <c r="D1127" s="604"/>
      <c r="E1127" s="604"/>
      <c r="F1127" s="604"/>
      <c r="G1127" s="403" t="str">
        <f t="shared" ref="G1127" ca="1" si="327">G1126</f>
        <v/>
      </c>
      <c r="H1127" s="403" t="s">
        <v>4325</v>
      </c>
      <c r="I1127" s="32"/>
      <c r="J1127" s="104"/>
      <c r="K1127" s="104"/>
      <c r="L1127" s="783"/>
      <c r="M1127" s="43"/>
      <c r="N1127" s="85"/>
      <c r="O1127" s="85"/>
      <c r="Z1127" s="543"/>
      <c r="BJ1127" s="573" t="s">
        <v>4670</v>
      </c>
    </row>
    <row r="1128" spans="1:62" x14ac:dyDescent="0.35">
      <c r="A1128" s="403">
        <v>7</v>
      </c>
      <c r="B1128" s="609" t="s">
        <v>1129</v>
      </c>
      <c r="C1128" s="613"/>
      <c r="D1128" s="604" t="s">
        <v>270</v>
      </c>
      <c r="E1128" s="604"/>
      <c r="F1128" s="604"/>
      <c r="G1128" s="403" t="str">
        <f ca="1">IF(N1128&gt;0,"P","")</f>
        <v/>
      </c>
      <c r="H1128" s="403" t="s">
        <v>4325</v>
      </c>
      <c r="I1128" s="4"/>
      <c r="J1128" s="175" t="s">
        <v>270</v>
      </c>
      <c r="K1128" s="104"/>
      <c r="L1128" s="747" t="s">
        <v>3877</v>
      </c>
      <c r="M1128" s="690">
        <f>IFERROR(INDEX({3,3,3,2,2,2,2,2},BF781),0)</f>
        <v>2</v>
      </c>
      <c r="N1128" s="696">
        <f ca="1">'Ch7'!O364</f>
        <v>0</v>
      </c>
      <c r="O1128" s="696">
        <f ca="1">M1128*S1128*W1128</f>
        <v>0</v>
      </c>
      <c r="P1128" t="b">
        <v>0</v>
      </c>
      <c r="Q1128" t="b">
        <v>1</v>
      </c>
      <c r="R1128" t="b">
        <v>0</v>
      </c>
      <c r="S1128" t="b">
        <f ca="1">AND(S777=2,NOT(W1132),NOT(W1130))</f>
        <v>0</v>
      </c>
      <c r="T1128" t="b">
        <f ca="1">AND(NOT(S1128),W1128=TRUE)</f>
        <v>0</v>
      </c>
      <c r="W1128" s="17"/>
      <c r="X1128" s="688"/>
      <c r="Y1128" s="891" t="str">
        <f>IF(LEN('Ch7'!X364)=0,"None",'Ch7'!X364)</f>
        <v>None</v>
      </c>
      <c r="Z1128" s="892"/>
      <c r="AC1128" t="b">
        <f ca="1">OR(AD1128:AE1128)</f>
        <v>0</v>
      </c>
      <c r="AD1128" t="b">
        <f ca="1">T1128</f>
        <v>0</v>
      </c>
      <c r="AE1128" t="b">
        <f>AND(R1128,NOT(W1128))</f>
        <v>0</v>
      </c>
      <c r="AF1128" t="b">
        <f>AND(AE1128,NOT(Q1128))</f>
        <v>0</v>
      </c>
      <c r="AL1128" t="str">
        <f t="shared" ref="AL1128" si="328">SUBSTITUTE(SUBSTITUTE(SUBSTITUTE("vpa"&amp;$B1128&amp;$C1128&amp;$D1128&amp;$E1128&amp;$F1128,".","_"),"(","_"),")","")</f>
        <v>vpa703_6_1_1</v>
      </c>
      <c r="AM1128">
        <f>M1128</f>
        <v>2</v>
      </c>
      <c r="AN1128" t="str">
        <f>SUBSTITUTE(SUBSTITUTE(SUBSTITUTE("vpc"&amp;$B1128&amp;$C1128&amp;$D1128&amp;$E1128&amp;$F1128,".","_"),"(","_"),")","")</f>
        <v>vpc703_6_1_1</v>
      </c>
      <c r="AO1128">
        <f ca="1">O1128</f>
        <v>0</v>
      </c>
      <c r="AP1128" t="str">
        <f>SUBSTITUTE(SUBSTITUTE(SUBSTITUTE("vch"&amp;$B1128&amp;$C1128&amp;$D1128&amp;$E1128&amp;$F1128,".","_"),"(","_"),")","")</f>
        <v>vch703_6_1_1</v>
      </c>
      <c r="AQ1128">
        <f>W1128</f>
        <v>0</v>
      </c>
      <c r="AR1128" t="str">
        <f>SUBSTITUTE(SUBSTITUTE(SUBSTITUTE("vnt"&amp;$B1128&amp;$C1128&amp;$D1128&amp;$E1128&amp;$F1128,".","_"),"(","_"),")","")</f>
        <v>vnt703_6_1_1</v>
      </c>
      <c r="AS1128">
        <f>X1128</f>
        <v>0</v>
      </c>
      <c r="BJ1128" s="573" t="s">
        <v>4670</v>
      </c>
    </row>
    <row r="1129" spans="1:62" x14ac:dyDescent="0.35">
      <c r="A1129" s="403">
        <v>7</v>
      </c>
      <c r="B1129" s="609" t="s">
        <v>1129</v>
      </c>
      <c r="C1129" s="613"/>
      <c r="D1129" s="604" t="s">
        <v>270</v>
      </c>
      <c r="E1129" s="604"/>
      <c r="F1129" s="604"/>
      <c r="G1129" s="403" t="str">
        <f t="shared" ref="G1129" ca="1" si="329">G1128</f>
        <v/>
      </c>
      <c r="H1129" s="403" t="s">
        <v>4325</v>
      </c>
      <c r="I1129" s="4"/>
      <c r="J1129" s="359"/>
      <c r="K1129" s="214"/>
      <c r="L1129" s="786"/>
      <c r="M1129" s="691"/>
      <c r="N1129" s="697"/>
      <c r="O1129" s="697"/>
      <c r="X1129" s="688"/>
      <c r="Y1129" s="891"/>
      <c r="Z1129" s="892"/>
      <c r="BJ1129" s="573" t="s">
        <v>4670</v>
      </c>
    </row>
    <row r="1130" spans="1:62" x14ac:dyDescent="0.35">
      <c r="A1130" s="403">
        <v>7</v>
      </c>
      <c r="B1130" s="609" t="s">
        <v>1129</v>
      </c>
      <c r="C1130" s="613"/>
      <c r="D1130" s="604" t="s">
        <v>272</v>
      </c>
      <c r="E1130" s="604"/>
      <c r="F1130" s="604"/>
      <c r="G1130" s="403" t="str">
        <f ca="1">IF(N1130&gt;0,"P","")</f>
        <v/>
      </c>
      <c r="H1130" s="403" t="s">
        <v>4325</v>
      </c>
      <c r="I1130" s="4"/>
      <c r="J1130" s="378" t="s">
        <v>272</v>
      </c>
      <c r="K1130" s="320"/>
      <c r="L1130" s="742" t="s">
        <v>1131</v>
      </c>
      <c r="M1130" s="712">
        <v>1</v>
      </c>
      <c r="N1130" s="713">
        <f ca="1">'Ch7'!O366</f>
        <v>0</v>
      </c>
      <c r="O1130" s="713">
        <f ca="1">M1130*S1130*W1130</f>
        <v>0</v>
      </c>
      <c r="P1130" t="b">
        <v>0</v>
      </c>
      <c r="Q1130" t="b">
        <v>1</v>
      </c>
      <c r="R1130" t="b">
        <v>0</v>
      </c>
      <c r="S1130" t="b">
        <f ca="1">AND(S777=2,NOT(W1132),NOT(W1128))</f>
        <v>0</v>
      </c>
      <c r="T1130" t="b">
        <f ca="1">AND(NOT(S1130),W1130=TRUE)</f>
        <v>0</v>
      </c>
      <c r="W1130" s="17"/>
      <c r="X1130" s="688"/>
      <c r="Y1130" s="891" t="str">
        <f>IF(LEN('Ch7'!X366)=0,"None",'Ch7'!X366)</f>
        <v>None</v>
      </c>
      <c r="Z1130" s="892"/>
      <c r="AC1130" t="b">
        <f ca="1">OR(AD1130:AE1130)</f>
        <v>0</v>
      </c>
      <c r="AD1130" t="b">
        <f ca="1">T1130</f>
        <v>0</v>
      </c>
      <c r="AE1130" t="b">
        <f>AND(R1130,NOT(W1130))</f>
        <v>0</v>
      </c>
      <c r="AF1130" t="b">
        <f>AND(AE1130,NOT(Q1130))</f>
        <v>0</v>
      </c>
      <c r="AL1130" t="str">
        <f t="shared" ref="AL1130" si="330">SUBSTITUTE(SUBSTITUTE(SUBSTITUTE("vpa"&amp;$B1130&amp;$C1130&amp;$D1130&amp;$E1130&amp;$F1130,".","_"),"(","_"),")","")</f>
        <v>vpa703_6_1_2</v>
      </c>
      <c r="AM1130">
        <f>M1130</f>
        <v>1</v>
      </c>
      <c r="AN1130" t="str">
        <f>SUBSTITUTE(SUBSTITUTE(SUBSTITUTE("vpc"&amp;$B1130&amp;$C1130&amp;$D1130&amp;$E1130&amp;$F1130,".","_"),"(","_"),")","")</f>
        <v>vpc703_6_1_2</v>
      </c>
      <c r="AO1130">
        <f ca="1">O1130</f>
        <v>0</v>
      </c>
      <c r="AP1130" t="str">
        <f>SUBSTITUTE(SUBSTITUTE(SUBSTITUTE("vch"&amp;$B1130&amp;$C1130&amp;$D1130&amp;$E1130&amp;$F1130,".","_"),"(","_"),")","")</f>
        <v>vch703_6_1_2</v>
      </c>
      <c r="AQ1130">
        <f>W1130</f>
        <v>0</v>
      </c>
      <c r="AR1130" t="str">
        <f>SUBSTITUTE(SUBSTITUTE(SUBSTITUTE("vnt"&amp;$B1130&amp;$C1130&amp;$D1130&amp;$E1130&amp;$F1130,".","_"),"(","_"),")","")</f>
        <v>vnt703_6_1_2</v>
      </c>
      <c r="AS1130">
        <f>X1130</f>
        <v>0</v>
      </c>
      <c r="BJ1130" s="573" t="s">
        <v>4670</v>
      </c>
    </row>
    <row r="1131" spans="1:62" x14ac:dyDescent="0.35">
      <c r="A1131" s="403">
        <v>7</v>
      </c>
      <c r="B1131" s="609" t="s">
        <v>1129</v>
      </c>
      <c r="C1131" s="613"/>
      <c r="D1131" s="604" t="s">
        <v>272</v>
      </c>
      <c r="E1131" s="604"/>
      <c r="F1131" s="604"/>
      <c r="G1131" s="403" t="str">
        <f t="shared" ref="G1131" ca="1" si="331">G1130</f>
        <v/>
      </c>
      <c r="H1131" s="403" t="s">
        <v>4325</v>
      </c>
      <c r="I1131" s="4"/>
      <c r="J1131" s="214"/>
      <c r="K1131" s="214"/>
      <c r="L1131" s="709"/>
      <c r="M1131" s="691"/>
      <c r="N1131" s="697"/>
      <c r="O1131" s="697"/>
      <c r="X1131" s="688"/>
      <c r="Y1131" s="891"/>
      <c r="Z1131" s="892"/>
      <c r="BJ1131" s="573" t="s">
        <v>4670</v>
      </c>
    </row>
    <row r="1132" spans="1:62" x14ac:dyDescent="0.35">
      <c r="A1132" s="403">
        <v>7</v>
      </c>
      <c r="B1132" s="609" t="s">
        <v>1129</v>
      </c>
      <c r="C1132" s="613"/>
      <c r="D1132" s="604" t="s">
        <v>274</v>
      </c>
      <c r="E1132" s="604"/>
      <c r="F1132" s="604"/>
      <c r="G1132" s="403" t="str">
        <f ca="1">IF(N1132&gt;0,"P","")</f>
        <v/>
      </c>
      <c r="H1132" s="403" t="s">
        <v>4325</v>
      </c>
      <c r="I1132" s="4"/>
      <c r="J1132" s="175" t="s">
        <v>274</v>
      </c>
      <c r="K1132" s="104"/>
      <c r="L1132" s="707" t="s">
        <v>1132</v>
      </c>
      <c r="M1132" s="690">
        <v>7</v>
      </c>
      <c r="N1132" s="696">
        <f ca="1">'Ch7'!O368</f>
        <v>0</v>
      </c>
      <c r="O1132" s="696">
        <f ca="1">M1132*S1132*W1132</f>
        <v>0</v>
      </c>
      <c r="P1132" t="b">
        <v>0</v>
      </c>
      <c r="Q1132" t="b">
        <v>1</v>
      </c>
      <c r="R1132" t="b">
        <v>0</v>
      </c>
      <c r="S1132" t="b">
        <f ca="1">AND(S777=2,IF($AY$18=INDEX(ddSingleOrMulti,2),TRUE,FALSE),NOT(W1130),NOT(W1128))</f>
        <v>0</v>
      </c>
      <c r="T1132" t="b">
        <f ca="1">AND(NOT(S1132),W1132=TRUE)</f>
        <v>0</v>
      </c>
      <c r="W1132" s="17"/>
      <c r="X1132" s="688"/>
      <c r="Y1132" s="891" t="str">
        <f>IF(LEN('Ch7'!X368)=0,"None",'Ch7'!X368)</f>
        <v>None</v>
      </c>
      <c r="Z1132" s="892"/>
      <c r="AC1132" t="b">
        <f ca="1">OR(AD1132:AE1132)</f>
        <v>0</v>
      </c>
      <c r="AD1132" t="b">
        <f ca="1">T1132</f>
        <v>0</v>
      </c>
      <c r="AE1132" t="b">
        <f>AND(R1132,NOT(W1132))</f>
        <v>0</v>
      </c>
      <c r="AF1132" t="b">
        <f>AND(AE1132,NOT(Q1132))</f>
        <v>0</v>
      </c>
      <c r="AL1132" t="str">
        <f t="shared" ref="AL1132" si="332">SUBSTITUTE(SUBSTITUTE(SUBSTITUTE("vpa"&amp;$B1132&amp;$C1132&amp;$D1132&amp;$E1132&amp;$F1132,".","_"),"(","_"),")","")</f>
        <v>vpa703_6_1_3</v>
      </c>
      <c r="AM1132">
        <f>M1132</f>
        <v>7</v>
      </c>
      <c r="AN1132" t="str">
        <f>SUBSTITUTE(SUBSTITUTE(SUBSTITUTE("vpc"&amp;$B1132&amp;$C1132&amp;$D1132&amp;$E1132&amp;$F1132,".","_"),"(","_"),")","")</f>
        <v>vpc703_6_1_3</v>
      </c>
      <c r="AO1132">
        <f ca="1">O1132</f>
        <v>0</v>
      </c>
      <c r="AP1132" t="str">
        <f>SUBSTITUTE(SUBSTITUTE(SUBSTITUTE("vch"&amp;$B1132&amp;$C1132&amp;$D1132&amp;$E1132&amp;$F1132,".","_"),"(","_"),")","")</f>
        <v>vch703_6_1_3</v>
      </c>
      <c r="AQ1132">
        <f>W1132</f>
        <v>0</v>
      </c>
      <c r="AR1132" t="str">
        <f>SUBSTITUTE(SUBSTITUTE(SUBSTITUTE("vnt"&amp;$B1132&amp;$C1132&amp;$D1132&amp;$E1132&amp;$F1132,".","_"),"(","_"),")","")</f>
        <v>vnt703_6_1_3</v>
      </c>
      <c r="AS1132">
        <f>X1132</f>
        <v>0</v>
      </c>
      <c r="BJ1132" s="573" t="s">
        <v>4670</v>
      </c>
    </row>
    <row r="1133" spans="1:62" x14ac:dyDescent="0.35">
      <c r="A1133" s="403">
        <v>7</v>
      </c>
      <c r="B1133" s="609" t="s">
        <v>1129</v>
      </c>
      <c r="C1133" s="613"/>
      <c r="D1133" s="604" t="s">
        <v>274</v>
      </c>
      <c r="E1133" s="604"/>
      <c r="F1133" s="604"/>
      <c r="G1133" s="403" t="str">
        <f t="shared" ref="G1133" ca="1" si="333">G1132</f>
        <v/>
      </c>
      <c r="H1133" s="403" t="s">
        <v>4325</v>
      </c>
      <c r="I1133" s="155"/>
      <c r="J1133" s="214"/>
      <c r="K1133" s="214"/>
      <c r="L1133" s="709"/>
      <c r="M1133" s="691"/>
      <c r="N1133" s="697"/>
      <c r="O1133" s="697"/>
      <c r="P1133" s="119"/>
      <c r="Q1133" s="119"/>
      <c r="R1133" s="119"/>
      <c r="S1133" s="119"/>
      <c r="T1133" s="119"/>
      <c r="U1133" s="119"/>
      <c r="V1133" s="119"/>
      <c r="W1133" s="119"/>
      <c r="X1133" s="688"/>
      <c r="Y1133" s="891"/>
      <c r="Z1133" s="892"/>
      <c r="BJ1133" s="573" t="s">
        <v>4670</v>
      </c>
    </row>
    <row r="1134" spans="1:62" x14ac:dyDescent="0.35">
      <c r="A1134" s="403">
        <v>7</v>
      </c>
      <c r="B1134" s="609" t="s">
        <v>1133</v>
      </c>
      <c r="C1134" s="613"/>
      <c r="D1134" s="604"/>
      <c r="E1134" s="604"/>
      <c r="F1134" s="604"/>
      <c r="G1134" s="600" t="str">
        <f ca="1">IF(COUNTIF(G1135:G1137,"P")&gt;0,"P","")</f>
        <v/>
      </c>
      <c r="H1134" s="403" t="s">
        <v>4325</v>
      </c>
      <c r="I1134" s="34" t="s">
        <v>1133</v>
      </c>
      <c r="J1134" s="104"/>
      <c r="K1134" s="104"/>
      <c r="L1134" s="110" t="s">
        <v>1134</v>
      </c>
      <c r="M1134" s="43"/>
      <c r="N1134" s="85"/>
      <c r="O1134" s="85"/>
      <c r="Z1134" s="543"/>
      <c r="BJ1134" s="573" t="s">
        <v>4670</v>
      </c>
    </row>
    <row r="1135" spans="1:62" x14ac:dyDescent="0.35">
      <c r="A1135" s="403">
        <v>7</v>
      </c>
      <c r="B1135" s="609" t="s">
        <v>1133</v>
      </c>
      <c r="C1135" s="613"/>
      <c r="D1135" s="604" t="s">
        <v>270</v>
      </c>
      <c r="E1135" s="604"/>
      <c r="F1135" s="604"/>
      <c r="G1135" s="403" t="str">
        <f ca="1">IF(N1135&gt;0,"P","")</f>
        <v/>
      </c>
      <c r="H1135" s="403" t="s">
        <v>4325</v>
      </c>
      <c r="I1135" s="4"/>
      <c r="J1135" s="359" t="s">
        <v>270</v>
      </c>
      <c r="K1135" s="214"/>
      <c r="L1135" s="381" t="s">
        <v>1135</v>
      </c>
      <c r="M1135" s="198">
        <v>1</v>
      </c>
      <c r="N1135" s="342">
        <f ca="1">'Ch7'!O371</f>
        <v>0</v>
      </c>
      <c r="O1135" s="342">
        <f ca="1">M1135*S1135*W1135</f>
        <v>0</v>
      </c>
      <c r="P1135" t="b">
        <v>0</v>
      </c>
      <c r="Q1135" t="b">
        <v>1</v>
      </c>
      <c r="R1135" t="b">
        <v>0</v>
      </c>
      <c r="S1135" t="b">
        <f ca="1">(S777=2)</f>
        <v>0</v>
      </c>
      <c r="T1135" t="b">
        <f ca="1">AND(NOT(S1135),W1135=TRUE)</f>
        <v>0</v>
      </c>
      <c r="W1135" s="17"/>
      <c r="X1135" s="39"/>
      <c r="Y1135" s="200" t="str">
        <f>IF(LEN('Ch7'!X371)=0,"None",'Ch7'!X371)</f>
        <v>None</v>
      </c>
      <c r="Z1135" s="563"/>
      <c r="AC1135" t="b">
        <f ca="1">OR(AD1135:AE1135)</f>
        <v>0</v>
      </c>
      <c r="AD1135" t="b">
        <f ca="1">T1135</f>
        <v>0</v>
      </c>
      <c r="AE1135" t="b">
        <f>AND(R1135,NOT(W1135))</f>
        <v>0</v>
      </c>
      <c r="AF1135" t="b">
        <f t="shared" ref="AF1135:AF1137" si="334">AND(AE1135,NOT(Q1135))</f>
        <v>0</v>
      </c>
      <c r="AL1135" t="str">
        <f t="shared" ref="AL1135:AL1137" si="335">SUBSTITUTE(SUBSTITUTE(SUBSTITUTE("vpa"&amp;$B1135&amp;$C1135&amp;$D1135&amp;$E1135&amp;$F1135,".","_"),"(","_"),")","")</f>
        <v>vpa703_6_2 _1</v>
      </c>
      <c r="AM1135">
        <f>M1135</f>
        <v>1</v>
      </c>
      <c r="AN1135" t="str">
        <f t="shared" ref="AN1135:AN1137" si="336">SUBSTITUTE(SUBSTITUTE(SUBSTITUTE("vpc"&amp;$B1135&amp;$C1135&amp;$D1135&amp;$E1135&amp;$F1135,".","_"),"(","_"),")","")</f>
        <v>vpc703_6_2 _1</v>
      </c>
      <c r="AO1135">
        <f ca="1">O1135</f>
        <v>0</v>
      </c>
      <c r="AP1135" t="str">
        <f t="shared" ref="AP1135:AP1137" si="337">SUBSTITUTE(SUBSTITUTE(SUBSTITUTE("vch"&amp;$B1135&amp;$C1135&amp;$D1135&amp;$E1135&amp;$F1135,".","_"),"(","_"),")","")</f>
        <v>vch703_6_2 _1</v>
      </c>
      <c r="AQ1135">
        <f>W1135</f>
        <v>0</v>
      </c>
      <c r="AR1135" t="str">
        <f t="shared" ref="AR1135:AR1137" si="338">SUBSTITUTE(SUBSTITUTE(SUBSTITUTE("vnt"&amp;$B1135&amp;$C1135&amp;$D1135&amp;$E1135&amp;$F1135,".","_"),"(","_"),")","")</f>
        <v>vnt703_6_2 _1</v>
      </c>
      <c r="AS1135">
        <f>X1135</f>
        <v>0</v>
      </c>
      <c r="BJ1135" s="573" t="s">
        <v>4670</v>
      </c>
    </row>
    <row r="1136" spans="1:62" x14ac:dyDescent="0.35">
      <c r="A1136" s="403">
        <v>7</v>
      </c>
      <c r="B1136" s="609" t="s">
        <v>1133</v>
      </c>
      <c r="C1136" s="613"/>
      <c r="D1136" s="604" t="s">
        <v>272</v>
      </c>
      <c r="E1136" s="604"/>
      <c r="F1136" s="604"/>
      <c r="G1136" s="403" t="str">
        <f ca="1">IF(N1136&gt;0,"P","")</f>
        <v/>
      </c>
      <c r="H1136" s="403" t="s">
        <v>4325</v>
      </c>
      <c r="I1136" s="4"/>
      <c r="J1136" s="379" t="s">
        <v>272</v>
      </c>
      <c r="K1136" s="220"/>
      <c r="L1136" s="220" t="s">
        <v>1136</v>
      </c>
      <c r="M1136" s="153">
        <v>1</v>
      </c>
      <c r="N1136" s="313">
        <f ca="1">'Ch7'!O372</f>
        <v>0</v>
      </c>
      <c r="O1136" s="313">
        <f ca="1">M1136*S1136*W1136</f>
        <v>0</v>
      </c>
      <c r="P1136" t="b">
        <v>0</v>
      </c>
      <c r="Q1136" t="b">
        <v>1</v>
      </c>
      <c r="R1136" t="b">
        <v>0</v>
      </c>
      <c r="S1136" t="b">
        <f ca="1">(S777=2)</f>
        <v>0</v>
      </c>
      <c r="T1136" t="b">
        <f ca="1">AND(NOT(S1136),W1136=TRUE)</f>
        <v>0</v>
      </c>
      <c r="W1136" s="17"/>
      <c r="X1136" s="39"/>
      <c r="Y1136" s="200" t="str">
        <f>IF(LEN('Ch7'!X372)=0,"None",'Ch7'!X372)</f>
        <v>None</v>
      </c>
      <c r="Z1136" s="563"/>
      <c r="AC1136" t="b">
        <f ca="1">OR(AD1136:AE1136)</f>
        <v>0</v>
      </c>
      <c r="AD1136" t="b">
        <f ca="1">T1136</f>
        <v>0</v>
      </c>
      <c r="AE1136" t="b">
        <f>AND(R1136,NOT(W1136))</f>
        <v>0</v>
      </c>
      <c r="AF1136" t="b">
        <f t="shared" si="334"/>
        <v>0</v>
      </c>
      <c r="AL1136" t="str">
        <f t="shared" si="335"/>
        <v>vpa703_6_2 _2</v>
      </c>
      <c r="AM1136">
        <f>M1136</f>
        <v>1</v>
      </c>
      <c r="AN1136" t="str">
        <f t="shared" si="336"/>
        <v>vpc703_6_2 _2</v>
      </c>
      <c r="AO1136">
        <f ca="1">O1136</f>
        <v>0</v>
      </c>
      <c r="AP1136" t="str">
        <f t="shared" si="337"/>
        <v>vch703_6_2 _2</v>
      </c>
      <c r="AQ1136">
        <f>W1136</f>
        <v>0</v>
      </c>
      <c r="AR1136" t="str">
        <f t="shared" si="338"/>
        <v>vnt703_6_2 _2</v>
      </c>
      <c r="AS1136">
        <f>X1136</f>
        <v>0</v>
      </c>
      <c r="BJ1136" s="573" t="s">
        <v>4670</v>
      </c>
    </row>
    <row r="1137" spans="1:62" x14ac:dyDescent="0.35">
      <c r="A1137" s="403">
        <v>7</v>
      </c>
      <c r="B1137" s="609" t="s">
        <v>1133</v>
      </c>
      <c r="C1137" s="613"/>
      <c r="D1137" s="604" t="s">
        <v>274</v>
      </c>
      <c r="E1137" s="604"/>
      <c r="F1137" s="604"/>
      <c r="G1137" s="403" t="str">
        <f ca="1">IF(N1137&gt;0,"P","")</f>
        <v/>
      </c>
      <c r="H1137" s="403" t="s">
        <v>4325</v>
      </c>
      <c r="I1137" s="4"/>
      <c r="J1137" s="175" t="s">
        <v>274</v>
      </c>
      <c r="K1137" s="104"/>
      <c r="L1137" s="104" t="s">
        <v>1137</v>
      </c>
      <c r="M1137" s="43">
        <v>4</v>
      </c>
      <c r="N1137" s="85">
        <f ca="1">'Ch7'!O373</f>
        <v>0</v>
      </c>
      <c r="O1137" s="85">
        <f ca="1">M1137*S1137*W1137</f>
        <v>0</v>
      </c>
      <c r="P1137" t="b">
        <v>0</v>
      </c>
      <c r="Q1137" t="b">
        <v>1</v>
      </c>
      <c r="R1137" t="b">
        <v>0</v>
      </c>
      <c r="S1137" t="b">
        <f ca="1">(S777=2)</f>
        <v>0</v>
      </c>
      <c r="T1137" t="b">
        <f ca="1">AND(NOT(S1137),W1137=TRUE)</f>
        <v>0</v>
      </c>
      <c r="W1137" s="17"/>
      <c r="X1137" s="688"/>
      <c r="Y1137" s="891" t="str">
        <f>IF(LEN('Ch7'!X373)=0,"None",'Ch7'!X373)</f>
        <v>None</v>
      </c>
      <c r="Z1137" s="892"/>
      <c r="AC1137" t="b">
        <f ca="1">OR(AD1137:AE1137)</f>
        <v>0</v>
      </c>
      <c r="AD1137" t="b">
        <f ca="1">T1137</f>
        <v>0</v>
      </c>
      <c r="AE1137" t="b">
        <f>AND(R1137,NOT(W1137))</f>
        <v>0</v>
      </c>
      <c r="AF1137" t="b">
        <f t="shared" si="334"/>
        <v>0</v>
      </c>
      <c r="AL1137" t="str">
        <f t="shared" si="335"/>
        <v>vpa703_6_2 _3</v>
      </c>
      <c r="AM1137">
        <f>M1137</f>
        <v>4</v>
      </c>
      <c r="AN1137" t="str">
        <f t="shared" si="336"/>
        <v>vpc703_6_2 _3</v>
      </c>
      <c r="AO1137">
        <f ca="1">O1137</f>
        <v>0</v>
      </c>
      <c r="AP1137" t="str">
        <f t="shared" si="337"/>
        <v>vch703_6_2 _3</v>
      </c>
      <c r="AQ1137">
        <f>W1137</f>
        <v>0</v>
      </c>
      <c r="AR1137" t="str">
        <f t="shared" si="338"/>
        <v>vnt703_6_2 _3</v>
      </c>
      <c r="AS1137">
        <f>X1137</f>
        <v>0</v>
      </c>
      <c r="BJ1137" s="573" t="s">
        <v>4670</v>
      </c>
    </row>
    <row r="1138" spans="1:62" ht="15" thickBot="1" x14ac:dyDescent="0.4">
      <c r="A1138" s="403">
        <v>7</v>
      </c>
      <c r="B1138" s="609" t="s">
        <v>1133</v>
      </c>
      <c r="C1138" s="613"/>
      <c r="D1138" s="604" t="s">
        <v>274</v>
      </c>
      <c r="E1138" s="604"/>
      <c r="F1138" s="604"/>
      <c r="G1138" s="403" t="str">
        <f t="shared" ref="G1138" ca="1" si="339">G1137</f>
        <v/>
      </c>
      <c r="H1138" s="403" t="s">
        <v>4325</v>
      </c>
      <c r="I1138" s="183"/>
      <c r="J1138" s="348"/>
      <c r="K1138" s="223"/>
      <c r="L1138" s="122" t="s">
        <v>3872</v>
      </c>
      <c r="M1138" s="270"/>
      <c r="N1138" s="184"/>
      <c r="O1138" s="184"/>
      <c r="P1138" s="58"/>
      <c r="Q1138" s="58"/>
      <c r="R1138" s="58"/>
      <c r="S1138" s="58"/>
      <c r="T1138" s="58"/>
      <c r="U1138" s="58"/>
      <c r="V1138" s="58"/>
      <c r="W1138" s="58"/>
      <c r="X1138" s="689"/>
      <c r="Y1138" s="905"/>
      <c r="Z1138" s="895"/>
      <c r="BJ1138" s="573" t="s">
        <v>4670</v>
      </c>
    </row>
    <row r="1139" spans="1:62" ht="15" thickTop="1" x14ac:dyDescent="0.35">
      <c r="A1139" s="403">
        <v>7</v>
      </c>
      <c r="B1139" s="609">
        <v>703.7</v>
      </c>
      <c r="C1139" s="613"/>
      <c r="D1139" s="604"/>
      <c r="E1139" s="604"/>
      <c r="F1139" s="604"/>
      <c r="G1139" s="600" t="str">
        <f ca="1">IF(COUNTIF(G1140:G1197,"P")&gt;0,"P","")</f>
        <v/>
      </c>
      <c r="H1139" s="403" t="s">
        <v>4323</v>
      </c>
      <c r="I1139" s="33">
        <v>703.7</v>
      </c>
      <c r="J1139" s="104"/>
      <c r="K1139" s="104"/>
      <c r="L1139" s="110" t="s">
        <v>1138</v>
      </c>
      <c r="M1139" s="43"/>
      <c r="N1139" s="85"/>
      <c r="O1139" s="85"/>
      <c r="Z1139" s="543"/>
      <c r="BJ1139" s="573" t="s">
        <v>4670</v>
      </c>
    </row>
    <row r="1140" spans="1:62" x14ac:dyDescent="0.35">
      <c r="A1140" s="403">
        <v>7</v>
      </c>
      <c r="B1140" s="609" t="s">
        <v>1139</v>
      </c>
      <c r="C1140" s="613"/>
      <c r="D1140" s="604"/>
      <c r="E1140" s="604"/>
      <c r="F1140" s="604"/>
      <c r="G1140" s="403" t="str">
        <f ca="1">IF(N1140&gt;0,"P","")</f>
        <v/>
      </c>
      <c r="H1140" s="403" t="s">
        <v>4323</v>
      </c>
      <c r="I1140" s="33" t="s">
        <v>1139</v>
      </c>
      <c r="J1140" s="104"/>
      <c r="K1140" s="104"/>
      <c r="L1140" s="706" t="s">
        <v>1140</v>
      </c>
      <c r="M1140" s="690">
        <v>4</v>
      </c>
      <c r="N1140" s="696">
        <f ca="1">'Ch7'!O376</f>
        <v>0</v>
      </c>
      <c r="O1140" s="696">
        <f ca="1">M1140*S1140*W1140</f>
        <v>0</v>
      </c>
      <c r="P1140" t="b">
        <v>1</v>
      </c>
      <c r="Q1140" t="b">
        <v>1</v>
      </c>
      <c r="R1140" t="b">
        <v>0</v>
      </c>
      <c r="S1140" t="b">
        <f ca="1">(S777=2)</f>
        <v>0</v>
      </c>
      <c r="T1140" t="b">
        <f ca="1">AND(NOT(S1140),W1140=TRUE)</f>
        <v>0</v>
      </c>
      <c r="W1140" s="17"/>
      <c r="Z1140" s="543"/>
      <c r="AC1140" t="b">
        <f ca="1">OR(AD1140:AE1140)</f>
        <v>0</v>
      </c>
      <c r="AD1140" t="b">
        <f ca="1">T1140</f>
        <v>0</v>
      </c>
      <c r="AE1140" t="b">
        <f>AND(R1140,NOT(W1140))</f>
        <v>0</v>
      </c>
      <c r="AF1140" t="b">
        <f>AND(AE1140,NOT(Q1140))</f>
        <v>0</v>
      </c>
      <c r="AL1140" t="str">
        <f t="shared" ref="AL1140" si="340">SUBSTITUTE(SUBSTITUTE(SUBSTITUTE("vpa"&amp;$B1140&amp;$C1140&amp;$D1140&amp;$E1140&amp;$F1140,".","_"),"(","_"),")","")</f>
        <v>vpa703_7_1</v>
      </c>
      <c r="AM1140">
        <f>M1140</f>
        <v>4</v>
      </c>
      <c r="AN1140" t="str">
        <f>SUBSTITUTE(SUBSTITUTE(SUBSTITUTE("vpc"&amp;$B1140&amp;$C1140&amp;$D1140&amp;$E1140&amp;$F1140,".","_"),"(","_"),")","")</f>
        <v>vpc703_7_1</v>
      </c>
      <c r="AO1140">
        <f ca="1">O1140</f>
        <v>0</v>
      </c>
      <c r="AP1140" t="str">
        <f>SUBSTITUTE(SUBSTITUTE(SUBSTITUTE("vch"&amp;$B1140&amp;$C1140&amp;$D1140&amp;$E1140&amp;$F1140,".","_"),"(","_"),")","")</f>
        <v>vch703_7_1</v>
      </c>
      <c r="AQ1140">
        <f>W1140</f>
        <v>0</v>
      </c>
      <c r="BJ1140" s="573" t="s">
        <v>4670</v>
      </c>
    </row>
    <row r="1141" spans="1:62" x14ac:dyDescent="0.35">
      <c r="A1141" s="403">
        <v>7</v>
      </c>
      <c r="B1141" s="609" t="s">
        <v>1139</v>
      </c>
      <c r="C1141" s="613"/>
      <c r="D1141" s="604"/>
      <c r="E1141" s="604"/>
      <c r="F1141" s="604"/>
      <c r="G1141" s="403" t="str">
        <f t="shared" ref="G1141:G1167" ca="1" si="341">G1140</f>
        <v/>
      </c>
      <c r="H1141" s="403" t="s">
        <v>4323</v>
      </c>
      <c r="I1141" s="4"/>
      <c r="J1141" s="104"/>
      <c r="K1141" s="104"/>
      <c r="L1141" s="706"/>
      <c r="M1141" s="690"/>
      <c r="N1141" s="696"/>
      <c r="O1141" s="696"/>
      <c r="Z1141" s="543"/>
      <c r="BJ1141" s="573" t="s">
        <v>4670</v>
      </c>
    </row>
    <row r="1142" spans="1:62" x14ac:dyDescent="0.35">
      <c r="A1142" s="403">
        <v>7</v>
      </c>
      <c r="B1142" s="609" t="s">
        <v>1139</v>
      </c>
      <c r="C1142" s="613"/>
      <c r="D1142" s="604" t="s">
        <v>270</v>
      </c>
      <c r="E1142" s="604"/>
      <c r="F1142" s="604"/>
      <c r="G1142" s="403" t="str">
        <f t="shared" ca="1" si="341"/>
        <v/>
      </c>
      <c r="H1142" s="403" t="s">
        <v>4323</v>
      </c>
      <c r="I1142" s="4"/>
      <c r="J1142" s="175" t="s">
        <v>270</v>
      </c>
      <c r="K1142" s="104"/>
      <c r="L1142" s="707" t="s">
        <v>1141</v>
      </c>
      <c r="M1142" s="43"/>
      <c r="N1142" s="85"/>
      <c r="O1142" s="85"/>
      <c r="X1142" s="688"/>
      <c r="Y1142" s="891" t="str">
        <f>IF(LEN('Ch7'!X378)=0,"None",'Ch7'!X378)</f>
        <v>None</v>
      </c>
      <c r="Z1142" s="892"/>
      <c r="AR1142" t="str">
        <f>SUBSTITUTE(SUBSTITUTE(SUBSTITUTE("vnt"&amp;$B1142&amp;$C1142&amp;$D1142&amp;$E1142&amp;$F1142,".","_"),"(","_"),")","")</f>
        <v>vnt703_7_1_1</v>
      </c>
      <c r="AS1142">
        <f>X1142</f>
        <v>0</v>
      </c>
      <c r="BJ1142" s="573" t="s">
        <v>4670</v>
      </c>
    </row>
    <row r="1143" spans="1:62" x14ac:dyDescent="0.35">
      <c r="A1143" s="403">
        <v>7</v>
      </c>
      <c r="B1143" s="609" t="s">
        <v>1139</v>
      </c>
      <c r="C1143" s="613"/>
      <c r="D1143" s="604" t="s">
        <v>270</v>
      </c>
      <c r="E1143" s="604"/>
      <c r="F1143" s="604"/>
      <c r="G1143" s="403" t="str">
        <f t="shared" ca="1" si="341"/>
        <v/>
      </c>
      <c r="H1143" s="403" t="s">
        <v>4323</v>
      </c>
      <c r="I1143" s="4"/>
      <c r="J1143" s="359"/>
      <c r="K1143" s="214"/>
      <c r="L1143" s="709"/>
      <c r="M1143" s="43"/>
      <c r="N1143" s="85"/>
      <c r="O1143" s="85"/>
      <c r="X1143" s="688"/>
      <c r="Y1143" s="891"/>
      <c r="Z1143" s="892"/>
      <c r="BJ1143" s="573" t="s">
        <v>4670</v>
      </c>
    </row>
    <row r="1144" spans="1:62" x14ac:dyDescent="0.35">
      <c r="A1144" s="403">
        <v>7</v>
      </c>
      <c r="B1144" s="609" t="s">
        <v>1139</v>
      </c>
      <c r="C1144" s="613"/>
      <c r="D1144" s="604" t="s">
        <v>272</v>
      </c>
      <c r="E1144" s="604"/>
      <c r="F1144" s="604"/>
      <c r="G1144" s="403" t="str">
        <f t="shared" ca="1" si="341"/>
        <v/>
      </c>
      <c r="H1144" s="403" t="s">
        <v>4323</v>
      </c>
      <c r="I1144" s="4"/>
      <c r="J1144" s="378" t="s">
        <v>272</v>
      </c>
      <c r="K1144" s="320"/>
      <c r="L1144" s="742" t="s">
        <v>1142</v>
      </c>
      <c r="M1144" s="43"/>
      <c r="N1144" s="85"/>
      <c r="O1144" s="85"/>
      <c r="X1144" s="688"/>
      <c r="Y1144" s="891" t="str">
        <f>IF(LEN('Ch7'!X380)=0,"None",'Ch7'!X380)</f>
        <v>None</v>
      </c>
      <c r="Z1144" s="892"/>
      <c r="AR1144" t="str">
        <f>SUBSTITUTE(SUBSTITUTE(SUBSTITUTE("vnt"&amp;$B1144&amp;$C1144&amp;$D1144&amp;$E1144&amp;$F1144,".","_"),"(","_"),")","")</f>
        <v>vnt703_7_1_2</v>
      </c>
      <c r="AS1144">
        <f>X1144</f>
        <v>0</v>
      </c>
      <c r="BJ1144" s="573" t="s">
        <v>4670</v>
      </c>
    </row>
    <row r="1145" spans="1:62" x14ac:dyDescent="0.35">
      <c r="A1145" s="403">
        <v>7</v>
      </c>
      <c r="B1145" s="609" t="s">
        <v>1139</v>
      </c>
      <c r="C1145" s="613"/>
      <c r="D1145" s="604" t="s">
        <v>272</v>
      </c>
      <c r="E1145" s="604"/>
      <c r="F1145" s="604"/>
      <c r="G1145" s="403" t="str">
        <f t="shared" ca="1" si="341"/>
        <v/>
      </c>
      <c r="H1145" s="403" t="s">
        <v>4323</v>
      </c>
      <c r="I1145" s="4"/>
      <c r="J1145" s="359"/>
      <c r="K1145" s="214"/>
      <c r="L1145" s="709"/>
      <c r="M1145" s="43"/>
      <c r="N1145" s="85"/>
      <c r="O1145" s="85"/>
      <c r="X1145" s="688"/>
      <c r="Y1145" s="891"/>
      <c r="Z1145" s="892"/>
      <c r="BJ1145" s="573" t="s">
        <v>4670</v>
      </c>
    </row>
    <row r="1146" spans="1:62" x14ac:dyDescent="0.35">
      <c r="A1146" s="403">
        <v>7</v>
      </c>
      <c r="B1146" s="609" t="s">
        <v>1139</v>
      </c>
      <c r="C1146" s="613"/>
      <c r="D1146" s="604" t="s">
        <v>274</v>
      </c>
      <c r="E1146" s="604"/>
      <c r="F1146" s="604"/>
      <c r="G1146" s="403" t="str">
        <f t="shared" ca="1" si="341"/>
        <v/>
      </c>
      <c r="H1146" s="403" t="s">
        <v>4323</v>
      </c>
      <c r="I1146" s="4"/>
      <c r="J1146" s="378" t="s">
        <v>274</v>
      </c>
      <c r="K1146" s="320"/>
      <c r="L1146" s="742" t="s">
        <v>1143</v>
      </c>
      <c r="M1146" s="43"/>
      <c r="N1146" s="85"/>
      <c r="O1146" s="85"/>
      <c r="X1146" s="688"/>
      <c r="Y1146" s="891" t="str">
        <f>IF(LEN('Ch7'!X382)=0,"None",'Ch7'!X382)</f>
        <v>None</v>
      </c>
      <c r="Z1146" s="892"/>
      <c r="AR1146" t="str">
        <f>SUBSTITUTE(SUBSTITUTE(SUBSTITUTE("vnt"&amp;$B1146&amp;$C1146&amp;$D1146&amp;$E1146&amp;$F1146,".","_"),"(","_"),")","")</f>
        <v>vnt703_7_1_3</v>
      </c>
      <c r="AS1146">
        <f>X1146</f>
        <v>0</v>
      </c>
      <c r="BJ1146" s="573" t="s">
        <v>4670</v>
      </c>
    </row>
    <row r="1147" spans="1:62" x14ac:dyDescent="0.35">
      <c r="A1147" s="403">
        <v>7</v>
      </c>
      <c r="B1147" s="609" t="s">
        <v>1139</v>
      </c>
      <c r="C1147" s="613"/>
      <c r="D1147" s="604" t="s">
        <v>274</v>
      </c>
      <c r="E1147" s="604"/>
      <c r="F1147" s="604"/>
      <c r="G1147" s="403" t="str">
        <f t="shared" ca="1" si="341"/>
        <v/>
      </c>
      <c r="H1147" s="403" t="s">
        <v>4323</v>
      </c>
      <c r="I1147" s="4"/>
      <c r="J1147" s="214"/>
      <c r="K1147" s="214"/>
      <c r="L1147" s="709"/>
      <c r="M1147" s="43"/>
      <c r="N1147" s="85"/>
      <c r="O1147" s="85"/>
      <c r="X1147" s="688"/>
      <c r="Y1147" s="891"/>
      <c r="Z1147" s="892"/>
      <c r="BJ1147" s="573" t="s">
        <v>4670</v>
      </c>
    </row>
    <row r="1148" spans="1:62" x14ac:dyDescent="0.35">
      <c r="A1148" s="403">
        <v>7</v>
      </c>
      <c r="B1148" s="609" t="s">
        <v>1139</v>
      </c>
      <c r="C1148" s="613"/>
      <c r="D1148" s="604" t="s">
        <v>283</v>
      </c>
      <c r="E1148" s="604"/>
      <c r="F1148" s="604"/>
      <c r="G1148" s="403" t="str">
        <f t="shared" ca="1" si="341"/>
        <v/>
      </c>
      <c r="H1148" s="403" t="s">
        <v>4323</v>
      </c>
      <c r="I1148" s="4"/>
      <c r="J1148" s="378" t="s">
        <v>283</v>
      </c>
      <c r="K1148" s="320"/>
      <c r="L1148" s="742" t="s">
        <v>1144</v>
      </c>
      <c r="M1148" s="43"/>
      <c r="N1148" s="85"/>
      <c r="O1148" s="85"/>
      <c r="X1148" s="688"/>
      <c r="Y1148" s="891" t="str">
        <f>IF(LEN('Ch7'!X384)=0,"None",'Ch7'!X384)</f>
        <v>None</v>
      </c>
      <c r="Z1148" s="892"/>
      <c r="AR1148" t="str">
        <f>SUBSTITUTE(SUBSTITUTE(SUBSTITUTE("vnt"&amp;$B1148&amp;$C1148&amp;$D1148&amp;$E1148&amp;$F1148,".","_"),"(","_"),")","")</f>
        <v>vnt703_7_1_4</v>
      </c>
      <c r="AS1148">
        <f>X1148</f>
        <v>0</v>
      </c>
      <c r="BJ1148" s="573" t="s">
        <v>4670</v>
      </c>
    </row>
    <row r="1149" spans="1:62" x14ac:dyDescent="0.35">
      <c r="A1149" s="403">
        <v>7</v>
      </c>
      <c r="B1149" s="609" t="s">
        <v>1139</v>
      </c>
      <c r="C1149" s="613"/>
      <c r="D1149" s="604" t="s">
        <v>283</v>
      </c>
      <c r="E1149" s="604"/>
      <c r="F1149" s="604"/>
      <c r="G1149" s="403" t="str">
        <f t="shared" ca="1" si="341"/>
        <v/>
      </c>
      <c r="H1149" s="403" t="s">
        <v>4323</v>
      </c>
      <c r="I1149" s="4"/>
      <c r="J1149" s="214"/>
      <c r="K1149" s="214"/>
      <c r="L1149" s="709"/>
      <c r="M1149" s="43"/>
      <c r="N1149" s="85"/>
      <c r="O1149" s="85"/>
      <c r="X1149" s="688"/>
      <c r="Y1149" s="891"/>
      <c r="Z1149" s="892"/>
      <c r="BJ1149" s="573" t="s">
        <v>4670</v>
      </c>
    </row>
    <row r="1150" spans="1:62" x14ac:dyDescent="0.35">
      <c r="A1150" s="403">
        <v>7</v>
      </c>
      <c r="B1150" s="609" t="s">
        <v>1139</v>
      </c>
      <c r="C1150" s="613"/>
      <c r="D1150" s="604" t="s">
        <v>289</v>
      </c>
      <c r="E1150" s="604"/>
      <c r="F1150" s="604"/>
      <c r="G1150" s="403" t="str">
        <f t="shared" ca="1" si="341"/>
        <v/>
      </c>
      <c r="H1150" s="403" t="s">
        <v>4323</v>
      </c>
      <c r="I1150" s="4"/>
      <c r="J1150" s="378" t="s">
        <v>289</v>
      </c>
      <c r="K1150" s="320"/>
      <c r="L1150" s="742" t="s">
        <v>1145</v>
      </c>
      <c r="M1150" s="43"/>
      <c r="N1150" s="85"/>
      <c r="O1150" s="85"/>
      <c r="X1150" s="688"/>
      <c r="Y1150" s="891" t="str">
        <f>IF(LEN('Ch7'!X386)=0,"None",'Ch7'!X386)</f>
        <v>None</v>
      </c>
      <c r="Z1150" s="892"/>
      <c r="AR1150" t="str">
        <f>SUBSTITUTE(SUBSTITUTE(SUBSTITUTE("vnt"&amp;$B1150&amp;$C1150&amp;$D1150&amp;$E1150&amp;$F1150,".","_"),"(","_"),")","")</f>
        <v>vnt703_7_1_5</v>
      </c>
      <c r="AS1150">
        <f>X1150</f>
        <v>0</v>
      </c>
      <c r="BJ1150" s="573" t="s">
        <v>4670</v>
      </c>
    </row>
    <row r="1151" spans="1:62" x14ac:dyDescent="0.35">
      <c r="A1151" s="403">
        <v>7</v>
      </c>
      <c r="B1151" s="609" t="s">
        <v>1139</v>
      </c>
      <c r="C1151" s="613"/>
      <c r="D1151" s="604" t="s">
        <v>289</v>
      </c>
      <c r="E1151" s="604"/>
      <c r="F1151" s="604"/>
      <c r="G1151" s="403" t="str">
        <f t="shared" ca="1" si="341"/>
        <v/>
      </c>
      <c r="H1151" s="403" t="s">
        <v>4323</v>
      </c>
      <c r="I1151" s="4"/>
      <c r="J1151" s="214"/>
      <c r="K1151" s="214"/>
      <c r="L1151" s="709"/>
      <c r="M1151" s="43"/>
      <c r="N1151" s="85"/>
      <c r="O1151" s="85"/>
      <c r="X1151" s="688"/>
      <c r="Y1151" s="891"/>
      <c r="Z1151" s="892"/>
      <c r="BJ1151" s="573" t="s">
        <v>4670</v>
      </c>
    </row>
    <row r="1152" spans="1:62" x14ac:dyDescent="0.35">
      <c r="A1152" s="403">
        <v>7</v>
      </c>
      <c r="B1152" s="609" t="s">
        <v>1139</v>
      </c>
      <c r="C1152" s="613"/>
      <c r="D1152" s="604" t="s">
        <v>291</v>
      </c>
      <c r="E1152" s="604"/>
      <c r="F1152" s="604"/>
      <c r="G1152" s="403" t="str">
        <f t="shared" ca="1" si="341"/>
        <v/>
      </c>
      <c r="H1152" s="403" t="s">
        <v>4323</v>
      </c>
      <c r="I1152" s="4"/>
      <c r="J1152" s="175" t="s">
        <v>291</v>
      </c>
      <c r="K1152" s="104"/>
      <c r="L1152" s="104" t="s">
        <v>1146</v>
      </c>
      <c r="M1152" s="43"/>
      <c r="N1152" s="85"/>
      <c r="O1152" s="85"/>
      <c r="Z1152" s="543"/>
      <c r="BJ1152" s="573" t="s">
        <v>4670</v>
      </c>
    </row>
    <row r="1153" spans="1:62" x14ac:dyDescent="0.35">
      <c r="A1153" s="403">
        <v>7</v>
      </c>
      <c r="B1153" s="609" t="s">
        <v>1139</v>
      </c>
      <c r="C1153" s="613"/>
      <c r="D1153" s="604" t="s">
        <v>291</v>
      </c>
      <c r="E1153" s="604" t="s">
        <v>121</v>
      </c>
      <c r="F1153" s="604"/>
      <c r="G1153" s="403" t="str">
        <f t="shared" ca="1" si="341"/>
        <v/>
      </c>
      <c r="H1153" s="605" t="s">
        <v>4323</v>
      </c>
      <c r="I1153" s="4"/>
      <c r="J1153" s="104"/>
      <c r="K1153" s="175" t="s">
        <v>121</v>
      </c>
      <c r="L1153" s="723" t="s">
        <v>1147</v>
      </c>
      <c r="M1153" s="43"/>
      <c r="N1153" s="85"/>
      <c r="O1153" s="85"/>
      <c r="X1153" s="688"/>
      <c r="Y1153" s="891" t="str">
        <f>IF(LEN('Ch7'!X389)=0,"None",'Ch7'!X389)</f>
        <v>None</v>
      </c>
      <c r="Z1153" s="892"/>
      <c r="AR1153" t="str">
        <f>SUBSTITUTE(SUBSTITUTE(SUBSTITUTE("vnt"&amp;$B1153&amp;$C1153&amp;$D1153&amp;$E1153&amp;$F1153,".","_"),"(","_"),")","")</f>
        <v>vnt703_7_1_6_a</v>
      </c>
      <c r="AS1153">
        <f>X1153</f>
        <v>0</v>
      </c>
      <c r="BJ1153" s="573" t="s">
        <v>4670</v>
      </c>
    </row>
    <row r="1154" spans="1:62" x14ac:dyDescent="0.35">
      <c r="A1154" s="403">
        <v>7</v>
      </c>
      <c r="B1154" s="609" t="s">
        <v>1139</v>
      </c>
      <c r="C1154" s="613"/>
      <c r="D1154" s="604" t="s">
        <v>291</v>
      </c>
      <c r="E1154" s="604" t="s">
        <v>121</v>
      </c>
      <c r="F1154" s="604"/>
      <c r="G1154" s="403" t="str">
        <f t="shared" ca="1" si="341"/>
        <v/>
      </c>
      <c r="H1154" s="605" t="s">
        <v>4323</v>
      </c>
      <c r="I1154" s="4"/>
      <c r="J1154" s="104"/>
      <c r="K1154" s="175"/>
      <c r="L1154" s="723"/>
      <c r="M1154" s="43"/>
      <c r="N1154" s="85"/>
      <c r="O1154" s="85"/>
      <c r="X1154" s="688"/>
      <c r="Y1154" s="891"/>
      <c r="Z1154" s="892"/>
      <c r="BJ1154" s="573" t="s">
        <v>4670</v>
      </c>
    </row>
    <row r="1155" spans="1:62" x14ac:dyDescent="0.35">
      <c r="A1155" s="403">
        <v>7</v>
      </c>
      <c r="B1155" s="609" t="s">
        <v>1139</v>
      </c>
      <c r="C1155" s="613"/>
      <c r="D1155" s="604" t="s">
        <v>291</v>
      </c>
      <c r="E1155" s="604" t="s">
        <v>122</v>
      </c>
      <c r="F1155" s="604"/>
      <c r="G1155" s="403" t="str">
        <f t="shared" ca="1" si="341"/>
        <v/>
      </c>
      <c r="H1155" s="605" t="s">
        <v>4323</v>
      </c>
      <c r="I1155" s="4"/>
      <c r="J1155" s="104"/>
      <c r="K1155" s="175" t="s">
        <v>122</v>
      </c>
      <c r="L1155" s="104" t="s">
        <v>1148</v>
      </c>
      <c r="M1155" s="43"/>
      <c r="N1155" s="85"/>
      <c r="O1155" s="85"/>
      <c r="X1155" s="39"/>
      <c r="Y1155" s="200" t="str">
        <f>IF(LEN('Ch7'!X391)=0,"None",'Ch7'!X391)</f>
        <v>None</v>
      </c>
      <c r="Z1155" s="563"/>
      <c r="AR1155" t="str">
        <f t="shared" ref="AR1155:AR1156" si="342">SUBSTITUTE(SUBSTITUTE(SUBSTITUTE("vnt"&amp;$B1155&amp;$C1155&amp;$D1155&amp;$E1155&amp;$F1155,".","_"),"(","_"),")","")</f>
        <v>vnt703_7_1_6_b</v>
      </c>
      <c r="AS1155">
        <f>X1155</f>
        <v>0</v>
      </c>
      <c r="BJ1155" s="573" t="s">
        <v>4670</v>
      </c>
    </row>
    <row r="1156" spans="1:62" x14ac:dyDescent="0.35">
      <c r="A1156" s="403">
        <v>7</v>
      </c>
      <c r="B1156" s="609" t="s">
        <v>1139</v>
      </c>
      <c r="C1156" s="613"/>
      <c r="D1156" s="604" t="s">
        <v>291</v>
      </c>
      <c r="E1156" s="606" t="s">
        <v>123</v>
      </c>
      <c r="F1156" s="606"/>
      <c r="G1156" s="403" t="str">
        <f t="shared" ca="1" si="341"/>
        <v/>
      </c>
      <c r="H1156" s="607" t="s">
        <v>4323</v>
      </c>
      <c r="I1156" s="4"/>
      <c r="J1156" s="104"/>
      <c r="K1156" s="176" t="s">
        <v>123</v>
      </c>
      <c r="L1156" s="707" t="s">
        <v>1149</v>
      </c>
      <c r="M1156" s="43"/>
      <c r="N1156" s="85"/>
      <c r="O1156" s="85"/>
      <c r="X1156" s="688"/>
      <c r="Y1156" s="891" t="str">
        <f>IF(LEN('Ch7'!X392)=0,"None",'Ch7'!X392)</f>
        <v>None</v>
      </c>
      <c r="Z1156" s="892"/>
      <c r="AR1156" t="str">
        <f t="shared" si="342"/>
        <v>vnt703_7_1_6_c</v>
      </c>
      <c r="AS1156">
        <f>X1156</f>
        <v>0</v>
      </c>
      <c r="BJ1156" s="573" t="s">
        <v>4670</v>
      </c>
    </row>
    <row r="1157" spans="1:62" x14ac:dyDescent="0.35">
      <c r="A1157" s="403">
        <v>7</v>
      </c>
      <c r="B1157" s="609" t="s">
        <v>1139</v>
      </c>
      <c r="C1157" s="613"/>
      <c r="D1157" s="604" t="s">
        <v>291</v>
      </c>
      <c r="E1157" s="606" t="s">
        <v>123</v>
      </c>
      <c r="F1157" s="604"/>
      <c r="G1157" s="403" t="str">
        <f t="shared" ca="1" si="341"/>
        <v/>
      </c>
      <c r="H1157" s="403" t="s">
        <v>4323</v>
      </c>
      <c r="I1157" s="4"/>
      <c r="J1157" s="214"/>
      <c r="K1157" s="214"/>
      <c r="L1157" s="709"/>
      <c r="M1157" s="43"/>
      <c r="N1157" s="85"/>
      <c r="O1157" s="85"/>
      <c r="X1157" s="688"/>
      <c r="Y1157" s="891"/>
      <c r="Z1157" s="892"/>
      <c r="BJ1157" s="573" t="s">
        <v>4670</v>
      </c>
    </row>
    <row r="1158" spans="1:62" x14ac:dyDescent="0.35">
      <c r="A1158" s="403">
        <v>7</v>
      </c>
      <c r="B1158" s="609" t="s">
        <v>1139</v>
      </c>
      <c r="C1158" s="613"/>
      <c r="D1158" s="604" t="s">
        <v>403</v>
      </c>
      <c r="E1158" s="604"/>
      <c r="F1158" s="604"/>
      <c r="G1158" s="403" t="str">
        <f t="shared" ca="1" si="341"/>
        <v/>
      </c>
      <c r="H1158" s="403" t="s">
        <v>4323</v>
      </c>
      <c r="I1158" s="4"/>
      <c r="J1158" s="378" t="s">
        <v>403</v>
      </c>
      <c r="K1158" s="320"/>
      <c r="L1158" s="742" t="s">
        <v>3874</v>
      </c>
      <c r="M1158" s="43"/>
      <c r="N1158" s="85"/>
      <c r="O1158" s="85"/>
      <c r="X1158" s="688"/>
      <c r="Y1158" s="891" t="str">
        <f>IF(LEN('Ch7'!X394)=0,"None",'Ch7'!X394)</f>
        <v>None</v>
      </c>
      <c r="Z1158" s="892"/>
      <c r="AR1158" t="str">
        <f>SUBSTITUTE(SUBSTITUTE(SUBSTITUTE("vnt"&amp;$B1158&amp;$C1158&amp;$D1158&amp;$E1158&amp;$F1158,".","_"),"(","_"),")","")</f>
        <v>vnt703_7_1_7</v>
      </c>
      <c r="AS1158">
        <f>X1158</f>
        <v>0</v>
      </c>
      <c r="BJ1158" s="573" t="s">
        <v>4670</v>
      </c>
    </row>
    <row r="1159" spans="1:62" x14ac:dyDescent="0.35">
      <c r="A1159" s="403">
        <v>7</v>
      </c>
      <c r="B1159" s="609" t="s">
        <v>1139</v>
      </c>
      <c r="C1159" s="613"/>
      <c r="D1159" s="604" t="s">
        <v>403</v>
      </c>
      <c r="E1159" s="604"/>
      <c r="F1159" s="604"/>
      <c r="G1159" s="403" t="str">
        <f t="shared" ca="1" si="341"/>
        <v/>
      </c>
      <c r="H1159" s="403" t="s">
        <v>4323</v>
      </c>
      <c r="I1159" s="4"/>
      <c r="J1159" s="104"/>
      <c r="K1159" s="104"/>
      <c r="L1159" s="707"/>
      <c r="M1159" s="43"/>
      <c r="N1159" s="85"/>
      <c r="O1159" s="85"/>
      <c r="X1159" s="688"/>
      <c r="Y1159" s="891"/>
      <c r="Z1159" s="892"/>
      <c r="BJ1159" s="573" t="s">
        <v>4670</v>
      </c>
    </row>
    <row r="1160" spans="1:62" x14ac:dyDescent="0.35">
      <c r="A1160" s="403">
        <v>7</v>
      </c>
      <c r="B1160" s="609" t="s">
        <v>1139</v>
      </c>
      <c r="C1160" s="613"/>
      <c r="D1160" s="604" t="s">
        <v>403</v>
      </c>
      <c r="E1160" s="604"/>
      <c r="F1160" s="604"/>
      <c r="G1160" s="403" t="str">
        <f t="shared" ca="1" si="341"/>
        <v/>
      </c>
      <c r="H1160" s="403" t="s">
        <v>4323</v>
      </c>
      <c r="I1160" s="4"/>
      <c r="J1160" s="214"/>
      <c r="K1160" s="214"/>
      <c r="L1160" s="356" t="s">
        <v>3875</v>
      </c>
      <c r="M1160" s="43"/>
      <c r="N1160" s="85"/>
      <c r="O1160" s="85"/>
      <c r="X1160" s="688"/>
      <c r="Y1160" s="891"/>
      <c r="Z1160" s="892"/>
      <c r="BJ1160" s="573" t="s">
        <v>4670</v>
      </c>
    </row>
    <row r="1161" spans="1:62" x14ac:dyDescent="0.35">
      <c r="A1161" s="403">
        <v>7</v>
      </c>
      <c r="B1161" s="609" t="s">
        <v>1139</v>
      </c>
      <c r="C1161" s="613"/>
      <c r="D1161" s="604" t="s">
        <v>453</v>
      </c>
      <c r="E1161" s="604"/>
      <c r="F1161" s="604"/>
      <c r="G1161" s="403" t="str">
        <f t="shared" ca="1" si="341"/>
        <v/>
      </c>
      <c r="H1161" s="403" t="s">
        <v>4323</v>
      </c>
      <c r="I1161" s="4"/>
      <c r="J1161" s="379" t="s">
        <v>453</v>
      </c>
      <c r="K1161" s="220"/>
      <c r="L1161" s="220" t="s">
        <v>1150</v>
      </c>
      <c r="M1161" s="43"/>
      <c r="N1161" s="85"/>
      <c r="O1161" s="85"/>
      <c r="X1161" s="39"/>
      <c r="Y1161" s="200" t="str">
        <f>IF(LEN('Ch7'!X397)=0,"None",'Ch7'!X397)</f>
        <v>None</v>
      </c>
      <c r="Z1161" s="563"/>
      <c r="AR1161" t="str">
        <f t="shared" ref="AR1161:AR1163" si="343">SUBSTITUTE(SUBSTITUTE(SUBSTITUTE("vnt"&amp;$B1161&amp;$C1161&amp;$D1161&amp;$E1161&amp;$F1161,".","_"),"(","_"),")","")</f>
        <v>vnt703_7_1_8</v>
      </c>
      <c r="AS1161">
        <f>X1161</f>
        <v>0</v>
      </c>
      <c r="BJ1161" s="573" t="s">
        <v>4670</v>
      </c>
    </row>
    <row r="1162" spans="1:62" x14ac:dyDescent="0.35">
      <c r="A1162" s="403">
        <v>7</v>
      </c>
      <c r="B1162" s="609" t="s">
        <v>1139</v>
      </c>
      <c r="C1162" s="613"/>
      <c r="D1162" s="604" t="s">
        <v>455</v>
      </c>
      <c r="E1162" s="604"/>
      <c r="F1162" s="604"/>
      <c r="G1162" s="403" t="str">
        <f t="shared" ca="1" si="341"/>
        <v/>
      </c>
      <c r="H1162" s="403" t="s">
        <v>4323</v>
      </c>
      <c r="I1162" s="4"/>
      <c r="J1162" s="175" t="s">
        <v>455</v>
      </c>
      <c r="K1162" s="104"/>
      <c r="L1162" s="104" t="s">
        <v>1151</v>
      </c>
      <c r="M1162" s="43"/>
      <c r="N1162" s="85"/>
      <c r="O1162" s="85"/>
      <c r="X1162" s="39"/>
      <c r="Y1162" s="200" t="str">
        <f>IF(LEN('Ch7'!X398)=0,"None",'Ch7'!X398)</f>
        <v>None</v>
      </c>
      <c r="Z1162" s="563"/>
      <c r="AR1162" t="str">
        <f t="shared" si="343"/>
        <v>vnt703_7_1_9</v>
      </c>
      <c r="AS1162">
        <f>X1162</f>
        <v>0</v>
      </c>
      <c r="BJ1162" s="573" t="s">
        <v>4670</v>
      </c>
    </row>
    <row r="1163" spans="1:62" x14ac:dyDescent="0.35">
      <c r="A1163" s="403">
        <v>7</v>
      </c>
      <c r="B1163" s="609" t="s">
        <v>1139</v>
      </c>
      <c r="C1163" s="613"/>
      <c r="D1163" s="604"/>
      <c r="E1163" s="604"/>
      <c r="F1163" s="604"/>
      <c r="G1163" s="403" t="str">
        <f t="shared" ca="1" si="341"/>
        <v/>
      </c>
      <c r="H1163" s="403" t="s">
        <v>4323</v>
      </c>
      <c r="I1163" s="4"/>
      <c r="J1163" s="104"/>
      <c r="K1163" s="104"/>
      <c r="L1163" s="714" t="s">
        <v>3871</v>
      </c>
      <c r="M1163" s="43"/>
      <c r="N1163" s="85"/>
      <c r="O1163" s="85"/>
      <c r="X1163" s="688"/>
      <c r="Y1163" s="891" t="str">
        <f>IF(LEN('Ch7'!X399)=0,"None",'Ch7'!X399)</f>
        <v>None</v>
      </c>
      <c r="Z1163" s="892"/>
      <c r="AR1163" t="str">
        <f t="shared" si="343"/>
        <v>vnt703_7_1</v>
      </c>
      <c r="AS1163">
        <f>X1163</f>
        <v>0</v>
      </c>
      <c r="BJ1163" s="573" t="s">
        <v>4670</v>
      </c>
    </row>
    <row r="1164" spans="1:62" x14ac:dyDescent="0.35">
      <c r="A1164" s="403">
        <v>7</v>
      </c>
      <c r="B1164" s="609" t="s">
        <v>1139</v>
      </c>
      <c r="C1164" s="613"/>
      <c r="D1164" s="604"/>
      <c r="E1164" s="604"/>
      <c r="F1164" s="604"/>
      <c r="G1164" s="403" t="str">
        <f t="shared" ca="1" si="341"/>
        <v/>
      </c>
      <c r="H1164" s="403" t="s">
        <v>4323</v>
      </c>
      <c r="I1164" s="4"/>
      <c r="J1164" s="104"/>
      <c r="K1164" s="104"/>
      <c r="L1164" s="714"/>
      <c r="M1164" s="43"/>
      <c r="N1164" s="85"/>
      <c r="O1164" s="85"/>
      <c r="X1164" s="688"/>
      <c r="Y1164" s="891"/>
      <c r="Z1164" s="892"/>
      <c r="BJ1164" s="573" t="s">
        <v>4670</v>
      </c>
    </row>
    <row r="1165" spans="1:62" x14ac:dyDescent="0.35">
      <c r="A1165" s="403">
        <v>7</v>
      </c>
      <c r="B1165" s="609" t="s">
        <v>1139</v>
      </c>
      <c r="C1165" s="613"/>
      <c r="D1165" s="604"/>
      <c r="E1165" s="604"/>
      <c r="F1165" s="604"/>
      <c r="G1165" s="403" t="str">
        <f t="shared" ca="1" si="341"/>
        <v/>
      </c>
      <c r="H1165" s="403" t="s">
        <v>4323</v>
      </c>
      <c r="I1165" s="4"/>
      <c r="J1165" s="104"/>
      <c r="K1165" s="104"/>
      <c r="L1165" s="714"/>
      <c r="M1165" s="43"/>
      <c r="N1165" s="85"/>
      <c r="O1165" s="85"/>
      <c r="X1165" s="688"/>
      <c r="Y1165" s="891"/>
      <c r="Z1165" s="892"/>
      <c r="BJ1165" s="573" t="s">
        <v>4670</v>
      </c>
    </row>
    <row r="1166" spans="1:62" x14ac:dyDescent="0.35">
      <c r="A1166" s="403">
        <v>7</v>
      </c>
      <c r="B1166" s="609" t="s">
        <v>1139</v>
      </c>
      <c r="C1166" s="613"/>
      <c r="D1166" s="604"/>
      <c r="E1166" s="604"/>
      <c r="F1166" s="604"/>
      <c r="G1166" s="403" t="str">
        <f t="shared" ca="1" si="341"/>
        <v/>
      </c>
      <c r="H1166" s="403" t="s">
        <v>4323</v>
      </c>
      <c r="I1166" s="4"/>
      <c r="J1166" s="104"/>
      <c r="K1166" s="104"/>
      <c r="L1166" s="714"/>
      <c r="M1166" s="43"/>
      <c r="N1166" s="85"/>
      <c r="O1166" s="85"/>
      <c r="X1166" s="688"/>
      <c r="Y1166" s="891"/>
      <c r="Z1166" s="892"/>
      <c r="BJ1166" s="573" t="s">
        <v>4670</v>
      </c>
    </row>
    <row r="1167" spans="1:62" x14ac:dyDescent="0.35">
      <c r="A1167" s="403">
        <v>7</v>
      </c>
      <c r="B1167" s="609" t="s">
        <v>1139</v>
      </c>
      <c r="C1167" s="613"/>
      <c r="D1167" s="604"/>
      <c r="E1167" s="604"/>
      <c r="F1167" s="604"/>
      <c r="G1167" s="403" t="str">
        <f t="shared" ca="1" si="341"/>
        <v/>
      </c>
      <c r="H1167" s="403" t="s">
        <v>4323</v>
      </c>
      <c r="I1167" s="155"/>
      <c r="J1167" s="214"/>
      <c r="K1167" s="214"/>
      <c r="L1167" s="755"/>
      <c r="M1167" s="198"/>
      <c r="N1167" s="342"/>
      <c r="O1167" s="342"/>
      <c r="P1167" s="119"/>
      <c r="Q1167" s="119"/>
      <c r="R1167" s="119"/>
      <c r="S1167" s="119"/>
      <c r="T1167" s="119"/>
      <c r="U1167" s="119"/>
      <c r="V1167" s="119"/>
      <c r="W1167" s="119"/>
      <c r="X1167" s="688"/>
      <c r="Y1167" s="891"/>
      <c r="Z1167" s="892"/>
      <c r="BJ1167" s="573" t="s">
        <v>4670</v>
      </c>
    </row>
    <row r="1168" spans="1:62" x14ac:dyDescent="0.35">
      <c r="A1168" s="403">
        <v>7</v>
      </c>
      <c r="B1168" s="613" t="s">
        <v>1152</v>
      </c>
      <c r="C1168" s="613"/>
      <c r="D1168" s="604"/>
      <c r="E1168" s="604"/>
      <c r="F1168" s="604"/>
      <c r="G1168" s="403" t="str">
        <f ca="1">IF(N1168&gt;0,"P","")</f>
        <v/>
      </c>
      <c r="H1168" s="403" t="s">
        <v>4323</v>
      </c>
      <c r="I1168" s="362" t="s">
        <v>1152</v>
      </c>
      <c r="J1168" s="320"/>
      <c r="K1168" s="320"/>
      <c r="L1168" s="753" t="s">
        <v>1153</v>
      </c>
      <c r="M1168" s="712">
        <v>1</v>
      </c>
      <c r="N1168" s="713">
        <f ca="1">'Ch7'!O404</f>
        <v>0</v>
      </c>
      <c r="O1168" s="713">
        <f ca="1">M1168*S1168*W1168</f>
        <v>0</v>
      </c>
      <c r="P1168" t="b">
        <v>1</v>
      </c>
      <c r="Q1168" t="b">
        <v>1</v>
      </c>
      <c r="R1168" t="b">
        <v>0</v>
      </c>
      <c r="S1168" t="b">
        <f ca="1">(S777=2)</f>
        <v>0</v>
      </c>
      <c r="T1168" t="b">
        <f ca="1">AND(NOT(S1168),W1168=TRUE)</f>
        <v>0</v>
      </c>
      <c r="W1168" s="17"/>
      <c r="X1168" s="700"/>
      <c r="Y1168" s="891" t="str">
        <f>IF(LEN('Ch7'!X404)=0,"None",'Ch7'!X404)</f>
        <v>None</v>
      </c>
      <c r="Z1168" s="892"/>
      <c r="AC1168" t="b">
        <f ca="1">OR(AD1168:AE1168)</f>
        <v>0</v>
      </c>
      <c r="AD1168" t="b">
        <f ca="1">T1168</f>
        <v>0</v>
      </c>
      <c r="AE1168" t="b">
        <f>AND(R1168,NOT(W1168))</f>
        <v>0</v>
      </c>
      <c r="AF1168" t="b">
        <f>AND(AE1168,NOT(Q1168))</f>
        <v>0</v>
      </c>
      <c r="AL1168" t="str">
        <f t="shared" ref="AL1168" si="344">SUBSTITUTE(SUBSTITUTE(SUBSTITUTE("vpa"&amp;$B1168&amp;$C1168&amp;$D1168&amp;$E1168&amp;$F1168,".","_"),"(","_"),")","")</f>
        <v xml:space="preserve">vpa703_7_2 </v>
      </c>
      <c r="AM1168">
        <f>M1168</f>
        <v>1</v>
      </c>
      <c r="AN1168" t="str">
        <f>SUBSTITUTE(SUBSTITUTE(SUBSTITUTE("vpc"&amp;$B1168&amp;$C1168&amp;$D1168&amp;$E1168&amp;$F1168,".","_"),"(","_"),")","")</f>
        <v xml:space="preserve">vpc703_7_2 </v>
      </c>
      <c r="AO1168">
        <f ca="1">O1168</f>
        <v>0</v>
      </c>
      <c r="AP1168" t="str">
        <f>SUBSTITUTE(SUBSTITUTE(SUBSTITUTE("vch"&amp;$B1168&amp;$C1168&amp;$D1168&amp;$E1168&amp;$F1168,".","_"),"(","_"),")","")</f>
        <v xml:space="preserve">vch703_7_2 </v>
      </c>
      <c r="AQ1168">
        <f>W1168</f>
        <v>0</v>
      </c>
      <c r="AR1168" t="str">
        <f>SUBSTITUTE(SUBSTITUTE(SUBSTITUTE("vnt"&amp;$B1168&amp;$C1168&amp;$D1168&amp;$E1168&amp;$F1168,".","_"),"(","_"),")","")</f>
        <v xml:space="preserve">vnt703_7_2 </v>
      </c>
      <c r="AS1168">
        <f>X1168</f>
        <v>0</v>
      </c>
      <c r="BJ1168" s="573" t="s">
        <v>4670</v>
      </c>
    </row>
    <row r="1169" spans="1:62" x14ac:dyDescent="0.35">
      <c r="A1169" s="403">
        <v>7</v>
      </c>
      <c r="B1169" s="613" t="s">
        <v>1152</v>
      </c>
      <c r="C1169" s="613"/>
      <c r="D1169" s="604"/>
      <c r="E1169" s="604"/>
      <c r="F1169" s="604"/>
      <c r="G1169" s="403" t="str">
        <f t="shared" ref="G1169" ca="1" si="345">G1168</f>
        <v/>
      </c>
      <c r="H1169" s="403" t="s">
        <v>4323</v>
      </c>
      <c r="I1169" s="155"/>
      <c r="J1169" s="214"/>
      <c r="K1169" s="214"/>
      <c r="L1169" s="739"/>
      <c r="M1169" s="691"/>
      <c r="N1169" s="697"/>
      <c r="O1169" s="697"/>
      <c r="X1169" s="688"/>
      <c r="Y1169" s="891"/>
      <c r="Z1169" s="892"/>
      <c r="BJ1169" s="573" t="s">
        <v>4670</v>
      </c>
    </row>
    <row r="1170" spans="1:62" x14ac:dyDescent="0.35">
      <c r="A1170" s="403">
        <v>7</v>
      </c>
      <c r="B1170" s="609" t="s">
        <v>1154</v>
      </c>
      <c r="C1170" s="613"/>
      <c r="D1170" s="604"/>
      <c r="E1170" s="604"/>
      <c r="F1170" s="604"/>
      <c r="G1170" s="403" t="str">
        <f ca="1">IF(N1170&gt;0,"P","")</f>
        <v/>
      </c>
      <c r="H1170" s="403" t="s">
        <v>4323</v>
      </c>
      <c r="I1170" s="34" t="s">
        <v>1154</v>
      </c>
      <c r="J1170" s="104"/>
      <c r="K1170" s="104"/>
      <c r="L1170" s="706" t="s">
        <v>1155</v>
      </c>
      <c r="M1170" s="43"/>
      <c r="N1170" s="696">
        <f ca="1">'Ch7'!O406</f>
        <v>0</v>
      </c>
      <c r="O1170" s="696">
        <f ca="1">INDEX({0,3,4},MATCH(S1172,{0,3,4},1))*S1176</f>
        <v>0</v>
      </c>
      <c r="Z1170" s="543"/>
      <c r="AN1170" t="str">
        <f>SUBSTITUTE(SUBSTITUTE(SUBSTITUTE("vpc"&amp;$B1170&amp;$C1170&amp;$D1170&amp;$E1170&amp;$F1170,".","_"),"(","_"),")","")</f>
        <v>vpc703_7_3</v>
      </c>
      <c r="AO1170">
        <f ca="1">O1170</f>
        <v>0</v>
      </c>
      <c r="BJ1170" s="573" t="s">
        <v>4670</v>
      </c>
    </row>
    <row r="1171" spans="1:62" x14ac:dyDescent="0.35">
      <c r="A1171" s="403">
        <v>7</v>
      </c>
      <c r="B1171" s="609" t="s">
        <v>1154</v>
      </c>
      <c r="C1171" s="613"/>
      <c r="D1171" s="604"/>
      <c r="E1171" s="604"/>
      <c r="F1171" s="604"/>
      <c r="G1171" s="403" t="str">
        <f t="shared" ref="G1171:G1196" ca="1" si="346">G1170</f>
        <v/>
      </c>
      <c r="H1171" s="403" t="s">
        <v>4323</v>
      </c>
      <c r="I1171" s="4"/>
      <c r="J1171" s="104"/>
      <c r="K1171" s="104"/>
      <c r="L1171" s="706"/>
      <c r="M1171" s="43"/>
      <c r="N1171" s="696"/>
      <c r="O1171" s="696"/>
      <c r="Z1171" s="543"/>
      <c r="BJ1171" s="573" t="s">
        <v>4670</v>
      </c>
    </row>
    <row r="1172" spans="1:62" x14ac:dyDescent="0.35">
      <c r="A1172" s="403">
        <v>7</v>
      </c>
      <c r="B1172" s="609" t="s">
        <v>1154</v>
      </c>
      <c r="C1172" s="613"/>
      <c r="D1172" s="615" t="s">
        <v>270</v>
      </c>
      <c r="E1172" s="604"/>
      <c r="F1172" s="604"/>
      <c r="G1172" s="403" t="str">
        <f t="shared" ca="1" si="346"/>
        <v/>
      </c>
      <c r="H1172" s="403" t="s">
        <v>4323</v>
      </c>
      <c r="I1172" s="4"/>
      <c r="J1172" s="104"/>
      <c r="K1172" s="104"/>
      <c r="L1172" s="107" t="s">
        <v>1156</v>
      </c>
      <c r="M1172" s="43">
        <v>3</v>
      </c>
      <c r="N1172" s="85"/>
      <c r="O1172" s="85"/>
      <c r="R1172" t="s">
        <v>3873</v>
      </c>
      <c r="S1172" s="1">
        <f ca="1">(1*MIN(1,COUNTIF(W1176:W1180,TRUE))+1*S1182*W1182+1*W1185+1*S1186*W1186+1*MIN(1,COUNTIF(W1191:W1193,TRUE))+1*W1195)</f>
        <v>0</v>
      </c>
      <c r="Z1172" s="543"/>
      <c r="AL1172" t="str">
        <f t="shared" ref="AL1172:AL1173" si="347">SUBSTITUTE(SUBSTITUTE(SUBSTITUTE("vpa"&amp;$B1172&amp;$C1172&amp;$D1172&amp;$E1172&amp;$F1172,".","_"),"(","_"),")","")</f>
        <v>vpa703_7_3_1</v>
      </c>
      <c r="AM1172">
        <f>M1172</f>
        <v>3</v>
      </c>
      <c r="BJ1172" s="573" t="s">
        <v>4670</v>
      </c>
    </row>
    <row r="1173" spans="1:62" x14ac:dyDescent="0.35">
      <c r="A1173" s="403">
        <v>7</v>
      </c>
      <c r="B1173" s="609" t="s">
        <v>1154</v>
      </c>
      <c r="C1173" s="613"/>
      <c r="D1173" s="604" t="s">
        <v>272</v>
      </c>
      <c r="E1173" s="604"/>
      <c r="F1173" s="604"/>
      <c r="G1173" s="403" t="str">
        <f t="shared" ca="1" si="346"/>
        <v/>
      </c>
      <c r="H1173" s="403" t="s">
        <v>4323</v>
      </c>
      <c r="I1173" s="4"/>
      <c r="J1173" s="104"/>
      <c r="K1173" s="104"/>
      <c r="L1173" s="107" t="s">
        <v>1157</v>
      </c>
      <c r="M1173" s="43">
        <v>1</v>
      </c>
      <c r="N1173" s="85"/>
      <c r="O1173" s="85"/>
      <c r="Z1173" s="543"/>
      <c r="AL1173" t="str">
        <f t="shared" si="347"/>
        <v>vpa703_7_3_2</v>
      </c>
      <c r="AM1173">
        <f>M1173</f>
        <v>1</v>
      </c>
      <c r="BJ1173" s="573" t="s">
        <v>4670</v>
      </c>
    </row>
    <row r="1174" spans="1:62" x14ac:dyDescent="0.35">
      <c r="A1174" s="403">
        <v>7</v>
      </c>
      <c r="B1174" s="609" t="s">
        <v>1154</v>
      </c>
      <c r="C1174" s="613"/>
      <c r="D1174" s="615" t="s">
        <v>270</v>
      </c>
      <c r="E1174" s="604"/>
      <c r="F1174" s="604"/>
      <c r="G1174" s="403" t="str">
        <f t="shared" ca="1" si="346"/>
        <v/>
      </c>
      <c r="H1174" s="403" t="s">
        <v>4323</v>
      </c>
      <c r="I1174" s="4"/>
      <c r="J1174" s="179" t="s">
        <v>270</v>
      </c>
      <c r="K1174" s="104"/>
      <c r="L1174" s="707" t="s">
        <v>1158</v>
      </c>
      <c r="M1174" s="43"/>
      <c r="N1174" s="85"/>
      <c r="O1174" s="85"/>
      <c r="Z1174" s="543"/>
      <c r="BJ1174" s="573" t="s">
        <v>4670</v>
      </c>
    </row>
    <row r="1175" spans="1:62" x14ac:dyDescent="0.35">
      <c r="A1175" s="403">
        <v>7</v>
      </c>
      <c r="B1175" s="609" t="s">
        <v>1154</v>
      </c>
      <c r="C1175" s="613"/>
      <c r="D1175" s="615" t="s">
        <v>270</v>
      </c>
      <c r="E1175" s="604"/>
      <c r="F1175" s="604"/>
      <c r="G1175" s="403" t="str">
        <f t="shared" ca="1" si="346"/>
        <v/>
      </c>
      <c r="H1175" s="403" t="s">
        <v>4323</v>
      </c>
      <c r="I1175" s="4"/>
      <c r="J1175" s="104"/>
      <c r="K1175" s="104"/>
      <c r="L1175" s="707"/>
      <c r="M1175" s="43"/>
      <c r="N1175" s="85"/>
      <c r="O1175" s="85"/>
      <c r="Z1175" s="543"/>
      <c r="BJ1175" s="573" t="s">
        <v>4670</v>
      </c>
    </row>
    <row r="1176" spans="1:62" x14ac:dyDescent="0.35">
      <c r="A1176" s="403">
        <v>7</v>
      </c>
      <c r="B1176" s="609" t="s">
        <v>1154</v>
      </c>
      <c r="C1176" s="613"/>
      <c r="D1176" s="615" t="s">
        <v>270</v>
      </c>
      <c r="E1176" s="604" t="s">
        <v>121</v>
      </c>
      <c r="F1176" s="604"/>
      <c r="G1176" s="403" t="str">
        <f t="shared" ca="1" si="346"/>
        <v/>
      </c>
      <c r="H1176" s="605" t="s">
        <v>4323</v>
      </c>
      <c r="I1176" s="4"/>
      <c r="J1176" s="104"/>
      <c r="K1176" s="175" t="s">
        <v>121</v>
      </c>
      <c r="L1176" s="707" t="s">
        <v>1159</v>
      </c>
      <c r="M1176" s="43"/>
      <c r="N1176" s="85"/>
      <c r="O1176" s="85"/>
      <c r="P1176" t="b">
        <v>1</v>
      </c>
      <c r="Q1176" t="b">
        <v>1</v>
      </c>
      <c r="R1176" t="b">
        <v>0</v>
      </c>
      <c r="S1176" t="b">
        <f ca="1">(S777=2)</f>
        <v>0</v>
      </c>
      <c r="T1176" t="b">
        <f ca="1">AND(NOT(S1176),W1176=TRUE)</f>
        <v>0</v>
      </c>
      <c r="W1176" s="17"/>
      <c r="X1176" s="688"/>
      <c r="Y1176" s="891" t="str">
        <f>IF(LEN('Ch7'!X412)=0,"None",'Ch7'!X412)</f>
        <v>None</v>
      </c>
      <c r="Z1176" s="892"/>
      <c r="AC1176" t="b">
        <f ca="1">OR(AD1176:AE1176)</f>
        <v>0</v>
      </c>
      <c r="AD1176" t="b">
        <f ca="1">T1176</f>
        <v>0</v>
      </c>
      <c r="AE1176" t="b">
        <f>AND(R1176,NOT(W1176))</f>
        <v>0</v>
      </c>
      <c r="AF1176" t="b">
        <f>AND(AE1176,NOT(Q1176))</f>
        <v>0</v>
      </c>
      <c r="AP1176" t="str">
        <f>SUBSTITUTE(SUBSTITUTE(SUBSTITUTE("vch"&amp;$B1176&amp;$C1176&amp;$D1176&amp;$E1176&amp;$F1176,".","_"),"(","_"),")","")</f>
        <v>vch703_7_3_1_a</v>
      </c>
      <c r="AQ1176">
        <f>W1176</f>
        <v>0</v>
      </c>
      <c r="AR1176" t="str">
        <f>SUBSTITUTE(SUBSTITUTE(SUBSTITUTE("vnt"&amp;$B1176&amp;$C1176&amp;$D1176&amp;$E1176&amp;$F1176,".","_"),"(","_"),")","")</f>
        <v>vnt703_7_3_1_a</v>
      </c>
      <c r="AS1176">
        <f>X1176</f>
        <v>0</v>
      </c>
      <c r="BJ1176" s="573" t="s">
        <v>4670</v>
      </c>
    </row>
    <row r="1177" spans="1:62" x14ac:dyDescent="0.35">
      <c r="A1177" s="403">
        <v>7</v>
      </c>
      <c r="B1177" s="609" t="s">
        <v>1154</v>
      </c>
      <c r="C1177" s="613"/>
      <c r="D1177" s="615" t="s">
        <v>270</v>
      </c>
      <c r="E1177" s="604" t="s">
        <v>121</v>
      </c>
      <c r="F1177" s="604"/>
      <c r="G1177" s="403" t="str">
        <f t="shared" ca="1" si="346"/>
        <v/>
      </c>
      <c r="H1177" s="403" t="s">
        <v>4323</v>
      </c>
      <c r="I1177" s="4"/>
      <c r="J1177" s="104"/>
      <c r="K1177" s="104"/>
      <c r="L1177" s="707"/>
      <c r="M1177" s="43"/>
      <c r="N1177" s="85"/>
      <c r="O1177" s="85"/>
      <c r="X1177" s="688"/>
      <c r="Y1177" s="891"/>
      <c r="Z1177" s="892"/>
      <c r="BJ1177" s="573" t="s">
        <v>4670</v>
      </c>
    </row>
    <row r="1178" spans="1:62" x14ac:dyDescent="0.35">
      <c r="A1178" s="403">
        <v>7</v>
      </c>
      <c r="B1178" s="609" t="s">
        <v>1154</v>
      </c>
      <c r="C1178" s="613"/>
      <c r="D1178" s="615" t="s">
        <v>270</v>
      </c>
      <c r="E1178" s="604" t="s">
        <v>122</v>
      </c>
      <c r="F1178" s="604"/>
      <c r="G1178" s="403" t="str">
        <f t="shared" ca="1" si="346"/>
        <v/>
      </c>
      <c r="H1178" s="605" t="s">
        <v>4323</v>
      </c>
      <c r="I1178" s="4"/>
      <c r="J1178" s="104"/>
      <c r="K1178" s="175" t="s">
        <v>122</v>
      </c>
      <c r="L1178" s="104" t="s">
        <v>1160</v>
      </c>
      <c r="M1178" s="43"/>
      <c r="N1178" s="85"/>
      <c r="O1178" s="85"/>
      <c r="P1178" t="b">
        <v>1</v>
      </c>
      <c r="Q1178" t="b">
        <v>1</v>
      </c>
      <c r="R1178" t="b">
        <v>0</v>
      </c>
      <c r="S1178" t="b">
        <f ca="1">(S777=2)</f>
        <v>0</v>
      </c>
      <c r="T1178" t="b">
        <f ca="1">AND(NOT(S1178),W1178=TRUE)</f>
        <v>0</v>
      </c>
      <c r="W1178" s="17"/>
      <c r="X1178" s="39"/>
      <c r="Y1178" s="200" t="str">
        <f>IF(LEN('Ch7'!X414)=0,"None",'Ch7'!X414)</f>
        <v>None</v>
      </c>
      <c r="Z1178" s="563"/>
      <c r="AC1178" t="b">
        <f ca="1">OR(AD1178:AE1178)</f>
        <v>0</v>
      </c>
      <c r="AD1178" t="b">
        <f ca="1">T1178</f>
        <v>0</v>
      </c>
      <c r="AE1178" t="b">
        <f>AND(R1178,NOT(W1178))</f>
        <v>0</v>
      </c>
      <c r="AF1178" t="b">
        <f>AND(AE1178,NOT(Q1178))</f>
        <v>0</v>
      </c>
      <c r="AP1178" t="str">
        <f t="shared" ref="AP1178:AP1180" si="348">SUBSTITUTE(SUBSTITUTE(SUBSTITUTE("vch"&amp;$B1178&amp;$C1178&amp;$D1178&amp;$E1178&amp;$F1178,".","_"),"(","_"),")","")</f>
        <v>vch703_7_3_1_b</v>
      </c>
      <c r="AQ1178">
        <f>W1178</f>
        <v>0</v>
      </c>
      <c r="AR1178" t="str">
        <f t="shared" ref="AR1178:AR1180" si="349">SUBSTITUTE(SUBSTITUTE(SUBSTITUTE("vnt"&amp;$B1178&amp;$C1178&amp;$D1178&amp;$E1178&amp;$F1178,".","_"),"(","_"),")","")</f>
        <v>vnt703_7_3_1_b</v>
      </c>
      <c r="AS1178">
        <f>X1178</f>
        <v>0</v>
      </c>
      <c r="BJ1178" s="573" t="s">
        <v>4670</v>
      </c>
    </row>
    <row r="1179" spans="1:62" x14ac:dyDescent="0.35">
      <c r="A1179" s="403">
        <v>7</v>
      </c>
      <c r="B1179" s="609" t="s">
        <v>1154</v>
      </c>
      <c r="C1179" s="613"/>
      <c r="D1179" s="615" t="s">
        <v>270</v>
      </c>
      <c r="E1179" s="606" t="s">
        <v>123</v>
      </c>
      <c r="F1179" s="606"/>
      <c r="G1179" s="403" t="str">
        <f t="shared" ca="1" si="346"/>
        <v/>
      </c>
      <c r="H1179" s="607" t="s">
        <v>4323</v>
      </c>
      <c r="I1179" s="4"/>
      <c r="J1179" s="104"/>
      <c r="K1179" s="176" t="s">
        <v>123</v>
      </c>
      <c r="L1179" s="104" t="s">
        <v>1161</v>
      </c>
      <c r="M1179" s="43"/>
      <c r="N1179" s="85"/>
      <c r="O1179" s="85"/>
      <c r="P1179" t="b">
        <v>1</v>
      </c>
      <c r="Q1179" t="b">
        <v>1</v>
      </c>
      <c r="R1179" t="b">
        <v>0</v>
      </c>
      <c r="S1179" t="b">
        <f ca="1">(S777=2)</f>
        <v>0</v>
      </c>
      <c r="T1179" t="b">
        <f ca="1">AND(NOT(S1179),W1179=TRUE)</f>
        <v>0</v>
      </c>
      <c r="W1179" s="17"/>
      <c r="X1179" s="39"/>
      <c r="Y1179" s="200" t="str">
        <f>IF(LEN('Ch7'!X415)=0,"None",'Ch7'!X415)</f>
        <v>None</v>
      </c>
      <c r="Z1179" s="563"/>
      <c r="AC1179" t="b">
        <f ca="1">OR(AD1179:AE1179)</f>
        <v>0</v>
      </c>
      <c r="AD1179" t="b">
        <f ca="1">T1179</f>
        <v>0</v>
      </c>
      <c r="AE1179" t="b">
        <f>AND(R1179,NOT(W1179))</f>
        <v>0</v>
      </c>
      <c r="AF1179" t="b">
        <f>AND(AE1179,NOT(Q1179))</f>
        <v>0</v>
      </c>
      <c r="AP1179" t="str">
        <f t="shared" si="348"/>
        <v>vch703_7_3_1_c</v>
      </c>
      <c r="AQ1179">
        <f>W1179</f>
        <v>0</v>
      </c>
      <c r="AR1179" t="str">
        <f t="shared" si="349"/>
        <v>vnt703_7_3_1_c</v>
      </c>
      <c r="AS1179">
        <f>X1179</f>
        <v>0</v>
      </c>
      <c r="BJ1179" s="573" t="s">
        <v>4670</v>
      </c>
    </row>
    <row r="1180" spans="1:62" x14ac:dyDescent="0.35">
      <c r="A1180" s="403">
        <v>7</v>
      </c>
      <c r="B1180" s="609" t="s">
        <v>1154</v>
      </c>
      <c r="C1180" s="613"/>
      <c r="D1180" s="615" t="s">
        <v>270</v>
      </c>
      <c r="E1180" s="604" t="s">
        <v>420</v>
      </c>
      <c r="F1180" s="604"/>
      <c r="G1180" s="403" t="str">
        <f t="shared" ca="1" si="346"/>
        <v/>
      </c>
      <c r="H1180" s="403" t="s">
        <v>4323</v>
      </c>
      <c r="I1180" s="4"/>
      <c r="J1180" s="104"/>
      <c r="K1180" s="110" t="s">
        <v>420</v>
      </c>
      <c r="L1180" s="707" t="s">
        <v>1162</v>
      </c>
      <c r="M1180" s="43"/>
      <c r="N1180" s="85"/>
      <c r="O1180" s="85"/>
      <c r="P1180" t="b">
        <v>1</v>
      </c>
      <c r="Q1180" t="b">
        <v>1</v>
      </c>
      <c r="R1180" t="b">
        <v>0</v>
      </c>
      <c r="S1180" t="b">
        <f ca="1">(S777=2)</f>
        <v>0</v>
      </c>
      <c r="T1180" t="b">
        <f ca="1">AND(NOT(S1180),W1180=TRUE)</f>
        <v>0</v>
      </c>
      <c r="W1180" s="17"/>
      <c r="X1180" s="688"/>
      <c r="Y1180" s="891" t="str">
        <f>IF(LEN('Ch7'!X416)=0,"None",'Ch7'!X416)</f>
        <v>None</v>
      </c>
      <c r="Z1180" s="892"/>
      <c r="AC1180" t="b">
        <f ca="1">OR(AD1180:AE1180)</f>
        <v>0</v>
      </c>
      <c r="AD1180" t="b">
        <f ca="1">T1180</f>
        <v>0</v>
      </c>
      <c r="AE1180" t="b">
        <f>AND(R1180,NOT(W1180))</f>
        <v>0</v>
      </c>
      <c r="AF1180" t="b">
        <f>AND(AE1180,NOT(Q1180))</f>
        <v>0</v>
      </c>
      <c r="AP1180" t="str">
        <f t="shared" si="348"/>
        <v>vch703_7_3_1_d</v>
      </c>
      <c r="AQ1180">
        <f>W1180</f>
        <v>0</v>
      </c>
      <c r="AR1180" t="str">
        <f t="shared" si="349"/>
        <v>vnt703_7_3_1_d</v>
      </c>
      <c r="AS1180">
        <f>X1180</f>
        <v>0</v>
      </c>
      <c r="BJ1180" s="573" t="s">
        <v>4670</v>
      </c>
    </row>
    <row r="1181" spans="1:62" x14ac:dyDescent="0.35">
      <c r="A1181" s="403">
        <v>7</v>
      </c>
      <c r="B1181" s="609" t="s">
        <v>1154</v>
      </c>
      <c r="C1181" s="613"/>
      <c r="D1181" s="615" t="s">
        <v>270</v>
      </c>
      <c r="E1181" s="604" t="s">
        <v>420</v>
      </c>
      <c r="F1181" s="604"/>
      <c r="G1181" s="403" t="str">
        <f t="shared" ca="1" si="346"/>
        <v/>
      </c>
      <c r="H1181" s="403" t="s">
        <v>4323</v>
      </c>
      <c r="I1181" s="4"/>
      <c r="J1181" s="214"/>
      <c r="K1181" s="214"/>
      <c r="L1181" s="709"/>
      <c r="M1181" s="43"/>
      <c r="N1181" s="85"/>
      <c r="O1181" s="85"/>
      <c r="X1181" s="688"/>
      <c r="Y1181" s="891"/>
      <c r="Z1181" s="892"/>
      <c r="BJ1181" s="573" t="s">
        <v>4670</v>
      </c>
    </row>
    <row r="1182" spans="1:62" x14ac:dyDescent="0.35">
      <c r="A1182" s="403">
        <v>7</v>
      </c>
      <c r="B1182" s="609" t="s">
        <v>1154</v>
      </c>
      <c r="C1182" s="613"/>
      <c r="D1182" s="604" t="s">
        <v>272</v>
      </c>
      <c r="E1182" s="604"/>
      <c r="F1182" s="604"/>
      <c r="G1182" s="403" t="str">
        <f t="shared" ca="1" si="346"/>
        <v/>
      </c>
      <c r="H1182" s="403" t="s">
        <v>4323</v>
      </c>
      <c r="I1182" s="4"/>
      <c r="J1182" s="179" t="s">
        <v>272</v>
      </c>
      <c r="K1182" s="104"/>
      <c r="L1182" s="707" t="s">
        <v>1163</v>
      </c>
      <c r="M1182" s="43"/>
      <c r="N1182" s="85"/>
      <c r="O1182" s="85"/>
      <c r="P1182" t="b">
        <v>1</v>
      </c>
      <c r="Q1182" t="b">
        <v>1</v>
      </c>
      <c r="R1182" t="b">
        <v>0</v>
      </c>
      <c r="S1182" t="b">
        <f ca="1">AND(S777=2,NOT(W1140=TRUE))</f>
        <v>0</v>
      </c>
      <c r="T1182" t="b">
        <f ca="1">AND(NOT(S1182),W1182=TRUE)</f>
        <v>0</v>
      </c>
      <c r="W1182" s="17"/>
      <c r="X1182" s="688"/>
      <c r="Y1182" s="891" t="str">
        <f>IF(LEN('Ch7'!X418)=0,"None",'Ch7'!X418)</f>
        <v>None</v>
      </c>
      <c r="Z1182" s="892"/>
      <c r="AC1182" t="b">
        <f ca="1">OR(AD1182:AE1182)</f>
        <v>0</v>
      </c>
      <c r="AD1182" t="b">
        <f ca="1">T1182</f>
        <v>0</v>
      </c>
      <c r="AE1182" t="b">
        <f>AND(R1182,NOT(W1182))</f>
        <v>0</v>
      </c>
      <c r="AF1182" t="b">
        <f>AND(AE1182,NOT(Q1182))</f>
        <v>0</v>
      </c>
      <c r="AP1182" t="str">
        <f>SUBSTITUTE(SUBSTITUTE(SUBSTITUTE("vch"&amp;$B1182&amp;$C1182&amp;$D1182&amp;$E1182&amp;$F1182,".","_"),"(","_"),")","")</f>
        <v>vch703_7_3_2</v>
      </c>
      <c r="AQ1182">
        <f>W1182</f>
        <v>0</v>
      </c>
      <c r="AR1182" t="str">
        <f>SUBSTITUTE(SUBSTITUTE(SUBSTITUTE("vnt"&amp;$B1182&amp;$C1182&amp;$D1182&amp;$E1182&amp;$F1182,".","_"),"(","_"),")","")</f>
        <v>vnt703_7_3_2</v>
      </c>
      <c r="AS1182">
        <f>X1182</f>
        <v>0</v>
      </c>
      <c r="BJ1182" s="573" t="s">
        <v>4670</v>
      </c>
    </row>
    <row r="1183" spans="1:62" x14ac:dyDescent="0.35">
      <c r="A1183" s="403">
        <v>7</v>
      </c>
      <c r="B1183" s="609" t="s">
        <v>1154</v>
      </c>
      <c r="C1183" s="613"/>
      <c r="D1183" s="604" t="s">
        <v>272</v>
      </c>
      <c r="E1183" s="604"/>
      <c r="F1183" s="604"/>
      <c r="G1183" s="403" t="str">
        <f t="shared" ca="1" si="346"/>
        <v/>
      </c>
      <c r="H1183" s="403" t="s">
        <v>4323</v>
      </c>
      <c r="I1183" s="4"/>
      <c r="J1183" s="104"/>
      <c r="K1183" s="104"/>
      <c r="L1183" s="707"/>
      <c r="M1183" s="43"/>
      <c r="N1183" s="85"/>
      <c r="O1183" s="85"/>
      <c r="X1183" s="688"/>
      <c r="Y1183" s="891"/>
      <c r="Z1183" s="892"/>
      <c r="BJ1183" s="573" t="s">
        <v>4670</v>
      </c>
    </row>
    <row r="1184" spans="1:62" x14ac:dyDescent="0.35">
      <c r="A1184" s="403">
        <v>7</v>
      </c>
      <c r="B1184" s="609" t="s">
        <v>1154</v>
      </c>
      <c r="C1184" s="613"/>
      <c r="D1184" s="604" t="s">
        <v>272</v>
      </c>
      <c r="E1184" s="604"/>
      <c r="F1184" s="604"/>
      <c r="G1184" s="403" t="str">
        <f t="shared" ca="1" si="346"/>
        <v/>
      </c>
      <c r="H1184" s="403" t="s">
        <v>4323</v>
      </c>
      <c r="I1184" s="4"/>
      <c r="J1184" s="214"/>
      <c r="K1184" s="214"/>
      <c r="L1184" s="165" t="s">
        <v>1164</v>
      </c>
      <c r="M1184" s="43"/>
      <c r="N1184" s="85"/>
      <c r="O1184" s="85"/>
      <c r="X1184" s="688"/>
      <c r="Y1184" s="891"/>
      <c r="Z1184" s="892"/>
      <c r="BJ1184" s="573" t="s">
        <v>4670</v>
      </c>
    </row>
    <row r="1185" spans="1:62" x14ac:dyDescent="0.35">
      <c r="A1185" s="403">
        <v>7</v>
      </c>
      <c r="B1185" s="609" t="s">
        <v>1154</v>
      </c>
      <c r="C1185" s="613"/>
      <c r="D1185" s="604" t="s">
        <v>274</v>
      </c>
      <c r="E1185" s="604"/>
      <c r="F1185" s="604"/>
      <c r="G1185" s="403" t="str">
        <f t="shared" ca="1" si="346"/>
        <v/>
      </c>
      <c r="H1185" s="403" t="s">
        <v>4323</v>
      </c>
      <c r="I1185" s="4"/>
      <c r="J1185" s="384" t="s">
        <v>274</v>
      </c>
      <c r="K1185" s="220"/>
      <c r="L1185" s="220" t="s">
        <v>1165</v>
      </c>
      <c r="M1185" s="43"/>
      <c r="N1185" s="85"/>
      <c r="O1185" s="85"/>
      <c r="P1185" t="b">
        <v>1</v>
      </c>
      <c r="Q1185" t="b">
        <v>1</v>
      </c>
      <c r="R1185" t="b">
        <v>0</v>
      </c>
      <c r="S1185" t="b">
        <f ca="1">(S777=2)</f>
        <v>0</v>
      </c>
      <c r="T1185" t="b">
        <f ca="1">AND(NOT(S1185),W1185=TRUE)</f>
        <v>0</v>
      </c>
      <c r="W1185" s="17"/>
      <c r="X1185" s="39"/>
      <c r="Y1185" s="200" t="str">
        <f>IF(LEN('Ch7'!X421)=0,"None",'Ch7'!X421)</f>
        <v>None</v>
      </c>
      <c r="Z1185" s="563"/>
      <c r="AC1185" t="b">
        <f ca="1">OR(AD1185:AE1185)</f>
        <v>0</v>
      </c>
      <c r="AD1185" t="b">
        <f ca="1">T1185</f>
        <v>0</v>
      </c>
      <c r="AE1185" t="b">
        <f>AND(R1185,NOT(W1185))</f>
        <v>0</v>
      </c>
      <c r="AF1185" t="b">
        <f>AND(AE1185,NOT(Q1185))</f>
        <v>0</v>
      </c>
      <c r="AP1185" t="str">
        <f t="shared" ref="AP1185:AP1186" si="350">SUBSTITUTE(SUBSTITUTE(SUBSTITUTE("vch"&amp;$B1185&amp;$C1185&amp;$D1185&amp;$E1185&amp;$F1185,".","_"),"(","_"),")","")</f>
        <v>vch703_7_3_3</v>
      </c>
      <c r="AQ1185">
        <f>W1185</f>
        <v>0</v>
      </c>
      <c r="AR1185" t="str">
        <f t="shared" ref="AR1185:AR1186" si="351">SUBSTITUTE(SUBSTITUTE(SUBSTITUTE("vnt"&amp;$B1185&amp;$C1185&amp;$D1185&amp;$E1185&amp;$F1185,".","_"),"(","_"),")","")</f>
        <v>vnt703_7_3_3</v>
      </c>
      <c r="AS1185">
        <f>X1185</f>
        <v>0</v>
      </c>
      <c r="BJ1185" s="573" t="s">
        <v>4670</v>
      </c>
    </row>
    <row r="1186" spans="1:62" x14ac:dyDescent="0.35">
      <c r="A1186" s="403">
        <v>7</v>
      </c>
      <c r="B1186" s="609" t="s">
        <v>1154</v>
      </c>
      <c r="C1186" s="613"/>
      <c r="D1186" s="604" t="s">
        <v>283</v>
      </c>
      <c r="E1186" s="604"/>
      <c r="F1186" s="604"/>
      <c r="G1186" s="403" t="str">
        <f t="shared" ca="1" si="346"/>
        <v/>
      </c>
      <c r="H1186" s="403" t="s">
        <v>4323</v>
      </c>
      <c r="I1186" s="4"/>
      <c r="J1186" s="385" t="s">
        <v>283</v>
      </c>
      <c r="K1186" s="320"/>
      <c r="L1186" s="742" t="s">
        <v>1166</v>
      </c>
      <c r="M1186" s="43"/>
      <c r="N1186" s="85"/>
      <c r="O1186" s="85"/>
      <c r="P1186" t="b">
        <v>1</v>
      </c>
      <c r="Q1186" t="b">
        <v>1</v>
      </c>
      <c r="R1186" t="b">
        <v>0</v>
      </c>
      <c r="S1186" t="b">
        <f ca="1">AND(S777=2,OR(BF781=1,BF781=2,BF781=3))</f>
        <v>0</v>
      </c>
      <c r="T1186" t="b">
        <f ca="1">AND(NOT(S1186),W1186=TRUE)</f>
        <v>0</v>
      </c>
      <c r="W1186" s="17"/>
      <c r="X1186" s="688"/>
      <c r="Y1186" s="891" t="str">
        <f>IF(LEN('Ch7'!X422)=0,"None",'Ch7'!X422)</f>
        <v>None</v>
      </c>
      <c r="Z1186" s="892"/>
      <c r="AC1186" t="b">
        <f ca="1">OR(AD1186:AE1186)</f>
        <v>0</v>
      </c>
      <c r="AD1186" t="b">
        <f ca="1">T1186</f>
        <v>0</v>
      </c>
      <c r="AE1186" t="b">
        <f>AND(R1186,NOT(W1186))</f>
        <v>0</v>
      </c>
      <c r="AF1186" t="b">
        <f>AND(AE1186,NOT(Q1186))</f>
        <v>0</v>
      </c>
      <c r="AP1186" t="str">
        <f t="shared" si="350"/>
        <v>vch703_7_3_4</v>
      </c>
      <c r="AQ1186">
        <f>W1186</f>
        <v>0</v>
      </c>
      <c r="AR1186" t="str">
        <f t="shared" si="351"/>
        <v>vnt703_7_3_4</v>
      </c>
      <c r="AS1186">
        <f>X1186</f>
        <v>0</v>
      </c>
      <c r="BJ1186" s="573" t="s">
        <v>4670</v>
      </c>
    </row>
    <row r="1187" spans="1:62" x14ac:dyDescent="0.35">
      <c r="A1187" s="403">
        <v>7</v>
      </c>
      <c r="B1187" s="609" t="s">
        <v>1154</v>
      </c>
      <c r="C1187" s="613"/>
      <c r="D1187" s="604" t="s">
        <v>283</v>
      </c>
      <c r="E1187" s="604"/>
      <c r="F1187" s="604"/>
      <c r="G1187" s="403" t="str">
        <f t="shared" ca="1" si="346"/>
        <v/>
      </c>
      <c r="H1187" s="403" t="s">
        <v>4323</v>
      </c>
      <c r="I1187" s="4"/>
      <c r="J1187" s="214"/>
      <c r="K1187" s="214"/>
      <c r="L1187" s="709"/>
      <c r="M1187" s="43"/>
      <c r="N1187" s="85"/>
      <c r="O1187" s="85"/>
      <c r="X1187" s="688"/>
      <c r="Y1187" s="891"/>
      <c r="Z1187" s="892"/>
      <c r="BJ1187" s="573" t="s">
        <v>4670</v>
      </c>
    </row>
    <row r="1188" spans="1:62" x14ac:dyDescent="0.35">
      <c r="A1188" s="403">
        <v>7</v>
      </c>
      <c r="B1188" s="609" t="s">
        <v>1154</v>
      </c>
      <c r="C1188" s="613"/>
      <c r="D1188" s="604" t="s">
        <v>289</v>
      </c>
      <c r="E1188" s="604"/>
      <c r="F1188" s="604"/>
      <c r="G1188" s="403" t="str">
        <f t="shared" ca="1" si="346"/>
        <v/>
      </c>
      <c r="H1188" s="403" t="s">
        <v>4323</v>
      </c>
      <c r="I1188" s="4"/>
      <c r="J1188" s="179" t="s">
        <v>289</v>
      </c>
      <c r="K1188" s="104"/>
      <c r="L1188" s="707" t="s">
        <v>1167</v>
      </c>
      <c r="M1188" s="43"/>
      <c r="N1188" s="85"/>
      <c r="O1188" s="85"/>
      <c r="Z1188" s="543"/>
      <c r="BJ1188" s="573" t="s">
        <v>4670</v>
      </c>
    </row>
    <row r="1189" spans="1:62" x14ac:dyDescent="0.35">
      <c r="A1189" s="403">
        <v>7</v>
      </c>
      <c r="B1189" s="609" t="s">
        <v>1154</v>
      </c>
      <c r="C1189" s="613"/>
      <c r="D1189" s="604" t="s">
        <v>289</v>
      </c>
      <c r="E1189" s="604"/>
      <c r="F1189" s="604"/>
      <c r="G1189" s="403" t="str">
        <f t="shared" ca="1" si="346"/>
        <v/>
      </c>
      <c r="H1189" s="403" t="s">
        <v>4323</v>
      </c>
      <c r="I1189" s="4"/>
      <c r="J1189" s="104"/>
      <c r="K1189" s="104"/>
      <c r="L1189" s="707"/>
      <c r="M1189" s="43"/>
      <c r="N1189" s="85"/>
      <c r="O1189" s="85"/>
      <c r="Z1189" s="543"/>
      <c r="BJ1189" s="573" t="s">
        <v>4670</v>
      </c>
    </row>
    <row r="1190" spans="1:62" x14ac:dyDescent="0.35">
      <c r="A1190" s="403">
        <v>7</v>
      </c>
      <c r="B1190" s="609" t="s">
        <v>1154</v>
      </c>
      <c r="C1190" s="613"/>
      <c r="D1190" s="604" t="s">
        <v>289</v>
      </c>
      <c r="E1190" s="604"/>
      <c r="F1190" s="604"/>
      <c r="G1190" s="403" t="str">
        <f t="shared" ca="1" si="346"/>
        <v/>
      </c>
      <c r="H1190" s="403" t="s">
        <v>4323</v>
      </c>
      <c r="I1190" s="4"/>
      <c r="J1190" s="104"/>
      <c r="K1190" s="104"/>
      <c r="L1190" s="707"/>
      <c r="M1190" s="43"/>
      <c r="N1190" s="85"/>
      <c r="O1190" s="85"/>
      <c r="Z1190" s="543"/>
      <c r="BJ1190" s="573" t="s">
        <v>4670</v>
      </c>
    </row>
    <row r="1191" spans="1:62" x14ac:dyDescent="0.35">
      <c r="A1191" s="403">
        <v>7</v>
      </c>
      <c r="B1191" s="609" t="s">
        <v>1154</v>
      </c>
      <c r="C1191" s="613"/>
      <c r="D1191" s="615" t="s">
        <v>289</v>
      </c>
      <c r="E1191" s="604" t="s">
        <v>121</v>
      </c>
      <c r="F1191" s="604"/>
      <c r="G1191" s="403" t="str">
        <f t="shared" ca="1" si="346"/>
        <v/>
      </c>
      <c r="H1191" s="605" t="s">
        <v>4323</v>
      </c>
      <c r="I1191" s="4"/>
      <c r="J1191" s="104"/>
      <c r="K1191" s="175" t="s">
        <v>121</v>
      </c>
      <c r="L1191" s="707" t="s">
        <v>1168</v>
      </c>
      <c r="M1191" s="43"/>
      <c r="N1191" s="85"/>
      <c r="O1191" s="85"/>
      <c r="P1191" t="b">
        <v>1</v>
      </c>
      <c r="Q1191" t="b">
        <v>1</v>
      </c>
      <c r="R1191" t="b">
        <v>0</v>
      </c>
      <c r="S1191" t="b">
        <f ca="1">(S777=2)</f>
        <v>0</v>
      </c>
      <c r="T1191" t="b">
        <f ca="1">AND(NOT(S1191),W1191=TRUE)</f>
        <v>0</v>
      </c>
      <c r="W1191" s="17"/>
      <c r="X1191" s="688"/>
      <c r="Y1191" s="891" t="str">
        <f>IF(LEN('Ch7'!X427)=0,"None",'Ch7'!X427)</f>
        <v>None</v>
      </c>
      <c r="Z1191" s="892"/>
      <c r="AC1191" t="b">
        <f ca="1">OR(AD1191:AE1191)</f>
        <v>0</v>
      </c>
      <c r="AD1191" t="b">
        <f ca="1">T1191</f>
        <v>0</v>
      </c>
      <c r="AE1191" t="b">
        <f>AND(R1191,NOT(W1191))</f>
        <v>0</v>
      </c>
      <c r="AF1191" t="b">
        <f>AND(AE1191,NOT(Q1191))</f>
        <v>0</v>
      </c>
      <c r="AP1191" t="str">
        <f>SUBSTITUTE(SUBSTITUTE(SUBSTITUTE("vch"&amp;$B1191&amp;$C1191&amp;$D1191&amp;$E1191&amp;$F1191,".","_"),"(","_"),")","")</f>
        <v>vch703_7_3_5_a</v>
      </c>
      <c r="AQ1191">
        <f>W1191</f>
        <v>0</v>
      </c>
      <c r="AR1191" t="str">
        <f>SUBSTITUTE(SUBSTITUTE(SUBSTITUTE("vnt"&amp;$B1191&amp;$C1191&amp;$D1191&amp;$E1191&amp;$F1191,".","_"),"(","_"),")","")</f>
        <v>vnt703_7_3_5_a</v>
      </c>
      <c r="AS1191">
        <f>X1191</f>
        <v>0</v>
      </c>
      <c r="BJ1191" s="573" t="s">
        <v>4670</v>
      </c>
    </row>
    <row r="1192" spans="1:62" x14ac:dyDescent="0.35">
      <c r="A1192" s="403">
        <v>7</v>
      </c>
      <c r="B1192" s="609" t="s">
        <v>1154</v>
      </c>
      <c r="C1192" s="613"/>
      <c r="D1192" s="615" t="s">
        <v>289</v>
      </c>
      <c r="E1192" s="604" t="s">
        <v>121</v>
      </c>
      <c r="F1192" s="604"/>
      <c r="G1192" s="403" t="str">
        <f t="shared" ca="1" si="346"/>
        <v/>
      </c>
      <c r="H1192" s="403" t="s">
        <v>4323</v>
      </c>
      <c r="I1192" s="4"/>
      <c r="J1192" s="104"/>
      <c r="K1192" s="104"/>
      <c r="L1192" s="707"/>
      <c r="M1192" s="43"/>
      <c r="N1192" s="85"/>
      <c r="O1192" s="85"/>
      <c r="X1192" s="688"/>
      <c r="Y1192" s="891"/>
      <c r="Z1192" s="892"/>
      <c r="BJ1192" s="573" t="s">
        <v>4670</v>
      </c>
    </row>
    <row r="1193" spans="1:62" x14ac:dyDescent="0.35">
      <c r="A1193" s="403">
        <v>7</v>
      </c>
      <c r="B1193" s="609" t="s">
        <v>1154</v>
      </c>
      <c r="C1193" s="613"/>
      <c r="D1193" s="615" t="s">
        <v>289</v>
      </c>
      <c r="E1193" s="604" t="s">
        <v>122</v>
      </c>
      <c r="F1193" s="604"/>
      <c r="G1193" s="403" t="str">
        <f t="shared" ca="1" si="346"/>
        <v/>
      </c>
      <c r="H1193" s="605" t="s">
        <v>4323</v>
      </c>
      <c r="I1193" s="4"/>
      <c r="J1193" s="104"/>
      <c r="K1193" s="175" t="s">
        <v>122</v>
      </c>
      <c r="L1193" s="707" t="s">
        <v>1169</v>
      </c>
      <c r="M1193" s="43"/>
      <c r="N1193" s="85"/>
      <c r="O1193" s="85"/>
      <c r="P1193" t="b">
        <v>1</v>
      </c>
      <c r="Q1193" t="b">
        <v>1</v>
      </c>
      <c r="R1193" t="b">
        <v>0</v>
      </c>
      <c r="S1193" t="b">
        <f ca="1">(S777=2)</f>
        <v>0</v>
      </c>
      <c r="T1193" t="b">
        <f ca="1">AND(NOT(S1193),W1193=TRUE)</f>
        <v>0</v>
      </c>
      <c r="W1193" s="17"/>
      <c r="X1193" s="688"/>
      <c r="Y1193" s="891" t="str">
        <f>IF(LEN('Ch7'!X429)=0,"None",'Ch7'!X429)</f>
        <v>None</v>
      </c>
      <c r="Z1193" s="892"/>
      <c r="AC1193" t="b">
        <f ca="1">OR(AD1193:AE1193)</f>
        <v>0</v>
      </c>
      <c r="AD1193" t="b">
        <f ca="1">T1193</f>
        <v>0</v>
      </c>
      <c r="AE1193" t="b">
        <f>AND(R1193,NOT(W1193))</f>
        <v>0</v>
      </c>
      <c r="AF1193" t="b">
        <f>AND(AE1193,NOT(Q1193))</f>
        <v>0</v>
      </c>
      <c r="AP1193" t="str">
        <f>SUBSTITUTE(SUBSTITUTE(SUBSTITUTE("vch"&amp;$B1193&amp;$C1193&amp;$D1193&amp;$E1193&amp;$F1193,".","_"),"(","_"),")","")</f>
        <v>vch703_7_3_5_b</v>
      </c>
      <c r="AQ1193">
        <f>W1193</f>
        <v>0</v>
      </c>
      <c r="AR1193" t="str">
        <f>SUBSTITUTE(SUBSTITUTE(SUBSTITUTE("vnt"&amp;$B1193&amp;$C1193&amp;$D1193&amp;$E1193&amp;$F1193,".","_"),"(","_"),")","")</f>
        <v>vnt703_7_3_5_b</v>
      </c>
      <c r="AS1193">
        <f>X1193</f>
        <v>0</v>
      </c>
      <c r="BJ1193" s="573" t="s">
        <v>4670</v>
      </c>
    </row>
    <row r="1194" spans="1:62" x14ac:dyDescent="0.35">
      <c r="A1194" s="403">
        <v>7</v>
      </c>
      <c r="B1194" s="609" t="s">
        <v>1154</v>
      </c>
      <c r="C1194" s="613"/>
      <c r="D1194" s="615" t="s">
        <v>289</v>
      </c>
      <c r="E1194" s="604" t="s">
        <v>122</v>
      </c>
      <c r="F1194" s="604"/>
      <c r="G1194" s="403" t="str">
        <f t="shared" ca="1" si="346"/>
        <v/>
      </c>
      <c r="H1194" s="403" t="s">
        <v>4323</v>
      </c>
      <c r="I1194" s="4"/>
      <c r="J1194" s="214"/>
      <c r="K1194" s="214"/>
      <c r="L1194" s="709"/>
      <c r="M1194" s="43"/>
      <c r="N1194" s="85"/>
      <c r="O1194" s="85"/>
      <c r="X1194" s="688"/>
      <c r="Y1194" s="891"/>
      <c r="Z1194" s="892"/>
      <c r="BJ1194" s="573" t="s">
        <v>4670</v>
      </c>
    </row>
    <row r="1195" spans="1:62" x14ac:dyDescent="0.35">
      <c r="A1195" s="403">
        <v>7</v>
      </c>
      <c r="B1195" s="609" t="s">
        <v>1154</v>
      </c>
      <c r="C1195" s="613"/>
      <c r="D1195" s="604" t="s">
        <v>291</v>
      </c>
      <c r="E1195" s="604"/>
      <c r="F1195" s="604"/>
      <c r="G1195" s="403" t="str">
        <f t="shared" ca="1" si="346"/>
        <v/>
      </c>
      <c r="H1195" s="403" t="s">
        <v>4323</v>
      </c>
      <c r="I1195" s="4"/>
      <c r="J1195" s="179" t="s">
        <v>291</v>
      </c>
      <c r="K1195" s="104"/>
      <c r="L1195" s="707" t="s">
        <v>1170</v>
      </c>
      <c r="M1195" s="43"/>
      <c r="N1195" s="85"/>
      <c r="O1195" s="85"/>
      <c r="P1195" t="b">
        <v>1</v>
      </c>
      <c r="Q1195" t="b">
        <v>1</v>
      </c>
      <c r="R1195" t="b">
        <v>0</v>
      </c>
      <c r="S1195" t="b">
        <f ca="1">(S777=2)</f>
        <v>0</v>
      </c>
      <c r="T1195" t="b">
        <f ca="1">AND(NOT(S1195),W1195=TRUE)</f>
        <v>0</v>
      </c>
      <c r="W1195" s="17"/>
      <c r="X1195" s="688"/>
      <c r="Y1195" s="891" t="str">
        <f>IF(LEN('Ch7'!X431)=0,"None",'Ch7'!X431)</f>
        <v>None</v>
      </c>
      <c r="Z1195" s="892"/>
      <c r="AC1195" t="b">
        <f ca="1">OR(AD1195:AE1195)</f>
        <v>0</v>
      </c>
      <c r="AD1195" t="b">
        <f ca="1">T1195</f>
        <v>0</v>
      </c>
      <c r="AE1195" t="b">
        <f>AND(R1195,NOT(W1195))</f>
        <v>0</v>
      </c>
      <c r="AF1195" t="b">
        <f>AND(AE1195,NOT(Q1195))</f>
        <v>0</v>
      </c>
      <c r="AP1195" t="str">
        <f>SUBSTITUTE(SUBSTITUTE(SUBSTITUTE("vch"&amp;$B1195&amp;$C1195&amp;$D1195&amp;$E1195&amp;$F1195,".","_"),"(","_"),")","")</f>
        <v>vch703_7_3_6</v>
      </c>
      <c r="AQ1195">
        <f>W1195</f>
        <v>0</v>
      </c>
      <c r="AR1195" t="str">
        <f>SUBSTITUTE(SUBSTITUTE(SUBSTITUTE("vnt"&amp;$B1195&amp;$C1195&amp;$D1195&amp;$E1195&amp;$F1195,".","_"),"(","_"),")","")</f>
        <v>vnt703_7_3_6</v>
      </c>
      <c r="AS1195">
        <f>X1195</f>
        <v>0</v>
      </c>
      <c r="BJ1195" s="573" t="s">
        <v>4670</v>
      </c>
    </row>
    <row r="1196" spans="1:62" x14ac:dyDescent="0.35">
      <c r="A1196" s="403">
        <v>7</v>
      </c>
      <c r="B1196" s="609" t="s">
        <v>1154</v>
      </c>
      <c r="C1196" s="613"/>
      <c r="D1196" s="604" t="s">
        <v>291</v>
      </c>
      <c r="E1196" s="604"/>
      <c r="F1196" s="604"/>
      <c r="G1196" s="403" t="str">
        <f t="shared" ca="1" si="346"/>
        <v/>
      </c>
      <c r="H1196" s="403" t="s">
        <v>4323</v>
      </c>
      <c r="I1196" s="155"/>
      <c r="J1196" s="214"/>
      <c r="K1196" s="214"/>
      <c r="L1196" s="709"/>
      <c r="M1196" s="198"/>
      <c r="N1196" s="342"/>
      <c r="O1196" s="342"/>
      <c r="X1196" s="688"/>
      <c r="Y1196" s="891"/>
      <c r="Z1196" s="892"/>
      <c r="BJ1196" s="573" t="s">
        <v>4670</v>
      </c>
    </row>
    <row r="1197" spans="1:62" x14ac:dyDescent="0.35">
      <c r="A1197" s="403">
        <v>7</v>
      </c>
      <c r="B1197" s="609" t="s">
        <v>1171</v>
      </c>
      <c r="C1197" s="613"/>
      <c r="D1197" s="604"/>
      <c r="E1197" s="604"/>
      <c r="F1197" s="604"/>
      <c r="G1197" s="403" t="str">
        <f ca="1">IF(N1197&gt;0,"P","")</f>
        <v/>
      </c>
      <c r="H1197" s="403" t="s">
        <v>4323</v>
      </c>
      <c r="I1197" s="34" t="s">
        <v>1171</v>
      </c>
      <c r="J1197" s="104"/>
      <c r="K1197" s="104"/>
      <c r="L1197" s="738" t="s">
        <v>1172</v>
      </c>
      <c r="M1197" s="690">
        <v>4</v>
      </c>
      <c r="N1197" s="696">
        <f ca="1">'Ch7'!O433</f>
        <v>0</v>
      </c>
      <c r="O1197" s="696">
        <f ca="1">M1197*S1197*W1197</f>
        <v>0</v>
      </c>
      <c r="P1197" t="b">
        <v>1</v>
      </c>
      <c r="Q1197" t="b">
        <v>1</v>
      </c>
      <c r="R1197" t="b">
        <v>0</v>
      </c>
      <c r="S1197" t="b">
        <f ca="1">AND(S777=2,W1140=TRUE,NOT(BI781="Tropical"))</f>
        <v>0</v>
      </c>
      <c r="T1197" t="b">
        <f ca="1">AND(NOT(S1197),W1197=TRUE)</f>
        <v>0</v>
      </c>
      <c r="W1197" s="17"/>
      <c r="Z1197" s="543"/>
      <c r="AC1197" t="b">
        <f ca="1">OR(AD1197:AE1197)</f>
        <v>0</v>
      </c>
      <c r="AD1197" t="b">
        <f ca="1">T1197</f>
        <v>0</v>
      </c>
      <c r="AE1197" t="b">
        <f>AND(R1197,NOT(W1197))</f>
        <v>0</v>
      </c>
      <c r="AF1197" t="b">
        <f>AND(AE1197,NOT(Q1197))</f>
        <v>0</v>
      </c>
      <c r="AL1197" t="str">
        <f t="shared" ref="AL1197" si="352">SUBSTITUTE(SUBSTITUTE(SUBSTITUTE("vpa"&amp;$B1197&amp;$C1197&amp;$D1197&amp;$E1197&amp;$F1197,".","_"),"(","_"),")","")</f>
        <v>vpa703_7_4</v>
      </c>
      <c r="AM1197">
        <f>M1197</f>
        <v>4</v>
      </c>
      <c r="AN1197" t="str">
        <f>SUBSTITUTE(SUBSTITUTE(SUBSTITUTE("vpc"&amp;$B1197&amp;$C1197&amp;$D1197&amp;$E1197&amp;$F1197,".","_"),"(","_"),")","")</f>
        <v>vpc703_7_4</v>
      </c>
      <c r="AO1197">
        <f ca="1">O1197</f>
        <v>0</v>
      </c>
      <c r="AP1197" t="str">
        <f>SUBSTITUTE(SUBSTITUTE(SUBSTITUTE("vch"&amp;$B1197&amp;$C1197&amp;$D1197&amp;$E1197&amp;$F1197,".","_"),"(","_"),")","")</f>
        <v>vch703_7_4</v>
      </c>
      <c r="AQ1197">
        <f>W1197</f>
        <v>0</v>
      </c>
      <c r="BJ1197" s="573" t="s">
        <v>4670</v>
      </c>
    </row>
    <row r="1198" spans="1:62" x14ac:dyDescent="0.35">
      <c r="A1198" s="403">
        <v>7</v>
      </c>
      <c r="B1198" s="609" t="s">
        <v>1171</v>
      </c>
      <c r="C1198" s="613"/>
      <c r="D1198" s="604"/>
      <c r="E1198" s="604"/>
      <c r="F1198" s="604"/>
      <c r="G1198" s="403" t="str">
        <f t="shared" ref="G1198:G1219" ca="1" si="353">G1197</f>
        <v/>
      </c>
      <c r="H1198" s="403" t="s">
        <v>4323</v>
      </c>
      <c r="I1198" s="4"/>
      <c r="J1198" s="104"/>
      <c r="K1198" s="104"/>
      <c r="L1198" s="738"/>
      <c r="M1198" s="690"/>
      <c r="N1198" s="696"/>
      <c r="O1198" s="696"/>
      <c r="Z1198" s="543"/>
      <c r="BJ1198" s="573" t="s">
        <v>4670</v>
      </c>
    </row>
    <row r="1199" spans="1:62" x14ac:dyDescent="0.35">
      <c r="A1199" s="403">
        <v>7</v>
      </c>
      <c r="B1199" s="609" t="s">
        <v>1171</v>
      </c>
      <c r="C1199" s="613"/>
      <c r="D1199" s="604"/>
      <c r="E1199" s="604"/>
      <c r="F1199" s="604"/>
      <c r="G1199" s="403" t="str">
        <f t="shared" ca="1" si="353"/>
        <v/>
      </c>
      <c r="H1199" s="403" t="s">
        <v>4323</v>
      </c>
      <c r="I1199" s="4"/>
      <c r="J1199" s="104"/>
      <c r="K1199" s="104"/>
      <c r="L1199" s="104" t="s">
        <v>1173</v>
      </c>
      <c r="M1199" s="43"/>
      <c r="N1199" s="85"/>
      <c r="O1199" s="85"/>
      <c r="Z1199" s="543"/>
      <c r="BJ1199" s="573" t="s">
        <v>4670</v>
      </c>
    </row>
    <row r="1200" spans="1:62" x14ac:dyDescent="0.35">
      <c r="A1200" s="403">
        <v>7</v>
      </c>
      <c r="B1200" s="609" t="s">
        <v>1171</v>
      </c>
      <c r="C1200" s="613"/>
      <c r="D1200" s="604" t="s">
        <v>270</v>
      </c>
      <c r="E1200" s="604"/>
      <c r="F1200" s="604"/>
      <c r="G1200" s="403" t="str">
        <f t="shared" ca="1" si="353"/>
        <v/>
      </c>
      <c r="H1200" s="403" t="s">
        <v>4323</v>
      </c>
      <c r="I1200" s="4"/>
      <c r="J1200" s="179" t="s">
        <v>270</v>
      </c>
      <c r="K1200" s="104"/>
      <c r="L1200" s="707" t="s">
        <v>1174</v>
      </c>
      <c r="M1200" s="43"/>
      <c r="N1200" s="85"/>
      <c r="O1200" s="85"/>
      <c r="X1200" s="688"/>
      <c r="Y1200" s="891" t="str">
        <f>IF(LEN('Ch7'!X436)=0,"None",'Ch7'!X436)</f>
        <v>None</v>
      </c>
      <c r="Z1200" s="892"/>
      <c r="AR1200" t="str">
        <f>SUBSTITUTE(SUBSTITUTE(SUBSTITUTE("vnt"&amp;$B1200&amp;$C1200&amp;$D1200&amp;$E1200&amp;$F1200,".","_"),"(","_"),")","")</f>
        <v>vnt703_7_4_1</v>
      </c>
      <c r="AS1200">
        <f>X1200</f>
        <v>0</v>
      </c>
      <c r="BJ1200" s="573" t="s">
        <v>4670</v>
      </c>
    </row>
    <row r="1201" spans="1:62" x14ac:dyDescent="0.35">
      <c r="A1201" s="403">
        <v>7</v>
      </c>
      <c r="B1201" s="609" t="s">
        <v>1171</v>
      </c>
      <c r="C1201" s="613"/>
      <c r="D1201" s="604" t="s">
        <v>270</v>
      </c>
      <c r="E1201" s="604"/>
      <c r="F1201" s="604"/>
      <c r="G1201" s="403" t="str">
        <f t="shared" ca="1" si="353"/>
        <v/>
      </c>
      <c r="H1201" s="403" t="s">
        <v>4323</v>
      </c>
      <c r="I1201" s="4"/>
      <c r="J1201" s="214"/>
      <c r="K1201" s="214"/>
      <c r="L1201" s="709"/>
      <c r="M1201" s="43"/>
      <c r="N1201" s="85"/>
      <c r="O1201" s="85"/>
      <c r="X1201" s="688"/>
      <c r="Y1201" s="891"/>
      <c r="Z1201" s="892"/>
      <c r="BJ1201" s="573" t="s">
        <v>4670</v>
      </c>
    </row>
    <row r="1202" spans="1:62" x14ac:dyDescent="0.35">
      <c r="A1202" s="403">
        <v>7</v>
      </c>
      <c r="B1202" s="609" t="s">
        <v>1171</v>
      </c>
      <c r="C1202" s="613"/>
      <c r="D1202" s="604" t="s">
        <v>272</v>
      </c>
      <c r="E1202" s="604"/>
      <c r="F1202" s="604"/>
      <c r="G1202" s="403" t="str">
        <f t="shared" ca="1" si="353"/>
        <v/>
      </c>
      <c r="H1202" s="403" t="s">
        <v>4323</v>
      </c>
      <c r="I1202" s="4"/>
      <c r="J1202" s="179" t="s">
        <v>272</v>
      </c>
      <c r="K1202" s="104"/>
      <c r="L1202" s="723" t="s">
        <v>1175</v>
      </c>
      <c r="M1202" s="43"/>
      <c r="N1202" s="85"/>
      <c r="O1202" s="85"/>
      <c r="Z1202" s="543"/>
      <c r="BJ1202" s="573" t="s">
        <v>4670</v>
      </c>
    </row>
    <row r="1203" spans="1:62" x14ac:dyDescent="0.35">
      <c r="A1203" s="403">
        <v>7</v>
      </c>
      <c r="B1203" s="609" t="s">
        <v>1171</v>
      </c>
      <c r="C1203" s="613"/>
      <c r="D1203" s="604" t="s">
        <v>272</v>
      </c>
      <c r="E1203" s="604"/>
      <c r="F1203" s="604"/>
      <c r="G1203" s="403" t="str">
        <f t="shared" ca="1" si="353"/>
        <v/>
      </c>
      <c r="H1203" s="403" t="s">
        <v>4323</v>
      </c>
      <c r="I1203" s="4"/>
      <c r="J1203" s="104"/>
      <c r="K1203" s="104"/>
      <c r="L1203" s="723"/>
      <c r="M1203" s="43"/>
      <c r="N1203" s="85"/>
      <c r="O1203" s="85"/>
      <c r="Z1203" s="543"/>
      <c r="BJ1203" s="573" t="s">
        <v>4670</v>
      </c>
    </row>
    <row r="1204" spans="1:62" x14ac:dyDescent="0.35">
      <c r="A1204" s="403">
        <v>7</v>
      </c>
      <c r="B1204" s="609" t="s">
        <v>1171</v>
      </c>
      <c r="C1204" s="613"/>
      <c r="D1204" s="604" t="s">
        <v>272</v>
      </c>
      <c r="E1204" s="604" t="s">
        <v>121</v>
      </c>
      <c r="F1204" s="604"/>
      <c r="G1204" s="403" t="str">
        <f t="shared" ca="1" si="353"/>
        <v/>
      </c>
      <c r="H1204" s="605" t="s">
        <v>4323</v>
      </c>
      <c r="I1204" s="4"/>
      <c r="J1204" s="104"/>
      <c r="K1204" s="175" t="s">
        <v>121</v>
      </c>
      <c r="L1204" s="707" t="s">
        <v>1176</v>
      </c>
      <c r="M1204" s="43"/>
      <c r="N1204" s="85"/>
      <c r="O1204" s="85"/>
      <c r="X1204" s="688"/>
      <c r="Y1204" s="891" t="str">
        <f>IF(LEN('Ch7'!X440)=0,"None",'Ch7'!X440)</f>
        <v>None</v>
      </c>
      <c r="Z1204" s="892"/>
      <c r="AR1204" t="str">
        <f>SUBSTITUTE(SUBSTITUTE(SUBSTITUTE("vnt"&amp;$B1204&amp;$C1204&amp;$D1204&amp;$E1204&amp;$F1204,".","_"),"(","_"),")","")</f>
        <v>vnt703_7_4_2_a</v>
      </c>
      <c r="AS1204">
        <f>X1204</f>
        <v>0</v>
      </c>
      <c r="BJ1204" s="573" t="s">
        <v>4670</v>
      </c>
    </row>
    <row r="1205" spans="1:62" x14ac:dyDescent="0.35">
      <c r="A1205" s="403">
        <v>7</v>
      </c>
      <c r="B1205" s="609" t="s">
        <v>1171</v>
      </c>
      <c r="C1205" s="613"/>
      <c r="D1205" s="604" t="s">
        <v>272</v>
      </c>
      <c r="E1205" s="604" t="s">
        <v>121</v>
      </c>
      <c r="F1205" s="604"/>
      <c r="G1205" s="403" t="str">
        <f t="shared" ca="1" si="353"/>
        <v/>
      </c>
      <c r="H1205" s="403" t="s">
        <v>4323</v>
      </c>
      <c r="I1205" s="4"/>
      <c r="J1205" s="104"/>
      <c r="K1205" s="104"/>
      <c r="L1205" s="707"/>
      <c r="M1205" s="43"/>
      <c r="N1205" s="85"/>
      <c r="O1205" s="85"/>
      <c r="X1205" s="688"/>
      <c r="Y1205" s="891"/>
      <c r="Z1205" s="892"/>
      <c r="BJ1205" s="573" t="s">
        <v>4670</v>
      </c>
    </row>
    <row r="1206" spans="1:62" x14ac:dyDescent="0.35">
      <c r="A1206" s="403">
        <v>7</v>
      </c>
      <c r="B1206" s="609" t="s">
        <v>1171</v>
      </c>
      <c r="C1206" s="613"/>
      <c r="D1206" s="604" t="s">
        <v>272</v>
      </c>
      <c r="E1206" s="604" t="s">
        <v>121</v>
      </c>
      <c r="F1206" s="604"/>
      <c r="G1206" s="403" t="str">
        <f t="shared" ca="1" si="353"/>
        <v/>
      </c>
      <c r="H1206" s="403" t="s">
        <v>4323</v>
      </c>
      <c r="I1206" s="4"/>
      <c r="J1206" s="104"/>
      <c r="K1206" s="214"/>
      <c r="L1206" s="709"/>
      <c r="M1206" s="43"/>
      <c r="N1206" s="85"/>
      <c r="O1206" s="85"/>
      <c r="X1206" s="688"/>
      <c r="Y1206" s="891"/>
      <c r="Z1206" s="892"/>
      <c r="BJ1206" s="573" t="s">
        <v>4670</v>
      </c>
    </row>
    <row r="1207" spans="1:62" x14ac:dyDescent="0.35">
      <c r="A1207" s="403">
        <v>7</v>
      </c>
      <c r="B1207" s="609" t="s">
        <v>1171</v>
      </c>
      <c r="C1207" s="613"/>
      <c r="D1207" s="604" t="s">
        <v>272</v>
      </c>
      <c r="E1207" s="604" t="s">
        <v>122</v>
      </c>
      <c r="F1207" s="604"/>
      <c r="G1207" s="403" t="str">
        <f t="shared" ca="1" si="353"/>
        <v/>
      </c>
      <c r="H1207" s="605" t="s">
        <v>4323</v>
      </c>
      <c r="I1207" s="4"/>
      <c r="J1207" s="104"/>
      <c r="K1207" s="175" t="s">
        <v>122</v>
      </c>
      <c r="L1207" s="707" t="s">
        <v>1177</v>
      </c>
      <c r="M1207" s="43"/>
      <c r="N1207" s="85"/>
      <c r="O1207" s="85"/>
      <c r="X1207" s="688"/>
      <c r="Y1207" s="891" t="str">
        <f>IF(LEN('Ch7'!X443)=0,"None",'Ch7'!X443)</f>
        <v>None</v>
      </c>
      <c r="Z1207" s="892"/>
      <c r="AR1207" t="str">
        <f>SUBSTITUTE(SUBSTITUTE(SUBSTITUTE("vnt"&amp;$B1207&amp;$C1207&amp;$D1207&amp;$E1207&amp;$F1207,".","_"),"(","_"),")","")</f>
        <v>vnt703_7_4_2_b</v>
      </c>
      <c r="AS1207">
        <f>X1207</f>
        <v>0</v>
      </c>
      <c r="BJ1207" s="573" t="s">
        <v>4670</v>
      </c>
    </row>
    <row r="1208" spans="1:62" x14ac:dyDescent="0.35">
      <c r="A1208" s="403">
        <v>7</v>
      </c>
      <c r="B1208" s="609" t="s">
        <v>1171</v>
      </c>
      <c r="C1208" s="613"/>
      <c r="D1208" s="604" t="s">
        <v>272</v>
      </c>
      <c r="E1208" s="604" t="s">
        <v>122</v>
      </c>
      <c r="F1208" s="604"/>
      <c r="G1208" s="403" t="str">
        <f t="shared" ca="1" si="353"/>
        <v/>
      </c>
      <c r="H1208" s="403" t="s">
        <v>4323</v>
      </c>
      <c r="I1208" s="4"/>
      <c r="J1208" s="104"/>
      <c r="K1208" s="104"/>
      <c r="L1208" s="707"/>
      <c r="M1208" s="43"/>
      <c r="N1208" s="85"/>
      <c r="O1208" s="85"/>
      <c r="X1208" s="688"/>
      <c r="Y1208" s="891"/>
      <c r="Z1208" s="892"/>
      <c r="BJ1208" s="573" t="s">
        <v>4670</v>
      </c>
    </row>
    <row r="1209" spans="1:62" x14ac:dyDescent="0.35">
      <c r="A1209" s="403">
        <v>7</v>
      </c>
      <c r="B1209" s="609" t="s">
        <v>1171</v>
      </c>
      <c r="C1209" s="613"/>
      <c r="D1209" s="604" t="s">
        <v>272</v>
      </c>
      <c r="E1209" s="604" t="s">
        <v>122</v>
      </c>
      <c r="F1209" s="604" t="s">
        <v>982</v>
      </c>
      <c r="G1209" s="403" t="str">
        <f t="shared" ca="1" si="353"/>
        <v/>
      </c>
      <c r="H1209" s="403" t="s">
        <v>4323</v>
      </c>
      <c r="I1209" s="4"/>
      <c r="J1209" s="104"/>
      <c r="K1209" s="107" t="s">
        <v>982</v>
      </c>
      <c r="L1209" s="707" t="s">
        <v>1178</v>
      </c>
      <c r="M1209" s="43"/>
      <c r="N1209" s="85"/>
      <c r="O1209" s="85"/>
      <c r="X1209" s="688"/>
      <c r="Y1209" s="891"/>
      <c r="Z1209" s="892"/>
      <c r="BJ1209" s="573" t="s">
        <v>4670</v>
      </c>
    </row>
    <row r="1210" spans="1:62" x14ac:dyDescent="0.35">
      <c r="A1210" s="403">
        <v>7</v>
      </c>
      <c r="B1210" s="609" t="s">
        <v>1171</v>
      </c>
      <c r="C1210" s="613"/>
      <c r="D1210" s="604" t="s">
        <v>272</v>
      </c>
      <c r="E1210" s="604" t="s">
        <v>122</v>
      </c>
      <c r="F1210" s="604" t="s">
        <v>982</v>
      </c>
      <c r="G1210" s="403" t="str">
        <f t="shared" ca="1" si="353"/>
        <v/>
      </c>
      <c r="H1210" s="403" t="s">
        <v>4323</v>
      </c>
      <c r="I1210" s="4"/>
      <c r="J1210" s="104"/>
      <c r="K1210" s="181"/>
      <c r="L1210" s="707"/>
      <c r="M1210" s="43"/>
      <c r="N1210" s="85"/>
      <c r="O1210" s="85"/>
      <c r="X1210" s="688"/>
      <c r="Y1210" s="891"/>
      <c r="Z1210" s="892"/>
      <c r="BJ1210" s="573" t="s">
        <v>4670</v>
      </c>
    </row>
    <row r="1211" spans="1:62" x14ac:dyDescent="0.35">
      <c r="A1211" s="403">
        <v>7</v>
      </c>
      <c r="B1211" s="609" t="s">
        <v>1171</v>
      </c>
      <c r="C1211" s="613"/>
      <c r="D1211" s="604" t="s">
        <v>272</v>
      </c>
      <c r="E1211" s="604" t="s">
        <v>122</v>
      </c>
      <c r="F1211" s="604" t="s">
        <v>1179</v>
      </c>
      <c r="G1211" s="403" t="str">
        <f t="shared" ca="1" si="353"/>
        <v/>
      </c>
      <c r="H1211" s="403" t="s">
        <v>4323</v>
      </c>
      <c r="I1211" s="4"/>
      <c r="J1211" s="104"/>
      <c r="K1211" s="107" t="s">
        <v>1179</v>
      </c>
      <c r="L1211" s="707" t="s">
        <v>1180</v>
      </c>
      <c r="M1211" s="43"/>
      <c r="N1211" s="85"/>
      <c r="O1211" s="85"/>
      <c r="X1211" s="688"/>
      <c r="Y1211" s="891"/>
      <c r="Z1211" s="892"/>
      <c r="BJ1211" s="573" t="s">
        <v>4670</v>
      </c>
    </row>
    <row r="1212" spans="1:62" x14ac:dyDescent="0.35">
      <c r="A1212" s="403">
        <v>7</v>
      </c>
      <c r="B1212" s="609" t="s">
        <v>1171</v>
      </c>
      <c r="C1212" s="613"/>
      <c r="D1212" s="604" t="s">
        <v>272</v>
      </c>
      <c r="E1212" s="604" t="s">
        <v>122</v>
      </c>
      <c r="F1212" s="604" t="s">
        <v>1179</v>
      </c>
      <c r="G1212" s="403" t="str">
        <f t="shared" ca="1" si="353"/>
        <v/>
      </c>
      <c r="H1212" s="403" t="s">
        <v>4323</v>
      </c>
      <c r="I1212" s="4"/>
      <c r="J1212" s="104"/>
      <c r="K1212" s="181"/>
      <c r="L1212" s="707"/>
      <c r="M1212" s="43"/>
      <c r="N1212" s="85"/>
      <c r="O1212" s="85"/>
      <c r="X1212" s="688"/>
      <c r="Y1212" s="891"/>
      <c r="Z1212" s="892"/>
      <c r="BJ1212" s="573" t="s">
        <v>4670</v>
      </c>
    </row>
    <row r="1213" spans="1:62" x14ac:dyDescent="0.35">
      <c r="A1213" s="403">
        <v>7</v>
      </c>
      <c r="B1213" s="609" t="s">
        <v>1171</v>
      </c>
      <c r="C1213" s="613"/>
      <c r="D1213" s="604" t="s">
        <v>272</v>
      </c>
      <c r="E1213" s="604" t="s">
        <v>122</v>
      </c>
      <c r="F1213" s="604" t="s">
        <v>1181</v>
      </c>
      <c r="G1213" s="403" t="str">
        <f t="shared" ca="1" si="353"/>
        <v/>
      </c>
      <c r="H1213" s="403" t="s">
        <v>4323</v>
      </c>
      <c r="I1213" s="4"/>
      <c r="J1213" s="104"/>
      <c r="K1213" s="107" t="s">
        <v>1181</v>
      </c>
      <c r="L1213" s="707" t="s">
        <v>1182</v>
      </c>
      <c r="M1213" s="43"/>
      <c r="N1213" s="85"/>
      <c r="O1213" s="85"/>
      <c r="X1213" s="688"/>
      <c r="Y1213" s="891"/>
      <c r="Z1213" s="892"/>
      <c r="BJ1213" s="573" t="s">
        <v>4670</v>
      </c>
    </row>
    <row r="1214" spans="1:62" x14ac:dyDescent="0.35">
      <c r="A1214" s="403">
        <v>7</v>
      </c>
      <c r="B1214" s="609" t="s">
        <v>1171</v>
      </c>
      <c r="C1214" s="613"/>
      <c r="D1214" s="604" t="s">
        <v>272</v>
      </c>
      <c r="E1214" s="604" t="s">
        <v>122</v>
      </c>
      <c r="F1214" s="604" t="s">
        <v>1181</v>
      </c>
      <c r="G1214" s="403" t="str">
        <f t="shared" ca="1" si="353"/>
        <v/>
      </c>
      <c r="H1214" s="403" t="s">
        <v>4323</v>
      </c>
      <c r="I1214" s="4"/>
      <c r="J1214" s="104"/>
      <c r="K1214" s="214"/>
      <c r="L1214" s="709"/>
      <c r="M1214" s="43"/>
      <c r="N1214" s="85"/>
      <c r="O1214" s="85"/>
      <c r="X1214" s="688"/>
      <c r="Y1214" s="891"/>
      <c r="Z1214" s="892"/>
      <c r="BJ1214" s="573" t="s">
        <v>4670</v>
      </c>
    </row>
    <row r="1215" spans="1:62" x14ac:dyDescent="0.35">
      <c r="A1215" s="403">
        <v>7</v>
      </c>
      <c r="B1215" s="609" t="s">
        <v>1171</v>
      </c>
      <c r="C1215" s="613"/>
      <c r="D1215" s="604" t="s">
        <v>272</v>
      </c>
      <c r="E1215" s="604" t="s">
        <v>123</v>
      </c>
      <c r="F1215" s="604"/>
      <c r="G1215" s="403" t="str">
        <f t="shared" ca="1" si="353"/>
        <v/>
      </c>
      <c r="H1215" s="605" t="s">
        <v>4323</v>
      </c>
      <c r="I1215" s="4"/>
      <c r="J1215" s="104"/>
      <c r="K1215" s="175" t="s">
        <v>123</v>
      </c>
      <c r="L1215" s="707" t="s">
        <v>1183</v>
      </c>
      <c r="M1215" s="43"/>
      <c r="N1215" s="85"/>
      <c r="O1215" s="85"/>
      <c r="X1215" s="688"/>
      <c r="Y1215" s="891" t="str">
        <f>IF(LEN('Ch7'!X451)=0,"None",'Ch7'!X451)</f>
        <v>None</v>
      </c>
      <c r="Z1215" s="892"/>
      <c r="AR1215" t="str">
        <f>SUBSTITUTE(SUBSTITUTE(SUBSTITUTE("vnt"&amp;$B1215&amp;$C1215&amp;$D1215&amp;$E1215&amp;$F1215,".","_"),"(","_"),")","")</f>
        <v>vnt703_7_4_2_c</v>
      </c>
      <c r="AS1215">
        <f>X1215</f>
        <v>0</v>
      </c>
      <c r="BJ1215" s="573" t="s">
        <v>4670</v>
      </c>
    </row>
    <row r="1216" spans="1:62" x14ac:dyDescent="0.35">
      <c r="A1216" s="403">
        <v>7</v>
      </c>
      <c r="B1216" s="609" t="s">
        <v>1171</v>
      </c>
      <c r="C1216" s="613"/>
      <c r="D1216" s="604" t="s">
        <v>272</v>
      </c>
      <c r="E1216" s="604" t="s">
        <v>123</v>
      </c>
      <c r="F1216" s="604"/>
      <c r="G1216" s="403" t="str">
        <f t="shared" ca="1" si="353"/>
        <v/>
      </c>
      <c r="H1216" s="403" t="s">
        <v>4323</v>
      </c>
      <c r="I1216" s="4"/>
      <c r="J1216" s="104"/>
      <c r="K1216" s="104"/>
      <c r="L1216" s="707"/>
      <c r="M1216" s="43"/>
      <c r="N1216" s="85"/>
      <c r="O1216" s="85"/>
      <c r="X1216" s="688"/>
      <c r="Y1216" s="891"/>
      <c r="Z1216" s="892"/>
      <c r="BJ1216" s="573" t="s">
        <v>4670</v>
      </c>
    </row>
    <row r="1217" spans="1:62" x14ac:dyDescent="0.35">
      <c r="A1217" s="403">
        <v>7</v>
      </c>
      <c r="B1217" s="609" t="s">
        <v>1171</v>
      </c>
      <c r="C1217" s="613"/>
      <c r="D1217" s="604" t="s">
        <v>272</v>
      </c>
      <c r="E1217" s="604" t="s">
        <v>123</v>
      </c>
      <c r="F1217" s="604"/>
      <c r="G1217" s="403" t="str">
        <f t="shared" ca="1" si="353"/>
        <v/>
      </c>
      <c r="H1217" s="403" t="s">
        <v>4323</v>
      </c>
      <c r="I1217" s="4"/>
      <c r="J1217" s="214"/>
      <c r="K1217" s="214"/>
      <c r="L1217" s="709"/>
      <c r="M1217" s="43"/>
      <c r="N1217" s="85"/>
      <c r="O1217" s="85"/>
      <c r="X1217" s="688"/>
      <c r="Y1217" s="891"/>
      <c r="Z1217" s="892"/>
      <c r="BJ1217" s="573" t="s">
        <v>4670</v>
      </c>
    </row>
    <row r="1218" spans="1:62" x14ac:dyDescent="0.35">
      <c r="A1218" s="403">
        <v>7</v>
      </c>
      <c r="B1218" s="609" t="s">
        <v>1171</v>
      </c>
      <c r="C1218" s="613"/>
      <c r="D1218" s="604" t="s">
        <v>274</v>
      </c>
      <c r="E1218" s="604"/>
      <c r="F1218" s="604"/>
      <c r="G1218" s="403" t="str">
        <f t="shared" ca="1" si="353"/>
        <v/>
      </c>
      <c r="H1218" s="403" t="s">
        <v>4323</v>
      </c>
      <c r="I1218" s="4"/>
      <c r="J1218" s="179" t="s">
        <v>274</v>
      </c>
      <c r="K1218" s="104"/>
      <c r="L1218" s="707" t="s">
        <v>1184</v>
      </c>
      <c r="M1218" s="43"/>
      <c r="N1218" s="85"/>
      <c r="O1218" s="85"/>
      <c r="X1218" s="688"/>
      <c r="Y1218" s="891" t="str">
        <f>IF(LEN('Ch7'!X454)=0,"None",'Ch7'!X454)</f>
        <v>None</v>
      </c>
      <c r="Z1218" s="892"/>
      <c r="AR1218" t="str">
        <f>SUBSTITUTE(SUBSTITUTE(SUBSTITUTE("vnt"&amp;$B1218&amp;$C1218&amp;$D1218&amp;$E1218&amp;$F1218,".","_"),"(","_"),")","")</f>
        <v>vnt703_7_4_3</v>
      </c>
      <c r="AS1218">
        <f>X1218</f>
        <v>0</v>
      </c>
      <c r="BJ1218" s="573" t="s">
        <v>4670</v>
      </c>
    </row>
    <row r="1219" spans="1:62" x14ac:dyDescent="0.35">
      <c r="A1219" s="403">
        <v>7</v>
      </c>
      <c r="B1219" s="609" t="s">
        <v>1171</v>
      </c>
      <c r="C1219" s="613"/>
      <c r="D1219" s="604" t="s">
        <v>274</v>
      </c>
      <c r="E1219" s="604"/>
      <c r="F1219" s="604"/>
      <c r="G1219" s="403" t="str">
        <f t="shared" ca="1" si="353"/>
        <v/>
      </c>
      <c r="H1219" s="403" t="s">
        <v>4323</v>
      </c>
      <c r="I1219" s="4"/>
      <c r="J1219" s="104"/>
      <c r="K1219" s="104"/>
      <c r="L1219" s="707"/>
      <c r="M1219" s="43"/>
      <c r="N1219" s="85"/>
      <c r="O1219" s="85"/>
      <c r="X1219" s="688"/>
      <c r="Y1219" s="891"/>
      <c r="Z1219" s="892"/>
      <c r="BJ1219" s="573" t="s">
        <v>4670</v>
      </c>
    </row>
    <row r="1220" spans="1:62" ht="18.5" x14ac:dyDescent="0.45">
      <c r="A1220" s="403">
        <v>7</v>
      </c>
      <c r="B1220" s="609">
        <v>704</v>
      </c>
      <c r="C1220" s="613"/>
      <c r="D1220" s="604"/>
      <c r="E1220" s="604"/>
      <c r="F1220" s="604"/>
      <c r="G1220" s="403" t="s">
        <v>4326</v>
      </c>
      <c r="H1220" s="403" t="s">
        <v>4323</v>
      </c>
      <c r="I1220" s="10" t="s">
        <v>1185</v>
      </c>
      <c r="J1220" s="47"/>
      <c r="K1220" s="47"/>
      <c r="L1220" s="47"/>
      <c r="M1220" s="286"/>
      <c r="N1220" s="340"/>
      <c r="O1220" s="340"/>
      <c r="P1220" s="15"/>
      <c r="Q1220" s="15"/>
      <c r="R1220" s="15"/>
      <c r="S1220" s="15"/>
      <c r="T1220" s="15"/>
      <c r="U1220" s="15"/>
      <c r="V1220" s="15"/>
      <c r="W1220" s="15"/>
      <c r="X1220" s="15"/>
      <c r="Z1220" s="543"/>
      <c r="BJ1220" s="573" t="s">
        <v>4670</v>
      </c>
    </row>
    <row r="1221" spans="1:62" x14ac:dyDescent="0.35">
      <c r="A1221" s="403">
        <v>7</v>
      </c>
      <c r="B1221" s="609">
        <v>704.1</v>
      </c>
      <c r="C1221" s="613"/>
      <c r="D1221" s="604"/>
      <c r="E1221" s="604"/>
      <c r="F1221" s="604"/>
      <c r="G1221" s="403" t="str">
        <f>IF(N1221&gt;0,"P","")</f>
        <v/>
      </c>
      <c r="H1221" s="403" t="s">
        <v>4325</v>
      </c>
      <c r="I1221" s="32">
        <v>704.1</v>
      </c>
      <c r="J1221" s="104"/>
      <c r="K1221" s="104"/>
      <c r="L1221" s="706" t="s">
        <v>1186</v>
      </c>
      <c r="M1221" s="43"/>
      <c r="N1221" s="696">
        <f>'Ch7'!O457</f>
        <v>0</v>
      </c>
      <c r="O1221" s="696">
        <f>ROUNDDOWN(IFERROR(IF(AND((W1225-W1227)&gt;=0,NOT(ISBLANK(W1225)),NOT(ISBLANK(W1227))),(W1225-W1227)*2+30,0),0),0)</f>
        <v>54</v>
      </c>
      <c r="X1221" s="688" t="s">
        <v>4839</v>
      </c>
      <c r="Y1221" s="891" t="str">
        <f>IF(LEN('Ch7'!X457)=0,"None",'Ch7'!X457)</f>
        <v>None</v>
      </c>
      <c r="Z1221" s="892"/>
      <c r="AN1221" t="str">
        <f>SUBSTITUTE(SUBSTITUTE(SUBSTITUTE("vpc"&amp;$B1221&amp;$C1221&amp;$D1221&amp;$E1221&amp;$F1221,".","_"),"(","_"),")","")</f>
        <v>vpc704_1</v>
      </c>
      <c r="AO1221">
        <f>O1221</f>
        <v>54</v>
      </c>
      <c r="AR1221" t="str">
        <f>SUBSTITUTE(SUBSTITUTE(SUBSTITUTE("vnt"&amp;$B1221&amp;$C1221&amp;$D1221&amp;$E1221&amp;$F1221,".","_"),"(","_"),")","")</f>
        <v>vnt704_1</v>
      </c>
      <c r="AS1221" t="str">
        <f>X1221</f>
        <v>Target 58; final HERS 46</v>
      </c>
      <c r="BJ1221" s="573" t="s">
        <v>4670</v>
      </c>
    </row>
    <row r="1222" spans="1:62" x14ac:dyDescent="0.35">
      <c r="A1222" s="403">
        <v>7</v>
      </c>
      <c r="B1222" s="609">
        <v>704.1</v>
      </c>
      <c r="C1222" s="613"/>
      <c r="D1222" s="604"/>
      <c r="E1222" s="604"/>
      <c r="F1222" s="604"/>
      <c r="G1222" s="403" t="str">
        <f t="shared" ref="G1222:G1228" si="354">G1221</f>
        <v/>
      </c>
      <c r="H1222" s="403" t="s">
        <v>4325</v>
      </c>
      <c r="I1222" s="4"/>
      <c r="J1222" s="104"/>
      <c r="K1222" s="104"/>
      <c r="L1222" s="706"/>
      <c r="M1222" s="43"/>
      <c r="N1222" s="696"/>
      <c r="O1222" s="696"/>
      <c r="X1222" s="688"/>
      <c r="Y1222" s="891"/>
      <c r="Z1222" s="892"/>
      <c r="BJ1222" s="573" t="s">
        <v>4670</v>
      </c>
    </row>
    <row r="1223" spans="1:62" ht="15" customHeight="1" x14ac:dyDescent="0.35">
      <c r="A1223" s="403">
        <v>7</v>
      </c>
      <c r="B1223" s="609">
        <v>704.1</v>
      </c>
      <c r="C1223" s="613"/>
      <c r="D1223" s="604"/>
      <c r="E1223" s="604"/>
      <c r="F1223" s="604"/>
      <c r="G1223" s="403" t="str">
        <f t="shared" si="354"/>
        <v/>
      </c>
      <c r="H1223" s="403" t="s">
        <v>4325</v>
      </c>
      <c r="I1223" s="4"/>
      <c r="J1223" s="104"/>
      <c r="K1223" s="104"/>
      <c r="L1223" s="706"/>
      <c r="M1223" s="43"/>
      <c r="N1223" s="696"/>
      <c r="O1223" s="696"/>
      <c r="W1223" s="637" t="s">
        <v>4715</v>
      </c>
      <c r="X1223" s="688"/>
      <c r="Y1223" s="891"/>
      <c r="Z1223" s="892"/>
      <c r="BJ1223" s="573" t="s">
        <v>4670</v>
      </c>
    </row>
    <row r="1224" spans="1:62" x14ac:dyDescent="0.35">
      <c r="A1224" s="403">
        <v>7</v>
      </c>
      <c r="B1224" s="609">
        <v>704.1</v>
      </c>
      <c r="C1224" s="613"/>
      <c r="D1224" s="604"/>
      <c r="E1224" s="604"/>
      <c r="F1224" s="604"/>
      <c r="G1224" s="403" t="str">
        <f t="shared" si="354"/>
        <v/>
      </c>
      <c r="H1224" s="403" t="s">
        <v>4325</v>
      </c>
      <c r="I1224" s="155"/>
      <c r="J1224" s="214"/>
      <c r="K1224" s="214"/>
      <c r="L1224" s="739"/>
      <c r="M1224" s="43"/>
      <c r="N1224" s="696"/>
      <c r="O1224" s="696"/>
      <c r="W1224" s="637"/>
      <c r="X1224" s="688"/>
      <c r="Y1224" s="891"/>
      <c r="Z1224" s="892"/>
      <c r="BJ1224" s="573" t="s">
        <v>4670</v>
      </c>
    </row>
    <row r="1225" spans="1:62" x14ac:dyDescent="0.35">
      <c r="A1225" s="403">
        <v>7</v>
      </c>
      <c r="B1225" s="609">
        <v>704.2</v>
      </c>
      <c r="C1225" s="613" t="s">
        <v>4692</v>
      </c>
      <c r="D1225" s="604"/>
      <c r="E1225" s="604"/>
      <c r="F1225" s="604"/>
      <c r="G1225" s="403" t="str">
        <f t="shared" si="354"/>
        <v/>
      </c>
      <c r="H1225" s="403" t="s">
        <v>4325</v>
      </c>
      <c r="I1225" s="32">
        <v>704.2</v>
      </c>
      <c r="J1225" s="104"/>
      <c r="K1225" s="104"/>
      <c r="L1225" s="706" t="s">
        <v>1187</v>
      </c>
      <c r="M1225" s="43"/>
      <c r="N1225" s="696"/>
      <c r="O1225" s="696"/>
      <c r="P1225" t="b">
        <v>0</v>
      </c>
      <c r="Q1225" t="b">
        <v>1</v>
      </c>
      <c r="R1225" t="b">
        <f ca="1">S1225</f>
        <v>1</v>
      </c>
      <c r="S1225" t="b">
        <f ca="1">(S777=3)</f>
        <v>1</v>
      </c>
      <c r="T1225" t="b">
        <f ca="1">AND(NOT(S1225),LEN(W1225)&gt;0)</f>
        <v>0</v>
      </c>
      <c r="W1225" s="347">
        <v>58</v>
      </c>
      <c r="X1225" s="688"/>
      <c r="Y1225" s="891"/>
      <c r="Z1225" s="892"/>
      <c r="AC1225" t="b">
        <f ca="1">OR(AD1225:AE1225)</f>
        <v>0</v>
      </c>
      <c r="AD1225" t="b">
        <f ca="1">T1225</f>
        <v>0</v>
      </c>
      <c r="AE1225" t="b">
        <f ca="1">AND(R1225,OR(W1225="Not Met",W1225=""))</f>
        <v>0</v>
      </c>
      <c r="AF1225" t="b">
        <f ca="1">AND(AE1225,NOT(Q1225))</f>
        <v>0</v>
      </c>
      <c r="AP1225" t="str">
        <f>SUBSTITUTE(SUBSTITUTE(SUBSTITUTE("vch"&amp;$B1225&amp;$C1225&amp;$D1225&amp;$E1225&amp;$F1225,".","_"),"(","_"),")","")</f>
        <v>vch704_2_1</v>
      </c>
      <c r="AQ1225" s="624">
        <f>W1225</f>
        <v>58</v>
      </c>
      <c r="BJ1225" s="573" t="s">
        <v>4670</v>
      </c>
    </row>
    <row r="1226" spans="1:62" x14ac:dyDescent="0.35">
      <c r="A1226" s="403">
        <v>7</v>
      </c>
      <c r="B1226" s="609">
        <v>704.2</v>
      </c>
      <c r="C1226" s="613"/>
      <c r="D1226" s="604"/>
      <c r="E1226" s="604"/>
      <c r="F1226" s="604"/>
      <c r="G1226" s="403" t="str">
        <f t="shared" si="354"/>
        <v/>
      </c>
      <c r="H1226" s="403" t="s">
        <v>4325</v>
      </c>
      <c r="I1226" s="4"/>
      <c r="J1226" s="104"/>
      <c r="K1226" s="104"/>
      <c r="L1226" s="706"/>
      <c r="M1226" s="43"/>
      <c r="N1226" s="696"/>
      <c r="O1226" s="696"/>
      <c r="W1226" s="21" t="s">
        <v>4716</v>
      </c>
      <c r="X1226" s="688"/>
      <c r="Y1226" s="891"/>
      <c r="Z1226" s="892"/>
      <c r="BJ1226" s="573" t="s">
        <v>4670</v>
      </c>
    </row>
    <row r="1227" spans="1:62" x14ac:dyDescent="0.35">
      <c r="A1227" s="403">
        <v>7</v>
      </c>
      <c r="B1227" s="609">
        <v>704.2</v>
      </c>
      <c r="C1227" s="613" t="s">
        <v>4693</v>
      </c>
      <c r="D1227" s="604"/>
      <c r="E1227" s="604"/>
      <c r="F1227" s="604"/>
      <c r="G1227" s="403" t="str">
        <f t="shared" si="354"/>
        <v/>
      </c>
      <c r="H1227" s="403" t="s">
        <v>4325</v>
      </c>
      <c r="I1227" s="4"/>
      <c r="J1227" s="104"/>
      <c r="K1227" s="104"/>
      <c r="L1227" s="706"/>
      <c r="M1227" s="43"/>
      <c r="N1227" s="696"/>
      <c r="O1227" s="696"/>
      <c r="P1227" t="b">
        <v>0</v>
      </c>
      <c r="Q1227" t="b">
        <v>1</v>
      </c>
      <c r="R1227" t="b">
        <f ca="1">S1227</f>
        <v>1</v>
      </c>
      <c r="S1227" t="b">
        <f ca="1">(S777=3)</f>
        <v>1</v>
      </c>
      <c r="T1227" t="b">
        <f ca="1">AND(NOT(S1227),LEN(W1227)&gt;0)</f>
        <v>0</v>
      </c>
      <c r="W1227" s="347">
        <v>46</v>
      </c>
      <c r="X1227" s="688"/>
      <c r="Y1227" s="891"/>
      <c r="Z1227" s="892"/>
      <c r="AC1227" t="b">
        <f ca="1">OR(AD1227:AE1227)</f>
        <v>0</v>
      </c>
      <c r="AD1227" t="b">
        <f ca="1">T1227</f>
        <v>0</v>
      </c>
      <c r="AE1227" t="b">
        <f ca="1">AND(R1227,OR(W1227="Not Met",W1227=""))</f>
        <v>0</v>
      </c>
      <c r="AF1227" t="b">
        <f ca="1">AND(AE1227,NOT(Q1227))</f>
        <v>0</v>
      </c>
      <c r="AP1227" t="str">
        <f>SUBSTITUTE(SUBSTITUTE(SUBSTITUTE("vch"&amp;$B1227&amp;$C1227&amp;$D1227&amp;$E1227&amp;$F1227,".","_"),"(","_"),")","")</f>
        <v>vch704_2_2</v>
      </c>
      <c r="AQ1227" s="624">
        <f>W1227</f>
        <v>46</v>
      </c>
      <c r="BJ1227" s="573" t="s">
        <v>4670</v>
      </c>
    </row>
    <row r="1228" spans="1:62" x14ac:dyDescent="0.35">
      <c r="A1228" s="403">
        <v>7</v>
      </c>
      <c r="B1228" s="609">
        <v>704.2</v>
      </c>
      <c r="C1228" s="613"/>
      <c r="D1228" s="604"/>
      <c r="E1228" s="604"/>
      <c r="F1228" s="604"/>
      <c r="G1228" s="403" t="str">
        <f t="shared" si="354"/>
        <v/>
      </c>
      <c r="H1228" s="403" t="s">
        <v>4325</v>
      </c>
      <c r="I1228" s="4"/>
      <c r="J1228" s="104"/>
      <c r="K1228" s="104"/>
      <c r="L1228" s="281" t="s">
        <v>4714</v>
      </c>
      <c r="M1228" s="43"/>
      <c r="N1228" s="696"/>
      <c r="O1228" s="696"/>
      <c r="X1228" s="688"/>
      <c r="Y1228" s="891"/>
      <c r="Z1228" s="892"/>
      <c r="BJ1228" s="573" t="s">
        <v>4670</v>
      </c>
    </row>
    <row r="1229" spans="1:62" ht="18.5" x14ac:dyDescent="0.45">
      <c r="A1229" s="403">
        <v>7</v>
      </c>
      <c r="B1229" s="609">
        <v>705</v>
      </c>
      <c r="C1229" s="613"/>
      <c r="D1229" s="604"/>
      <c r="E1229" s="604"/>
      <c r="F1229" s="604"/>
      <c r="G1229" s="403" t="s">
        <v>4326</v>
      </c>
      <c r="H1229" s="403" t="s">
        <v>4323</v>
      </c>
      <c r="I1229" s="10" t="s">
        <v>1188</v>
      </c>
      <c r="J1229" s="47"/>
      <c r="K1229" s="47"/>
      <c r="L1229" s="47"/>
      <c r="M1229" s="286"/>
      <c r="N1229" s="340"/>
      <c r="O1229" s="340"/>
      <c r="P1229" s="15"/>
      <c r="Q1229" s="15"/>
      <c r="R1229" s="15"/>
      <c r="S1229" s="15"/>
      <c r="T1229" s="15"/>
      <c r="U1229" s="15"/>
      <c r="V1229" s="15"/>
      <c r="W1229" s="15"/>
      <c r="X1229" s="15"/>
      <c r="Z1229" s="543"/>
      <c r="BJ1229" s="573" t="s">
        <v>4670</v>
      </c>
    </row>
    <row r="1230" spans="1:62" x14ac:dyDescent="0.35">
      <c r="A1230" s="403">
        <v>7</v>
      </c>
      <c r="B1230" s="609">
        <v>705.2</v>
      </c>
      <c r="C1230" s="613"/>
      <c r="D1230" s="604"/>
      <c r="E1230" s="604"/>
      <c r="F1230" s="604"/>
      <c r="G1230" s="600" t="str">
        <f ca="1">IF(COUNTIF(G1234:G1260,"P")&gt;0,"P","")</f>
        <v/>
      </c>
      <c r="H1230" s="403" t="s">
        <v>4323</v>
      </c>
      <c r="I1230" s="32">
        <v>705.2</v>
      </c>
      <c r="J1230" s="104"/>
      <c r="K1230" s="104"/>
      <c r="L1230" s="110" t="s">
        <v>1189</v>
      </c>
      <c r="M1230" s="43"/>
      <c r="N1230" s="85"/>
      <c r="O1230" s="85"/>
      <c r="Z1230" s="543"/>
      <c r="BJ1230" s="573" t="s">
        <v>4670</v>
      </c>
    </row>
    <row r="1231" spans="1:62" x14ac:dyDescent="0.35">
      <c r="A1231" s="403">
        <v>7</v>
      </c>
      <c r="B1231" s="609" t="s">
        <v>1190</v>
      </c>
      <c r="C1231" s="613"/>
      <c r="D1231" s="604"/>
      <c r="E1231" s="604"/>
      <c r="F1231" s="604"/>
      <c r="G1231" s="600" t="str">
        <f ca="1">IF(COUNTIF(G1234:G1250,"P")&gt;0,"P","")</f>
        <v/>
      </c>
      <c r="H1231" s="403" t="s">
        <v>4325</v>
      </c>
      <c r="I1231" s="34" t="s">
        <v>1190</v>
      </c>
      <c r="J1231" s="104"/>
      <c r="K1231" s="104"/>
      <c r="L1231" s="110" t="s">
        <v>1191</v>
      </c>
      <c r="M1231" s="43"/>
      <c r="N1231" s="85"/>
      <c r="O1231" s="85"/>
      <c r="Z1231" s="543"/>
      <c r="BJ1231" s="573" t="s">
        <v>4670</v>
      </c>
    </row>
    <row r="1232" spans="1:62" x14ac:dyDescent="0.35">
      <c r="A1232" s="403">
        <v>7</v>
      </c>
      <c r="B1232" s="609" t="s">
        <v>1190</v>
      </c>
      <c r="C1232" s="613"/>
      <c r="D1232" s="604"/>
      <c r="E1232" s="604"/>
      <c r="F1232" s="604"/>
      <c r="G1232" s="403" t="str">
        <f t="shared" ref="G1232:G1233" ca="1" si="355">G1231</f>
        <v/>
      </c>
      <c r="H1232" s="403" t="s">
        <v>4325</v>
      </c>
      <c r="I1232" s="34"/>
      <c r="J1232" s="104"/>
      <c r="K1232" s="104"/>
      <c r="L1232" s="772" t="s">
        <v>1192</v>
      </c>
      <c r="M1232" s="43"/>
      <c r="N1232" s="85"/>
      <c r="O1232" s="85"/>
      <c r="Z1232" s="543"/>
      <c r="BJ1232" s="573" t="s">
        <v>4670</v>
      </c>
    </row>
    <row r="1233" spans="1:62" x14ac:dyDescent="0.35">
      <c r="A1233" s="403">
        <v>7</v>
      </c>
      <c r="B1233" s="609" t="s">
        <v>1190</v>
      </c>
      <c r="C1233" s="613"/>
      <c r="D1233" s="604"/>
      <c r="E1233" s="604"/>
      <c r="F1233" s="604"/>
      <c r="G1233" s="403" t="str">
        <f t="shared" ca="1" si="355"/>
        <v/>
      </c>
      <c r="H1233" s="403" t="s">
        <v>4325</v>
      </c>
      <c r="I1233" s="34"/>
      <c r="J1233" s="104"/>
      <c r="K1233" s="104"/>
      <c r="L1233" s="772"/>
      <c r="M1233" s="43"/>
      <c r="N1233" s="85"/>
      <c r="O1233" s="85"/>
      <c r="Z1233" s="543"/>
      <c r="BJ1233" s="573" t="s">
        <v>4670</v>
      </c>
    </row>
    <row r="1234" spans="1:62" x14ac:dyDescent="0.35">
      <c r="A1234" s="403">
        <v>7</v>
      </c>
      <c r="B1234" s="609" t="s">
        <v>1193</v>
      </c>
      <c r="C1234" s="613"/>
      <c r="D1234" s="604"/>
      <c r="E1234" s="604"/>
      <c r="F1234" s="604"/>
      <c r="G1234" s="403" t="str">
        <f ca="1">IF(N1234&gt;0,"P","")</f>
        <v/>
      </c>
      <c r="H1234" s="403" t="s">
        <v>4325</v>
      </c>
      <c r="I1234" s="34" t="s">
        <v>1193</v>
      </c>
      <c r="J1234" s="104"/>
      <c r="K1234" s="104"/>
      <c r="L1234" s="706" t="s">
        <v>1194</v>
      </c>
      <c r="M1234" s="43"/>
      <c r="N1234" s="696">
        <f ca="1">'Ch7'!O470</f>
        <v>0</v>
      </c>
      <c r="O1234" s="696">
        <f ca="1">IFERROR(INDEX({1,2},MATCH(W1234,INDIRECT(U1234),0)),0)*S1234</f>
        <v>0</v>
      </c>
      <c r="P1234" t="b">
        <v>0</v>
      </c>
      <c r="Q1234" t="b">
        <v>1</v>
      </c>
      <c r="R1234" t="b">
        <v>0</v>
      </c>
      <c r="S1234" t="b">
        <v>1</v>
      </c>
      <c r="T1234" t="b">
        <v>0</v>
      </c>
      <c r="U1234" t="str">
        <f>SUBSTITUTE(SUBSTITUTE(SUBSTITUTE("dd"&amp;B1234&amp;C1234&amp;D1234&amp;E1234&amp;F1234,".","_"),"(","_"),")","")</f>
        <v>dd705_2_1_1</v>
      </c>
      <c r="W1234" s="9"/>
      <c r="X1234" s="688"/>
      <c r="Y1234" s="891" t="str">
        <f>IF(LEN('Ch7'!X470)=0,"None",'Ch7'!X470)</f>
        <v>None</v>
      </c>
      <c r="Z1234" s="892"/>
      <c r="AC1234" t="b">
        <f>OR(AD1234:AE1234)</f>
        <v>0</v>
      </c>
      <c r="AD1234" t="b">
        <f>T1234</f>
        <v>0</v>
      </c>
      <c r="AE1234" t="b">
        <f>AND(R1234,OR(W1234="Not Met",W1234=""))</f>
        <v>0</v>
      </c>
      <c r="AF1234" t="b">
        <f>AND(AE1234,NOT(Q1234))</f>
        <v>0</v>
      </c>
      <c r="AN1234" t="str">
        <f>SUBSTITUTE(SUBSTITUTE(SUBSTITUTE("vpc"&amp;$B1234&amp;$C1234&amp;$D1234&amp;$E1234&amp;$F1234,".","_"),"(","_"),")","")</f>
        <v>vpc705_2_1_1</v>
      </c>
      <c r="AO1234">
        <f ca="1">O1234</f>
        <v>0</v>
      </c>
      <c r="AP1234" t="str">
        <f>SUBSTITUTE(SUBSTITUTE(SUBSTITUTE("vch"&amp;$B1234&amp;$C1234&amp;$D1234&amp;$E1234&amp;$F1234,".","_"),"(","_"),")","")</f>
        <v>vch705_2_1_1</v>
      </c>
      <c r="AQ1234">
        <f>W1234</f>
        <v>0</v>
      </c>
      <c r="AR1234" t="str">
        <f>SUBSTITUTE(SUBSTITUTE(SUBSTITUTE("vnt"&amp;$B1234&amp;$C1234&amp;$D1234&amp;$E1234&amp;$F1234,".","_"),"(","_"),")","")</f>
        <v>vnt705_2_1_1</v>
      </c>
      <c r="AS1234">
        <f>X1234</f>
        <v>0</v>
      </c>
      <c r="BJ1234" s="573" t="s">
        <v>4670</v>
      </c>
    </row>
    <row r="1235" spans="1:62" x14ac:dyDescent="0.35">
      <c r="A1235" s="403">
        <v>7</v>
      </c>
      <c r="B1235" s="609" t="s">
        <v>1193</v>
      </c>
      <c r="C1235" s="613"/>
      <c r="D1235" s="604"/>
      <c r="E1235" s="604"/>
      <c r="F1235" s="604"/>
      <c r="G1235" s="403" t="str">
        <f t="shared" ref="G1235:G1237" ca="1" si="356">G1234</f>
        <v/>
      </c>
      <c r="H1235" s="403" t="s">
        <v>4325</v>
      </c>
      <c r="I1235" s="4"/>
      <c r="J1235" s="104"/>
      <c r="K1235" s="104"/>
      <c r="L1235" s="706"/>
      <c r="M1235" s="43"/>
      <c r="N1235" s="696"/>
      <c r="O1235" s="696"/>
      <c r="X1235" s="688"/>
      <c r="Y1235" s="891"/>
      <c r="Z1235" s="892"/>
      <c r="BJ1235" s="573" t="s">
        <v>4670</v>
      </c>
    </row>
    <row r="1236" spans="1:62" x14ac:dyDescent="0.35">
      <c r="A1236" s="403">
        <v>7</v>
      </c>
      <c r="B1236" s="609" t="s">
        <v>1193</v>
      </c>
      <c r="C1236" s="613"/>
      <c r="D1236" s="604" t="s">
        <v>270</v>
      </c>
      <c r="E1236" s="604"/>
      <c r="F1236" s="604"/>
      <c r="G1236" s="403" t="str">
        <f t="shared" ca="1" si="356"/>
        <v/>
      </c>
      <c r="H1236" s="403" t="s">
        <v>4325</v>
      </c>
      <c r="I1236" s="4"/>
      <c r="J1236" s="373" t="s">
        <v>270</v>
      </c>
      <c r="K1236" s="214"/>
      <c r="L1236" s="214" t="s">
        <v>1195</v>
      </c>
      <c r="M1236" s="198">
        <v>1</v>
      </c>
      <c r="N1236" s="85"/>
      <c r="O1236" s="85"/>
      <c r="X1236" s="688"/>
      <c r="Y1236" s="891"/>
      <c r="Z1236" s="892"/>
      <c r="AL1236" t="str">
        <f t="shared" ref="AL1236:AL1238" si="357">SUBSTITUTE(SUBSTITUTE(SUBSTITUTE("vpa"&amp;$B1236&amp;$C1236&amp;$D1236&amp;$E1236&amp;$F1236,".","_"),"(","_"),")","")</f>
        <v>vpa705_2_1_1_1</v>
      </c>
      <c r="AM1236">
        <f>M1236</f>
        <v>1</v>
      </c>
      <c r="BJ1236" s="573" t="s">
        <v>4670</v>
      </c>
    </row>
    <row r="1237" spans="1:62" x14ac:dyDescent="0.35">
      <c r="A1237" s="403">
        <v>7</v>
      </c>
      <c r="B1237" s="609" t="s">
        <v>1193</v>
      </c>
      <c r="C1237" s="613"/>
      <c r="D1237" s="604" t="s">
        <v>272</v>
      </c>
      <c r="E1237" s="604"/>
      <c r="F1237" s="604"/>
      <c r="G1237" s="403" t="str">
        <f t="shared" ca="1" si="356"/>
        <v/>
      </c>
      <c r="H1237" s="403" t="s">
        <v>4325</v>
      </c>
      <c r="I1237" s="155"/>
      <c r="J1237" s="373" t="s">
        <v>272</v>
      </c>
      <c r="K1237" s="214"/>
      <c r="L1237" s="214" t="s">
        <v>1196</v>
      </c>
      <c r="M1237" s="198">
        <v>2</v>
      </c>
      <c r="N1237" s="85"/>
      <c r="O1237" s="85"/>
      <c r="X1237" s="688"/>
      <c r="Y1237" s="891"/>
      <c r="Z1237" s="892"/>
      <c r="AL1237" t="str">
        <f t="shared" si="357"/>
        <v>vpa705_2_1_1_2</v>
      </c>
      <c r="AM1237">
        <f>M1237</f>
        <v>2</v>
      </c>
      <c r="BJ1237" s="573" t="s">
        <v>4670</v>
      </c>
    </row>
    <row r="1238" spans="1:62" x14ac:dyDescent="0.35">
      <c r="A1238" s="403">
        <v>7</v>
      </c>
      <c r="B1238" s="609" t="s">
        <v>1197</v>
      </c>
      <c r="C1238" s="613"/>
      <c r="D1238" s="604"/>
      <c r="E1238" s="604"/>
      <c r="F1238" s="604"/>
      <c r="G1238" s="403" t="str">
        <f>IF(N1238&gt;0,"P","")</f>
        <v/>
      </c>
      <c r="H1238" s="403" t="s">
        <v>4325</v>
      </c>
      <c r="I1238" s="34" t="s">
        <v>1197</v>
      </c>
      <c r="J1238" s="179"/>
      <c r="K1238" s="104"/>
      <c r="L1238" s="706" t="s">
        <v>1198</v>
      </c>
      <c r="M1238" s="690">
        <v>1</v>
      </c>
      <c r="N1238" s="696">
        <f>'Ch7'!O474</f>
        <v>0</v>
      </c>
      <c r="O1238" s="696">
        <f>M1238*S1238*W1238</f>
        <v>0</v>
      </c>
      <c r="P1238" t="b">
        <v>0</v>
      </c>
      <c r="Q1238" t="b">
        <v>1</v>
      </c>
      <c r="R1238" t="b">
        <v>0</v>
      </c>
      <c r="S1238" t="b">
        <v>1</v>
      </c>
      <c r="T1238" t="b">
        <v>0</v>
      </c>
      <c r="W1238" s="17"/>
      <c r="X1238" s="688"/>
      <c r="Y1238" s="891" t="str">
        <f>IF(LEN('Ch7'!X474)=0,"None",'Ch7'!X474)</f>
        <v>None</v>
      </c>
      <c r="Z1238" s="892"/>
      <c r="AC1238" t="b">
        <f>OR(AD1238:AE1238)</f>
        <v>0</v>
      </c>
      <c r="AD1238" t="b">
        <f>T1238</f>
        <v>0</v>
      </c>
      <c r="AE1238" t="b">
        <f>AND(R1238,NOT(W1238))</f>
        <v>0</v>
      </c>
      <c r="AF1238" t="b">
        <f>AND(AE1238,NOT(Q1238))</f>
        <v>0</v>
      </c>
      <c r="AL1238" t="str">
        <f t="shared" si="357"/>
        <v>vpa705_2_1_2</v>
      </c>
      <c r="AM1238">
        <f>M1238</f>
        <v>1</v>
      </c>
      <c r="AN1238" t="str">
        <f>SUBSTITUTE(SUBSTITUTE(SUBSTITUTE("vpc"&amp;$B1238&amp;$C1238&amp;$D1238&amp;$E1238&amp;$F1238,".","_"),"(","_"),")","")</f>
        <v>vpc705_2_1_2</v>
      </c>
      <c r="AO1238">
        <f>O1238</f>
        <v>0</v>
      </c>
      <c r="AP1238" t="str">
        <f>SUBSTITUTE(SUBSTITUTE(SUBSTITUTE("vch"&amp;$B1238&amp;$C1238&amp;$D1238&amp;$E1238&amp;$F1238,".","_"),"(","_"),")","")</f>
        <v>vch705_2_1_2</v>
      </c>
      <c r="AQ1238">
        <f>W1238</f>
        <v>0</v>
      </c>
      <c r="AR1238" t="str">
        <f>SUBSTITUTE(SUBSTITUTE(SUBSTITUTE("vnt"&amp;$B1238&amp;$C1238&amp;$D1238&amp;$E1238&amp;$F1238,".","_"),"(","_"),")","")</f>
        <v>vnt705_2_1_2</v>
      </c>
      <c r="AS1238">
        <f>X1238</f>
        <v>0</v>
      </c>
      <c r="BJ1238" s="573" t="s">
        <v>4670</v>
      </c>
    </row>
    <row r="1239" spans="1:62" x14ac:dyDescent="0.35">
      <c r="A1239" s="403">
        <v>7</v>
      </c>
      <c r="B1239" s="609" t="s">
        <v>1197</v>
      </c>
      <c r="C1239" s="613"/>
      <c r="D1239" s="604"/>
      <c r="E1239" s="604"/>
      <c r="F1239" s="604"/>
      <c r="G1239" s="403" t="str">
        <f t="shared" ref="G1239" si="358">G1238</f>
        <v/>
      </c>
      <c r="H1239" s="403" t="s">
        <v>4325</v>
      </c>
      <c r="I1239" s="155"/>
      <c r="J1239" s="214"/>
      <c r="K1239" s="214"/>
      <c r="L1239" s="739"/>
      <c r="M1239" s="691"/>
      <c r="N1239" s="697"/>
      <c r="O1239" s="697"/>
      <c r="X1239" s="688"/>
      <c r="Y1239" s="891"/>
      <c r="Z1239" s="892"/>
      <c r="BJ1239" s="573" t="s">
        <v>4670</v>
      </c>
    </row>
    <row r="1240" spans="1:62" x14ac:dyDescent="0.35">
      <c r="A1240" s="403">
        <v>7</v>
      </c>
      <c r="B1240" s="609" t="s">
        <v>1199</v>
      </c>
      <c r="C1240" s="613"/>
      <c r="D1240" s="604"/>
      <c r="E1240" s="604"/>
      <c r="F1240" s="604"/>
      <c r="G1240" s="600" t="str">
        <f ca="1">IF(COUNTIF(G1241:G1245,"P")&gt;0,"P","")</f>
        <v/>
      </c>
      <c r="H1240" s="403" t="s">
        <v>4325</v>
      </c>
      <c r="I1240" s="34" t="s">
        <v>1199</v>
      </c>
      <c r="J1240" s="104"/>
      <c r="K1240" s="104"/>
      <c r="L1240" s="110" t="s">
        <v>1200</v>
      </c>
      <c r="M1240" s="43"/>
      <c r="N1240" s="85"/>
      <c r="O1240" s="85"/>
      <c r="Z1240" s="543"/>
      <c r="BJ1240" s="573" t="s">
        <v>4670</v>
      </c>
    </row>
    <row r="1241" spans="1:62" x14ac:dyDescent="0.35">
      <c r="A1241" s="403">
        <v>7</v>
      </c>
      <c r="B1241" s="609" t="s">
        <v>1199</v>
      </c>
      <c r="C1241" s="613"/>
      <c r="D1241" s="615" t="s">
        <v>270</v>
      </c>
      <c r="E1241" s="604"/>
      <c r="F1241" s="604"/>
      <c r="G1241" s="403" t="str">
        <f ca="1">IF(N1241&gt;0,"P","")</f>
        <v/>
      </c>
      <c r="H1241" s="403" t="s">
        <v>4325</v>
      </c>
      <c r="I1241" s="4"/>
      <c r="J1241" s="179" t="s">
        <v>270</v>
      </c>
      <c r="K1241" s="104"/>
      <c r="L1241" s="707" t="s">
        <v>1201</v>
      </c>
      <c r="M1241" s="43"/>
      <c r="N1241" s="696">
        <f ca="1">'Ch7'!O477</f>
        <v>0</v>
      </c>
      <c r="O1241" s="696">
        <f ca="1">IFERROR(INDEX({1,2},MATCH(W1241,INDIRECT(U1241),0)),0)*S1241</f>
        <v>0</v>
      </c>
      <c r="P1241" t="b">
        <v>0</v>
      </c>
      <c r="Q1241" t="b">
        <v>1</v>
      </c>
      <c r="R1241" t="b">
        <v>0</v>
      </c>
      <c r="S1241" t="b">
        <f ca="1">IF($AY$18=INDEX(INDIRECT("ddSingleOrMulti"),2),TRUE,FALSE)</f>
        <v>0</v>
      </c>
      <c r="T1241" t="b">
        <f ca="1">AND(NOT(S1241),LEN(W1241)&gt;0)</f>
        <v>0</v>
      </c>
      <c r="U1241" t="str">
        <f>SUBSTITUTE(SUBSTITUTE(SUBSTITUTE("dd"&amp;B1241&amp;C1241&amp;D1241&amp;E1241&amp;F1241,".","_"),"(","_"),")","")</f>
        <v>dd705_2_1_3_1</v>
      </c>
      <c r="W1241" s="9"/>
      <c r="X1241" s="688"/>
      <c r="Y1241" s="891" t="str">
        <f>IF(LEN('Ch7'!X477)=0,"None",'Ch7'!X477)</f>
        <v>None</v>
      </c>
      <c r="Z1241" s="892"/>
      <c r="AC1241" t="b">
        <f ca="1">OR(AD1241:AE1241)</f>
        <v>0</v>
      </c>
      <c r="AD1241" t="b">
        <f ca="1">T1241</f>
        <v>0</v>
      </c>
      <c r="AE1241" t="b">
        <f>AND(R1241,OR(W1241="Not Met",W1241=""))</f>
        <v>0</v>
      </c>
      <c r="AF1241" t="b">
        <f>AND(AE1241,NOT(Q1241))</f>
        <v>0</v>
      </c>
      <c r="AN1241" t="str">
        <f>SUBSTITUTE(SUBSTITUTE(SUBSTITUTE("vpc"&amp;$B1241&amp;$C1241&amp;$D1241&amp;$E1241&amp;$F1241,".","_"),"(","_"),")","")</f>
        <v>vpc705_2_1_3_1</v>
      </c>
      <c r="AO1241">
        <f ca="1">O1241</f>
        <v>0</v>
      </c>
      <c r="AP1241" t="str">
        <f>SUBSTITUTE(SUBSTITUTE(SUBSTITUTE("vch"&amp;$B1241&amp;$C1241&amp;$D1241&amp;$E1241&amp;$F1241,".","_"),"(","_"),")","")</f>
        <v>vch705_2_1_3_1</v>
      </c>
      <c r="AQ1241">
        <f>W1241</f>
        <v>0</v>
      </c>
      <c r="AR1241" t="str">
        <f>SUBSTITUTE(SUBSTITUTE(SUBSTITUTE("vnt"&amp;$B1241&amp;$C1241&amp;$D1241&amp;$E1241&amp;$F1241,".","_"),"(","_"),")","")</f>
        <v>vnt705_2_1_3_1</v>
      </c>
      <c r="AS1241">
        <f>X1241</f>
        <v>0</v>
      </c>
      <c r="BJ1241" s="573" t="s">
        <v>4670</v>
      </c>
    </row>
    <row r="1242" spans="1:62" x14ac:dyDescent="0.35">
      <c r="A1242" s="403">
        <v>7</v>
      </c>
      <c r="B1242" s="609" t="s">
        <v>1199</v>
      </c>
      <c r="C1242" s="613"/>
      <c r="D1242" s="615" t="s">
        <v>270</v>
      </c>
      <c r="E1242" s="604"/>
      <c r="F1242" s="604"/>
      <c r="G1242" s="403" t="str">
        <f t="shared" ref="G1242:G1244" ca="1" si="359">G1241</f>
        <v/>
      </c>
      <c r="H1242" s="403" t="s">
        <v>4325</v>
      </c>
      <c r="I1242" s="4"/>
      <c r="J1242" s="104"/>
      <c r="K1242" s="104"/>
      <c r="L1242" s="707"/>
      <c r="M1242" s="43"/>
      <c r="N1242" s="696"/>
      <c r="O1242" s="696"/>
      <c r="X1242" s="688"/>
      <c r="Y1242" s="891"/>
      <c r="Z1242" s="892"/>
      <c r="BJ1242" s="573" t="s">
        <v>4670</v>
      </c>
    </row>
    <row r="1243" spans="1:62" x14ac:dyDescent="0.35">
      <c r="A1243" s="403">
        <v>7</v>
      </c>
      <c r="B1243" s="609" t="s">
        <v>1199</v>
      </c>
      <c r="C1243" s="613"/>
      <c r="D1243" s="615" t="s">
        <v>270</v>
      </c>
      <c r="E1243" s="604" t="s">
        <v>121</v>
      </c>
      <c r="F1243" s="604"/>
      <c r="G1243" s="403" t="str">
        <f t="shared" ca="1" si="359"/>
        <v/>
      </c>
      <c r="H1243" s="605" t="s">
        <v>4325</v>
      </c>
      <c r="I1243" s="4"/>
      <c r="J1243" s="104"/>
      <c r="K1243" s="175" t="s">
        <v>121</v>
      </c>
      <c r="L1243" s="104" t="s">
        <v>1195</v>
      </c>
      <c r="M1243" s="43">
        <v>1</v>
      </c>
      <c r="N1243" s="85"/>
      <c r="O1243" s="85"/>
      <c r="X1243" s="688"/>
      <c r="Y1243" s="891"/>
      <c r="Z1243" s="892"/>
      <c r="AL1243" t="str">
        <f t="shared" ref="AL1243:AL1244" si="360">SUBSTITUTE(SUBSTITUTE(SUBSTITUTE("vpa"&amp;$B1243&amp;$C1243&amp;$D1243&amp;$E1243&amp;$F1243,".","_"),"(","_"),")","")</f>
        <v>vpa705_2_1_3_1_a</v>
      </c>
      <c r="AM1243">
        <f>M1243</f>
        <v>1</v>
      </c>
      <c r="BJ1243" s="573" t="s">
        <v>4670</v>
      </c>
    </row>
    <row r="1244" spans="1:62" x14ac:dyDescent="0.35">
      <c r="A1244" s="403">
        <v>7</v>
      </c>
      <c r="B1244" s="609" t="s">
        <v>1199</v>
      </c>
      <c r="C1244" s="613"/>
      <c r="D1244" s="615" t="s">
        <v>270</v>
      </c>
      <c r="E1244" s="604" t="s">
        <v>122</v>
      </c>
      <c r="F1244" s="604"/>
      <c r="G1244" s="403" t="str">
        <f t="shared" ca="1" si="359"/>
        <v/>
      </c>
      <c r="H1244" s="605" t="s">
        <v>4325</v>
      </c>
      <c r="I1244" s="4"/>
      <c r="J1244" s="214"/>
      <c r="K1244" s="359" t="s">
        <v>122</v>
      </c>
      <c r="L1244" s="214" t="s">
        <v>1196</v>
      </c>
      <c r="M1244" s="198">
        <v>2</v>
      </c>
      <c r="N1244" s="85"/>
      <c r="O1244" s="85"/>
      <c r="X1244" s="688"/>
      <c r="Y1244" s="891"/>
      <c r="Z1244" s="892"/>
      <c r="AL1244" t="str">
        <f t="shared" si="360"/>
        <v>vpa705_2_1_3_1_b</v>
      </c>
      <c r="AM1244">
        <f>M1244</f>
        <v>2</v>
      </c>
      <c r="BJ1244" s="573" t="s">
        <v>4670</v>
      </c>
    </row>
    <row r="1245" spans="1:62" x14ac:dyDescent="0.35">
      <c r="A1245" s="403">
        <v>7</v>
      </c>
      <c r="B1245" s="609" t="s">
        <v>1199</v>
      </c>
      <c r="C1245" s="613"/>
      <c r="D1245" s="615" t="s">
        <v>272</v>
      </c>
      <c r="E1245" s="604"/>
      <c r="F1245" s="604"/>
      <c r="G1245" s="403" t="str">
        <f ca="1">IF(N1245&gt;0,"P","")</f>
        <v/>
      </c>
      <c r="H1245" s="403" t="s">
        <v>4325</v>
      </c>
      <c r="I1245" s="4"/>
      <c r="J1245" s="179" t="s">
        <v>272</v>
      </c>
      <c r="K1245" s="104"/>
      <c r="L1245" s="707" t="s">
        <v>1202</v>
      </c>
      <c r="M1245" s="43"/>
      <c r="N1245" s="696">
        <f ca="1">'Ch7'!O481</f>
        <v>0</v>
      </c>
      <c r="O1245" s="696">
        <f ca="1">IFERROR(INDEX({2,3},MATCH(W1245,INDIRECT(U1245),0)),0)*S1245</f>
        <v>0</v>
      </c>
      <c r="P1245" t="b">
        <v>0</v>
      </c>
      <c r="Q1245" t="b">
        <v>1</v>
      </c>
      <c r="R1245" t="b">
        <v>0</v>
      </c>
      <c r="S1245" t="b">
        <f ca="1">IF($AY$18=INDEX(INDIRECT("ddSingleOrMulti"),2),TRUE,FALSE)</f>
        <v>0</v>
      </c>
      <c r="T1245" t="b">
        <f ca="1">AND(NOT(S1245),LEN(W1245)&gt;0)</f>
        <v>0</v>
      </c>
      <c r="U1245" t="str">
        <f>SUBSTITUTE(SUBSTITUTE(SUBSTITUTE("dd"&amp;B1245&amp;C1245&amp;D1245&amp;E1245&amp;F1245,".","_"),"(","_"),")","")</f>
        <v>dd705_2_1_3_2</v>
      </c>
      <c r="W1245" s="9"/>
      <c r="X1245" s="688"/>
      <c r="Y1245" s="891" t="str">
        <f>IF(LEN('Ch7'!X481)=0,"None",'Ch7'!X481)</f>
        <v>None</v>
      </c>
      <c r="Z1245" s="892"/>
      <c r="AC1245" t="b">
        <f ca="1">OR(AD1245:AE1245)</f>
        <v>0</v>
      </c>
      <c r="AD1245" t="b">
        <f ca="1">T1245</f>
        <v>0</v>
      </c>
      <c r="AE1245" t="b">
        <f>AND(R1245,OR(W1245="Not Met",W1245=""))</f>
        <v>0</v>
      </c>
      <c r="AF1245" t="b">
        <f>AND(AE1245,NOT(Q1245))</f>
        <v>0</v>
      </c>
      <c r="AN1245" t="str">
        <f>SUBSTITUTE(SUBSTITUTE(SUBSTITUTE("vpc"&amp;$B1245&amp;$C1245&amp;$D1245&amp;$E1245&amp;$F1245,".","_"),"(","_"),")","")</f>
        <v>vpc705_2_1_3_2</v>
      </c>
      <c r="AO1245">
        <f ca="1">O1245</f>
        <v>0</v>
      </c>
      <c r="AP1245" t="str">
        <f>SUBSTITUTE(SUBSTITUTE(SUBSTITUTE("vch"&amp;$B1245&amp;$C1245&amp;$D1245&amp;$E1245&amp;$F1245,".","_"),"(","_"),")","")</f>
        <v>vch705_2_1_3_2</v>
      </c>
      <c r="AQ1245">
        <f>W1245</f>
        <v>0</v>
      </c>
      <c r="AR1245" t="str">
        <f>SUBSTITUTE(SUBSTITUTE(SUBSTITUTE("vnt"&amp;$B1245&amp;$C1245&amp;$D1245&amp;$E1245&amp;$F1245,".","_"),"(","_"),")","")</f>
        <v>vnt705_2_1_3_2</v>
      </c>
      <c r="AS1245">
        <f>X1245</f>
        <v>0</v>
      </c>
      <c r="BJ1245" s="573" t="s">
        <v>4670</v>
      </c>
    </row>
    <row r="1246" spans="1:62" x14ac:dyDescent="0.35">
      <c r="A1246" s="403">
        <v>7</v>
      </c>
      <c r="B1246" s="609" t="s">
        <v>1199</v>
      </c>
      <c r="C1246" s="613"/>
      <c r="D1246" s="615" t="s">
        <v>272</v>
      </c>
      <c r="E1246" s="604"/>
      <c r="F1246" s="604"/>
      <c r="G1246" s="403" t="str">
        <f t="shared" ref="G1246:G1249" ca="1" si="361">G1245</f>
        <v/>
      </c>
      <c r="H1246" s="403" t="s">
        <v>4325</v>
      </c>
      <c r="I1246" s="4"/>
      <c r="J1246" s="104"/>
      <c r="K1246" s="104"/>
      <c r="L1246" s="707"/>
      <c r="M1246" s="43"/>
      <c r="N1246" s="696"/>
      <c r="O1246" s="696"/>
      <c r="X1246" s="688"/>
      <c r="Y1246" s="891"/>
      <c r="Z1246" s="892"/>
      <c r="BJ1246" s="573" t="s">
        <v>4670</v>
      </c>
    </row>
    <row r="1247" spans="1:62" x14ac:dyDescent="0.35">
      <c r="A1247" s="403">
        <v>7</v>
      </c>
      <c r="B1247" s="609" t="s">
        <v>1199</v>
      </c>
      <c r="C1247" s="613"/>
      <c r="D1247" s="615" t="s">
        <v>272</v>
      </c>
      <c r="E1247" s="604"/>
      <c r="F1247" s="604"/>
      <c r="G1247" s="403" t="str">
        <f t="shared" ca="1" si="361"/>
        <v/>
      </c>
      <c r="H1247" s="403" t="s">
        <v>4325</v>
      </c>
      <c r="I1247" s="4"/>
      <c r="J1247" s="104"/>
      <c r="K1247" s="104"/>
      <c r="L1247" s="707"/>
      <c r="M1247" s="43"/>
      <c r="N1247" s="696"/>
      <c r="O1247" s="696"/>
      <c r="X1247" s="688"/>
      <c r="Y1247" s="891"/>
      <c r="Z1247" s="892"/>
      <c r="BJ1247" s="573" t="s">
        <v>4670</v>
      </c>
    </row>
    <row r="1248" spans="1:62" x14ac:dyDescent="0.35">
      <c r="A1248" s="403">
        <v>7</v>
      </c>
      <c r="B1248" s="609" t="s">
        <v>1199</v>
      </c>
      <c r="C1248" s="613"/>
      <c r="D1248" s="615" t="s">
        <v>272</v>
      </c>
      <c r="E1248" s="604" t="s">
        <v>121</v>
      </c>
      <c r="F1248" s="604"/>
      <c r="G1248" s="403" t="str">
        <f t="shared" ca="1" si="361"/>
        <v/>
      </c>
      <c r="H1248" s="605" t="s">
        <v>4325</v>
      </c>
      <c r="I1248" s="4"/>
      <c r="J1248" s="104"/>
      <c r="K1248" s="175" t="s">
        <v>121</v>
      </c>
      <c r="L1248" s="104" t="s">
        <v>1203</v>
      </c>
      <c r="M1248" s="43">
        <v>2</v>
      </c>
      <c r="N1248" s="85"/>
      <c r="O1248" s="85"/>
      <c r="X1248" s="688"/>
      <c r="Y1248" s="891"/>
      <c r="Z1248" s="892"/>
      <c r="AL1248" t="str">
        <f t="shared" ref="AL1248:AL1249" si="362">SUBSTITUTE(SUBSTITUTE(SUBSTITUTE("vpa"&amp;$B1248&amp;$C1248&amp;$D1248&amp;$E1248&amp;$F1248,".","_"),"(","_"),")","")</f>
        <v>vpa705_2_1_3_2_a</v>
      </c>
      <c r="AM1248">
        <f>M1248</f>
        <v>2</v>
      </c>
      <c r="BJ1248" s="573" t="s">
        <v>4670</v>
      </c>
    </row>
    <row r="1249" spans="1:62" x14ac:dyDescent="0.35">
      <c r="A1249" s="403">
        <v>7</v>
      </c>
      <c r="B1249" s="609" t="s">
        <v>1199</v>
      </c>
      <c r="C1249" s="613"/>
      <c r="D1249" s="615" t="s">
        <v>272</v>
      </c>
      <c r="E1249" s="604" t="s">
        <v>122</v>
      </c>
      <c r="F1249" s="604"/>
      <c r="G1249" s="403" t="str">
        <f t="shared" ca="1" si="361"/>
        <v/>
      </c>
      <c r="H1249" s="605" t="s">
        <v>4325</v>
      </c>
      <c r="I1249" s="155"/>
      <c r="J1249" s="214"/>
      <c r="K1249" s="359" t="s">
        <v>122</v>
      </c>
      <c r="L1249" s="214" t="s">
        <v>1204</v>
      </c>
      <c r="M1249" s="198">
        <v>3</v>
      </c>
      <c r="N1249" s="342"/>
      <c r="O1249" s="342"/>
      <c r="X1249" s="688"/>
      <c r="Y1249" s="891"/>
      <c r="Z1249" s="892"/>
      <c r="AL1249" t="str">
        <f t="shared" si="362"/>
        <v>vpa705_2_1_3_2_b</v>
      </c>
      <c r="AM1249">
        <f>M1249</f>
        <v>3</v>
      </c>
      <c r="BJ1249" s="573" t="s">
        <v>4670</v>
      </c>
    </row>
    <row r="1250" spans="1:62" x14ac:dyDescent="0.35">
      <c r="A1250" s="403">
        <v>7</v>
      </c>
      <c r="B1250" s="609" t="s">
        <v>1205</v>
      </c>
      <c r="C1250" s="613"/>
      <c r="D1250" s="604"/>
      <c r="E1250" s="604"/>
      <c r="F1250" s="604"/>
      <c r="G1250" s="403" t="str">
        <f ca="1">IF(N1250&gt;0,"P","")</f>
        <v/>
      </c>
      <c r="H1250" s="403" t="s">
        <v>4325</v>
      </c>
      <c r="I1250" s="34" t="s">
        <v>1205</v>
      </c>
      <c r="J1250" s="104"/>
      <c r="K1250" s="104"/>
      <c r="L1250" s="706" t="s">
        <v>1206</v>
      </c>
      <c r="M1250" s="43"/>
      <c r="N1250" s="696">
        <f ca="1">'Ch7'!O486</f>
        <v>0</v>
      </c>
      <c r="O1250" s="696">
        <f ca="1">IFERROR(INDEX({2,3},MATCH(W1250,INDIRECT(U1250),0)),0)*S1250</f>
        <v>0</v>
      </c>
      <c r="P1250" t="b">
        <v>0</v>
      </c>
      <c r="Q1250" t="b">
        <v>1</v>
      </c>
      <c r="R1250" t="b">
        <v>0</v>
      </c>
      <c r="S1250" t="b">
        <f ca="1">IF($AY$18=INDEX(INDIRECT("ddSingleOrMulti"),2),TRUE,FALSE)</f>
        <v>0</v>
      </c>
      <c r="T1250" t="b">
        <f ca="1">AND(NOT(S1250),LEN(W1250)&gt;0)</f>
        <v>0</v>
      </c>
      <c r="U1250" t="str">
        <f>SUBSTITUTE(SUBSTITUTE(SUBSTITUTE("dd"&amp;B1250&amp;C1250&amp;D1250&amp;E1250&amp;F1250,".","_"),"(","_"),")","")</f>
        <v>dd705_2_1_4</v>
      </c>
      <c r="W1250" s="9"/>
      <c r="X1250" s="688"/>
      <c r="Y1250" s="891" t="str">
        <f>IF(LEN('Ch7'!X486)=0,"None",'Ch7'!X486)</f>
        <v>None</v>
      </c>
      <c r="Z1250" s="892"/>
      <c r="AC1250" t="b">
        <f ca="1">OR(AD1250:AE1250)</f>
        <v>0</v>
      </c>
      <c r="AD1250" t="b">
        <f ca="1">T1250</f>
        <v>0</v>
      </c>
      <c r="AE1250" t="b">
        <f>AND(R1250,OR(W1250="Not Met",W1250=""))</f>
        <v>0</v>
      </c>
      <c r="AF1250" t="b">
        <f>AND(AE1250,NOT(Q1250))</f>
        <v>0</v>
      </c>
      <c r="AN1250" t="str">
        <f>SUBSTITUTE(SUBSTITUTE(SUBSTITUTE("vpc"&amp;$B1250&amp;$C1250&amp;$D1250&amp;$E1250&amp;$F1250,".","_"),"(","_"),")","")</f>
        <v>vpc705_2_1_4</v>
      </c>
      <c r="AO1250">
        <f ca="1">O1250</f>
        <v>0</v>
      </c>
      <c r="AP1250" t="str">
        <f>SUBSTITUTE(SUBSTITUTE(SUBSTITUTE("vch"&amp;$B1250&amp;$C1250&amp;$D1250&amp;$E1250&amp;$F1250,".","_"),"(","_"),")","")</f>
        <v>vch705_2_1_4</v>
      </c>
      <c r="AQ1250">
        <f>W1250</f>
        <v>0</v>
      </c>
      <c r="AR1250" t="str">
        <f>SUBSTITUTE(SUBSTITUTE(SUBSTITUTE("vnt"&amp;$B1250&amp;$C1250&amp;$D1250&amp;$E1250&amp;$F1250,".","_"),"(","_"),")","")</f>
        <v>vnt705_2_1_4</v>
      </c>
      <c r="AS1250">
        <f>X1250</f>
        <v>0</v>
      </c>
      <c r="BJ1250" s="573" t="s">
        <v>4670</v>
      </c>
    </row>
    <row r="1251" spans="1:62" x14ac:dyDescent="0.35">
      <c r="A1251" s="403">
        <v>7</v>
      </c>
      <c r="B1251" s="609" t="s">
        <v>1205</v>
      </c>
      <c r="C1251" s="613"/>
      <c r="D1251" s="604"/>
      <c r="E1251" s="604"/>
      <c r="F1251" s="604"/>
      <c r="G1251" s="403" t="str">
        <f t="shared" ref="G1251:G1254" ca="1" si="363">G1250</f>
        <v/>
      </c>
      <c r="H1251" s="403" t="s">
        <v>4325</v>
      </c>
      <c r="I1251" s="4"/>
      <c r="J1251" s="104"/>
      <c r="K1251" s="104"/>
      <c r="L1251" s="706"/>
      <c r="M1251" s="43"/>
      <c r="N1251" s="696"/>
      <c r="O1251" s="696"/>
      <c r="X1251" s="688"/>
      <c r="Y1251" s="891"/>
      <c r="Z1251" s="892"/>
      <c r="BJ1251" s="573" t="s">
        <v>4670</v>
      </c>
    </row>
    <row r="1252" spans="1:62" x14ac:dyDescent="0.35">
      <c r="A1252" s="403">
        <v>7</v>
      </c>
      <c r="B1252" s="609" t="s">
        <v>1205</v>
      </c>
      <c r="C1252" s="613"/>
      <c r="D1252" s="604"/>
      <c r="E1252" s="604"/>
      <c r="F1252" s="604"/>
      <c r="G1252" s="403" t="str">
        <f t="shared" ca="1" si="363"/>
        <v/>
      </c>
      <c r="H1252" s="403" t="s">
        <v>4325</v>
      </c>
      <c r="I1252" s="4"/>
      <c r="J1252" s="104"/>
      <c r="K1252" s="104"/>
      <c r="L1252" s="706"/>
      <c r="M1252" s="43"/>
      <c r="N1252" s="696"/>
      <c r="O1252" s="696"/>
      <c r="X1252" s="688"/>
      <c r="Y1252" s="891"/>
      <c r="Z1252" s="892"/>
      <c r="BJ1252" s="573" t="s">
        <v>4670</v>
      </c>
    </row>
    <row r="1253" spans="1:62" x14ac:dyDescent="0.35">
      <c r="A1253" s="403">
        <v>7</v>
      </c>
      <c r="B1253" s="609" t="s">
        <v>1205</v>
      </c>
      <c r="C1253" s="613"/>
      <c r="D1253" s="615" t="s">
        <v>270</v>
      </c>
      <c r="E1253" s="604"/>
      <c r="F1253" s="604"/>
      <c r="G1253" s="403" t="str">
        <f t="shared" ca="1" si="363"/>
        <v/>
      </c>
      <c r="H1253" s="403" t="s">
        <v>4325</v>
      </c>
      <c r="I1253" s="4"/>
      <c r="J1253" s="373" t="s">
        <v>270</v>
      </c>
      <c r="K1253" s="214"/>
      <c r="L1253" s="214" t="s">
        <v>1203</v>
      </c>
      <c r="M1253" s="43">
        <v>2</v>
      </c>
      <c r="N1253" s="85"/>
      <c r="O1253" s="85"/>
      <c r="X1253" s="688"/>
      <c r="Y1253" s="891"/>
      <c r="Z1253" s="892"/>
      <c r="AL1253" t="str">
        <f t="shared" ref="AL1253:AL1255" si="364">SUBSTITUTE(SUBSTITUTE(SUBSTITUTE("vpa"&amp;$B1253&amp;$C1253&amp;$D1253&amp;$E1253&amp;$F1253,".","_"),"(","_"),")","")</f>
        <v>vpa705_2_1_4_1</v>
      </c>
      <c r="AM1253">
        <f>M1253</f>
        <v>2</v>
      </c>
      <c r="BJ1253" s="573" t="s">
        <v>4670</v>
      </c>
    </row>
    <row r="1254" spans="1:62" x14ac:dyDescent="0.35">
      <c r="A1254" s="403">
        <v>7</v>
      </c>
      <c r="B1254" s="609" t="s">
        <v>1205</v>
      </c>
      <c r="C1254" s="613"/>
      <c r="D1254" s="615" t="s">
        <v>272</v>
      </c>
      <c r="E1254" s="604"/>
      <c r="F1254" s="604"/>
      <c r="G1254" s="403" t="str">
        <f t="shared" ca="1" si="363"/>
        <v/>
      </c>
      <c r="H1254" s="403" t="s">
        <v>4325</v>
      </c>
      <c r="I1254" s="155"/>
      <c r="J1254" s="373" t="s">
        <v>272</v>
      </c>
      <c r="K1254" s="214"/>
      <c r="L1254" s="214" t="s">
        <v>1207</v>
      </c>
      <c r="M1254" s="198">
        <v>3</v>
      </c>
      <c r="N1254" s="342"/>
      <c r="O1254" s="342"/>
      <c r="X1254" s="688"/>
      <c r="Y1254" s="891"/>
      <c r="Z1254" s="892"/>
      <c r="AL1254" t="str">
        <f t="shared" si="364"/>
        <v>vpa705_2_1_4_2</v>
      </c>
      <c r="AM1254">
        <f>M1254</f>
        <v>3</v>
      </c>
      <c r="BJ1254" s="573" t="s">
        <v>4670</v>
      </c>
    </row>
    <row r="1255" spans="1:62" x14ac:dyDescent="0.35">
      <c r="A1255" s="403">
        <v>7</v>
      </c>
      <c r="B1255" s="609" t="s">
        <v>1208</v>
      </c>
      <c r="C1255" s="613"/>
      <c r="D1255" s="604"/>
      <c r="E1255" s="604"/>
      <c r="F1255" s="604"/>
      <c r="G1255" s="403" t="str">
        <f>IF(N1255&gt;0,"P","")</f>
        <v/>
      </c>
      <c r="H1255" s="403" t="s">
        <v>4323</v>
      </c>
      <c r="I1255" s="362" t="s">
        <v>1208</v>
      </c>
      <c r="J1255" s="320"/>
      <c r="K1255" s="320"/>
      <c r="L1255" s="753" t="s">
        <v>1209</v>
      </c>
      <c r="M1255" s="712">
        <v>2</v>
      </c>
      <c r="N1255" s="713">
        <f>'Ch7'!O491</f>
        <v>0</v>
      </c>
      <c r="O1255" s="713">
        <f>M1255*S1255*W1255</f>
        <v>0</v>
      </c>
      <c r="P1255" t="b">
        <v>1</v>
      </c>
      <c r="Q1255" t="b">
        <v>1</v>
      </c>
      <c r="R1255" t="b">
        <v>0</v>
      </c>
      <c r="S1255" t="b">
        <v>1</v>
      </c>
      <c r="T1255" t="b">
        <v>0</v>
      </c>
      <c r="W1255" s="17"/>
      <c r="X1255" s="688"/>
      <c r="Y1255" s="891" t="str">
        <f>IF(LEN('Ch7'!X491)=0,"None",'Ch7'!X491)</f>
        <v>None</v>
      </c>
      <c r="Z1255" s="892"/>
      <c r="AC1255" t="b">
        <f>OR(AD1255:AE1255)</f>
        <v>0</v>
      </c>
      <c r="AD1255" t="b">
        <f>T1255</f>
        <v>0</v>
      </c>
      <c r="AE1255" t="b">
        <f>AND(R1255,NOT(W1255))</f>
        <v>0</v>
      </c>
      <c r="AF1255" t="b">
        <f>AND(AE1255,NOT(Q1255))</f>
        <v>0</v>
      </c>
      <c r="AL1255" t="str">
        <f t="shared" si="364"/>
        <v>vpa705_2_2</v>
      </c>
      <c r="AM1255">
        <f>M1255</f>
        <v>2</v>
      </c>
      <c r="AN1255" t="str">
        <f>SUBSTITUTE(SUBSTITUTE(SUBSTITUTE("vpc"&amp;$B1255&amp;$C1255&amp;$D1255&amp;$E1255&amp;$F1255,".","_"),"(","_"),")","")</f>
        <v>vpc705_2_2</v>
      </c>
      <c r="AO1255">
        <f>O1255</f>
        <v>0</v>
      </c>
      <c r="AP1255" t="str">
        <f>SUBSTITUTE(SUBSTITUTE(SUBSTITUTE("vch"&amp;$B1255&amp;$C1255&amp;$D1255&amp;$E1255&amp;$F1255,".","_"),"(","_"),")","")</f>
        <v>vch705_2_2</v>
      </c>
      <c r="AQ1255">
        <f>W1255</f>
        <v>0</v>
      </c>
      <c r="AR1255" t="str">
        <f>SUBSTITUTE(SUBSTITUTE(SUBSTITUTE("vnt"&amp;$B1255&amp;$C1255&amp;$D1255&amp;$E1255&amp;$F1255,".","_"),"(","_"),")","")</f>
        <v>vnt705_2_2</v>
      </c>
      <c r="AS1255">
        <f>X1255</f>
        <v>0</v>
      </c>
      <c r="BJ1255" s="573" t="s">
        <v>4670</v>
      </c>
    </row>
    <row r="1256" spans="1:62" x14ac:dyDescent="0.35">
      <c r="A1256" s="403">
        <v>7</v>
      </c>
      <c r="B1256" s="609" t="s">
        <v>1208</v>
      </c>
      <c r="C1256" s="613"/>
      <c r="D1256" s="604"/>
      <c r="E1256" s="604"/>
      <c r="F1256" s="604"/>
      <c r="G1256" s="403" t="str">
        <f t="shared" ref="G1256:G1257" si="365">G1255</f>
        <v/>
      </c>
      <c r="H1256" s="403" t="s">
        <v>4323</v>
      </c>
      <c r="I1256" s="4"/>
      <c r="J1256" s="104"/>
      <c r="K1256" s="104"/>
      <c r="L1256" s="706"/>
      <c r="M1256" s="690"/>
      <c r="N1256" s="696"/>
      <c r="O1256" s="696"/>
      <c r="X1256" s="688"/>
      <c r="Y1256" s="891"/>
      <c r="Z1256" s="892"/>
      <c r="BJ1256" s="573" t="s">
        <v>4670</v>
      </c>
    </row>
    <row r="1257" spans="1:62" x14ac:dyDescent="0.35">
      <c r="A1257" s="403">
        <v>7</v>
      </c>
      <c r="B1257" s="609" t="s">
        <v>1208</v>
      </c>
      <c r="C1257" s="613"/>
      <c r="D1257" s="604"/>
      <c r="E1257" s="604"/>
      <c r="F1257" s="604"/>
      <c r="G1257" s="403" t="str">
        <f t="shared" si="365"/>
        <v/>
      </c>
      <c r="H1257" s="403" t="s">
        <v>4323</v>
      </c>
      <c r="I1257" s="155"/>
      <c r="J1257" s="214"/>
      <c r="K1257" s="214"/>
      <c r="L1257" s="165" t="s">
        <v>1098</v>
      </c>
      <c r="M1257" s="198"/>
      <c r="N1257" s="342"/>
      <c r="O1257" s="342"/>
      <c r="X1257" s="688"/>
      <c r="Y1257" s="891"/>
      <c r="Z1257" s="892"/>
      <c r="BJ1257" s="573" t="s">
        <v>4670</v>
      </c>
    </row>
    <row r="1258" spans="1:62" x14ac:dyDescent="0.35">
      <c r="A1258" s="403">
        <v>7</v>
      </c>
      <c r="B1258" s="609" t="s">
        <v>1210</v>
      </c>
      <c r="C1258" s="613"/>
      <c r="D1258" s="604"/>
      <c r="E1258" s="604"/>
      <c r="F1258" s="604"/>
      <c r="G1258" s="403" t="str">
        <f>IF(N1258&gt;0,"P","")</f>
        <v/>
      </c>
      <c r="H1258" s="403" t="s">
        <v>4325</v>
      </c>
      <c r="I1258" s="362" t="s">
        <v>1210</v>
      </c>
      <c r="J1258" s="320"/>
      <c r="K1258" s="320"/>
      <c r="L1258" s="753" t="s">
        <v>1211</v>
      </c>
      <c r="M1258" s="712">
        <v>1</v>
      </c>
      <c r="N1258" s="713">
        <f>'Ch7'!O494</f>
        <v>0</v>
      </c>
      <c r="O1258" s="713">
        <f>M1258*S1258*W1258</f>
        <v>0</v>
      </c>
      <c r="P1258" t="b">
        <v>0</v>
      </c>
      <c r="Q1258" t="b">
        <v>1</v>
      </c>
      <c r="R1258" t="b">
        <v>0</v>
      </c>
      <c r="S1258" t="b">
        <v>1</v>
      </c>
      <c r="T1258" t="b">
        <v>0</v>
      </c>
      <c r="W1258" s="17"/>
      <c r="X1258" s="688"/>
      <c r="Y1258" s="891" t="str">
        <f>IF(LEN('Ch7'!X494)=0,"None",'Ch7'!X494)</f>
        <v>None</v>
      </c>
      <c r="Z1258" s="892"/>
      <c r="AC1258" t="b">
        <f>OR(AD1258:AE1258)</f>
        <v>0</v>
      </c>
      <c r="AD1258" t="b">
        <f>T1258</f>
        <v>0</v>
      </c>
      <c r="AE1258" t="b">
        <f>AND(R1258,NOT(W1258))</f>
        <v>0</v>
      </c>
      <c r="AF1258" t="b">
        <f>AND(AE1258,NOT(Q1258))</f>
        <v>0</v>
      </c>
      <c r="AL1258" t="str">
        <f t="shared" ref="AL1258" si="366">SUBSTITUTE(SUBSTITUTE(SUBSTITUTE("vpa"&amp;$B1258&amp;$C1258&amp;$D1258&amp;$E1258&amp;$F1258,".","_"),"(","_"),")","")</f>
        <v>vpa705_2_3</v>
      </c>
      <c r="AM1258">
        <f>M1258</f>
        <v>1</v>
      </c>
      <c r="AN1258" t="str">
        <f>SUBSTITUTE(SUBSTITUTE(SUBSTITUTE("vpc"&amp;$B1258&amp;$C1258&amp;$D1258&amp;$E1258&amp;$F1258,".","_"),"(","_"),")","")</f>
        <v>vpc705_2_3</v>
      </c>
      <c r="AO1258">
        <f>O1258</f>
        <v>0</v>
      </c>
      <c r="AP1258" t="str">
        <f>SUBSTITUTE(SUBSTITUTE(SUBSTITUTE("vch"&amp;$B1258&amp;$C1258&amp;$D1258&amp;$E1258&amp;$F1258,".","_"),"(","_"),")","")</f>
        <v>vch705_2_3</v>
      </c>
      <c r="AQ1258">
        <f>W1258</f>
        <v>0</v>
      </c>
      <c r="AR1258" t="str">
        <f>SUBSTITUTE(SUBSTITUTE(SUBSTITUTE("vnt"&amp;$B1258&amp;$C1258&amp;$D1258&amp;$E1258&amp;$F1258,".","_"),"(","_"),")","")</f>
        <v>vnt705_2_3</v>
      </c>
      <c r="AS1258">
        <f>X1258</f>
        <v>0</v>
      </c>
      <c r="BJ1258" s="573" t="s">
        <v>4670</v>
      </c>
    </row>
    <row r="1259" spans="1:62" x14ac:dyDescent="0.35">
      <c r="A1259" s="403">
        <v>7</v>
      </c>
      <c r="B1259" s="609" t="s">
        <v>1210</v>
      </c>
      <c r="C1259" s="613"/>
      <c r="D1259" s="604"/>
      <c r="E1259" s="604"/>
      <c r="F1259" s="604"/>
      <c r="G1259" s="403" t="str">
        <f t="shared" ref="G1259" si="367">G1258</f>
        <v/>
      </c>
      <c r="H1259" s="403" t="s">
        <v>4325</v>
      </c>
      <c r="I1259" s="155"/>
      <c r="J1259" s="214"/>
      <c r="K1259" s="214"/>
      <c r="L1259" s="739"/>
      <c r="M1259" s="691"/>
      <c r="N1259" s="697"/>
      <c r="O1259" s="697"/>
      <c r="X1259" s="688"/>
      <c r="Y1259" s="891"/>
      <c r="Z1259" s="892"/>
      <c r="BJ1259" s="573" t="s">
        <v>4670</v>
      </c>
    </row>
    <row r="1260" spans="1:62" x14ac:dyDescent="0.35">
      <c r="A1260" s="403">
        <v>7</v>
      </c>
      <c r="B1260" s="609" t="s">
        <v>1212</v>
      </c>
      <c r="C1260" s="613"/>
      <c r="D1260" s="604"/>
      <c r="E1260" s="604"/>
      <c r="F1260" s="604"/>
      <c r="G1260" s="403" t="str">
        <f>IF(N1260&gt;0,"P","")</f>
        <v/>
      </c>
      <c r="H1260" s="403" t="s">
        <v>4325</v>
      </c>
      <c r="I1260" s="34" t="s">
        <v>1212</v>
      </c>
      <c r="J1260" s="104"/>
      <c r="K1260" s="104"/>
      <c r="L1260" s="706" t="s">
        <v>1213</v>
      </c>
      <c r="M1260" s="690">
        <v>1</v>
      </c>
      <c r="N1260" s="696">
        <f>'Ch7'!O496</f>
        <v>0</v>
      </c>
      <c r="O1260" s="696">
        <f>IFERROR(IF(AND(NOT(ISBLANK(W1261)),(W1261/W1262)&lt;(1/400)),1,0),0)</f>
        <v>0</v>
      </c>
      <c r="R1260" s="6"/>
      <c r="W1260" t="s">
        <v>3878</v>
      </c>
      <c r="X1260" s="688"/>
      <c r="Y1260" s="891" t="str">
        <f>IF(LEN('Ch7'!X496)=0,"None",'Ch7'!X496)</f>
        <v>None</v>
      </c>
      <c r="Z1260" s="892"/>
      <c r="AL1260" t="str">
        <f t="shared" ref="AL1260" si="368">SUBSTITUTE(SUBSTITUTE(SUBSTITUTE("vpa"&amp;$B1260&amp;$C1260&amp;$D1260&amp;$E1260&amp;$F1260,".","_"),"(","_"),")","")</f>
        <v>vpa705_2_4</v>
      </c>
      <c r="AM1260">
        <f>M1260</f>
        <v>1</v>
      </c>
      <c r="AN1260" t="str">
        <f>SUBSTITUTE(SUBSTITUTE(SUBSTITUTE("vpc"&amp;$B1260&amp;$C1260&amp;$D1260&amp;$E1260&amp;$F1260,".","_"),"(","_"),")","")</f>
        <v>vpc705_2_4</v>
      </c>
      <c r="AO1260">
        <f>O1260</f>
        <v>0</v>
      </c>
      <c r="AR1260" t="str">
        <f>SUBSTITUTE(SUBSTITUTE(SUBSTITUTE("vnt"&amp;$B1260&amp;$C1260&amp;$D1260&amp;$E1260&amp;$F1260,".","_"),"(","_"),")","")</f>
        <v>vnt705_2_4</v>
      </c>
      <c r="AS1260">
        <f>X1260</f>
        <v>0</v>
      </c>
      <c r="BJ1260" s="573" t="s">
        <v>4670</v>
      </c>
    </row>
    <row r="1261" spans="1:62" x14ac:dyDescent="0.35">
      <c r="A1261" s="403">
        <v>7</v>
      </c>
      <c r="B1261" s="609" t="s">
        <v>1212</v>
      </c>
      <c r="C1261" s="613"/>
      <c r="D1261" s="604"/>
      <c r="E1261" s="604"/>
      <c r="F1261" s="604"/>
      <c r="G1261" s="403" t="str">
        <f t="shared" ref="G1261:G1262" si="369">G1260</f>
        <v/>
      </c>
      <c r="H1261" s="403" t="s">
        <v>4325</v>
      </c>
      <c r="I1261" s="4"/>
      <c r="J1261" s="104"/>
      <c r="K1261" s="104"/>
      <c r="L1261" s="706"/>
      <c r="M1261" s="690"/>
      <c r="N1261" s="696"/>
      <c r="O1261" s="696"/>
      <c r="P1261" t="b">
        <v>0</v>
      </c>
      <c r="Q1261" t="b">
        <v>1</v>
      </c>
      <c r="R1261" t="b">
        <v>0</v>
      </c>
      <c r="S1261" t="b">
        <f>AND(OR(W891="Met",W891="N/A"),OR(NOT(AY797="None"),NOT(AY802="None")))</f>
        <v>1</v>
      </c>
      <c r="T1261" t="b">
        <f>OR(AND(NOT(S1261),LEN(W1261)&gt;0),AND(W1261&gt;0,W891="N/A"))</f>
        <v>0</v>
      </c>
      <c r="W1261" s="283"/>
      <c r="X1261" s="688"/>
      <c r="Y1261" s="891"/>
      <c r="Z1261" s="892"/>
      <c r="AC1261" t="b">
        <f>OR(AD1261:AE1261)</f>
        <v>0</v>
      </c>
      <c r="AD1261" t="b">
        <f>T1261</f>
        <v>0</v>
      </c>
      <c r="AE1261" t="b">
        <f>AND(R1261,OR(W1261="Not Met",W1261=""))</f>
        <v>0</v>
      </c>
      <c r="AF1261" t="b">
        <f>AND(AE1261,NOT(Q1261))</f>
        <v>0</v>
      </c>
      <c r="AP1261" t="str">
        <f>SUBSTITUTE(SUBSTITUTE(SUBSTITUTE("vch"&amp;$B1261&amp;$C1261&amp;$D1261&amp;$E1261&amp;$F1261,".","_"),"(","_"),")","")</f>
        <v>vch705_2_4</v>
      </c>
      <c r="AQ1261" s="625">
        <f>W1261</f>
        <v>0</v>
      </c>
      <c r="BJ1261" s="573" t="s">
        <v>4670</v>
      </c>
    </row>
    <row r="1262" spans="1:62" ht="15" thickBot="1" x14ac:dyDescent="0.4">
      <c r="A1262" s="403">
        <v>7</v>
      </c>
      <c r="B1262" s="609" t="s">
        <v>1212</v>
      </c>
      <c r="C1262" s="613"/>
      <c r="D1262" s="604"/>
      <c r="E1262" s="604"/>
      <c r="F1262" s="604"/>
      <c r="G1262" s="403" t="str">
        <f t="shared" si="369"/>
        <v/>
      </c>
      <c r="H1262" s="403" t="s">
        <v>4325</v>
      </c>
      <c r="I1262" s="183"/>
      <c r="J1262" s="223"/>
      <c r="K1262" s="223"/>
      <c r="L1262" s="710"/>
      <c r="M1262" s="693"/>
      <c r="N1262" s="695"/>
      <c r="O1262" s="695"/>
      <c r="P1262" s="58"/>
      <c r="Q1262" s="58"/>
      <c r="R1262" s="58"/>
      <c r="S1262" s="58"/>
      <c r="T1262" s="58"/>
      <c r="U1262" s="58"/>
      <c r="V1262" s="58"/>
      <c r="W1262" s="374">
        <f>AY789</f>
        <v>2644</v>
      </c>
      <c r="X1262" s="689"/>
      <c r="Y1262" s="905"/>
      <c r="Z1262" s="895"/>
      <c r="BJ1262" s="573" t="s">
        <v>4670</v>
      </c>
    </row>
    <row r="1263" spans="1:62" ht="15.5" thickTop="1" thickBot="1" x14ac:dyDescent="0.4">
      <c r="A1263" s="403">
        <v>7</v>
      </c>
      <c r="B1263" s="609">
        <v>705.3</v>
      </c>
      <c r="C1263" s="613"/>
      <c r="D1263" s="604"/>
      <c r="E1263" s="604"/>
      <c r="F1263" s="604"/>
      <c r="G1263" s="403" t="str">
        <f>IF(N1263&gt;0,"P","")</f>
        <v/>
      </c>
      <c r="H1263" s="403" t="s">
        <v>4325</v>
      </c>
      <c r="I1263" s="274">
        <v>705.3</v>
      </c>
      <c r="J1263" s="350"/>
      <c r="K1263" s="350"/>
      <c r="L1263" s="276" t="s">
        <v>1214</v>
      </c>
      <c r="M1263" s="277">
        <v>1</v>
      </c>
      <c r="N1263" s="343">
        <f>'Ch7'!O499</f>
        <v>0</v>
      </c>
      <c r="O1263" s="343">
        <f>M1263*S1263*W1263</f>
        <v>0</v>
      </c>
      <c r="P1263" t="b">
        <v>0</v>
      </c>
      <c r="Q1263" t="b">
        <v>1</v>
      </c>
      <c r="R1263" s="75" t="b">
        <v>0</v>
      </c>
      <c r="S1263" s="75" t="b">
        <v>1</v>
      </c>
      <c r="T1263" s="75" t="b">
        <v>0</v>
      </c>
      <c r="U1263" s="75"/>
      <c r="V1263" s="75"/>
      <c r="W1263" s="78"/>
      <c r="X1263" s="82"/>
      <c r="Y1263" s="202" t="str">
        <f>IF(LEN('Ch7'!X499)=0,"None",'Ch7'!X499)</f>
        <v>None</v>
      </c>
      <c r="Z1263" s="565"/>
      <c r="AC1263" t="b">
        <f>OR(AD1263:AE1263)</f>
        <v>0</v>
      </c>
      <c r="AD1263" t="b">
        <f>T1263</f>
        <v>0</v>
      </c>
      <c r="AE1263" t="b">
        <f>AND(R1263,NOT(W1263))</f>
        <v>0</v>
      </c>
      <c r="AF1263" t="b">
        <f>AND(AE1263,NOT(Q1263))</f>
        <v>0</v>
      </c>
      <c r="AL1263" t="str">
        <f t="shared" ref="AL1263:AL1264" si="370">SUBSTITUTE(SUBSTITUTE(SUBSTITUTE("vpa"&amp;$B1263&amp;$C1263&amp;$D1263&amp;$E1263&amp;$F1263,".","_"),"(","_"),")","")</f>
        <v>vpa705_3</v>
      </c>
      <c r="AM1263">
        <f>M1263</f>
        <v>1</v>
      </c>
      <c r="AN1263" t="str">
        <f t="shared" ref="AN1263:AN1264" si="371">SUBSTITUTE(SUBSTITUTE(SUBSTITUTE("vpc"&amp;$B1263&amp;$C1263&amp;$D1263&amp;$E1263&amp;$F1263,".","_"),"(","_"),")","")</f>
        <v>vpc705_3</v>
      </c>
      <c r="AO1263">
        <f>O1263</f>
        <v>0</v>
      </c>
      <c r="AP1263" t="str">
        <f>SUBSTITUTE(SUBSTITUTE(SUBSTITUTE("vch"&amp;$B1263&amp;$C1263&amp;$D1263&amp;$E1263&amp;$F1263,".","_"),"(","_"),")","")</f>
        <v>vch705_3</v>
      </c>
      <c r="AQ1263">
        <f>W1263</f>
        <v>0</v>
      </c>
      <c r="AR1263" t="str">
        <f t="shared" ref="AR1263:AR1264" si="372">SUBSTITUTE(SUBSTITUTE(SUBSTITUTE("vnt"&amp;$B1263&amp;$C1263&amp;$D1263&amp;$E1263&amp;$F1263,".","_"),"(","_"),")","")</f>
        <v>vnt705_3</v>
      </c>
      <c r="AS1263">
        <f>X1263</f>
        <v>0</v>
      </c>
      <c r="BJ1263" s="573" t="s">
        <v>4670</v>
      </c>
    </row>
    <row r="1264" spans="1:62" ht="15" thickTop="1" x14ac:dyDescent="0.35">
      <c r="A1264" s="403">
        <v>7</v>
      </c>
      <c r="B1264" s="609">
        <v>705.4</v>
      </c>
      <c r="C1264" s="613"/>
      <c r="D1264" s="604"/>
      <c r="E1264" s="604"/>
      <c r="F1264" s="604"/>
      <c r="G1264" s="403" t="str">
        <f>IF(N1264&gt;0,"P","")</f>
        <v/>
      </c>
      <c r="H1264" s="403" t="s">
        <v>4323</v>
      </c>
      <c r="I1264" s="123">
        <v>705.4</v>
      </c>
      <c r="J1264" s="349"/>
      <c r="K1264" s="349"/>
      <c r="L1264" s="711" t="s">
        <v>1215</v>
      </c>
      <c r="M1264" s="692">
        <v>2</v>
      </c>
      <c r="N1264" s="694">
        <f>'Ch7'!O500</f>
        <v>0</v>
      </c>
      <c r="O1264" s="694">
        <f>M1264*S1264*W1264</f>
        <v>2</v>
      </c>
      <c r="P1264" t="b">
        <v>1</v>
      </c>
      <c r="Q1264" t="b">
        <v>1</v>
      </c>
      <c r="R1264" s="62" t="b">
        <v>0</v>
      </c>
      <c r="S1264" s="62" t="b">
        <v>1</v>
      </c>
      <c r="T1264" s="62" t="b">
        <v>0</v>
      </c>
      <c r="U1264" s="62"/>
      <c r="V1264" s="62"/>
      <c r="W1264" s="77" t="b">
        <v>1</v>
      </c>
      <c r="X1264" s="687"/>
      <c r="Y1264" s="904" t="str">
        <f>IF(LEN('Ch7'!X500)=0,"None",'Ch7'!X500)</f>
        <v>None</v>
      </c>
      <c r="Z1264" s="896"/>
      <c r="AC1264" t="b">
        <f>OR(AD1264:AE1264)</f>
        <v>0</v>
      </c>
      <c r="AD1264" t="b">
        <f>T1264</f>
        <v>0</v>
      </c>
      <c r="AE1264" t="b">
        <f>AND(R1264,NOT(W1264))</f>
        <v>0</v>
      </c>
      <c r="AF1264" t="b">
        <f>AND(AE1264,NOT(Q1264))</f>
        <v>0</v>
      </c>
      <c r="AL1264" t="str">
        <f t="shared" si="370"/>
        <v>vpa705_4</v>
      </c>
      <c r="AM1264">
        <f>M1264</f>
        <v>2</v>
      </c>
      <c r="AN1264" t="str">
        <f t="shared" si="371"/>
        <v>vpc705_4</v>
      </c>
      <c r="AO1264">
        <f>O1264</f>
        <v>2</v>
      </c>
      <c r="AP1264" t="str">
        <f>SUBSTITUTE(SUBSTITUTE(SUBSTITUTE("vch"&amp;$B1264&amp;$C1264&amp;$D1264&amp;$E1264&amp;$F1264,".","_"),"(","_"),")","")</f>
        <v>vch705_4</v>
      </c>
      <c r="AQ1264" t="b">
        <f>W1264</f>
        <v>1</v>
      </c>
      <c r="AR1264" t="str">
        <f t="shared" si="372"/>
        <v>vnt705_4</v>
      </c>
      <c r="AS1264">
        <f>X1264</f>
        <v>0</v>
      </c>
      <c r="BJ1264" s="573" t="s">
        <v>4670</v>
      </c>
    </row>
    <row r="1265" spans="1:62" x14ac:dyDescent="0.35">
      <c r="A1265" s="403">
        <v>7</v>
      </c>
      <c r="B1265" s="609">
        <v>705.4</v>
      </c>
      <c r="C1265" s="613"/>
      <c r="D1265" s="604"/>
      <c r="E1265" s="604"/>
      <c r="F1265" s="604"/>
      <c r="G1265" s="403" t="str">
        <f t="shared" ref="G1265:G1266" si="373">G1264</f>
        <v/>
      </c>
      <c r="H1265" s="403" t="s">
        <v>4323</v>
      </c>
      <c r="I1265" s="4"/>
      <c r="J1265" s="104"/>
      <c r="K1265" s="104"/>
      <c r="L1265" s="706"/>
      <c r="M1265" s="690"/>
      <c r="N1265" s="696"/>
      <c r="O1265" s="696"/>
      <c r="X1265" s="688"/>
      <c r="Y1265" s="891"/>
      <c r="Z1265" s="892"/>
      <c r="BJ1265" s="573" t="s">
        <v>4670</v>
      </c>
    </row>
    <row r="1266" spans="1:62" ht="15" thickBot="1" x14ac:dyDescent="0.4">
      <c r="A1266" s="403">
        <v>7</v>
      </c>
      <c r="B1266" s="609">
        <v>705.4</v>
      </c>
      <c r="C1266" s="613"/>
      <c r="D1266" s="604"/>
      <c r="E1266" s="604"/>
      <c r="F1266" s="604"/>
      <c r="G1266" s="403" t="str">
        <f t="shared" si="373"/>
        <v/>
      </c>
      <c r="H1266" s="403" t="s">
        <v>4323</v>
      </c>
      <c r="I1266" s="183"/>
      <c r="J1266" s="223"/>
      <c r="K1266" s="223"/>
      <c r="L1266" s="710"/>
      <c r="M1266" s="693"/>
      <c r="N1266" s="695"/>
      <c r="O1266" s="695"/>
      <c r="P1266" s="58"/>
      <c r="Q1266" s="58"/>
      <c r="R1266" s="58"/>
      <c r="S1266" s="58"/>
      <c r="T1266" s="58"/>
      <c r="U1266" s="58"/>
      <c r="V1266" s="58"/>
      <c r="W1266" s="58"/>
      <c r="X1266" s="689"/>
      <c r="Y1266" s="905"/>
      <c r="Z1266" s="895"/>
      <c r="BJ1266" s="573" t="s">
        <v>4670</v>
      </c>
    </row>
    <row r="1267" spans="1:62" ht="15" thickTop="1" x14ac:dyDescent="0.35">
      <c r="A1267" s="403">
        <v>7</v>
      </c>
      <c r="B1267" s="609">
        <v>705.5</v>
      </c>
      <c r="C1267" s="613"/>
      <c r="D1267" s="604"/>
      <c r="E1267" s="604"/>
      <c r="F1267" s="604"/>
      <c r="G1267" s="600" t="str">
        <f>IF(COUNTIF(G1268:G1273,"P")&gt;0,"P","")</f>
        <v>P</v>
      </c>
      <c r="H1267" s="403" t="s">
        <v>4323</v>
      </c>
      <c r="I1267" s="32">
        <v>705.5</v>
      </c>
      <c r="J1267" s="104"/>
      <c r="K1267" s="104"/>
      <c r="L1267" s="110" t="s">
        <v>1216</v>
      </c>
      <c r="M1267" s="43"/>
      <c r="N1267" s="85"/>
      <c r="O1267" s="85"/>
      <c r="Z1267" s="543"/>
      <c r="BJ1267" s="573" t="s">
        <v>4670</v>
      </c>
    </row>
    <row r="1268" spans="1:62" x14ac:dyDescent="0.35">
      <c r="A1268" s="403">
        <v>7</v>
      </c>
      <c r="B1268" s="609" t="s">
        <v>1217</v>
      </c>
      <c r="C1268" s="613"/>
      <c r="D1268" s="604"/>
      <c r="E1268" s="604"/>
      <c r="F1268" s="604"/>
      <c r="G1268" s="403" t="str">
        <f>IF(N1268&gt;0,"P","")</f>
        <v>P</v>
      </c>
      <c r="H1268" s="403" t="s">
        <v>4323</v>
      </c>
      <c r="I1268" s="34" t="s">
        <v>1217</v>
      </c>
      <c r="J1268" s="104"/>
      <c r="K1268" s="104"/>
      <c r="L1268" s="706" t="s">
        <v>1218</v>
      </c>
      <c r="M1268" s="690">
        <v>1</v>
      </c>
      <c r="N1268" s="696">
        <f>'Ch7'!O504</f>
        <v>1</v>
      </c>
      <c r="O1268" s="696">
        <f>M1268*S1268*W1268</f>
        <v>1</v>
      </c>
      <c r="P1268" t="b">
        <v>1</v>
      </c>
      <c r="Q1268" t="b">
        <v>1</v>
      </c>
      <c r="R1268" t="b">
        <v>0</v>
      </c>
      <c r="S1268" t="b">
        <v>1</v>
      </c>
      <c r="T1268" t="b">
        <v>0</v>
      </c>
      <c r="W1268" s="17" t="b">
        <v>1</v>
      </c>
      <c r="X1268" s="688"/>
      <c r="Y1268" s="891" t="str">
        <f>IF(LEN('Ch7'!X504)=0,"None",'Ch7'!X504)</f>
        <v>None</v>
      </c>
      <c r="Z1268" s="892"/>
      <c r="AC1268" t="b">
        <f>OR(AD1268:AE1268)</f>
        <v>0</v>
      </c>
      <c r="AD1268" t="b">
        <f>T1268</f>
        <v>0</v>
      </c>
      <c r="AE1268" t="b">
        <f>AND(R1268,NOT(W1268))</f>
        <v>0</v>
      </c>
      <c r="AF1268" t="b">
        <f>AND(AE1268,NOT(Q1268))</f>
        <v>0</v>
      </c>
      <c r="AL1268" t="str">
        <f t="shared" ref="AL1268" si="374">SUBSTITUTE(SUBSTITUTE(SUBSTITUTE("vpa"&amp;$B1268&amp;$C1268&amp;$D1268&amp;$E1268&amp;$F1268,".","_"),"(","_"),")","")</f>
        <v>vpa705_5_1</v>
      </c>
      <c r="AM1268">
        <f>M1268</f>
        <v>1</v>
      </c>
      <c r="AN1268" t="str">
        <f>SUBSTITUTE(SUBSTITUTE(SUBSTITUTE("vpc"&amp;$B1268&amp;$C1268&amp;$D1268&amp;$E1268&amp;$F1268,".","_"),"(","_"),")","")</f>
        <v>vpc705_5_1</v>
      </c>
      <c r="AO1268">
        <f>O1268</f>
        <v>1</v>
      </c>
      <c r="AP1268" t="str">
        <f>SUBSTITUTE(SUBSTITUTE(SUBSTITUTE("vch"&amp;$B1268&amp;$C1268&amp;$D1268&amp;$E1268&amp;$F1268,".","_"),"(","_"),")","")</f>
        <v>vch705_5_1</v>
      </c>
      <c r="AQ1268" t="b">
        <f>W1268</f>
        <v>1</v>
      </c>
      <c r="AR1268" t="str">
        <f>SUBSTITUTE(SUBSTITUTE(SUBSTITUTE("vnt"&amp;$B1268&amp;$C1268&amp;$D1268&amp;$E1268&amp;$F1268,".","_"),"(","_"),")","")</f>
        <v>vnt705_5_1</v>
      </c>
      <c r="AS1268">
        <f>X1268</f>
        <v>0</v>
      </c>
      <c r="BJ1268" s="573" t="s">
        <v>4670</v>
      </c>
    </row>
    <row r="1269" spans="1:62" x14ac:dyDescent="0.35">
      <c r="A1269" s="403">
        <v>7</v>
      </c>
      <c r="B1269" s="609" t="s">
        <v>1217</v>
      </c>
      <c r="C1269" s="613"/>
      <c r="D1269" s="604"/>
      <c r="E1269" s="604"/>
      <c r="F1269" s="604"/>
      <c r="G1269" s="403" t="str">
        <f t="shared" ref="G1269:G1272" si="375">G1268</f>
        <v>P</v>
      </c>
      <c r="H1269" s="403" t="s">
        <v>4323</v>
      </c>
      <c r="I1269" s="4"/>
      <c r="J1269" s="104"/>
      <c r="K1269" s="104"/>
      <c r="L1269" s="706"/>
      <c r="M1269" s="690"/>
      <c r="N1269" s="696"/>
      <c r="O1269" s="696"/>
      <c r="X1269" s="688"/>
      <c r="Y1269" s="891"/>
      <c r="Z1269" s="892"/>
      <c r="BJ1269" s="573" t="s">
        <v>4670</v>
      </c>
    </row>
    <row r="1270" spans="1:62" x14ac:dyDescent="0.35">
      <c r="A1270" s="403">
        <v>7</v>
      </c>
      <c r="B1270" s="609" t="s">
        <v>1217</v>
      </c>
      <c r="C1270" s="613"/>
      <c r="D1270" s="604"/>
      <c r="E1270" s="604"/>
      <c r="F1270" s="604"/>
      <c r="G1270" s="403" t="str">
        <f t="shared" si="375"/>
        <v>P</v>
      </c>
      <c r="H1270" s="403" t="s">
        <v>4323</v>
      </c>
      <c r="I1270" s="4"/>
      <c r="J1270" s="104"/>
      <c r="K1270" s="104"/>
      <c r="L1270" s="706"/>
      <c r="M1270" s="690"/>
      <c r="N1270" s="696"/>
      <c r="O1270" s="696"/>
      <c r="X1270" s="688"/>
      <c r="Y1270" s="891"/>
      <c r="Z1270" s="892"/>
      <c r="BJ1270" s="573" t="s">
        <v>4670</v>
      </c>
    </row>
    <row r="1271" spans="1:62" x14ac:dyDescent="0.35">
      <c r="A1271" s="403">
        <v>7</v>
      </c>
      <c r="B1271" s="609" t="s">
        <v>1217</v>
      </c>
      <c r="C1271" s="613"/>
      <c r="D1271" s="604"/>
      <c r="E1271" s="604"/>
      <c r="F1271" s="604"/>
      <c r="G1271" s="403" t="str">
        <f t="shared" si="375"/>
        <v>P</v>
      </c>
      <c r="H1271" s="403" t="s">
        <v>4323</v>
      </c>
      <c r="I1271" s="4"/>
      <c r="J1271" s="104"/>
      <c r="K1271" s="104"/>
      <c r="L1271" s="706"/>
      <c r="M1271" s="690"/>
      <c r="N1271" s="696"/>
      <c r="O1271" s="696"/>
      <c r="X1271" s="688"/>
      <c r="Y1271" s="891"/>
      <c r="Z1271" s="892"/>
      <c r="BJ1271" s="573" t="s">
        <v>4670</v>
      </c>
    </row>
    <row r="1272" spans="1:62" x14ac:dyDescent="0.35">
      <c r="A1272" s="403">
        <v>7</v>
      </c>
      <c r="B1272" s="609" t="s">
        <v>1217</v>
      </c>
      <c r="C1272" s="613"/>
      <c r="D1272" s="604"/>
      <c r="E1272" s="604"/>
      <c r="F1272" s="604"/>
      <c r="G1272" s="403" t="str">
        <f t="shared" si="375"/>
        <v>P</v>
      </c>
      <c r="H1272" s="403" t="s">
        <v>4323</v>
      </c>
      <c r="I1272" s="155"/>
      <c r="J1272" s="214"/>
      <c r="K1272" s="214"/>
      <c r="L1272" s="739"/>
      <c r="M1272" s="691"/>
      <c r="N1272" s="697"/>
      <c r="O1272" s="697"/>
      <c r="X1272" s="688"/>
      <c r="Y1272" s="891"/>
      <c r="Z1272" s="892"/>
      <c r="BJ1272" s="573" t="s">
        <v>4670</v>
      </c>
    </row>
    <row r="1273" spans="1:62" x14ac:dyDescent="0.35">
      <c r="A1273" s="403">
        <v>7</v>
      </c>
      <c r="B1273" s="609" t="s">
        <v>1219</v>
      </c>
      <c r="C1273" s="613"/>
      <c r="D1273" s="604"/>
      <c r="E1273" s="604"/>
      <c r="F1273" s="604"/>
      <c r="G1273" s="403" t="str">
        <f>IF(N1273&gt;0,"P","")</f>
        <v>P</v>
      </c>
      <c r="H1273" s="403" t="s">
        <v>4325</v>
      </c>
      <c r="I1273" s="34" t="s">
        <v>1219</v>
      </c>
      <c r="J1273" s="104"/>
      <c r="K1273" s="104"/>
      <c r="L1273" s="706" t="s">
        <v>1220</v>
      </c>
      <c r="M1273" s="690">
        <v>3</v>
      </c>
      <c r="N1273" s="696">
        <f>'Ch7'!O509</f>
        <v>3</v>
      </c>
      <c r="O1273" s="696">
        <f>M1273*S1273*W1273</f>
        <v>3</v>
      </c>
      <c r="P1273" t="b">
        <v>0</v>
      </c>
      <c r="Q1273" t="b">
        <v>1</v>
      </c>
      <c r="R1273" t="b">
        <v>0</v>
      </c>
      <c r="S1273" t="b">
        <v>1</v>
      </c>
      <c r="T1273" t="b">
        <v>0</v>
      </c>
      <c r="W1273" s="17" t="b">
        <v>1</v>
      </c>
      <c r="X1273" s="688"/>
      <c r="Y1273" s="891" t="str">
        <f>IF(LEN('Ch7'!X509)=0,"None",'Ch7'!X509)</f>
        <v>None</v>
      </c>
      <c r="Z1273" s="892"/>
      <c r="AC1273" t="b">
        <f>OR(AD1273:AE1273)</f>
        <v>0</v>
      </c>
      <c r="AD1273" t="b">
        <f>T1273</f>
        <v>0</v>
      </c>
      <c r="AE1273" t="b">
        <f>AND(R1273,NOT(W1273))</f>
        <v>0</v>
      </c>
      <c r="AF1273" t="b">
        <f>AND(AE1273,NOT(Q1273))</f>
        <v>0</v>
      </c>
      <c r="AL1273" t="str">
        <f t="shared" ref="AL1273" si="376">SUBSTITUTE(SUBSTITUTE(SUBSTITUTE("vpa"&amp;$B1273&amp;$C1273&amp;$D1273&amp;$E1273&amp;$F1273,".","_"),"(","_"),")","")</f>
        <v>vpa705_5_2</v>
      </c>
      <c r="AM1273">
        <f>M1273</f>
        <v>3</v>
      </c>
      <c r="AN1273" t="str">
        <f>SUBSTITUTE(SUBSTITUTE(SUBSTITUTE("vpc"&amp;$B1273&amp;$C1273&amp;$D1273&amp;$E1273&amp;$F1273,".","_"),"(","_"),")","")</f>
        <v>vpc705_5_2</v>
      </c>
      <c r="AO1273">
        <f>O1273</f>
        <v>3</v>
      </c>
      <c r="AP1273" t="str">
        <f>SUBSTITUTE(SUBSTITUTE(SUBSTITUTE("vch"&amp;$B1273&amp;$C1273&amp;$D1273&amp;$E1273&amp;$F1273,".","_"),"(","_"),")","")</f>
        <v>vch705_5_2</v>
      </c>
      <c r="AQ1273" t="b">
        <f>W1273</f>
        <v>1</v>
      </c>
      <c r="AR1273" t="str">
        <f>SUBSTITUTE("vnt"&amp;B1273&amp;C1273&amp;D1273&amp;E1273&amp;F1273,".","_")</f>
        <v>vnt705_5_2</v>
      </c>
      <c r="AS1273">
        <f>X1273</f>
        <v>0</v>
      </c>
      <c r="BJ1273" s="573" t="s">
        <v>4670</v>
      </c>
    </row>
    <row r="1274" spans="1:62" x14ac:dyDescent="0.35">
      <c r="A1274" s="403">
        <v>7</v>
      </c>
      <c r="B1274" s="609" t="s">
        <v>1219</v>
      </c>
      <c r="C1274" s="613"/>
      <c r="D1274" s="604"/>
      <c r="E1274" s="604"/>
      <c r="F1274" s="604"/>
      <c r="G1274" s="403" t="str">
        <f t="shared" ref="G1274:G1280" si="377">G1273</f>
        <v>P</v>
      </c>
      <c r="H1274" s="403" t="s">
        <v>4325</v>
      </c>
      <c r="I1274" s="4"/>
      <c r="J1274" s="104"/>
      <c r="K1274" s="104"/>
      <c r="L1274" s="706"/>
      <c r="M1274" s="690"/>
      <c r="N1274" s="696"/>
      <c r="O1274" s="696"/>
      <c r="X1274" s="688"/>
      <c r="Y1274" s="891"/>
      <c r="Z1274" s="892"/>
      <c r="BJ1274" s="573" t="s">
        <v>4670</v>
      </c>
    </row>
    <row r="1275" spans="1:62" x14ac:dyDescent="0.35">
      <c r="A1275" s="403">
        <v>7</v>
      </c>
      <c r="B1275" s="609" t="s">
        <v>1219</v>
      </c>
      <c r="C1275" s="613"/>
      <c r="D1275" s="604" t="s">
        <v>270</v>
      </c>
      <c r="E1275" s="604"/>
      <c r="F1275" s="604"/>
      <c r="G1275" s="403" t="str">
        <f t="shared" si="377"/>
        <v>P</v>
      </c>
      <c r="H1275" s="403" t="s">
        <v>4325</v>
      </c>
      <c r="I1275" s="4"/>
      <c r="J1275" s="179" t="s">
        <v>270</v>
      </c>
      <c r="K1275" s="104"/>
      <c r="L1275" s="104" t="s">
        <v>1221</v>
      </c>
      <c r="M1275" s="43"/>
      <c r="N1275" s="85"/>
      <c r="O1275" s="85"/>
      <c r="X1275" s="39"/>
      <c r="Y1275" s="200" t="str">
        <f>IF(LEN('Ch7'!X511)=0,"None",'Ch7'!X511)</f>
        <v>None</v>
      </c>
      <c r="Z1275" s="563"/>
      <c r="AR1275" t="str">
        <f t="shared" ref="AR1275:AR1280" si="378">SUBSTITUTE(SUBSTITUTE(SUBSTITUTE("vnt"&amp;$B1275&amp;$C1275&amp;$D1275&amp;$E1275&amp;$F1275,".","_"),"(","_"),")","")</f>
        <v>vnt705_5_2_1</v>
      </c>
      <c r="AS1275">
        <f t="shared" ref="AS1275:AS1280" si="379">X1275</f>
        <v>0</v>
      </c>
      <c r="BJ1275" s="573" t="s">
        <v>4670</v>
      </c>
    </row>
    <row r="1276" spans="1:62" x14ac:dyDescent="0.35">
      <c r="A1276" s="403">
        <v>7</v>
      </c>
      <c r="B1276" s="609" t="s">
        <v>1219</v>
      </c>
      <c r="C1276" s="613"/>
      <c r="D1276" s="604" t="s">
        <v>272</v>
      </c>
      <c r="E1276" s="604"/>
      <c r="F1276" s="604"/>
      <c r="G1276" s="403" t="str">
        <f t="shared" si="377"/>
        <v>P</v>
      </c>
      <c r="H1276" s="403" t="s">
        <v>4325</v>
      </c>
      <c r="I1276" s="4"/>
      <c r="J1276" s="373" t="s">
        <v>272</v>
      </c>
      <c r="K1276" s="214"/>
      <c r="L1276" s="214" t="s">
        <v>1222</v>
      </c>
      <c r="M1276" s="43"/>
      <c r="N1276" s="85"/>
      <c r="O1276" s="85"/>
      <c r="X1276" s="39"/>
      <c r="Y1276" s="200" t="str">
        <f>IF(LEN('Ch7'!X512)=0,"None",'Ch7'!X512)</f>
        <v>None</v>
      </c>
      <c r="Z1276" s="563"/>
      <c r="AR1276" t="str">
        <f t="shared" si="378"/>
        <v>vnt705_5_2_2</v>
      </c>
      <c r="AS1276">
        <f t="shared" si="379"/>
        <v>0</v>
      </c>
      <c r="BJ1276" s="573" t="s">
        <v>4670</v>
      </c>
    </row>
    <row r="1277" spans="1:62" x14ac:dyDescent="0.35">
      <c r="A1277" s="403">
        <v>7</v>
      </c>
      <c r="B1277" s="609" t="s">
        <v>1219</v>
      </c>
      <c r="C1277" s="613"/>
      <c r="D1277" s="604" t="s">
        <v>274</v>
      </c>
      <c r="E1277" s="604"/>
      <c r="F1277" s="604"/>
      <c r="G1277" s="403" t="str">
        <f t="shared" si="377"/>
        <v>P</v>
      </c>
      <c r="H1277" s="403" t="s">
        <v>4325</v>
      </c>
      <c r="I1277" s="4"/>
      <c r="J1277" s="384" t="s">
        <v>274</v>
      </c>
      <c r="K1277" s="220"/>
      <c r="L1277" s="220" t="s">
        <v>1223</v>
      </c>
      <c r="M1277" s="43"/>
      <c r="N1277" s="85"/>
      <c r="O1277" s="85"/>
      <c r="X1277" s="39"/>
      <c r="Y1277" s="200" t="str">
        <f>IF(LEN('Ch7'!X513)=0,"None",'Ch7'!X513)</f>
        <v>None</v>
      </c>
      <c r="Z1277" s="563"/>
      <c r="AR1277" t="str">
        <f t="shared" si="378"/>
        <v>vnt705_5_2_3</v>
      </c>
      <c r="AS1277">
        <f t="shared" si="379"/>
        <v>0</v>
      </c>
      <c r="BJ1277" s="573" t="s">
        <v>4670</v>
      </c>
    </row>
    <row r="1278" spans="1:62" x14ac:dyDescent="0.35">
      <c r="A1278" s="403">
        <v>7</v>
      </c>
      <c r="B1278" s="609" t="s">
        <v>1219</v>
      </c>
      <c r="C1278" s="613"/>
      <c r="D1278" s="604" t="s">
        <v>283</v>
      </c>
      <c r="E1278" s="604"/>
      <c r="F1278" s="604"/>
      <c r="G1278" s="403" t="str">
        <f t="shared" si="377"/>
        <v>P</v>
      </c>
      <c r="H1278" s="403" t="s">
        <v>4325</v>
      </c>
      <c r="I1278" s="4"/>
      <c r="J1278" s="384" t="s">
        <v>283</v>
      </c>
      <c r="K1278" s="220"/>
      <c r="L1278" s="220" t="s">
        <v>1224</v>
      </c>
      <c r="M1278" s="43"/>
      <c r="N1278" s="85"/>
      <c r="O1278" s="85"/>
      <c r="X1278" s="39"/>
      <c r="Y1278" s="200" t="str">
        <f>IF(LEN('Ch7'!X514)=0,"None",'Ch7'!X514)</f>
        <v>None</v>
      </c>
      <c r="Z1278" s="563"/>
      <c r="AR1278" t="str">
        <f t="shared" si="378"/>
        <v>vnt705_5_2_4</v>
      </c>
      <c r="AS1278">
        <f t="shared" si="379"/>
        <v>0</v>
      </c>
      <c r="BJ1278" s="573" t="s">
        <v>4670</v>
      </c>
    </row>
    <row r="1279" spans="1:62" x14ac:dyDescent="0.35">
      <c r="A1279" s="403">
        <v>7</v>
      </c>
      <c r="B1279" s="609" t="s">
        <v>1219</v>
      </c>
      <c r="C1279" s="613"/>
      <c r="D1279" s="604" t="s">
        <v>289</v>
      </c>
      <c r="E1279" s="604"/>
      <c r="F1279" s="604"/>
      <c r="G1279" s="403" t="str">
        <f t="shared" si="377"/>
        <v>P</v>
      </c>
      <c r="H1279" s="403" t="s">
        <v>4325</v>
      </c>
      <c r="I1279" s="4"/>
      <c r="J1279" s="384" t="s">
        <v>289</v>
      </c>
      <c r="K1279" s="220"/>
      <c r="L1279" s="220" t="s">
        <v>1225</v>
      </c>
      <c r="M1279" s="43"/>
      <c r="N1279" s="85"/>
      <c r="O1279" s="85"/>
      <c r="X1279" s="39"/>
      <c r="Y1279" s="200" t="str">
        <f>IF(LEN('Ch7'!X515)=0,"None",'Ch7'!X515)</f>
        <v>None</v>
      </c>
      <c r="Z1279" s="563"/>
      <c r="AR1279" t="str">
        <f t="shared" si="378"/>
        <v>vnt705_5_2_5</v>
      </c>
      <c r="AS1279">
        <f t="shared" si="379"/>
        <v>0</v>
      </c>
      <c r="BJ1279" s="573" t="s">
        <v>4670</v>
      </c>
    </row>
    <row r="1280" spans="1:62" ht="15" thickBot="1" x14ac:dyDescent="0.4">
      <c r="A1280" s="403">
        <v>7</v>
      </c>
      <c r="B1280" s="609" t="s">
        <v>1219</v>
      </c>
      <c r="C1280" s="613"/>
      <c r="D1280" s="604" t="s">
        <v>291</v>
      </c>
      <c r="E1280" s="604"/>
      <c r="F1280" s="604"/>
      <c r="G1280" s="403" t="str">
        <f t="shared" si="377"/>
        <v>P</v>
      </c>
      <c r="H1280" s="403" t="s">
        <v>4325</v>
      </c>
      <c r="I1280" s="183"/>
      <c r="J1280" s="375" t="s">
        <v>291</v>
      </c>
      <c r="K1280" s="223"/>
      <c r="L1280" s="223" t="s">
        <v>1226</v>
      </c>
      <c r="M1280" s="270"/>
      <c r="N1280" s="184"/>
      <c r="O1280" s="184"/>
      <c r="P1280" s="58"/>
      <c r="Q1280" s="58"/>
      <c r="R1280" s="58"/>
      <c r="S1280" s="58"/>
      <c r="T1280" s="58"/>
      <c r="U1280" s="58"/>
      <c r="V1280" s="58"/>
      <c r="W1280" s="58"/>
      <c r="X1280" s="113"/>
      <c r="Y1280" s="201" t="str">
        <f>IF(LEN('Ch7'!X516)=0,"None",'Ch7'!X516)</f>
        <v>None</v>
      </c>
      <c r="Z1280" s="567"/>
      <c r="AR1280" t="str">
        <f t="shared" si="378"/>
        <v>vnt705_5_2_6</v>
      </c>
      <c r="AS1280">
        <f t="shared" si="379"/>
        <v>0</v>
      </c>
      <c r="BJ1280" s="573" t="s">
        <v>4670</v>
      </c>
    </row>
    <row r="1281" spans="1:62" ht="15" thickTop="1" x14ac:dyDescent="0.35">
      <c r="A1281" s="403">
        <v>7</v>
      </c>
      <c r="B1281" s="609">
        <v>705.6</v>
      </c>
      <c r="C1281" s="613"/>
      <c r="D1281" s="604"/>
      <c r="E1281" s="604"/>
      <c r="F1281" s="604"/>
      <c r="G1281" s="600" t="str">
        <f ca="1">IF(COUNTIF(G1282:G1329,"P")&gt;0,"P","")</f>
        <v>P</v>
      </c>
      <c r="H1281" s="403" t="s">
        <v>4323</v>
      </c>
      <c r="I1281" s="33">
        <v>705.6</v>
      </c>
      <c r="J1281" s="104"/>
      <c r="K1281" s="104"/>
      <c r="L1281" s="110" t="s">
        <v>1227</v>
      </c>
      <c r="M1281" s="43"/>
      <c r="N1281" s="85"/>
      <c r="O1281" s="85"/>
      <c r="Z1281" s="543"/>
      <c r="BJ1281" s="573" t="s">
        <v>4670</v>
      </c>
    </row>
    <row r="1282" spans="1:62" x14ac:dyDescent="0.35">
      <c r="A1282" s="403">
        <v>7</v>
      </c>
      <c r="B1282" s="609" t="s">
        <v>1228</v>
      </c>
      <c r="C1282" s="613"/>
      <c r="D1282" s="604"/>
      <c r="E1282" s="604"/>
      <c r="F1282" s="604"/>
      <c r="G1282" s="403" t="str">
        <f>IF(N1282&gt;0,"P","")</f>
        <v>P</v>
      </c>
      <c r="H1282" s="403" t="s">
        <v>4323</v>
      </c>
      <c r="I1282" s="34" t="s">
        <v>1228</v>
      </c>
      <c r="J1282" s="104"/>
      <c r="K1282" s="104"/>
      <c r="L1282" s="706" t="s">
        <v>1229</v>
      </c>
      <c r="M1282" s="690">
        <v>3</v>
      </c>
      <c r="N1282" s="696">
        <f>'Ch7'!O518</f>
        <v>3</v>
      </c>
      <c r="O1282" s="696">
        <f>M1282*S1282</f>
        <v>3</v>
      </c>
      <c r="P1282" t="b">
        <v>1</v>
      </c>
      <c r="Q1282" t="b">
        <v>1</v>
      </c>
      <c r="R1282" t="b">
        <v>0</v>
      </c>
      <c r="S1282" t="b">
        <f>LEN(W776)&gt;0</f>
        <v>1</v>
      </c>
      <c r="T1282" t="b">
        <v>0</v>
      </c>
      <c r="W1282" s="763" t="s">
        <v>3865</v>
      </c>
      <c r="X1282" s="688"/>
      <c r="Y1282" s="891" t="str">
        <f>IF(LEN('Ch7'!X518)=0,"None",'Ch7'!X518)</f>
        <v>None</v>
      </c>
      <c r="Z1282" s="892"/>
      <c r="AL1282" t="str">
        <f t="shared" ref="AL1282" si="380">SUBSTITUTE(SUBSTITUTE(SUBSTITUTE("vpa"&amp;$B1282&amp;$C1282&amp;$D1282&amp;$E1282&amp;$F1282,".","_"),"(","_"),")","")</f>
        <v>vpa705_6_1</v>
      </c>
      <c r="AM1282">
        <f>M1282</f>
        <v>3</v>
      </c>
      <c r="AN1282" t="str">
        <f>SUBSTITUTE(SUBSTITUTE(SUBSTITUTE("vpc"&amp;$B1282&amp;$C1282&amp;$D1282&amp;$E1282&amp;$F1282,".","_"),"(","_"),")","")</f>
        <v>vpc705_6_1</v>
      </c>
      <c r="AO1282">
        <f>O1282</f>
        <v>3</v>
      </c>
      <c r="AR1282" t="str">
        <f>SUBSTITUTE(SUBSTITUTE(SUBSTITUTE("vnt"&amp;$B1282&amp;$C1282&amp;$D1282&amp;$E1282&amp;$F1282,".","_"),"(","_"),")","")</f>
        <v>vnt705_6_1</v>
      </c>
      <c r="AS1282">
        <f>X1282</f>
        <v>0</v>
      </c>
      <c r="BJ1282" s="573" t="s">
        <v>4670</v>
      </c>
    </row>
    <row r="1283" spans="1:62" x14ac:dyDescent="0.35">
      <c r="A1283" s="403">
        <v>7</v>
      </c>
      <c r="B1283" s="609" t="s">
        <v>1228</v>
      </c>
      <c r="C1283" s="613"/>
      <c r="D1283" s="604"/>
      <c r="E1283" s="604"/>
      <c r="F1283" s="604"/>
      <c r="G1283" s="403" t="str">
        <f t="shared" ref="G1283:G1287" si="381">G1282</f>
        <v>P</v>
      </c>
      <c r="H1283" s="403" t="s">
        <v>4323</v>
      </c>
      <c r="I1283" s="4"/>
      <c r="J1283" s="104"/>
      <c r="K1283" s="104"/>
      <c r="L1283" s="706"/>
      <c r="M1283" s="690"/>
      <c r="N1283" s="696"/>
      <c r="O1283" s="696"/>
      <c r="W1283" s="763"/>
      <c r="X1283" s="688"/>
      <c r="Y1283" s="891"/>
      <c r="Z1283" s="892"/>
      <c r="BJ1283" s="573" t="s">
        <v>4670</v>
      </c>
    </row>
    <row r="1284" spans="1:62" x14ac:dyDescent="0.35">
      <c r="A1284" s="403">
        <v>7</v>
      </c>
      <c r="B1284" s="609" t="s">
        <v>1228</v>
      </c>
      <c r="C1284" s="613"/>
      <c r="D1284" s="604"/>
      <c r="E1284" s="604"/>
      <c r="F1284" s="604"/>
      <c r="G1284" s="403" t="str">
        <f t="shared" si="381"/>
        <v>P</v>
      </c>
      <c r="H1284" s="403" t="s">
        <v>4323</v>
      </c>
      <c r="I1284" s="4"/>
      <c r="J1284" s="104"/>
      <c r="K1284" s="104"/>
      <c r="L1284" s="706"/>
      <c r="M1284" s="690"/>
      <c r="N1284" s="696"/>
      <c r="O1284" s="696"/>
      <c r="W1284" s="763"/>
      <c r="X1284" s="688"/>
      <c r="Y1284" s="891"/>
      <c r="Z1284" s="892"/>
      <c r="BJ1284" s="573" t="s">
        <v>4670</v>
      </c>
    </row>
    <row r="1285" spans="1:62" x14ac:dyDescent="0.35">
      <c r="A1285" s="403">
        <v>7</v>
      </c>
      <c r="B1285" s="609" t="s">
        <v>1228</v>
      </c>
      <c r="C1285" s="613"/>
      <c r="D1285" s="604"/>
      <c r="E1285" s="604"/>
      <c r="F1285" s="604"/>
      <c r="G1285" s="403" t="str">
        <f t="shared" si="381"/>
        <v>P</v>
      </c>
      <c r="H1285" s="403" t="s">
        <v>4323</v>
      </c>
      <c r="I1285" s="4"/>
      <c r="J1285" s="104"/>
      <c r="K1285" s="104"/>
      <c r="L1285" s="706"/>
      <c r="M1285" s="690"/>
      <c r="N1285" s="696"/>
      <c r="O1285" s="696"/>
      <c r="W1285" s="763"/>
      <c r="X1285" s="688"/>
      <c r="Y1285" s="891"/>
      <c r="Z1285" s="892"/>
      <c r="BJ1285" s="573" t="s">
        <v>4670</v>
      </c>
    </row>
    <row r="1286" spans="1:62" x14ac:dyDescent="0.35">
      <c r="A1286" s="403">
        <v>7</v>
      </c>
      <c r="B1286" s="609" t="s">
        <v>1228</v>
      </c>
      <c r="C1286" s="613"/>
      <c r="D1286" s="604"/>
      <c r="E1286" s="604"/>
      <c r="F1286" s="604"/>
      <c r="G1286" s="403" t="str">
        <f t="shared" si="381"/>
        <v>P</v>
      </c>
      <c r="H1286" s="403" t="s">
        <v>4323</v>
      </c>
      <c r="I1286" s="4"/>
      <c r="J1286" s="104"/>
      <c r="K1286" s="104"/>
      <c r="L1286" s="706"/>
      <c r="M1286" s="690"/>
      <c r="N1286" s="696"/>
      <c r="O1286" s="696"/>
      <c r="W1286" s="763"/>
      <c r="X1286" s="688"/>
      <c r="Y1286" s="891"/>
      <c r="Z1286" s="892"/>
      <c r="BJ1286" s="573" t="s">
        <v>4670</v>
      </c>
    </row>
    <row r="1287" spans="1:62" x14ac:dyDescent="0.35">
      <c r="A1287" s="403">
        <v>7</v>
      </c>
      <c r="B1287" s="609" t="s">
        <v>1228</v>
      </c>
      <c r="C1287" s="613"/>
      <c r="D1287" s="604"/>
      <c r="E1287" s="604"/>
      <c r="F1287" s="604"/>
      <c r="G1287" s="403" t="str">
        <f t="shared" si="381"/>
        <v>P</v>
      </c>
      <c r="H1287" s="403" t="s">
        <v>4323</v>
      </c>
      <c r="I1287" s="155"/>
      <c r="J1287" s="214"/>
      <c r="K1287" s="214"/>
      <c r="L1287" s="739"/>
      <c r="M1287" s="691"/>
      <c r="N1287" s="697"/>
      <c r="O1287" s="697"/>
      <c r="P1287" s="119"/>
      <c r="Q1287" s="119"/>
      <c r="R1287" s="119"/>
      <c r="S1287" s="119"/>
      <c r="T1287" s="119"/>
      <c r="U1287" s="119"/>
      <c r="V1287" s="119"/>
      <c r="W1287" s="764"/>
      <c r="X1287" s="688"/>
      <c r="Y1287" s="891"/>
      <c r="Z1287" s="892"/>
      <c r="BJ1287" s="573" t="s">
        <v>4670</v>
      </c>
    </row>
    <row r="1288" spans="1:62" x14ac:dyDescent="0.35">
      <c r="A1288" s="403">
        <v>7</v>
      </c>
      <c r="B1288" s="609" t="s">
        <v>3863</v>
      </c>
      <c r="C1288" s="613"/>
      <c r="D1288" s="604"/>
      <c r="E1288" s="604"/>
      <c r="F1288" s="604"/>
      <c r="G1288" s="600" t="str">
        <f ca="1">IF(COUNTIF(G1295:G1309,"P")&gt;0,"P","")</f>
        <v>P</v>
      </c>
      <c r="H1288" s="403" t="s">
        <v>4325</v>
      </c>
      <c r="I1288" s="34" t="s">
        <v>3863</v>
      </c>
      <c r="J1288" s="104"/>
      <c r="K1288" s="104"/>
      <c r="L1288" s="110" t="s">
        <v>3864</v>
      </c>
      <c r="M1288" s="43"/>
      <c r="N1288" s="85"/>
      <c r="O1288" s="85"/>
      <c r="Z1288" s="543"/>
      <c r="BJ1288" s="573" t="s">
        <v>4670</v>
      </c>
    </row>
    <row r="1289" spans="1:62" x14ac:dyDescent="0.35">
      <c r="A1289" s="403">
        <v>7</v>
      </c>
      <c r="B1289" s="613" t="s">
        <v>1231</v>
      </c>
      <c r="C1289" s="613"/>
      <c r="D1289" s="604"/>
      <c r="E1289" s="604"/>
      <c r="F1289" s="604"/>
      <c r="G1289" s="600" t="str">
        <f>IF(COUNTIF(G1295:G1298,"P")&gt;0,"P","")</f>
        <v/>
      </c>
      <c r="H1289" s="403" t="s">
        <v>4325</v>
      </c>
      <c r="I1289" s="34" t="s">
        <v>1231</v>
      </c>
      <c r="J1289" s="104"/>
      <c r="K1289" s="104"/>
      <c r="L1289" s="706" t="s">
        <v>1232</v>
      </c>
      <c r="M1289" s="43"/>
      <c r="N1289" s="85"/>
      <c r="O1289" s="85"/>
      <c r="Z1289" s="543"/>
      <c r="BJ1289" s="573" t="s">
        <v>4670</v>
      </c>
    </row>
    <row r="1290" spans="1:62" x14ac:dyDescent="0.35">
      <c r="A1290" s="403">
        <v>7</v>
      </c>
      <c r="B1290" s="613" t="s">
        <v>1231</v>
      </c>
      <c r="C1290" s="613"/>
      <c r="D1290" s="604"/>
      <c r="E1290" s="604"/>
      <c r="F1290" s="604"/>
      <c r="G1290" s="403" t="str">
        <f t="shared" ref="G1290:G1294" si="382">G1289</f>
        <v/>
      </c>
      <c r="H1290" s="403" t="s">
        <v>4325</v>
      </c>
      <c r="I1290" s="4"/>
      <c r="J1290" s="104"/>
      <c r="K1290" s="104"/>
      <c r="L1290" s="706"/>
      <c r="M1290" s="43"/>
      <c r="N1290" s="85"/>
      <c r="O1290" s="85"/>
      <c r="Z1290" s="543"/>
      <c r="BJ1290" s="573" t="s">
        <v>4670</v>
      </c>
    </row>
    <row r="1291" spans="1:62" x14ac:dyDescent="0.35">
      <c r="A1291" s="403">
        <v>7</v>
      </c>
      <c r="B1291" s="613" t="s">
        <v>1231</v>
      </c>
      <c r="C1291" s="613"/>
      <c r="D1291" s="604"/>
      <c r="E1291" s="604"/>
      <c r="F1291" s="604"/>
      <c r="G1291" s="403" t="str">
        <f t="shared" si="382"/>
        <v/>
      </c>
      <c r="H1291" s="403" t="s">
        <v>4325</v>
      </c>
      <c r="I1291" s="4"/>
      <c r="J1291" s="104"/>
      <c r="K1291" s="104"/>
      <c r="L1291" s="706"/>
      <c r="M1291" s="43"/>
      <c r="N1291" s="85"/>
      <c r="O1291" s="85"/>
      <c r="Z1291" s="543"/>
      <c r="BJ1291" s="573" t="s">
        <v>4670</v>
      </c>
    </row>
    <row r="1292" spans="1:62" x14ac:dyDescent="0.35">
      <c r="A1292" s="403">
        <v>7</v>
      </c>
      <c r="B1292" s="613" t="s">
        <v>1231</v>
      </c>
      <c r="C1292" s="613"/>
      <c r="D1292" s="604"/>
      <c r="E1292" s="604"/>
      <c r="F1292" s="604"/>
      <c r="G1292" s="403" t="str">
        <f t="shared" si="382"/>
        <v/>
      </c>
      <c r="H1292" s="403" t="s">
        <v>4325</v>
      </c>
      <c r="I1292" s="4"/>
      <c r="J1292" s="104"/>
      <c r="K1292" s="104"/>
      <c r="L1292" s="752" t="s">
        <v>1230</v>
      </c>
      <c r="M1292" s="43"/>
      <c r="N1292" s="85"/>
      <c r="O1292" s="85"/>
      <c r="Z1292" s="543"/>
      <c r="BJ1292" s="573" t="s">
        <v>4670</v>
      </c>
    </row>
    <row r="1293" spans="1:62" x14ac:dyDescent="0.35">
      <c r="A1293" s="403">
        <v>7</v>
      </c>
      <c r="B1293" s="613" t="s">
        <v>1231</v>
      </c>
      <c r="C1293" s="613"/>
      <c r="D1293" s="604"/>
      <c r="E1293" s="604"/>
      <c r="F1293" s="604"/>
      <c r="G1293" s="403" t="str">
        <f t="shared" si="382"/>
        <v/>
      </c>
      <c r="H1293" s="403" t="s">
        <v>4325</v>
      </c>
      <c r="I1293" s="4"/>
      <c r="J1293" s="104"/>
      <c r="K1293" s="104"/>
      <c r="L1293" s="752"/>
      <c r="M1293" s="43"/>
      <c r="N1293" s="85"/>
      <c r="O1293" s="85"/>
      <c r="Z1293" s="543"/>
      <c r="BJ1293" s="573" t="s">
        <v>4670</v>
      </c>
    </row>
    <row r="1294" spans="1:62" x14ac:dyDescent="0.35">
      <c r="A1294" s="403">
        <v>7</v>
      </c>
      <c r="B1294" s="613" t="s">
        <v>1231</v>
      </c>
      <c r="C1294" s="613"/>
      <c r="D1294" s="604"/>
      <c r="E1294" s="604"/>
      <c r="F1294" s="604"/>
      <c r="G1294" s="403" t="str">
        <f t="shared" si="382"/>
        <v/>
      </c>
      <c r="H1294" s="403" t="s">
        <v>4325</v>
      </c>
      <c r="I1294" s="4"/>
      <c r="J1294" s="104"/>
      <c r="K1294" s="104"/>
      <c r="L1294" s="107" t="s">
        <v>3866</v>
      </c>
      <c r="M1294" s="43"/>
      <c r="N1294" s="85"/>
      <c r="O1294" s="85"/>
      <c r="W1294" t="s">
        <v>4024</v>
      </c>
      <c r="Z1294" s="543"/>
      <c r="BJ1294" s="573" t="s">
        <v>4670</v>
      </c>
    </row>
    <row r="1295" spans="1:62" x14ac:dyDescent="0.35">
      <c r="A1295" s="403">
        <v>7</v>
      </c>
      <c r="B1295" s="613" t="s">
        <v>1231</v>
      </c>
      <c r="C1295" s="613"/>
      <c r="D1295" s="604" t="s">
        <v>270</v>
      </c>
      <c r="E1295" s="604" t="s">
        <v>4692</v>
      </c>
      <c r="F1295" s="604"/>
      <c r="G1295" s="403" t="str">
        <f>IF(N1295&gt;0,"P","")</f>
        <v/>
      </c>
      <c r="H1295" s="616" t="s">
        <v>4325</v>
      </c>
      <c r="I1295" s="4"/>
      <c r="J1295" s="179" t="s">
        <v>270</v>
      </c>
      <c r="K1295" s="104"/>
      <c r="L1295" s="104" t="s">
        <v>1233</v>
      </c>
      <c r="M1295" s="690">
        <v>3</v>
      </c>
      <c r="N1295" s="696">
        <f>'Ch7'!O531</f>
        <v>0</v>
      </c>
      <c r="O1295" s="696">
        <f>IF(LEN(W1295)&gt;0,M1295,0)</f>
        <v>0</v>
      </c>
      <c r="P1295" t="b">
        <v>0</v>
      </c>
      <c r="Q1295" t="b">
        <v>1</v>
      </c>
      <c r="R1295" t="b">
        <v>0</v>
      </c>
      <c r="S1295" t="b">
        <f ca="1">AND(OR(S821,AND(OR(AND(BF781=2,BG781="Dry"),BI781="Tropical"),S821,O958&gt;0)), LEN(W1297)&lt;=0)</f>
        <v>0</v>
      </c>
      <c r="T1295" t="b">
        <f ca="1">AND(NOT(S1295),LEN(W1295)&gt;0)</f>
        <v>0</v>
      </c>
      <c r="W1295" s="284"/>
      <c r="X1295" s="688"/>
      <c r="Y1295" s="891" t="str">
        <f>IF(LEN('Ch7'!X531)=0,"None",'Ch7'!X531)</f>
        <v>None</v>
      </c>
      <c r="Z1295" s="688"/>
      <c r="AC1295" t="b">
        <f ca="1">OR(AD1295:AE1295)</f>
        <v>0</v>
      </c>
      <c r="AD1295" t="b">
        <f ca="1">T1295</f>
        <v>0</v>
      </c>
      <c r="AL1295" t="str">
        <f t="shared" ref="AL1295:AL1298" si="383">SUBSTITUTE(SUBSTITUTE(SUBSTITUTE("vpa"&amp;$B1295&amp;$C1295&amp;$D1295&amp;$E1295&amp;$F1295,".","_"),"(","_"),")","")</f>
        <v>vpa705_6_2_1_1_1</v>
      </c>
      <c r="AM1295">
        <f>M1295</f>
        <v>3</v>
      </c>
      <c r="AN1295" t="str">
        <f t="shared" ref="AN1295:AN1298" si="384">SUBSTITUTE(SUBSTITUTE(SUBSTITUTE("vpc"&amp;$B1295&amp;$C1295&amp;$D1295&amp;$E1295&amp;$F1295,".","_"),"(","_"),")","")</f>
        <v>vpc705_6_2_1_1_1</v>
      </c>
      <c r="AO1295">
        <f>O1295</f>
        <v>0</v>
      </c>
      <c r="AP1295" t="str">
        <f t="shared" ref="AP1295:AP1298" si="385">SUBSTITUTE(SUBSTITUTE(SUBSTITUTE("vch"&amp;$B1295&amp;$C1295&amp;$D1295&amp;$E1295&amp;$F1295,".","_"),"(","_"),")","")</f>
        <v>vch705_6_2_1_1_1</v>
      </c>
      <c r="AQ1295" s="314">
        <f>W1295</f>
        <v>0</v>
      </c>
      <c r="AR1295" t="str">
        <f t="shared" ref="AR1295:AR1298" si="386">SUBSTITUTE(SUBSTITUTE(SUBSTITUTE("vnt"&amp;$B1295&amp;$C1295&amp;$D1295&amp;$E1295&amp;$F1295,".","_"),"(","_"),")","")</f>
        <v>vnt705_6_2_1_1_1</v>
      </c>
      <c r="AS1295">
        <f>X1295</f>
        <v>0</v>
      </c>
      <c r="BJ1295" s="573" t="s">
        <v>4670</v>
      </c>
    </row>
    <row r="1296" spans="1:62" x14ac:dyDescent="0.35">
      <c r="A1296" s="403">
        <v>7</v>
      </c>
      <c r="B1296" s="613" t="s">
        <v>1231</v>
      </c>
      <c r="C1296" s="613"/>
      <c r="D1296" s="604" t="s">
        <v>270</v>
      </c>
      <c r="E1296" s="604"/>
      <c r="F1296" s="604"/>
      <c r="G1296" s="403" t="str">
        <f t="shared" ref="G1296:G1297" si="387">G1295</f>
        <v/>
      </c>
      <c r="H1296" s="616" t="s">
        <v>4325</v>
      </c>
      <c r="I1296" s="4"/>
      <c r="J1296" s="179"/>
      <c r="K1296" s="104"/>
      <c r="L1296" s="104"/>
      <c r="M1296" s="690"/>
      <c r="N1296" s="696"/>
      <c r="O1296" s="696"/>
      <c r="W1296" t="s">
        <v>4805</v>
      </c>
      <c r="X1296" s="688"/>
      <c r="Y1296" s="891"/>
      <c r="Z1296" s="688"/>
      <c r="BJ1296" s="573"/>
    </row>
    <row r="1297" spans="1:62" x14ac:dyDescent="0.35">
      <c r="A1297" s="403">
        <v>7</v>
      </c>
      <c r="B1297" s="613" t="s">
        <v>1231</v>
      </c>
      <c r="C1297" s="613"/>
      <c r="D1297" s="604" t="s">
        <v>270</v>
      </c>
      <c r="E1297" s="604" t="s">
        <v>4693</v>
      </c>
      <c r="F1297" s="604"/>
      <c r="G1297" s="403" t="str">
        <f t="shared" si="387"/>
        <v/>
      </c>
      <c r="H1297" s="616" t="s">
        <v>4325</v>
      </c>
      <c r="I1297" s="4"/>
      <c r="J1297" s="373"/>
      <c r="K1297" s="214"/>
      <c r="L1297" s="214"/>
      <c r="M1297" s="691"/>
      <c r="N1297" s="697"/>
      <c r="O1297" s="697"/>
      <c r="P1297" t="b">
        <v>0</v>
      </c>
      <c r="Q1297" t="b">
        <v>1</v>
      </c>
      <c r="R1297" t="b">
        <v>0</v>
      </c>
      <c r="S1297" t="b">
        <f ca="1">AND(OR(S821,AND(OR(AND(BF781=2,BG781="Dry"),BI781="Tropical"),S821,O958&gt;0)),LEN(W1295)=0)</f>
        <v>0</v>
      </c>
      <c r="T1297" t="b">
        <f ca="1">AND(NOT(S1297),LEN(W1297)&gt;0)</f>
        <v>0</v>
      </c>
      <c r="W1297" s="284"/>
      <c r="X1297" s="688"/>
      <c r="Y1297" s="891"/>
      <c r="Z1297" s="688"/>
      <c r="AC1297" t="b">
        <f ca="1">OR(AD1297:AE1297)</f>
        <v>0</v>
      </c>
      <c r="AD1297" t="b">
        <f ca="1">T1297</f>
        <v>0</v>
      </c>
      <c r="AP1297" t="str">
        <f t="shared" si="385"/>
        <v>vch705_6_2_1_1_2</v>
      </c>
      <c r="AQ1297" s="314">
        <f>W1297</f>
        <v>0</v>
      </c>
      <c r="BJ1297" s="573"/>
    </row>
    <row r="1298" spans="1:62" x14ac:dyDescent="0.35">
      <c r="A1298" s="403">
        <v>7</v>
      </c>
      <c r="B1298" s="613" t="s">
        <v>1231</v>
      </c>
      <c r="C1298" s="613"/>
      <c r="D1298" s="604" t="s">
        <v>272</v>
      </c>
      <c r="E1298" s="604"/>
      <c r="F1298" s="604"/>
      <c r="G1298" s="403" t="str">
        <f>IF(N1298&gt;0,"P","")</f>
        <v/>
      </c>
      <c r="H1298" s="403" t="s">
        <v>4325</v>
      </c>
      <c r="I1298" s="4"/>
      <c r="J1298" s="179" t="s">
        <v>272</v>
      </c>
      <c r="K1298" s="104"/>
      <c r="L1298" s="104" t="s">
        <v>1234</v>
      </c>
      <c r="M1298" s="43">
        <v>5</v>
      </c>
      <c r="N1298" s="85">
        <f>'Ch7'!O534</f>
        <v>0</v>
      </c>
      <c r="O1298" s="85">
        <f>M1298*S1298*W1298</f>
        <v>0</v>
      </c>
      <c r="P1298" t="b">
        <v>0</v>
      </c>
      <c r="Q1298" t="b">
        <v>1</v>
      </c>
      <c r="R1298" t="b">
        <v>0</v>
      </c>
      <c r="S1298" t="b">
        <f>O1295&gt;0</f>
        <v>0</v>
      </c>
      <c r="T1298" t="b">
        <f>AND(NOT(S1298),W1298=TRUE)</f>
        <v>0</v>
      </c>
      <c r="W1298" s="17"/>
      <c r="X1298" s="698"/>
      <c r="Y1298" s="891" t="str">
        <f>IF(LEN('Ch7'!X534)=0,"None",'Ch7'!X534)</f>
        <v>None</v>
      </c>
      <c r="Z1298" s="892"/>
      <c r="AC1298" t="b">
        <f>OR(AD1298:AE1298)</f>
        <v>0</v>
      </c>
      <c r="AD1298" t="b">
        <f>T1298</f>
        <v>0</v>
      </c>
      <c r="AE1298" t="b">
        <f>AND(W1298=TRUE,LEN(X1298)=0)</f>
        <v>0</v>
      </c>
      <c r="AF1298" t="b">
        <f>AND(AE1298,NOT(Q1298))</f>
        <v>0</v>
      </c>
      <c r="AL1298" t="str">
        <f t="shared" si="383"/>
        <v>vpa705_6_2_1_2</v>
      </c>
      <c r="AM1298">
        <f>M1298</f>
        <v>5</v>
      </c>
      <c r="AN1298" t="str">
        <f t="shared" si="384"/>
        <v>vpc705_6_2_1_2</v>
      </c>
      <c r="AO1298">
        <f>O1298</f>
        <v>0</v>
      </c>
      <c r="AP1298" t="str">
        <f t="shared" si="385"/>
        <v>vch705_6_2_1_2</v>
      </c>
      <c r="AQ1298">
        <f>W1298</f>
        <v>0</v>
      </c>
      <c r="AR1298" t="str">
        <f t="shared" si="386"/>
        <v>vnt705_6_2_1_2</v>
      </c>
      <c r="AS1298">
        <f>X1298</f>
        <v>0</v>
      </c>
      <c r="BJ1298" s="573" t="s">
        <v>4670</v>
      </c>
    </row>
    <row r="1299" spans="1:62" x14ac:dyDescent="0.35">
      <c r="A1299" s="403">
        <v>7</v>
      </c>
      <c r="B1299" s="613" t="s">
        <v>1231</v>
      </c>
      <c r="C1299" s="613"/>
      <c r="D1299" s="604" t="s">
        <v>272</v>
      </c>
      <c r="E1299" s="604"/>
      <c r="F1299" s="604"/>
      <c r="G1299" s="403" t="str">
        <f t="shared" ref="G1299:G1300" si="388">G1298</f>
        <v/>
      </c>
      <c r="H1299" s="403" t="s">
        <v>4325</v>
      </c>
      <c r="I1299" s="4"/>
      <c r="J1299" s="179"/>
      <c r="K1299" s="104"/>
      <c r="L1299" s="714" t="s">
        <v>3867</v>
      </c>
      <c r="M1299" s="43"/>
      <c r="N1299" s="85"/>
      <c r="O1299" s="85"/>
      <c r="X1299" s="699"/>
      <c r="Y1299" s="891"/>
      <c r="Z1299" s="892"/>
      <c r="BJ1299" s="573" t="s">
        <v>4670</v>
      </c>
    </row>
    <row r="1300" spans="1:62" x14ac:dyDescent="0.35">
      <c r="A1300" s="403">
        <v>7</v>
      </c>
      <c r="B1300" s="613" t="s">
        <v>1231</v>
      </c>
      <c r="C1300" s="613"/>
      <c r="D1300" s="604" t="s">
        <v>272</v>
      </c>
      <c r="E1300" s="604"/>
      <c r="F1300" s="604"/>
      <c r="G1300" s="403" t="str">
        <f t="shared" si="388"/>
        <v/>
      </c>
      <c r="H1300" s="403" t="s">
        <v>4325</v>
      </c>
      <c r="I1300" s="155"/>
      <c r="J1300" s="373"/>
      <c r="K1300" s="214"/>
      <c r="L1300" s="755"/>
      <c r="M1300" s="43"/>
      <c r="N1300" s="85"/>
      <c r="O1300" s="85"/>
      <c r="X1300" s="700"/>
      <c r="Y1300" s="891"/>
      <c r="Z1300" s="892"/>
      <c r="BJ1300" s="573" t="s">
        <v>4670</v>
      </c>
    </row>
    <row r="1301" spans="1:62" x14ac:dyDescent="0.35">
      <c r="A1301" s="403">
        <v>7</v>
      </c>
      <c r="B1301" s="609" t="s">
        <v>1235</v>
      </c>
      <c r="C1301" s="613"/>
      <c r="D1301" s="604"/>
      <c r="E1301" s="604"/>
      <c r="F1301" s="604"/>
      <c r="G1301" s="403" t="str">
        <f>IF(N1301&gt;0,"P","")</f>
        <v/>
      </c>
      <c r="H1301" s="403" t="s">
        <v>4325</v>
      </c>
      <c r="I1301" s="34" t="s">
        <v>1235</v>
      </c>
      <c r="J1301" s="104"/>
      <c r="K1301" s="104"/>
      <c r="L1301" s="706" t="s">
        <v>1236</v>
      </c>
      <c r="M1301" s="690">
        <v>5</v>
      </c>
      <c r="N1301" s="696">
        <f>'Ch7'!O537</f>
        <v>0</v>
      </c>
      <c r="O1301" s="696">
        <f>M1301*S1301*W1301</f>
        <v>0</v>
      </c>
      <c r="P1301" t="b">
        <v>0</v>
      </c>
      <c r="Q1301" t="b">
        <v>1</v>
      </c>
      <c r="R1301" t="b">
        <v>0</v>
      </c>
      <c r="S1301" t="b">
        <v>1</v>
      </c>
      <c r="T1301" t="b">
        <v>0</v>
      </c>
      <c r="W1301" s="17"/>
      <c r="X1301" s="688"/>
      <c r="Y1301" s="891" t="str">
        <f>IF(LEN('Ch7'!X537)=0,"None",'Ch7'!X537)</f>
        <v>None</v>
      </c>
      <c r="Z1301" s="892"/>
      <c r="AC1301" t="b">
        <f>OR(AD1301:AE1301)</f>
        <v>0</v>
      </c>
      <c r="AD1301" t="b">
        <f>T1301</f>
        <v>0</v>
      </c>
      <c r="AE1301" t="b">
        <f>AND(W1301=TRUE,LEN(X1301)=0)</f>
        <v>0</v>
      </c>
      <c r="AF1301" t="b">
        <f>AND(AE1301,NOT(Q1301))</f>
        <v>0</v>
      </c>
      <c r="AL1301" t="str">
        <f t="shared" ref="AL1301" si="389">SUBSTITUTE(SUBSTITUTE(SUBSTITUTE("vpa"&amp;$B1301&amp;$C1301&amp;$D1301&amp;$E1301&amp;$F1301,".","_"),"(","_"),")","")</f>
        <v>vpa705_6_2_2</v>
      </c>
      <c r="AM1301">
        <f>M1301</f>
        <v>5</v>
      </c>
      <c r="AN1301" t="str">
        <f>SUBSTITUTE(SUBSTITUTE(SUBSTITUTE("vpc"&amp;$B1301&amp;$C1301&amp;$D1301&amp;$E1301&amp;$F1301,".","_"),"(","_"),")","")</f>
        <v>vpc705_6_2_2</v>
      </c>
      <c r="AO1301">
        <f>O1301</f>
        <v>0</v>
      </c>
      <c r="AP1301" t="str">
        <f>SUBSTITUTE(SUBSTITUTE(SUBSTITUTE("vch"&amp;$B1301&amp;$C1301&amp;$D1301&amp;$E1301&amp;$F1301,".","_"),"(","_"),")","")</f>
        <v>vch705_6_2_2</v>
      </c>
      <c r="AQ1301">
        <f>W1301</f>
        <v>0</v>
      </c>
      <c r="AR1301" t="str">
        <f>SUBSTITUTE(SUBSTITUTE(SUBSTITUTE("vnt"&amp;$B1301&amp;$C1301&amp;$D1301&amp;$E1301&amp;$F1301,".","_"),"(","_"),")","")</f>
        <v>vnt705_6_2_2</v>
      </c>
      <c r="AS1301">
        <f>X1301</f>
        <v>0</v>
      </c>
      <c r="BJ1301" s="573" t="s">
        <v>4670</v>
      </c>
    </row>
    <row r="1302" spans="1:62" x14ac:dyDescent="0.35">
      <c r="A1302" s="403">
        <v>7</v>
      </c>
      <c r="B1302" s="609" t="s">
        <v>1235</v>
      </c>
      <c r="C1302" s="613"/>
      <c r="D1302" s="604"/>
      <c r="E1302" s="604"/>
      <c r="F1302" s="604"/>
      <c r="G1302" s="403" t="str">
        <f t="shared" ref="G1302:G1308" si="390">G1301</f>
        <v/>
      </c>
      <c r="H1302" s="403" t="s">
        <v>4325</v>
      </c>
      <c r="I1302" s="4"/>
      <c r="J1302" s="104"/>
      <c r="K1302" s="104"/>
      <c r="L1302" s="706"/>
      <c r="M1302" s="690"/>
      <c r="N1302" s="696"/>
      <c r="O1302" s="696"/>
      <c r="X1302" s="688"/>
      <c r="Y1302" s="891"/>
      <c r="Z1302" s="892"/>
      <c r="BJ1302" s="573" t="s">
        <v>4670</v>
      </c>
    </row>
    <row r="1303" spans="1:62" x14ac:dyDescent="0.35">
      <c r="A1303" s="403">
        <v>7</v>
      </c>
      <c r="B1303" s="609" t="s">
        <v>1235</v>
      </c>
      <c r="C1303" s="613"/>
      <c r="D1303" s="604"/>
      <c r="E1303" s="604"/>
      <c r="F1303" s="604"/>
      <c r="G1303" s="403" t="str">
        <f t="shared" si="390"/>
        <v/>
      </c>
      <c r="H1303" s="403" t="s">
        <v>4325</v>
      </c>
      <c r="I1303" s="4"/>
      <c r="J1303" s="104"/>
      <c r="K1303" s="104"/>
      <c r="L1303" s="706"/>
      <c r="M1303" s="690"/>
      <c r="N1303" s="696"/>
      <c r="O1303" s="696"/>
      <c r="X1303" s="688"/>
      <c r="Y1303" s="891"/>
      <c r="Z1303" s="892"/>
      <c r="BJ1303" s="573" t="s">
        <v>4670</v>
      </c>
    </row>
    <row r="1304" spans="1:62" x14ac:dyDescent="0.35">
      <c r="A1304" s="403">
        <v>7</v>
      </c>
      <c r="B1304" s="609" t="s">
        <v>1235</v>
      </c>
      <c r="C1304" s="613"/>
      <c r="D1304" s="604" t="s">
        <v>270</v>
      </c>
      <c r="E1304" s="604"/>
      <c r="F1304" s="604"/>
      <c r="G1304" s="403" t="str">
        <f t="shared" si="390"/>
        <v/>
      </c>
      <c r="H1304" s="403" t="s">
        <v>4325</v>
      </c>
      <c r="I1304" s="4"/>
      <c r="J1304" s="179" t="s">
        <v>270</v>
      </c>
      <c r="K1304" s="104"/>
      <c r="L1304" s="707" t="s">
        <v>1237</v>
      </c>
      <c r="M1304" s="43"/>
      <c r="N1304" s="85"/>
      <c r="O1304" s="85"/>
      <c r="X1304" s="688"/>
      <c r="Y1304" s="891"/>
      <c r="Z1304" s="892"/>
      <c r="BJ1304" s="573" t="s">
        <v>4670</v>
      </c>
    </row>
    <row r="1305" spans="1:62" x14ac:dyDescent="0.35">
      <c r="A1305" s="403">
        <v>7</v>
      </c>
      <c r="B1305" s="609" t="s">
        <v>1235</v>
      </c>
      <c r="C1305" s="613"/>
      <c r="D1305" s="604" t="s">
        <v>270</v>
      </c>
      <c r="E1305" s="604"/>
      <c r="F1305" s="604"/>
      <c r="G1305" s="403" t="str">
        <f t="shared" si="390"/>
        <v/>
      </c>
      <c r="H1305" s="403" t="s">
        <v>4325</v>
      </c>
      <c r="I1305" s="4"/>
      <c r="J1305" s="373"/>
      <c r="K1305" s="214"/>
      <c r="L1305" s="709"/>
      <c r="M1305" s="43"/>
      <c r="N1305" s="85"/>
      <c r="O1305" s="85"/>
      <c r="X1305" s="688"/>
      <c r="Y1305" s="891"/>
      <c r="Z1305" s="892"/>
      <c r="BJ1305" s="573" t="s">
        <v>4670</v>
      </c>
    </row>
    <row r="1306" spans="1:62" x14ac:dyDescent="0.35">
      <c r="A1306" s="403">
        <v>7</v>
      </c>
      <c r="B1306" s="609" t="s">
        <v>1235</v>
      </c>
      <c r="C1306" s="613"/>
      <c r="D1306" s="604" t="s">
        <v>272</v>
      </c>
      <c r="E1306" s="604"/>
      <c r="F1306" s="604"/>
      <c r="G1306" s="403" t="str">
        <f t="shared" si="390"/>
        <v/>
      </c>
      <c r="H1306" s="403" t="s">
        <v>4325</v>
      </c>
      <c r="I1306" s="4"/>
      <c r="J1306" s="179" t="s">
        <v>272</v>
      </c>
      <c r="K1306" s="104"/>
      <c r="L1306" s="104" t="s">
        <v>1238</v>
      </c>
      <c r="M1306" s="43"/>
      <c r="N1306" s="85"/>
      <c r="O1306" s="85"/>
      <c r="X1306" s="688"/>
      <c r="Y1306" s="891"/>
      <c r="Z1306" s="892"/>
      <c r="BJ1306" s="573" t="s">
        <v>4670</v>
      </c>
    </row>
    <row r="1307" spans="1:62" x14ac:dyDescent="0.35">
      <c r="A1307" s="403">
        <v>7</v>
      </c>
      <c r="B1307" s="609" t="s">
        <v>1235</v>
      </c>
      <c r="C1307" s="613"/>
      <c r="D1307" s="604"/>
      <c r="E1307" s="604"/>
      <c r="F1307" s="604"/>
      <c r="G1307" s="403" t="str">
        <f t="shared" si="390"/>
        <v/>
      </c>
      <c r="H1307" s="403" t="s">
        <v>4325</v>
      </c>
      <c r="I1307" s="4"/>
      <c r="J1307" s="179"/>
      <c r="K1307" s="104"/>
      <c r="L1307" s="714" t="s">
        <v>3868</v>
      </c>
      <c r="M1307" s="43"/>
      <c r="N1307" s="85"/>
      <c r="O1307" s="85"/>
      <c r="X1307" s="688"/>
      <c r="Y1307" s="891"/>
      <c r="Z1307" s="892"/>
      <c r="BJ1307" s="573" t="s">
        <v>4670</v>
      </c>
    </row>
    <row r="1308" spans="1:62" x14ac:dyDescent="0.35">
      <c r="A1308" s="403">
        <v>7</v>
      </c>
      <c r="B1308" s="609" t="s">
        <v>1235</v>
      </c>
      <c r="C1308" s="613"/>
      <c r="D1308" s="604"/>
      <c r="E1308" s="604"/>
      <c r="F1308" s="604"/>
      <c r="G1308" s="403" t="str">
        <f t="shared" si="390"/>
        <v/>
      </c>
      <c r="H1308" s="403" t="s">
        <v>4325</v>
      </c>
      <c r="I1308" s="155"/>
      <c r="J1308" s="373"/>
      <c r="K1308" s="214"/>
      <c r="L1308" s="755"/>
      <c r="M1308" s="43"/>
      <c r="N1308" s="85"/>
      <c r="O1308" s="85"/>
      <c r="X1308" s="688"/>
      <c r="Y1308" s="891"/>
      <c r="Z1308" s="892"/>
      <c r="BJ1308" s="573" t="s">
        <v>4670</v>
      </c>
    </row>
    <row r="1309" spans="1:62" x14ac:dyDescent="0.35">
      <c r="A1309" s="403">
        <v>7</v>
      </c>
      <c r="B1309" s="609" t="s">
        <v>1239</v>
      </c>
      <c r="C1309" s="613"/>
      <c r="D1309" s="604"/>
      <c r="E1309" s="604"/>
      <c r="F1309" s="604"/>
      <c r="G1309" s="403" t="str">
        <f ca="1">IF(N1309&gt;0,"P","")</f>
        <v>P</v>
      </c>
      <c r="H1309" s="403" t="s">
        <v>4325</v>
      </c>
      <c r="I1309" s="34" t="s">
        <v>1239</v>
      </c>
      <c r="J1309" s="104"/>
      <c r="K1309" s="104"/>
      <c r="L1309" s="110" t="s">
        <v>1240</v>
      </c>
      <c r="M1309" s="43"/>
      <c r="N1309" s="696">
        <f ca="1">'Ch7'!O545</f>
        <v>5</v>
      </c>
      <c r="O1309" s="696">
        <f ca="1">IFERROR(INDEX({3,5},MATCH(W1309,INDIRECT(U1309),0)),0)*S1309</f>
        <v>0</v>
      </c>
      <c r="P1309" t="b">
        <v>0</v>
      </c>
      <c r="Q1309" t="b">
        <v>1</v>
      </c>
      <c r="R1309" t="b">
        <v>0</v>
      </c>
      <c r="S1309" t="b">
        <f>AND(OR(AY801&lt;&gt;INDEX(ddHDucts,2),AY805&lt;&gt;INDEX(ddCDucts,2)),LEN(W1084)=0)</f>
        <v>1</v>
      </c>
      <c r="T1309" t="b">
        <f>AND(NOT(S1309),LEN(W1309)&gt;0)</f>
        <v>0</v>
      </c>
      <c r="U1309" t="str">
        <f>SUBSTITUTE(SUBSTITUTE(SUBSTITUTE("dd"&amp;B1309&amp;C1309&amp;D1309&amp;E1309&amp;F1309,".","_"),"(","_"),")","")</f>
        <v>dd705_6_2_3</v>
      </c>
      <c r="W1309" s="9"/>
      <c r="X1309" s="688"/>
      <c r="Y1309" s="891" t="str">
        <f>IF(LEN('Ch7'!X545)=0,"None",'Ch7'!X545)</f>
        <v>None</v>
      </c>
      <c r="Z1309" s="892"/>
      <c r="AC1309" t="b">
        <f>OR(AD1309:AE1309)</f>
        <v>0</v>
      </c>
      <c r="AD1309" t="b">
        <f>T1309</f>
        <v>0</v>
      </c>
      <c r="AE1309" t="b">
        <f>AND(R1309,OR(W1309="Not Met",W1309=""))</f>
        <v>0</v>
      </c>
      <c r="AF1309" t="b">
        <f>AND(AE1309,NOT(Q1309))</f>
        <v>0</v>
      </c>
      <c r="AN1309" t="str">
        <f>SUBSTITUTE(SUBSTITUTE(SUBSTITUTE("vpc"&amp;$B1309&amp;$C1309&amp;$D1309&amp;$E1309&amp;$F1309,".","_"),"(","_"),")","")</f>
        <v>vpc705_6_2_3</v>
      </c>
      <c r="AO1309">
        <f ca="1">O1309</f>
        <v>0</v>
      </c>
      <c r="AP1309" t="str">
        <f>SUBSTITUTE(SUBSTITUTE(SUBSTITUTE("vch"&amp;$B1309&amp;$C1309&amp;$D1309&amp;$E1309&amp;$F1309,".","_"),"(","_"),")","")</f>
        <v>vch705_6_2_3</v>
      </c>
      <c r="AQ1309">
        <f>W1309</f>
        <v>0</v>
      </c>
      <c r="AR1309" t="str">
        <f>SUBSTITUTE(SUBSTITUTE(SUBSTITUTE("vnt"&amp;$B1309&amp;$C1309&amp;$D1309&amp;$E1309&amp;$F1309,".","_"),"(","_"),")","")</f>
        <v>vnt705_6_2_3</v>
      </c>
      <c r="AS1309">
        <f>X1309</f>
        <v>0</v>
      </c>
      <c r="BJ1309" s="573" t="s">
        <v>4670</v>
      </c>
    </row>
    <row r="1310" spans="1:62" x14ac:dyDescent="0.35">
      <c r="A1310" s="403">
        <v>7</v>
      </c>
      <c r="B1310" s="609" t="s">
        <v>1239</v>
      </c>
      <c r="C1310" s="613"/>
      <c r="D1310" s="604"/>
      <c r="E1310" s="604"/>
      <c r="F1310" s="604"/>
      <c r="G1310" s="403" t="str">
        <f t="shared" ref="G1310:G1314" ca="1" si="391">G1309</f>
        <v>P</v>
      </c>
      <c r="H1310" s="403" t="s">
        <v>4325</v>
      </c>
      <c r="I1310" s="4"/>
      <c r="J1310" s="104"/>
      <c r="K1310" s="104"/>
      <c r="L1310" s="107" t="s">
        <v>1241</v>
      </c>
      <c r="M1310" s="43"/>
      <c r="N1310" s="696"/>
      <c r="O1310" s="696"/>
      <c r="X1310" s="688"/>
      <c r="Y1310" s="891"/>
      <c r="Z1310" s="892"/>
      <c r="BJ1310" s="573" t="s">
        <v>4670</v>
      </c>
    </row>
    <row r="1311" spans="1:62" x14ac:dyDescent="0.35">
      <c r="A1311" s="403">
        <v>7</v>
      </c>
      <c r="B1311" s="609" t="s">
        <v>1239</v>
      </c>
      <c r="C1311" s="613"/>
      <c r="D1311" s="604"/>
      <c r="E1311" s="604"/>
      <c r="F1311" s="604"/>
      <c r="G1311" s="403" t="str">
        <f t="shared" ca="1" si="391"/>
        <v>P</v>
      </c>
      <c r="H1311" s="403" t="s">
        <v>4325</v>
      </c>
      <c r="I1311" s="4"/>
      <c r="J1311" s="104"/>
      <c r="K1311" s="104"/>
      <c r="L1311" s="107" t="s">
        <v>3775</v>
      </c>
      <c r="M1311" s="43"/>
      <c r="N1311" s="696"/>
      <c r="O1311" s="696"/>
      <c r="X1311" s="688"/>
      <c r="Y1311" s="891"/>
      <c r="Z1311" s="892"/>
      <c r="BJ1311" s="573" t="s">
        <v>4670</v>
      </c>
    </row>
    <row r="1312" spans="1:62" x14ac:dyDescent="0.35">
      <c r="A1312" s="403">
        <v>7</v>
      </c>
      <c r="B1312" s="609" t="s">
        <v>1239</v>
      </c>
      <c r="C1312" s="613"/>
      <c r="D1312" s="604" t="s">
        <v>270</v>
      </c>
      <c r="E1312" s="604"/>
      <c r="F1312" s="604"/>
      <c r="G1312" s="403" t="str">
        <f t="shared" ca="1" si="391"/>
        <v>P</v>
      </c>
      <c r="H1312" s="403" t="s">
        <v>4325</v>
      </c>
      <c r="I1312" s="4"/>
      <c r="J1312" s="373" t="s">
        <v>270</v>
      </c>
      <c r="K1312" s="214"/>
      <c r="L1312" s="214" t="s">
        <v>3776</v>
      </c>
      <c r="M1312" s="198">
        <v>3</v>
      </c>
      <c r="N1312" s="85"/>
      <c r="O1312" s="85"/>
      <c r="X1312" s="688"/>
      <c r="Y1312" s="891"/>
      <c r="Z1312" s="892"/>
      <c r="AL1312" t="str">
        <f t="shared" ref="AL1312:AL1313" si="392">SUBSTITUTE(SUBSTITUTE(SUBSTITUTE("vpa"&amp;$B1312&amp;$C1312&amp;$D1312&amp;$E1312&amp;$F1312,".","_"),"(","_"),")","")</f>
        <v>vpa705_6_2_3_1</v>
      </c>
      <c r="AM1312">
        <f>M1312</f>
        <v>3</v>
      </c>
      <c r="BJ1312" s="573" t="s">
        <v>4670</v>
      </c>
    </row>
    <row r="1313" spans="1:62" x14ac:dyDescent="0.35">
      <c r="A1313" s="403">
        <v>7</v>
      </c>
      <c r="B1313" s="609" t="s">
        <v>1239</v>
      </c>
      <c r="C1313" s="613"/>
      <c r="D1313" s="604" t="s">
        <v>272</v>
      </c>
      <c r="E1313" s="604"/>
      <c r="F1313" s="604"/>
      <c r="G1313" s="403" t="str">
        <f t="shared" ca="1" si="391"/>
        <v>P</v>
      </c>
      <c r="H1313" s="403" t="s">
        <v>4325</v>
      </c>
      <c r="I1313" s="4"/>
      <c r="J1313" s="179" t="s">
        <v>272</v>
      </c>
      <c r="K1313" s="104"/>
      <c r="L1313" s="707" t="s">
        <v>3777</v>
      </c>
      <c r="M1313" s="690">
        <v>5</v>
      </c>
      <c r="N1313" s="85"/>
      <c r="O1313" s="85"/>
      <c r="X1313" s="688"/>
      <c r="Y1313" s="891"/>
      <c r="Z1313" s="892"/>
      <c r="AL1313" t="str">
        <f t="shared" si="392"/>
        <v>vpa705_6_2_3_2</v>
      </c>
      <c r="AM1313">
        <f>M1313</f>
        <v>5</v>
      </c>
      <c r="BJ1313" s="573" t="s">
        <v>4670</v>
      </c>
    </row>
    <row r="1314" spans="1:62" x14ac:dyDescent="0.35">
      <c r="A1314" s="403">
        <v>7</v>
      </c>
      <c r="B1314" s="609" t="s">
        <v>1239</v>
      </c>
      <c r="C1314" s="613"/>
      <c r="D1314" s="604"/>
      <c r="E1314" s="604"/>
      <c r="F1314" s="604"/>
      <c r="G1314" s="403" t="str">
        <f t="shared" ca="1" si="391"/>
        <v>P</v>
      </c>
      <c r="H1314" s="403" t="s">
        <v>4325</v>
      </c>
      <c r="I1314" s="155"/>
      <c r="J1314" s="119"/>
      <c r="K1314" s="214"/>
      <c r="L1314" s="709"/>
      <c r="M1314" s="691"/>
      <c r="N1314" s="342"/>
      <c r="O1314" s="342"/>
      <c r="X1314" s="688"/>
      <c r="Y1314" s="891"/>
      <c r="Z1314" s="892"/>
      <c r="BJ1314" s="573" t="s">
        <v>4670</v>
      </c>
    </row>
    <row r="1315" spans="1:62" x14ac:dyDescent="0.35">
      <c r="A1315" s="403">
        <v>7</v>
      </c>
      <c r="B1315" s="609" t="s">
        <v>3774</v>
      </c>
      <c r="C1315" s="613"/>
      <c r="D1315" s="604"/>
      <c r="E1315" s="604"/>
      <c r="F1315" s="604"/>
      <c r="G1315" s="403" t="str">
        <f>IF(N1315&gt;0,"P","")</f>
        <v/>
      </c>
      <c r="H1315" s="403" t="s">
        <v>4324</v>
      </c>
      <c r="I1315" s="34" t="s">
        <v>3774</v>
      </c>
      <c r="J1315" s="104"/>
      <c r="K1315" s="104"/>
      <c r="L1315" s="783" t="s">
        <v>3778</v>
      </c>
      <c r="M1315" s="690">
        <v>1</v>
      </c>
      <c r="N1315" s="696">
        <f>'Ch7'!O551</f>
        <v>0</v>
      </c>
      <c r="O1315" s="713">
        <f>M1315*S1315*W1315*NOT(W1317)</f>
        <v>0</v>
      </c>
      <c r="P1315" t="b">
        <v>1</v>
      </c>
      <c r="Q1315" t="b">
        <v>0</v>
      </c>
      <c r="R1315" t="b">
        <v>0</v>
      </c>
      <c r="S1315" t="b">
        <v>1</v>
      </c>
      <c r="T1315" t="b">
        <v>0</v>
      </c>
      <c r="W1315" s="17"/>
      <c r="Z1315" s="543"/>
      <c r="AC1315" t="b">
        <f>OR(AD1315:AE1315)</f>
        <v>0</v>
      </c>
      <c r="AD1315" t="b">
        <f>T1315</f>
        <v>0</v>
      </c>
      <c r="AE1315" t="b">
        <f>AND(R1315,NOT(W1315))</f>
        <v>0</v>
      </c>
      <c r="AF1315" t="b">
        <f>AND(AE1315,NOT(Q1315))</f>
        <v>0</v>
      </c>
      <c r="AL1315" t="str">
        <f t="shared" ref="AL1315" si="393">SUBSTITUTE(SUBSTITUTE(SUBSTITUTE("vpa"&amp;$B1315&amp;$C1315&amp;$D1315&amp;$E1315&amp;$F1315,".","_"),"(","_"),")","")</f>
        <v>vpa705_6_3</v>
      </c>
      <c r="AM1315">
        <f>M1315</f>
        <v>1</v>
      </c>
      <c r="AN1315" t="str">
        <f>SUBSTITUTE(SUBSTITUTE(SUBSTITUTE("vpc"&amp;$B1315&amp;$C1315&amp;$D1315&amp;$E1315&amp;$F1315,".","_"),"(","_"),")","")</f>
        <v>vpc705_6_3</v>
      </c>
      <c r="AO1315">
        <f>O1315</f>
        <v>0</v>
      </c>
      <c r="AP1315" t="str">
        <f>SUBSTITUTE(SUBSTITUTE(SUBSTITUTE("vch"&amp;$B1315&amp;$C1315&amp;$D1315&amp;$E1315&amp;$F1315,".","_"),"(","_"),")","")</f>
        <v>vch705_6_3</v>
      </c>
      <c r="AQ1315">
        <f>W1315</f>
        <v>0</v>
      </c>
      <c r="BJ1315" s="573" t="s">
        <v>4670</v>
      </c>
    </row>
    <row r="1316" spans="1:62" x14ac:dyDescent="0.35">
      <c r="A1316" s="403">
        <v>7</v>
      </c>
      <c r="B1316" s="609" t="s">
        <v>3774</v>
      </c>
      <c r="C1316" s="613"/>
      <c r="D1316" s="604"/>
      <c r="E1316" s="604"/>
      <c r="F1316" s="604"/>
      <c r="G1316" s="403" t="str">
        <f t="shared" ref="G1316:G1325" si="394">G1315</f>
        <v/>
      </c>
      <c r="H1316" s="403" t="s">
        <v>4324</v>
      </c>
      <c r="I1316" s="4"/>
      <c r="J1316" s="104"/>
      <c r="K1316" s="104"/>
      <c r="L1316" s="783"/>
      <c r="M1316" s="690"/>
      <c r="N1316" s="696"/>
      <c r="O1316" s="696"/>
      <c r="W1316" t="s">
        <v>4619</v>
      </c>
      <c r="Z1316" s="543"/>
      <c r="BJ1316" s="573" t="s">
        <v>4670</v>
      </c>
    </row>
    <row r="1317" spans="1:62" x14ac:dyDescent="0.35">
      <c r="A1317" s="403">
        <v>7</v>
      </c>
      <c r="B1317" s="609" t="s">
        <v>3774</v>
      </c>
      <c r="C1317" s="613"/>
      <c r="D1317" s="604" t="s">
        <v>270</v>
      </c>
      <c r="E1317" s="604"/>
      <c r="F1317" s="604"/>
      <c r="G1317" s="403" t="str">
        <f t="shared" si="394"/>
        <v/>
      </c>
      <c r="H1317" s="403" t="s">
        <v>4324</v>
      </c>
      <c r="I1317" s="4"/>
      <c r="J1317" s="104"/>
      <c r="K1317" s="104"/>
      <c r="L1317" s="107" t="s">
        <v>1241</v>
      </c>
      <c r="M1317" s="43"/>
      <c r="N1317" s="85"/>
      <c r="O1317" s="85"/>
      <c r="P1317" t="b">
        <v>1</v>
      </c>
      <c r="Q1317" t="b">
        <v>0</v>
      </c>
      <c r="R1317" t="b">
        <v>0</v>
      </c>
      <c r="S1317" t="b">
        <v>1</v>
      </c>
      <c r="T1317" t="b">
        <v>0</v>
      </c>
      <c r="W1317" s="17"/>
      <c r="Z1317" s="543"/>
      <c r="AC1317" t="b">
        <f>OR(AD1317:AE1317)</f>
        <v>0</v>
      </c>
      <c r="AD1317" t="b">
        <f>T1317</f>
        <v>0</v>
      </c>
      <c r="AE1317" t="b">
        <f>AND(R1317,NOT(W1317))</f>
        <v>0</v>
      </c>
      <c r="AF1317" t="b">
        <f>AND(AE1317,NOT(Q1317))</f>
        <v>0</v>
      </c>
      <c r="AP1317" t="str">
        <f>SUBSTITUTE(SUBSTITUTE(SUBSTITUTE("dch"&amp;$B1317&amp;$C1317&amp;$D1317&amp;$E1317&amp;$F1317,".","_"),"(","_"),")","")</f>
        <v>dch705_6_3_1</v>
      </c>
      <c r="AQ1317">
        <f>W1317</f>
        <v>0</v>
      </c>
      <c r="BJ1317" s="573" t="s">
        <v>4670</v>
      </c>
    </row>
    <row r="1318" spans="1:62" x14ac:dyDescent="0.35">
      <c r="A1318" s="403">
        <v>7</v>
      </c>
      <c r="B1318" s="609" t="s">
        <v>3774</v>
      </c>
      <c r="C1318" s="613"/>
      <c r="D1318" s="604"/>
      <c r="E1318" s="604" t="s">
        <v>121</v>
      </c>
      <c r="F1318" s="604"/>
      <c r="G1318" s="403" t="str">
        <f t="shared" si="394"/>
        <v/>
      </c>
      <c r="H1318" s="605" t="s">
        <v>4324</v>
      </c>
      <c r="I1318" s="4"/>
      <c r="J1318" s="104"/>
      <c r="K1318" s="175" t="s">
        <v>121</v>
      </c>
      <c r="L1318" s="104" t="s">
        <v>1242</v>
      </c>
      <c r="M1318" s="43"/>
      <c r="N1318" s="85"/>
      <c r="O1318" s="85"/>
      <c r="X1318" s="39"/>
      <c r="Y1318" s="200" t="str">
        <f>IF(LEN('Ch7'!X554)=0,"None",'Ch7'!X554)</f>
        <v>None</v>
      </c>
      <c r="Z1318" s="563"/>
      <c r="AR1318" t="str">
        <f t="shared" ref="AR1318:AR1324" si="395">SUBSTITUTE(SUBSTITUTE(SUBSTITUTE("vnt"&amp;$B1318&amp;$C1318&amp;$D1318&amp;$E1318&amp;$F1318,".","_"),"(","_"),")","")</f>
        <v>vnt705_6_3_a</v>
      </c>
      <c r="AS1318">
        <f t="shared" ref="AS1318:AS1324" si="396">X1318</f>
        <v>0</v>
      </c>
      <c r="BJ1318" s="573" t="s">
        <v>4670</v>
      </c>
    </row>
    <row r="1319" spans="1:62" x14ac:dyDescent="0.35">
      <c r="A1319" s="403">
        <v>7</v>
      </c>
      <c r="B1319" s="609" t="s">
        <v>3774</v>
      </c>
      <c r="C1319" s="613"/>
      <c r="D1319" s="604"/>
      <c r="E1319" s="604" t="s">
        <v>122</v>
      </c>
      <c r="F1319" s="604"/>
      <c r="G1319" s="403" t="str">
        <f t="shared" si="394"/>
        <v/>
      </c>
      <c r="H1319" s="605" t="s">
        <v>4324</v>
      </c>
      <c r="I1319" s="4"/>
      <c r="J1319" s="104"/>
      <c r="K1319" s="175" t="s">
        <v>122</v>
      </c>
      <c r="L1319" s="104" t="s">
        <v>1243</v>
      </c>
      <c r="M1319" s="43"/>
      <c r="N1319" s="85"/>
      <c r="O1319" s="85"/>
      <c r="X1319" s="39"/>
      <c r="Y1319" s="200" t="str">
        <f>IF(LEN('Ch7'!X555)=0,"None",'Ch7'!X555)</f>
        <v>None</v>
      </c>
      <c r="Z1319" s="563"/>
      <c r="AR1319" t="str">
        <f t="shared" si="395"/>
        <v>vnt705_6_3_b</v>
      </c>
      <c r="AS1319">
        <f t="shared" si="396"/>
        <v>0</v>
      </c>
      <c r="BJ1319" s="573" t="s">
        <v>4670</v>
      </c>
    </row>
    <row r="1320" spans="1:62" x14ac:dyDescent="0.35">
      <c r="A1320" s="403">
        <v>7</v>
      </c>
      <c r="B1320" s="609" t="s">
        <v>3774</v>
      </c>
      <c r="C1320" s="613"/>
      <c r="D1320" s="604"/>
      <c r="E1320" s="606" t="s">
        <v>123</v>
      </c>
      <c r="F1320" s="606"/>
      <c r="G1320" s="403" t="str">
        <f t="shared" si="394"/>
        <v/>
      </c>
      <c r="H1320" s="607" t="s">
        <v>4324</v>
      </c>
      <c r="I1320" s="4"/>
      <c r="J1320" s="104"/>
      <c r="K1320" s="176" t="s">
        <v>123</v>
      </c>
      <c r="L1320" s="104" t="s">
        <v>1244</v>
      </c>
      <c r="M1320" s="43"/>
      <c r="N1320" s="85"/>
      <c r="O1320" s="85"/>
      <c r="X1320" s="39"/>
      <c r="Y1320" s="200" t="str">
        <f>IF(LEN('Ch7'!X556)=0,"None",'Ch7'!X556)</f>
        <v>None</v>
      </c>
      <c r="Z1320" s="563"/>
      <c r="AR1320" t="str">
        <f t="shared" si="395"/>
        <v>vnt705_6_3_c</v>
      </c>
      <c r="AS1320">
        <f t="shared" si="396"/>
        <v>0</v>
      </c>
      <c r="BJ1320" s="573" t="s">
        <v>4670</v>
      </c>
    </row>
    <row r="1321" spans="1:62" x14ac:dyDescent="0.35">
      <c r="A1321" s="403">
        <v>7</v>
      </c>
      <c r="B1321" s="609" t="s">
        <v>3774</v>
      </c>
      <c r="C1321" s="613"/>
      <c r="D1321" s="604"/>
      <c r="E1321" s="604" t="s">
        <v>420</v>
      </c>
      <c r="F1321" s="604"/>
      <c r="G1321" s="403" t="str">
        <f t="shared" si="394"/>
        <v/>
      </c>
      <c r="H1321" s="403" t="s">
        <v>4324</v>
      </c>
      <c r="I1321" s="4"/>
      <c r="J1321" s="104"/>
      <c r="K1321" s="110" t="s">
        <v>420</v>
      </c>
      <c r="L1321" s="104" t="s">
        <v>1245</v>
      </c>
      <c r="M1321" s="43"/>
      <c r="N1321" s="85"/>
      <c r="O1321" s="85"/>
      <c r="X1321" s="39"/>
      <c r="Y1321" s="200" t="str">
        <f>IF(LEN('Ch7'!X557)=0,"None",'Ch7'!X557)</f>
        <v>None</v>
      </c>
      <c r="Z1321" s="563"/>
      <c r="AR1321" t="str">
        <f t="shared" si="395"/>
        <v>vnt705_6_3_d</v>
      </c>
      <c r="AS1321">
        <f t="shared" si="396"/>
        <v>0</v>
      </c>
      <c r="BJ1321" s="573" t="s">
        <v>4670</v>
      </c>
    </row>
    <row r="1322" spans="1:62" x14ac:dyDescent="0.35">
      <c r="A1322" s="403">
        <v>7</v>
      </c>
      <c r="B1322" s="609" t="s">
        <v>3774</v>
      </c>
      <c r="C1322" s="613"/>
      <c r="D1322" s="604"/>
      <c r="E1322" s="604" t="s">
        <v>575</v>
      </c>
      <c r="F1322" s="604"/>
      <c r="G1322" s="403" t="str">
        <f t="shared" si="394"/>
        <v/>
      </c>
      <c r="H1322" s="403" t="s">
        <v>4324</v>
      </c>
      <c r="I1322" s="4"/>
      <c r="J1322" s="104"/>
      <c r="K1322" s="110" t="s">
        <v>575</v>
      </c>
      <c r="L1322" s="104" t="s">
        <v>1246</v>
      </c>
      <c r="M1322" s="43"/>
      <c r="N1322" s="85"/>
      <c r="O1322" s="85"/>
      <c r="X1322" s="39"/>
      <c r="Y1322" s="200" t="str">
        <f>IF(LEN('Ch7'!X558)=0,"None",'Ch7'!X558)</f>
        <v>None</v>
      </c>
      <c r="Z1322" s="563"/>
      <c r="AR1322" t="str">
        <f t="shared" si="395"/>
        <v>vnt705_6_3_e</v>
      </c>
      <c r="AS1322">
        <f t="shared" si="396"/>
        <v>0</v>
      </c>
      <c r="BJ1322" s="573" t="s">
        <v>4670</v>
      </c>
    </row>
    <row r="1323" spans="1:62" x14ac:dyDescent="0.35">
      <c r="A1323" s="403">
        <v>7</v>
      </c>
      <c r="B1323" s="609" t="s">
        <v>3774</v>
      </c>
      <c r="C1323" s="613"/>
      <c r="D1323" s="604"/>
      <c r="E1323" s="606" t="s">
        <v>642</v>
      </c>
      <c r="F1323" s="606"/>
      <c r="G1323" s="403" t="str">
        <f t="shared" si="394"/>
        <v/>
      </c>
      <c r="H1323" s="607" t="s">
        <v>4324</v>
      </c>
      <c r="I1323" s="4"/>
      <c r="J1323" s="104"/>
      <c r="K1323" s="176" t="s">
        <v>642</v>
      </c>
      <c r="L1323" s="104" t="s">
        <v>1247</v>
      </c>
      <c r="M1323" s="43"/>
      <c r="N1323" s="85"/>
      <c r="O1323" s="85"/>
      <c r="X1323" s="39"/>
      <c r="Y1323" s="200" t="str">
        <f>IF(LEN('Ch7'!X559)=0,"None",'Ch7'!X559)</f>
        <v>None</v>
      </c>
      <c r="Z1323" s="563"/>
      <c r="AR1323" t="str">
        <f t="shared" si="395"/>
        <v>vnt705_6_3_f</v>
      </c>
      <c r="AS1323">
        <f t="shared" si="396"/>
        <v>0</v>
      </c>
      <c r="BJ1323" s="573" t="s">
        <v>4670</v>
      </c>
    </row>
    <row r="1324" spans="1:62" x14ac:dyDescent="0.35">
      <c r="A1324" s="403">
        <v>7</v>
      </c>
      <c r="B1324" s="609" t="s">
        <v>3774</v>
      </c>
      <c r="C1324" s="613"/>
      <c r="D1324" s="604"/>
      <c r="E1324" s="604" t="s">
        <v>644</v>
      </c>
      <c r="F1324" s="604"/>
      <c r="G1324" s="403" t="str">
        <f t="shared" si="394"/>
        <v/>
      </c>
      <c r="H1324" s="403" t="s">
        <v>4324</v>
      </c>
      <c r="I1324" s="4"/>
      <c r="J1324" s="104"/>
      <c r="K1324" s="110" t="s">
        <v>644</v>
      </c>
      <c r="L1324" s="723" t="s">
        <v>1248</v>
      </c>
      <c r="M1324" s="43"/>
      <c r="N1324" s="85"/>
      <c r="O1324" s="85"/>
      <c r="X1324" s="688"/>
      <c r="Y1324" s="891" t="str">
        <f>IF(LEN('Ch7'!X560)=0,"None",'Ch7'!X560)</f>
        <v>None</v>
      </c>
      <c r="Z1324" s="892"/>
      <c r="AR1324" t="str">
        <f t="shared" si="395"/>
        <v>vnt705_6_3_g</v>
      </c>
      <c r="AS1324">
        <f t="shared" si="396"/>
        <v>0</v>
      </c>
      <c r="BJ1324" s="573" t="s">
        <v>4670</v>
      </c>
    </row>
    <row r="1325" spans="1:62" x14ac:dyDescent="0.35">
      <c r="A1325" s="403">
        <v>7</v>
      </c>
      <c r="B1325" s="609" t="s">
        <v>3774</v>
      </c>
      <c r="C1325" s="613"/>
      <c r="D1325" s="604"/>
      <c r="E1325" s="604" t="s">
        <v>644</v>
      </c>
      <c r="F1325" s="604"/>
      <c r="G1325" s="403" t="str">
        <f t="shared" si="394"/>
        <v/>
      </c>
      <c r="H1325" s="403" t="s">
        <v>4324</v>
      </c>
      <c r="I1325" s="155"/>
      <c r="J1325" s="214"/>
      <c r="K1325" s="361"/>
      <c r="L1325" s="724"/>
      <c r="M1325" s="43"/>
      <c r="N1325" s="85"/>
      <c r="O1325" s="85"/>
      <c r="X1325" s="688"/>
      <c r="Y1325" s="891"/>
      <c r="Z1325" s="892"/>
      <c r="BJ1325" s="573" t="s">
        <v>4670</v>
      </c>
    </row>
    <row r="1326" spans="1:62" x14ac:dyDescent="0.35">
      <c r="A1326" s="403">
        <v>7</v>
      </c>
      <c r="B1326" s="609" t="s">
        <v>1249</v>
      </c>
      <c r="C1326" s="613"/>
      <c r="D1326" s="604"/>
      <c r="E1326" s="604"/>
      <c r="F1326" s="604"/>
      <c r="G1326" s="600" t="str">
        <f ca="1">IF(COUNTIF(G1327,"P")&gt;0,"P","")</f>
        <v/>
      </c>
      <c r="H1326" s="403" t="s">
        <v>4323</v>
      </c>
      <c r="I1326" s="34" t="s">
        <v>1249</v>
      </c>
      <c r="J1326" s="104"/>
      <c r="K1326" s="104"/>
      <c r="L1326" s="180" t="s">
        <v>1250</v>
      </c>
      <c r="M1326" s="43"/>
      <c r="N1326" s="85"/>
      <c r="O1326" s="85"/>
      <c r="Z1326" s="543"/>
      <c r="BJ1326" s="573" t="s">
        <v>4670</v>
      </c>
    </row>
    <row r="1327" spans="1:62" x14ac:dyDescent="0.35">
      <c r="A1327" s="403">
        <v>7</v>
      </c>
      <c r="B1327" s="609" t="s">
        <v>1251</v>
      </c>
      <c r="C1327" s="613"/>
      <c r="D1327" s="604"/>
      <c r="E1327" s="604"/>
      <c r="F1327" s="604"/>
      <c r="G1327" s="403" t="str">
        <f ca="1">IF(N1327&gt;0,"P","")</f>
        <v/>
      </c>
      <c r="H1327" s="403" t="s">
        <v>4323</v>
      </c>
      <c r="I1327" s="34" t="s">
        <v>1251</v>
      </c>
      <c r="J1327" s="104"/>
      <c r="K1327" s="104"/>
      <c r="L1327" s="781" t="s">
        <v>1252</v>
      </c>
      <c r="M1327" s="690">
        <v>1</v>
      </c>
      <c r="N1327" s="696">
        <f ca="1">'Ch7'!O563</f>
        <v>0</v>
      </c>
      <c r="O1327" s="696">
        <f ca="1">M1327*S1327*W1327</f>
        <v>0</v>
      </c>
      <c r="P1327" t="b">
        <v>1</v>
      </c>
      <c r="Q1327" t="b">
        <v>1</v>
      </c>
      <c r="R1327" t="b">
        <v>0</v>
      </c>
      <c r="S1327" t="b">
        <f ca="1">IF($AY$18=INDEX(INDIRECT("ddSingleOrMulti"),1),TRUE,FALSE)</f>
        <v>1</v>
      </c>
      <c r="T1327" t="b">
        <f ca="1">AND(NOT(S1327),W1327=TRUE)</f>
        <v>0</v>
      </c>
      <c r="W1327" s="17"/>
      <c r="X1327" s="688"/>
      <c r="Y1327" s="891" t="str">
        <f>IF(LEN('Ch7'!X563)=0,"None",'Ch7'!X563)</f>
        <v>None</v>
      </c>
      <c r="Z1327" s="892"/>
      <c r="AC1327" t="b">
        <f ca="1">OR(AD1327:AE1327)</f>
        <v>0</v>
      </c>
      <c r="AD1327" t="b">
        <f ca="1">T1327</f>
        <v>0</v>
      </c>
      <c r="AL1327" t="str">
        <f t="shared" ref="AL1327" si="397">SUBSTITUTE(SUBSTITUTE(SUBSTITUTE("vpa"&amp;$B1327&amp;$C1327&amp;$D1327&amp;$E1327&amp;$F1327,".","_"),"(","_"),")","")</f>
        <v>vpa705_6_4_1</v>
      </c>
      <c r="AM1327">
        <f>M1327</f>
        <v>1</v>
      </c>
      <c r="AN1327" t="str">
        <f>SUBSTITUTE(SUBSTITUTE(SUBSTITUTE("vpc"&amp;$B1327&amp;$C1327&amp;$D1327&amp;$E1327&amp;$F1327,".","_"),"(","_"),")","")</f>
        <v>vpc705_6_4_1</v>
      </c>
      <c r="AO1327">
        <f ca="1">O1327</f>
        <v>0</v>
      </c>
      <c r="AP1327" t="str">
        <f>SUBSTITUTE(SUBSTITUTE(SUBSTITUTE("vch"&amp;$B1327&amp;$C1327&amp;$D1327&amp;$E1327&amp;$F1327,".","_"),"(","_"),")","")</f>
        <v>vch705_6_4_1</v>
      </c>
      <c r="AQ1327">
        <f>W1327</f>
        <v>0</v>
      </c>
      <c r="AR1327" t="str">
        <f>SUBSTITUTE(SUBSTITUTE(SUBSTITUTE("vnt"&amp;$B1327&amp;$C1327&amp;$D1327&amp;$E1327&amp;$F1327,".","_"),"(","_"),")","")</f>
        <v>vnt705_6_4_1</v>
      </c>
      <c r="AS1327">
        <f>X1327</f>
        <v>0</v>
      </c>
      <c r="BJ1327" s="573" t="s">
        <v>4670</v>
      </c>
    </row>
    <row r="1328" spans="1:62" x14ac:dyDescent="0.35">
      <c r="A1328" s="403">
        <v>7</v>
      </c>
      <c r="B1328" s="609" t="s">
        <v>1251</v>
      </c>
      <c r="C1328" s="613"/>
      <c r="D1328" s="604"/>
      <c r="E1328" s="604"/>
      <c r="F1328" s="604"/>
      <c r="G1328" s="403" t="str">
        <f t="shared" ref="G1328" ca="1" si="398">G1327</f>
        <v/>
      </c>
      <c r="H1328" s="403" t="s">
        <v>4323</v>
      </c>
      <c r="I1328" s="363"/>
      <c r="J1328" s="214"/>
      <c r="K1328" s="214"/>
      <c r="L1328" s="782"/>
      <c r="M1328" s="691"/>
      <c r="N1328" s="697"/>
      <c r="O1328" s="697"/>
      <c r="P1328" s="119"/>
      <c r="Q1328" s="119"/>
      <c r="R1328" s="119"/>
      <c r="S1328" s="119"/>
      <c r="T1328" s="119"/>
      <c r="U1328" s="119"/>
      <c r="V1328" s="119"/>
      <c r="W1328" s="368"/>
      <c r="X1328" s="688"/>
      <c r="Y1328" s="891"/>
      <c r="Z1328" s="892"/>
      <c r="BJ1328" s="573" t="s">
        <v>4670</v>
      </c>
    </row>
    <row r="1329" spans="1:62" x14ac:dyDescent="0.35">
      <c r="A1329" s="403">
        <v>7</v>
      </c>
      <c r="B1329" s="609" t="s">
        <v>1253</v>
      </c>
      <c r="C1329" s="613"/>
      <c r="D1329" s="604"/>
      <c r="E1329" s="604"/>
      <c r="F1329" s="604"/>
      <c r="G1329" s="403" t="str">
        <f ca="1">IF(N1329&gt;0,"P","")</f>
        <v/>
      </c>
      <c r="H1329" s="403" t="s">
        <v>4323</v>
      </c>
      <c r="I1329" s="34" t="s">
        <v>1253</v>
      </c>
      <c r="J1329" s="104"/>
      <c r="K1329" s="104"/>
      <c r="L1329" s="780" t="s">
        <v>1254</v>
      </c>
      <c r="M1329" s="690">
        <v>2</v>
      </c>
      <c r="N1329" s="696">
        <f ca="1">'Ch7'!O565</f>
        <v>0</v>
      </c>
      <c r="O1329" s="696">
        <f ca="1">M1329*S1329*W1329</f>
        <v>0</v>
      </c>
      <c r="P1329" t="b">
        <v>1</v>
      </c>
      <c r="Q1329" t="b">
        <v>1</v>
      </c>
      <c r="R1329" t="b">
        <v>0</v>
      </c>
      <c r="S1329" t="b">
        <f ca="1">IF($AY$18=INDEX(INDIRECT("ddSingleOrMulti"),2),TRUE,FALSE)</f>
        <v>0</v>
      </c>
      <c r="T1329" t="b">
        <f ca="1">AND(NOT(S1329),W1329=TRUE)</f>
        <v>0</v>
      </c>
      <c r="W1329" s="17"/>
      <c r="X1329" s="688"/>
      <c r="Y1329" s="891" t="str">
        <f>IF(LEN('Ch7'!X565)=0,"None",'Ch7'!X565)</f>
        <v>None</v>
      </c>
      <c r="Z1329" s="892"/>
      <c r="AC1329" t="b">
        <f ca="1">OR(AD1329:AE1329)</f>
        <v>0</v>
      </c>
      <c r="AD1329" t="b">
        <f ca="1">T1329</f>
        <v>0</v>
      </c>
      <c r="AL1329" t="str">
        <f t="shared" ref="AL1329" si="399">SUBSTITUTE(SUBSTITUTE(SUBSTITUTE("vpa"&amp;$B1329&amp;$C1329&amp;$D1329&amp;$E1329&amp;$F1329,".","_"),"(","_"),")","")</f>
        <v>vpa705_6_4_2</v>
      </c>
      <c r="AM1329">
        <f>M1329</f>
        <v>2</v>
      </c>
      <c r="AN1329" t="str">
        <f>SUBSTITUTE(SUBSTITUTE(SUBSTITUTE("vpc"&amp;$B1329&amp;$C1329&amp;$D1329&amp;$E1329&amp;$F1329,".","_"),"(","_"),")","")</f>
        <v>vpc705_6_4_2</v>
      </c>
      <c r="AO1329">
        <f ca="1">O1329</f>
        <v>0</v>
      </c>
      <c r="AP1329" t="str">
        <f>SUBSTITUTE(SUBSTITUTE(SUBSTITUTE("vch"&amp;$B1329&amp;$C1329&amp;$D1329&amp;$E1329&amp;$F1329,".","_"),"(","_"),")","")</f>
        <v>vch705_6_4_2</v>
      </c>
      <c r="AQ1329">
        <f>W1329</f>
        <v>0</v>
      </c>
      <c r="AR1329" t="str">
        <f>SUBSTITUTE(SUBSTITUTE(SUBSTITUTE("vnt"&amp;$B1329&amp;$C1329&amp;$D1329&amp;$E1329&amp;$F1329,".","_"),"(","_"),")","")</f>
        <v>vnt705_6_4_2</v>
      </c>
      <c r="AS1329">
        <f>X1329</f>
        <v>0</v>
      </c>
      <c r="BJ1329" s="573" t="s">
        <v>4670</v>
      </c>
    </row>
    <row r="1330" spans="1:62" ht="15" thickBot="1" x14ac:dyDescent="0.4">
      <c r="A1330" s="403">
        <v>7</v>
      </c>
      <c r="B1330" s="609" t="s">
        <v>1253</v>
      </c>
      <c r="C1330" s="613"/>
      <c r="D1330" s="604"/>
      <c r="E1330" s="604"/>
      <c r="F1330" s="604"/>
      <c r="G1330" s="403" t="str">
        <f t="shared" ref="G1330" ca="1" si="400">G1329</f>
        <v/>
      </c>
      <c r="H1330" s="403" t="s">
        <v>4323</v>
      </c>
      <c r="I1330" s="183"/>
      <c r="J1330" s="223"/>
      <c r="K1330" s="223"/>
      <c r="L1330" s="784"/>
      <c r="M1330" s="693"/>
      <c r="N1330" s="695"/>
      <c r="O1330" s="695"/>
      <c r="P1330" s="58"/>
      <c r="Q1330" s="58"/>
      <c r="R1330" s="58"/>
      <c r="S1330" s="58"/>
      <c r="T1330" s="58"/>
      <c r="U1330" s="58"/>
      <c r="V1330" s="58"/>
      <c r="W1330" s="58"/>
      <c r="X1330" s="689"/>
      <c r="Y1330" s="905"/>
      <c r="Z1330" s="895"/>
      <c r="BJ1330" s="573" t="s">
        <v>4670</v>
      </c>
    </row>
    <row r="1331" spans="1:62" ht="15" thickTop="1" x14ac:dyDescent="0.35">
      <c r="A1331" s="403">
        <v>7</v>
      </c>
      <c r="B1331" s="609">
        <v>705.7</v>
      </c>
      <c r="C1331" s="613"/>
      <c r="D1331" s="604"/>
      <c r="E1331" s="604"/>
      <c r="F1331" s="604"/>
      <c r="G1331" s="403" t="str">
        <f ca="1">IF(N1331&gt;0,"P","")</f>
        <v/>
      </c>
      <c r="H1331" s="403" t="s">
        <v>4325</v>
      </c>
      <c r="I1331" s="32">
        <v>705.7</v>
      </c>
      <c r="J1331" s="104"/>
      <c r="K1331" s="104"/>
      <c r="L1331" s="780" t="s">
        <v>1255</v>
      </c>
      <c r="M1331" s="690">
        <v>1</v>
      </c>
      <c r="N1331" s="696">
        <f ca="1">'Ch7'!O567</f>
        <v>0</v>
      </c>
      <c r="O1331" s="696">
        <f ca="1">M1331*S1331*W1331</f>
        <v>0</v>
      </c>
      <c r="P1331" t="b">
        <v>0</v>
      </c>
      <c r="Q1331" t="b">
        <v>1</v>
      </c>
      <c r="R1331" t="b">
        <v>0</v>
      </c>
      <c r="S1331" t="b">
        <f ca="1">IF($AY$18=INDEX(INDIRECT("ddSingleOrMulti"),2),TRUE,FALSE)</f>
        <v>0</v>
      </c>
      <c r="T1331" t="b">
        <f ca="1">AND(NOT(S1331),W1331=TRUE)</f>
        <v>0</v>
      </c>
      <c r="W1331" s="17"/>
      <c r="X1331" s="700"/>
      <c r="Y1331" s="904" t="str">
        <f>IF(LEN('Ch7'!X567)=0,"None",'Ch7'!X567)</f>
        <v>None</v>
      </c>
      <c r="Z1331" s="896"/>
      <c r="AC1331" t="b">
        <f ca="1">OR(AD1331:AE1331)</f>
        <v>0</v>
      </c>
      <c r="AD1331" t="b">
        <f ca="1">T1331</f>
        <v>0</v>
      </c>
      <c r="AL1331" t="str">
        <f t="shared" ref="AL1331" si="401">SUBSTITUTE(SUBSTITUTE(SUBSTITUTE("vpa"&amp;$B1331&amp;$C1331&amp;$D1331&amp;$E1331&amp;$F1331,".","_"),"(","_"),")","")</f>
        <v>vpa705_7</v>
      </c>
      <c r="AM1331">
        <f>M1331</f>
        <v>1</v>
      </c>
      <c r="AN1331" t="str">
        <f>SUBSTITUTE(SUBSTITUTE(SUBSTITUTE("vpc"&amp;$B1331&amp;$C1331&amp;$D1331&amp;$E1331&amp;$F1331,".","_"),"(","_"),")","")</f>
        <v>vpc705_7</v>
      </c>
      <c r="AO1331">
        <f ca="1">O1331</f>
        <v>0</v>
      </c>
      <c r="AP1331" t="str">
        <f>SUBSTITUTE(SUBSTITUTE(SUBSTITUTE("vch"&amp;$B1331&amp;$C1331&amp;$D1331&amp;$E1331&amp;$F1331,".","_"),"(","_"),")","")</f>
        <v>vch705_7</v>
      </c>
      <c r="AQ1331">
        <f>W1331</f>
        <v>0</v>
      </c>
      <c r="AR1331" t="str">
        <f>SUBSTITUTE(SUBSTITUTE(SUBSTITUTE("vnt"&amp;$B1331&amp;$C1331&amp;$D1331&amp;$E1331&amp;$F1331,".","_"),"(","_"),")","")</f>
        <v>vnt705_7</v>
      </c>
      <c r="AS1331">
        <f>X1331</f>
        <v>0</v>
      </c>
      <c r="BJ1331" s="573" t="s">
        <v>4670</v>
      </c>
    </row>
    <row r="1332" spans="1:62" x14ac:dyDescent="0.35">
      <c r="A1332" s="403">
        <v>7</v>
      </c>
      <c r="B1332" s="609">
        <v>705.7</v>
      </c>
      <c r="C1332" s="613"/>
      <c r="D1332" s="604"/>
      <c r="E1332" s="604"/>
      <c r="F1332" s="604"/>
      <c r="G1332" s="403" t="str">
        <f t="shared" ref="G1332:G1334" ca="1" si="402">G1331</f>
        <v/>
      </c>
      <c r="H1332" s="403" t="s">
        <v>4325</v>
      </c>
      <c r="I1332" s="4"/>
      <c r="J1332" s="104"/>
      <c r="K1332" s="104"/>
      <c r="L1332" s="780"/>
      <c r="M1332" s="690"/>
      <c r="N1332" s="696"/>
      <c r="O1332" s="696"/>
      <c r="X1332" s="688"/>
      <c r="Y1332" s="891"/>
      <c r="Z1332" s="892"/>
      <c r="BJ1332" s="573" t="s">
        <v>4670</v>
      </c>
    </row>
    <row r="1333" spans="1:62" x14ac:dyDescent="0.35">
      <c r="A1333" s="403">
        <v>7</v>
      </c>
      <c r="B1333" s="609">
        <v>705.7</v>
      </c>
      <c r="C1333" s="613"/>
      <c r="D1333" s="604"/>
      <c r="E1333" s="604"/>
      <c r="F1333" s="604"/>
      <c r="G1333" s="403" t="str">
        <f t="shared" ca="1" si="402"/>
        <v/>
      </c>
      <c r="H1333" s="403" t="s">
        <v>4325</v>
      </c>
      <c r="I1333" s="4"/>
      <c r="J1333" s="104"/>
      <c r="K1333" s="104"/>
      <c r="L1333" s="780"/>
      <c r="M1333" s="690"/>
      <c r="N1333" s="696"/>
      <c r="O1333" s="696"/>
      <c r="X1333" s="688"/>
      <c r="Y1333" s="891"/>
      <c r="Z1333" s="892"/>
      <c r="BJ1333" s="573" t="s">
        <v>4670</v>
      </c>
    </row>
    <row r="1334" spans="1:62" x14ac:dyDescent="0.35">
      <c r="A1334" s="403">
        <v>7</v>
      </c>
      <c r="B1334" s="609">
        <v>705.7</v>
      </c>
      <c r="C1334" s="613"/>
      <c r="D1334" s="604"/>
      <c r="E1334" s="604"/>
      <c r="F1334" s="604"/>
      <c r="G1334" s="403" t="str">
        <f t="shared" ca="1" si="402"/>
        <v/>
      </c>
      <c r="H1334" s="403" t="s">
        <v>4325</v>
      </c>
      <c r="I1334" s="4"/>
      <c r="J1334" s="104"/>
      <c r="K1334" s="104"/>
      <c r="L1334" s="780"/>
      <c r="M1334" s="690"/>
      <c r="N1334" s="696"/>
      <c r="O1334" s="696"/>
      <c r="X1334" s="688"/>
      <c r="Y1334" s="891"/>
      <c r="Z1334" s="892"/>
      <c r="BJ1334" s="573" t="s">
        <v>4670</v>
      </c>
    </row>
    <row r="1335" spans="1:62" ht="18.5" x14ac:dyDescent="0.45">
      <c r="A1335" s="403">
        <v>7</v>
      </c>
      <c r="B1335" s="609">
        <v>706</v>
      </c>
      <c r="C1335" s="613"/>
      <c r="D1335" s="604"/>
      <c r="E1335" s="604"/>
      <c r="F1335" s="604"/>
      <c r="G1335" s="403" t="s">
        <v>4326</v>
      </c>
      <c r="H1335" s="403" t="s">
        <v>4323</v>
      </c>
      <c r="I1335" s="10" t="s">
        <v>1256</v>
      </c>
      <c r="J1335" s="47"/>
      <c r="K1335" s="47"/>
      <c r="L1335" s="47"/>
      <c r="M1335" s="286"/>
      <c r="N1335" s="340"/>
      <c r="O1335" s="340"/>
      <c r="P1335" s="15"/>
      <c r="Q1335" s="15"/>
      <c r="R1335" s="15"/>
      <c r="S1335" s="15"/>
      <c r="T1335" s="15"/>
      <c r="U1335" s="15"/>
      <c r="V1335" s="15"/>
      <c r="W1335" s="15"/>
      <c r="X1335" s="15"/>
      <c r="Z1335" s="543"/>
      <c r="BJ1335" s="573" t="s">
        <v>4670</v>
      </c>
    </row>
    <row r="1336" spans="1:62" x14ac:dyDescent="0.35">
      <c r="A1336" s="403">
        <v>7</v>
      </c>
      <c r="B1336" s="609">
        <v>706.1</v>
      </c>
      <c r="C1336" s="613"/>
      <c r="D1336" s="604"/>
      <c r="E1336" s="604"/>
      <c r="F1336" s="604"/>
      <c r="G1336" s="403" t="str">
        <f>IF(N1336&gt;0,"P","")</f>
        <v/>
      </c>
      <c r="H1336" s="403" t="s">
        <v>4325</v>
      </c>
      <c r="I1336" s="32">
        <v>706.1</v>
      </c>
      <c r="J1336" s="104"/>
      <c r="K1336" s="104"/>
      <c r="L1336" s="706" t="s">
        <v>1257</v>
      </c>
      <c r="M1336" s="690" t="s">
        <v>875</v>
      </c>
      <c r="N1336" s="696">
        <f>'Ch7'!O572</f>
        <v>0</v>
      </c>
      <c r="O1336" s="696">
        <f>MIN(3,(M1338*S1338*W1338+M1339*S1339*W1339+M1340*S1340*W1340+M1341*S1341*W1341+M1343*S1343*W1343))</f>
        <v>1</v>
      </c>
      <c r="Z1336" s="543"/>
      <c r="AL1336" t="str">
        <f t="shared" ref="AL1336" si="403">SUBSTITUTE(SUBSTITUTE(SUBSTITUTE("vpa"&amp;$B1336&amp;$C1336&amp;$D1336&amp;$E1336&amp;$F1336,".","_"),"(","_"),")","")</f>
        <v>vpa706_1</v>
      </c>
      <c r="AM1336" t="str">
        <f>M1336</f>
        <v>3 Max</v>
      </c>
      <c r="AN1336" t="str">
        <f>SUBSTITUTE(SUBSTITUTE(SUBSTITUTE("vpc"&amp;$B1336&amp;$C1336&amp;$D1336&amp;$E1336&amp;$F1336,".","_"),"(","_"),")","")</f>
        <v>vpc706_1</v>
      </c>
      <c r="AO1336">
        <f>O1336</f>
        <v>1</v>
      </c>
      <c r="BJ1336" s="573" t="s">
        <v>4670</v>
      </c>
    </row>
    <row r="1337" spans="1:62" x14ac:dyDescent="0.35">
      <c r="A1337" s="403">
        <v>7</v>
      </c>
      <c r="B1337" s="609">
        <v>706.1</v>
      </c>
      <c r="C1337" s="613"/>
      <c r="D1337" s="604"/>
      <c r="E1337" s="604"/>
      <c r="F1337" s="604"/>
      <c r="G1337" s="403" t="str">
        <f t="shared" ref="G1337:G1343" si="404">G1336</f>
        <v/>
      </c>
      <c r="H1337" s="403" t="s">
        <v>4325</v>
      </c>
      <c r="I1337" s="4"/>
      <c r="J1337" s="104"/>
      <c r="K1337" s="104"/>
      <c r="L1337" s="706"/>
      <c r="M1337" s="690"/>
      <c r="N1337" s="696"/>
      <c r="O1337" s="696"/>
      <c r="Z1337" s="543"/>
      <c r="BJ1337" s="573" t="s">
        <v>4670</v>
      </c>
    </row>
    <row r="1338" spans="1:62" x14ac:dyDescent="0.35">
      <c r="A1338" s="403">
        <v>7</v>
      </c>
      <c r="B1338" s="609">
        <v>706.1</v>
      </c>
      <c r="C1338" s="613"/>
      <c r="D1338" s="604" t="s">
        <v>270</v>
      </c>
      <c r="E1338" s="604"/>
      <c r="F1338" s="604"/>
      <c r="G1338" s="403" t="str">
        <f t="shared" si="404"/>
        <v/>
      </c>
      <c r="H1338" s="403" t="s">
        <v>4325</v>
      </c>
      <c r="I1338" s="4"/>
      <c r="J1338" s="373" t="s">
        <v>270</v>
      </c>
      <c r="K1338" s="214"/>
      <c r="L1338" s="214" t="s">
        <v>1258</v>
      </c>
      <c r="M1338" s="198">
        <v>1</v>
      </c>
      <c r="N1338" s="85"/>
      <c r="O1338" s="85"/>
      <c r="Q1338" t="b">
        <v>1</v>
      </c>
      <c r="R1338" t="b">
        <v>0</v>
      </c>
      <c r="S1338" t="b">
        <v>1</v>
      </c>
      <c r="T1338" t="b">
        <v>0</v>
      </c>
      <c r="W1338" s="17" t="b">
        <v>1</v>
      </c>
      <c r="X1338" s="39"/>
      <c r="Y1338" s="200" t="str">
        <f>IF(LEN('Ch7'!X574)=0,"None",'Ch7'!X574)</f>
        <v>None</v>
      </c>
      <c r="Z1338" s="563"/>
      <c r="AC1338" t="b">
        <f>OR(AD1338:AE1338)</f>
        <v>0</v>
      </c>
      <c r="AD1338" t="b">
        <f>T1338</f>
        <v>0</v>
      </c>
      <c r="AE1338" t="b">
        <f>AND(R1338,NOT(W1338))</f>
        <v>0</v>
      </c>
      <c r="AF1338" t="b">
        <f t="shared" ref="AF1338:AF1341" si="405">AND(AE1338,NOT(Q1338))</f>
        <v>0</v>
      </c>
      <c r="AL1338" t="str">
        <f t="shared" ref="AL1338:AL1341" si="406">SUBSTITUTE(SUBSTITUTE(SUBSTITUTE("vpa"&amp;$B1338&amp;$C1338&amp;$D1338&amp;$E1338&amp;$F1338,".","_"),"(","_"),")","")</f>
        <v>vpa706_1_1</v>
      </c>
      <c r="AM1338">
        <f>M1338</f>
        <v>1</v>
      </c>
      <c r="AP1338" t="str">
        <f t="shared" ref="AP1338:AP1341" si="407">SUBSTITUTE(SUBSTITUTE(SUBSTITUTE("vch"&amp;$B1338&amp;$C1338&amp;$D1338&amp;$E1338&amp;$F1338,".","_"),"(","_"),")","")</f>
        <v>vch706_1_1</v>
      </c>
      <c r="AQ1338" t="b">
        <f>W1338</f>
        <v>1</v>
      </c>
      <c r="AR1338" t="str">
        <f t="shared" ref="AR1338:AR1341" si="408">SUBSTITUTE(SUBSTITUTE(SUBSTITUTE("vnt"&amp;$B1338&amp;$C1338&amp;$D1338&amp;$E1338&amp;$F1338,".","_"),"(","_"),")","")</f>
        <v>vnt706_1_1</v>
      </c>
      <c r="AS1338">
        <f>X1338</f>
        <v>0</v>
      </c>
      <c r="BJ1338" s="573" t="s">
        <v>4670</v>
      </c>
    </row>
    <row r="1339" spans="1:62" x14ac:dyDescent="0.35">
      <c r="A1339" s="403">
        <v>7</v>
      </c>
      <c r="B1339" s="609">
        <v>706.1</v>
      </c>
      <c r="C1339" s="613"/>
      <c r="D1339" s="604" t="s">
        <v>272</v>
      </c>
      <c r="E1339" s="604"/>
      <c r="F1339" s="604"/>
      <c r="G1339" s="403" t="str">
        <f t="shared" si="404"/>
        <v/>
      </c>
      <c r="H1339" s="403" t="s">
        <v>4325</v>
      </c>
      <c r="I1339" s="4"/>
      <c r="J1339" s="384" t="s">
        <v>272</v>
      </c>
      <c r="K1339" s="220"/>
      <c r="L1339" s="220" t="s">
        <v>1259</v>
      </c>
      <c r="M1339" s="153">
        <v>1</v>
      </c>
      <c r="N1339" s="85"/>
      <c r="O1339" s="85"/>
      <c r="Q1339" t="b">
        <v>1</v>
      </c>
      <c r="R1339" t="b">
        <v>0</v>
      </c>
      <c r="S1339" t="b">
        <v>1</v>
      </c>
      <c r="T1339" t="b">
        <v>0</v>
      </c>
      <c r="W1339" s="17"/>
      <c r="X1339" s="39"/>
      <c r="Y1339" s="200" t="str">
        <f>IF(LEN('Ch7'!X575)=0,"None",'Ch7'!X575)</f>
        <v>None</v>
      </c>
      <c r="Z1339" s="563"/>
      <c r="AC1339" t="b">
        <f>OR(AD1339:AE1339)</f>
        <v>0</v>
      </c>
      <c r="AD1339" t="b">
        <f>T1339</f>
        <v>0</v>
      </c>
      <c r="AE1339" t="b">
        <f>AND(R1339,NOT(W1339))</f>
        <v>0</v>
      </c>
      <c r="AF1339" t="b">
        <f t="shared" si="405"/>
        <v>0</v>
      </c>
      <c r="AL1339" t="str">
        <f t="shared" si="406"/>
        <v>vpa706_1_2</v>
      </c>
      <c r="AM1339">
        <f>M1339</f>
        <v>1</v>
      </c>
      <c r="AP1339" t="str">
        <f t="shared" si="407"/>
        <v>vch706_1_2</v>
      </c>
      <c r="AQ1339">
        <f>W1339</f>
        <v>0</v>
      </c>
      <c r="AR1339" t="str">
        <f t="shared" si="408"/>
        <v>vnt706_1_2</v>
      </c>
      <c r="AS1339">
        <f>X1339</f>
        <v>0</v>
      </c>
      <c r="BJ1339" s="573" t="s">
        <v>4670</v>
      </c>
    </row>
    <row r="1340" spans="1:62" x14ac:dyDescent="0.35">
      <c r="A1340" s="403">
        <v>7</v>
      </c>
      <c r="B1340" s="609">
        <v>706.1</v>
      </c>
      <c r="C1340" s="613"/>
      <c r="D1340" s="604" t="s">
        <v>274</v>
      </c>
      <c r="E1340" s="604"/>
      <c r="F1340" s="604"/>
      <c r="G1340" s="403" t="str">
        <f t="shared" si="404"/>
        <v/>
      </c>
      <c r="H1340" s="403" t="s">
        <v>4325</v>
      </c>
      <c r="I1340" s="4"/>
      <c r="J1340" s="384" t="s">
        <v>274</v>
      </c>
      <c r="K1340" s="220"/>
      <c r="L1340" s="220" t="s">
        <v>1260</v>
      </c>
      <c r="M1340" s="153">
        <v>3</v>
      </c>
      <c r="N1340" s="85"/>
      <c r="O1340" s="85"/>
      <c r="Q1340" t="b">
        <v>1</v>
      </c>
      <c r="R1340" t="b">
        <v>0</v>
      </c>
      <c r="S1340" t="b">
        <v>1</v>
      </c>
      <c r="T1340" t="b">
        <v>0</v>
      </c>
      <c r="W1340" s="17"/>
      <c r="X1340" s="39"/>
      <c r="Y1340" s="200" t="str">
        <f>IF(LEN('Ch7'!X576)=0,"None",'Ch7'!X576)</f>
        <v>None</v>
      </c>
      <c r="Z1340" s="563"/>
      <c r="AC1340" t="b">
        <f>OR(AD1340:AE1340)</f>
        <v>0</v>
      </c>
      <c r="AD1340" t="b">
        <f>T1340</f>
        <v>0</v>
      </c>
      <c r="AE1340" t="b">
        <f>AND(R1340,NOT(W1340))</f>
        <v>0</v>
      </c>
      <c r="AF1340" t="b">
        <f t="shared" si="405"/>
        <v>0</v>
      </c>
      <c r="AL1340" t="str">
        <f t="shared" si="406"/>
        <v>vpa706_1_3</v>
      </c>
      <c r="AM1340">
        <f>M1340</f>
        <v>3</v>
      </c>
      <c r="AP1340" t="str">
        <f t="shared" si="407"/>
        <v>vch706_1_3</v>
      </c>
      <c r="AQ1340">
        <f>W1340</f>
        <v>0</v>
      </c>
      <c r="AR1340" t="str">
        <f t="shared" si="408"/>
        <v>vnt706_1_3</v>
      </c>
      <c r="AS1340">
        <f>X1340</f>
        <v>0</v>
      </c>
      <c r="BJ1340" s="573" t="s">
        <v>4670</v>
      </c>
    </row>
    <row r="1341" spans="1:62" x14ac:dyDescent="0.35">
      <c r="A1341" s="403">
        <v>7</v>
      </c>
      <c r="B1341" s="609">
        <v>706.1</v>
      </c>
      <c r="C1341" s="613"/>
      <c r="D1341" s="604" t="s">
        <v>283</v>
      </c>
      <c r="E1341" s="604"/>
      <c r="F1341" s="604"/>
      <c r="G1341" s="403" t="str">
        <f t="shared" si="404"/>
        <v/>
      </c>
      <c r="H1341" s="403" t="s">
        <v>4325</v>
      </c>
      <c r="I1341" s="4"/>
      <c r="J1341" s="385" t="s">
        <v>283</v>
      </c>
      <c r="K1341" s="320"/>
      <c r="L1341" s="757" t="s">
        <v>1261</v>
      </c>
      <c r="M1341" s="712">
        <v>1</v>
      </c>
      <c r="N1341" s="85"/>
      <c r="O1341" s="85"/>
      <c r="Q1341" t="b">
        <v>1</v>
      </c>
      <c r="R1341" t="b">
        <v>0</v>
      </c>
      <c r="S1341" t="b">
        <v>1</v>
      </c>
      <c r="T1341" t="b">
        <v>0</v>
      </c>
      <c r="W1341" s="17"/>
      <c r="X1341" s="688"/>
      <c r="Y1341" s="891" t="str">
        <f>IF(LEN('Ch7'!X577)=0,"None",'Ch7'!X577)</f>
        <v>None</v>
      </c>
      <c r="Z1341" s="892"/>
      <c r="AC1341" t="b">
        <f>OR(AD1341:AE1341)</f>
        <v>0</v>
      </c>
      <c r="AD1341" t="b">
        <f>T1341</f>
        <v>0</v>
      </c>
      <c r="AE1341" t="b">
        <f>AND(R1341,NOT(W1341))</f>
        <v>0</v>
      </c>
      <c r="AF1341" t="b">
        <f t="shared" si="405"/>
        <v>0</v>
      </c>
      <c r="AL1341" t="str">
        <f t="shared" si="406"/>
        <v>vpa706_1_4</v>
      </c>
      <c r="AM1341">
        <f>M1341</f>
        <v>1</v>
      </c>
      <c r="AP1341" t="str">
        <f t="shared" si="407"/>
        <v>vch706_1_4</v>
      </c>
      <c r="AQ1341">
        <f>W1341</f>
        <v>0</v>
      </c>
      <c r="AR1341" t="str">
        <f t="shared" si="408"/>
        <v>vnt706_1_4</v>
      </c>
      <c r="AS1341">
        <f>X1341</f>
        <v>0</v>
      </c>
      <c r="BJ1341" s="573" t="s">
        <v>4670</v>
      </c>
    </row>
    <row r="1342" spans="1:62" x14ac:dyDescent="0.35">
      <c r="A1342" s="403">
        <v>7</v>
      </c>
      <c r="B1342" s="609">
        <v>706.1</v>
      </c>
      <c r="C1342" s="613"/>
      <c r="D1342" s="604" t="s">
        <v>283</v>
      </c>
      <c r="E1342" s="604"/>
      <c r="F1342" s="604"/>
      <c r="G1342" s="403" t="str">
        <f t="shared" si="404"/>
        <v/>
      </c>
      <c r="H1342" s="403" t="s">
        <v>4325</v>
      </c>
      <c r="I1342" s="4"/>
      <c r="J1342" s="373"/>
      <c r="K1342" s="214"/>
      <c r="L1342" s="724"/>
      <c r="M1342" s="691"/>
      <c r="N1342" s="85"/>
      <c r="O1342" s="85"/>
      <c r="X1342" s="688"/>
      <c r="Y1342" s="891"/>
      <c r="Z1342" s="892"/>
      <c r="BJ1342" s="573" t="s">
        <v>4670</v>
      </c>
    </row>
    <row r="1343" spans="1:62" ht="15" thickBot="1" x14ac:dyDescent="0.4">
      <c r="A1343" s="403">
        <v>7</v>
      </c>
      <c r="B1343" s="609">
        <v>706.1</v>
      </c>
      <c r="C1343" s="613"/>
      <c r="D1343" s="604" t="s">
        <v>289</v>
      </c>
      <c r="E1343" s="604"/>
      <c r="F1343" s="604"/>
      <c r="G1343" s="403" t="str">
        <f t="shared" si="404"/>
        <v/>
      </c>
      <c r="H1343" s="403" t="s">
        <v>4325</v>
      </c>
      <c r="I1343" s="183"/>
      <c r="J1343" s="375" t="s">
        <v>289</v>
      </c>
      <c r="K1343" s="223"/>
      <c r="L1343" s="223" t="s">
        <v>1262</v>
      </c>
      <c r="M1343" s="270">
        <v>1</v>
      </c>
      <c r="N1343" s="184"/>
      <c r="O1343" s="184"/>
      <c r="P1343" t="b">
        <v>0</v>
      </c>
      <c r="Q1343" t="b">
        <v>1</v>
      </c>
      <c r="R1343" s="58" t="b">
        <v>0</v>
      </c>
      <c r="S1343" s="58" t="b">
        <v>1</v>
      </c>
      <c r="T1343" s="58" t="b">
        <v>0</v>
      </c>
      <c r="U1343" s="58"/>
      <c r="V1343" s="58"/>
      <c r="W1343" s="59"/>
      <c r="X1343" s="113"/>
      <c r="Y1343" s="201" t="str">
        <f>IF(LEN('Ch7'!X579)=0,"None",'Ch7'!X579)</f>
        <v>None</v>
      </c>
      <c r="Z1343" s="567"/>
      <c r="AC1343" t="b">
        <f>OR(AD1343:AE1343)</f>
        <v>0</v>
      </c>
      <c r="AD1343" t="b">
        <f>T1343</f>
        <v>0</v>
      </c>
      <c r="AE1343" t="b">
        <f>AND(R1343,NOT(W1343))</f>
        <v>0</v>
      </c>
      <c r="AF1343" t="b">
        <f>AND(AE1343,NOT(Q1343))</f>
        <v>0</v>
      </c>
      <c r="AL1343" t="str">
        <f t="shared" ref="AL1343" si="409">SUBSTITUTE(SUBSTITUTE(SUBSTITUTE("vpa"&amp;$B1343&amp;$C1343&amp;$D1343&amp;$E1343&amp;$F1343,".","_"),"(","_"),")","")</f>
        <v>vpa706_1_5</v>
      </c>
      <c r="AM1343">
        <f>M1343</f>
        <v>1</v>
      </c>
      <c r="AP1343" t="str">
        <f>SUBSTITUTE(SUBSTITUTE(SUBSTITUTE("vch"&amp;$B1343&amp;$C1343&amp;$D1343&amp;$E1343&amp;$F1343,".","_"),"(","_"),")","")</f>
        <v>vch706_1_5</v>
      </c>
      <c r="AQ1343">
        <f>W1343</f>
        <v>0</v>
      </c>
      <c r="AR1343" t="str">
        <f>SUBSTITUTE(SUBSTITUTE(SUBSTITUTE("vnt"&amp;$B1343&amp;$C1343&amp;$D1343&amp;$E1343&amp;$F1343,".","_"),"(","_"),")","")</f>
        <v>vnt706_1_5</v>
      </c>
      <c r="AS1343">
        <f>X1343</f>
        <v>0</v>
      </c>
      <c r="BJ1343" s="573" t="s">
        <v>4670</v>
      </c>
    </row>
    <row r="1344" spans="1:62" ht="15" thickTop="1" x14ac:dyDescent="0.35">
      <c r="A1344" s="403">
        <v>7</v>
      </c>
      <c r="B1344" s="609">
        <v>706.2</v>
      </c>
      <c r="C1344" s="613"/>
      <c r="D1344" s="604"/>
      <c r="E1344" s="604"/>
      <c r="F1344" s="604"/>
      <c r="G1344" s="600" t="str">
        <f ca="1">IF(COUNTIF(G1346:G1349,"P")&gt;0,"P","")</f>
        <v/>
      </c>
      <c r="H1344" s="403" t="s">
        <v>4325</v>
      </c>
      <c r="I1344" s="32">
        <v>706.2</v>
      </c>
      <c r="J1344" s="104"/>
      <c r="K1344" s="104"/>
      <c r="L1344" s="783" t="s">
        <v>1263</v>
      </c>
      <c r="M1344" s="43"/>
      <c r="N1344" s="85"/>
      <c r="O1344" s="85"/>
      <c r="Z1344" s="543"/>
      <c r="BJ1344" s="573" t="s">
        <v>4670</v>
      </c>
    </row>
    <row r="1345" spans="1:62" x14ac:dyDescent="0.35">
      <c r="A1345" s="403">
        <v>7</v>
      </c>
      <c r="B1345" s="609">
        <v>706.2</v>
      </c>
      <c r="C1345" s="613"/>
      <c r="D1345" s="604"/>
      <c r="E1345" s="604"/>
      <c r="F1345" s="604"/>
      <c r="G1345" s="403" t="str">
        <f t="shared" ref="G1345" ca="1" si="410">G1344</f>
        <v/>
      </c>
      <c r="H1345" s="403" t="s">
        <v>4325</v>
      </c>
      <c r="I1345" s="32"/>
      <c r="J1345" s="104"/>
      <c r="K1345" s="104"/>
      <c r="L1345" s="783"/>
      <c r="M1345" s="43"/>
      <c r="N1345" s="85"/>
      <c r="O1345" s="85"/>
      <c r="Z1345" s="543"/>
      <c r="BJ1345" s="573" t="s">
        <v>4670</v>
      </c>
    </row>
    <row r="1346" spans="1:62" x14ac:dyDescent="0.35">
      <c r="A1346" s="403">
        <v>7</v>
      </c>
      <c r="B1346" s="609">
        <v>706.2</v>
      </c>
      <c r="C1346" s="613"/>
      <c r="D1346" s="604" t="s">
        <v>270</v>
      </c>
      <c r="E1346" s="604"/>
      <c r="F1346" s="604"/>
      <c r="G1346" s="403" t="str">
        <f>IF(N1346&gt;0,"P","")</f>
        <v/>
      </c>
      <c r="H1346" s="403" t="s">
        <v>4325</v>
      </c>
      <c r="I1346" s="4"/>
      <c r="J1346" s="179" t="s">
        <v>270</v>
      </c>
      <c r="K1346" s="104"/>
      <c r="L1346" s="707" t="s">
        <v>1264</v>
      </c>
      <c r="M1346" s="690">
        <v>1</v>
      </c>
      <c r="N1346" s="696">
        <f>'Ch7'!O582</f>
        <v>0</v>
      </c>
      <c r="O1346" s="696">
        <f>M1346*S1346*W1346</f>
        <v>0</v>
      </c>
      <c r="P1346" t="b">
        <v>0</v>
      </c>
      <c r="Q1346" t="b">
        <v>1</v>
      </c>
      <c r="R1346" t="b">
        <v>0</v>
      </c>
      <c r="S1346" t="b">
        <v>1</v>
      </c>
      <c r="T1346" t="b">
        <v>0</v>
      </c>
      <c r="W1346" s="17"/>
      <c r="X1346" s="688"/>
      <c r="Y1346" s="891" t="str">
        <f>IF(LEN('Ch7'!X582)=0,"None",'Ch7'!X582)</f>
        <v>None</v>
      </c>
      <c r="Z1346" s="892"/>
      <c r="AC1346" t="b">
        <f>OR(AD1346:AE1346)</f>
        <v>0</v>
      </c>
      <c r="AD1346" t="b">
        <f>T1346</f>
        <v>0</v>
      </c>
      <c r="AE1346" t="b">
        <f>AND(R1346,NOT(W1346))</f>
        <v>0</v>
      </c>
      <c r="AF1346" t="b">
        <f>AND(AE1346,NOT(Q1346))</f>
        <v>0</v>
      </c>
      <c r="AL1346" t="str">
        <f t="shared" ref="AL1346" si="411">SUBSTITUTE(SUBSTITUTE(SUBSTITUTE("vpa"&amp;$B1346&amp;$C1346&amp;$D1346&amp;$E1346&amp;$F1346,".","_"),"(","_"),")","")</f>
        <v>vpa706_2_1</v>
      </c>
      <c r="AM1346">
        <f>M1346</f>
        <v>1</v>
      </c>
      <c r="AN1346" t="str">
        <f>SUBSTITUTE(SUBSTITUTE(SUBSTITUTE("vpc"&amp;$B1346&amp;$C1346&amp;$D1346&amp;$E1346&amp;$F1346,".","_"),"(","_"),")","")</f>
        <v>vpc706_2_1</v>
      </c>
      <c r="AO1346">
        <f>O1346</f>
        <v>0</v>
      </c>
      <c r="AP1346" t="str">
        <f>SUBSTITUTE(SUBSTITUTE(SUBSTITUTE("vch"&amp;$B1346&amp;$C1346&amp;$D1346&amp;$E1346&amp;$F1346,".","_"),"(","_"),")","")</f>
        <v>vch706_2_1</v>
      </c>
      <c r="AQ1346">
        <f>W1346</f>
        <v>0</v>
      </c>
      <c r="AR1346" t="str">
        <f>SUBSTITUTE(SUBSTITUTE(SUBSTITUTE("vnt"&amp;$B1346&amp;$C1346&amp;$D1346&amp;$E1346&amp;$F1346,".","_"),"(","_"),")","")</f>
        <v>vnt706_2_1</v>
      </c>
      <c r="AS1346">
        <f>X1346</f>
        <v>0</v>
      </c>
      <c r="BJ1346" s="573" t="s">
        <v>4670</v>
      </c>
    </row>
    <row r="1347" spans="1:62" x14ac:dyDescent="0.35">
      <c r="A1347" s="403">
        <v>7</v>
      </c>
      <c r="B1347" s="609">
        <v>706.2</v>
      </c>
      <c r="C1347" s="613"/>
      <c r="D1347" s="604" t="s">
        <v>270</v>
      </c>
      <c r="E1347" s="604"/>
      <c r="F1347" s="604"/>
      <c r="G1347" s="403" t="str">
        <f t="shared" ref="G1347:G1348" si="412">G1346</f>
        <v/>
      </c>
      <c r="H1347" s="403" t="s">
        <v>4325</v>
      </c>
      <c r="I1347" s="4"/>
      <c r="J1347" s="104"/>
      <c r="K1347" s="104"/>
      <c r="L1347" s="707"/>
      <c r="M1347" s="690"/>
      <c r="N1347" s="696"/>
      <c r="O1347" s="696"/>
      <c r="X1347" s="688"/>
      <c r="Y1347" s="891"/>
      <c r="Z1347" s="892"/>
      <c r="BJ1347" s="573" t="s">
        <v>4670</v>
      </c>
    </row>
    <row r="1348" spans="1:62" x14ac:dyDescent="0.35">
      <c r="A1348" s="403">
        <v>7</v>
      </c>
      <c r="B1348" s="609">
        <v>706.2</v>
      </c>
      <c r="C1348" s="613"/>
      <c r="D1348" s="604" t="s">
        <v>270</v>
      </c>
      <c r="E1348" s="604"/>
      <c r="F1348" s="604"/>
      <c r="G1348" s="403" t="str">
        <f t="shared" si="412"/>
        <v/>
      </c>
      <c r="H1348" s="403" t="s">
        <v>4325</v>
      </c>
      <c r="I1348" s="4"/>
      <c r="J1348" s="214"/>
      <c r="K1348" s="214"/>
      <c r="L1348" s="709"/>
      <c r="M1348" s="690"/>
      <c r="N1348" s="696"/>
      <c r="O1348" s="696"/>
      <c r="X1348" s="688"/>
      <c r="Y1348" s="891"/>
      <c r="Z1348" s="892"/>
      <c r="BJ1348" s="573" t="s">
        <v>4670</v>
      </c>
    </row>
    <row r="1349" spans="1:62" x14ac:dyDescent="0.35">
      <c r="A1349" s="403">
        <v>7</v>
      </c>
      <c r="B1349" s="609">
        <v>706.2</v>
      </c>
      <c r="C1349" s="613"/>
      <c r="D1349" s="604" t="s">
        <v>272</v>
      </c>
      <c r="E1349" s="604"/>
      <c r="F1349" s="604"/>
      <c r="G1349" s="403" t="str">
        <f ca="1">IF(N1349&gt;0,"P","")</f>
        <v/>
      </c>
      <c r="H1349" s="403" t="s">
        <v>4325</v>
      </c>
      <c r="I1349" s="4"/>
      <c r="J1349" s="179" t="s">
        <v>272</v>
      </c>
      <c r="K1349" s="104"/>
      <c r="L1349" s="707" t="s">
        <v>1265</v>
      </c>
      <c r="M1349" s="43"/>
      <c r="N1349" s="696">
        <f ca="1">'Ch7'!O585</f>
        <v>0</v>
      </c>
      <c r="O1349" s="696">
        <f ca="1">IFERROR(INDEX({1,2},MATCH(W1349,INDIRECT(U1349),0)),0)</f>
        <v>0</v>
      </c>
      <c r="P1349" t="b">
        <v>0</v>
      </c>
      <c r="Q1349" t="b">
        <v>1</v>
      </c>
      <c r="R1349" t="b">
        <v>0</v>
      </c>
      <c r="S1349" t="b">
        <v>1</v>
      </c>
      <c r="T1349" t="b">
        <v>0</v>
      </c>
      <c r="U1349" t="str">
        <f>SUBSTITUTE(SUBSTITUTE(SUBSTITUTE("dd"&amp;B1349&amp;C1349&amp;D1349&amp;E1349&amp;F1349,".","_"),"(","_"),")","")</f>
        <v>dd706_2_2</v>
      </c>
      <c r="W1349" s="9"/>
      <c r="X1349" s="688"/>
      <c r="Y1349" s="891" t="str">
        <f>IF(LEN('Ch7'!X585)=0,"None",'Ch7'!X585)</f>
        <v>None</v>
      </c>
      <c r="Z1349" s="892"/>
      <c r="AC1349" t="b">
        <f>OR(AD1349:AE1349)</f>
        <v>0</v>
      </c>
      <c r="AD1349" t="b">
        <f>T1349</f>
        <v>0</v>
      </c>
      <c r="AE1349" t="b">
        <f>AND(R1349,OR(W1349="Not Met",W1349=""))</f>
        <v>0</v>
      </c>
      <c r="AF1349" t="b">
        <f>AND(AE1349,NOT(Q1349))</f>
        <v>0</v>
      </c>
      <c r="AN1349" t="str">
        <f>SUBSTITUTE(SUBSTITUTE(SUBSTITUTE("vpc"&amp;$B1349&amp;$C1349&amp;$D1349&amp;$E1349&amp;$F1349,".","_"),"(","_"),")","")</f>
        <v>vpc706_2_2</v>
      </c>
      <c r="AO1349">
        <f ca="1">O1349</f>
        <v>0</v>
      </c>
      <c r="AP1349" t="str">
        <f>SUBSTITUTE(SUBSTITUTE(SUBSTITUTE("vch"&amp;$B1349&amp;$C1349&amp;$D1349&amp;$E1349&amp;$F1349,".","_"),"(","_"),")","")</f>
        <v>vch706_2_2</v>
      </c>
      <c r="AQ1349">
        <f>W1349</f>
        <v>0</v>
      </c>
      <c r="AR1349" t="str">
        <f>SUBSTITUTE(SUBSTITUTE(SUBSTITUTE("vnt"&amp;$B1349&amp;$C1349&amp;$D1349&amp;$E1349&amp;$F1349,".","_"),"(","_"),")","")</f>
        <v>vnt706_2_2</v>
      </c>
      <c r="AS1349">
        <f>X1349</f>
        <v>0</v>
      </c>
      <c r="BJ1349" s="573" t="s">
        <v>4670</v>
      </c>
    </row>
    <row r="1350" spans="1:62" x14ac:dyDescent="0.35">
      <c r="A1350" s="403">
        <v>7</v>
      </c>
      <c r="B1350" s="609">
        <v>706.2</v>
      </c>
      <c r="C1350" s="613"/>
      <c r="D1350" s="604" t="s">
        <v>272</v>
      </c>
      <c r="E1350" s="604"/>
      <c r="F1350" s="604"/>
      <c r="G1350" s="403" t="str">
        <f t="shared" ref="G1350:G1355" ca="1" si="413">G1349</f>
        <v/>
      </c>
      <c r="H1350" s="403" t="s">
        <v>4325</v>
      </c>
      <c r="I1350" s="4"/>
      <c r="J1350" s="104"/>
      <c r="K1350" s="104"/>
      <c r="L1350" s="707"/>
      <c r="M1350" s="43"/>
      <c r="N1350" s="696"/>
      <c r="O1350" s="696"/>
      <c r="X1350" s="688"/>
      <c r="Y1350" s="891"/>
      <c r="Z1350" s="892"/>
      <c r="BJ1350" s="573" t="s">
        <v>4670</v>
      </c>
    </row>
    <row r="1351" spans="1:62" x14ac:dyDescent="0.35">
      <c r="A1351" s="403">
        <v>7</v>
      </c>
      <c r="B1351" s="609">
        <v>706.2</v>
      </c>
      <c r="C1351" s="613"/>
      <c r="D1351" s="604" t="s">
        <v>272</v>
      </c>
      <c r="E1351" s="604"/>
      <c r="F1351" s="604"/>
      <c r="G1351" s="403" t="str">
        <f t="shared" ca="1" si="413"/>
        <v/>
      </c>
      <c r="H1351" s="403" t="s">
        <v>4325</v>
      </c>
      <c r="I1351" s="4"/>
      <c r="J1351" s="104"/>
      <c r="K1351" s="104"/>
      <c r="L1351" s="707"/>
      <c r="M1351" s="43"/>
      <c r="N1351" s="696"/>
      <c r="O1351" s="696"/>
      <c r="X1351" s="688"/>
      <c r="Y1351" s="891"/>
      <c r="Z1351" s="892"/>
      <c r="BJ1351" s="573" t="s">
        <v>4670</v>
      </c>
    </row>
    <row r="1352" spans="1:62" x14ac:dyDescent="0.35">
      <c r="A1352" s="403">
        <v>7</v>
      </c>
      <c r="B1352" s="609">
        <v>706.2</v>
      </c>
      <c r="C1352" s="613"/>
      <c r="D1352" s="604" t="s">
        <v>272</v>
      </c>
      <c r="E1352" s="604" t="s">
        <v>121</v>
      </c>
      <c r="F1352" s="604"/>
      <c r="G1352" s="403" t="str">
        <f t="shared" ca="1" si="413"/>
        <v/>
      </c>
      <c r="H1352" s="403" t="s">
        <v>4325</v>
      </c>
      <c r="I1352" s="4"/>
      <c r="J1352" s="104"/>
      <c r="K1352" s="175" t="s">
        <v>121</v>
      </c>
      <c r="L1352" s="707" t="s">
        <v>1266</v>
      </c>
      <c r="M1352" s="690">
        <v>1</v>
      </c>
      <c r="N1352" s="85"/>
      <c r="O1352" s="85"/>
      <c r="X1352" s="688"/>
      <c r="Y1352" s="891"/>
      <c r="Z1352" s="892"/>
      <c r="AL1352" t="str">
        <f t="shared" ref="AL1352" si="414">SUBSTITUTE(SUBSTITUTE(SUBSTITUTE("vpa"&amp;$B1352&amp;$C1352&amp;$D1352&amp;$E1352&amp;$F1352,".","_"),"(","_"),")","")</f>
        <v>vpa706_2_2_a</v>
      </c>
      <c r="AM1352">
        <f>M1352</f>
        <v>1</v>
      </c>
      <c r="BJ1352" s="573" t="s">
        <v>4670</v>
      </c>
    </row>
    <row r="1353" spans="1:62" x14ac:dyDescent="0.35">
      <c r="A1353" s="403">
        <v>7</v>
      </c>
      <c r="B1353" s="609">
        <v>706.2</v>
      </c>
      <c r="C1353" s="613"/>
      <c r="D1353" s="604" t="s">
        <v>272</v>
      </c>
      <c r="E1353" s="604" t="s">
        <v>121</v>
      </c>
      <c r="F1353" s="604"/>
      <c r="G1353" s="403" t="str">
        <f t="shared" ca="1" si="413"/>
        <v/>
      </c>
      <c r="H1353" s="403" t="s">
        <v>4325</v>
      </c>
      <c r="I1353" s="4"/>
      <c r="J1353" s="104"/>
      <c r="K1353" s="359"/>
      <c r="L1353" s="709"/>
      <c r="M1353" s="691"/>
      <c r="N1353" s="85"/>
      <c r="O1353" s="85"/>
      <c r="X1353" s="688"/>
      <c r="Y1353" s="891"/>
      <c r="Z1353" s="892"/>
      <c r="BJ1353" s="573" t="s">
        <v>4670</v>
      </c>
    </row>
    <row r="1354" spans="1:62" x14ac:dyDescent="0.35">
      <c r="A1354" s="403">
        <v>7</v>
      </c>
      <c r="B1354" s="609">
        <v>706.2</v>
      </c>
      <c r="C1354" s="613"/>
      <c r="D1354" s="604" t="s">
        <v>272</v>
      </c>
      <c r="E1354" s="604" t="s">
        <v>122</v>
      </c>
      <c r="F1354" s="604"/>
      <c r="G1354" s="403" t="str">
        <f t="shared" ca="1" si="413"/>
        <v/>
      </c>
      <c r="H1354" s="403" t="s">
        <v>4325</v>
      </c>
      <c r="I1354" s="4"/>
      <c r="J1354" s="104"/>
      <c r="K1354" s="175" t="s">
        <v>122</v>
      </c>
      <c r="L1354" s="707" t="s">
        <v>1267</v>
      </c>
      <c r="M1354" s="690">
        <v>2</v>
      </c>
      <c r="N1354" s="85"/>
      <c r="O1354" s="85"/>
      <c r="X1354" s="688"/>
      <c r="Y1354" s="891"/>
      <c r="Z1354" s="892"/>
      <c r="AL1354" t="str">
        <f t="shared" ref="AL1354" si="415">SUBSTITUTE(SUBSTITUTE(SUBSTITUTE("vpa"&amp;$B1354&amp;$C1354&amp;$D1354&amp;$E1354&amp;$F1354,".","_"),"(","_"),")","")</f>
        <v>vpa706_2_2_b</v>
      </c>
      <c r="AM1354">
        <f>M1354</f>
        <v>2</v>
      </c>
      <c r="BJ1354" s="573" t="s">
        <v>4670</v>
      </c>
    </row>
    <row r="1355" spans="1:62" ht="15" thickBot="1" x14ac:dyDescent="0.4">
      <c r="A1355" s="403">
        <v>7</v>
      </c>
      <c r="B1355" s="609">
        <v>706.2</v>
      </c>
      <c r="C1355" s="613"/>
      <c r="D1355" s="604" t="s">
        <v>272</v>
      </c>
      <c r="E1355" s="604" t="s">
        <v>122</v>
      </c>
      <c r="F1355" s="604"/>
      <c r="G1355" s="403" t="str">
        <f t="shared" ca="1" si="413"/>
        <v/>
      </c>
      <c r="H1355" s="403" t="s">
        <v>4325</v>
      </c>
      <c r="I1355" s="183"/>
      <c r="J1355" s="223"/>
      <c r="K1355" s="223"/>
      <c r="L1355" s="708"/>
      <c r="M1355" s="693"/>
      <c r="N1355" s="184"/>
      <c r="O1355" s="184"/>
      <c r="P1355" s="58"/>
      <c r="Q1355" s="58"/>
      <c r="R1355" s="58"/>
      <c r="S1355" s="58"/>
      <c r="T1355" s="58"/>
      <c r="U1355" s="58"/>
      <c r="V1355" s="58"/>
      <c r="W1355" s="58"/>
      <c r="X1355" s="689"/>
      <c r="Y1355" s="905"/>
      <c r="Z1355" s="895"/>
      <c r="BJ1355" s="573" t="s">
        <v>4670</v>
      </c>
    </row>
    <row r="1356" spans="1:62" ht="15" thickTop="1" x14ac:dyDescent="0.35">
      <c r="A1356" s="403">
        <v>7</v>
      </c>
      <c r="B1356" s="609">
        <v>706.3</v>
      </c>
      <c r="C1356" s="613"/>
      <c r="D1356" s="604"/>
      <c r="E1356" s="604"/>
      <c r="F1356" s="604"/>
      <c r="G1356" s="403" t="str">
        <f>IF(N1356&gt;0,"P","")</f>
        <v/>
      </c>
      <c r="H1356" s="403" t="s">
        <v>4325</v>
      </c>
      <c r="I1356" s="32">
        <v>706.3</v>
      </c>
      <c r="J1356" s="104"/>
      <c r="K1356" s="104"/>
      <c r="L1356" s="783" t="s">
        <v>1268</v>
      </c>
      <c r="M1356" s="43"/>
      <c r="N1356" s="696">
        <f>'Ch7'!O592</f>
        <v>0</v>
      </c>
      <c r="O1356" s="696">
        <f>IFERROR(INDEX({0,1,2},MATCH((1*S1364*W1364+1*S1365*W1365+1*S1366*W1366+1*S1367*W1367+1*S1368*W1368+1*S1369*W1369+2*S1370*W1370+2*S1371*W1371),{0,3,6},1)),0)</f>
        <v>0</v>
      </c>
      <c r="X1356" s="700"/>
      <c r="Y1356" s="904" t="str">
        <f>IF(LEN('Ch7'!X592)=0,"None",'Ch7'!X592)</f>
        <v>None</v>
      </c>
      <c r="Z1356" s="896"/>
      <c r="AN1356" t="str">
        <f>SUBSTITUTE(SUBSTITUTE(SUBSTITUTE("vpc"&amp;$B1356&amp;$C1356&amp;$D1356&amp;$E1356&amp;$F1356,".","_"),"(","_"),")","")</f>
        <v>vpc706_3</v>
      </c>
      <c r="AO1356">
        <f>O1356</f>
        <v>0</v>
      </c>
      <c r="AR1356" t="str">
        <f>SUBSTITUTE(SUBSTITUTE(SUBSTITUTE("vnt"&amp;$B1356&amp;$C1356&amp;$D1356&amp;$E1356&amp;$F1356,".","_"),"(","_"),")","")</f>
        <v>vnt706_3</v>
      </c>
      <c r="AS1356">
        <f>X1356</f>
        <v>0</v>
      </c>
      <c r="BJ1356" s="573" t="s">
        <v>4670</v>
      </c>
    </row>
    <row r="1357" spans="1:62" x14ac:dyDescent="0.35">
      <c r="A1357" s="403">
        <v>7</v>
      </c>
      <c r="B1357" s="609">
        <v>706.3</v>
      </c>
      <c r="C1357" s="613"/>
      <c r="D1357" s="604"/>
      <c r="E1357" s="604"/>
      <c r="F1357" s="604"/>
      <c r="G1357" s="403" t="str">
        <f t="shared" ref="G1357:G1371" si="416">G1356</f>
        <v/>
      </c>
      <c r="H1357" s="403" t="s">
        <v>4325</v>
      </c>
      <c r="I1357" s="32"/>
      <c r="J1357" s="104"/>
      <c r="K1357" s="104"/>
      <c r="L1357" s="783"/>
      <c r="M1357" s="43"/>
      <c r="N1357" s="696"/>
      <c r="O1357" s="696"/>
      <c r="X1357" s="688"/>
      <c r="Y1357" s="891"/>
      <c r="Z1357" s="892"/>
      <c r="BJ1357" s="573" t="s">
        <v>4670</v>
      </c>
    </row>
    <row r="1358" spans="1:62" x14ac:dyDescent="0.35">
      <c r="A1358" s="403">
        <v>7</v>
      </c>
      <c r="B1358" s="609">
        <v>706.3</v>
      </c>
      <c r="C1358" s="613"/>
      <c r="D1358" s="604"/>
      <c r="E1358" s="604" t="s">
        <v>121</v>
      </c>
      <c r="F1358" s="604"/>
      <c r="G1358" s="403" t="str">
        <f t="shared" si="416"/>
        <v/>
      </c>
      <c r="H1358" s="403" t="s">
        <v>4325</v>
      </c>
      <c r="I1358" s="4"/>
      <c r="J1358" s="104"/>
      <c r="K1358" s="104"/>
      <c r="L1358" s="181" t="s">
        <v>1269</v>
      </c>
      <c r="M1358" s="43">
        <v>1</v>
      </c>
      <c r="N1358" s="85"/>
      <c r="O1358" s="85"/>
      <c r="X1358" s="688"/>
      <c r="Y1358" s="891"/>
      <c r="Z1358" s="892"/>
      <c r="AL1358" t="str">
        <f t="shared" ref="AL1358:AL1359" si="417">SUBSTITUTE(SUBSTITUTE(SUBSTITUTE("vpa"&amp;$B1358&amp;$C1358&amp;$D1358&amp;$E1358&amp;$F1358,".","_"),"(","_"),")","")</f>
        <v>vpa706_3_a</v>
      </c>
      <c r="AM1358">
        <f>M1358</f>
        <v>1</v>
      </c>
      <c r="BJ1358" s="573" t="s">
        <v>4670</v>
      </c>
    </row>
    <row r="1359" spans="1:62" x14ac:dyDescent="0.35">
      <c r="A1359" s="403">
        <v>7</v>
      </c>
      <c r="B1359" s="609">
        <v>706.3</v>
      </c>
      <c r="C1359" s="613"/>
      <c r="D1359" s="604"/>
      <c r="E1359" s="604" t="s">
        <v>122</v>
      </c>
      <c r="F1359" s="604"/>
      <c r="G1359" s="403" t="str">
        <f t="shared" si="416"/>
        <v/>
      </c>
      <c r="H1359" s="403" t="s">
        <v>4325</v>
      </c>
      <c r="I1359" s="4"/>
      <c r="J1359" s="104"/>
      <c r="K1359" s="104"/>
      <c r="L1359" s="181" t="s">
        <v>1270</v>
      </c>
      <c r="M1359" s="43">
        <v>2</v>
      </c>
      <c r="N1359" s="85"/>
      <c r="O1359" s="85"/>
      <c r="X1359" s="688"/>
      <c r="Y1359" s="891"/>
      <c r="Z1359" s="892"/>
      <c r="AL1359" t="str">
        <f t="shared" si="417"/>
        <v>vpa706_3_b</v>
      </c>
      <c r="AM1359">
        <f>M1359</f>
        <v>2</v>
      </c>
      <c r="BJ1359" s="573" t="s">
        <v>4670</v>
      </c>
    </row>
    <row r="1360" spans="1:62" x14ac:dyDescent="0.35">
      <c r="A1360" s="403">
        <v>7</v>
      </c>
      <c r="B1360" s="609">
        <v>706.3</v>
      </c>
      <c r="C1360" s="613"/>
      <c r="D1360" s="604"/>
      <c r="E1360" s="604"/>
      <c r="F1360" s="604"/>
      <c r="G1360" s="403" t="str">
        <f t="shared" si="416"/>
        <v/>
      </c>
      <c r="H1360" s="403" t="s">
        <v>4325</v>
      </c>
      <c r="I1360" s="4"/>
      <c r="K1360" s="182"/>
      <c r="L1360" s="752" t="s">
        <v>1271</v>
      </c>
      <c r="M1360" s="43"/>
      <c r="N1360" s="85"/>
      <c r="O1360" s="85"/>
      <c r="X1360" s="688"/>
      <c r="Y1360" s="891"/>
      <c r="Z1360" s="892"/>
      <c r="BJ1360" s="573" t="s">
        <v>4670</v>
      </c>
    </row>
    <row r="1361" spans="1:62" x14ac:dyDescent="0.35">
      <c r="A1361" s="403">
        <v>7</v>
      </c>
      <c r="B1361" s="609">
        <v>706.3</v>
      </c>
      <c r="C1361" s="613"/>
      <c r="D1361" s="604"/>
      <c r="E1361" s="604"/>
      <c r="F1361" s="604"/>
      <c r="G1361" s="403" t="str">
        <f t="shared" si="416"/>
        <v/>
      </c>
      <c r="H1361" s="403" t="s">
        <v>4325</v>
      </c>
      <c r="I1361" s="4"/>
      <c r="K1361" s="182"/>
      <c r="L1361" s="752"/>
      <c r="M1361" s="43"/>
      <c r="N1361" s="85"/>
      <c r="O1361" s="85"/>
      <c r="X1361" s="688"/>
      <c r="Y1361" s="891"/>
      <c r="Z1361" s="892"/>
      <c r="BJ1361" s="573" t="s">
        <v>4670</v>
      </c>
    </row>
    <row r="1362" spans="1:62" x14ac:dyDescent="0.35">
      <c r="A1362" s="403">
        <v>7</v>
      </c>
      <c r="B1362" s="609">
        <v>706.3</v>
      </c>
      <c r="C1362" s="613"/>
      <c r="D1362" s="604"/>
      <c r="E1362" s="604"/>
      <c r="F1362" s="604"/>
      <c r="G1362" s="403" t="str">
        <f t="shared" si="416"/>
        <v/>
      </c>
      <c r="H1362" s="403" t="s">
        <v>4325</v>
      </c>
      <c r="I1362" s="4"/>
      <c r="J1362" s="104"/>
      <c r="L1362" s="752" t="s">
        <v>1272</v>
      </c>
      <c r="M1362" s="43"/>
      <c r="N1362" s="85"/>
      <c r="O1362" s="85"/>
      <c r="X1362" s="688"/>
      <c r="Y1362" s="891"/>
      <c r="Z1362" s="892"/>
      <c r="BJ1362" s="573" t="s">
        <v>4670</v>
      </c>
    </row>
    <row r="1363" spans="1:62" x14ac:dyDescent="0.35">
      <c r="A1363" s="403">
        <v>7</v>
      </c>
      <c r="B1363" s="609">
        <v>706.3</v>
      </c>
      <c r="C1363" s="613"/>
      <c r="D1363" s="604"/>
      <c r="E1363" s="604"/>
      <c r="F1363" s="604"/>
      <c r="G1363" s="403" t="str">
        <f t="shared" si="416"/>
        <v/>
      </c>
      <c r="H1363" s="403" t="s">
        <v>4325</v>
      </c>
      <c r="I1363" s="4"/>
      <c r="J1363" s="104"/>
      <c r="L1363" s="752"/>
      <c r="M1363" s="43"/>
      <c r="N1363" s="85"/>
      <c r="O1363" s="85"/>
      <c r="X1363" s="688"/>
      <c r="Y1363" s="891"/>
      <c r="Z1363" s="892"/>
      <c r="BJ1363" s="573" t="s">
        <v>4670</v>
      </c>
    </row>
    <row r="1364" spans="1:62" x14ac:dyDescent="0.35">
      <c r="A1364" s="403">
        <v>7</v>
      </c>
      <c r="B1364" s="609">
        <v>706.3</v>
      </c>
      <c r="C1364" s="613"/>
      <c r="D1364" s="604" t="s">
        <v>270</v>
      </c>
      <c r="E1364" s="604"/>
      <c r="F1364" s="604"/>
      <c r="G1364" s="403" t="str">
        <f t="shared" si="416"/>
        <v/>
      </c>
      <c r="H1364" s="403" t="s">
        <v>4325</v>
      </c>
      <c r="I1364" s="4"/>
      <c r="J1364" s="373" t="s">
        <v>270</v>
      </c>
      <c r="K1364" s="214"/>
      <c r="L1364" s="214" t="s">
        <v>1135</v>
      </c>
      <c r="M1364" s="43"/>
      <c r="N1364" s="85"/>
      <c r="O1364" s="85"/>
      <c r="P1364" t="b">
        <v>0</v>
      </c>
      <c r="Q1364" t="b">
        <v>1</v>
      </c>
      <c r="R1364" t="b">
        <v>0</v>
      </c>
      <c r="S1364" t="b">
        <f>IFERROR(NOT(OR(W1393:W1394,W1400)),TRUE)</f>
        <v>1</v>
      </c>
      <c r="T1364" t="b">
        <f t="shared" ref="T1364:T1371" si="418">AND(NOT(S1364),W1364=TRUE)</f>
        <v>0</v>
      </c>
      <c r="W1364" s="17"/>
      <c r="X1364" s="39"/>
      <c r="Y1364" s="200" t="str">
        <f>IF(LEN('Ch7'!X600)=0,"None",'Ch7'!X600)</f>
        <v>None</v>
      </c>
      <c r="Z1364" s="563"/>
      <c r="AC1364" t="b">
        <f t="shared" ref="AC1364:AC1371" si="419">OR(AD1364:AE1364)</f>
        <v>0</v>
      </c>
      <c r="AD1364" t="b">
        <f t="shared" ref="AD1364:AD1371" si="420">T1364</f>
        <v>0</v>
      </c>
      <c r="AE1364" t="b">
        <f t="shared" ref="AE1364:AE1371" si="421">AND(R1364,NOT(W1364))</f>
        <v>0</v>
      </c>
      <c r="AF1364" t="b">
        <f t="shared" ref="AF1364:AF1371" si="422">AND(AE1364,NOT(Q1364))</f>
        <v>0</v>
      </c>
      <c r="AP1364" t="str">
        <f t="shared" ref="AP1364:AP1371" si="423">SUBSTITUTE(SUBSTITUTE(SUBSTITUTE("vch"&amp;$B1364&amp;$C1364&amp;$D1364&amp;$E1364&amp;$F1364,".","_"),"(","_"),")","")</f>
        <v>vch706_3_1</v>
      </c>
      <c r="AQ1364">
        <f t="shared" ref="AQ1364:AQ1371" si="424">W1364</f>
        <v>0</v>
      </c>
      <c r="AR1364" t="str">
        <f t="shared" ref="AR1364:AR1371" si="425">SUBSTITUTE(SUBSTITUTE(SUBSTITUTE("vnt"&amp;$B1364&amp;$C1364&amp;$D1364&amp;$E1364&amp;$F1364,".","_"),"(","_"),")","")</f>
        <v>vnt706_3_1</v>
      </c>
      <c r="AS1364">
        <f t="shared" ref="AS1364:AS1371" si="426">X1364</f>
        <v>0</v>
      </c>
      <c r="BJ1364" s="573" t="s">
        <v>4670</v>
      </c>
    </row>
    <row r="1365" spans="1:62" x14ac:dyDescent="0.35">
      <c r="A1365" s="403">
        <v>7</v>
      </c>
      <c r="B1365" s="609">
        <v>706.3</v>
      </c>
      <c r="C1365" s="613"/>
      <c r="D1365" s="604" t="s">
        <v>272</v>
      </c>
      <c r="E1365" s="604"/>
      <c r="F1365" s="604"/>
      <c r="G1365" s="403" t="str">
        <f t="shared" si="416"/>
        <v/>
      </c>
      <c r="H1365" s="403" t="s">
        <v>4325</v>
      </c>
      <c r="I1365" s="4"/>
      <c r="J1365" s="384" t="s">
        <v>272</v>
      </c>
      <c r="K1365" s="220"/>
      <c r="L1365" s="220" t="s">
        <v>1273</v>
      </c>
      <c r="M1365" s="43"/>
      <c r="N1365" s="85"/>
      <c r="O1365" s="85"/>
      <c r="P1365" t="b">
        <v>0</v>
      </c>
      <c r="Q1365" t="b">
        <v>1</v>
      </c>
      <c r="R1365" t="b">
        <v>0</v>
      </c>
      <c r="S1365" t="b">
        <f>IFERROR(NOT(OR(W1393:W1394,W1400)),TRUE)</f>
        <v>1</v>
      </c>
      <c r="T1365" t="b">
        <f t="shared" si="418"/>
        <v>0</v>
      </c>
      <c r="W1365" s="17"/>
      <c r="X1365" s="39"/>
      <c r="Y1365" s="200" t="str">
        <f>IF(LEN('Ch7'!X601)=0,"None",'Ch7'!X601)</f>
        <v>None</v>
      </c>
      <c r="Z1365" s="563"/>
      <c r="AC1365" t="b">
        <f t="shared" si="419"/>
        <v>0</v>
      </c>
      <c r="AD1365" t="b">
        <f t="shared" si="420"/>
        <v>0</v>
      </c>
      <c r="AE1365" t="b">
        <f t="shared" si="421"/>
        <v>0</v>
      </c>
      <c r="AF1365" t="b">
        <f t="shared" si="422"/>
        <v>0</v>
      </c>
      <c r="AP1365" t="str">
        <f t="shared" si="423"/>
        <v>vch706_3_2</v>
      </c>
      <c r="AQ1365">
        <f t="shared" si="424"/>
        <v>0</v>
      </c>
      <c r="AR1365" t="str">
        <f t="shared" si="425"/>
        <v>vnt706_3_2</v>
      </c>
      <c r="AS1365">
        <f t="shared" si="426"/>
        <v>0</v>
      </c>
      <c r="BJ1365" s="573" t="s">
        <v>4670</v>
      </c>
    </row>
    <row r="1366" spans="1:62" x14ac:dyDescent="0.35">
      <c r="A1366" s="403">
        <v>7</v>
      </c>
      <c r="B1366" s="609">
        <v>706.3</v>
      </c>
      <c r="C1366" s="613"/>
      <c r="D1366" s="604" t="s">
        <v>274</v>
      </c>
      <c r="E1366" s="604"/>
      <c r="F1366" s="604"/>
      <c r="G1366" s="403" t="str">
        <f t="shared" si="416"/>
        <v/>
      </c>
      <c r="H1366" s="403" t="s">
        <v>4325</v>
      </c>
      <c r="I1366" s="4"/>
      <c r="J1366" s="384" t="s">
        <v>274</v>
      </c>
      <c r="K1366" s="220"/>
      <c r="L1366" s="220" t="s">
        <v>1136</v>
      </c>
      <c r="M1366" s="43"/>
      <c r="N1366" s="85"/>
      <c r="O1366" s="85"/>
      <c r="P1366" t="b">
        <v>0</v>
      </c>
      <c r="Q1366" t="b">
        <v>1</v>
      </c>
      <c r="R1366" t="b">
        <v>0</v>
      </c>
      <c r="S1366" t="b">
        <f>IFERROR(NOT(OR(W1393:W1394,W1400)),TRUE)</f>
        <v>1</v>
      </c>
      <c r="T1366" t="b">
        <f t="shared" si="418"/>
        <v>0</v>
      </c>
      <c r="W1366" s="17"/>
      <c r="X1366" s="39"/>
      <c r="Y1366" s="200" t="str">
        <f>IF(LEN('Ch7'!X602)=0,"None",'Ch7'!X602)</f>
        <v>None</v>
      </c>
      <c r="Z1366" s="563"/>
      <c r="AC1366" t="b">
        <f t="shared" si="419"/>
        <v>0</v>
      </c>
      <c r="AD1366" t="b">
        <f t="shared" si="420"/>
        <v>0</v>
      </c>
      <c r="AE1366" t="b">
        <f t="shared" si="421"/>
        <v>0</v>
      </c>
      <c r="AF1366" t="b">
        <f t="shared" si="422"/>
        <v>0</v>
      </c>
      <c r="AP1366" t="str">
        <f t="shared" si="423"/>
        <v>vch706_3_3</v>
      </c>
      <c r="AQ1366">
        <f t="shared" si="424"/>
        <v>0</v>
      </c>
      <c r="AR1366" t="str">
        <f t="shared" si="425"/>
        <v>vnt706_3_3</v>
      </c>
      <c r="AS1366">
        <f t="shared" si="426"/>
        <v>0</v>
      </c>
      <c r="BJ1366" s="573" t="s">
        <v>4670</v>
      </c>
    </row>
    <row r="1367" spans="1:62" x14ac:dyDescent="0.35">
      <c r="A1367" s="403">
        <v>7</v>
      </c>
      <c r="B1367" s="609">
        <v>706.3</v>
      </c>
      <c r="C1367" s="613"/>
      <c r="D1367" s="604" t="s">
        <v>283</v>
      </c>
      <c r="E1367" s="604"/>
      <c r="F1367" s="604"/>
      <c r="G1367" s="403" t="str">
        <f t="shared" si="416"/>
        <v/>
      </c>
      <c r="H1367" s="403" t="s">
        <v>4325</v>
      </c>
      <c r="I1367" s="4"/>
      <c r="J1367" s="384" t="s">
        <v>283</v>
      </c>
      <c r="K1367" s="220"/>
      <c r="L1367" s="220" t="s">
        <v>1274</v>
      </c>
      <c r="M1367" s="43"/>
      <c r="N1367" s="85"/>
      <c r="O1367" s="85"/>
      <c r="P1367" t="b">
        <v>0</v>
      </c>
      <c r="Q1367" t="b">
        <v>1</v>
      </c>
      <c r="R1367" t="b">
        <v>0</v>
      </c>
      <c r="S1367" t="b">
        <f>IFERROR(NOT(OR(W1393:W1394,W1400)),TRUE)</f>
        <v>1</v>
      </c>
      <c r="T1367" t="b">
        <f t="shared" si="418"/>
        <v>0</v>
      </c>
      <c r="W1367" s="17"/>
      <c r="X1367" s="39"/>
      <c r="Y1367" s="200" t="str">
        <f>IF(LEN('Ch7'!X603)=0,"None",'Ch7'!X603)</f>
        <v>None</v>
      </c>
      <c r="Z1367" s="563"/>
      <c r="AC1367" t="b">
        <f t="shared" si="419"/>
        <v>0</v>
      </c>
      <c r="AD1367" t="b">
        <f t="shared" si="420"/>
        <v>0</v>
      </c>
      <c r="AE1367" t="b">
        <f t="shared" si="421"/>
        <v>0</v>
      </c>
      <c r="AF1367" t="b">
        <f t="shared" si="422"/>
        <v>0</v>
      </c>
      <c r="AP1367" t="str">
        <f t="shared" si="423"/>
        <v>vch706_3_4</v>
      </c>
      <c r="AQ1367">
        <f t="shared" si="424"/>
        <v>0</v>
      </c>
      <c r="AR1367" t="str">
        <f t="shared" si="425"/>
        <v>vnt706_3_4</v>
      </c>
      <c r="AS1367">
        <f t="shared" si="426"/>
        <v>0</v>
      </c>
      <c r="BJ1367" s="573" t="s">
        <v>4670</v>
      </c>
    </row>
    <row r="1368" spans="1:62" x14ac:dyDescent="0.35">
      <c r="A1368" s="403">
        <v>7</v>
      </c>
      <c r="B1368" s="609">
        <v>706.3</v>
      </c>
      <c r="C1368" s="613"/>
      <c r="D1368" s="604" t="s">
        <v>289</v>
      </c>
      <c r="E1368" s="604"/>
      <c r="F1368" s="604"/>
      <c r="G1368" s="403" t="str">
        <f t="shared" si="416"/>
        <v/>
      </c>
      <c r="H1368" s="403" t="s">
        <v>4325</v>
      </c>
      <c r="I1368" s="4"/>
      <c r="J1368" s="384" t="s">
        <v>289</v>
      </c>
      <c r="K1368" s="220"/>
      <c r="L1368" s="220" t="s">
        <v>1275</v>
      </c>
      <c r="M1368" s="43"/>
      <c r="N1368" s="85"/>
      <c r="O1368" s="85"/>
      <c r="P1368" t="b">
        <v>0</v>
      </c>
      <c r="Q1368" t="b">
        <v>1</v>
      </c>
      <c r="R1368" t="b">
        <v>0</v>
      </c>
      <c r="S1368" t="b">
        <f>IFERROR(NOT(OR(W1393:W1394,W1400)),TRUE)</f>
        <v>1</v>
      </c>
      <c r="T1368" t="b">
        <f t="shared" si="418"/>
        <v>0</v>
      </c>
      <c r="W1368" s="17"/>
      <c r="X1368" s="39"/>
      <c r="Y1368" s="200" t="str">
        <f>IF(LEN('Ch7'!X604)=0,"None",'Ch7'!X604)</f>
        <v>None</v>
      </c>
      <c r="Z1368" s="563"/>
      <c r="AC1368" t="b">
        <f t="shared" si="419"/>
        <v>0</v>
      </c>
      <c r="AD1368" t="b">
        <f t="shared" si="420"/>
        <v>0</v>
      </c>
      <c r="AE1368" t="b">
        <f t="shared" si="421"/>
        <v>0</v>
      </c>
      <c r="AF1368" t="b">
        <f t="shared" si="422"/>
        <v>0</v>
      </c>
      <c r="AP1368" t="str">
        <f t="shared" si="423"/>
        <v>vch706_3_5</v>
      </c>
      <c r="AQ1368">
        <f t="shared" si="424"/>
        <v>0</v>
      </c>
      <c r="AR1368" t="str">
        <f t="shared" si="425"/>
        <v>vnt706_3_5</v>
      </c>
      <c r="AS1368">
        <f t="shared" si="426"/>
        <v>0</v>
      </c>
      <c r="BJ1368" s="573" t="s">
        <v>4670</v>
      </c>
    </row>
    <row r="1369" spans="1:62" x14ac:dyDescent="0.35">
      <c r="A1369" s="403">
        <v>7</v>
      </c>
      <c r="B1369" s="609">
        <v>706.3</v>
      </c>
      <c r="C1369" s="613"/>
      <c r="D1369" s="604" t="s">
        <v>291</v>
      </c>
      <c r="E1369" s="604"/>
      <c r="F1369" s="604"/>
      <c r="G1369" s="403" t="str">
        <f t="shared" si="416"/>
        <v/>
      </c>
      <c r="H1369" s="403" t="s">
        <v>4325</v>
      </c>
      <c r="I1369" s="4"/>
      <c r="J1369" s="384" t="s">
        <v>291</v>
      </c>
      <c r="K1369" s="220"/>
      <c r="L1369" s="220" t="s">
        <v>1276</v>
      </c>
      <c r="M1369" s="43"/>
      <c r="N1369" s="85"/>
      <c r="O1369" s="85"/>
      <c r="P1369" t="b">
        <v>0</v>
      </c>
      <c r="Q1369" t="b">
        <v>1</v>
      </c>
      <c r="R1369" t="b">
        <v>0</v>
      </c>
      <c r="S1369" t="b">
        <f>IFERROR(NOT(OR(W1393:W1394,W1400)),TRUE)</f>
        <v>1</v>
      </c>
      <c r="T1369" t="b">
        <f t="shared" si="418"/>
        <v>0</v>
      </c>
      <c r="W1369" s="17"/>
      <c r="X1369" s="39"/>
      <c r="Y1369" s="200" t="str">
        <f>IF(LEN('Ch7'!X605)=0,"None",'Ch7'!X605)</f>
        <v>None</v>
      </c>
      <c r="Z1369" s="563"/>
      <c r="AC1369" t="b">
        <f t="shared" si="419"/>
        <v>0</v>
      </c>
      <c r="AD1369" t="b">
        <f t="shared" si="420"/>
        <v>0</v>
      </c>
      <c r="AE1369" t="b">
        <f t="shared" si="421"/>
        <v>0</v>
      </c>
      <c r="AF1369" t="b">
        <f t="shared" si="422"/>
        <v>0</v>
      </c>
      <c r="AP1369" t="str">
        <f t="shared" si="423"/>
        <v>vch706_3_6</v>
      </c>
      <c r="AQ1369">
        <f t="shared" si="424"/>
        <v>0</v>
      </c>
      <c r="AR1369" t="str">
        <f t="shared" si="425"/>
        <v>vnt706_3_6</v>
      </c>
      <c r="AS1369">
        <f t="shared" si="426"/>
        <v>0</v>
      </c>
      <c r="BJ1369" s="573" t="s">
        <v>4670</v>
      </c>
    </row>
    <row r="1370" spans="1:62" ht="29" x14ac:dyDescent="0.35">
      <c r="A1370" s="403">
        <v>7</v>
      </c>
      <c r="B1370" s="609">
        <v>706.3</v>
      </c>
      <c r="C1370" s="613"/>
      <c r="D1370" s="604" t="s">
        <v>403</v>
      </c>
      <c r="E1370" s="604"/>
      <c r="F1370" s="604"/>
      <c r="G1370" s="403" t="str">
        <f t="shared" si="416"/>
        <v/>
      </c>
      <c r="H1370" s="403" t="s">
        <v>4325</v>
      </c>
      <c r="I1370" s="4"/>
      <c r="J1370" s="384" t="s">
        <v>403</v>
      </c>
      <c r="K1370" s="220"/>
      <c r="L1370" s="220" t="s">
        <v>1277</v>
      </c>
      <c r="M1370" s="43"/>
      <c r="N1370" s="85"/>
      <c r="O1370" s="85"/>
      <c r="P1370" t="b">
        <v>0</v>
      </c>
      <c r="Q1370" t="b">
        <v>1</v>
      </c>
      <c r="R1370" t="b">
        <v>0</v>
      </c>
      <c r="S1370" t="b">
        <f>IFERROR(NOT(OR(W1393:W1394,W1400)),TRUE)</f>
        <v>1</v>
      </c>
      <c r="T1370" t="b">
        <f t="shared" si="418"/>
        <v>0</v>
      </c>
      <c r="W1370" s="17"/>
      <c r="X1370" s="39"/>
      <c r="Y1370" s="200" t="str">
        <f>IF(LEN('Ch7'!X606)=0,"None",'Ch7'!X606)</f>
        <v>Panasonic Energy-Recovery Ventilator; WhisperComfort FV-04VE1</v>
      </c>
      <c r="Z1370" s="563"/>
      <c r="AC1370" t="b">
        <f t="shared" si="419"/>
        <v>0</v>
      </c>
      <c r="AD1370" t="b">
        <f t="shared" si="420"/>
        <v>0</v>
      </c>
      <c r="AE1370" t="b">
        <f t="shared" si="421"/>
        <v>0</v>
      </c>
      <c r="AF1370" t="b">
        <f t="shared" si="422"/>
        <v>0</v>
      </c>
      <c r="AP1370" t="str">
        <f t="shared" si="423"/>
        <v>vch706_3_7</v>
      </c>
      <c r="AQ1370">
        <f t="shared" si="424"/>
        <v>0</v>
      </c>
      <c r="AR1370" t="str">
        <f t="shared" si="425"/>
        <v>vnt706_3_7</v>
      </c>
      <c r="AS1370">
        <f t="shared" si="426"/>
        <v>0</v>
      </c>
      <c r="BJ1370" s="573" t="s">
        <v>4670</v>
      </c>
    </row>
    <row r="1371" spans="1:62" ht="15" thickBot="1" x14ac:dyDescent="0.4">
      <c r="A1371" s="403">
        <v>7</v>
      </c>
      <c r="B1371" s="609">
        <v>706.3</v>
      </c>
      <c r="C1371" s="613"/>
      <c r="D1371" s="604" t="s">
        <v>453</v>
      </c>
      <c r="E1371" s="604"/>
      <c r="F1371" s="604"/>
      <c r="G1371" s="403" t="str">
        <f t="shared" si="416"/>
        <v/>
      </c>
      <c r="H1371" s="403" t="s">
        <v>4325</v>
      </c>
      <c r="I1371" s="183"/>
      <c r="J1371" s="375" t="s">
        <v>453</v>
      </c>
      <c r="K1371" s="223"/>
      <c r="L1371" s="223" t="s">
        <v>1278</v>
      </c>
      <c r="M1371" s="270"/>
      <c r="N1371" s="184"/>
      <c r="O1371" s="184"/>
      <c r="P1371" t="b">
        <v>0</v>
      </c>
      <c r="Q1371" t="b">
        <v>1</v>
      </c>
      <c r="R1371" s="58" t="b">
        <v>0</v>
      </c>
      <c r="S1371" s="58" t="b">
        <f>IFERROR(NOT(OR(W1393:W1394,W1400)),TRUE)</f>
        <v>1</v>
      </c>
      <c r="T1371" s="58" t="b">
        <f t="shared" si="418"/>
        <v>0</v>
      </c>
      <c r="U1371" s="58"/>
      <c r="V1371" s="58"/>
      <c r="W1371" s="59"/>
      <c r="X1371" s="113"/>
      <c r="Y1371" s="201" t="str">
        <f>IF(LEN('Ch7'!X607)=0,"None",'Ch7'!X607)</f>
        <v>None</v>
      </c>
      <c r="Z1371" s="567"/>
      <c r="AC1371" t="b">
        <f t="shared" si="419"/>
        <v>0</v>
      </c>
      <c r="AD1371" t="b">
        <f t="shared" si="420"/>
        <v>0</v>
      </c>
      <c r="AE1371" t="b">
        <f t="shared" si="421"/>
        <v>0</v>
      </c>
      <c r="AF1371" t="b">
        <f t="shared" si="422"/>
        <v>0</v>
      </c>
      <c r="AP1371" t="str">
        <f t="shared" si="423"/>
        <v>vch706_3_8</v>
      </c>
      <c r="AQ1371">
        <f t="shared" si="424"/>
        <v>0</v>
      </c>
      <c r="AR1371" t="str">
        <f t="shared" si="425"/>
        <v>vnt706_3_8</v>
      </c>
      <c r="AS1371">
        <f t="shared" si="426"/>
        <v>0</v>
      </c>
      <c r="BJ1371" s="573" t="s">
        <v>4670</v>
      </c>
    </row>
    <row r="1372" spans="1:62" ht="15" thickTop="1" x14ac:dyDescent="0.35">
      <c r="A1372" s="403">
        <v>7</v>
      </c>
      <c r="B1372" s="609">
        <v>706.4</v>
      </c>
      <c r="C1372" s="613"/>
      <c r="D1372" s="604"/>
      <c r="E1372" s="604"/>
      <c r="F1372" s="604"/>
      <c r="G1372" s="600" t="str">
        <f>IF(COUNTIF(G1374:G1378,"P")&gt;0,"P","")</f>
        <v/>
      </c>
      <c r="H1372" s="403" t="s">
        <v>4325</v>
      </c>
      <c r="I1372" s="32">
        <v>706.4</v>
      </c>
      <c r="J1372" s="104"/>
      <c r="K1372" s="104"/>
      <c r="L1372" s="110" t="s">
        <v>1279</v>
      </c>
      <c r="M1372" s="43"/>
      <c r="N1372" s="85"/>
      <c r="O1372" s="85"/>
      <c r="Z1372" s="543"/>
      <c r="BJ1372" s="573" t="s">
        <v>4670</v>
      </c>
    </row>
    <row r="1373" spans="1:62" x14ac:dyDescent="0.35">
      <c r="A1373" s="403">
        <v>7</v>
      </c>
      <c r="B1373" s="609" t="s">
        <v>1280</v>
      </c>
      <c r="C1373" s="613"/>
      <c r="D1373" s="604"/>
      <c r="E1373" s="604"/>
      <c r="F1373" s="604"/>
      <c r="G1373" s="600" t="str">
        <f>IF(COUNTIF(G1374:G1376,"P")&gt;0,"P","")</f>
        <v/>
      </c>
      <c r="H1373" s="403" t="s">
        <v>4325</v>
      </c>
      <c r="I1373" s="32" t="s">
        <v>1280</v>
      </c>
      <c r="J1373" s="104"/>
      <c r="K1373" s="104"/>
      <c r="L1373" s="110" t="s">
        <v>1281</v>
      </c>
      <c r="M1373" s="43"/>
      <c r="N1373" s="85"/>
      <c r="O1373" s="85"/>
      <c r="Z1373" s="543"/>
      <c r="BJ1373" s="573" t="s">
        <v>4670</v>
      </c>
    </row>
    <row r="1374" spans="1:62" x14ac:dyDescent="0.35">
      <c r="A1374" s="403">
        <v>7</v>
      </c>
      <c r="B1374" s="609" t="s">
        <v>1280</v>
      </c>
      <c r="C1374" s="613"/>
      <c r="D1374" s="604" t="s">
        <v>270</v>
      </c>
      <c r="E1374" s="604"/>
      <c r="F1374" s="604"/>
      <c r="G1374" s="403" t="str">
        <f>IF(N1374&gt;0,"P","")</f>
        <v/>
      </c>
      <c r="H1374" s="403" t="s">
        <v>4325</v>
      </c>
      <c r="I1374" s="4"/>
      <c r="J1374" s="179" t="s">
        <v>270</v>
      </c>
      <c r="K1374" s="104"/>
      <c r="L1374" s="707" t="s">
        <v>1282</v>
      </c>
      <c r="M1374" s="690">
        <v>1</v>
      </c>
      <c r="N1374" s="696">
        <f>'Ch7'!O610</f>
        <v>0</v>
      </c>
      <c r="O1374" s="696">
        <f>M1374*S1374*W1374</f>
        <v>0</v>
      </c>
      <c r="P1374" t="b">
        <v>1</v>
      </c>
      <c r="Q1374" t="b">
        <v>1</v>
      </c>
      <c r="R1374" t="b">
        <v>0</v>
      </c>
      <c r="S1374" t="b">
        <v>1</v>
      </c>
      <c r="T1374" t="b">
        <v>0</v>
      </c>
      <c r="W1374" s="17"/>
      <c r="X1374" s="688"/>
      <c r="Y1374" s="891" t="str">
        <f>IF(LEN('Ch7'!X610)=0,"None",'Ch7'!X610)</f>
        <v>None</v>
      </c>
      <c r="Z1374" s="892"/>
      <c r="AC1374" t="b">
        <f>OR(AD1374:AE1374)</f>
        <v>0</v>
      </c>
      <c r="AD1374" t="b">
        <f>T1374</f>
        <v>0</v>
      </c>
      <c r="AE1374" t="b">
        <f>AND(R1374,NOT(W1374))</f>
        <v>0</v>
      </c>
      <c r="AF1374" t="b">
        <f>AND(AE1374,NOT(Q1374))</f>
        <v>0</v>
      </c>
      <c r="AL1374" t="str">
        <f t="shared" ref="AL1374" si="427">SUBSTITUTE(SUBSTITUTE(SUBSTITUTE("vpa"&amp;$B1374&amp;$C1374&amp;$D1374&amp;$E1374&amp;$F1374,".","_"),"(","_"),")","")</f>
        <v>vpa706_4_1_1</v>
      </c>
      <c r="AM1374">
        <f>M1374</f>
        <v>1</v>
      </c>
      <c r="AN1374" t="str">
        <f>SUBSTITUTE(SUBSTITUTE(SUBSTITUTE("vpc"&amp;$B1374&amp;$C1374&amp;$D1374&amp;$E1374&amp;$F1374,".","_"),"(","_"),")","")</f>
        <v>vpc706_4_1_1</v>
      </c>
      <c r="AO1374">
        <f>O1374</f>
        <v>0</v>
      </c>
      <c r="AP1374" t="str">
        <f>SUBSTITUTE(SUBSTITUTE(SUBSTITUTE("vch"&amp;$B1374&amp;$C1374&amp;$D1374&amp;$E1374&amp;$F1374,".","_"),"(","_"),")","")</f>
        <v>vch706_4_1_1</v>
      </c>
      <c r="AQ1374">
        <f>W1374</f>
        <v>0</v>
      </c>
      <c r="AR1374" t="str">
        <f>SUBSTITUTE(SUBSTITUTE(SUBSTITUTE("vnt"&amp;$B1374&amp;$C1374&amp;$D1374&amp;$E1374&amp;$F1374,".","_"),"(","_"),")","")</f>
        <v>vnt706_4_1_1</v>
      </c>
      <c r="AS1374">
        <f>X1374</f>
        <v>0</v>
      </c>
      <c r="BJ1374" s="573" t="s">
        <v>4670</v>
      </c>
    </row>
    <row r="1375" spans="1:62" x14ac:dyDescent="0.35">
      <c r="A1375" s="403">
        <v>7</v>
      </c>
      <c r="B1375" s="609" t="s">
        <v>1280</v>
      </c>
      <c r="C1375" s="613"/>
      <c r="D1375" s="604" t="s">
        <v>270</v>
      </c>
      <c r="E1375" s="604"/>
      <c r="F1375" s="604"/>
      <c r="G1375" s="403" t="str">
        <f t="shared" ref="G1375" si="428">G1374</f>
        <v/>
      </c>
      <c r="H1375" s="403" t="s">
        <v>4325</v>
      </c>
      <c r="I1375" s="4"/>
      <c r="J1375" s="373"/>
      <c r="K1375" s="214"/>
      <c r="L1375" s="709"/>
      <c r="M1375" s="691"/>
      <c r="N1375" s="697"/>
      <c r="O1375" s="697"/>
      <c r="X1375" s="688"/>
      <c r="Y1375" s="891"/>
      <c r="Z1375" s="892"/>
      <c r="BJ1375" s="573" t="s">
        <v>4670</v>
      </c>
    </row>
    <row r="1376" spans="1:62" x14ac:dyDescent="0.35">
      <c r="A1376" s="403">
        <v>7</v>
      </c>
      <c r="B1376" s="609" t="s">
        <v>1280</v>
      </c>
      <c r="C1376" s="613"/>
      <c r="D1376" s="604" t="s">
        <v>272</v>
      </c>
      <c r="E1376" s="604"/>
      <c r="F1376" s="604"/>
      <c r="G1376" s="403" t="str">
        <f>IF(N1376&gt;0,"P","")</f>
        <v/>
      </c>
      <c r="H1376" s="403" t="s">
        <v>4325</v>
      </c>
      <c r="I1376" s="4"/>
      <c r="J1376" s="179" t="s">
        <v>272</v>
      </c>
      <c r="K1376" s="104"/>
      <c r="L1376" s="707" t="s">
        <v>1283</v>
      </c>
      <c r="M1376" s="690">
        <v>3</v>
      </c>
      <c r="N1376" s="696">
        <f>'Ch7'!O612</f>
        <v>0</v>
      </c>
      <c r="O1376" s="696">
        <f>M1376*S1376*W1376</f>
        <v>0</v>
      </c>
      <c r="P1376" t="b">
        <v>1</v>
      </c>
      <c r="Q1376" t="b">
        <v>1</v>
      </c>
      <c r="R1376" t="b">
        <v>0</v>
      </c>
      <c r="S1376" t="b">
        <v>1</v>
      </c>
      <c r="T1376" t="b">
        <v>0</v>
      </c>
      <c r="W1376" s="17"/>
      <c r="X1376" s="688"/>
      <c r="Y1376" s="891" t="str">
        <f>IF(LEN('Ch7'!X612)=0,"None",'Ch7'!X612)</f>
        <v>None</v>
      </c>
      <c r="Z1376" s="892"/>
      <c r="AC1376" t="b">
        <f>OR(AD1376:AE1376)</f>
        <v>0</v>
      </c>
      <c r="AD1376" t="b">
        <f>T1376</f>
        <v>0</v>
      </c>
      <c r="AE1376" t="b">
        <f>AND(R1376,NOT(W1376))</f>
        <v>0</v>
      </c>
      <c r="AF1376" t="b">
        <f>AND(AE1376,NOT(Q1376))</f>
        <v>0</v>
      </c>
      <c r="AL1376" t="str">
        <f t="shared" ref="AL1376" si="429">SUBSTITUTE(SUBSTITUTE(SUBSTITUTE("vpa"&amp;$B1376&amp;$C1376&amp;$D1376&amp;$E1376&amp;$F1376,".","_"),"(","_"),")","")</f>
        <v>vpa706_4_1_2</v>
      </c>
      <c r="AM1376">
        <f>M1376</f>
        <v>3</v>
      </c>
      <c r="AN1376" t="str">
        <f>SUBSTITUTE(SUBSTITUTE(SUBSTITUTE("vpc"&amp;$B1376&amp;$C1376&amp;$D1376&amp;$E1376&amp;$F1376,".","_"),"(","_"),")","")</f>
        <v>vpc706_4_1_2</v>
      </c>
      <c r="AO1376">
        <f>O1376</f>
        <v>0</v>
      </c>
      <c r="AP1376" t="str">
        <f>SUBSTITUTE(SUBSTITUTE(SUBSTITUTE("vch"&amp;$B1376&amp;$C1376&amp;$D1376&amp;$E1376&amp;$F1376,".","_"),"(","_"),")","")</f>
        <v>vch706_4_1_2</v>
      </c>
      <c r="AQ1376">
        <f>W1376</f>
        <v>0</v>
      </c>
      <c r="AR1376" t="str">
        <f>SUBSTITUTE(SUBSTITUTE(SUBSTITUTE("vnt"&amp;$B1376&amp;$C1376&amp;$D1376&amp;$E1376&amp;$F1376,".","_"),"(","_"),")","")</f>
        <v>vnt706_4_1_2</v>
      </c>
      <c r="AS1376">
        <f>X1376</f>
        <v>0</v>
      </c>
      <c r="BJ1376" s="573" t="s">
        <v>4670</v>
      </c>
    </row>
    <row r="1377" spans="1:62" x14ac:dyDescent="0.35">
      <c r="A1377" s="403">
        <v>7</v>
      </c>
      <c r="B1377" s="609" t="s">
        <v>1280</v>
      </c>
      <c r="C1377" s="613"/>
      <c r="D1377" s="604" t="s">
        <v>272</v>
      </c>
      <c r="E1377" s="604"/>
      <c r="F1377" s="604"/>
      <c r="G1377" s="403" t="str">
        <f t="shared" ref="G1377" si="430">G1376</f>
        <v/>
      </c>
      <c r="H1377" s="403" t="s">
        <v>4325</v>
      </c>
      <c r="I1377" s="155"/>
      <c r="J1377" s="214"/>
      <c r="K1377" s="214"/>
      <c r="L1377" s="709"/>
      <c r="M1377" s="691"/>
      <c r="N1377" s="697"/>
      <c r="O1377" s="697"/>
      <c r="P1377" s="119"/>
      <c r="Q1377" s="119"/>
      <c r="R1377" s="119"/>
      <c r="S1377" s="119"/>
      <c r="T1377" s="119"/>
      <c r="U1377" s="119"/>
      <c r="V1377" s="119"/>
      <c r="W1377" s="119"/>
      <c r="X1377" s="688"/>
      <c r="Y1377" s="891"/>
      <c r="Z1377" s="892"/>
      <c r="BJ1377" s="573" t="s">
        <v>4670</v>
      </c>
    </row>
    <row r="1378" spans="1:62" x14ac:dyDescent="0.35">
      <c r="A1378" s="403">
        <v>7</v>
      </c>
      <c r="B1378" s="609" t="s">
        <v>1284</v>
      </c>
      <c r="C1378" s="613"/>
      <c r="D1378" s="604"/>
      <c r="E1378" s="604"/>
      <c r="F1378" s="604"/>
      <c r="G1378" s="403" t="str">
        <f>IF(N1378&gt;0,"P","")</f>
        <v/>
      </c>
      <c r="H1378" s="403" t="s">
        <v>4325</v>
      </c>
      <c r="I1378" s="135" t="s">
        <v>1284</v>
      </c>
      <c r="J1378" s="320"/>
      <c r="K1378" s="320"/>
      <c r="L1378" s="753" t="s">
        <v>1285</v>
      </c>
      <c r="M1378" s="712">
        <v>1</v>
      </c>
      <c r="N1378" s="713">
        <f>'Ch7'!O614</f>
        <v>0</v>
      </c>
      <c r="O1378" s="713">
        <f>M1378*S1378*W1378</f>
        <v>0</v>
      </c>
      <c r="P1378" t="b">
        <v>1</v>
      </c>
      <c r="Q1378" t="b">
        <v>1</v>
      </c>
      <c r="R1378" s="138" t="b">
        <v>0</v>
      </c>
      <c r="S1378" s="138" t="b">
        <v>1</v>
      </c>
      <c r="T1378" s="138" t="b">
        <v>0</v>
      </c>
      <c r="U1378" s="138"/>
      <c r="V1378" s="138"/>
      <c r="W1378" s="17"/>
      <c r="X1378" s="688"/>
      <c r="Y1378" s="891" t="str">
        <f>IF(LEN('Ch7'!X614)=0,"None",'Ch7'!X614)</f>
        <v>None</v>
      </c>
      <c r="Z1378" s="892"/>
      <c r="AC1378" t="b">
        <f>OR(AD1378:AE1378)</f>
        <v>0</v>
      </c>
      <c r="AD1378" t="b">
        <f>T1378</f>
        <v>0</v>
      </c>
      <c r="AE1378" t="b">
        <f>AND(R1378,NOT(W1378))</f>
        <v>0</v>
      </c>
      <c r="AF1378" t="b">
        <f>AND(AE1378,NOT(Q1378))</f>
        <v>0</v>
      </c>
      <c r="AL1378" t="str">
        <f t="shared" ref="AL1378" si="431">SUBSTITUTE(SUBSTITUTE(SUBSTITUTE("vpa"&amp;$B1378&amp;$C1378&amp;$D1378&amp;$E1378&amp;$F1378,".","_"),"(","_"),")","")</f>
        <v>vpa706_4_2</v>
      </c>
      <c r="AM1378">
        <f>M1378</f>
        <v>1</v>
      </c>
      <c r="AN1378" t="str">
        <f>SUBSTITUTE(SUBSTITUTE(SUBSTITUTE("vpc"&amp;$B1378&amp;$C1378&amp;$D1378&amp;$E1378&amp;$F1378,".","_"),"(","_"),")","")</f>
        <v>vpc706_4_2</v>
      </c>
      <c r="AO1378">
        <f>O1378</f>
        <v>0</v>
      </c>
      <c r="AP1378" t="str">
        <f>SUBSTITUTE(SUBSTITUTE(SUBSTITUTE("vch"&amp;$B1378&amp;$C1378&amp;$D1378&amp;$E1378&amp;$F1378,".","_"),"(","_"),")","")</f>
        <v>vch706_4_2</v>
      </c>
      <c r="AQ1378">
        <f>W1378</f>
        <v>0</v>
      </c>
      <c r="AR1378" t="str">
        <f>SUBSTITUTE(SUBSTITUTE(SUBSTITUTE("vnt"&amp;$B1378&amp;$C1378&amp;$D1378&amp;$E1378&amp;$F1378,".","_"),"(","_"),")","")</f>
        <v>vnt706_4_2</v>
      </c>
      <c r="AS1378">
        <f>X1378</f>
        <v>0</v>
      </c>
      <c r="BJ1378" s="573" t="s">
        <v>4670</v>
      </c>
    </row>
    <row r="1379" spans="1:62" ht="15" thickBot="1" x14ac:dyDescent="0.4">
      <c r="A1379" s="403">
        <v>7</v>
      </c>
      <c r="B1379" s="609" t="s">
        <v>1284</v>
      </c>
      <c r="C1379" s="613"/>
      <c r="D1379" s="604"/>
      <c r="E1379" s="604"/>
      <c r="F1379" s="604"/>
      <c r="G1379" s="403" t="str">
        <f t="shared" ref="G1379" si="432">G1378</f>
        <v/>
      </c>
      <c r="H1379" s="403" t="s">
        <v>4325</v>
      </c>
      <c r="I1379" s="183"/>
      <c r="J1379" s="223"/>
      <c r="K1379" s="223"/>
      <c r="L1379" s="710"/>
      <c r="M1379" s="693"/>
      <c r="N1379" s="695"/>
      <c r="O1379" s="695"/>
      <c r="P1379" s="58"/>
      <c r="Q1379" s="58"/>
      <c r="R1379" s="58"/>
      <c r="S1379" s="58"/>
      <c r="T1379" s="58"/>
      <c r="U1379" s="58"/>
      <c r="V1379" s="58"/>
      <c r="W1379" s="58"/>
      <c r="X1379" s="689"/>
      <c r="Y1379" s="905"/>
      <c r="Z1379" s="895"/>
      <c r="BJ1379" s="573" t="s">
        <v>4670</v>
      </c>
    </row>
    <row r="1380" spans="1:62" ht="15" thickTop="1" x14ac:dyDescent="0.35">
      <c r="A1380" s="403">
        <v>7</v>
      </c>
      <c r="B1380" s="609">
        <v>706.5</v>
      </c>
      <c r="C1380" s="613"/>
      <c r="D1380" s="604"/>
      <c r="E1380" s="604"/>
      <c r="F1380" s="604"/>
      <c r="G1380" s="403" t="str">
        <f ca="1">IF(N1380&gt;0,"P","")</f>
        <v/>
      </c>
      <c r="H1380" s="403" t="s">
        <v>4325</v>
      </c>
      <c r="I1380" s="123">
        <v>706.5</v>
      </c>
      <c r="J1380" s="349"/>
      <c r="K1380" s="349"/>
      <c r="L1380" s="711" t="s">
        <v>1286</v>
      </c>
      <c r="M1380" s="743" t="s">
        <v>3631</v>
      </c>
      <c r="N1380" s="694">
        <f ca="1">'Ch7'!O616</f>
        <v>0</v>
      </c>
      <c r="O1380" s="694">
        <f>IFERROR(ROUNDDOWN(2*W1381/S1382,0),0)</f>
        <v>0</v>
      </c>
      <c r="P1380" s="62"/>
      <c r="Q1380" s="62"/>
      <c r="R1380" s="62"/>
      <c r="S1380" s="62"/>
      <c r="T1380" s="62"/>
      <c r="U1380" s="62"/>
      <c r="V1380" s="62"/>
      <c r="W1380" s="62" t="str">
        <f ca="1">"kW per "&amp;IF($AY$18=INDEX(INDIRECT("ddSingleOrMulti"),1),"1 unit:",$AY$19&amp;" units:")</f>
        <v>kW per 1 unit:</v>
      </c>
      <c r="X1380" s="687"/>
      <c r="Y1380" s="904" t="str">
        <f>IF(LEN('Ch7'!X616)=0,"None",'Ch7'!X616)</f>
        <v>None</v>
      </c>
      <c r="Z1380" s="896"/>
      <c r="AL1380" t="str">
        <f t="shared" ref="AL1380" si="433">SUBSTITUTE(SUBSTITUTE(SUBSTITUTE("vpa"&amp;$B1380&amp;$C1380&amp;$D1380&amp;$E1380&amp;$F1380,".","_"),"(","_"),")","")</f>
        <v>vpa706_5</v>
      </c>
      <c r="AM1380" t="str">
        <f>M1380</f>
        <v>2 points per kW Divided by number of dwelling units</v>
      </c>
      <c r="AN1380" t="str">
        <f>SUBSTITUTE(SUBSTITUTE(SUBSTITUTE("vpc"&amp;$B1380&amp;$C1380&amp;$D1380&amp;$E1380&amp;$F1380,".","_"),"(","_"),")","")</f>
        <v>vpc706_5</v>
      </c>
      <c r="AO1380">
        <f>O1380</f>
        <v>0</v>
      </c>
      <c r="AR1380" t="str">
        <f>SUBSTITUTE(SUBSTITUTE(SUBSTITUTE("vnt"&amp;$B1380&amp;$C1380&amp;$D1380&amp;$E1380&amp;$F1380,".","_"),"(","_"),")","")</f>
        <v>vnt706_5</v>
      </c>
      <c r="AS1380">
        <f>X1380</f>
        <v>0</v>
      </c>
      <c r="BJ1380" s="573" t="s">
        <v>4670</v>
      </c>
    </row>
    <row r="1381" spans="1:62" x14ac:dyDescent="0.35">
      <c r="A1381" s="403">
        <v>7</v>
      </c>
      <c r="B1381" s="609">
        <v>706.5</v>
      </c>
      <c r="C1381" s="613"/>
      <c r="D1381" s="604"/>
      <c r="E1381" s="604"/>
      <c r="F1381" s="604"/>
      <c r="G1381" s="403" t="str">
        <f t="shared" ref="G1381:G1388" ca="1" si="434">G1380</f>
        <v/>
      </c>
      <c r="H1381" s="403" t="s">
        <v>4325</v>
      </c>
      <c r="I1381" s="4"/>
      <c r="J1381" s="104"/>
      <c r="K1381" s="104"/>
      <c r="L1381" s="706"/>
      <c r="M1381" s="737"/>
      <c r="N1381" s="696"/>
      <c r="O1381" s="696"/>
      <c r="P1381" t="b">
        <v>0</v>
      </c>
      <c r="Q1381" t="b">
        <v>1</v>
      </c>
      <c r="R1381" t="b">
        <v>0</v>
      </c>
      <c r="S1381" t="b">
        <v>1</v>
      </c>
      <c r="T1381" t="b">
        <v>0</v>
      </c>
      <c r="W1381" s="282"/>
      <c r="X1381" s="688"/>
      <c r="Y1381" s="891"/>
      <c r="Z1381" s="892"/>
      <c r="AC1381" t="b">
        <f>OR(AD1381:AE1381)</f>
        <v>0</v>
      </c>
      <c r="AD1381" t="b">
        <f>T1381</f>
        <v>0</v>
      </c>
      <c r="AE1381" t="b">
        <f>AND(R1381,OR(W1381="Not Met",W1381=""))</f>
        <v>0</v>
      </c>
      <c r="AF1381" t="b">
        <f>AND(AE1381,NOT(Q1381))</f>
        <v>0</v>
      </c>
      <c r="AP1381" t="str">
        <f>SUBSTITUTE(SUBSTITUTE(SUBSTITUTE("vch"&amp;$B1381&amp;$C1381&amp;$D1381&amp;$E1381&amp;$F1381,".","_"),"(","_"),")","")</f>
        <v>vch706_5</v>
      </c>
      <c r="AQ1381" s="626">
        <f>W1381</f>
        <v>0</v>
      </c>
      <c r="BJ1381" s="573" t="s">
        <v>4670</v>
      </c>
    </row>
    <row r="1382" spans="1:62" x14ac:dyDescent="0.35">
      <c r="A1382" s="403">
        <v>7</v>
      </c>
      <c r="B1382" s="609">
        <v>706.5</v>
      </c>
      <c r="C1382" s="613"/>
      <c r="D1382" s="604"/>
      <c r="E1382" s="604"/>
      <c r="F1382" s="604"/>
      <c r="G1382" s="403" t="str">
        <f t="shared" ca="1" si="434"/>
        <v/>
      </c>
      <c r="H1382" s="403" t="s">
        <v>4325</v>
      </c>
      <c r="I1382" s="4"/>
      <c r="J1382" s="104"/>
      <c r="K1382" s="104"/>
      <c r="L1382" s="706"/>
      <c r="M1382" s="737"/>
      <c r="N1382" s="696"/>
      <c r="O1382" s="696"/>
      <c r="S1382" s="1">
        <f>IF($AY$18=INDEX(ddSingleOrMulti,1),1,$AY$19)</f>
        <v>1</v>
      </c>
      <c r="X1382" s="688"/>
      <c r="Y1382" s="891"/>
      <c r="Z1382" s="892"/>
      <c r="BJ1382" s="573" t="s">
        <v>4670</v>
      </c>
    </row>
    <row r="1383" spans="1:62" x14ac:dyDescent="0.35">
      <c r="A1383" s="403">
        <v>7</v>
      </c>
      <c r="B1383" s="609">
        <v>706.5</v>
      </c>
      <c r="C1383" s="613"/>
      <c r="D1383" s="604"/>
      <c r="E1383" s="604"/>
      <c r="F1383" s="604"/>
      <c r="G1383" s="403" t="str">
        <f t="shared" ca="1" si="434"/>
        <v/>
      </c>
      <c r="H1383" s="403" t="s">
        <v>4325</v>
      </c>
      <c r="I1383" s="4"/>
      <c r="J1383" s="104"/>
      <c r="K1383" s="104"/>
      <c r="L1383" s="706"/>
      <c r="M1383" s="737"/>
      <c r="N1383" s="696"/>
      <c r="O1383" s="696"/>
      <c r="X1383" s="688"/>
      <c r="Y1383" s="891"/>
      <c r="Z1383" s="892"/>
      <c r="BJ1383" s="573" t="s">
        <v>4670</v>
      </c>
    </row>
    <row r="1384" spans="1:62" x14ac:dyDescent="0.35">
      <c r="A1384" s="403">
        <v>7</v>
      </c>
      <c r="B1384" s="609">
        <v>706.5</v>
      </c>
      <c r="C1384" s="613"/>
      <c r="D1384" s="604"/>
      <c r="E1384" s="604"/>
      <c r="F1384" s="604"/>
      <c r="G1384" s="403" t="str">
        <f t="shared" ca="1" si="434"/>
        <v/>
      </c>
      <c r="H1384" s="403" t="s">
        <v>4325</v>
      </c>
      <c r="I1384" s="4"/>
      <c r="J1384" s="104"/>
      <c r="K1384" s="104"/>
      <c r="L1384" s="752" t="s">
        <v>1287</v>
      </c>
      <c r="M1384" s="43"/>
      <c r="N1384" s="85"/>
      <c r="O1384" s="85"/>
      <c r="X1384" s="688"/>
      <c r="Y1384" s="891"/>
      <c r="Z1384" s="892"/>
      <c r="BJ1384" s="573" t="s">
        <v>4670</v>
      </c>
    </row>
    <row r="1385" spans="1:62" x14ac:dyDescent="0.35">
      <c r="A1385" s="403">
        <v>7</v>
      </c>
      <c r="B1385" s="609">
        <v>706.5</v>
      </c>
      <c r="C1385" s="613"/>
      <c r="D1385" s="604"/>
      <c r="E1385" s="604"/>
      <c r="F1385" s="604"/>
      <c r="G1385" s="403" t="str">
        <f t="shared" ca="1" si="434"/>
        <v/>
      </c>
      <c r="H1385" s="403" t="s">
        <v>4325</v>
      </c>
      <c r="I1385" s="4"/>
      <c r="J1385" s="104"/>
      <c r="K1385" s="104"/>
      <c r="L1385" s="752"/>
      <c r="M1385" s="43"/>
      <c r="N1385" s="85"/>
      <c r="O1385" s="85"/>
      <c r="X1385" s="688"/>
      <c r="Y1385" s="891"/>
      <c r="Z1385" s="892"/>
      <c r="BJ1385" s="573" t="s">
        <v>4670</v>
      </c>
    </row>
    <row r="1386" spans="1:62" x14ac:dyDescent="0.35">
      <c r="A1386" s="403">
        <v>7</v>
      </c>
      <c r="B1386" s="609">
        <v>706.5</v>
      </c>
      <c r="C1386" s="613"/>
      <c r="D1386" s="604"/>
      <c r="E1386" s="604"/>
      <c r="F1386" s="604"/>
      <c r="G1386" s="403" t="str">
        <f t="shared" ca="1" si="434"/>
        <v/>
      </c>
      <c r="H1386" s="403" t="s">
        <v>4325</v>
      </c>
      <c r="I1386" s="4"/>
      <c r="J1386" s="104"/>
      <c r="K1386" s="104"/>
      <c r="L1386" s="752"/>
      <c r="M1386" s="43"/>
      <c r="N1386" s="85"/>
      <c r="O1386" s="85"/>
      <c r="X1386" s="688"/>
      <c r="Y1386" s="891"/>
      <c r="Z1386" s="892"/>
      <c r="BJ1386" s="573" t="s">
        <v>4670</v>
      </c>
    </row>
    <row r="1387" spans="1:62" x14ac:dyDescent="0.35">
      <c r="A1387" s="403">
        <v>7</v>
      </c>
      <c r="B1387" s="609">
        <v>706.5</v>
      </c>
      <c r="C1387" s="613"/>
      <c r="D1387" s="604"/>
      <c r="E1387" s="604"/>
      <c r="F1387" s="604"/>
      <c r="G1387" s="403" t="str">
        <f t="shared" ca="1" si="434"/>
        <v/>
      </c>
      <c r="H1387" s="403" t="s">
        <v>4325</v>
      </c>
      <c r="I1387" s="4"/>
      <c r="J1387" s="104"/>
      <c r="K1387" s="104"/>
      <c r="L1387" s="752" t="s">
        <v>1288</v>
      </c>
      <c r="M1387" s="43"/>
      <c r="N1387" s="85"/>
      <c r="O1387" s="85"/>
      <c r="X1387" s="688"/>
      <c r="Y1387" s="891"/>
      <c r="Z1387" s="892"/>
      <c r="BJ1387" s="573" t="s">
        <v>4670</v>
      </c>
    </row>
    <row r="1388" spans="1:62" ht="15" thickBot="1" x14ac:dyDescent="0.4">
      <c r="A1388" s="403">
        <v>7</v>
      </c>
      <c r="B1388" s="609">
        <v>706.5</v>
      </c>
      <c r="C1388" s="613"/>
      <c r="D1388" s="604"/>
      <c r="E1388" s="604"/>
      <c r="F1388" s="604"/>
      <c r="G1388" s="403" t="str">
        <f t="shared" ca="1" si="434"/>
        <v/>
      </c>
      <c r="H1388" s="403" t="s">
        <v>4325</v>
      </c>
      <c r="I1388" s="183"/>
      <c r="J1388" s="223"/>
      <c r="K1388" s="223"/>
      <c r="L1388" s="779"/>
      <c r="M1388" s="270"/>
      <c r="N1388" s="184"/>
      <c r="O1388" s="184"/>
      <c r="P1388" s="58"/>
      <c r="Q1388" s="58"/>
      <c r="R1388" s="58"/>
      <c r="S1388" s="58"/>
      <c r="T1388" s="58"/>
      <c r="U1388" s="58"/>
      <c r="V1388" s="58"/>
      <c r="W1388" s="58"/>
      <c r="X1388" s="689"/>
      <c r="Y1388" s="905"/>
      <c r="Z1388" s="895"/>
      <c r="BJ1388" s="573" t="s">
        <v>4670</v>
      </c>
    </row>
    <row r="1389" spans="1:62" ht="15" thickTop="1" x14ac:dyDescent="0.35">
      <c r="A1389" s="403">
        <v>7</v>
      </c>
      <c r="B1389" s="609">
        <v>706.6</v>
      </c>
      <c r="C1389" s="613"/>
      <c r="D1389" s="604"/>
      <c r="E1389" s="604"/>
      <c r="F1389" s="604"/>
      <c r="G1389" s="403" t="str">
        <f ca="1">IF(N1389&gt;0,"P","")</f>
        <v/>
      </c>
      <c r="H1389" s="403" t="s">
        <v>4323</v>
      </c>
      <c r="I1389" s="123">
        <v>706.6</v>
      </c>
      <c r="J1389" s="349"/>
      <c r="K1389" s="349"/>
      <c r="L1389" s="711" t="s">
        <v>1289</v>
      </c>
      <c r="M1389" s="692">
        <v>2</v>
      </c>
      <c r="N1389" s="694">
        <f ca="1">'Ch7'!O625</f>
        <v>0</v>
      </c>
      <c r="O1389" s="694">
        <f ca="1">M1389*S1389*W1389</f>
        <v>0</v>
      </c>
      <c r="P1389" t="b">
        <v>1</v>
      </c>
      <c r="Q1389" t="b">
        <v>1</v>
      </c>
      <c r="R1389" s="62" t="b">
        <v>0</v>
      </c>
      <c r="S1389" s="62" t="b">
        <f ca="1">$AY$18=INDEX(INDIRECT("ddSingleOrMulti"),2)</f>
        <v>0</v>
      </c>
      <c r="T1389" s="62" t="b">
        <f ca="1">AND(NOT(S1389),W1389=TRUE)</f>
        <v>0</v>
      </c>
      <c r="U1389" s="62"/>
      <c r="V1389" s="62"/>
      <c r="W1389" s="17"/>
      <c r="X1389" s="687"/>
      <c r="Y1389" s="904" t="str">
        <f>IF(LEN('Ch7'!X625)=0,"None",'Ch7'!X625)</f>
        <v>None</v>
      </c>
      <c r="Z1389" s="896"/>
      <c r="AC1389" t="b">
        <f ca="1">OR(AD1389:AE1389)</f>
        <v>0</v>
      </c>
      <c r="AD1389" t="b">
        <f ca="1">T1389</f>
        <v>0</v>
      </c>
      <c r="AE1389" t="b">
        <f>AND(R1389,NOT(W1389))</f>
        <v>0</v>
      </c>
      <c r="AF1389" t="b">
        <f>AND(AE1389,NOT(Q1389))</f>
        <v>0</v>
      </c>
      <c r="AL1389" t="str">
        <f t="shared" ref="AL1389" si="435">SUBSTITUTE(SUBSTITUTE(SUBSTITUTE("vpa"&amp;$B1389&amp;$C1389&amp;$D1389&amp;$E1389&amp;$F1389,".","_"),"(","_"),")","")</f>
        <v>vpa706_6</v>
      </c>
      <c r="AM1389">
        <f>M1389</f>
        <v>2</v>
      </c>
      <c r="AN1389" t="str">
        <f>SUBSTITUTE(SUBSTITUTE(SUBSTITUTE("vpc"&amp;$B1389&amp;$C1389&amp;$D1389&amp;$E1389&amp;$F1389,".","_"),"(","_"),")","")</f>
        <v>vpc706_6</v>
      </c>
      <c r="AO1389">
        <f ca="1">O1389</f>
        <v>0</v>
      </c>
      <c r="AP1389" t="str">
        <f>SUBSTITUTE(SUBSTITUTE(SUBSTITUTE("vch"&amp;$B1389&amp;$C1389&amp;$D1389&amp;$E1389&amp;$F1389,".","_"),"(","_"),")","")</f>
        <v>vch706_6</v>
      </c>
      <c r="AQ1389">
        <f>W1389</f>
        <v>0</v>
      </c>
      <c r="AR1389" t="str">
        <f>SUBSTITUTE(SUBSTITUTE(SUBSTITUTE("vnt"&amp;$B1389&amp;$C1389&amp;$D1389&amp;$E1389&amp;$F1389,".","_"),"(","_"),")","")</f>
        <v>vnt706_6</v>
      </c>
      <c r="AS1389">
        <f>X1389</f>
        <v>0</v>
      </c>
      <c r="BJ1389" s="573" t="s">
        <v>4670</v>
      </c>
    </row>
    <row r="1390" spans="1:62" ht="15" thickBot="1" x14ac:dyDescent="0.4">
      <c r="A1390" s="403">
        <v>7</v>
      </c>
      <c r="B1390" s="609">
        <v>706.6</v>
      </c>
      <c r="C1390" s="613"/>
      <c r="D1390" s="604"/>
      <c r="E1390" s="604"/>
      <c r="F1390" s="604"/>
      <c r="G1390" s="403" t="str">
        <f t="shared" ref="G1390" ca="1" si="436">G1389</f>
        <v/>
      </c>
      <c r="H1390" s="403" t="s">
        <v>4323</v>
      </c>
      <c r="I1390" s="183"/>
      <c r="J1390" s="223"/>
      <c r="K1390" s="223"/>
      <c r="L1390" s="710"/>
      <c r="M1390" s="693"/>
      <c r="N1390" s="695"/>
      <c r="O1390" s="695"/>
      <c r="P1390" s="58"/>
      <c r="Q1390" s="58"/>
      <c r="R1390" s="58"/>
      <c r="S1390" s="58"/>
      <c r="T1390" s="58"/>
      <c r="U1390" s="58"/>
      <c r="V1390" s="58"/>
      <c r="W1390" s="58"/>
      <c r="X1390" s="689"/>
      <c r="Y1390" s="905"/>
      <c r="Z1390" s="895"/>
      <c r="BJ1390" s="573" t="s">
        <v>4670</v>
      </c>
    </row>
    <row r="1391" spans="1:62" ht="15" thickTop="1" x14ac:dyDescent="0.35">
      <c r="A1391" s="403">
        <v>7</v>
      </c>
      <c r="B1391" s="609">
        <v>706.7</v>
      </c>
      <c r="C1391" s="613"/>
      <c r="D1391" s="604"/>
      <c r="E1391" s="604"/>
      <c r="F1391" s="604"/>
      <c r="G1391" s="600" t="str">
        <f>IF(COUNTIF(G1393:G1394,"P")&gt;0,"P","")</f>
        <v/>
      </c>
      <c r="H1391" s="403" t="s">
        <v>4325</v>
      </c>
      <c r="I1391" s="32">
        <v>706.7</v>
      </c>
      <c r="J1391" s="104"/>
      <c r="K1391" s="104"/>
      <c r="L1391" s="706" t="s">
        <v>1290</v>
      </c>
      <c r="M1391" s="43"/>
      <c r="N1391" s="85"/>
      <c r="O1391" s="85"/>
      <c r="Z1391" s="543"/>
      <c r="BJ1391" s="573" t="s">
        <v>4670</v>
      </c>
    </row>
    <row r="1392" spans="1:62" x14ac:dyDescent="0.35">
      <c r="A1392" s="403">
        <v>7</v>
      </c>
      <c r="B1392" s="609">
        <v>706.7</v>
      </c>
      <c r="C1392" s="613"/>
      <c r="D1392" s="604"/>
      <c r="E1392" s="604"/>
      <c r="F1392" s="604"/>
      <c r="G1392" s="403" t="str">
        <f t="shared" ref="G1392" si="437">G1391</f>
        <v/>
      </c>
      <c r="H1392" s="403" t="s">
        <v>4325</v>
      </c>
      <c r="I1392" s="4"/>
      <c r="J1392" s="104"/>
      <c r="K1392" s="104"/>
      <c r="L1392" s="706"/>
      <c r="M1392" s="43"/>
      <c r="N1392" s="85"/>
      <c r="O1392" s="85"/>
      <c r="Z1392" s="543"/>
      <c r="BJ1392" s="573" t="s">
        <v>4670</v>
      </c>
    </row>
    <row r="1393" spans="1:62" x14ac:dyDescent="0.35">
      <c r="A1393" s="403">
        <v>7</v>
      </c>
      <c r="B1393" s="609">
        <v>706.7</v>
      </c>
      <c r="C1393" s="613"/>
      <c r="D1393" s="604" t="s">
        <v>270</v>
      </c>
      <c r="E1393" s="604"/>
      <c r="F1393" s="604"/>
      <c r="G1393" s="403" t="str">
        <f>IF(N1393&gt;0,"P","")</f>
        <v/>
      </c>
      <c r="H1393" s="403" t="s">
        <v>4325</v>
      </c>
      <c r="I1393" s="4"/>
      <c r="J1393" s="373" t="s">
        <v>270</v>
      </c>
      <c r="K1393" s="214"/>
      <c r="L1393" s="214" t="s">
        <v>1291</v>
      </c>
      <c r="M1393" s="198">
        <v>1</v>
      </c>
      <c r="N1393" s="342">
        <f>'Ch7'!O629</f>
        <v>0</v>
      </c>
      <c r="O1393" s="342">
        <f>M1393*S1393*W1393</f>
        <v>0</v>
      </c>
      <c r="P1393" t="b">
        <v>0</v>
      </c>
      <c r="Q1393" t="b">
        <v>1</v>
      </c>
      <c r="R1393" t="b">
        <v>0</v>
      </c>
      <c r="S1393" t="b">
        <f>IFERROR(NOT(OR(W1364:W1371,W1400)),TRUE)</f>
        <v>1</v>
      </c>
      <c r="T1393" t="b">
        <f>AND(NOT(S1393),W1393=TRUE)</f>
        <v>0</v>
      </c>
      <c r="W1393" s="17"/>
      <c r="X1393" s="39"/>
      <c r="Y1393" s="200" t="str">
        <f>IF(LEN('Ch7'!X629)=0,"None",'Ch7'!X629)</f>
        <v>None</v>
      </c>
      <c r="Z1393" s="563"/>
      <c r="AC1393" t="b">
        <f>OR(AD1393:AE1393)</f>
        <v>0</v>
      </c>
      <c r="AD1393" t="b">
        <f>T1393</f>
        <v>0</v>
      </c>
      <c r="AE1393" t="b">
        <f>AND(R1393,NOT(W1393))</f>
        <v>0</v>
      </c>
      <c r="AF1393" t="b">
        <f>AND(AE1393,NOT(Q1393))</f>
        <v>0</v>
      </c>
      <c r="AL1393" t="str">
        <f t="shared" ref="AL1393:AL1394" si="438">SUBSTITUTE(SUBSTITUTE(SUBSTITUTE("vpa"&amp;$B1393&amp;$C1393&amp;$D1393&amp;$E1393&amp;$F1393,".","_"),"(","_"),")","")</f>
        <v>vpa706_7_1</v>
      </c>
      <c r="AM1393">
        <f>M1393</f>
        <v>1</v>
      </c>
      <c r="AN1393" t="str">
        <f t="shared" ref="AN1393:AN1394" si="439">SUBSTITUTE(SUBSTITUTE(SUBSTITUTE("vpc"&amp;$B1393&amp;$C1393&amp;$D1393&amp;$E1393&amp;$F1393,".","_"),"(","_"),")","")</f>
        <v>vpc706_7_1</v>
      </c>
      <c r="AO1393">
        <f>O1393</f>
        <v>0</v>
      </c>
      <c r="AP1393" t="str">
        <f t="shared" ref="AP1393:AP1394" si="440">SUBSTITUTE(SUBSTITUTE(SUBSTITUTE("vch"&amp;$B1393&amp;$C1393&amp;$D1393&amp;$E1393&amp;$F1393,".","_"),"(","_"),")","")</f>
        <v>vch706_7_1</v>
      </c>
      <c r="AQ1393">
        <f>W1393</f>
        <v>0</v>
      </c>
      <c r="AR1393" t="str">
        <f t="shared" ref="AR1393:AR1394" si="441">SUBSTITUTE(SUBSTITUTE(SUBSTITUTE("vnt"&amp;$B1393&amp;$C1393&amp;$D1393&amp;$E1393&amp;$F1393,".","_"),"(","_"),")","")</f>
        <v>vnt706_7_1</v>
      </c>
      <c r="AS1393">
        <f>X1393</f>
        <v>0</v>
      </c>
      <c r="BJ1393" s="573" t="s">
        <v>4670</v>
      </c>
    </row>
    <row r="1394" spans="1:62" x14ac:dyDescent="0.35">
      <c r="A1394" s="403">
        <v>7</v>
      </c>
      <c r="B1394" s="609">
        <v>706.7</v>
      </c>
      <c r="C1394" s="613"/>
      <c r="D1394" s="604" t="s">
        <v>272</v>
      </c>
      <c r="E1394" s="604"/>
      <c r="F1394" s="604"/>
      <c r="G1394" s="403" t="str">
        <f>IF(N1394&gt;0,"P","")</f>
        <v/>
      </c>
      <c r="H1394" s="403" t="s">
        <v>4325</v>
      </c>
      <c r="I1394" s="4"/>
      <c r="J1394" s="179" t="s">
        <v>272</v>
      </c>
      <c r="K1394" s="104"/>
      <c r="L1394" s="104" t="s">
        <v>1292</v>
      </c>
      <c r="M1394" s="43">
        <v>1</v>
      </c>
      <c r="N1394" s="85">
        <f>'Ch7'!O630</f>
        <v>0</v>
      </c>
      <c r="O1394" s="85">
        <f>M1394*S1394*W1394</f>
        <v>0</v>
      </c>
      <c r="P1394" t="b">
        <v>0</v>
      </c>
      <c r="Q1394" t="b">
        <v>1</v>
      </c>
      <c r="R1394" t="b">
        <v>0</v>
      </c>
      <c r="S1394" t="b">
        <f>IFERROR(NOT(OR(W1364:W1371,W1400)),TRUE)</f>
        <v>1</v>
      </c>
      <c r="T1394" t="b">
        <f>AND(NOT(S1394),W1394=TRUE)</f>
        <v>0</v>
      </c>
      <c r="W1394" s="17"/>
      <c r="X1394" s="688"/>
      <c r="Y1394" s="891" t="str">
        <f>IF(LEN('Ch7'!X630)=0,"None",'Ch7'!X630)</f>
        <v>None</v>
      </c>
      <c r="Z1394" s="892"/>
      <c r="AC1394" t="b">
        <f>OR(AD1394:AE1394)</f>
        <v>0</v>
      </c>
      <c r="AD1394" t="b">
        <f>T1394</f>
        <v>0</v>
      </c>
      <c r="AE1394" t="b">
        <f>AND(R1394,NOT(W1394))</f>
        <v>0</v>
      </c>
      <c r="AF1394" t="b">
        <f>AND(AE1394,NOT(Q1394))</f>
        <v>0</v>
      </c>
      <c r="AL1394" t="str">
        <f t="shared" si="438"/>
        <v>vpa706_7_2</v>
      </c>
      <c r="AM1394">
        <f>M1394</f>
        <v>1</v>
      </c>
      <c r="AN1394" t="str">
        <f t="shared" si="439"/>
        <v>vpc706_7_2</v>
      </c>
      <c r="AO1394">
        <f>O1394</f>
        <v>0</v>
      </c>
      <c r="AP1394" t="str">
        <f t="shared" si="440"/>
        <v>vch706_7_2</v>
      </c>
      <c r="AQ1394">
        <f>W1394</f>
        <v>0</v>
      </c>
      <c r="AR1394" t="str">
        <f t="shared" si="441"/>
        <v>vnt706_7_2</v>
      </c>
      <c r="AS1394">
        <f>X1394</f>
        <v>0</v>
      </c>
      <c r="BJ1394" s="573" t="s">
        <v>4670</v>
      </c>
    </row>
    <row r="1395" spans="1:62" x14ac:dyDescent="0.35">
      <c r="A1395" s="403">
        <v>7</v>
      </c>
      <c r="B1395" s="609">
        <v>706.7</v>
      </c>
      <c r="C1395" s="613"/>
      <c r="D1395" s="604"/>
      <c r="E1395" s="604"/>
      <c r="F1395" s="604"/>
      <c r="G1395" s="403" t="str">
        <f t="shared" ref="G1395:G1404" si="442">G1394</f>
        <v/>
      </c>
      <c r="H1395" s="403" t="s">
        <v>4325</v>
      </c>
      <c r="I1395" s="4"/>
      <c r="J1395" s="104"/>
      <c r="K1395" s="104"/>
      <c r="L1395" s="706" t="s">
        <v>1293</v>
      </c>
      <c r="M1395" s="43"/>
      <c r="N1395" s="85"/>
      <c r="O1395" s="85"/>
      <c r="X1395" s="688"/>
      <c r="Y1395" s="891"/>
      <c r="Z1395" s="892"/>
      <c r="BJ1395" s="573" t="s">
        <v>4670</v>
      </c>
    </row>
    <row r="1396" spans="1:62" ht="15" thickBot="1" x14ac:dyDescent="0.4">
      <c r="A1396" s="403">
        <v>7</v>
      </c>
      <c r="B1396" s="609">
        <v>706.7</v>
      </c>
      <c r="C1396" s="613"/>
      <c r="D1396" s="604"/>
      <c r="E1396" s="604"/>
      <c r="F1396" s="604"/>
      <c r="G1396" s="403" t="str">
        <f t="shared" si="442"/>
        <v/>
      </c>
      <c r="H1396" s="403" t="s">
        <v>4325</v>
      </c>
      <c r="I1396" s="183"/>
      <c r="J1396" s="223"/>
      <c r="K1396" s="223"/>
      <c r="L1396" s="710"/>
      <c r="M1396" s="270"/>
      <c r="N1396" s="184"/>
      <c r="O1396" s="184"/>
      <c r="P1396" s="58"/>
      <c r="Q1396" s="58"/>
      <c r="R1396" s="58"/>
      <c r="S1396" s="58"/>
      <c r="T1396" s="58"/>
      <c r="U1396" s="58"/>
      <c r="V1396" s="58"/>
      <c r="W1396" s="58"/>
      <c r="X1396" s="689"/>
      <c r="Y1396" s="905"/>
      <c r="Z1396" s="895"/>
      <c r="BJ1396" s="573" t="s">
        <v>4670</v>
      </c>
    </row>
    <row r="1397" spans="1:62" ht="15" thickTop="1" x14ac:dyDescent="0.35">
      <c r="A1397" s="403">
        <v>7</v>
      </c>
      <c r="B1397" s="609">
        <v>706.8</v>
      </c>
      <c r="C1397" s="613"/>
      <c r="D1397" s="604"/>
      <c r="E1397" s="604"/>
      <c r="F1397" s="604"/>
      <c r="G1397" s="403" t="str">
        <f>IF(N1397&gt;0,"P","")</f>
        <v/>
      </c>
      <c r="H1397" s="403" t="s">
        <v>4323</v>
      </c>
      <c r="I1397" s="123">
        <v>706.8</v>
      </c>
      <c r="J1397" s="349"/>
      <c r="K1397" s="349"/>
      <c r="L1397" s="711" t="s">
        <v>1294</v>
      </c>
      <c r="M1397" s="692">
        <v>2</v>
      </c>
      <c r="N1397" s="694">
        <f>'Ch7'!O633</f>
        <v>0</v>
      </c>
      <c r="O1397" s="694">
        <f>M1397*S1397*W1397</f>
        <v>0</v>
      </c>
      <c r="P1397" t="b">
        <v>1</v>
      </c>
      <c r="Q1397" t="b">
        <v>1</v>
      </c>
      <c r="R1397" s="62" t="b">
        <v>0</v>
      </c>
      <c r="S1397" s="62" t="b">
        <v>1</v>
      </c>
      <c r="T1397" s="62" t="b">
        <v>0</v>
      </c>
      <c r="U1397" s="62"/>
      <c r="V1397" s="62"/>
      <c r="W1397" s="17"/>
      <c r="X1397" s="687"/>
      <c r="Y1397" s="904" t="str">
        <f>IF(LEN('Ch7'!X633)=0,"None",'Ch7'!X633)</f>
        <v>None</v>
      </c>
      <c r="Z1397" s="896"/>
      <c r="AC1397" t="b">
        <f>OR(AD1397:AE1397)</f>
        <v>0</v>
      </c>
      <c r="AD1397" t="b">
        <f>T1397</f>
        <v>0</v>
      </c>
      <c r="AE1397" t="b">
        <f>AND(R1397,NOT(W1397))</f>
        <v>0</v>
      </c>
      <c r="AF1397" t="b">
        <f>AND(AE1397,NOT(Q1397))</f>
        <v>0</v>
      </c>
      <c r="AL1397" t="str">
        <f t="shared" ref="AL1397" si="443">SUBSTITUTE(SUBSTITUTE(SUBSTITUTE("vpa"&amp;$B1397&amp;$C1397&amp;$D1397&amp;$E1397&amp;$F1397,".","_"),"(","_"),")","")</f>
        <v>vpa706_8</v>
      </c>
      <c r="AM1397">
        <f>M1397</f>
        <v>2</v>
      </c>
      <c r="AN1397" t="str">
        <f>SUBSTITUTE(SUBSTITUTE(SUBSTITUTE("vpc"&amp;$B1397&amp;$C1397&amp;$D1397&amp;$E1397&amp;$F1397,".","_"),"(","_"),")","")</f>
        <v>vpc706_8</v>
      </c>
      <c r="AO1397">
        <f>O1397</f>
        <v>0</v>
      </c>
      <c r="AP1397" t="str">
        <f>SUBSTITUTE(SUBSTITUTE(SUBSTITUTE("vch"&amp;$B1397&amp;$C1397&amp;$D1397&amp;$E1397&amp;$F1397,".","_"),"(","_"),")","")</f>
        <v>vch706_8</v>
      </c>
      <c r="AQ1397">
        <f>W1397</f>
        <v>0</v>
      </c>
      <c r="AR1397" t="str">
        <f>SUBSTITUTE(SUBSTITUTE(SUBSTITUTE("vnt"&amp;$B1397&amp;$C1397&amp;$D1397&amp;$E1397&amp;$F1397,".","_"),"(","_"),")","")</f>
        <v>vnt706_8</v>
      </c>
      <c r="AS1397">
        <f>X1397</f>
        <v>0</v>
      </c>
      <c r="BJ1397" s="573" t="s">
        <v>4670</v>
      </c>
    </row>
    <row r="1398" spans="1:62" x14ac:dyDescent="0.35">
      <c r="A1398" s="403">
        <v>7</v>
      </c>
      <c r="B1398" s="609">
        <v>706.8</v>
      </c>
      <c r="C1398" s="613"/>
      <c r="D1398" s="604"/>
      <c r="E1398" s="604"/>
      <c r="F1398" s="604"/>
      <c r="G1398" s="403" t="str">
        <f t="shared" si="442"/>
        <v/>
      </c>
      <c r="H1398" s="403" t="s">
        <v>4323</v>
      </c>
      <c r="I1398" s="4"/>
      <c r="J1398" s="104"/>
      <c r="K1398" s="104"/>
      <c r="L1398" s="706"/>
      <c r="M1398" s="690"/>
      <c r="N1398" s="696"/>
      <c r="O1398" s="696"/>
      <c r="X1398" s="688"/>
      <c r="Y1398" s="891"/>
      <c r="Z1398" s="892"/>
      <c r="BJ1398" s="573" t="s">
        <v>4670</v>
      </c>
    </row>
    <row r="1399" spans="1:62" ht="15" thickBot="1" x14ac:dyDescent="0.4">
      <c r="A1399" s="403">
        <v>7</v>
      </c>
      <c r="B1399" s="609">
        <v>706.8</v>
      </c>
      <c r="C1399" s="613"/>
      <c r="D1399" s="604"/>
      <c r="E1399" s="604"/>
      <c r="F1399" s="604"/>
      <c r="G1399" s="403" t="str">
        <f t="shared" si="442"/>
        <v/>
      </c>
      <c r="H1399" s="403" t="s">
        <v>4323</v>
      </c>
      <c r="I1399" s="183"/>
      <c r="J1399" s="223"/>
      <c r="K1399" s="223"/>
      <c r="L1399" s="710"/>
      <c r="M1399" s="693"/>
      <c r="N1399" s="695"/>
      <c r="O1399" s="695"/>
      <c r="P1399" s="58"/>
      <c r="Q1399" s="58"/>
      <c r="R1399" s="58"/>
      <c r="S1399" s="58"/>
      <c r="T1399" s="58"/>
      <c r="U1399" s="58"/>
      <c r="V1399" s="58"/>
      <c r="W1399" s="58"/>
      <c r="X1399" s="689"/>
      <c r="Y1399" s="905"/>
      <c r="Z1399" s="895"/>
      <c r="BJ1399" s="573" t="s">
        <v>4670</v>
      </c>
    </row>
    <row r="1400" spans="1:62" ht="15" thickTop="1" x14ac:dyDescent="0.35">
      <c r="A1400" s="403">
        <v>7</v>
      </c>
      <c r="B1400" s="609">
        <v>706.9</v>
      </c>
      <c r="C1400" s="613"/>
      <c r="D1400" s="604"/>
      <c r="E1400" s="604"/>
      <c r="F1400" s="604"/>
      <c r="G1400" s="403" t="str">
        <f>IF(N1400&gt;0,"P","")</f>
        <v/>
      </c>
      <c r="H1400" s="403" t="s">
        <v>4325</v>
      </c>
      <c r="I1400" s="32">
        <v>706.9</v>
      </c>
      <c r="J1400" s="104"/>
      <c r="K1400" s="104"/>
      <c r="L1400" s="706" t="s">
        <v>1295</v>
      </c>
      <c r="M1400" s="690">
        <v>1</v>
      </c>
      <c r="N1400" s="696">
        <f>'Ch7'!O636</f>
        <v>0</v>
      </c>
      <c r="O1400" s="696">
        <f>M1400*S1400*W1400</f>
        <v>0</v>
      </c>
      <c r="P1400" t="b">
        <v>0</v>
      </c>
      <c r="Q1400" t="b">
        <v>1</v>
      </c>
      <c r="R1400" t="b">
        <v>0</v>
      </c>
      <c r="S1400" t="b">
        <f>IFERROR(NOT(OR(W1364:W1371,W1393:W1394)),TRUE)</f>
        <v>1</v>
      </c>
      <c r="T1400" t="b">
        <f>AND(NOT(S1400),W1400=TRUE)</f>
        <v>0</v>
      </c>
      <c r="W1400" s="17"/>
      <c r="X1400" s="700"/>
      <c r="Y1400" s="904" t="str">
        <f>IF(LEN('Ch7'!X636)=0,"None",'Ch7'!X636)</f>
        <v>None</v>
      </c>
      <c r="Z1400" s="896"/>
      <c r="AC1400" t="b">
        <f>OR(AD1400:AE1400)</f>
        <v>0</v>
      </c>
      <c r="AD1400" t="b">
        <f>T1400</f>
        <v>0</v>
      </c>
      <c r="AE1400" t="b">
        <f>AND(R1400,NOT(W1400))</f>
        <v>0</v>
      </c>
      <c r="AF1400" t="b">
        <f>AND(AE1400,NOT(Q1400))</f>
        <v>0</v>
      </c>
      <c r="AL1400" t="str">
        <f t="shared" ref="AL1400" si="444">SUBSTITUTE(SUBSTITUTE(SUBSTITUTE("vpa"&amp;$B1400&amp;$C1400&amp;$D1400&amp;$E1400&amp;$F1400,".","_"),"(","_"),")","")</f>
        <v>vpa706_9</v>
      </c>
      <c r="AM1400">
        <f>M1400</f>
        <v>1</v>
      </c>
      <c r="AN1400" t="str">
        <f>SUBSTITUTE(SUBSTITUTE(SUBSTITUTE("vpc"&amp;$B1400&amp;$C1400&amp;$D1400&amp;$E1400&amp;$F1400,".","_"),"(","_"),")","")</f>
        <v>vpc706_9</v>
      </c>
      <c r="AO1400">
        <f>O1400</f>
        <v>0</v>
      </c>
      <c r="AP1400" t="str">
        <f>SUBSTITUTE(SUBSTITUTE(SUBSTITUTE("vch"&amp;$B1400&amp;$C1400&amp;$D1400&amp;$E1400&amp;$F1400,".","_"),"(","_"),")","")</f>
        <v>vch706_9</v>
      </c>
      <c r="AQ1400">
        <f>W1400</f>
        <v>0</v>
      </c>
      <c r="AR1400" t="str">
        <f>SUBSTITUTE(SUBSTITUTE(SUBSTITUTE("vnt"&amp;$B1400&amp;$C1400&amp;$D1400&amp;$E1400&amp;$F1400,".","_"),"(","_"),")","")</f>
        <v>vnt706_9</v>
      </c>
      <c r="AS1400">
        <f>X1400</f>
        <v>0</v>
      </c>
      <c r="BJ1400" s="573" t="s">
        <v>4670</v>
      </c>
    </row>
    <row r="1401" spans="1:62" x14ac:dyDescent="0.35">
      <c r="A1401" s="403">
        <v>7</v>
      </c>
      <c r="B1401" s="609">
        <v>706.9</v>
      </c>
      <c r="C1401" s="613"/>
      <c r="D1401" s="604"/>
      <c r="E1401" s="604"/>
      <c r="F1401" s="604"/>
      <c r="G1401" s="403" t="str">
        <f t="shared" si="442"/>
        <v/>
      </c>
      <c r="H1401" s="403" t="s">
        <v>4325</v>
      </c>
      <c r="I1401" s="4"/>
      <c r="J1401" s="104"/>
      <c r="K1401" s="104"/>
      <c r="L1401" s="706"/>
      <c r="M1401" s="690"/>
      <c r="N1401" s="696"/>
      <c r="O1401" s="696"/>
      <c r="X1401" s="688"/>
      <c r="Y1401" s="891"/>
      <c r="Z1401" s="892"/>
      <c r="BJ1401" s="573" t="s">
        <v>4670</v>
      </c>
    </row>
    <row r="1402" spans="1:62" x14ac:dyDescent="0.35">
      <c r="A1402" s="403">
        <v>7</v>
      </c>
      <c r="B1402" s="609">
        <v>706.9</v>
      </c>
      <c r="C1402" s="613"/>
      <c r="D1402" s="604"/>
      <c r="E1402" s="604"/>
      <c r="F1402" s="604"/>
      <c r="G1402" s="403" t="str">
        <f t="shared" si="442"/>
        <v/>
      </c>
      <c r="H1402" s="403" t="s">
        <v>4325</v>
      </c>
      <c r="I1402" s="4"/>
      <c r="J1402" s="104"/>
      <c r="K1402" s="104"/>
      <c r="L1402" s="706"/>
      <c r="M1402" s="690"/>
      <c r="N1402" s="696"/>
      <c r="O1402" s="696"/>
      <c r="X1402" s="688"/>
      <c r="Y1402" s="891"/>
      <c r="Z1402" s="892"/>
      <c r="BJ1402" s="573" t="s">
        <v>4670</v>
      </c>
    </row>
    <row r="1403" spans="1:62" x14ac:dyDescent="0.35">
      <c r="A1403" s="403">
        <v>7</v>
      </c>
      <c r="B1403" s="609">
        <v>706.9</v>
      </c>
      <c r="C1403" s="613"/>
      <c r="D1403" s="604"/>
      <c r="E1403" s="604"/>
      <c r="F1403" s="604"/>
      <c r="G1403" s="403" t="str">
        <f t="shared" si="442"/>
        <v/>
      </c>
      <c r="H1403" s="403" t="s">
        <v>4325</v>
      </c>
      <c r="I1403" s="4"/>
      <c r="J1403" s="104"/>
      <c r="K1403" s="104"/>
      <c r="L1403" s="706" t="s">
        <v>1296</v>
      </c>
      <c r="M1403" s="85"/>
      <c r="N1403" s="44"/>
      <c r="O1403" s="44"/>
      <c r="X1403" s="688"/>
      <c r="Y1403" s="891"/>
      <c r="Z1403" s="892"/>
      <c r="BJ1403" s="573" t="s">
        <v>4670</v>
      </c>
    </row>
    <row r="1404" spans="1:62" x14ac:dyDescent="0.35">
      <c r="A1404" s="403">
        <v>7</v>
      </c>
      <c r="B1404" s="609">
        <v>706.9</v>
      </c>
      <c r="C1404" s="613"/>
      <c r="D1404" s="604"/>
      <c r="E1404" s="604"/>
      <c r="F1404" s="604"/>
      <c r="G1404" s="403" t="str">
        <f t="shared" si="442"/>
        <v/>
      </c>
      <c r="H1404" s="403" t="s">
        <v>4325</v>
      </c>
      <c r="I1404" s="4"/>
      <c r="J1404" s="104"/>
      <c r="K1404" s="104"/>
      <c r="L1404" s="706"/>
      <c r="M1404" s="85"/>
      <c r="N1404" s="44"/>
      <c r="O1404" s="44"/>
      <c r="X1404" s="688"/>
      <c r="Y1404" s="891"/>
      <c r="Z1404" s="892"/>
      <c r="BJ1404" s="573" t="s">
        <v>4670</v>
      </c>
    </row>
    <row r="1405" spans="1:62" ht="18.5" x14ac:dyDescent="0.45">
      <c r="A1405" s="403">
        <v>8</v>
      </c>
      <c r="B1405" s="612">
        <v>801</v>
      </c>
      <c r="G1405" s="403" t="s">
        <v>4326</v>
      </c>
      <c r="H1405" s="403" t="s">
        <v>4323</v>
      </c>
      <c r="I1405" s="14" t="s">
        <v>841</v>
      </c>
      <c r="J1405" s="14"/>
      <c r="K1405" s="14"/>
      <c r="L1405" s="15"/>
      <c r="M1405" s="16"/>
      <c r="N1405" s="16"/>
      <c r="O1405" s="16"/>
      <c r="P1405" t="s">
        <v>260</v>
      </c>
      <c r="Q1405" t="s">
        <v>260</v>
      </c>
      <c r="R1405" t="s">
        <v>260</v>
      </c>
      <c r="S1405" t="s">
        <v>260</v>
      </c>
      <c r="T1405" t="s">
        <v>260</v>
      </c>
      <c r="U1405" t="s">
        <v>260</v>
      </c>
      <c r="V1405" t="s">
        <v>260</v>
      </c>
      <c r="W1405" s="15"/>
      <c r="X1405" s="15"/>
      <c r="Y1405" s="15"/>
      <c r="Z1405" s="562"/>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J1405" s="573" t="s">
        <v>4670</v>
      </c>
    </row>
    <row r="1406" spans="1:62" ht="15" thickBot="1" x14ac:dyDescent="0.4">
      <c r="A1406" s="403">
        <v>8</v>
      </c>
      <c r="B1406" s="609">
        <v>801</v>
      </c>
      <c r="C1406" s="604"/>
      <c r="D1406" s="604"/>
      <c r="E1406" s="604"/>
      <c r="F1406" s="604"/>
      <c r="I1406" s="271" t="s">
        <v>842</v>
      </c>
      <c r="J1406" s="183"/>
      <c r="K1406" s="183"/>
      <c r="L1406" s="272" t="s">
        <v>843</v>
      </c>
      <c r="M1406" s="270"/>
      <c r="N1406" s="80"/>
      <c r="O1406" s="80"/>
      <c r="P1406" s="58"/>
      <c r="Q1406" s="58"/>
      <c r="R1406" s="58"/>
      <c r="S1406" s="58"/>
      <c r="T1406" s="58"/>
      <c r="U1406" s="58"/>
      <c r="V1406" s="58"/>
      <c r="W1406" s="58"/>
      <c r="X1406" s="58"/>
      <c r="Y1406" s="58"/>
      <c r="Z1406" s="566"/>
      <c r="BJ1406" s="573" t="s">
        <v>4670</v>
      </c>
    </row>
    <row r="1407" spans="1:62" ht="15" thickTop="1" x14ac:dyDescent="0.35">
      <c r="A1407" s="403">
        <v>8</v>
      </c>
      <c r="B1407" s="609">
        <v>801.1</v>
      </c>
      <c r="C1407" s="604"/>
      <c r="D1407" s="604"/>
      <c r="E1407" s="604"/>
      <c r="F1407" s="604"/>
      <c r="G1407" s="403" t="str">
        <f ca="1">IF(N1407&gt;0,"P","")</f>
        <v/>
      </c>
      <c r="H1407" s="403" t="s">
        <v>4323</v>
      </c>
      <c r="I1407" s="32">
        <v>801.1</v>
      </c>
      <c r="J1407" s="4"/>
      <c r="K1407" s="4"/>
      <c r="L1407" s="706" t="s">
        <v>844</v>
      </c>
      <c r="M1407" s="43"/>
      <c r="N1407" s="696">
        <f ca="1">'Ch8'!O11</f>
        <v>0</v>
      </c>
      <c r="O1407" s="696">
        <f ca="1">IFERROR(INDEX({11,17,29,35,39,9},MATCH(W1408,INDIRECT(U1408),0)),0)*S1408*NOT(T1408)</f>
        <v>0</v>
      </c>
      <c r="Z1407" s="543"/>
      <c r="AN1407" t="str">
        <f>SUBSTITUTE(SUBSTITUTE(SUBSTITUTE("vpc"&amp;$B1407&amp;$C1407&amp;$D1407&amp;$E1407&amp;$F1407,".","_"),"(","_"),")","")</f>
        <v>vpc801_1</v>
      </c>
      <c r="AO1407">
        <f ca="1">O1407</f>
        <v>0</v>
      </c>
      <c r="AX1407" s="6" t="str">
        <f>'Overview (Verification)'!A8</f>
        <v>Builder Name:</v>
      </c>
      <c r="AY1407" t="str">
        <f>IF(LEN('Overview (Verification)'!P8)=0,0,'Overview (Verification)'!P8)</f>
        <v>ABC Builder</v>
      </c>
      <c r="BJ1407" s="573" t="s">
        <v>4670</v>
      </c>
    </row>
    <row r="1408" spans="1:62" x14ac:dyDescent="0.35">
      <c r="A1408" s="403">
        <v>8</v>
      </c>
      <c r="B1408" s="609">
        <v>801.1</v>
      </c>
      <c r="C1408" s="604"/>
      <c r="D1408" s="604"/>
      <c r="E1408" s="604"/>
      <c r="F1408" s="604"/>
      <c r="G1408" s="403" t="str">
        <f t="shared" ref="G1408:G1436" ca="1" si="445">G1407</f>
        <v/>
      </c>
      <c r="H1408" s="403" t="s">
        <v>4323</v>
      </c>
      <c r="I1408" s="32"/>
      <c r="J1408" s="4"/>
      <c r="K1408" s="4"/>
      <c r="L1408" s="706"/>
      <c r="M1408" s="43"/>
      <c r="N1408" s="696"/>
      <c r="O1408" s="696"/>
      <c r="P1408" t="b">
        <v>1</v>
      </c>
      <c r="Q1408" t="b">
        <v>1</v>
      </c>
      <c r="R1408" t="b">
        <v>0</v>
      </c>
      <c r="S1408" t="b">
        <f>AND(S1410,S1411=TRUE)</f>
        <v>0</v>
      </c>
      <c r="T1408" t="b">
        <f ca="1">OR(IF(AND(NOT(S1408),LEN(W1408)&gt;0),TRUE,FALSE),AND(W1408=INDEX(INDIRECT(U1408),6),NOT(AY1415=INDEX(ddSingleOrMulti,2))))</f>
        <v>0</v>
      </c>
      <c r="U1408" t="str">
        <f>SUBSTITUTE(SUBSTITUTE(SUBSTITUTE("dd"&amp;B1408&amp;C1408&amp;D1408&amp;E1408&amp;F1408,".","_"),"(","_"),")","")</f>
        <v>dd801_1</v>
      </c>
      <c r="W1408" s="9"/>
      <c r="Z1408" s="543"/>
      <c r="AC1408" t="b">
        <f ca="1">OR(AD1408:AE1408)</f>
        <v>0</v>
      </c>
      <c r="AD1408" t="b">
        <f ca="1">T1408</f>
        <v>0</v>
      </c>
      <c r="AE1408" t="b">
        <f>AND(R1408,OR(W1408="Not Met",W1408=""))</f>
        <v>0</v>
      </c>
      <c r="AF1408" t="b">
        <f>AND(AE1408,NOT(Q1408))</f>
        <v>0</v>
      </c>
      <c r="AP1408" t="str">
        <f>SUBSTITUTE(SUBSTITUTE(SUBSTITUTE("vch"&amp;$B1408&amp;$C1408&amp;$D1408&amp;$E1408&amp;$F1408,".","_"),"(","_"),")","")</f>
        <v>vch801_1</v>
      </c>
      <c r="AQ1408">
        <f>W1408</f>
        <v>0</v>
      </c>
      <c r="AX1408" s="6" t="str">
        <f>'Overview (Verification)'!A9</f>
        <v>Physical Address of Home:</v>
      </c>
      <c r="AY1408" t="str">
        <f>IF(LEN('Overview (Verification)'!P9)=0,0,'Overview (Verification)'!P9)</f>
        <v>123 Example Drive</v>
      </c>
      <c r="BJ1408" s="573" t="s">
        <v>4670</v>
      </c>
    </row>
    <row r="1409" spans="1:62" x14ac:dyDescent="0.35">
      <c r="A1409" s="403">
        <v>8</v>
      </c>
      <c r="B1409" s="609">
        <v>801.1</v>
      </c>
      <c r="C1409" s="604"/>
      <c r="D1409" s="604"/>
      <c r="E1409" s="604"/>
      <c r="F1409" s="604"/>
      <c r="G1409" s="403" t="str">
        <f t="shared" ca="1" si="445"/>
        <v/>
      </c>
      <c r="H1409" s="403" t="s">
        <v>4323</v>
      </c>
      <c r="I1409" s="32"/>
      <c r="J1409" s="4"/>
      <c r="K1409" s="4"/>
      <c r="L1409" s="706"/>
      <c r="M1409" s="43"/>
      <c r="N1409" s="696"/>
      <c r="O1409" s="696"/>
      <c r="Z1409" s="543"/>
      <c r="AX1409" s="6" t="str">
        <f>'Overview (Verification)'!A10</f>
        <v>Community/Lot #:</v>
      </c>
      <c r="AY1409" t="str">
        <f>IF(LEN('Overview (Verification)'!P10)=0,0,'Overview (Verification)'!P10)</f>
        <v>Lot 1A</v>
      </c>
      <c r="BJ1409" s="573" t="s">
        <v>4670</v>
      </c>
    </row>
    <row r="1410" spans="1:62" x14ac:dyDescent="0.35">
      <c r="A1410" s="403">
        <v>8</v>
      </c>
      <c r="B1410" s="609">
        <v>801.1</v>
      </c>
      <c r="C1410" s="604"/>
      <c r="D1410" s="604"/>
      <c r="E1410" s="604"/>
      <c r="F1410" s="604"/>
      <c r="G1410" s="403" t="str">
        <f t="shared" ca="1" si="445"/>
        <v/>
      </c>
      <c r="H1410" s="403" t="s">
        <v>4323</v>
      </c>
      <c r="I1410" s="32"/>
      <c r="J1410" s="4"/>
      <c r="K1410" s="4"/>
      <c r="L1410" s="706"/>
      <c r="M1410" s="43"/>
      <c r="N1410" s="696"/>
      <c r="O1410" s="696"/>
      <c r="S1410" s="1" t="b">
        <f>S1315</f>
        <v>1</v>
      </c>
      <c r="Z1410" s="543"/>
      <c r="AX1410" s="6" t="str">
        <f>'Overview (Verification)'!A11</f>
        <v>City:</v>
      </c>
      <c r="AY1410" t="str">
        <f>IF(LEN('Overview (Verification)'!P11)=0,0,'Overview (Verification)'!P11)</f>
        <v>Durham</v>
      </c>
      <c r="BJ1410" s="573" t="s">
        <v>4670</v>
      </c>
    </row>
    <row r="1411" spans="1:62" x14ac:dyDescent="0.35">
      <c r="A1411" s="403">
        <v>8</v>
      </c>
      <c r="B1411" s="609">
        <v>801.1</v>
      </c>
      <c r="C1411" s="604"/>
      <c r="D1411" s="604"/>
      <c r="E1411" s="604"/>
      <c r="F1411" s="604"/>
      <c r="G1411" s="403" t="str">
        <f t="shared" ca="1" si="445"/>
        <v/>
      </c>
      <c r="H1411" s="403" t="s">
        <v>4323</v>
      </c>
      <c r="I1411" s="32"/>
      <c r="J1411" s="4"/>
      <c r="K1411" s="4"/>
      <c r="L1411" s="706"/>
      <c r="M1411" s="43"/>
      <c r="N1411" s="696"/>
      <c r="O1411" s="696"/>
      <c r="S1411" s="1">
        <f>W1315</f>
        <v>0</v>
      </c>
      <c r="Z1411" s="543"/>
      <c r="AX1411" s="6" t="str">
        <f>'Overview (Verification)'!A12</f>
        <v>State:</v>
      </c>
      <c r="AY1411" t="str">
        <f>IF(LEN('Overview (Verification)'!P12)=0,0,'Overview (Verification)'!P12)</f>
        <v>North Carolina</v>
      </c>
      <c r="BC1411" t="str">
        <f>'Overview (Verification)'!T12</f>
        <v>State</v>
      </c>
      <c r="BD1411" t="str">
        <f>'Overview (Verification)'!U12</f>
        <v>County</v>
      </c>
      <c r="BE1411" t="str">
        <f>'Overview (Verification)'!V12</f>
        <v>Radon</v>
      </c>
      <c r="BF1411" t="str">
        <f>'Overview (Verification)'!W12</f>
        <v>Climate</v>
      </c>
      <c r="BG1411" t="str">
        <f>'Overview (Verification)'!X12</f>
        <v>Moist</v>
      </c>
      <c r="BH1411" t="str">
        <f>'Overview (Verification)'!Y12</f>
        <v>WarmHumid</v>
      </c>
      <c r="BJ1411" s="573" t="s">
        <v>4670</v>
      </c>
    </row>
    <row r="1412" spans="1:62" x14ac:dyDescent="0.35">
      <c r="A1412" s="403">
        <v>8</v>
      </c>
      <c r="B1412" s="609">
        <v>801.1</v>
      </c>
      <c r="C1412" s="604"/>
      <c r="D1412" s="604"/>
      <c r="E1412" s="604"/>
      <c r="F1412" s="604"/>
      <c r="G1412" s="403" t="str">
        <f t="shared" ca="1" si="445"/>
        <v/>
      </c>
      <c r="H1412" s="403" t="s">
        <v>4323</v>
      </c>
      <c r="I1412" s="32"/>
      <c r="J1412" s="4"/>
      <c r="K1412" s="4"/>
      <c r="L1412" s="791" t="s">
        <v>845</v>
      </c>
      <c r="M1412" s="43"/>
      <c r="N1412" s="85"/>
      <c r="O1412" s="85"/>
      <c r="Z1412" s="543"/>
      <c r="AX1412" s="6" t="str">
        <f>'Overview (Verification)'!A13</f>
        <v>County:</v>
      </c>
      <c r="AY1412" t="str">
        <f>IF(LEN('Overview (Verification)'!P13)=0,0,'Overview (Verification)'!P13)</f>
        <v xml:space="preserve">Chatham  </v>
      </c>
      <c r="BC1412" t="str">
        <f>'Overview (Verification)'!T13</f>
        <v>North Carolina</v>
      </c>
      <c r="BD1412" t="str">
        <f>'Overview (Verification)'!U13</f>
        <v xml:space="preserve">Chatham  </v>
      </c>
      <c r="BE1412">
        <f>'Overview (Verification)'!V13</f>
        <v>3</v>
      </c>
      <c r="BF1412">
        <f>'Overview (Verification)'!W13</f>
        <v>4</v>
      </c>
      <c r="BG1412" t="str">
        <f>'Overview (Verification)'!X13</f>
        <v>Moist</v>
      </c>
      <c r="BH1412" t="str">
        <f>'Overview (Verification)'!Y13</f>
        <v xml:space="preserve"> </v>
      </c>
      <c r="BJ1412" s="573" t="s">
        <v>4670</v>
      </c>
    </row>
    <row r="1413" spans="1:62" x14ac:dyDescent="0.35">
      <c r="A1413" s="403">
        <v>8</v>
      </c>
      <c r="B1413" s="609">
        <v>801.1</v>
      </c>
      <c r="C1413" s="604"/>
      <c r="D1413" s="604"/>
      <c r="E1413" s="604"/>
      <c r="F1413" s="604"/>
      <c r="G1413" s="403" t="str">
        <f t="shared" ca="1" si="445"/>
        <v/>
      </c>
      <c r="H1413" s="403" t="s">
        <v>4323</v>
      </c>
      <c r="I1413" s="32"/>
      <c r="J1413" s="4"/>
      <c r="K1413" s="4"/>
      <c r="L1413" s="791"/>
      <c r="M1413" s="43"/>
      <c r="N1413" s="85"/>
      <c r="O1413" s="85"/>
      <c r="Z1413" s="543"/>
      <c r="AX1413" s="6" t="str">
        <f>'Overview (Verification)'!A14</f>
        <v>Zip:</v>
      </c>
      <c r="AY1413" t="str">
        <f>IF(LEN('Overview (Verification)'!P14)=0,0,'Overview (Verification)'!P14)</f>
        <v>27703</v>
      </c>
      <c r="BJ1413" s="573" t="s">
        <v>4670</v>
      </c>
    </row>
    <row r="1414" spans="1:62" x14ac:dyDescent="0.35">
      <c r="A1414" s="403">
        <v>8</v>
      </c>
      <c r="B1414" s="609">
        <v>801.1</v>
      </c>
      <c r="C1414" s="604"/>
      <c r="D1414" s="604"/>
      <c r="E1414" s="604"/>
      <c r="F1414" s="604"/>
      <c r="G1414" s="403" t="str">
        <f t="shared" ca="1" si="445"/>
        <v/>
      </c>
      <c r="H1414" s="403" t="s">
        <v>4323</v>
      </c>
      <c r="I1414" s="32"/>
      <c r="J1414" s="4"/>
      <c r="K1414" s="4"/>
      <c r="L1414" s="791"/>
      <c r="M1414" s="43"/>
      <c r="N1414" s="85"/>
      <c r="O1414" s="85"/>
      <c r="Z1414" s="543"/>
      <c r="AX1414" s="6"/>
      <c r="BJ1414" s="573" t="s">
        <v>4670</v>
      </c>
    </row>
    <row r="1415" spans="1:62" x14ac:dyDescent="0.35">
      <c r="A1415" s="403">
        <v>8</v>
      </c>
      <c r="B1415" s="609">
        <v>801.1</v>
      </c>
      <c r="C1415" s="604"/>
      <c r="D1415" s="604"/>
      <c r="E1415" s="604"/>
      <c r="F1415" s="604"/>
      <c r="G1415" s="403" t="str">
        <f t="shared" ca="1" si="445"/>
        <v/>
      </c>
      <c r="H1415" s="403" t="s">
        <v>4323</v>
      </c>
      <c r="I1415" s="32"/>
      <c r="J1415" s="4"/>
      <c r="K1415" s="4"/>
      <c r="L1415" s="791" t="s">
        <v>846</v>
      </c>
      <c r="M1415" s="43"/>
      <c r="N1415" s="85"/>
      <c r="O1415" s="85"/>
      <c r="Z1415" s="543"/>
      <c r="AX1415" s="6" t="str">
        <f>'Overview (Verification)'!A16</f>
        <v>Single-Family or Multifamily:</v>
      </c>
      <c r="AY1415" t="str">
        <f>IF(LEN('Overview (Verification)'!P16)=0,0,'Overview (Verification)'!P16)</f>
        <v>Single-Family</v>
      </c>
      <c r="BJ1415" s="573" t="s">
        <v>4670</v>
      </c>
    </row>
    <row r="1416" spans="1:62" x14ac:dyDescent="0.35">
      <c r="A1416" s="403">
        <v>8</v>
      </c>
      <c r="B1416" s="609">
        <v>801.1</v>
      </c>
      <c r="C1416" s="604"/>
      <c r="D1416" s="604"/>
      <c r="E1416" s="604"/>
      <c r="F1416" s="604"/>
      <c r="G1416" s="403" t="str">
        <f t="shared" ca="1" si="445"/>
        <v/>
      </c>
      <c r="H1416" s="403" t="s">
        <v>4323</v>
      </c>
      <c r="I1416" s="32"/>
      <c r="J1416" s="4"/>
      <c r="K1416" s="4"/>
      <c r="L1416" s="791"/>
      <c r="M1416" s="43"/>
      <c r="N1416" s="85"/>
      <c r="O1416" s="85"/>
      <c r="Z1416" s="543"/>
      <c r="AX1416" s="6" t="str">
        <f>'Overview (Verification)'!A17</f>
        <v>Number of Units:</v>
      </c>
      <c r="AY1416">
        <f>IF(LEN('Overview (Verification)'!P17)=0,0,'Overview (Verification)'!P17)</f>
        <v>0</v>
      </c>
      <c r="BJ1416" s="573" t="s">
        <v>4670</v>
      </c>
    </row>
    <row r="1417" spans="1:62" x14ac:dyDescent="0.35">
      <c r="A1417" s="403">
        <v>8</v>
      </c>
      <c r="B1417" s="609">
        <v>801.1</v>
      </c>
      <c r="C1417" s="604"/>
      <c r="D1417" s="604"/>
      <c r="E1417" s="604"/>
      <c r="F1417" s="604"/>
      <c r="G1417" s="403" t="str">
        <f t="shared" ca="1" si="445"/>
        <v/>
      </c>
      <c r="H1417" s="403" t="s">
        <v>4323</v>
      </c>
      <c r="I1417" s="32"/>
      <c r="J1417" s="4"/>
      <c r="K1417" s="4"/>
      <c r="L1417" s="791"/>
      <c r="M1417" s="43"/>
      <c r="N1417" s="85"/>
      <c r="O1417" s="85"/>
      <c r="Z1417" s="543"/>
      <c r="AX1417" s="6" t="str">
        <f>'Overview (Verification)'!A18</f>
        <v>Project Name:</v>
      </c>
      <c r="AY1417">
        <f>IF(LEN('Overview (Verification)'!P18)=0,0,'Overview (Verification)'!P18)</f>
        <v>0</v>
      </c>
      <c r="BJ1417" s="573" t="s">
        <v>4670</v>
      </c>
    </row>
    <row r="1418" spans="1:62" x14ac:dyDescent="0.35">
      <c r="A1418" s="403">
        <v>8</v>
      </c>
      <c r="B1418" s="609">
        <v>801.1</v>
      </c>
      <c r="C1418" s="604"/>
      <c r="D1418" s="604"/>
      <c r="E1418" s="604"/>
      <c r="F1418" s="604"/>
      <c r="G1418" s="403" t="str">
        <f t="shared" ca="1" si="445"/>
        <v/>
      </c>
      <c r="H1418" s="403" t="s">
        <v>4323</v>
      </c>
      <c r="I1418" s="32"/>
      <c r="J1418" s="4"/>
      <c r="K1418" s="4"/>
      <c r="L1418" s="105" t="s">
        <v>847</v>
      </c>
      <c r="M1418" s="43"/>
      <c r="N1418" s="85"/>
      <c r="O1418" s="85"/>
      <c r="Z1418" s="543"/>
      <c r="AX1418" s="6"/>
      <c r="BJ1418" s="573" t="s">
        <v>4670</v>
      </c>
    </row>
    <row r="1419" spans="1:62" x14ac:dyDescent="0.35">
      <c r="A1419" s="403">
        <v>8</v>
      </c>
      <c r="B1419" s="609">
        <v>801.1</v>
      </c>
      <c r="C1419" s="604"/>
      <c r="D1419" s="604"/>
      <c r="E1419" s="604"/>
      <c r="F1419" s="604"/>
      <c r="G1419" s="403" t="str">
        <f t="shared" ca="1" si="445"/>
        <v/>
      </c>
      <c r="H1419" s="403" t="s">
        <v>4323</v>
      </c>
      <c r="I1419" s="32"/>
      <c r="J1419" s="4"/>
      <c r="K1419" s="4"/>
      <c r="L1419" s="207" t="s">
        <v>3779</v>
      </c>
      <c r="M1419" s="43"/>
      <c r="N1419" s="85"/>
      <c r="O1419" s="85"/>
      <c r="Z1419" s="543"/>
      <c r="AX1419" s="6" t="str">
        <f>'Overview (Verification)'!A20</f>
        <v>Above grade plane finished floor area:</v>
      </c>
      <c r="AY1419">
        <f>IF(LEN('Overview (Verification)'!P20)=0,0,'Overview (Verification)'!P20)</f>
        <v>2644</v>
      </c>
      <c r="BJ1419" s="573" t="s">
        <v>4670</v>
      </c>
    </row>
    <row r="1420" spans="1:62" x14ac:dyDescent="0.35">
      <c r="A1420" s="403">
        <v>8</v>
      </c>
      <c r="B1420" s="609">
        <v>801.1</v>
      </c>
      <c r="C1420" s="604"/>
      <c r="D1420" s="604"/>
      <c r="E1420" s="604"/>
      <c r="F1420" s="604"/>
      <c r="G1420" s="403" t="str">
        <f t="shared" ca="1" si="445"/>
        <v/>
      </c>
      <c r="H1420" s="403" t="s">
        <v>4323</v>
      </c>
      <c r="I1420" s="32"/>
      <c r="J1420" s="4"/>
      <c r="K1420" s="4"/>
      <c r="L1420" s="207" t="s">
        <v>3780</v>
      </c>
      <c r="M1420" s="43"/>
      <c r="N1420" s="85"/>
      <c r="O1420" s="85"/>
      <c r="Z1420" s="543"/>
      <c r="AX1420" s="6" t="str">
        <f>'Overview (Verification)'!A21</f>
        <v>Total conditioned floor area:</v>
      </c>
      <c r="AY1420">
        <f>IF(LEN('Overview (Verification)'!P21)=0,0,'Overview (Verification)'!P21)</f>
        <v>2644</v>
      </c>
      <c r="BJ1420" s="573" t="s">
        <v>4670</v>
      </c>
    </row>
    <row r="1421" spans="1:62" x14ac:dyDescent="0.35">
      <c r="A1421" s="403">
        <v>8</v>
      </c>
      <c r="B1421" s="609">
        <v>801.1</v>
      </c>
      <c r="C1421" s="604"/>
      <c r="D1421" s="604"/>
      <c r="E1421" s="604" t="s">
        <v>270</v>
      </c>
      <c r="F1421" s="604"/>
      <c r="G1421" s="403" t="str">
        <f t="shared" ca="1" si="445"/>
        <v/>
      </c>
      <c r="H1421" s="403" t="s">
        <v>4323</v>
      </c>
      <c r="I1421" s="32"/>
      <c r="J1421" s="19" t="s">
        <v>270</v>
      </c>
      <c r="K1421" s="4"/>
      <c r="L1421" s="707" t="s">
        <v>848</v>
      </c>
      <c r="M1421" s="690">
        <v>11</v>
      </c>
      <c r="N1421" s="85"/>
      <c r="O1421" s="85"/>
      <c r="X1421" s="688"/>
      <c r="Y1421" s="891" t="str">
        <f>IF(LEN('Ch8'!X25)=0,"None",'Ch8'!X25)</f>
        <v>None</v>
      </c>
      <c r="Z1421" s="892"/>
      <c r="AL1421" t="str">
        <f t="shared" ref="AL1421:AL1423" si="446">SUBSTITUTE(SUBSTITUTE(SUBSTITUTE("vpa"&amp;$B1421&amp;$C1421&amp;$D1421&amp;$E1421&amp;$F1421,".","_"),"(","_"),")","")</f>
        <v>vpa801_1_1</v>
      </c>
      <c r="AM1421">
        <f>M1421</f>
        <v>11</v>
      </c>
      <c r="AR1421" t="str">
        <f>SUBSTITUTE(SUBSTITUTE(SUBSTITUTE("vnt"&amp;$B1421&amp;$C1421&amp;$D1421&amp;$E1421&amp;$F1421,".","_"),"(","_"),")","")</f>
        <v>vnt801_1_1</v>
      </c>
      <c r="AS1421">
        <f>X1421</f>
        <v>0</v>
      </c>
      <c r="AX1421" s="6" t="str">
        <f>'Overview (Verification)'!A22</f>
        <v>Stories above grade:</v>
      </c>
      <c r="AY1421">
        <f>IF(LEN('Overview (Verification)'!P22)=0,0,'Overview (Verification)'!P22)</f>
        <v>2</v>
      </c>
      <c r="BJ1421" s="573" t="s">
        <v>4670</v>
      </c>
    </row>
    <row r="1422" spans="1:62" x14ac:dyDescent="0.35">
      <c r="A1422" s="403">
        <v>8</v>
      </c>
      <c r="B1422" s="609">
        <v>801.1</v>
      </c>
      <c r="C1422" s="604"/>
      <c r="D1422" s="604"/>
      <c r="E1422" s="604" t="s">
        <v>270</v>
      </c>
      <c r="F1422" s="604"/>
      <c r="G1422" s="403" t="str">
        <f t="shared" ca="1" si="445"/>
        <v/>
      </c>
      <c r="H1422" s="403" t="s">
        <v>4323</v>
      </c>
      <c r="I1422" s="32"/>
      <c r="J1422" s="148"/>
      <c r="K1422" s="155"/>
      <c r="L1422" s="709"/>
      <c r="M1422" s="691"/>
      <c r="N1422" s="85"/>
      <c r="O1422" s="85"/>
      <c r="X1422" s="688"/>
      <c r="Y1422" s="891"/>
      <c r="Z1422" s="892"/>
      <c r="BJ1422" s="573" t="s">
        <v>4670</v>
      </c>
    </row>
    <row r="1423" spans="1:62" x14ac:dyDescent="0.35">
      <c r="A1423" s="403">
        <v>8</v>
      </c>
      <c r="B1423" s="609">
        <v>801.1</v>
      </c>
      <c r="C1423" s="604"/>
      <c r="D1423" s="604"/>
      <c r="E1423" s="604" t="s">
        <v>272</v>
      </c>
      <c r="F1423" s="604"/>
      <c r="G1423" s="403" t="str">
        <f t="shared" ca="1" si="445"/>
        <v/>
      </c>
      <c r="H1423" s="403" t="s">
        <v>4323</v>
      </c>
      <c r="I1423" s="32"/>
      <c r="J1423" s="19" t="s">
        <v>272</v>
      </c>
      <c r="K1423" s="4"/>
      <c r="L1423" s="707" t="s">
        <v>849</v>
      </c>
      <c r="M1423" s="690">
        <v>17</v>
      </c>
      <c r="N1423" s="85"/>
      <c r="O1423" s="85"/>
      <c r="X1423" s="688"/>
      <c r="Y1423" s="891"/>
      <c r="Z1423" s="892"/>
      <c r="AL1423" t="str">
        <f t="shared" si="446"/>
        <v>vpa801_1_2</v>
      </c>
      <c r="AM1423">
        <f>M1423</f>
        <v>17</v>
      </c>
      <c r="AX1423" s="6" t="str">
        <f>'Overview (Verification)'!A24</f>
        <v xml:space="preserve">Project Description (optional): </v>
      </c>
      <c r="AY1423">
        <f>IF(LEN('Overview (Verification)'!P24)=0,0,'Overview (Verification)'!P24)</f>
        <v>0</v>
      </c>
      <c r="BJ1423" s="573" t="s">
        <v>4670</v>
      </c>
    </row>
    <row r="1424" spans="1:62" x14ac:dyDescent="0.35">
      <c r="A1424" s="403">
        <v>8</v>
      </c>
      <c r="B1424" s="609">
        <v>801.1</v>
      </c>
      <c r="C1424" s="604"/>
      <c r="D1424" s="604"/>
      <c r="E1424" s="604" t="s">
        <v>272</v>
      </c>
      <c r="F1424" s="604"/>
      <c r="G1424" s="403" t="str">
        <f t="shared" ca="1" si="445"/>
        <v/>
      </c>
      <c r="H1424" s="403" t="s">
        <v>4323</v>
      </c>
      <c r="I1424" s="32"/>
      <c r="J1424" s="148"/>
      <c r="K1424" s="155"/>
      <c r="L1424" s="709"/>
      <c r="M1424" s="691"/>
      <c r="N1424" s="85"/>
      <c r="O1424" s="85"/>
      <c r="X1424" s="688"/>
      <c r="Y1424" s="891"/>
      <c r="Z1424" s="892"/>
      <c r="BJ1424" s="573" t="s">
        <v>4670</v>
      </c>
    </row>
    <row r="1425" spans="1:62" x14ac:dyDescent="0.35">
      <c r="A1425" s="403">
        <v>8</v>
      </c>
      <c r="B1425" s="609">
        <v>801.1</v>
      </c>
      <c r="C1425" s="604"/>
      <c r="D1425" s="604"/>
      <c r="E1425" s="604" t="s">
        <v>274</v>
      </c>
      <c r="F1425" s="604"/>
      <c r="G1425" s="403" t="str">
        <f t="shared" ca="1" si="445"/>
        <v/>
      </c>
      <c r="H1425" s="403" t="s">
        <v>4323</v>
      </c>
      <c r="I1425" s="32"/>
      <c r="J1425" s="19" t="s">
        <v>274</v>
      </c>
      <c r="K1425" s="4"/>
      <c r="L1425" s="707" t="s">
        <v>850</v>
      </c>
      <c r="M1425" s="690">
        <v>29</v>
      </c>
      <c r="N1425" s="85"/>
      <c r="O1425" s="85"/>
      <c r="X1425" s="688"/>
      <c r="Y1425" s="891"/>
      <c r="Z1425" s="892"/>
      <c r="AL1425" t="str">
        <f t="shared" ref="AL1425" si="447">SUBSTITUTE(SUBSTITUTE(SUBSTITUTE("vpa"&amp;$B1425&amp;$C1425&amp;$D1425&amp;$E1425&amp;$F1425,".","_"),"(","_"),")","")</f>
        <v>vpa801_1_3</v>
      </c>
      <c r="AM1425">
        <f>M1425</f>
        <v>29</v>
      </c>
      <c r="AX1425" s="6" t="str">
        <f>'Overview (Verification)'!A26</f>
        <v>HERS Index (if available):</v>
      </c>
      <c r="AY1425">
        <f>IF(LEN('Overview (Verification)'!P26)=0,0,'Overview (Verification)'!P26)</f>
        <v>0</v>
      </c>
      <c r="BJ1425" s="573" t="s">
        <v>4670</v>
      </c>
    </row>
    <row r="1426" spans="1:62" x14ac:dyDescent="0.35">
      <c r="A1426" s="403">
        <v>8</v>
      </c>
      <c r="B1426" s="609">
        <v>801.1</v>
      </c>
      <c r="C1426" s="604"/>
      <c r="D1426" s="604"/>
      <c r="E1426" s="604" t="s">
        <v>274</v>
      </c>
      <c r="F1426" s="604"/>
      <c r="G1426" s="403" t="str">
        <f t="shared" ca="1" si="445"/>
        <v/>
      </c>
      <c r="H1426" s="403" t="s">
        <v>4323</v>
      </c>
      <c r="I1426" s="32"/>
      <c r="J1426" s="148"/>
      <c r="K1426" s="155"/>
      <c r="L1426" s="709"/>
      <c r="M1426" s="691"/>
      <c r="N1426" s="85"/>
      <c r="O1426" s="85"/>
      <c r="X1426" s="688"/>
      <c r="Y1426" s="891"/>
      <c r="Z1426" s="892"/>
      <c r="AX1426" s="6" t="str">
        <f>'Overview (Verification)'!A27</f>
        <v>Foundation Type:</v>
      </c>
      <c r="AY1426" t="str">
        <f>IF(LEN('Overview (Verification)'!P27)=0,0,'Overview (Verification)'!P27)</f>
        <v>Conditioned crawlspace</v>
      </c>
      <c r="BJ1426" s="573" t="s">
        <v>4670</v>
      </c>
    </row>
    <row r="1427" spans="1:62" x14ac:dyDescent="0.35">
      <c r="A1427" s="403">
        <v>8</v>
      </c>
      <c r="B1427" s="609">
        <v>801.1</v>
      </c>
      <c r="C1427" s="604"/>
      <c r="D1427" s="604"/>
      <c r="E1427" s="604" t="s">
        <v>283</v>
      </c>
      <c r="F1427" s="604"/>
      <c r="G1427" s="403" t="str">
        <f t="shared" ca="1" si="445"/>
        <v/>
      </c>
      <c r="H1427" s="403" t="s">
        <v>4323</v>
      </c>
      <c r="I1427" s="32"/>
      <c r="J1427" s="19" t="s">
        <v>283</v>
      </c>
      <c r="K1427" s="4"/>
      <c r="L1427" s="707" t="s">
        <v>851</v>
      </c>
      <c r="M1427" s="690">
        <v>35</v>
      </c>
      <c r="N1427" s="85"/>
      <c r="O1427" s="85"/>
      <c r="X1427" s="688"/>
      <c r="Y1427" s="891"/>
      <c r="Z1427" s="892"/>
      <c r="AL1427" t="str">
        <f t="shared" ref="AL1427" si="448">SUBSTITUTE(SUBSTITUTE(SUBSTITUTE("vpa"&amp;$B1427&amp;$C1427&amp;$D1427&amp;$E1427&amp;$F1427,".","_"),"(","_"),")","")</f>
        <v>vpa801_1_4</v>
      </c>
      <c r="AM1427">
        <f>M1427</f>
        <v>35</v>
      </c>
      <c r="AX1427" s="6"/>
      <c r="BJ1427" s="573" t="s">
        <v>4670</v>
      </c>
    </row>
    <row r="1428" spans="1:62" x14ac:dyDescent="0.35">
      <c r="A1428" s="403">
        <v>8</v>
      </c>
      <c r="B1428" s="609">
        <v>801.1</v>
      </c>
      <c r="C1428" s="604"/>
      <c r="D1428" s="604"/>
      <c r="E1428" s="604" t="s">
        <v>283</v>
      </c>
      <c r="F1428" s="604"/>
      <c r="G1428" s="403" t="str">
        <f t="shared" ca="1" si="445"/>
        <v/>
      </c>
      <c r="H1428" s="403" t="s">
        <v>4323</v>
      </c>
      <c r="I1428" s="32"/>
      <c r="J1428" s="4"/>
      <c r="K1428" s="4"/>
      <c r="L1428" s="707"/>
      <c r="M1428" s="690"/>
      <c r="N1428" s="85"/>
      <c r="O1428" s="85"/>
      <c r="X1428" s="688"/>
      <c r="Y1428" s="891"/>
      <c r="Z1428" s="892"/>
      <c r="AX1428" s="6" t="str">
        <f>'Overview (Verification)'!A29</f>
        <v>Type of Heating System (main system):</v>
      </c>
      <c r="AY1428" t="str">
        <f>IF(LEN('Overview (Verification)'!P29)=0,0,'Overview (Verification)'!P29)</f>
        <v>Furnace</v>
      </c>
      <c r="BJ1428" s="573" t="s">
        <v>4670</v>
      </c>
    </row>
    <row r="1429" spans="1:62" x14ac:dyDescent="0.35">
      <c r="A1429" s="403">
        <v>8</v>
      </c>
      <c r="B1429" s="609">
        <v>801.1</v>
      </c>
      <c r="C1429" s="604"/>
      <c r="D1429" s="604"/>
      <c r="E1429" s="604" t="s">
        <v>283</v>
      </c>
      <c r="F1429" s="604"/>
      <c r="G1429" s="403" t="str">
        <f t="shared" ca="1" si="445"/>
        <v/>
      </c>
      <c r="H1429" s="403" t="s">
        <v>4323</v>
      </c>
      <c r="I1429" s="32"/>
      <c r="J1429" s="4"/>
      <c r="K1429" s="4"/>
      <c r="L1429" s="707"/>
      <c r="M1429" s="690"/>
      <c r="N1429" s="85"/>
      <c r="O1429" s="85"/>
      <c r="X1429" s="688"/>
      <c r="Y1429" s="891"/>
      <c r="Z1429" s="892"/>
      <c r="AX1429" s="6" t="str">
        <f>'Overview (Verification)'!A30</f>
        <v>Type of Heating System (system 2):</v>
      </c>
      <c r="AY1429">
        <f>IF(LEN('Overview (Verification)'!P30)=0,0,'Overview (Verification)'!P30)</f>
        <v>0</v>
      </c>
      <c r="BJ1429" s="573" t="s">
        <v>4670</v>
      </c>
    </row>
    <row r="1430" spans="1:62" x14ac:dyDescent="0.35">
      <c r="A1430" s="403">
        <v>8</v>
      </c>
      <c r="B1430" s="609">
        <v>801.1</v>
      </c>
      <c r="C1430" s="604"/>
      <c r="D1430" s="604"/>
      <c r="E1430" s="604" t="s">
        <v>283</v>
      </c>
      <c r="F1430" s="604" t="s">
        <v>121</v>
      </c>
      <c r="G1430" s="403" t="str">
        <f t="shared" ca="1" si="445"/>
        <v/>
      </c>
      <c r="H1430" s="605" t="s">
        <v>4323</v>
      </c>
      <c r="I1430" s="4"/>
      <c r="J1430" s="4"/>
      <c r="K1430" s="19" t="s">
        <v>121</v>
      </c>
      <c r="L1430" s="707" t="s">
        <v>852</v>
      </c>
      <c r="M1430" s="690" t="s">
        <v>853</v>
      </c>
      <c r="N1430" s="85"/>
      <c r="O1430" s="85"/>
      <c r="X1430" s="688"/>
      <c r="Y1430" s="891"/>
      <c r="Z1430" s="892"/>
      <c r="AL1430" t="str">
        <f t="shared" ref="AL1430" si="449">SUBSTITUTE(SUBSTITUTE(SUBSTITUTE("vpa"&amp;$B1430&amp;$C1430&amp;$D1430&amp;$E1430&amp;$F1430,".","_"),"(","_"),")","")</f>
        <v>vpa801_1_4_a</v>
      </c>
      <c r="AM1430" t="str">
        <f>M1430</f>
        <v>4 Additional</v>
      </c>
      <c r="AX1430" s="6" t="str">
        <f>'Overview (Verification)'!A31</f>
        <v>Type of Heating System (system 3):</v>
      </c>
      <c r="AY1430">
        <f>IF(LEN('Overview (Verification)'!P31)=0,0,'Overview (Verification)'!P31)</f>
        <v>0</v>
      </c>
      <c r="BJ1430" s="573" t="s">
        <v>4670</v>
      </c>
    </row>
    <row r="1431" spans="1:62" x14ac:dyDescent="0.35">
      <c r="A1431" s="403">
        <v>8</v>
      </c>
      <c r="B1431" s="609">
        <v>801.1</v>
      </c>
      <c r="C1431" s="604"/>
      <c r="D1431" s="604"/>
      <c r="E1431" s="604" t="s">
        <v>283</v>
      </c>
      <c r="F1431" s="604" t="s">
        <v>121</v>
      </c>
      <c r="G1431" s="403" t="str">
        <f t="shared" ca="1" si="445"/>
        <v/>
      </c>
      <c r="H1431" s="605" t="s">
        <v>4323</v>
      </c>
      <c r="I1431" s="32"/>
      <c r="J1431" s="155"/>
      <c r="K1431" s="155"/>
      <c r="L1431" s="709"/>
      <c r="M1431" s="691"/>
      <c r="N1431" s="85"/>
      <c r="O1431" s="85"/>
      <c r="X1431" s="688"/>
      <c r="Y1431" s="891"/>
      <c r="Z1431" s="892"/>
      <c r="AX1431" s="6" t="str">
        <f>'Overview (Verification)'!A32</f>
        <v>Heating Fuel:</v>
      </c>
      <c r="AY1431">
        <f>IF(LEN('Overview (Verification)'!P32)=0,0,'Overview (Verification)'!P32)</f>
        <v>0</v>
      </c>
      <c r="BJ1431" s="573" t="s">
        <v>4670</v>
      </c>
    </row>
    <row r="1432" spans="1:62" x14ac:dyDescent="0.35">
      <c r="A1432" s="403">
        <v>8</v>
      </c>
      <c r="B1432" s="609">
        <v>801.1</v>
      </c>
      <c r="C1432" s="604"/>
      <c r="D1432" s="604"/>
      <c r="E1432" s="604" t="s">
        <v>289</v>
      </c>
      <c r="F1432" s="604"/>
      <c r="G1432" s="403" t="str">
        <f t="shared" ca="1" si="445"/>
        <v/>
      </c>
      <c r="H1432" s="403" t="s">
        <v>4323</v>
      </c>
      <c r="I1432" s="32"/>
      <c r="J1432" s="19" t="s">
        <v>289</v>
      </c>
      <c r="K1432" s="4"/>
      <c r="L1432" s="707" t="s">
        <v>854</v>
      </c>
      <c r="M1432" s="690">
        <v>9</v>
      </c>
      <c r="N1432" s="85"/>
      <c r="O1432" s="85"/>
      <c r="X1432" s="688"/>
      <c r="Y1432" s="891" t="str">
        <f>IF(LEN('Ch8'!X36)=0,"None",'Ch8'!X36)</f>
        <v>None</v>
      </c>
      <c r="Z1432" s="892"/>
      <c r="AL1432" t="str">
        <f t="shared" ref="AL1432" si="450">SUBSTITUTE(SUBSTITUTE(SUBSTITUTE("vpa"&amp;$B1432&amp;$C1432&amp;$D1432&amp;$E1432&amp;$F1432,".","_"),"(","_"),")","")</f>
        <v>vpa801_1_5</v>
      </c>
      <c r="AM1432">
        <f>M1432</f>
        <v>9</v>
      </c>
      <c r="AR1432" t="str">
        <f>SUBSTITUTE(SUBSTITUTE(SUBSTITUTE("vnt"&amp;$B1432&amp;$C1432&amp;$D1432&amp;$E1432&amp;$F1432,".","_"),"(","_"),")","")</f>
        <v>vnt801_1_5</v>
      </c>
      <c r="AS1432">
        <f>X1432</f>
        <v>0</v>
      </c>
      <c r="AX1432" s="6" t="str">
        <f>'Overview (Verification)'!A33</f>
        <v>Heating Ducts:</v>
      </c>
      <c r="AY1432" t="str">
        <f>IF(LEN('Overview (Verification)'!P33)=0,0,'Overview (Verification)'!P33)</f>
        <v>Ducted</v>
      </c>
      <c r="BJ1432" s="573" t="s">
        <v>4670</v>
      </c>
    </row>
    <row r="1433" spans="1:62" x14ac:dyDescent="0.35">
      <c r="A1433" s="403">
        <v>8</v>
      </c>
      <c r="B1433" s="609">
        <v>801.1</v>
      </c>
      <c r="C1433" s="604"/>
      <c r="D1433" s="604"/>
      <c r="E1433" s="604" t="s">
        <v>289</v>
      </c>
      <c r="F1433" s="604"/>
      <c r="G1433" s="403" t="str">
        <f t="shared" ca="1" si="445"/>
        <v/>
      </c>
      <c r="H1433" s="403" t="s">
        <v>4323</v>
      </c>
      <c r="I1433" s="32"/>
      <c r="J1433" s="4"/>
      <c r="K1433" s="4"/>
      <c r="L1433" s="707"/>
      <c r="M1433" s="690"/>
      <c r="N1433" s="85"/>
      <c r="O1433" s="85"/>
      <c r="X1433" s="688"/>
      <c r="Y1433" s="891"/>
      <c r="Z1433" s="892"/>
      <c r="AX1433" s="6" t="str">
        <f>'Overview (Verification)'!A34</f>
        <v>Type of Cooling System (main system):</v>
      </c>
      <c r="AY1433" t="str">
        <f>IF(LEN('Overview (Verification)'!P34)=0,0,'Overview (Verification)'!P34)</f>
        <v>Electric Air Conditiner</v>
      </c>
      <c r="BJ1433" s="573" t="s">
        <v>4670</v>
      </c>
    </row>
    <row r="1434" spans="1:62" x14ac:dyDescent="0.35">
      <c r="A1434" s="403">
        <v>8</v>
      </c>
      <c r="B1434" s="609">
        <v>801.1</v>
      </c>
      <c r="C1434" s="604"/>
      <c r="D1434" s="604"/>
      <c r="E1434" s="604" t="s">
        <v>289</v>
      </c>
      <c r="F1434" s="604"/>
      <c r="G1434" s="403" t="str">
        <f t="shared" ca="1" si="445"/>
        <v/>
      </c>
      <c r="H1434" s="403" t="s">
        <v>4323</v>
      </c>
      <c r="I1434" s="32"/>
      <c r="J1434" s="4"/>
      <c r="K1434" s="4"/>
      <c r="L1434" s="707"/>
      <c r="M1434" s="690"/>
      <c r="N1434" s="85"/>
      <c r="O1434" s="85"/>
      <c r="X1434" s="688"/>
      <c r="Y1434" s="891"/>
      <c r="Z1434" s="892"/>
      <c r="AX1434" s="6" t="str">
        <f>'Overview (Verification)'!A35</f>
        <v>Type of Cooling System (system 2):</v>
      </c>
      <c r="AY1434">
        <f>IF(LEN('Overview (Verification)'!P35)=0,0,'Overview (Verification)'!P35)</f>
        <v>0</v>
      </c>
      <c r="BJ1434" s="573" t="s">
        <v>4670</v>
      </c>
    </row>
    <row r="1435" spans="1:62" x14ac:dyDescent="0.35">
      <c r="A1435" s="403">
        <v>8</v>
      </c>
      <c r="B1435" s="609">
        <v>801.1</v>
      </c>
      <c r="C1435" s="604"/>
      <c r="D1435" s="604"/>
      <c r="E1435" s="604" t="s">
        <v>289</v>
      </c>
      <c r="F1435" s="604"/>
      <c r="G1435" s="403" t="str">
        <f t="shared" ca="1" si="445"/>
        <v/>
      </c>
      <c r="H1435" s="403" t="s">
        <v>4323</v>
      </c>
      <c r="I1435" s="32"/>
      <c r="J1435" s="4"/>
      <c r="K1435" s="4"/>
      <c r="L1435" s="707"/>
      <c r="M1435" s="690"/>
      <c r="N1435" s="85"/>
      <c r="O1435" s="85"/>
      <c r="X1435" s="688"/>
      <c r="Y1435" s="891"/>
      <c r="Z1435" s="892"/>
      <c r="AX1435" s="6" t="str">
        <f>'Overview (Verification)'!A36</f>
        <v>Type of Cooling System (system 3):</v>
      </c>
      <c r="AY1435">
        <f>IF(LEN('Overview (Verification)'!P36)=0,0,'Overview (Verification)'!P36)</f>
        <v>0</v>
      </c>
      <c r="BJ1435" s="573" t="s">
        <v>4670</v>
      </c>
    </row>
    <row r="1436" spans="1:62" x14ac:dyDescent="0.35">
      <c r="A1436" s="403">
        <v>8</v>
      </c>
      <c r="B1436" s="609">
        <v>801.1</v>
      </c>
      <c r="C1436" s="604"/>
      <c r="D1436" s="604"/>
      <c r="E1436" s="604" t="s">
        <v>289</v>
      </c>
      <c r="F1436" s="604"/>
      <c r="G1436" s="403" t="str">
        <f t="shared" ca="1" si="445"/>
        <v/>
      </c>
      <c r="H1436" s="403" t="s">
        <v>4323</v>
      </c>
      <c r="I1436" s="32"/>
      <c r="J1436" s="155"/>
      <c r="K1436" s="155"/>
      <c r="L1436" s="709"/>
      <c r="M1436" s="691"/>
      <c r="N1436" s="342"/>
      <c r="O1436" s="342"/>
      <c r="X1436" s="688"/>
      <c r="Y1436" s="891"/>
      <c r="Z1436" s="892"/>
      <c r="AX1436" s="6" t="str">
        <f>'Overview (Verification)'!A37</f>
        <v>Cooling Ducts:</v>
      </c>
      <c r="AY1436" t="str">
        <f>IF(LEN('Overview (Verification)'!P37)=0,0,'Overview (Verification)'!P37)</f>
        <v>Ducted</v>
      </c>
      <c r="BJ1436" s="573" t="s">
        <v>4670</v>
      </c>
    </row>
    <row r="1437" spans="1:62" x14ac:dyDescent="0.35">
      <c r="A1437" s="403">
        <v>8</v>
      </c>
      <c r="B1437" s="609">
        <v>801.1</v>
      </c>
      <c r="C1437" s="604"/>
      <c r="D1437" s="604"/>
      <c r="E1437" s="604" t="s">
        <v>291</v>
      </c>
      <c r="F1437" s="604"/>
      <c r="G1437" s="403" t="str">
        <f>IF(N1437&gt;0,"P","")</f>
        <v/>
      </c>
      <c r="H1437" s="403" t="s">
        <v>4323</v>
      </c>
      <c r="I1437" s="32"/>
      <c r="J1437" s="19" t="s">
        <v>291</v>
      </c>
      <c r="K1437" s="4"/>
      <c r="L1437" s="707" t="s">
        <v>855</v>
      </c>
      <c r="M1437" s="690" t="s">
        <v>853</v>
      </c>
      <c r="N1437" s="696">
        <f>'Ch8'!O41</f>
        <v>0</v>
      </c>
      <c r="O1437" s="696">
        <f>4*S1437*W1437</f>
        <v>0</v>
      </c>
      <c r="P1437" t="b">
        <v>1</v>
      </c>
      <c r="Q1437" t="b">
        <v>1</v>
      </c>
      <c r="R1437" t="b">
        <v>0</v>
      </c>
      <c r="S1437" t="b">
        <f>AND(S1408,NOT(W1408=""))</f>
        <v>0</v>
      </c>
      <c r="T1437" t="b">
        <f>IF(AND(NOT(S1437),W1437=TRUE),TRUE,FALSE)</f>
        <v>0</v>
      </c>
      <c r="W1437" s="17"/>
      <c r="X1437" s="688"/>
      <c r="Y1437" s="891" t="str">
        <f>IF(LEN('Ch8'!X41)=0,"None",'Ch8'!X41)</f>
        <v>None</v>
      </c>
      <c r="Z1437" s="892"/>
      <c r="AC1437" t="b">
        <f>OR(AD1437:AE1437)</f>
        <v>0</v>
      </c>
      <c r="AD1437" t="b">
        <f>T1437</f>
        <v>0</v>
      </c>
      <c r="AE1437" t="b">
        <v>0</v>
      </c>
      <c r="AF1437" t="b">
        <f>AND(AE1437,NOT(Q1437))</f>
        <v>0</v>
      </c>
      <c r="AL1437" t="str">
        <f t="shared" ref="AL1437" si="451">SUBSTITUTE(SUBSTITUTE(SUBSTITUTE("vpa"&amp;$B1437&amp;$C1437&amp;$D1437&amp;$E1437&amp;$F1437,".","_"),"(","_"),")","")</f>
        <v>vpa801_1_6</v>
      </c>
      <c r="AM1437" t="str">
        <f>M1437</f>
        <v>4 Additional</v>
      </c>
      <c r="AN1437" t="str">
        <f>SUBSTITUTE(SUBSTITUTE(SUBSTITUTE("vpc"&amp;$B1437&amp;$C1437&amp;$D1437&amp;$E1437&amp;$F1437,".","_"),"(","_"),")","")</f>
        <v>vpc801_1_6</v>
      </c>
      <c r="AO1437">
        <f>O1437</f>
        <v>0</v>
      </c>
      <c r="AP1437" t="str">
        <f>SUBSTITUTE(SUBSTITUTE(SUBSTITUTE("vch"&amp;$B1437&amp;$C1437&amp;$D1437&amp;$E1437&amp;$F1437,".","_"),"(","_"),")","")</f>
        <v>vch801_1_6</v>
      </c>
      <c r="AQ1437">
        <f>W1437</f>
        <v>0</v>
      </c>
      <c r="AR1437" t="str">
        <f>SUBSTITUTE(SUBSTITUTE(SUBSTITUTE("vnt"&amp;$B1437&amp;$C1437&amp;$D1437&amp;$E1437&amp;$F1437,".","_"),"(","_"),")","")</f>
        <v>vnt801_1_6</v>
      </c>
      <c r="AS1437">
        <f>X1437</f>
        <v>0</v>
      </c>
      <c r="AX1437" s="6"/>
      <c r="BJ1437" s="573" t="s">
        <v>4670</v>
      </c>
    </row>
    <row r="1438" spans="1:62" x14ac:dyDescent="0.35">
      <c r="A1438" s="403">
        <v>8</v>
      </c>
      <c r="B1438" s="609">
        <v>801.1</v>
      </c>
      <c r="C1438" s="604"/>
      <c r="D1438" s="604"/>
      <c r="E1438" s="604" t="s">
        <v>291</v>
      </c>
      <c r="F1438" s="604"/>
      <c r="G1438" s="403" t="str">
        <f t="shared" ref="G1438:G1439" si="452">G1437</f>
        <v/>
      </c>
      <c r="H1438" s="403" t="s">
        <v>4323</v>
      </c>
      <c r="I1438" s="32"/>
      <c r="J1438" s="4"/>
      <c r="K1438" s="4"/>
      <c r="L1438" s="707"/>
      <c r="M1438" s="690"/>
      <c r="N1438" s="696"/>
      <c r="O1438" s="696"/>
      <c r="X1438" s="688"/>
      <c r="Y1438" s="891"/>
      <c r="Z1438" s="892"/>
      <c r="AX1438" s="6" t="str">
        <f>'Overview (Verification)'!A39</f>
        <v>Maximum window and door SHGC:</v>
      </c>
      <c r="AY1438">
        <f>IF(LEN('Overview (Verification)'!P39)=0,0,'Overview (Verification)'!P39)</f>
        <v>0.22</v>
      </c>
      <c r="BJ1438" s="573" t="s">
        <v>4670</v>
      </c>
    </row>
    <row r="1439" spans="1:62" ht="15" thickBot="1" x14ac:dyDescent="0.4">
      <c r="A1439" s="403">
        <v>8</v>
      </c>
      <c r="B1439" s="609">
        <v>801.1</v>
      </c>
      <c r="C1439" s="604"/>
      <c r="D1439" s="604"/>
      <c r="E1439" s="604" t="s">
        <v>291</v>
      </c>
      <c r="F1439" s="604"/>
      <c r="G1439" s="403" t="str">
        <f t="shared" si="452"/>
        <v/>
      </c>
      <c r="H1439" s="403" t="s">
        <v>4323</v>
      </c>
      <c r="I1439" s="132"/>
      <c r="J1439" s="183"/>
      <c r="K1439" s="183"/>
      <c r="L1439" s="708"/>
      <c r="M1439" s="693"/>
      <c r="N1439" s="695"/>
      <c r="O1439" s="695"/>
      <c r="P1439" s="58"/>
      <c r="Q1439" s="58"/>
      <c r="R1439" s="58"/>
      <c r="S1439" s="58"/>
      <c r="T1439" s="58"/>
      <c r="U1439" s="58"/>
      <c r="V1439" s="58"/>
      <c r="W1439" s="58"/>
      <c r="X1439" s="689"/>
      <c r="Y1439" s="905"/>
      <c r="Z1439" s="895"/>
      <c r="AX1439" s="6" t="str">
        <f>'Overview (Verification)'!A40</f>
        <v>Maximum skylight SHGC:</v>
      </c>
      <c r="AY1439">
        <f>IF(LEN('Overview (Verification)'!P40)=0,0,'Overview (Verification)'!P40)</f>
        <v>0</v>
      </c>
      <c r="BJ1439" s="573" t="s">
        <v>4670</v>
      </c>
    </row>
    <row r="1440" spans="1:62" ht="15" thickTop="1" x14ac:dyDescent="0.35">
      <c r="A1440" s="403">
        <v>8</v>
      </c>
      <c r="B1440" s="609">
        <v>801.2</v>
      </c>
      <c r="C1440" s="604"/>
      <c r="D1440" s="604"/>
      <c r="E1440" s="604"/>
      <c r="F1440" s="604"/>
      <c r="G1440" s="600" t="str">
        <f ca="1">IF(COUNTIF(G1442:G1443,"P")&gt;0,"P","")</f>
        <v>P</v>
      </c>
      <c r="H1440" s="403" t="s">
        <v>4325</v>
      </c>
      <c r="I1440" s="32">
        <v>801.2</v>
      </c>
      <c r="J1440" s="4"/>
      <c r="K1440" s="4"/>
      <c r="L1440" s="706" t="s">
        <v>856</v>
      </c>
      <c r="M1440" s="43"/>
      <c r="N1440" s="85"/>
      <c r="O1440" s="85"/>
      <c r="Z1440" s="543"/>
      <c r="AX1440" s="6" t="str">
        <f>'Overview (Verification)'!A41</f>
        <v>Maximum window and door U-value:</v>
      </c>
      <c r="AY1440">
        <f>IF(LEN('Overview (Verification)'!P41)=0,0,'Overview (Verification)'!P41)</f>
        <v>0.32</v>
      </c>
      <c r="BJ1440" s="573" t="s">
        <v>4670</v>
      </c>
    </row>
    <row r="1441" spans="1:62" x14ac:dyDescent="0.35">
      <c r="A1441" s="403">
        <v>8</v>
      </c>
      <c r="B1441" s="609">
        <v>801.2</v>
      </c>
      <c r="C1441" s="604"/>
      <c r="D1441" s="604"/>
      <c r="E1441" s="604"/>
      <c r="F1441" s="604"/>
      <c r="G1441" s="403" t="str">
        <f t="shared" ref="G1441" ca="1" si="453">G1440</f>
        <v>P</v>
      </c>
      <c r="H1441" s="403" t="s">
        <v>4325</v>
      </c>
      <c r="I1441" s="32"/>
      <c r="J1441" s="4"/>
      <c r="K1441" s="4"/>
      <c r="L1441" s="706"/>
      <c r="M1441" s="43"/>
      <c r="N1441" s="85"/>
      <c r="O1441" s="85"/>
      <c r="Z1441" s="543"/>
      <c r="AX1441" s="6" t="str">
        <f>'Overview (Verification)'!A42</f>
        <v>Maximum skylight U-value:</v>
      </c>
      <c r="AY1441">
        <f>IF(LEN('Overview (Verification)'!P42)=0,0,'Overview (Verification)'!P42)</f>
        <v>0</v>
      </c>
      <c r="BJ1441" s="573" t="s">
        <v>4670</v>
      </c>
    </row>
    <row r="1442" spans="1:62" x14ac:dyDescent="0.35">
      <c r="A1442" s="403">
        <v>8</v>
      </c>
      <c r="B1442" s="609">
        <v>801.2</v>
      </c>
      <c r="C1442" s="604"/>
      <c r="D1442" s="604"/>
      <c r="E1442" s="604" t="s">
        <v>270</v>
      </c>
      <c r="F1442" s="604"/>
      <c r="G1442" s="403" t="str">
        <f>IF(N1442&gt;0,"P","")</f>
        <v>P</v>
      </c>
      <c r="H1442" s="403" t="s">
        <v>4325</v>
      </c>
      <c r="I1442" s="32"/>
      <c r="J1442" s="148" t="s">
        <v>270</v>
      </c>
      <c r="K1442" s="155"/>
      <c r="L1442" s="214" t="s">
        <v>857</v>
      </c>
      <c r="M1442" s="198">
        <v>2</v>
      </c>
      <c r="N1442" s="342">
        <f>'Ch8'!O46</f>
        <v>2</v>
      </c>
      <c r="O1442" s="342">
        <f>2*S1442*W1442</f>
        <v>2</v>
      </c>
      <c r="P1442" t="b">
        <v>0</v>
      </c>
      <c r="Q1442" t="b">
        <v>1</v>
      </c>
      <c r="R1442" t="b">
        <v>0</v>
      </c>
      <c r="S1442" t="b">
        <v>1</v>
      </c>
      <c r="T1442" t="b">
        <f>IF(AND(NOT(S1442),W1442=TRUE),TRUE,FALSE)</f>
        <v>0</v>
      </c>
      <c r="W1442" s="17" t="b">
        <v>1</v>
      </c>
      <c r="X1442" s="39"/>
      <c r="Y1442" s="200" t="str">
        <f>IF(LEN('Ch8'!X46)=0,"None",'Ch8'!X46)</f>
        <v>None</v>
      </c>
      <c r="Z1442" s="563"/>
      <c r="AC1442" t="b">
        <f>OR(AD1442:AE1442)</f>
        <v>0</v>
      </c>
      <c r="AD1442" t="b">
        <f>T1442</f>
        <v>0</v>
      </c>
      <c r="AE1442" t="b">
        <v>0</v>
      </c>
      <c r="AF1442" t="b">
        <f>AND(AE1442,NOT(Q1442))</f>
        <v>0</v>
      </c>
      <c r="AL1442" t="str">
        <f t="shared" ref="AL1442:AL1444" si="454">SUBSTITUTE(SUBSTITUTE(SUBSTITUTE("vpa"&amp;$B1442&amp;$C1442&amp;$D1442&amp;$E1442&amp;$F1442,".","_"),"(","_"),")","")</f>
        <v>vpa801_2_1</v>
      </c>
      <c r="AM1442">
        <f>M1442</f>
        <v>2</v>
      </c>
      <c r="AN1442" t="str">
        <f t="shared" ref="AN1442:AN1443" si="455">SUBSTITUTE(SUBSTITUTE(SUBSTITUTE("vpc"&amp;$B1442&amp;$C1442&amp;$D1442&amp;$E1442&amp;$F1442,".","_"),"(","_"),")","")</f>
        <v>vpc801_2_1</v>
      </c>
      <c r="AO1442">
        <f>O1442</f>
        <v>2</v>
      </c>
      <c r="AP1442" t="str">
        <f>SUBSTITUTE(SUBSTITUTE(SUBSTITUTE("vch"&amp;$B1442&amp;$C1442&amp;$D1442&amp;$E1442&amp;$F1442,".","_"),"(","_"),")","")</f>
        <v>vch801_2_1</v>
      </c>
      <c r="AQ1442" t="b">
        <f>W1442</f>
        <v>1</v>
      </c>
      <c r="AR1442" t="str">
        <f t="shared" ref="AR1442:AR1443" si="456">SUBSTITUTE(SUBSTITUTE(SUBSTITUTE("vnt"&amp;$B1442&amp;$C1442&amp;$D1442&amp;$E1442&amp;$F1442,".","_"),"(","_"),")","")</f>
        <v>vnt801_2_1</v>
      </c>
      <c r="AS1442">
        <f>X1442</f>
        <v>0</v>
      </c>
      <c r="AX1442" s="6" t="str">
        <f>'Overview (Verification)'!A43</f>
        <v>Renewable Energy:</v>
      </c>
      <c r="AY1442">
        <f>IF(LEN('Overview (Verification)'!P43)=0,0,'Overview (Verification)'!P43)</f>
        <v>0</v>
      </c>
      <c r="BJ1442" s="573" t="s">
        <v>4670</v>
      </c>
    </row>
    <row r="1443" spans="1:62" x14ac:dyDescent="0.35">
      <c r="A1443" s="403">
        <v>8</v>
      </c>
      <c r="B1443" s="609">
        <v>801.2</v>
      </c>
      <c r="C1443" s="604"/>
      <c r="D1443" s="604"/>
      <c r="E1443" s="604" t="s">
        <v>272</v>
      </c>
      <c r="F1443" s="604"/>
      <c r="G1443" s="403" t="str">
        <f ca="1">IF(N1443&gt;0,"P","")</f>
        <v/>
      </c>
      <c r="H1443" s="403" t="s">
        <v>4325</v>
      </c>
      <c r="I1443" s="32"/>
      <c r="J1443" s="148" t="s">
        <v>272</v>
      </c>
      <c r="K1443" s="155"/>
      <c r="L1443" s="214" t="s">
        <v>858</v>
      </c>
      <c r="M1443" s="198">
        <v>13</v>
      </c>
      <c r="N1443" s="696">
        <f ca="1">'Ch8'!O47</f>
        <v>0</v>
      </c>
      <c r="O1443" s="696">
        <f ca="1">IFERROR(INDEX({13,24},MATCH(W1443,INDIRECT(U1443),0)),0)</f>
        <v>0</v>
      </c>
      <c r="P1443" t="b">
        <v>0</v>
      </c>
      <c r="Q1443" t="b">
        <v>1</v>
      </c>
      <c r="R1443" t="b">
        <v>0</v>
      </c>
      <c r="S1443" t="b">
        <v>1</v>
      </c>
      <c r="T1443" t="b">
        <f>IF(AND(NOT(S1443),LEN(W1443)&gt;0),TRUE,FALSE)</f>
        <v>0</v>
      </c>
      <c r="U1443" t="str">
        <f>SUBSTITUTE(SUBSTITUTE(SUBSTITUTE("dd"&amp;B1443&amp;C1443&amp;D1443&amp;E1443&amp;F1443,".","_"),"(","_"),")","")</f>
        <v>dd801_2_2</v>
      </c>
      <c r="W1443" s="9"/>
      <c r="X1443" s="688"/>
      <c r="Y1443" s="891" t="str">
        <f>IF(LEN('Ch8'!X47)=0,"None",'Ch8'!X47)</f>
        <v>None</v>
      </c>
      <c r="Z1443" s="892"/>
      <c r="AC1443" t="b">
        <f>OR(AD1443:AE1443)</f>
        <v>0</v>
      </c>
      <c r="AD1443" t="b">
        <f>T1443</f>
        <v>0</v>
      </c>
      <c r="AE1443" t="b">
        <f>AND(R1443,OR(W1443="Not Met",W1443=""))</f>
        <v>0</v>
      </c>
      <c r="AF1443" t="b">
        <f>AND(AE1443,NOT(Q1443))</f>
        <v>0</v>
      </c>
      <c r="AL1443" t="str">
        <f t="shared" si="454"/>
        <v>vpa801_2_2</v>
      </c>
      <c r="AM1443">
        <f>M1443</f>
        <v>13</v>
      </c>
      <c r="AN1443" t="str">
        <f t="shared" si="455"/>
        <v>vpc801_2_2</v>
      </c>
      <c r="AO1443">
        <f ca="1">O1443</f>
        <v>0</v>
      </c>
      <c r="AP1443" t="str">
        <f>SUBSTITUTE(SUBSTITUTE(SUBSTITUTE("vch"&amp;$B1443&amp;$C1443&amp;$D1443&amp;$E1443&amp;$F1443,".","_"),"(","_"),")","")</f>
        <v>vch801_2_2</v>
      </c>
      <c r="AQ1443">
        <f>W1443</f>
        <v>0</v>
      </c>
      <c r="AR1443" t="str">
        <f t="shared" si="456"/>
        <v>vnt801_2_2</v>
      </c>
      <c r="AS1443">
        <f>X1443</f>
        <v>0</v>
      </c>
      <c r="AX1443" s="6" t="str">
        <f>'Overview (Verification)'!A44</f>
        <v>Thermal Envelope Insulation:</v>
      </c>
      <c r="AY1443">
        <f>IF(LEN('Overview (Verification)'!P44)=0,0,'Overview (Verification)'!P44)</f>
        <v>0</v>
      </c>
      <c r="BJ1443" s="573" t="s">
        <v>4670</v>
      </c>
    </row>
    <row r="1444" spans="1:62" x14ac:dyDescent="0.35">
      <c r="A1444" s="403">
        <v>8</v>
      </c>
      <c r="B1444" s="609">
        <v>801.2</v>
      </c>
      <c r="C1444" s="604"/>
      <c r="D1444" s="604"/>
      <c r="E1444" s="604" t="s">
        <v>274</v>
      </c>
      <c r="F1444" s="604"/>
      <c r="G1444" s="403" t="str">
        <f t="shared" ref="G1444:G1448" ca="1" si="457">G1443</f>
        <v/>
      </c>
      <c r="H1444" s="403" t="s">
        <v>4325</v>
      </c>
      <c r="I1444" s="32"/>
      <c r="J1444" s="19" t="s">
        <v>274</v>
      </c>
      <c r="K1444" s="4"/>
      <c r="L1444" s="104" t="s">
        <v>859</v>
      </c>
      <c r="M1444" s="43">
        <v>24</v>
      </c>
      <c r="N1444" s="696"/>
      <c r="O1444" s="696"/>
      <c r="X1444" s="688"/>
      <c r="Y1444" s="891"/>
      <c r="Z1444" s="892"/>
      <c r="AL1444" t="str">
        <f t="shared" si="454"/>
        <v>vpa801_2_3</v>
      </c>
      <c r="AM1444">
        <f>M1444</f>
        <v>24</v>
      </c>
      <c r="AX1444" s="6" t="str">
        <f>'Overview (Verification)'!A45</f>
        <v>Attic Type:</v>
      </c>
      <c r="AY1444" t="str">
        <f>IF(LEN('Overview (Verification)'!P45)=0,0,'Overview (Verification)'!P45)</f>
        <v>Vented</v>
      </c>
      <c r="BJ1444" s="573" t="s">
        <v>4670</v>
      </c>
    </row>
    <row r="1445" spans="1:62" x14ac:dyDescent="0.35">
      <c r="A1445" s="403">
        <v>8</v>
      </c>
      <c r="B1445" s="609">
        <v>801.2</v>
      </c>
      <c r="C1445" s="604"/>
      <c r="D1445" s="604"/>
      <c r="E1445" s="604"/>
      <c r="F1445" s="604"/>
      <c r="G1445" s="403" t="str">
        <f t="shared" ca="1" si="457"/>
        <v/>
      </c>
      <c r="H1445" s="403" t="s">
        <v>4325</v>
      </c>
      <c r="I1445" s="32"/>
      <c r="J1445" s="19"/>
      <c r="K1445" s="4"/>
      <c r="L1445" s="744" t="s">
        <v>3824</v>
      </c>
      <c r="M1445" s="43"/>
      <c r="N1445" s="85"/>
      <c r="O1445" s="85"/>
      <c r="X1445" s="688"/>
      <c r="Y1445" s="891"/>
      <c r="Z1445" s="892"/>
      <c r="AX1445" s="6" t="str">
        <f>'Overview (Verification)'!A46</f>
        <v>Attached Garage:</v>
      </c>
      <c r="AY1445" t="str">
        <f>IF(LEN('Overview (Verification)'!P46)=0,0,'Overview (Verification)'!P46)</f>
        <v>Yes</v>
      </c>
      <c r="BJ1445" s="573" t="s">
        <v>4670</v>
      </c>
    </row>
    <row r="1446" spans="1:62" x14ac:dyDescent="0.35">
      <c r="A1446" s="403">
        <v>8</v>
      </c>
      <c r="B1446" s="609">
        <v>801.2</v>
      </c>
      <c r="C1446" s="604"/>
      <c r="D1446" s="604"/>
      <c r="E1446" s="604"/>
      <c r="F1446" s="604"/>
      <c r="G1446" s="403" t="str">
        <f t="shared" ca="1" si="457"/>
        <v/>
      </c>
      <c r="H1446" s="403" t="s">
        <v>4325</v>
      </c>
      <c r="I1446" s="32"/>
      <c r="J1446" s="19"/>
      <c r="K1446" s="4"/>
      <c r="L1446" s="754"/>
      <c r="M1446" s="43"/>
      <c r="N1446" s="85"/>
      <c r="O1446" s="85"/>
      <c r="X1446" s="688"/>
      <c r="Y1446" s="891"/>
      <c r="Z1446" s="892"/>
      <c r="AX1446" s="6" t="str">
        <f>'Overview (Verification)'!A47</f>
        <v>Recessed Lighting:</v>
      </c>
      <c r="AY1446">
        <f>IF(LEN('Overview (Verification)'!P47)=0,0,'Overview (Verification)'!P47)</f>
        <v>0</v>
      </c>
      <c r="BJ1446" s="573" t="s">
        <v>4670</v>
      </c>
    </row>
    <row r="1447" spans="1:62" x14ac:dyDescent="0.35">
      <c r="A1447" s="403">
        <v>8</v>
      </c>
      <c r="B1447" s="609">
        <v>801.2</v>
      </c>
      <c r="C1447" s="604"/>
      <c r="D1447" s="604"/>
      <c r="E1447" s="604"/>
      <c r="F1447" s="604"/>
      <c r="G1447" s="403" t="str">
        <f t="shared" ca="1" si="457"/>
        <v/>
      </c>
      <c r="H1447" s="403" t="s">
        <v>4325</v>
      </c>
      <c r="I1447" s="32"/>
      <c r="L1447" s="714" t="s">
        <v>3825</v>
      </c>
      <c r="M1447" s="335"/>
      <c r="N1447" s="85"/>
      <c r="O1447" s="85"/>
      <c r="X1447" s="688"/>
      <c r="Y1447" s="891"/>
      <c r="Z1447" s="892"/>
      <c r="AX1447" s="6"/>
      <c r="BJ1447" s="573" t="s">
        <v>4670</v>
      </c>
    </row>
    <row r="1448" spans="1:62" ht="15" thickBot="1" x14ac:dyDescent="0.4">
      <c r="A1448" s="403">
        <v>8</v>
      </c>
      <c r="B1448" s="609">
        <v>801.2</v>
      </c>
      <c r="C1448" s="604"/>
      <c r="D1448" s="604"/>
      <c r="E1448" s="604"/>
      <c r="F1448" s="604"/>
      <c r="G1448" s="403" t="str">
        <f t="shared" ca="1" si="457"/>
        <v/>
      </c>
      <c r="H1448" s="403" t="s">
        <v>4325</v>
      </c>
      <c r="I1448" s="132"/>
      <c r="J1448" s="58"/>
      <c r="K1448" s="58"/>
      <c r="L1448" s="788"/>
      <c r="M1448" s="346"/>
      <c r="N1448" s="184"/>
      <c r="O1448" s="184"/>
      <c r="P1448" s="58"/>
      <c r="Q1448" s="58"/>
      <c r="R1448" s="58"/>
      <c r="S1448" s="58"/>
      <c r="T1448" s="58"/>
      <c r="U1448" s="58"/>
      <c r="V1448" s="58"/>
      <c r="W1448" s="58"/>
      <c r="X1448" s="689"/>
      <c r="Y1448" s="905"/>
      <c r="Z1448" s="895"/>
      <c r="AX1448" s="6" t="str">
        <f>'Overview (Verification)'!A49</f>
        <v>Special Design Features:</v>
      </c>
      <c r="BJ1448" s="573" t="s">
        <v>4670</v>
      </c>
    </row>
    <row r="1449" spans="1:62" ht="15" thickTop="1" x14ac:dyDescent="0.35">
      <c r="A1449" s="403">
        <v>8</v>
      </c>
      <c r="B1449" s="609">
        <v>801.3</v>
      </c>
      <c r="C1449" s="604"/>
      <c r="D1449" s="604"/>
      <c r="E1449" s="604"/>
      <c r="F1449" s="604"/>
      <c r="G1449" s="600" t="str">
        <f ca="1">IF(COUNTIF(G1450:G1464,"P")&gt;0,"P","")</f>
        <v/>
      </c>
      <c r="H1449" s="403" t="s">
        <v>4325</v>
      </c>
      <c r="I1449" s="32">
        <v>801.3</v>
      </c>
      <c r="J1449" s="4"/>
      <c r="K1449" s="4"/>
      <c r="L1449" s="110" t="s">
        <v>860</v>
      </c>
      <c r="M1449" s="335"/>
      <c r="N1449" s="85"/>
      <c r="O1449" s="85"/>
      <c r="W1449" t="s">
        <v>3826</v>
      </c>
      <c r="Z1449" s="543"/>
      <c r="AX1449" s="6" t="str">
        <f>'Overview (Verification)'!A50</f>
        <v>Passive Solar:</v>
      </c>
      <c r="AY1449">
        <f>IF(LEN('Overview (Verification)'!P50)=0,0,'Overview (Verification)'!P50)</f>
        <v>0</v>
      </c>
      <c r="BJ1449" s="573" t="s">
        <v>4670</v>
      </c>
    </row>
    <row r="1450" spans="1:62" x14ac:dyDescent="0.35">
      <c r="A1450" s="403">
        <v>8</v>
      </c>
      <c r="B1450" s="609">
        <v>801.3</v>
      </c>
      <c r="C1450" s="604"/>
      <c r="D1450" s="604"/>
      <c r="E1450" s="604" t="s">
        <v>270</v>
      </c>
      <c r="F1450" s="604"/>
      <c r="G1450" s="403" t="str">
        <f ca="1">IF(N1450&gt;0,"P","")</f>
        <v/>
      </c>
      <c r="H1450" s="403" t="s">
        <v>4325</v>
      </c>
      <c r="I1450" s="32"/>
      <c r="J1450" s="19" t="s">
        <v>270</v>
      </c>
      <c r="K1450" s="4"/>
      <c r="L1450" s="707" t="s">
        <v>862</v>
      </c>
      <c r="M1450" s="736" t="s">
        <v>861</v>
      </c>
      <c r="N1450" s="696">
        <f ca="1">'Ch8'!O54</f>
        <v>0</v>
      </c>
      <c r="O1450" s="696">
        <f ca="1">IFERROR(INDEX({4,5,6,7},MATCH(W1450,INDIRECT(U1450),0)),0)*S1450</f>
        <v>5</v>
      </c>
      <c r="P1450" t="b">
        <v>0</v>
      </c>
      <c r="Q1450" t="b">
        <v>1</v>
      </c>
      <c r="R1450" t="b">
        <v>0</v>
      </c>
      <c r="S1450" t="b">
        <v>1</v>
      </c>
      <c r="T1450" t="b">
        <f>IF(AND(NOT(S1450),LEN(W1450)&gt;0),TRUE,FALSE)</f>
        <v>0</v>
      </c>
      <c r="U1450" t="str">
        <f>SUBSTITUTE(SUBSTITUTE(SUBSTITUTE("dd"&amp;B1450&amp;C1450&amp;D1450&amp;E1450&amp;F1450,".","_"),"(","_"),")","")</f>
        <v>dd801_3_1</v>
      </c>
      <c r="W1450" s="9" t="s">
        <v>3828</v>
      </c>
      <c r="X1450" s="688"/>
      <c r="Y1450" s="891" t="str">
        <f>IF(LEN('Ch8'!X54)=0,"None",'Ch8'!X54)</f>
        <v>None</v>
      </c>
      <c r="Z1450" s="892"/>
      <c r="AC1450" t="b">
        <f>OR(AD1450:AE1450)</f>
        <v>0</v>
      </c>
      <c r="AD1450" t="b">
        <f>T1450</f>
        <v>0</v>
      </c>
      <c r="AE1450" t="b">
        <f>AND(R1450,OR(W1450="Not Met",W1450=""))</f>
        <v>0</v>
      </c>
      <c r="AF1450" t="b">
        <f>AND(AE1450,NOT(Q1450))</f>
        <v>0</v>
      </c>
      <c r="AL1450" t="str">
        <f t="shared" ref="AL1450" si="458">SUBSTITUTE(SUBSTITUTE(SUBSTITUTE("vpa"&amp;$B1450&amp;$C1450&amp;$D1450&amp;$E1450&amp;$F1450,".","_"),"(","_"),")","")</f>
        <v>vpa801_3_1</v>
      </c>
      <c r="AM1450" t="str">
        <f>M1450</f>
        <v xml:space="preserve">4 for first compartment </v>
      </c>
      <c r="AN1450" t="str">
        <f>SUBSTITUTE(SUBSTITUTE(SUBSTITUTE("vpc"&amp;$B1450&amp;$C1450&amp;$D1450&amp;$E1450&amp;$F1450,".","_"),"(","_"),")","")</f>
        <v>vpc801_3_1</v>
      </c>
      <c r="AO1450">
        <f ca="1">O1450</f>
        <v>5</v>
      </c>
      <c r="AP1450" t="str">
        <f>SUBSTITUTE(SUBSTITUTE(SUBSTITUTE("vch"&amp;$B1450&amp;$C1450&amp;$D1450&amp;$E1450&amp;$F1450,".","_"),"(","_"),")","")</f>
        <v>vch801_3_1</v>
      </c>
      <c r="AQ1450" t="str">
        <f>W1450</f>
        <v>2 compartments</v>
      </c>
      <c r="AR1450" t="str">
        <f>SUBSTITUTE(SUBSTITUTE(SUBSTITUTE("vnt"&amp;$B1450&amp;$C1450&amp;$D1450&amp;$E1450&amp;$F1450,".","_"),"(","_"),")","")</f>
        <v>vnt801_3_1</v>
      </c>
      <c r="AS1450">
        <f>X1450</f>
        <v>0</v>
      </c>
      <c r="AX1450" s="6" t="str">
        <f>'Overview (Verification)'!A51</f>
        <v>Mass Walls:</v>
      </c>
      <c r="AY1450">
        <f>IF(LEN('Overview (Verification)'!P51)=0,0,'Overview (Verification)'!P51)</f>
        <v>0</v>
      </c>
      <c r="BJ1450" s="573" t="s">
        <v>4670</v>
      </c>
    </row>
    <row r="1451" spans="1:62" x14ac:dyDescent="0.35">
      <c r="A1451" s="403">
        <v>8</v>
      </c>
      <c r="B1451" s="609">
        <v>801.3</v>
      </c>
      <c r="C1451" s="604"/>
      <c r="D1451" s="604"/>
      <c r="E1451" s="604" t="s">
        <v>270</v>
      </c>
      <c r="F1451" s="604"/>
      <c r="G1451" s="403" t="str">
        <f t="shared" ref="G1451:G1458" ca="1" si="459">G1450</f>
        <v/>
      </c>
      <c r="H1451" s="403" t="s">
        <v>4325</v>
      </c>
      <c r="I1451" s="32"/>
      <c r="J1451" s="4"/>
      <c r="K1451" s="4"/>
      <c r="L1451" s="707"/>
      <c r="M1451" s="736"/>
      <c r="N1451" s="696"/>
      <c r="O1451" s="696"/>
      <c r="X1451" s="688"/>
      <c r="Y1451" s="891"/>
      <c r="Z1451" s="892"/>
      <c r="AX1451" s="6" t="str">
        <f>'Overview (Verification)'!A52</f>
        <v>Ductless:</v>
      </c>
      <c r="AY1451">
        <f>IF(LEN('Overview (Verification)'!P52)=0,0,'Overview (Verification)'!P52)</f>
        <v>0</v>
      </c>
      <c r="BJ1451" s="573" t="s">
        <v>4670</v>
      </c>
    </row>
    <row r="1452" spans="1:62" x14ac:dyDescent="0.35">
      <c r="A1452" s="403">
        <v>8</v>
      </c>
      <c r="B1452" s="609">
        <v>801.3</v>
      </c>
      <c r="C1452" s="604"/>
      <c r="D1452" s="604"/>
      <c r="E1452" s="604" t="s">
        <v>270</v>
      </c>
      <c r="F1452" s="604"/>
      <c r="G1452" s="403" t="str">
        <f t="shared" ca="1" si="459"/>
        <v/>
      </c>
      <c r="H1452" s="403" t="s">
        <v>4325</v>
      </c>
      <c r="I1452" s="32"/>
      <c r="J1452" s="4"/>
      <c r="K1452" s="4"/>
      <c r="L1452" s="707"/>
      <c r="M1452" s="736" t="s">
        <v>863</v>
      </c>
      <c r="N1452" s="696"/>
      <c r="O1452" s="696"/>
      <c r="X1452" s="688"/>
      <c r="Y1452" s="891"/>
      <c r="Z1452" s="892"/>
      <c r="AX1452" s="6" t="str">
        <f>'Overview (Verification)'!A53</f>
        <v>Radiant/Hydronic:</v>
      </c>
      <c r="AY1452">
        <f>IF(LEN('Overview (Verification)'!P53)=0,0,'Overview (Verification)'!P53)</f>
        <v>0</v>
      </c>
      <c r="BJ1452" s="573" t="s">
        <v>4670</v>
      </c>
    </row>
    <row r="1453" spans="1:62" x14ac:dyDescent="0.35">
      <c r="A1453" s="403">
        <v>8</v>
      </c>
      <c r="B1453" s="609">
        <v>801.3</v>
      </c>
      <c r="C1453" s="604"/>
      <c r="D1453" s="604"/>
      <c r="E1453" s="604" t="s">
        <v>270</v>
      </c>
      <c r="F1453" s="604"/>
      <c r="G1453" s="403" t="str">
        <f t="shared" ca="1" si="459"/>
        <v/>
      </c>
      <c r="H1453" s="403" t="s">
        <v>4325</v>
      </c>
      <c r="I1453" s="32"/>
      <c r="J1453" s="4"/>
      <c r="K1453" s="4"/>
      <c r="L1453" s="707"/>
      <c r="M1453" s="736"/>
      <c r="N1453" s="696"/>
      <c r="O1453" s="696"/>
      <c r="X1453" s="688"/>
      <c r="Y1453" s="891"/>
      <c r="Z1453" s="892"/>
      <c r="AX1453" s="6" t="str">
        <f>'Overview (Verification)'!A54</f>
        <v>Tankless Water Heater:</v>
      </c>
      <c r="AY1453">
        <f>IF(LEN('Overview (Verification)'!P54)=0,0,'Overview (Verification)'!P54)</f>
        <v>0</v>
      </c>
      <c r="BJ1453" s="573" t="s">
        <v>4670</v>
      </c>
    </row>
    <row r="1454" spans="1:62" x14ac:dyDescent="0.35">
      <c r="A1454" s="403">
        <v>8</v>
      </c>
      <c r="B1454" s="609">
        <v>801.3</v>
      </c>
      <c r="C1454" s="604"/>
      <c r="D1454" s="604"/>
      <c r="E1454" s="604" t="s">
        <v>270</v>
      </c>
      <c r="F1454" s="604"/>
      <c r="G1454" s="403" t="str">
        <f t="shared" ca="1" si="459"/>
        <v/>
      </c>
      <c r="H1454" s="403" t="s">
        <v>4325</v>
      </c>
      <c r="I1454" s="32"/>
      <c r="J1454" s="4"/>
      <c r="K1454" s="4"/>
      <c r="L1454" s="707"/>
      <c r="M1454" s="736"/>
      <c r="N1454" s="696"/>
      <c r="O1454" s="696"/>
      <c r="X1454" s="688"/>
      <c r="Y1454" s="891"/>
      <c r="Z1454" s="892"/>
      <c r="AX1454" s="6" t="str">
        <f>'Overview (Verification)'!A55</f>
        <v>Composting Toilet:</v>
      </c>
      <c r="AY1454">
        <f>IF(LEN('Overview (Verification)'!P55)=0,0,'Overview (Verification)'!P55)</f>
        <v>0</v>
      </c>
      <c r="BJ1454" s="573" t="s">
        <v>4670</v>
      </c>
    </row>
    <row r="1455" spans="1:62" x14ac:dyDescent="0.35">
      <c r="A1455" s="403">
        <v>8</v>
      </c>
      <c r="B1455" s="609">
        <v>801.3</v>
      </c>
      <c r="C1455" s="604"/>
      <c r="D1455" s="604"/>
      <c r="E1455" s="604" t="s">
        <v>270</v>
      </c>
      <c r="F1455" s="604"/>
      <c r="G1455" s="403" t="str">
        <f t="shared" ca="1" si="459"/>
        <v/>
      </c>
      <c r="H1455" s="403" t="s">
        <v>4325</v>
      </c>
      <c r="I1455" s="32"/>
      <c r="J1455" s="4"/>
      <c r="K1455" s="4"/>
      <c r="L1455" s="707"/>
      <c r="M1455" s="736"/>
      <c r="N1455" s="696"/>
      <c r="O1455" s="696"/>
      <c r="X1455" s="688"/>
      <c r="Y1455" s="891"/>
      <c r="Z1455" s="892"/>
      <c r="AX1455" s="6"/>
      <c r="BJ1455" s="573" t="s">
        <v>4670</v>
      </c>
    </row>
    <row r="1456" spans="1:62" x14ac:dyDescent="0.35">
      <c r="A1456" s="403">
        <v>8</v>
      </c>
      <c r="B1456" s="609">
        <v>801.3</v>
      </c>
      <c r="C1456" s="604"/>
      <c r="D1456" s="604"/>
      <c r="E1456" s="604" t="s">
        <v>270</v>
      </c>
      <c r="F1456" s="604"/>
      <c r="G1456" s="403" t="str">
        <f t="shared" ca="1" si="459"/>
        <v/>
      </c>
      <c r="H1456" s="403" t="s">
        <v>4325</v>
      </c>
      <c r="I1456" s="32"/>
      <c r="J1456" s="4"/>
      <c r="K1456" s="4"/>
      <c r="L1456" s="752" t="s">
        <v>864</v>
      </c>
      <c r="M1456" s="690" t="s">
        <v>865</v>
      </c>
      <c r="N1456" s="85"/>
      <c r="O1456" s="85"/>
      <c r="X1456" s="688"/>
      <c r="Y1456" s="891"/>
      <c r="Z1456" s="892"/>
      <c r="AX1456" s="6" t="str">
        <f>'Overview (Verification)'!A57</f>
        <v>Local Energy Code:</v>
      </c>
      <c r="AY1456">
        <f>IF(LEN('Overview (Verification)'!P57)=0,0,'Overview (Verification)'!P57)</f>
        <v>0</v>
      </c>
      <c r="BJ1456" s="573" t="s">
        <v>4670</v>
      </c>
    </row>
    <row r="1457" spans="1:62" x14ac:dyDescent="0.35">
      <c r="A1457" s="403">
        <v>8</v>
      </c>
      <c r="B1457" s="609">
        <v>801.3</v>
      </c>
      <c r="C1457" s="604"/>
      <c r="D1457" s="604"/>
      <c r="E1457" s="604" t="s">
        <v>270</v>
      </c>
      <c r="F1457" s="604"/>
      <c r="G1457" s="403" t="str">
        <f t="shared" ca="1" si="459"/>
        <v/>
      </c>
      <c r="H1457" s="403" t="s">
        <v>4325</v>
      </c>
      <c r="I1457" s="32"/>
      <c r="J1457" s="4"/>
      <c r="K1457" s="4"/>
      <c r="L1457" s="752"/>
      <c r="M1457" s="690"/>
      <c r="N1457" s="85"/>
      <c r="O1457" s="85"/>
      <c r="X1457" s="688"/>
      <c r="Y1457" s="891"/>
      <c r="Z1457" s="892"/>
      <c r="AX1457" s="6" t="str">
        <f>'Overview (Verification)'!A58</f>
        <v>Local Building Code:</v>
      </c>
      <c r="AY1457">
        <f>IF(LEN('Overview (Verification)'!P58)=0,0,'Overview (Verification)'!P58)</f>
        <v>0</v>
      </c>
      <c r="BJ1457" s="573" t="s">
        <v>4670</v>
      </c>
    </row>
    <row r="1458" spans="1:62" x14ac:dyDescent="0.35">
      <c r="A1458" s="403">
        <v>8</v>
      </c>
      <c r="B1458" s="609">
        <v>801.3</v>
      </c>
      <c r="C1458" s="604"/>
      <c r="D1458" s="604"/>
      <c r="E1458" s="604" t="s">
        <v>270</v>
      </c>
      <c r="F1458" s="604"/>
      <c r="G1458" s="403" t="str">
        <f t="shared" ca="1" si="459"/>
        <v/>
      </c>
      <c r="H1458" s="403" t="s">
        <v>4325</v>
      </c>
      <c r="I1458" s="32"/>
      <c r="J1458" s="155"/>
      <c r="K1458" s="155"/>
      <c r="L1458" s="790"/>
      <c r="M1458" s="691"/>
      <c r="N1458" s="342"/>
      <c r="O1458" s="342"/>
      <c r="X1458" s="688"/>
      <c r="Y1458" s="891"/>
      <c r="Z1458" s="892"/>
      <c r="BJ1458" s="573" t="s">
        <v>4670</v>
      </c>
    </row>
    <row r="1459" spans="1:62" x14ac:dyDescent="0.35">
      <c r="A1459" s="403">
        <v>8</v>
      </c>
      <c r="B1459" s="609">
        <v>801.3</v>
      </c>
      <c r="C1459" s="604"/>
      <c r="D1459" s="604"/>
      <c r="E1459" s="604" t="s">
        <v>272</v>
      </c>
      <c r="F1459" s="604"/>
      <c r="G1459" s="403" t="str">
        <f ca="1">IF(N1459&gt;0,"P","")</f>
        <v/>
      </c>
      <c r="H1459" s="403" t="s">
        <v>4325</v>
      </c>
      <c r="I1459" s="32"/>
      <c r="J1459" s="19" t="s">
        <v>272</v>
      </c>
      <c r="K1459" s="4"/>
      <c r="L1459" s="707" t="s">
        <v>866</v>
      </c>
      <c r="M1459" s="43"/>
      <c r="N1459" s="696">
        <f ca="1">'Ch8'!O63</f>
        <v>0</v>
      </c>
      <c r="O1459" s="696">
        <f ca="1">IFERROR(INDEX({6,10,14},MATCH(W1459,INDIRECT(U1459),0)),0)*S1459</f>
        <v>10</v>
      </c>
      <c r="P1459" t="b">
        <v>0</v>
      </c>
      <c r="Q1459" t="b">
        <v>1</v>
      </c>
      <c r="R1459" t="b">
        <v>0</v>
      </c>
      <c r="S1459" t="b">
        <f>LEN(W1450)&gt;0</f>
        <v>1</v>
      </c>
      <c r="T1459" t="b">
        <f>IF(AND(NOT(S1459),LEN(W1459)&gt;0),TRUE,FALSE)</f>
        <v>0</v>
      </c>
      <c r="U1459" t="str">
        <f>SUBSTITUTE(SUBSTITUTE(SUBSTITUTE("dd"&amp;B1459&amp;C1459&amp;D1459&amp;E1459&amp;F1459,".","_"),"(","_"),")","")</f>
        <v>dd801_3_2</v>
      </c>
      <c r="W1459" s="9" t="s">
        <v>122</v>
      </c>
      <c r="X1459" s="688"/>
      <c r="Y1459" s="891" t="str">
        <f>IF(LEN('Ch8'!X63)=0,"None",'Ch8'!X63)</f>
        <v>None</v>
      </c>
      <c r="Z1459" s="892"/>
      <c r="AC1459" t="b">
        <f>OR(AD1459:AE1459)</f>
        <v>0</v>
      </c>
      <c r="AD1459" t="b">
        <f>T1459</f>
        <v>0</v>
      </c>
      <c r="AE1459" t="b">
        <f>AND(R1459,OR(W1459="Not Met",W1459=""))</f>
        <v>0</v>
      </c>
      <c r="AF1459" t="b">
        <f>AND(AE1459,NOT(Q1459))</f>
        <v>0</v>
      </c>
      <c r="AN1459" t="str">
        <f>SUBSTITUTE(SUBSTITUTE(SUBSTITUTE("vpc"&amp;$B1459&amp;$C1459&amp;$D1459&amp;$E1459&amp;$F1459,".","_"),"(","_"),")","")</f>
        <v>vpc801_3_2</v>
      </c>
      <c r="AO1459">
        <f ca="1">O1459</f>
        <v>10</v>
      </c>
      <c r="AP1459" t="str">
        <f>SUBSTITUTE(SUBSTITUTE(SUBSTITUTE("vch"&amp;$B1459&amp;$C1459&amp;$D1459&amp;$E1459&amp;$F1459,".","_"),"(","_"),")","")</f>
        <v>vch801_3_2</v>
      </c>
      <c r="AQ1459" t="str">
        <f>W1459</f>
        <v>(b)</v>
      </c>
      <c r="AR1459" t="str">
        <f>SUBSTITUTE(SUBSTITUTE(SUBSTITUTE("vnt"&amp;$B1459&amp;$C1459&amp;$D1459&amp;$E1459&amp;$F1459,".","_"),"(","_"),")","")</f>
        <v>vnt801_3_2</v>
      </c>
      <c r="AS1459">
        <f>X1459</f>
        <v>0</v>
      </c>
      <c r="BJ1459" s="573" t="s">
        <v>4670</v>
      </c>
    </row>
    <row r="1460" spans="1:62" x14ac:dyDescent="0.35">
      <c r="A1460" s="403">
        <v>8</v>
      </c>
      <c r="B1460" s="609">
        <v>801.3</v>
      </c>
      <c r="C1460" s="604"/>
      <c r="D1460" s="604"/>
      <c r="E1460" s="604" t="s">
        <v>272</v>
      </c>
      <c r="F1460" s="604"/>
      <c r="G1460" s="403" t="str">
        <f t="shared" ref="G1460:G1463" ca="1" si="460">G1459</f>
        <v/>
      </c>
      <c r="H1460" s="403" t="s">
        <v>4325</v>
      </c>
      <c r="I1460" s="32"/>
      <c r="J1460" s="4"/>
      <c r="K1460" s="4"/>
      <c r="L1460" s="707"/>
      <c r="M1460" s="43"/>
      <c r="N1460" s="696"/>
      <c r="O1460" s="696"/>
      <c r="X1460" s="688"/>
      <c r="Y1460" s="891"/>
      <c r="Z1460" s="892"/>
      <c r="BJ1460" s="573" t="s">
        <v>4670</v>
      </c>
    </row>
    <row r="1461" spans="1:62" x14ac:dyDescent="0.35">
      <c r="A1461" s="403">
        <v>8</v>
      </c>
      <c r="B1461" s="609">
        <v>801.3</v>
      </c>
      <c r="C1461" s="604"/>
      <c r="D1461" s="604"/>
      <c r="E1461" s="604" t="s">
        <v>272</v>
      </c>
      <c r="F1461" s="604" t="s">
        <v>121</v>
      </c>
      <c r="G1461" s="403" t="str">
        <f t="shared" ca="1" si="460"/>
        <v/>
      </c>
      <c r="H1461" s="605" t="s">
        <v>4325</v>
      </c>
      <c r="I1461" s="4"/>
      <c r="J1461" s="4"/>
      <c r="K1461" s="19" t="s">
        <v>121</v>
      </c>
      <c r="L1461" s="104" t="s">
        <v>867</v>
      </c>
      <c r="M1461" s="43" t="s">
        <v>868</v>
      </c>
      <c r="N1461" s="85"/>
      <c r="O1461" s="85"/>
      <c r="X1461" s="688"/>
      <c r="Y1461" s="891"/>
      <c r="Z1461" s="892"/>
      <c r="AL1461" t="str">
        <f t="shared" ref="AL1461:AL1464" si="461">SUBSTITUTE(SUBSTITUTE(SUBSTITUTE("vpa"&amp;$B1461&amp;$C1461&amp;$D1461&amp;$E1461&amp;$F1461,".","_"),"(","_"),")","")</f>
        <v>vpa801_3_2_a</v>
      </c>
      <c r="AM1461" t="str">
        <f>M1461</f>
        <v xml:space="preserve">6 Additional </v>
      </c>
      <c r="BJ1461" s="573" t="s">
        <v>4670</v>
      </c>
    </row>
    <row r="1462" spans="1:62" x14ac:dyDescent="0.35">
      <c r="A1462" s="403">
        <v>8</v>
      </c>
      <c r="B1462" s="609">
        <v>801.3</v>
      </c>
      <c r="C1462" s="604"/>
      <c r="D1462" s="604"/>
      <c r="E1462" s="604" t="s">
        <v>272</v>
      </c>
      <c r="F1462" s="604" t="s">
        <v>122</v>
      </c>
      <c r="G1462" s="403" t="str">
        <f t="shared" ca="1" si="460"/>
        <v/>
      </c>
      <c r="H1462" s="605" t="s">
        <v>4325</v>
      </c>
      <c r="I1462" s="4"/>
      <c r="J1462" s="4"/>
      <c r="K1462" s="19" t="s">
        <v>122</v>
      </c>
      <c r="L1462" s="104" t="s">
        <v>869</v>
      </c>
      <c r="M1462" s="43" t="s">
        <v>870</v>
      </c>
      <c r="N1462" s="85"/>
      <c r="O1462" s="85"/>
      <c r="X1462" s="688"/>
      <c r="Y1462" s="891"/>
      <c r="Z1462" s="892"/>
      <c r="AL1462" t="str">
        <f t="shared" si="461"/>
        <v>vpa801_3_2_b</v>
      </c>
      <c r="AM1462" t="str">
        <f>M1462</f>
        <v xml:space="preserve">10 Additional </v>
      </c>
      <c r="BJ1462" s="573" t="s">
        <v>4670</v>
      </c>
    </row>
    <row r="1463" spans="1:62" x14ac:dyDescent="0.35">
      <c r="A1463" s="403">
        <v>8</v>
      </c>
      <c r="B1463" s="609">
        <v>801.3</v>
      </c>
      <c r="C1463" s="604"/>
      <c r="D1463" s="604"/>
      <c r="E1463" s="604" t="s">
        <v>272</v>
      </c>
      <c r="F1463" s="604" t="s">
        <v>123</v>
      </c>
      <c r="G1463" s="403" t="str">
        <f t="shared" ca="1" si="460"/>
        <v/>
      </c>
      <c r="H1463" s="605" t="s">
        <v>4325</v>
      </c>
      <c r="I1463" s="4"/>
      <c r="J1463" s="155"/>
      <c r="K1463" s="148" t="s">
        <v>123</v>
      </c>
      <c r="L1463" s="214" t="s">
        <v>871</v>
      </c>
      <c r="M1463" s="198" t="s">
        <v>872</v>
      </c>
      <c r="N1463" s="342"/>
      <c r="O1463" s="342"/>
      <c r="X1463" s="688"/>
      <c r="Y1463" s="891"/>
      <c r="Z1463" s="892"/>
      <c r="AL1463" t="str">
        <f t="shared" si="461"/>
        <v>vpa801_3_2_c</v>
      </c>
      <c r="AM1463" t="str">
        <f>M1463</f>
        <v>14 Additional</v>
      </c>
      <c r="BJ1463" s="573" t="s">
        <v>4670</v>
      </c>
    </row>
    <row r="1464" spans="1:62" ht="15" customHeight="1" x14ac:dyDescent="0.35">
      <c r="A1464" s="403">
        <v>8</v>
      </c>
      <c r="B1464" s="609">
        <v>801.3</v>
      </c>
      <c r="C1464" s="604"/>
      <c r="D1464" s="604"/>
      <c r="E1464" s="604" t="s">
        <v>274</v>
      </c>
      <c r="F1464" s="604"/>
      <c r="G1464" s="403" t="str">
        <f ca="1">IF(N1464&gt;0,"P","")</f>
        <v/>
      </c>
      <c r="H1464" s="403" t="s">
        <v>4325</v>
      </c>
      <c r="I1464" s="32"/>
      <c r="J1464" s="19" t="s">
        <v>274</v>
      </c>
      <c r="K1464" s="4"/>
      <c r="L1464" s="104" t="s">
        <v>873</v>
      </c>
      <c r="M1464" s="737" t="s">
        <v>3837</v>
      </c>
      <c r="N1464" s="696">
        <f ca="1">'Ch8'!O68</f>
        <v>0</v>
      </c>
      <c r="O1464" s="696">
        <f ca="1">IFERROR(MATCH(W1464,INDIRECT(U1464),0),0)*S1464</f>
        <v>0</v>
      </c>
      <c r="P1464" t="b">
        <v>0</v>
      </c>
      <c r="Q1464" t="b">
        <v>1</v>
      </c>
      <c r="R1464" t="b">
        <v>0</v>
      </c>
      <c r="S1464" t="b">
        <v>1</v>
      </c>
      <c r="T1464" t="b">
        <f>IF(AND(NOT(S1464),LEN(W1464)&gt;0),TRUE,FALSE)</f>
        <v>0</v>
      </c>
      <c r="U1464" t="str">
        <f>SUBSTITUTE(SUBSTITUTE(SUBSTITUTE("dd"&amp;B1464&amp;C1464&amp;D1464&amp;E1464&amp;F1464,".","_"),"(","_"),")","")</f>
        <v>dd801_3_3</v>
      </c>
      <c r="W1464" s="9"/>
      <c r="X1464" s="688"/>
      <c r="Y1464" s="891" t="str">
        <f>IF(LEN('Ch8'!X68)=0,"None",'Ch8'!X68)</f>
        <v>None</v>
      </c>
      <c r="Z1464" s="892"/>
      <c r="AC1464" t="b">
        <f>OR(AD1464:AE1464)</f>
        <v>0</v>
      </c>
      <c r="AD1464" t="b">
        <f>T1464</f>
        <v>0</v>
      </c>
      <c r="AE1464" t="b">
        <f>AND(R1464,OR(W1464="Not Met",W1464=""))</f>
        <v>0</v>
      </c>
      <c r="AF1464" t="b">
        <f>AND(AE1464,NOT(Q1464))</f>
        <v>0</v>
      </c>
      <c r="AL1464" t="str">
        <f t="shared" si="461"/>
        <v>vpa801_3_3</v>
      </c>
      <c r="AM1464" t="str">
        <f>M1464</f>
        <v>1
3 Max</v>
      </c>
      <c r="AN1464" t="str">
        <f>SUBSTITUTE(SUBSTITUTE(SUBSTITUTE("vpc"&amp;$B1464&amp;$C1464&amp;$D1464&amp;$E1464&amp;$F1464,".","_"),"(","_"),")","")</f>
        <v>vpc801_3_3</v>
      </c>
      <c r="AO1464">
        <f ca="1">O1464</f>
        <v>0</v>
      </c>
      <c r="AP1464" t="str">
        <f>SUBSTITUTE(SUBSTITUTE(SUBSTITUTE("vch"&amp;$B1464&amp;$C1464&amp;$D1464&amp;$E1464&amp;$F1464,".","_"),"(","_"),")","")</f>
        <v>vch801_3_3</v>
      </c>
      <c r="AQ1464">
        <f>W1464</f>
        <v>0</v>
      </c>
      <c r="AR1464" t="str">
        <f>SUBSTITUTE(SUBSTITUTE(SUBSTITUTE("vnt"&amp;$B1464&amp;$C1464&amp;$D1464&amp;$E1464&amp;$F1464,".","_"),"(","_"),")","")</f>
        <v>vnt801_3_3</v>
      </c>
      <c r="AS1464">
        <f>X1464</f>
        <v>0</v>
      </c>
      <c r="BJ1464" s="573" t="s">
        <v>4670</v>
      </c>
    </row>
    <row r="1465" spans="1:62" ht="15" thickBot="1" x14ac:dyDescent="0.4">
      <c r="A1465" s="403">
        <v>8</v>
      </c>
      <c r="B1465" s="609">
        <v>801.3</v>
      </c>
      <c r="C1465" s="604"/>
      <c r="D1465" s="604"/>
      <c r="E1465" s="604" t="s">
        <v>274</v>
      </c>
      <c r="F1465" s="604"/>
      <c r="G1465" s="403" t="str">
        <f t="shared" ref="G1465" ca="1" si="462">G1464</f>
        <v/>
      </c>
      <c r="H1465" s="403" t="s">
        <v>4325</v>
      </c>
      <c r="I1465" s="132"/>
      <c r="J1465" s="183"/>
      <c r="K1465" s="183"/>
      <c r="L1465" s="273" t="s">
        <v>874</v>
      </c>
      <c r="M1465" s="800"/>
      <c r="N1465" s="695"/>
      <c r="O1465" s="695"/>
      <c r="P1465" s="58"/>
      <c r="Q1465" s="58"/>
      <c r="R1465" s="58"/>
      <c r="S1465" s="58"/>
      <c r="T1465" s="58"/>
      <c r="U1465" s="58"/>
      <c r="V1465" s="58"/>
      <c r="W1465" s="58"/>
      <c r="X1465" s="689"/>
      <c r="Y1465" s="905"/>
      <c r="Z1465" s="895"/>
      <c r="BJ1465" s="573" t="s">
        <v>4670</v>
      </c>
    </row>
    <row r="1466" spans="1:62" ht="15" thickTop="1" x14ac:dyDescent="0.35">
      <c r="A1466" s="403">
        <v>8</v>
      </c>
      <c r="B1466" s="609">
        <v>801.4</v>
      </c>
      <c r="C1466" s="604"/>
      <c r="D1466" s="604"/>
      <c r="E1466" s="604"/>
      <c r="F1466" s="604"/>
      <c r="G1466" s="600" t="str">
        <f ca="1">IF(COUNTIF(G1469:G1474,"P")&gt;0,"P","")</f>
        <v>P</v>
      </c>
      <c r="H1466" s="403" t="s">
        <v>4325</v>
      </c>
      <c r="I1466" s="123">
        <v>801.4</v>
      </c>
      <c r="J1466" s="124"/>
      <c r="K1466" s="124"/>
      <c r="L1466" s="222" t="s">
        <v>876</v>
      </c>
      <c r="M1466" s="199"/>
      <c r="N1466" s="341"/>
      <c r="O1466" s="341"/>
      <c r="P1466" s="62"/>
      <c r="Q1466" s="62"/>
      <c r="R1466" s="62"/>
      <c r="S1466" s="62"/>
      <c r="T1466" s="62"/>
      <c r="U1466" s="62"/>
      <c r="V1466" s="62"/>
      <c r="W1466" s="62"/>
      <c r="X1466" s="62"/>
      <c r="Z1466" s="543"/>
      <c r="BJ1466" s="573" t="s">
        <v>4670</v>
      </c>
    </row>
    <row r="1467" spans="1:62" x14ac:dyDescent="0.35">
      <c r="A1467" s="403">
        <v>8</v>
      </c>
      <c r="B1467" s="609" t="s">
        <v>877</v>
      </c>
      <c r="C1467" s="604"/>
      <c r="D1467" s="604"/>
      <c r="E1467" s="604"/>
      <c r="F1467" s="604"/>
      <c r="G1467" s="600" t="str">
        <f ca="1">IF(COUNTIF(G1469:G1473,"P")&gt;0,"P","")</f>
        <v>P</v>
      </c>
      <c r="H1467" s="403" t="s">
        <v>4325</v>
      </c>
      <c r="I1467" s="32" t="s">
        <v>877</v>
      </c>
      <c r="J1467" s="4"/>
      <c r="K1467" s="4"/>
      <c r="L1467" s="706" t="s">
        <v>878</v>
      </c>
      <c r="M1467" s="43"/>
      <c r="N1467" s="85"/>
      <c r="O1467" s="85"/>
      <c r="Z1467" s="543"/>
      <c r="BJ1467" s="573" t="s">
        <v>4670</v>
      </c>
    </row>
    <row r="1468" spans="1:62" x14ac:dyDescent="0.35">
      <c r="A1468" s="403">
        <v>8</v>
      </c>
      <c r="B1468" s="609" t="s">
        <v>877</v>
      </c>
      <c r="C1468" s="604"/>
      <c r="D1468" s="604"/>
      <c r="E1468" s="604"/>
      <c r="F1468" s="604"/>
      <c r="G1468" s="403" t="str">
        <f t="shared" ref="G1468" ca="1" si="463">G1467</f>
        <v>P</v>
      </c>
      <c r="H1468" s="403" t="s">
        <v>4325</v>
      </c>
      <c r="I1468" s="32"/>
      <c r="J1468" s="4"/>
      <c r="K1468" s="4"/>
      <c r="L1468" s="706"/>
      <c r="M1468" s="43"/>
      <c r="N1468" s="85"/>
      <c r="O1468" s="85"/>
      <c r="Z1468" s="543"/>
      <c r="BJ1468" s="573" t="s">
        <v>4670</v>
      </c>
    </row>
    <row r="1469" spans="1:62" x14ac:dyDescent="0.35">
      <c r="A1469" s="403">
        <v>8</v>
      </c>
      <c r="B1469" s="609" t="s">
        <v>877</v>
      </c>
      <c r="C1469" s="604"/>
      <c r="D1469" s="604"/>
      <c r="E1469" s="604" t="s">
        <v>270</v>
      </c>
      <c r="F1469" s="604"/>
      <c r="G1469" s="403" t="str">
        <f ca="1">IF(N1469&gt;0,"P","")</f>
        <v>P</v>
      </c>
      <c r="H1469" s="403" t="s">
        <v>4325</v>
      </c>
      <c r="I1469" s="32"/>
      <c r="J1469" s="19" t="s">
        <v>270</v>
      </c>
      <c r="K1469" s="4"/>
      <c r="L1469" s="104" t="s">
        <v>879</v>
      </c>
      <c r="M1469" s="737" t="s">
        <v>3837</v>
      </c>
      <c r="N1469" s="696">
        <f ca="1">'Ch8'!O73</f>
        <v>2</v>
      </c>
      <c r="O1469" s="696">
        <f ca="1">IFERROR(MATCH(W1469,INDIRECT(U1469),0),0)*S1469</f>
        <v>3</v>
      </c>
      <c r="P1469" t="b">
        <v>0</v>
      </c>
      <c r="Q1469" t="b">
        <v>1</v>
      </c>
      <c r="R1469" t="b">
        <v>0</v>
      </c>
      <c r="S1469" t="b">
        <v>1</v>
      </c>
      <c r="T1469" t="b">
        <f>IF(AND(NOT(S1469),LEN(W1469)&gt;0),TRUE,FALSE)</f>
        <v>0</v>
      </c>
      <c r="U1469" t="str">
        <f>SUBSTITUTE(SUBSTITUTE(SUBSTITUTE("dd"&amp;B1469&amp;C1469&amp;D1469&amp;E1469&amp;F1469,".","_"),"(","_"),")","")</f>
        <v>dd801_4_1_1</v>
      </c>
      <c r="W1469" s="9" t="s">
        <v>3835</v>
      </c>
      <c r="X1469" s="688"/>
      <c r="Y1469" s="891" t="str">
        <f>IF(LEN('Ch8'!X73)=0,"None",'Ch8'!X73)</f>
        <v>None</v>
      </c>
      <c r="Z1469" s="892"/>
      <c r="AC1469" t="b">
        <f>OR(AD1469:AE1469)</f>
        <v>0</v>
      </c>
      <c r="AD1469" t="b">
        <f>T1469</f>
        <v>0</v>
      </c>
      <c r="AE1469" t="b">
        <f>AND(R1469,OR(W1469="Not Met",W1469=""))</f>
        <v>0</v>
      </c>
      <c r="AF1469" t="b">
        <f>AND(AE1469,NOT(Q1469))</f>
        <v>0</v>
      </c>
      <c r="AL1469" t="str">
        <f t="shared" ref="AL1469" si="464">SUBSTITUTE(SUBSTITUTE(SUBSTITUTE("vpa"&amp;$B1469&amp;$C1469&amp;$D1469&amp;$E1469&amp;$F1469,".","_"),"(","_"),")","")</f>
        <v>vpa801_4_1_1</v>
      </c>
      <c r="AM1469" t="str">
        <f>M1469</f>
        <v>1
3 Max</v>
      </c>
      <c r="AN1469" t="str">
        <f>SUBSTITUTE(SUBSTITUTE(SUBSTITUTE("vpc"&amp;$B1469&amp;$C1469&amp;$D1469&amp;$E1469&amp;$F1469,".","_"),"(","_"),")","")</f>
        <v>vpc801_4_1_1</v>
      </c>
      <c r="AO1469">
        <f ca="1">O1469</f>
        <v>3</v>
      </c>
      <c r="AP1469" t="str">
        <f>SUBSTITUTE(SUBSTITUTE(SUBSTITUTE("vch"&amp;$B1469&amp;$C1469&amp;$D1469&amp;$E1469&amp;$F1469,".","_"),"(","_"),")","")</f>
        <v>vch801_4_1_1</v>
      </c>
      <c r="AQ1469" t="str">
        <f>W1469</f>
        <v>3+ bathrooms</v>
      </c>
      <c r="AR1469" t="str">
        <f>SUBSTITUTE(SUBSTITUTE(SUBSTITUTE("vnt"&amp;$B1469&amp;$C1469&amp;$D1469&amp;$E1469&amp;$F1469,".","_"),"(","_"),")","")</f>
        <v>vnt801_4_1_1</v>
      </c>
      <c r="AS1469">
        <f>X1469</f>
        <v>0</v>
      </c>
      <c r="BJ1469" s="573" t="s">
        <v>4670</v>
      </c>
    </row>
    <row r="1470" spans="1:62" x14ac:dyDescent="0.35">
      <c r="A1470" s="403">
        <v>8</v>
      </c>
      <c r="B1470" s="609" t="s">
        <v>877</v>
      </c>
      <c r="C1470" s="604"/>
      <c r="D1470" s="604"/>
      <c r="E1470" s="604" t="s">
        <v>270</v>
      </c>
      <c r="F1470" s="604"/>
      <c r="G1470" s="403" t="str">
        <f t="shared" ref="G1470:G1472" ca="1" si="465">G1469</f>
        <v>P</v>
      </c>
      <c r="H1470" s="403" t="s">
        <v>4325</v>
      </c>
      <c r="I1470" s="32"/>
      <c r="J1470" s="4"/>
      <c r="K1470" s="4"/>
      <c r="L1470" s="752" t="s">
        <v>880</v>
      </c>
      <c r="M1470" s="690"/>
      <c r="N1470" s="696"/>
      <c r="O1470" s="696"/>
      <c r="X1470" s="688"/>
      <c r="Y1470" s="891"/>
      <c r="Z1470" s="892"/>
      <c r="BJ1470" s="573" t="s">
        <v>4670</v>
      </c>
    </row>
    <row r="1471" spans="1:62" x14ac:dyDescent="0.35">
      <c r="A1471" s="403">
        <v>8</v>
      </c>
      <c r="B1471" s="609" t="s">
        <v>877</v>
      </c>
      <c r="C1471" s="604"/>
      <c r="D1471" s="604"/>
      <c r="E1471" s="604" t="s">
        <v>270</v>
      </c>
      <c r="F1471" s="604"/>
      <c r="G1471" s="403" t="str">
        <f t="shared" ca="1" si="465"/>
        <v>P</v>
      </c>
      <c r="H1471" s="403" t="s">
        <v>4325</v>
      </c>
      <c r="I1471" s="32"/>
      <c r="J1471" s="4"/>
      <c r="K1471" s="4"/>
      <c r="L1471" s="752"/>
      <c r="M1471" s="690"/>
      <c r="N1471" s="696"/>
      <c r="O1471" s="696"/>
      <c r="X1471" s="688"/>
      <c r="Y1471" s="891"/>
      <c r="Z1471" s="892"/>
      <c r="BJ1471" s="573" t="s">
        <v>4670</v>
      </c>
    </row>
    <row r="1472" spans="1:62" x14ac:dyDescent="0.35">
      <c r="A1472" s="403">
        <v>8</v>
      </c>
      <c r="B1472" s="609" t="s">
        <v>877</v>
      </c>
      <c r="C1472" s="604"/>
      <c r="D1472" s="604"/>
      <c r="E1472" s="604" t="s">
        <v>270</v>
      </c>
      <c r="F1472" s="604"/>
      <c r="G1472" s="403" t="str">
        <f t="shared" ca="1" si="465"/>
        <v>P</v>
      </c>
      <c r="H1472" s="403" t="s">
        <v>4325</v>
      </c>
      <c r="I1472" s="32"/>
      <c r="J1472" s="155"/>
      <c r="K1472" s="155"/>
      <c r="L1472" s="790"/>
      <c r="M1472" s="691"/>
      <c r="N1472" s="697"/>
      <c r="O1472" s="697"/>
      <c r="X1472" s="688"/>
      <c r="Y1472" s="891"/>
      <c r="Z1472" s="892"/>
      <c r="BJ1472" s="573" t="s">
        <v>4670</v>
      </c>
    </row>
    <row r="1473" spans="1:62" x14ac:dyDescent="0.35">
      <c r="A1473" s="403">
        <v>8</v>
      </c>
      <c r="B1473" s="609" t="s">
        <v>877</v>
      </c>
      <c r="C1473" s="604"/>
      <c r="D1473" s="604"/>
      <c r="E1473" s="604" t="s">
        <v>272</v>
      </c>
      <c r="F1473" s="604"/>
      <c r="G1473" s="403" t="str">
        <f>IF(N1473&gt;0,"P","")</f>
        <v>P</v>
      </c>
      <c r="H1473" s="403" t="s">
        <v>4325</v>
      </c>
      <c r="I1473" s="161"/>
      <c r="J1473" s="148" t="s">
        <v>272</v>
      </c>
      <c r="K1473" s="155"/>
      <c r="L1473" s="214" t="s">
        <v>881</v>
      </c>
      <c r="M1473" s="325" t="s">
        <v>868</v>
      </c>
      <c r="N1473" s="342">
        <f>'Ch8'!O77</f>
        <v>6</v>
      </c>
      <c r="O1473" s="342">
        <f>6*S1473*W1473</f>
        <v>6</v>
      </c>
      <c r="P1473" t="b">
        <v>0</v>
      </c>
      <c r="Q1473" t="b">
        <v>1</v>
      </c>
      <c r="R1473" s="119" t="b">
        <v>0</v>
      </c>
      <c r="S1473" s="119" t="b">
        <f>LEN(W1469)&gt;0</f>
        <v>1</v>
      </c>
      <c r="T1473" s="119" t="b">
        <f>IF(AND(NOT(S1473),W1473=TRUE),TRUE,FALSE)</f>
        <v>0</v>
      </c>
      <c r="U1473" s="119"/>
      <c r="V1473" s="119"/>
      <c r="W1473" s="17" t="b">
        <v>1</v>
      </c>
      <c r="X1473" s="39"/>
      <c r="Y1473" s="200" t="str">
        <f>IF(LEN('Ch8'!X77)=0,"None",'Ch8'!X77)</f>
        <v>None</v>
      </c>
      <c r="Z1473" s="563"/>
      <c r="AC1473" t="b">
        <f>OR(AD1473:AE1473)</f>
        <v>0</v>
      </c>
      <c r="AD1473" t="b">
        <f>T1473</f>
        <v>0</v>
      </c>
      <c r="AE1473" t="b">
        <v>0</v>
      </c>
      <c r="AF1473" t="b">
        <f>AND(AE1473,NOT(Q1473))</f>
        <v>0</v>
      </c>
      <c r="AL1473" t="str">
        <f t="shared" ref="AL1473:AL1474" si="466">SUBSTITUTE(SUBSTITUTE(SUBSTITUTE("vpa"&amp;$B1473&amp;$C1473&amp;$D1473&amp;$E1473&amp;$F1473,".","_"),"(","_"),")","")</f>
        <v>vpa801_4_1_2</v>
      </c>
      <c r="AM1473" t="str">
        <f>M1473</f>
        <v xml:space="preserve">6 Additional </v>
      </c>
      <c r="AN1473" t="str">
        <f t="shared" ref="AN1473:AN1474" si="467">SUBSTITUTE(SUBSTITUTE(SUBSTITUTE("vpc"&amp;$B1473&amp;$C1473&amp;$D1473&amp;$E1473&amp;$F1473,".","_"),"(","_"),")","")</f>
        <v>vpc801_4_1_2</v>
      </c>
      <c r="AO1473">
        <f>O1473</f>
        <v>6</v>
      </c>
      <c r="AP1473" t="str">
        <f t="shared" ref="AP1473:AP1474" si="468">SUBSTITUTE(SUBSTITUTE(SUBSTITUTE("vch"&amp;$B1473&amp;$C1473&amp;$D1473&amp;$E1473&amp;$F1473,".","_"),"(","_"),")","")</f>
        <v>vch801_4_1_2</v>
      </c>
      <c r="AQ1473" t="b">
        <f>W1473</f>
        <v>1</v>
      </c>
      <c r="AR1473" t="str">
        <f t="shared" ref="AR1473:AR1474" si="469">SUBSTITUTE(SUBSTITUTE(SUBSTITUTE("vnt"&amp;$B1473&amp;$C1473&amp;$D1473&amp;$E1473&amp;$F1473,".","_"),"(","_"),")","")</f>
        <v>vnt801_4_1_2</v>
      </c>
      <c r="AS1473">
        <f>X1473</f>
        <v>0</v>
      </c>
      <c r="BJ1473" s="573" t="s">
        <v>4670</v>
      </c>
    </row>
    <row r="1474" spans="1:62" x14ac:dyDescent="0.35">
      <c r="A1474" s="403">
        <v>8</v>
      </c>
      <c r="B1474" s="609" t="s">
        <v>882</v>
      </c>
      <c r="C1474" s="604"/>
      <c r="D1474" s="604"/>
      <c r="E1474" s="604"/>
      <c r="F1474" s="604"/>
      <c r="G1474" s="403" t="str">
        <f ca="1">IF(N1474&gt;0,"P","")</f>
        <v/>
      </c>
      <c r="H1474" s="403" t="s">
        <v>4325</v>
      </c>
      <c r="I1474" s="32" t="s">
        <v>882</v>
      </c>
      <c r="J1474" s="4"/>
      <c r="K1474" s="4"/>
      <c r="L1474" s="706" t="s">
        <v>883</v>
      </c>
      <c r="M1474" s="737" t="s">
        <v>3837</v>
      </c>
      <c r="N1474" s="696">
        <f ca="1">'Ch8'!O78</f>
        <v>0</v>
      </c>
      <c r="O1474" s="696">
        <f ca="1">IFERROR(MATCH(W1474,INDIRECT(U1474),0),0)*S1474</f>
        <v>0</v>
      </c>
      <c r="P1474" t="b">
        <v>0</v>
      </c>
      <c r="Q1474" t="b">
        <v>1</v>
      </c>
      <c r="R1474" t="b">
        <v>0</v>
      </c>
      <c r="S1474" t="b">
        <v>1</v>
      </c>
      <c r="T1474" t="b">
        <v>0</v>
      </c>
      <c r="U1474" t="str">
        <f>SUBSTITUTE(SUBSTITUTE(SUBSTITUTE("dd"&amp;B1474&amp;C1474&amp;D1474&amp;E1474&amp;F1474,".","_"),"(","_"),")","")</f>
        <v>dd801_4_2</v>
      </c>
      <c r="W1474" s="9"/>
      <c r="X1474" s="700"/>
      <c r="Y1474" s="891" t="str">
        <f>IF(LEN('Ch8'!X78)=0,"None",'Ch8'!X78)</f>
        <v>None</v>
      </c>
      <c r="Z1474" s="892"/>
      <c r="AC1474" t="b">
        <f>OR(AD1474:AE1474)</f>
        <v>0</v>
      </c>
      <c r="AD1474" t="b">
        <f>T1474</f>
        <v>0</v>
      </c>
      <c r="AE1474" t="b">
        <f>AND(R1474,OR(W1474="Not Met",W1474=""))</f>
        <v>0</v>
      </c>
      <c r="AF1474" t="b">
        <f>AND(AE1474,NOT(Q1474))</f>
        <v>0</v>
      </c>
      <c r="AL1474" t="str">
        <f t="shared" si="466"/>
        <v>vpa801_4_2</v>
      </c>
      <c r="AM1474" t="str">
        <f>M1474</f>
        <v>1
3 Max</v>
      </c>
      <c r="AN1474" t="str">
        <f t="shared" si="467"/>
        <v>vpc801_4_2</v>
      </c>
      <c r="AO1474">
        <f ca="1">O1474</f>
        <v>0</v>
      </c>
      <c r="AP1474" t="str">
        <f t="shared" si="468"/>
        <v>vch801_4_2</v>
      </c>
      <c r="AQ1474">
        <f>W1474</f>
        <v>0</v>
      </c>
      <c r="AR1474" t="str">
        <f t="shared" si="469"/>
        <v>vnt801_4_2</v>
      </c>
      <c r="AS1474">
        <f>X1474</f>
        <v>0</v>
      </c>
      <c r="BJ1474" s="573" t="s">
        <v>4670</v>
      </c>
    </row>
    <row r="1475" spans="1:62" x14ac:dyDescent="0.35">
      <c r="A1475" s="403">
        <v>8</v>
      </c>
      <c r="B1475" s="609" t="s">
        <v>882</v>
      </c>
      <c r="C1475" s="604"/>
      <c r="D1475" s="604"/>
      <c r="E1475" s="604"/>
      <c r="F1475" s="604"/>
      <c r="G1475" s="403" t="str">
        <f t="shared" ref="G1475:G1476" ca="1" si="470">G1474</f>
        <v/>
      </c>
      <c r="H1475" s="403" t="s">
        <v>4325</v>
      </c>
      <c r="I1475" s="32"/>
      <c r="J1475" s="4"/>
      <c r="K1475" s="4"/>
      <c r="L1475" s="706"/>
      <c r="M1475" s="737"/>
      <c r="N1475" s="696"/>
      <c r="O1475" s="696"/>
      <c r="X1475" s="688"/>
      <c r="Y1475" s="891"/>
      <c r="Z1475" s="892"/>
      <c r="BJ1475" s="573" t="s">
        <v>4670</v>
      </c>
    </row>
    <row r="1476" spans="1:62" ht="15" thickBot="1" x14ac:dyDescent="0.4">
      <c r="A1476" s="403">
        <v>8</v>
      </c>
      <c r="B1476" s="609" t="s">
        <v>882</v>
      </c>
      <c r="C1476" s="604"/>
      <c r="D1476" s="604"/>
      <c r="E1476" s="604"/>
      <c r="F1476" s="604"/>
      <c r="G1476" s="403" t="str">
        <f t="shared" ca="1" si="470"/>
        <v/>
      </c>
      <c r="H1476" s="403" t="s">
        <v>4325</v>
      </c>
      <c r="I1476" s="132"/>
      <c r="J1476" s="183"/>
      <c r="K1476" s="183"/>
      <c r="L1476" s="273" t="s">
        <v>884</v>
      </c>
      <c r="M1476" s="800"/>
      <c r="N1476" s="695"/>
      <c r="O1476" s="695"/>
      <c r="P1476" s="58"/>
      <c r="Q1476" s="58"/>
      <c r="R1476" s="58"/>
      <c r="S1476" s="58"/>
      <c r="T1476" s="58"/>
      <c r="U1476" s="58"/>
      <c r="V1476" s="58"/>
      <c r="W1476" s="58"/>
      <c r="X1476" s="689"/>
      <c r="Y1476" s="905"/>
      <c r="Z1476" s="895"/>
      <c r="BJ1476" s="573" t="s">
        <v>4670</v>
      </c>
    </row>
    <row r="1477" spans="1:62" ht="15" thickTop="1" x14ac:dyDescent="0.35">
      <c r="A1477" s="403">
        <v>8</v>
      </c>
      <c r="B1477" s="609">
        <v>801.5</v>
      </c>
      <c r="C1477" s="604"/>
      <c r="D1477" s="604"/>
      <c r="E1477" s="604"/>
      <c r="F1477" s="604"/>
      <c r="G1477" s="403" t="s">
        <v>4326</v>
      </c>
      <c r="H1477" s="403" t="s">
        <v>4325</v>
      </c>
      <c r="I1477" s="32">
        <v>801.5</v>
      </c>
      <c r="J1477" s="4"/>
      <c r="K1477" s="4"/>
      <c r="L1477" s="783" t="s">
        <v>885</v>
      </c>
      <c r="M1477" s="43"/>
      <c r="N1477" s="85"/>
      <c r="O1477" s="85"/>
      <c r="Z1477" s="543"/>
      <c r="BJ1477" s="573" t="s">
        <v>4670</v>
      </c>
    </row>
    <row r="1478" spans="1:62" x14ac:dyDescent="0.35">
      <c r="A1478" s="403">
        <v>8</v>
      </c>
      <c r="B1478" s="609">
        <v>801.5</v>
      </c>
      <c r="C1478" s="604"/>
      <c r="D1478" s="604"/>
      <c r="E1478" s="604"/>
      <c r="F1478" s="604"/>
      <c r="G1478" s="403" t="s">
        <v>4326</v>
      </c>
      <c r="H1478" s="403" t="s">
        <v>4325</v>
      </c>
      <c r="I1478" s="32"/>
      <c r="J1478" s="4"/>
      <c r="K1478" s="4"/>
      <c r="L1478" s="783"/>
      <c r="M1478" s="43"/>
      <c r="N1478" s="85"/>
      <c r="O1478" s="85"/>
      <c r="Z1478" s="543"/>
      <c r="BJ1478" s="573" t="s">
        <v>4670</v>
      </c>
    </row>
    <row r="1479" spans="1:62" x14ac:dyDescent="0.35">
      <c r="A1479" s="403">
        <v>8</v>
      </c>
      <c r="B1479" s="609">
        <v>801.5</v>
      </c>
      <c r="C1479" s="604"/>
      <c r="D1479" s="604"/>
      <c r="E1479" s="604" t="s">
        <v>270</v>
      </c>
      <c r="F1479" s="604"/>
      <c r="G1479" s="403" t="s">
        <v>4326</v>
      </c>
      <c r="H1479" s="403" t="s">
        <v>4325</v>
      </c>
      <c r="I1479" s="32"/>
      <c r="J1479" s="19" t="s">
        <v>270</v>
      </c>
      <c r="K1479" s="4"/>
      <c r="L1479" s="723" t="s">
        <v>886</v>
      </c>
      <c r="M1479" s="796" t="str">
        <f ca="1">IF(O1487&gt;0,"Met","Gold/Emerald not available")</f>
        <v>Met</v>
      </c>
      <c r="N1479" s="85"/>
      <c r="O1479" s="85"/>
      <c r="X1479" s="688"/>
      <c r="Y1479" s="891" t="str">
        <f>IF(LEN('Ch8'!X83)=0,"None",'Ch8'!X83)</f>
        <v>None</v>
      </c>
      <c r="Z1479" s="892"/>
      <c r="AR1479" t="str">
        <f>SUBSTITUTE(SUBSTITUTE(SUBSTITUTE("vnt"&amp;$B1479&amp;$C1479&amp;$D1479&amp;$E1479&amp;$F1479,".","_"),"(","_"),")","")</f>
        <v>vnt801_5_1</v>
      </c>
      <c r="AS1479">
        <f>X1479</f>
        <v>0</v>
      </c>
      <c r="BJ1479" s="573" t="s">
        <v>4670</v>
      </c>
    </row>
    <row r="1480" spans="1:62" x14ac:dyDescent="0.35">
      <c r="A1480" s="403">
        <v>8</v>
      </c>
      <c r="B1480" s="609">
        <v>801.5</v>
      </c>
      <c r="C1480" s="604"/>
      <c r="D1480" s="604"/>
      <c r="E1480" s="604"/>
      <c r="F1480" s="604"/>
      <c r="G1480" s="403" t="s">
        <v>4326</v>
      </c>
      <c r="H1480" s="403" t="s">
        <v>4325</v>
      </c>
      <c r="I1480" s="32"/>
      <c r="J1480" s="148"/>
      <c r="K1480" s="155"/>
      <c r="L1480" s="724"/>
      <c r="M1480" s="797"/>
      <c r="N1480" s="342"/>
      <c r="O1480" s="342"/>
      <c r="X1480" s="688"/>
      <c r="Y1480" s="891"/>
      <c r="Z1480" s="892"/>
      <c r="BJ1480" s="573" t="s">
        <v>4670</v>
      </c>
    </row>
    <row r="1481" spans="1:62" x14ac:dyDescent="0.35">
      <c r="A1481" s="403">
        <v>8</v>
      </c>
      <c r="B1481" s="609">
        <v>801.5</v>
      </c>
      <c r="C1481" s="604"/>
      <c r="D1481" s="604"/>
      <c r="E1481" s="604" t="s">
        <v>272</v>
      </c>
      <c r="F1481" s="604"/>
      <c r="G1481" s="403" t="str">
        <f ca="1">IF(N1481&gt;0,"P","")</f>
        <v>P</v>
      </c>
      <c r="H1481" s="403" t="s">
        <v>4325</v>
      </c>
      <c r="I1481" s="32"/>
      <c r="J1481" s="19" t="s">
        <v>272</v>
      </c>
      <c r="K1481" s="4"/>
      <c r="L1481" s="707" t="s">
        <v>887</v>
      </c>
      <c r="M1481" s="736" t="s">
        <v>3841</v>
      </c>
      <c r="N1481" s="696">
        <f ca="1">'Ch8'!O85</f>
        <v>4</v>
      </c>
      <c r="O1481" s="696">
        <f ca="1">IFERROR(2*MATCH(W1481,INDIRECT(U1481),0),0)*S1481</f>
        <v>6</v>
      </c>
      <c r="P1481" t="b">
        <v>0</v>
      </c>
      <c r="Q1481" t="b">
        <v>1</v>
      </c>
      <c r="R1481" t="b">
        <v>0</v>
      </c>
      <c r="S1481" t="b">
        <v>1</v>
      </c>
      <c r="T1481" t="b">
        <f>IF(AND(NOT(S1481),LEN(W1481)&gt;0),TRUE,FALSE)</f>
        <v>0</v>
      </c>
      <c r="U1481" t="str">
        <f>SUBSTITUTE(SUBSTITUTE(SUBSTITUTE("dd"&amp;B1481&amp;C1481&amp;D1481&amp;E1481&amp;F1481,".","_"),"(","_"),")","")</f>
        <v>dd801_5_2</v>
      </c>
      <c r="W1481" s="9" t="s">
        <v>3840</v>
      </c>
      <c r="X1481" s="688"/>
      <c r="Y1481" s="891" t="str">
        <f>IF(LEN('Ch8'!X85)=0,"None",'Ch8'!X85)</f>
        <v>Niagara Corp. Original</v>
      </c>
      <c r="Z1481" s="892"/>
      <c r="AC1481" t="b">
        <f>OR(AD1481:AE1481)</f>
        <v>0</v>
      </c>
      <c r="AD1481" t="b">
        <f>T1481</f>
        <v>0</v>
      </c>
      <c r="AE1481" t="b">
        <f>AND(R1481,OR(W1481="Not Met",W1481=""))</f>
        <v>0</v>
      </c>
      <c r="AF1481" t="b">
        <f>AND(AE1481,NOT(Q1481))</f>
        <v>0</v>
      </c>
      <c r="AL1481" t="str">
        <f t="shared" ref="AL1481" si="471">SUBSTITUTE(SUBSTITUTE(SUBSTITUTE("vpa"&amp;$B1481&amp;$C1481&amp;$D1481&amp;$E1481&amp;$F1481,".","_"),"(","_"),")","")</f>
        <v>vpa801_5_2</v>
      </c>
      <c r="AM1481" t="str">
        <f>M1481</f>
        <v>2 
6 Max</v>
      </c>
      <c r="AN1481" t="str">
        <f>SUBSTITUTE(SUBSTITUTE(SUBSTITUTE("vpc"&amp;$B1481&amp;$C1481&amp;$D1481&amp;$E1481&amp;$F1481,".","_"),"(","_"),")","")</f>
        <v>vpc801_5_2</v>
      </c>
      <c r="AO1481">
        <f ca="1">O1481</f>
        <v>6</v>
      </c>
      <c r="AP1481" t="str">
        <f>SUBSTITUTE(SUBSTITUTE(SUBSTITUTE("vch"&amp;$B1481&amp;$C1481&amp;$D1481&amp;$E1481&amp;$F1481,".","_"),"(","_"),")","")</f>
        <v>vch801_5_2</v>
      </c>
      <c r="AQ1481" t="str">
        <f>W1481</f>
        <v>3+ fixtures</v>
      </c>
      <c r="AR1481" t="str">
        <f>SUBSTITUTE(SUBSTITUTE(SUBSTITUTE("vnt"&amp;$B1481&amp;$C1481&amp;$D1481&amp;$E1481&amp;$F1481,".","_"),"(","_"),")","")</f>
        <v>vnt801_5_2</v>
      </c>
      <c r="AS1481">
        <f>X1481</f>
        <v>0</v>
      </c>
      <c r="BJ1481" s="573" t="s">
        <v>4670</v>
      </c>
    </row>
    <row r="1482" spans="1:62" x14ac:dyDescent="0.35">
      <c r="A1482" s="403">
        <v>8</v>
      </c>
      <c r="B1482" s="609">
        <v>801.5</v>
      </c>
      <c r="C1482" s="604"/>
      <c r="D1482" s="604"/>
      <c r="E1482" s="604" t="s">
        <v>272</v>
      </c>
      <c r="F1482" s="604"/>
      <c r="G1482" s="403" t="str">
        <f t="shared" ref="G1482:G1486" ca="1" si="472">G1481</f>
        <v>P</v>
      </c>
      <c r="H1482" s="403" t="s">
        <v>4325</v>
      </c>
      <c r="I1482" s="32"/>
      <c r="J1482" s="4"/>
      <c r="K1482" s="4"/>
      <c r="L1482" s="707"/>
      <c r="M1482" s="736"/>
      <c r="N1482" s="696"/>
      <c r="O1482" s="696"/>
      <c r="X1482" s="688"/>
      <c r="Y1482" s="891"/>
      <c r="Z1482" s="892"/>
      <c r="BJ1482" s="573" t="s">
        <v>4670</v>
      </c>
    </row>
    <row r="1483" spans="1:62" x14ac:dyDescent="0.35">
      <c r="A1483" s="403">
        <v>8</v>
      </c>
      <c r="B1483" s="609">
        <v>801.5</v>
      </c>
      <c r="C1483" s="604"/>
      <c r="D1483" s="604"/>
      <c r="E1483" s="604" t="s">
        <v>272</v>
      </c>
      <c r="F1483" s="604"/>
      <c r="G1483" s="403" t="str">
        <f t="shared" ca="1" si="472"/>
        <v>P</v>
      </c>
      <c r="H1483" s="403" t="s">
        <v>4325</v>
      </c>
      <c r="I1483" s="32"/>
      <c r="J1483" s="4"/>
      <c r="K1483" s="4"/>
      <c r="L1483" s="707"/>
      <c r="M1483" s="736"/>
      <c r="N1483" s="696"/>
      <c r="O1483" s="696"/>
      <c r="X1483" s="688"/>
      <c r="Y1483" s="891"/>
      <c r="Z1483" s="892"/>
      <c r="BJ1483" s="573" t="s">
        <v>4670</v>
      </c>
    </row>
    <row r="1484" spans="1:62" x14ac:dyDescent="0.35">
      <c r="A1484" s="403">
        <v>8</v>
      </c>
      <c r="B1484" s="609">
        <v>801.5</v>
      </c>
      <c r="C1484" s="604"/>
      <c r="D1484" s="604"/>
      <c r="E1484" s="604" t="s">
        <v>272</v>
      </c>
      <c r="F1484" s="604"/>
      <c r="G1484" s="403" t="str">
        <f t="shared" ca="1" si="472"/>
        <v>P</v>
      </c>
      <c r="H1484" s="403" t="s">
        <v>4325</v>
      </c>
      <c r="I1484" s="32"/>
      <c r="J1484" s="4"/>
      <c r="K1484" s="4"/>
      <c r="L1484" s="752" t="s">
        <v>888</v>
      </c>
      <c r="M1484" s="43"/>
      <c r="N1484" s="85"/>
      <c r="O1484" s="85"/>
      <c r="X1484" s="688"/>
      <c r="Y1484" s="891"/>
      <c r="Z1484" s="892"/>
      <c r="BJ1484" s="573" t="s">
        <v>4670</v>
      </c>
    </row>
    <row r="1485" spans="1:62" x14ac:dyDescent="0.35">
      <c r="A1485" s="403">
        <v>8</v>
      </c>
      <c r="B1485" s="609">
        <v>801.5</v>
      </c>
      <c r="C1485" s="604"/>
      <c r="D1485" s="604"/>
      <c r="E1485" s="604" t="s">
        <v>272</v>
      </c>
      <c r="F1485" s="604"/>
      <c r="G1485" s="403" t="str">
        <f t="shared" ca="1" si="472"/>
        <v>P</v>
      </c>
      <c r="H1485" s="403" t="s">
        <v>4325</v>
      </c>
      <c r="I1485" s="32"/>
      <c r="J1485" s="4"/>
      <c r="K1485" s="4"/>
      <c r="L1485" s="752"/>
      <c r="M1485" s="43"/>
      <c r="N1485" s="85"/>
      <c r="O1485" s="85"/>
      <c r="X1485" s="688"/>
      <c r="Y1485" s="891"/>
      <c r="Z1485" s="892"/>
      <c r="BJ1485" s="573" t="s">
        <v>4670</v>
      </c>
    </row>
    <row r="1486" spans="1:62" x14ac:dyDescent="0.35">
      <c r="A1486" s="403">
        <v>8</v>
      </c>
      <c r="B1486" s="609">
        <v>801.5</v>
      </c>
      <c r="C1486" s="604"/>
      <c r="D1486" s="604"/>
      <c r="E1486" s="604" t="s">
        <v>272</v>
      </c>
      <c r="F1486" s="604"/>
      <c r="G1486" s="403" t="str">
        <f t="shared" ca="1" si="472"/>
        <v>P</v>
      </c>
      <c r="H1486" s="403" t="s">
        <v>4325</v>
      </c>
      <c r="I1486" s="32"/>
      <c r="J1486" s="155"/>
      <c r="K1486" s="155"/>
      <c r="L1486" s="790"/>
      <c r="M1486" s="198"/>
      <c r="N1486" s="342"/>
      <c r="O1486" s="342"/>
      <c r="X1486" s="688"/>
      <c r="Y1486" s="891"/>
      <c r="Z1486" s="892"/>
      <c r="BJ1486" s="573" t="s">
        <v>4670</v>
      </c>
    </row>
    <row r="1487" spans="1:62" x14ac:dyDescent="0.35">
      <c r="A1487" s="403">
        <v>8</v>
      </c>
      <c r="B1487" s="609">
        <v>801.5</v>
      </c>
      <c r="C1487" s="604"/>
      <c r="D1487" s="604"/>
      <c r="E1487" s="604" t="s">
        <v>274</v>
      </c>
      <c r="F1487" s="604"/>
      <c r="G1487" s="403" t="str">
        <f ca="1">IF(N1487&gt;0,"P","")</f>
        <v>P</v>
      </c>
      <c r="H1487" s="403" t="s">
        <v>4325</v>
      </c>
      <c r="I1487" s="32"/>
      <c r="J1487" s="148" t="s">
        <v>274</v>
      </c>
      <c r="K1487" s="155"/>
      <c r="L1487" s="214" t="s">
        <v>889</v>
      </c>
      <c r="M1487" s="280">
        <f ca="1">11-O1481</f>
        <v>5</v>
      </c>
      <c r="N1487" s="342">
        <f ca="1">'Ch8'!O91</f>
        <v>7</v>
      </c>
      <c r="O1487" s="342">
        <f ca="1">M1487*W1487*S1487</f>
        <v>5</v>
      </c>
      <c r="P1487" t="b">
        <v>0</v>
      </c>
      <c r="Q1487" t="b">
        <v>1</v>
      </c>
      <c r="R1487" t="b">
        <v>0</v>
      </c>
      <c r="S1487" t="b">
        <f>LEN(W1481)&gt;0</f>
        <v>1</v>
      </c>
      <c r="T1487" t="b">
        <f>IF(AND(NOT(S1487),W1487=TRUE),TRUE,FALSE)</f>
        <v>0</v>
      </c>
      <c r="W1487" s="17" t="b">
        <v>1</v>
      </c>
      <c r="X1487" s="39"/>
      <c r="Y1487" s="200" t="str">
        <f>IF(LEN('Ch8'!X91)=0,"None",'Ch8'!X91)</f>
        <v>None</v>
      </c>
      <c r="Z1487" s="563"/>
      <c r="AC1487" t="b">
        <f>OR(AD1487:AE1487)</f>
        <v>0</v>
      </c>
      <c r="AD1487" t="b">
        <f>T1487</f>
        <v>0</v>
      </c>
      <c r="AE1487" t="b">
        <v>0</v>
      </c>
      <c r="AF1487" t="b">
        <f>AND(AE1487,NOT(Q1487))</f>
        <v>0</v>
      </c>
      <c r="AL1487" t="str">
        <f t="shared" ref="AL1487" si="473">SUBSTITUTE(SUBSTITUTE(SUBSTITUTE("vpa"&amp;$B1487&amp;$C1487&amp;$D1487&amp;$E1487&amp;$F1487,".","_"),"(","_"),")","")</f>
        <v>vpa801_5_3</v>
      </c>
      <c r="AM1487">
        <f ca="1">M1487</f>
        <v>5</v>
      </c>
      <c r="AN1487" t="str">
        <f>SUBSTITUTE(SUBSTITUTE(SUBSTITUTE("vpc"&amp;$B1487&amp;$C1487&amp;$D1487&amp;$E1487&amp;$F1487,".","_"),"(","_"),")","")</f>
        <v>vpc801_5_3</v>
      </c>
      <c r="AO1487">
        <f ca="1">O1487</f>
        <v>5</v>
      </c>
      <c r="AP1487" t="str">
        <f>SUBSTITUTE(SUBSTITUTE(SUBSTITUTE("vch"&amp;$B1487&amp;$C1487&amp;$D1487&amp;$E1487&amp;$F1487,".","_"),"(","_"),")","")</f>
        <v>vch801_5_3</v>
      </c>
      <c r="AQ1487" t="b">
        <f>W1487</f>
        <v>1</v>
      </c>
      <c r="AR1487" t="str">
        <f>SUBSTITUTE(SUBSTITUTE(SUBSTITUTE("vnt"&amp;$B1487&amp;$C1487&amp;$D1487&amp;$E1487&amp;$F1487,".","_"),"(","_"),")","")</f>
        <v>vnt801_5_3</v>
      </c>
      <c r="AS1487">
        <f>X1487</f>
        <v>0</v>
      </c>
      <c r="BJ1487" s="573" t="s">
        <v>4670</v>
      </c>
    </row>
    <row r="1488" spans="1:62" x14ac:dyDescent="0.35">
      <c r="A1488" s="403">
        <v>8</v>
      </c>
      <c r="B1488" s="609">
        <v>801.5</v>
      </c>
      <c r="C1488" s="604"/>
      <c r="D1488" s="604"/>
      <c r="E1488" s="604" t="s">
        <v>283</v>
      </c>
      <c r="F1488" s="604"/>
      <c r="G1488" s="600" t="str">
        <f ca="1">IF(COUNTIF(G1490:G1496,"P")&gt;0,"P","")</f>
        <v/>
      </c>
      <c r="H1488" s="403" t="s">
        <v>4325</v>
      </c>
      <c r="I1488" s="32"/>
      <c r="J1488" s="19" t="s">
        <v>283</v>
      </c>
      <c r="K1488" s="4"/>
      <c r="L1488" s="707" t="s">
        <v>890</v>
      </c>
      <c r="M1488" s="43"/>
      <c r="N1488" s="85"/>
      <c r="O1488" s="85"/>
      <c r="Z1488" s="543"/>
      <c r="BJ1488" s="573" t="s">
        <v>4670</v>
      </c>
    </row>
    <row r="1489" spans="1:62" x14ac:dyDescent="0.35">
      <c r="A1489" s="403">
        <v>8</v>
      </c>
      <c r="B1489" s="609">
        <v>801.5</v>
      </c>
      <c r="C1489" s="604"/>
      <c r="D1489" s="604"/>
      <c r="E1489" s="604" t="s">
        <v>283</v>
      </c>
      <c r="F1489" s="604"/>
      <c r="G1489" s="403" t="str">
        <f t="shared" ref="G1489" ca="1" si="474">G1488</f>
        <v/>
      </c>
      <c r="H1489" s="403" t="s">
        <v>4325</v>
      </c>
      <c r="I1489" s="32"/>
      <c r="J1489" s="4"/>
      <c r="K1489" s="4"/>
      <c r="L1489" s="707"/>
      <c r="M1489" s="43"/>
      <c r="N1489" s="85"/>
      <c r="O1489" s="85"/>
      <c r="Z1489" s="543"/>
      <c r="BJ1489" s="573" t="s">
        <v>4670</v>
      </c>
    </row>
    <row r="1490" spans="1:62" x14ac:dyDescent="0.35">
      <c r="A1490" s="403">
        <v>8</v>
      </c>
      <c r="B1490" s="609">
        <v>801.5</v>
      </c>
      <c r="C1490" s="604"/>
      <c r="D1490" s="604"/>
      <c r="E1490" s="604" t="s">
        <v>283</v>
      </c>
      <c r="F1490" s="604" t="s">
        <v>121</v>
      </c>
      <c r="G1490" s="403" t="str">
        <f ca="1">IF(N1490&gt;0,"P","")</f>
        <v/>
      </c>
      <c r="H1490" s="605" t="s">
        <v>4325</v>
      </c>
      <c r="I1490" s="4"/>
      <c r="J1490" s="4"/>
      <c r="K1490" s="19" t="s">
        <v>121</v>
      </c>
      <c r="L1490" s="104" t="s">
        <v>891</v>
      </c>
      <c r="M1490" s="736" t="s">
        <v>3842</v>
      </c>
      <c r="N1490" s="696">
        <f ca="1">'Ch8'!O94</f>
        <v>0</v>
      </c>
      <c r="O1490" s="696">
        <f ca="1">IFERROR(MATCH(W1490,INDIRECT(U1490),0),0)*S1490</f>
        <v>0</v>
      </c>
      <c r="P1490" t="b">
        <v>0</v>
      </c>
      <c r="Q1490" t="b">
        <v>1</v>
      </c>
      <c r="R1490" t="b">
        <v>0</v>
      </c>
      <c r="S1490" t="b">
        <f>AND(W1487=TRUE,S1487)</f>
        <v>1</v>
      </c>
      <c r="T1490" t="b">
        <f>IF(AND(NOT(S1490),LEN(W1490)&gt;0),TRUE,FALSE)</f>
        <v>0</v>
      </c>
      <c r="U1490" t="str">
        <f>SUBSTITUTE(SUBSTITUTE(SUBSTITUTE("dd"&amp;B1490&amp;C1490&amp;D1490&amp;E1490&amp;F1490,".","_"),"(","_"),")","")</f>
        <v>dd801_5_4_a</v>
      </c>
      <c r="W1490" s="9"/>
      <c r="X1490" s="688"/>
      <c r="Y1490" s="891" t="str">
        <f>IF(LEN('Ch8'!X94)=0,"None",'Ch8'!X94)</f>
        <v>None</v>
      </c>
      <c r="Z1490" s="892"/>
      <c r="AC1490" t="b">
        <f>OR(AD1490:AE1490)</f>
        <v>0</v>
      </c>
      <c r="AD1490" t="b">
        <f>T1490</f>
        <v>0</v>
      </c>
      <c r="AE1490" t="b">
        <f>AND(R1490,OR(W1490="Not Met",W1490=""))</f>
        <v>0</v>
      </c>
      <c r="AF1490" t="b">
        <f>AND(AE1490,NOT(Q1490))</f>
        <v>0</v>
      </c>
      <c r="AL1490" t="str">
        <f t="shared" ref="AL1490" si="475">SUBSTITUTE(SUBSTITUTE(SUBSTITUTE("vpa"&amp;$B1490&amp;$C1490&amp;$D1490&amp;$E1490&amp;$F1490,".","_"),"(","_"),")","")</f>
        <v>vpa801_5_4_a</v>
      </c>
      <c r="AM1490" t="str">
        <f>M1490</f>
        <v>1 Additional
3 Max</v>
      </c>
      <c r="AN1490" t="str">
        <f>SUBSTITUTE(SUBSTITUTE(SUBSTITUTE("vpc"&amp;$B1490&amp;$C1490&amp;$D1490&amp;$E1490&amp;$F1490,".","_"),"(","_"),")","")</f>
        <v>vpc801_5_4_a</v>
      </c>
      <c r="AO1490">
        <f ca="1">O1490</f>
        <v>0</v>
      </c>
      <c r="AP1490" t="str">
        <f>SUBSTITUTE(SUBSTITUTE(SUBSTITUTE("vch"&amp;$B1490&amp;$C1490&amp;$D1490&amp;$E1490&amp;$F1490,".","_"),"(","_"),")","")</f>
        <v>vch801_5_4_a</v>
      </c>
      <c r="AQ1490">
        <f>W1490</f>
        <v>0</v>
      </c>
      <c r="AR1490" t="str">
        <f>SUBSTITUTE(SUBSTITUTE(SUBSTITUTE("vnt"&amp;$B1490&amp;$C1490&amp;$D1490&amp;$E1490&amp;$F1490,".","_"),"(","_"),")","")</f>
        <v>vnt801_5_4_a</v>
      </c>
      <c r="AS1490">
        <f>X1490</f>
        <v>0</v>
      </c>
      <c r="BJ1490" s="573" t="s">
        <v>4670</v>
      </c>
    </row>
    <row r="1491" spans="1:62" x14ac:dyDescent="0.35">
      <c r="A1491" s="403">
        <v>8</v>
      </c>
      <c r="B1491" s="609">
        <v>801.5</v>
      </c>
      <c r="C1491" s="604"/>
      <c r="D1491" s="604"/>
      <c r="E1491" s="604" t="s">
        <v>283</v>
      </c>
      <c r="F1491" s="604" t="s">
        <v>121</v>
      </c>
      <c r="G1491" s="403" t="str">
        <f t="shared" ref="G1491:G1493" ca="1" si="476">G1490</f>
        <v/>
      </c>
      <c r="H1491" s="605" t="s">
        <v>4325</v>
      </c>
      <c r="I1491" s="4"/>
      <c r="J1491" s="4"/>
      <c r="K1491" s="4"/>
      <c r="L1491" s="752" t="s">
        <v>893</v>
      </c>
      <c r="M1491" s="798"/>
      <c r="N1491" s="696"/>
      <c r="O1491" s="696"/>
      <c r="X1491" s="688"/>
      <c r="Y1491" s="891"/>
      <c r="Z1491" s="892"/>
      <c r="BJ1491" s="573" t="s">
        <v>4670</v>
      </c>
    </row>
    <row r="1492" spans="1:62" x14ac:dyDescent="0.35">
      <c r="A1492" s="403">
        <v>8</v>
      </c>
      <c r="B1492" s="609">
        <v>801.5</v>
      </c>
      <c r="C1492" s="604"/>
      <c r="D1492" s="604"/>
      <c r="E1492" s="604" t="s">
        <v>283</v>
      </c>
      <c r="F1492" s="604" t="s">
        <v>121</v>
      </c>
      <c r="G1492" s="403" t="str">
        <f t="shared" ca="1" si="476"/>
        <v/>
      </c>
      <c r="H1492" s="605" t="s">
        <v>4325</v>
      </c>
      <c r="I1492" s="4"/>
      <c r="J1492" s="4"/>
      <c r="K1492" s="4"/>
      <c r="L1492" s="752"/>
      <c r="M1492" s="798"/>
      <c r="N1492" s="696"/>
      <c r="O1492" s="696"/>
      <c r="X1492" s="688"/>
      <c r="Y1492" s="891"/>
      <c r="Z1492" s="892"/>
      <c r="BJ1492" s="573" t="s">
        <v>4670</v>
      </c>
    </row>
    <row r="1493" spans="1:62" x14ac:dyDescent="0.35">
      <c r="A1493" s="403">
        <v>8</v>
      </c>
      <c r="B1493" s="609">
        <v>801.5</v>
      </c>
      <c r="C1493" s="604"/>
      <c r="D1493" s="604"/>
      <c r="E1493" s="604" t="s">
        <v>283</v>
      </c>
      <c r="F1493" s="604" t="s">
        <v>121</v>
      </c>
      <c r="G1493" s="403" t="str">
        <f t="shared" ca="1" si="476"/>
        <v/>
      </c>
      <c r="H1493" s="605" t="s">
        <v>4325</v>
      </c>
      <c r="I1493" s="4"/>
      <c r="J1493" s="4"/>
      <c r="K1493" s="155"/>
      <c r="L1493" s="790"/>
      <c r="M1493" s="799"/>
      <c r="N1493" s="697"/>
      <c r="O1493" s="697"/>
      <c r="X1493" s="688"/>
      <c r="Y1493" s="891"/>
      <c r="Z1493" s="892"/>
      <c r="BJ1493" s="573" t="s">
        <v>4670</v>
      </c>
    </row>
    <row r="1494" spans="1:62" x14ac:dyDescent="0.35">
      <c r="A1494" s="403">
        <v>8</v>
      </c>
      <c r="B1494" s="609">
        <v>801.5</v>
      </c>
      <c r="C1494" s="604"/>
      <c r="D1494" s="604"/>
      <c r="E1494" s="604" t="s">
        <v>283</v>
      </c>
      <c r="F1494" s="604" t="s">
        <v>122</v>
      </c>
      <c r="G1494" s="403" t="str">
        <f>IF(N1494&gt;0,"P","")</f>
        <v/>
      </c>
      <c r="H1494" s="605" t="s">
        <v>4325</v>
      </c>
      <c r="I1494" s="4"/>
      <c r="J1494" s="4"/>
      <c r="K1494" s="19" t="s">
        <v>122</v>
      </c>
      <c r="L1494" s="707" t="s">
        <v>894</v>
      </c>
      <c r="M1494" s="690" t="s">
        <v>892</v>
      </c>
      <c r="N1494" s="696">
        <f>'Ch8'!O98</f>
        <v>0</v>
      </c>
      <c r="O1494" s="696">
        <f>1*W1494*S1494</f>
        <v>0</v>
      </c>
      <c r="P1494" t="b">
        <v>0</v>
      </c>
      <c r="Q1494" t="b">
        <v>1</v>
      </c>
      <c r="R1494" t="b">
        <v>0</v>
      </c>
      <c r="S1494" t="b">
        <f>AND(W1487=TRUE,S1487)</f>
        <v>1</v>
      </c>
      <c r="T1494" t="b">
        <f>IF(AND(NOT(S1494),W1494=TRUE),TRUE,FALSE)</f>
        <v>0</v>
      </c>
      <c r="W1494" s="17"/>
      <c r="X1494" s="688"/>
      <c r="Y1494" s="891" t="str">
        <f>IF(LEN('Ch8'!X98)=0,"None",'Ch8'!X98)</f>
        <v>None</v>
      </c>
      <c r="Z1494" s="892"/>
      <c r="AC1494" t="b">
        <f>OR(AD1494:AE1494)</f>
        <v>0</v>
      </c>
      <c r="AD1494" t="b">
        <f>T1494</f>
        <v>0</v>
      </c>
      <c r="AE1494" t="b">
        <v>0</v>
      </c>
      <c r="AF1494" t="b">
        <f>AND(AE1494,NOT(Q1494))</f>
        <v>0</v>
      </c>
      <c r="AL1494" t="str">
        <f t="shared" ref="AL1494" si="477">SUBSTITUTE(SUBSTITUTE(SUBSTITUTE("vpa"&amp;$B1494&amp;$C1494&amp;$D1494&amp;$E1494&amp;$F1494,".","_"),"(","_"),")","")</f>
        <v>vpa801_5_4_b</v>
      </c>
      <c r="AM1494" t="str">
        <f>M1494</f>
        <v>1 Additional</v>
      </c>
      <c r="AN1494" t="str">
        <f>SUBSTITUTE(SUBSTITUTE(SUBSTITUTE("vpc"&amp;$B1494&amp;$C1494&amp;$D1494&amp;$E1494&amp;$F1494,".","_"),"(","_"),")","")</f>
        <v>vpc801_5_4_b</v>
      </c>
      <c r="AO1494">
        <f>O1494</f>
        <v>0</v>
      </c>
      <c r="AP1494" t="str">
        <f>SUBSTITUTE(SUBSTITUTE(SUBSTITUTE("vch"&amp;$B1494&amp;$C1494&amp;$D1494&amp;$E1494&amp;$F1494,".","_"),"(","_"),")","")</f>
        <v>vch801_5_4_b</v>
      </c>
      <c r="AQ1494">
        <f>W1494</f>
        <v>0</v>
      </c>
      <c r="AR1494" t="str">
        <f>SUBSTITUTE(SUBSTITUTE(SUBSTITUTE("vnt"&amp;$B1494&amp;$C1494&amp;$D1494&amp;$E1494&amp;$F1494,".","_"),"(","_"),")","")</f>
        <v>vnt801_5_4_b</v>
      </c>
      <c r="AS1494">
        <f>X1494</f>
        <v>0</v>
      </c>
      <c r="BJ1494" s="573" t="s">
        <v>4670</v>
      </c>
    </row>
    <row r="1495" spans="1:62" x14ac:dyDescent="0.35">
      <c r="A1495" s="403">
        <v>8</v>
      </c>
      <c r="B1495" s="609">
        <v>801.5</v>
      </c>
      <c r="C1495" s="604"/>
      <c r="D1495" s="604"/>
      <c r="E1495" s="604" t="s">
        <v>283</v>
      </c>
      <c r="F1495" s="604" t="s">
        <v>122</v>
      </c>
      <c r="G1495" s="403" t="str">
        <f t="shared" ref="G1495" si="478">G1494</f>
        <v/>
      </c>
      <c r="H1495" s="605" t="s">
        <v>4325</v>
      </c>
      <c r="I1495" s="4"/>
      <c r="J1495" s="4"/>
      <c r="K1495" s="148"/>
      <c r="L1495" s="709"/>
      <c r="M1495" s="691"/>
      <c r="N1495" s="697"/>
      <c r="O1495" s="697"/>
      <c r="X1495" s="688"/>
      <c r="Y1495" s="891"/>
      <c r="Z1495" s="892"/>
      <c r="BJ1495" s="573" t="s">
        <v>4670</v>
      </c>
    </row>
    <row r="1496" spans="1:62" ht="15" thickBot="1" x14ac:dyDescent="0.4">
      <c r="A1496" s="403">
        <v>8</v>
      </c>
      <c r="B1496" s="609">
        <v>801.5</v>
      </c>
      <c r="C1496" s="604"/>
      <c r="D1496" s="604"/>
      <c r="E1496" s="604" t="s">
        <v>283</v>
      </c>
      <c r="F1496" s="604" t="s">
        <v>123</v>
      </c>
      <c r="G1496" s="403" t="str">
        <f>IF(N1496&gt;0,"P","")</f>
        <v/>
      </c>
      <c r="H1496" s="605" t="s">
        <v>4325</v>
      </c>
      <c r="I1496" s="183"/>
      <c r="J1496" s="183"/>
      <c r="K1496" s="133" t="s">
        <v>123</v>
      </c>
      <c r="L1496" s="223" t="s">
        <v>895</v>
      </c>
      <c r="M1496" s="270" t="s">
        <v>896</v>
      </c>
      <c r="N1496" s="184">
        <f>'Ch8'!O100</f>
        <v>0</v>
      </c>
      <c r="O1496" s="184">
        <f>6*S1496*W1496</f>
        <v>0</v>
      </c>
      <c r="P1496" t="b">
        <v>0</v>
      </c>
      <c r="Q1496" t="b">
        <v>1</v>
      </c>
      <c r="R1496" s="58" t="b">
        <v>0</v>
      </c>
      <c r="S1496" s="58" t="b">
        <f>AND(W1487=TRUE,S1487)</f>
        <v>1</v>
      </c>
      <c r="T1496" s="58" t="b">
        <f>IF(AND(NOT(S1496),W1496=TRUE),TRUE,FALSE)</f>
        <v>0</v>
      </c>
      <c r="U1496" s="58"/>
      <c r="V1496" s="58"/>
      <c r="W1496" s="59"/>
      <c r="X1496" s="113"/>
      <c r="Y1496" s="201" t="str">
        <f>IF(LEN('Ch8'!X100)=0,"None",'Ch8'!X100)</f>
        <v>None</v>
      </c>
      <c r="Z1496" s="567"/>
      <c r="AC1496" t="b">
        <f>OR(AD1496:AE1496)</f>
        <v>0</v>
      </c>
      <c r="AD1496" t="b">
        <f>T1496</f>
        <v>0</v>
      </c>
      <c r="AE1496" t="b">
        <v>0</v>
      </c>
      <c r="AF1496" t="b">
        <f>AND(AE1496,NOT(Q1496))</f>
        <v>0</v>
      </c>
      <c r="AL1496" t="str">
        <f t="shared" ref="AL1496" si="479">SUBSTITUTE(SUBSTITUTE(SUBSTITUTE("vpa"&amp;$B1496&amp;$C1496&amp;$D1496&amp;$E1496&amp;$F1496,".","_"),"(","_"),")","")</f>
        <v>vpa801_5_4_c</v>
      </c>
      <c r="AM1496" t="str">
        <f>M1496</f>
        <v>6 Additional</v>
      </c>
      <c r="AN1496" t="str">
        <f>SUBSTITUTE(SUBSTITUTE(SUBSTITUTE("vpc"&amp;$B1496&amp;$C1496&amp;$D1496&amp;$E1496&amp;$F1496,".","_"),"(","_"),")","")</f>
        <v>vpc801_5_4_c</v>
      </c>
      <c r="AO1496">
        <f>O1496</f>
        <v>0</v>
      </c>
      <c r="AP1496" t="str">
        <f>SUBSTITUTE(SUBSTITUTE(SUBSTITUTE("vch"&amp;$B1496&amp;$C1496&amp;$D1496&amp;$E1496&amp;$F1496,".","_"),"(","_"),")","")</f>
        <v>vch801_5_4_c</v>
      </c>
      <c r="AQ1496">
        <f>W1496</f>
        <v>0</v>
      </c>
      <c r="AR1496" t="str">
        <f>SUBSTITUTE(SUBSTITUTE(SUBSTITUTE("vnt"&amp;$B1496&amp;$C1496&amp;$D1496&amp;$E1496&amp;$F1496,".","_"),"(","_"),")","")</f>
        <v>vnt801_5_4_c</v>
      </c>
      <c r="AS1496">
        <f>X1496</f>
        <v>0</v>
      </c>
      <c r="BJ1496" s="573" t="s">
        <v>4670</v>
      </c>
    </row>
    <row r="1497" spans="1:62" ht="15" thickTop="1" x14ac:dyDescent="0.35">
      <c r="A1497" s="403">
        <v>8</v>
      </c>
      <c r="B1497" s="609">
        <v>801.6</v>
      </c>
      <c r="C1497" s="604"/>
      <c r="D1497" s="604"/>
      <c r="E1497" s="604"/>
      <c r="F1497" s="604"/>
      <c r="G1497" s="600" t="str">
        <f ca="1">IF(COUNTIF(G1498:G1519,"P")&gt;0,"P","")</f>
        <v>P</v>
      </c>
      <c r="H1497" s="403" t="s">
        <v>4325</v>
      </c>
      <c r="I1497" s="32">
        <v>801.6</v>
      </c>
      <c r="J1497" s="4"/>
      <c r="K1497" s="4"/>
      <c r="L1497" s="110" t="s">
        <v>897</v>
      </c>
      <c r="M1497" s="43"/>
      <c r="N1497" s="85"/>
      <c r="O1497" s="85"/>
      <c r="W1497" s="119"/>
      <c r="Z1497" s="543"/>
      <c r="BJ1497" s="573" t="s">
        <v>4670</v>
      </c>
    </row>
    <row r="1498" spans="1:62" x14ac:dyDescent="0.35">
      <c r="A1498" s="403">
        <v>8</v>
      </c>
      <c r="B1498" s="609" t="s">
        <v>898</v>
      </c>
      <c r="C1498" s="604"/>
      <c r="D1498" s="604"/>
      <c r="E1498" s="604"/>
      <c r="F1498" s="604"/>
      <c r="G1498" s="403" t="str">
        <f>IF(N1498&gt;0,"P","")</f>
        <v/>
      </c>
      <c r="H1498" s="403" t="s">
        <v>4325</v>
      </c>
      <c r="I1498" s="32" t="s">
        <v>898</v>
      </c>
      <c r="J1498" s="4"/>
      <c r="K1498" s="4"/>
      <c r="L1498" s="706" t="s">
        <v>899</v>
      </c>
      <c r="M1498" s="690">
        <v>6</v>
      </c>
      <c r="N1498" s="696">
        <f>'Ch8'!O102</f>
        <v>0</v>
      </c>
      <c r="O1498" s="696">
        <f>6*S1498*W1498</f>
        <v>0</v>
      </c>
      <c r="P1498" t="b">
        <v>0</v>
      </c>
      <c r="Q1498" t="b">
        <v>1</v>
      </c>
      <c r="R1498" t="b">
        <v>0</v>
      </c>
      <c r="S1498" t="b">
        <f>NOT(W1515=TRUE)</f>
        <v>1</v>
      </c>
      <c r="T1498" t="b">
        <f>IF(AND(NOT(S1498),W1498=TRUE),TRUE,FALSE)</f>
        <v>0</v>
      </c>
      <c r="W1498" s="17"/>
      <c r="X1498" s="688"/>
      <c r="Y1498" s="891" t="str">
        <f>IF(LEN('Ch8'!X102)=0,"None",'Ch8'!X102)</f>
        <v>None</v>
      </c>
      <c r="Z1498" s="892"/>
      <c r="AC1498" t="b">
        <f>OR(AD1498:AE1498)</f>
        <v>0</v>
      </c>
      <c r="AD1498" t="b">
        <f>T1498</f>
        <v>0</v>
      </c>
      <c r="AE1498" t="b">
        <v>0</v>
      </c>
      <c r="AF1498" t="b">
        <f>AND(AE1498,NOT(Q1498))</f>
        <v>0</v>
      </c>
      <c r="AL1498" t="str">
        <f t="shared" ref="AL1498" si="480">SUBSTITUTE(SUBSTITUTE(SUBSTITUTE("vpa"&amp;$B1498&amp;$C1498&amp;$D1498&amp;$E1498&amp;$F1498,".","_"),"(","_"),")","")</f>
        <v>vpa801_6_1</v>
      </c>
      <c r="AM1498">
        <f>M1498</f>
        <v>6</v>
      </c>
      <c r="AN1498" t="str">
        <f>SUBSTITUTE(SUBSTITUTE(SUBSTITUTE("vpc"&amp;$B1498&amp;$C1498&amp;$D1498&amp;$E1498&amp;$F1498,".","_"),"(","_"),")","")</f>
        <v>vpc801_6_1</v>
      </c>
      <c r="AO1498">
        <f>O1498</f>
        <v>0</v>
      </c>
      <c r="AP1498" t="str">
        <f>SUBSTITUTE(SUBSTITUTE(SUBSTITUTE("vch"&amp;$B1498&amp;$C1498&amp;$D1498&amp;$E1498&amp;$F1498,".","_"),"(","_"),")","")</f>
        <v>vch801_6_1</v>
      </c>
      <c r="AQ1498">
        <f>W1498</f>
        <v>0</v>
      </c>
      <c r="AR1498" t="str">
        <f>SUBSTITUTE(SUBSTITUTE(SUBSTITUTE("vnt"&amp;$B1498&amp;$C1498&amp;$D1498&amp;$E1498&amp;$F1498,".","_"),"(","_"),")","")</f>
        <v>vnt801_6_1</v>
      </c>
      <c r="AS1498">
        <f>X1498</f>
        <v>0</v>
      </c>
      <c r="BJ1498" s="573" t="s">
        <v>4670</v>
      </c>
    </row>
    <row r="1499" spans="1:62" x14ac:dyDescent="0.35">
      <c r="A1499" s="403">
        <v>8</v>
      </c>
      <c r="B1499" s="609" t="s">
        <v>898</v>
      </c>
      <c r="C1499" s="604"/>
      <c r="D1499" s="604"/>
      <c r="E1499" s="604"/>
      <c r="F1499" s="604"/>
      <c r="G1499" s="403" t="str">
        <f t="shared" ref="G1499:G1500" si="481">G1498</f>
        <v/>
      </c>
      <c r="H1499" s="403" t="s">
        <v>4325</v>
      </c>
      <c r="I1499" s="32"/>
      <c r="J1499" s="4"/>
      <c r="K1499" s="4"/>
      <c r="L1499" s="706"/>
      <c r="M1499" s="690"/>
      <c r="N1499" s="696"/>
      <c r="O1499" s="696"/>
      <c r="X1499" s="688"/>
      <c r="Y1499" s="891"/>
      <c r="Z1499" s="892"/>
      <c r="BJ1499" s="573" t="s">
        <v>4670</v>
      </c>
    </row>
    <row r="1500" spans="1:62" x14ac:dyDescent="0.35">
      <c r="A1500" s="403">
        <v>8</v>
      </c>
      <c r="B1500" s="609" t="s">
        <v>898</v>
      </c>
      <c r="C1500" s="604"/>
      <c r="D1500" s="604"/>
      <c r="E1500" s="604"/>
      <c r="F1500" s="604"/>
      <c r="G1500" s="403" t="str">
        <f t="shared" si="481"/>
        <v/>
      </c>
      <c r="H1500" s="403" t="s">
        <v>4325</v>
      </c>
      <c r="I1500" s="161"/>
      <c r="J1500" s="155"/>
      <c r="K1500" s="155"/>
      <c r="L1500" s="739"/>
      <c r="M1500" s="691"/>
      <c r="N1500" s="697"/>
      <c r="O1500" s="697"/>
      <c r="P1500" s="119"/>
      <c r="Q1500" s="119"/>
      <c r="R1500" s="119"/>
      <c r="S1500" s="119"/>
      <c r="T1500" s="119"/>
      <c r="U1500" s="119"/>
      <c r="V1500" s="119"/>
      <c r="W1500" s="368"/>
      <c r="X1500" s="688"/>
      <c r="Y1500" s="891"/>
      <c r="Z1500" s="892"/>
      <c r="BJ1500" s="573" t="s">
        <v>4670</v>
      </c>
    </row>
    <row r="1501" spans="1:62" x14ac:dyDescent="0.35">
      <c r="A1501" s="403">
        <v>8</v>
      </c>
      <c r="B1501" s="609" t="s">
        <v>900</v>
      </c>
      <c r="C1501" s="604"/>
      <c r="D1501" s="604"/>
      <c r="E1501" s="604"/>
      <c r="F1501" s="604"/>
      <c r="G1501" s="600" t="str">
        <f>IF(COUNTIF(G1502:G1504,"P")&gt;0,"P","")</f>
        <v/>
      </c>
      <c r="H1501" s="403" t="s">
        <v>4325</v>
      </c>
      <c r="I1501" s="32" t="s">
        <v>900</v>
      </c>
      <c r="J1501" s="4"/>
      <c r="K1501" s="4"/>
      <c r="L1501" s="110" t="s">
        <v>901</v>
      </c>
      <c r="M1501" s="43"/>
      <c r="N1501" s="85"/>
      <c r="O1501" s="85"/>
      <c r="Z1501" s="543"/>
      <c r="BJ1501" s="573" t="s">
        <v>4670</v>
      </c>
    </row>
    <row r="1502" spans="1:62" x14ac:dyDescent="0.35">
      <c r="A1502" s="403">
        <v>8</v>
      </c>
      <c r="B1502" s="609" t="s">
        <v>900</v>
      </c>
      <c r="C1502" s="604"/>
      <c r="D1502" s="604"/>
      <c r="E1502" s="604" t="s">
        <v>270</v>
      </c>
      <c r="F1502" s="604"/>
      <c r="G1502" s="403" t="str">
        <f>IF(N1502&gt;0,"P","")</f>
        <v/>
      </c>
      <c r="H1502" s="403" t="s">
        <v>4325</v>
      </c>
      <c r="I1502" s="32"/>
      <c r="J1502" s="148" t="s">
        <v>270</v>
      </c>
      <c r="K1502" s="155"/>
      <c r="L1502" s="214" t="s">
        <v>902</v>
      </c>
      <c r="M1502" s="198">
        <v>4</v>
      </c>
      <c r="N1502" s="342">
        <f>'Ch8'!O106</f>
        <v>0</v>
      </c>
      <c r="O1502" s="342">
        <f>M1502*S1502*W1502</f>
        <v>0</v>
      </c>
      <c r="P1502" t="b">
        <v>0</v>
      </c>
      <c r="Q1502" t="b">
        <v>1</v>
      </c>
      <c r="R1502" t="b">
        <v>0</v>
      </c>
      <c r="S1502" t="b">
        <f>NOT(W1515=TRUE)</f>
        <v>1</v>
      </c>
      <c r="T1502" t="b">
        <f>IF(AND(NOT(S1502),W1502=TRUE),TRUE,FALSE)</f>
        <v>0</v>
      </c>
      <c r="W1502" s="17"/>
      <c r="X1502" s="39"/>
      <c r="Y1502" s="200" t="str">
        <f>IF(LEN('Ch8'!X106)=0,"None",'Ch8'!X106)</f>
        <v>None</v>
      </c>
      <c r="Z1502" s="563"/>
      <c r="AC1502" t="b">
        <f>OR(AD1502:AE1502)</f>
        <v>0</v>
      </c>
      <c r="AD1502" t="b">
        <f>T1502</f>
        <v>0</v>
      </c>
      <c r="AE1502" t="b">
        <v>0</v>
      </c>
      <c r="AF1502" t="b">
        <f>AND(AE1502,NOT(Q1502))</f>
        <v>0</v>
      </c>
      <c r="AL1502" t="str">
        <f t="shared" ref="AL1502:AL1504" si="482">SUBSTITUTE(SUBSTITUTE(SUBSTITUTE("vpa"&amp;$B1502&amp;$C1502&amp;$D1502&amp;$E1502&amp;$F1502,".","_"),"(","_"),")","")</f>
        <v>vpa801_6_2_1</v>
      </c>
      <c r="AM1502">
        <f>M1502</f>
        <v>4</v>
      </c>
      <c r="AN1502" t="str">
        <f t="shared" ref="AN1502:AN1504" si="483">SUBSTITUTE(SUBSTITUTE(SUBSTITUTE("vpc"&amp;$B1502&amp;$C1502&amp;$D1502&amp;$E1502&amp;$F1502,".","_"),"(","_"),")","")</f>
        <v>vpc801_6_2_1</v>
      </c>
      <c r="AO1502">
        <f>O1502</f>
        <v>0</v>
      </c>
      <c r="AP1502" t="str">
        <f t="shared" ref="AP1502:AP1504" si="484">SUBSTITUTE(SUBSTITUTE(SUBSTITUTE("vch"&amp;$B1502&amp;$C1502&amp;$D1502&amp;$E1502&amp;$F1502,".","_"),"(","_"),")","")</f>
        <v>vch801_6_2_1</v>
      </c>
      <c r="AQ1502">
        <f>W1502</f>
        <v>0</v>
      </c>
      <c r="AR1502" t="str">
        <f t="shared" ref="AR1502:AR1504" si="485">SUBSTITUTE(SUBSTITUTE(SUBSTITUTE("vnt"&amp;$B1502&amp;$C1502&amp;$D1502&amp;$E1502&amp;$F1502,".","_"),"(","_"),")","")</f>
        <v>vnt801_6_2_1</v>
      </c>
      <c r="AS1502">
        <f>X1502</f>
        <v>0</v>
      </c>
      <c r="BJ1502" s="573" t="s">
        <v>4670</v>
      </c>
    </row>
    <row r="1503" spans="1:62" x14ac:dyDescent="0.35">
      <c r="A1503" s="403">
        <v>8</v>
      </c>
      <c r="B1503" s="609" t="s">
        <v>900</v>
      </c>
      <c r="C1503" s="604"/>
      <c r="D1503" s="604"/>
      <c r="E1503" s="604" t="s">
        <v>272</v>
      </c>
      <c r="F1503" s="604"/>
      <c r="G1503" s="403" t="str">
        <f>IF(N1503&gt;0,"P","")</f>
        <v/>
      </c>
      <c r="H1503" s="403" t="s">
        <v>4325</v>
      </c>
      <c r="I1503" s="32"/>
      <c r="J1503" s="148" t="s">
        <v>272</v>
      </c>
      <c r="K1503" s="155"/>
      <c r="L1503" s="214" t="s">
        <v>903</v>
      </c>
      <c r="M1503" s="198">
        <v>4</v>
      </c>
      <c r="N1503" s="342">
        <f>'Ch8'!O107</f>
        <v>0</v>
      </c>
      <c r="O1503" s="342">
        <f>M1503*S1503*W1503</f>
        <v>0</v>
      </c>
      <c r="P1503" t="b">
        <v>0</v>
      </c>
      <c r="Q1503" t="b">
        <v>1</v>
      </c>
      <c r="R1503" t="b">
        <v>0</v>
      </c>
      <c r="S1503" t="b">
        <f>NOT(W1515=TRUE)</f>
        <v>1</v>
      </c>
      <c r="T1503" t="b">
        <f>IF(AND(NOT(S1503),W1503=TRUE),TRUE,FALSE)</f>
        <v>0</v>
      </c>
      <c r="W1503" s="17"/>
      <c r="X1503" s="39"/>
      <c r="Y1503" s="200" t="str">
        <f>IF(LEN('Ch8'!X107)=0,"None",'Ch8'!X107)</f>
        <v>None</v>
      </c>
      <c r="Z1503" s="563"/>
      <c r="AC1503" t="b">
        <f>OR(AD1503:AE1503)</f>
        <v>0</v>
      </c>
      <c r="AD1503" t="b">
        <f>T1503</f>
        <v>0</v>
      </c>
      <c r="AE1503" t="b">
        <v>0</v>
      </c>
      <c r="AF1503" t="b">
        <f>AND(AE1503,NOT(Q1503))</f>
        <v>0</v>
      </c>
      <c r="AL1503" t="str">
        <f t="shared" si="482"/>
        <v>vpa801_6_2_2</v>
      </c>
      <c r="AM1503">
        <f>M1503</f>
        <v>4</v>
      </c>
      <c r="AN1503" t="str">
        <f t="shared" si="483"/>
        <v>vpc801_6_2_2</v>
      </c>
      <c r="AO1503">
        <f>O1503</f>
        <v>0</v>
      </c>
      <c r="AP1503" t="str">
        <f t="shared" si="484"/>
        <v>vch801_6_2_2</v>
      </c>
      <c r="AQ1503">
        <f>W1503</f>
        <v>0</v>
      </c>
      <c r="AR1503" t="str">
        <f t="shared" si="485"/>
        <v>vnt801_6_2_2</v>
      </c>
      <c r="AS1503">
        <f>X1503</f>
        <v>0</v>
      </c>
      <c r="BJ1503" s="573" t="s">
        <v>4670</v>
      </c>
    </row>
    <row r="1504" spans="1:62" x14ac:dyDescent="0.35">
      <c r="A1504" s="403">
        <v>8</v>
      </c>
      <c r="B1504" s="609" t="s">
        <v>900</v>
      </c>
      <c r="C1504" s="604"/>
      <c r="D1504" s="604"/>
      <c r="E1504" s="604" t="s">
        <v>274</v>
      </c>
      <c r="F1504" s="604"/>
      <c r="G1504" s="403" t="str">
        <f>IF(N1504&gt;0,"P","")</f>
        <v/>
      </c>
      <c r="H1504" s="403" t="s">
        <v>4325</v>
      </c>
      <c r="I1504" s="32"/>
      <c r="J1504" s="19" t="s">
        <v>274</v>
      </c>
      <c r="K1504" s="4"/>
      <c r="L1504" s="707" t="s">
        <v>904</v>
      </c>
      <c r="M1504" s="690">
        <v>5</v>
      </c>
      <c r="N1504" s="696">
        <f>'Ch8'!O108</f>
        <v>0</v>
      </c>
      <c r="O1504" s="696">
        <f>M1504*S1504*W1504</f>
        <v>0</v>
      </c>
      <c r="P1504" t="b">
        <v>0</v>
      </c>
      <c r="Q1504" t="b">
        <v>1</v>
      </c>
      <c r="R1504" t="b">
        <v>0</v>
      </c>
      <c r="S1504" t="b">
        <f>AND(W1502=TRUE,NOT(W1515=TRUE))</f>
        <v>0</v>
      </c>
      <c r="T1504" t="b">
        <f>IF(AND(NOT(S1504),W1504=TRUE),TRUE,FALSE)</f>
        <v>0</v>
      </c>
      <c r="W1504" s="17"/>
      <c r="X1504" s="688"/>
      <c r="Y1504" s="891" t="str">
        <f>IF(LEN('Ch8'!X108)=0,"None",'Ch8'!X108)</f>
        <v>None</v>
      </c>
      <c r="Z1504" s="892"/>
      <c r="AC1504" t="b">
        <f>OR(AD1504:AE1504)</f>
        <v>0</v>
      </c>
      <c r="AD1504" t="b">
        <f>T1504</f>
        <v>0</v>
      </c>
      <c r="AE1504" t="b">
        <v>0</v>
      </c>
      <c r="AF1504" t="b">
        <f>AND(AE1504,NOT(Q1504))</f>
        <v>0</v>
      </c>
      <c r="AL1504" t="str">
        <f t="shared" si="482"/>
        <v>vpa801_6_2_3</v>
      </c>
      <c r="AM1504">
        <f>M1504</f>
        <v>5</v>
      </c>
      <c r="AN1504" t="str">
        <f t="shared" si="483"/>
        <v>vpc801_6_2_3</v>
      </c>
      <c r="AO1504">
        <f>O1504</f>
        <v>0</v>
      </c>
      <c r="AP1504" t="str">
        <f t="shared" si="484"/>
        <v>vch801_6_2_3</v>
      </c>
      <c r="AQ1504">
        <f>W1504</f>
        <v>0</v>
      </c>
      <c r="AR1504" t="str">
        <f t="shared" si="485"/>
        <v>vnt801_6_2_3</v>
      </c>
      <c r="AS1504">
        <f>X1504</f>
        <v>0</v>
      </c>
      <c r="BJ1504" s="573" t="s">
        <v>4670</v>
      </c>
    </row>
    <row r="1505" spans="1:62" x14ac:dyDescent="0.35">
      <c r="A1505" s="403">
        <v>8</v>
      </c>
      <c r="B1505" s="609" t="s">
        <v>900</v>
      </c>
      <c r="C1505" s="604"/>
      <c r="D1505" s="604"/>
      <c r="E1505" s="604" t="s">
        <v>274</v>
      </c>
      <c r="F1505" s="604"/>
      <c r="G1505" s="403" t="str">
        <f t="shared" ref="G1505" si="486">G1504</f>
        <v/>
      </c>
      <c r="H1505" s="403" t="s">
        <v>4325</v>
      </c>
      <c r="I1505" s="161"/>
      <c r="J1505" s="155"/>
      <c r="K1505" s="155"/>
      <c r="L1505" s="709"/>
      <c r="M1505" s="691"/>
      <c r="N1505" s="697"/>
      <c r="O1505" s="697"/>
      <c r="P1505" s="119"/>
      <c r="Q1505" s="119"/>
      <c r="R1505" s="119"/>
      <c r="S1505" s="119"/>
      <c r="T1505" s="119"/>
      <c r="U1505" s="119"/>
      <c r="V1505" s="119"/>
      <c r="W1505" s="119"/>
      <c r="X1505" s="688"/>
      <c r="Y1505" s="891"/>
      <c r="Z1505" s="892"/>
      <c r="BJ1505" s="573" t="s">
        <v>4670</v>
      </c>
    </row>
    <row r="1506" spans="1:62" x14ac:dyDescent="0.35">
      <c r="A1506" s="403">
        <v>8</v>
      </c>
      <c r="B1506" s="609" t="s">
        <v>905</v>
      </c>
      <c r="C1506" s="604"/>
      <c r="D1506" s="604"/>
      <c r="E1506" s="604"/>
      <c r="F1506" s="604"/>
      <c r="G1506" s="403" t="s">
        <v>4326</v>
      </c>
      <c r="H1506" s="403" t="s">
        <v>4325</v>
      </c>
      <c r="I1506" s="32" t="s">
        <v>905</v>
      </c>
      <c r="J1506" s="4"/>
      <c r="K1506" s="4"/>
      <c r="L1506" s="706" t="s">
        <v>906</v>
      </c>
      <c r="M1506" s="740" t="str">
        <f>IF(R1506,"Mandatory","N/A")</f>
        <v>Mandatory</v>
      </c>
      <c r="N1506" s="85"/>
      <c r="O1506" s="85"/>
      <c r="P1506" t="b">
        <v>0</v>
      </c>
      <c r="Q1506" t="b">
        <v>1</v>
      </c>
      <c r="R1506" t="b">
        <f>NOT(W1515=TRUE)</f>
        <v>1</v>
      </c>
      <c r="S1506" t="b">
        <v>1</v>
      </c>
      <c r="T1506" t="b">
        <v>0</v>
      </c>
      <c r="U1506" t="str">
        <f>SUBSTITUTE(SUBSTITUTE(SUBSTITUTE("dd"&amp;B1506&amp;C1506&amp;D1506&amp;E1506&amp;F1506,".","_"),"(","_"),")","")</f>
        <v>dd801_6_3</v>
      </c>
      <c r="W1506" s="9" t="s">
        <v>3241</v>
      </c>
      <c r="X1506" s="688"/>
      <c r="Y1506" s="891" t="str">
        <f>IF(LEN('Ch8'!X110)=0,"None",'Ch8'!X110)</f>
        <v>None</v>
      </c>
      <c r="Z1506" s="892"/>
      <c r="AC1506" t="b">
        <f>OR(AD1506:AE1506)</f>
        <v>0</v>
      </c>
      <c r="AD1506" t="b">
        <f>T1506</f>
        <v>0</v>
      </c>
      <c r="AE1506" t="b">
        <f>AND(R1506,NOT(W1506="Met"),NOT(W1506="N/A"))</f>
        <v>0</v>
      </c>
      <c r="AF1506" t="b">
        <f>AND(AE1506,NOT(Q1506))</f>
        <v>0</v>
      </c>
      <c r="AP1506" t="str">
        <f>SUBSTITUTE(SUBSTITUTE(SUBSTITUTE("vch"&amp;$B1506&amp;$C1506&amp;$D1506&amp;$E1506&amp;$F1506,".","_"),"(","_"),")","")</f>
        <v>vch801_6_3</v>
      </c>
      <c r="AQ1506" t="str">
        <f>W1506</f>
        <v>N/A</v>
      </c>
      <c r="AR1506" t="str">
        <f>SUBSTITUTE(SUBSTITUTE(SUBSTITUTE("vnt"&amp;$B1506&amp;$C1506&amp;$D1506&amp;$E1506&amp;$F1506,".","_"),"(","_"),")","")</f>
        <v>vnt801_6_3</v>
      </c>
      <c r="AS1506">
        <f>X1506</f>
        <v>0</v>
      </c>
      <c r="BJ1506" s="573" t="s">
        <v>4670</v>
      </c>
    </row>
    <row r="1507" spans="1:62" x14ac:dyDescent="0.35">
      <c r="A1507" s="403">
        <v>8</v>
      </c>
      <c r="B1507" s="609" t="s">
        <v>905</v>
      </c>
      <c r="C1507" s="604"/>
      <c r="D1507" s="604"/>
      <c r="E1507" s="604"/>
      <c r="F1507" s="604"/>
      <c r="G1507" s="403" t="s">
        <v>4326</v>
      </c>
      <c r="H1507" s="403" t="s">
        <v>4325</v>
      </c>
      <c r="I1507" s="32"/>
      <c r="J1507" s="4"/>
      <c r="K1507" s="4"/>
      <c r="L1507" s="706"/>
      <c r="M1507" s="740"/>
      <c r="N1507" s="85"/>
      <c r="O1507" s="85"/>
      <c r="X1507" s="688"/>
      <c r="Y1507" s="891"/>
      <c r="Z1507" s="892"/>
      <c r="BJ1507" s="573" t="s">
        <v>4670</v>
      </c>
    </row>
    <row r="1508" spans="1:62" x14ac:dyDescent="0.35">
      <c r="A1508" s="403">
        <v>8</v>
      </c>
      <c r="B1508" s="609" t="s">
        <v>905</v>
      </c>
      <c r="C1508" s="604"/>
      <c r="D1508" s="604"/>
      <c r="E1508" s="604"/>
      <c r="F1508" s="604"/>
      <c r="G1508" s="403" t="s">
        <v>4326</v>
      </c>
      <c r="H1508" s="403" t="s">
        <v>4325</v>
      </c>
      <c r="I1508" s="161"/>
      <c r="J1508" s="155"/>
      <c r="K1508" s="155"/>
      <c r="L1508" s="739"/>
      <c r="M1508" s="741"/>
      <c r="N1508" s="342"/>
      <c r="O1508" s="342"/>
      <c r="P1508" s="119"/>
      <c r="Q1508" s="119"/>
      <c r="R1508" s="119"/>
      <c r="S1508" s="119"/>
      <c r="T1508" s="119"/>
      <c r="U1508" s="119"/>
      <c r="V1508" s="119"/>
      <c r="W1508" s="368"/>
      <c r="X1508" s="688"/>
      <c r="Y1508" s="891"/>
      <c r="Z1508" s="892"/>
      <c r="BJ1508" s="573" t="s">
        <v>4670</v>
      </c>
    </row>
    <row r="1509" spans="1:62" x14ac:dyDescent="0.35">
      <c r="A1509" s="403">
        <v>8</v>
      </c>
      <c r="B1509" s="609" t="s">
        <v>907</v>
      </c>
      <c r="C1509" s="604"/>
      <c r="D1509" s="604"/>
      <c r="E1509" s="604"/>
      <c r="F1509" s="604"/>
      <c r="G1509" s="600" t="str">
        <f ca="1">IF(COUNTIF(G1512:G1515,"P")&gt;0,"P","")</f>
        <v>P</v>
      </c>
      <c r="H1509" s="403" t="s">
        <v>4325</v>
      </c>
      <c r="I1509" s="32" t="s">
        <v>907</v>
      </c>
      <c r="J1509" s="4"/>
      <c r="K1509" s="4"/>
      <c r="L1509" s="783" t="s">
        <v>908</v>
      </c>
      <c r="M1509" s="43"/>
      <c r="N1509" s="85"/>
      <c r="O1509" s="85"/>
      <c r="Z1509" s="543"/>
      <c r="BJ1509" s="573" t="s">
        <v>4670</v>
      </c>
    </row>
    <row r="1510" spans="1:62" x14ac:dyDescent="0.35">
      <c r="A1510" s="403">
        <v>8</v>
      </c>
      <c r="B1510" s="609" t="s">
        <v>907</v>
      </c>
      <c r="C1510" s="604"/>
      <c r="D1510" s="604"/>
      <c r="E1510" s="604"/>
      <c r="F1510" s="604"/>
      <c r="G1510" s="403" t="str">
        <f t="shared" ref="G1510:G1511" ca="1" si="487">G1509</f>
        <v>P</v>
      </c>
      <c r="H1510" s="403" t="s">
        <v>4325</v>
      </c>
      <c r="I1510" s="32"/>
      <c r="J1510" s="4"/>
      <c r="K1510" s="4"/>
      <c r="L1510" s="783"/>
      <c r="M1510" s="43"/>
      <c r="N1510" s="85"/>
      <c r="O1510" s="85"/>
      <c r="Z1510" s="543"/>
      <c r="BJ1510" s="573" t="s">
        <v>4670</v>
      </c>
    </row>
    <row r="1511" spans="1:62" x14ac:dyDescent="0.35">
      <c r="A1511" s="403">
        <v>8</v>
      </c>
      <c r="B1511" s="609" t="s">
        <v>907</v>
      </c>
      <c r="C1511" s="604"/>
      <c r="D1511" s="604"/>
      <c r="E1511" s="604"/>
      <c r="F1511" s="604"/>
      <c r="G1511" s="403" t="str">
        <f t="shared" ca="1" si="487"/>
        <v>P</v>
      </c>
      <c r="H1511" s="403" t="s">
        <v>4325</v>
      </c>
      <c r="I1511" s="32"/>
      <c r="J1511" s="4"/>
      <c r="K1511" s="4"/>
      <c r="L1511" s="107" t="s">
        <v>909</v>
      </c>
      <c r="M1511" s="43"/>
      <c r="N1511" s="85"/>
      <c r="O1511" s="85"/>
      <c r="Z1511" s="543"/>
      <c r="BJ1511" s="573" t="s">
        <v>4670</v>
      </c>
    </row>
    <row r="1512" spans="1:62" x14ac:dyDescent="0.35">
      <c r="A1512" s="403">
        <v>8</v>
      </c>
      <c r="B1512" s="609" t="s">
        <v>907</v>
      </c>
      <c r="C1512" s="604"/>
      <c r="D1512" s="604"/>
      <c r="E1512" s="604" t="s">
        <v>270</v>
      </c>
      <c r="F1512" s="604"/>
      <c r="G1512" s="403" t="str">
        <f>IF(N1512&gt;0,"P","")</f>
        <v/>
      </c>
      <c r="H1512" s="403" t="s">
        <v>4325</v>
      </c>
      <c r="I1512" s="32"/>
      <c r="J1512" s="19" t="s">
        <v>270</v>
      </c>
      <c r="K1512" s="4"/>
      <c r="L1512" s="707" t="s">
        <v>910</v>
      </c>
      <c r="M1512" s="690">
        <v>8</v>
      </c>
      <c r="N1512" s="696">
        <f>'Ch8'!O116</f>
        <v>0</v>
      </c>
      <c r="O1512" s="696">
        <f>MAX(M1512*S1512*W1512,M1514*S1514*W1514)</f>
        <v>0</v>
      </c>
      <c r="P1512" t="b">
        <v>0</v>
      </c>
      <c r="Q1512" t="b">
        <v>1</v>
      </c>
      <c r="R1512" t="b">
        <v>0</v>
      </c>
      <c r="S1512" t="b">
        <f>NOT(W1515=TRUE)</f>
        <v>1</v>
      </c>
      <c r="T1512" t="b">
        <f>IF(AND(NOT(S1512),W1512=TRUE),TRUE,FALSE)</f>
        <v>0</v>
      </c>
      <c r="W1512" s="17"/>
      <c r="X1512" s="688"/>
      <c r="Y1512" s="891" t="str">
        <f>IF(LEN('Ch8'!X116)=0,"None",'Ch8'!X116)</f>
        <v>None</v>
      </c>
      <c r="Z1512" s="892"/>
      <c r="AC1512" t="b">
        <f>OR(AD1512:AE1512)</f>
        <v>0</v>
      </c>
      <c r="AD1512" t="b">
        <f>T1512</f>
        <v>0</v>
      </c>
      <c r="AE1512" t="b">
        <v>0</v>
      </c>
      <c r="AF1512" t="b">
        <f>AND(AE1512,NOT(Q1512))</f>
        <v>0</v>
      </c>
      <c r="AL1512" t="str">
        <f t="shared" ref="AL1512" si="488">SUBSTITUTE(SUBSTITUTE(SUBSTITUTE("vpa"&amp;$B1512&amp;$C1512&amp;$D1512&amp;$E1512&amp;$F1512,".","_"),"(","_"),")","")</f>
        <v>vpa801_6_4_1</v>
      </c>
      <c r="AM1512">
        <f>M1512</f>
        <v>8</v>
      </c>
      <c r="AN1512" t="str">
        <f>SUBSTITUTE(SUBSTITUTE(SUBSTITUTE("vpc"&amp;$B1512&amp;$C1512&amp;$D1512&amp;$E1512&amp;$F1512,".","_"),"(","_"),")","")</f>
        <v>vpc801_6_4_1</v>
      </c>
      <c r="AO1512">
        <f>O1512</f>
        <v>0</v>
      </c>
      <c r="AP1512" t="str">
        <f>SUBSTITUTE(SUBSTITUTE(SUBSTITUTE("vch"&amp;$B1512&amp;$C1512&amp;$D1512&amp;$E1512&amp;$F1512,".","_"),"(","_"),")","")</f>
        <v>vch801_6_4_1</v>
      </c>
      <c r="AQ1512">
        <f>W1512</f>
        <v>0</v>
      </c>
      <c r="AR1512" t="str">
        <f>SUBSTITUTE(SUBSTITUTE(SUBSTITUTE("vnt"&amp;$B1512&amp;$C1512&amp;$D1512&amp;$E1512&amp;$F1512,".","_"),"(","_"),")","")</f>
        <v>vnt801_6_4_1</v>
      </c>
      <c r="AS1512">
        <f>X1512</f>
        <v>0</v>
      </c>
      <c r="BJ1512" s="573" t="s">
        <v>4670</v>
      </c>
    </row>
    <row r="1513" spans="1:62" x14ac:dyDescent="0.35">
      <c r="A1513" s="403">
        <v>8</v>
      </c>
      <c r="B1513" s="609" t="s">
        <v>907</v>
      </c>
      <c r="C1513" s="604"/>
      <c r="D1513" s="604"/>
      <c r="E1513" s="604" t="s">
        <v>270</v>
      </c>
      <c r="F1513" s="604"/>
      <c r="G1513" s="403" t="str">
        <f t="shared" ref="G1513:G1514" si="489">G1512</f>
        <v/>
      </c>
      <c r="H1513" s="403" t="s">
        <v>4325</v>
      </c>
      <c r="I1513" s="32"/>
      <c r="J1513" s="155"/>
      <c r="K1513" s="155"/>
      <c r="L1513" s="709"/>
      <c r="M1513" s="691"/>
      <c r="N1513" s="696"/>
      <c r="O1513" s="696"/>
      <c r="X1513" s="688"/>
      <c r="Y1513" s="891"/>
      <c r="Z1513" s="892"/>
      <c r="BJ1513" s="573" t="s">
        <v>4670</v>
      </c>
    </row>
    <row r="1514" spans="1:62" x14ac:dyDescent="0.35">
      <c r="A1514" s="403">
        <v>8</v>
      </c>
      <c r="B1514" s="609" t="s">
        <v>907</v>
      </c>
      <c r="C1514" s="604"/>
      <c r="D1514" s="604"/>
      <c r="E1514" s="604" t="s">
        <v>272</v>
      </c>
      <c r="F1514" s="604"/>
      <c r="G1514" s="403" t="str">
        <f t="shared" si="489"/>
        <v/>
      </c>
      <c r="H1514" s="403" t="s">
        <v>4325</v>
      </c>
      <c r="I1514" s="32"/>
      <c r="J1514" s="148" t="s">
        <v>272</v>
      </c>
      <c r="K1514" s="155"/>
      <c r="L1514" s="214" t="s">
        <v>911</v>
      </c>
      <c r="M1514" s="198">
        <v>10</v>
      </c>
      <c r="N1514" s="697"/>
      <c r="O1514" s="697"/>
      <c r="P1514" t="b">
        <v>0</v>
      </c>
      <c r="Q1514" t="b">
        <v>1</v>
      </c>
      <c r="R1514" t="b">
        <v>0</v>
      </c>
      <c r="S1514" t="b">
        <f>NOT(W1515=TRUE)</f>
        <v>1</v>
      </c>
      <c r="T1514" t="b">
        <f>IF(AND(NOT(S1514),W1514=TRUE),TRUE,FALSE)</f>
        <v>0</v>
      </c>
      <c r="W1514" s="17"/>
      <c r="X1514" s="39"/>
      <c r="Y1514" s="200" t="str">
        <f>IF(LEN('Ch8'!X118)=0,"None",'Ch8'!X118)</f>
        <v>None</v>
      </c>
      <c r="Z1514" s="563"/>
      <c r="AC1514" t="b">
        <f>OR(AD1514:AE1514)</f>
        <v>0</v>
      </c>
      <c r="AD1514" t="b">
        <f>T1514</f>
        <v>0</v>
      </c>
      <c r="AE1514" t="b">
        <v>0</v>
      </c>
      <c r="AF1514" t="b">
        <f>AND(AE1514,NOT(Q1514))</f>
        <v>0</v>
      </c>
      <c r="AL1514" t="str">
        <f t="shared" ref="AL1514:AL1515" si="490">SUBSTITUTE(SUBSTITUTE(SUBSTITUTE("vpa"&amp;$B1514&amp;$C1514&amp;$D1514&amp;$E1514&amp;$F1514,".","_"),"(","_"),")","")</f>
        <v>vpa801_6_4_2</v>
      </c>
      <c r="AM1514">
        <f>M1514</f>
        <v>10</v>
      </c>
      <c r="AP1514" t="str">
        <f t="shared" ref="AP1514:AP1515" si="491">SUBSTITUTE(SUBSTITUTE(SUBSTITUTE("vch"&amp;$B1514&amp;$C1514&amp;$D1514&amp;$E1514&amp;$F1514,".","_"),"(","_"),")","")</f>
        <v>vch801_6_4_2</v>
      </c>
      <c r="AQ1514">
        <f>W1514</f>
        <v>0</v>
      </c>
      <c r="AR1514" t="str">
        <f t="shared" ref="AR1514:AR1515" si="492">SUBSTITUTE(SUBSTITUTE(SUBSTITUTE("vnt"&amp;$B1514&amp;$C1514&amp;$D1514&amp;$E1514&amp;$F1514,".","_"),"(","_"),")","")</f>
        <v>vnt801_6_4_2</v>
      </c>
      <c r="AS1514">
        <f>X1514</f>
        <v>0</v>
      </c>
      <c r="BJ1514" s="573" t="s">
        <v>4670</v>
      </c>
    </row>
    <row r="1515" spans="1:62" x14ac:dyDescent="0.35">
      <c r="A1515" s="403">
        <v>8</v>
      </c>
      <c r="B1515" s="609" t="s">
        <v>907</v>
      </c>
      <c r="C1515" s="604"/>
      <c r="D1515" s="604"/>
      <c r="E1515" s="604" t="s">
        <v>274</v>
      </c>
      <c r="F1515" s="604"/>
      <c r="G1515" s="403" t="str">
        <f ca="1">IF(N1515&gt;0,"P","")</f>
        <v>P</v>
      </c>
      <c r="H1515" s="403" t="s">
        <v>4325</v>
      </c>
      <c r="I1515" s="32"/>
      <c r="J1515" s="19" t="s">
        <v>274</v>
      </c>
      <c r="K1515" s="4"/>
      <c r="L1515" s="707" t="s">
        <v>912</v>
      </c>
      <c r="M1515" s="690">
        <v>15</v>
      </c>
      <c r="N1515" s="696">
        <f ca="1">'Ch8'!O119</f>
        <v>15</v>
      </c>
      <c r="O1515" s="696">
        <f ca="1">M1515*S1515*W1515</f>
        <v>0</v>
      </c>
      <c r="P1515" t="b">
        <v>0</v>
      </c>
      <c r="Q1515" t="b">
        <v>1</v>
      </c>
      <c r="R1515" t="b">
        <v>0</v>
      </c>
      <c r="S1515" t="b">
        <f ca="1">AND(NOT(W1498=TRUE),NOT(W1502=TRUE),NOT(W1503=TRUE),NOT(W1504=TRUE),NOT(W1506="Met"),NOT(W1512=TRUE),NOT(W1514=TRUE),NOT(W1519=TRUE),S1517)</f>
        <v>0</v>
      </c>
      <c r="T1515" t="b">
        <f ca="1">IF(AND(NOT(S1515),W1515=TRUE),TRUE,FALSE)</f>
        <v>0</v>
      </c>
      <c r="W1515" s="17"/>
      <c r="X1515" s="688"/>
      <c r="Y1515" s="891" t="str">
        <f>IF(LEN('Ch8'!X119)=0,"None",'Ch8'!X119)</f>
        <v>None</v>
      </c>
      <c r="Z1515" s="892"/>
      <c r="AC1515" t="b">
        <f ca="1">OR(AD1515:AE1515)</f>
        <v>0</v>
      </c>
      <c r="AD1515" t="b">
        <f ca="1">T1515</f>
        <v>0</v>
      </c>
      <c r="AE1515" t="b">
        <v>0</v>
      </c>
      <c r="AF1515" t="b">
        <f>AND(AE1515,NOT(Q1515))</f>
        <v>0</v>
      </c>
      <c r="AL1515" t="str">
        <f t="shared" si="490"/>
        <v>vpa801_6_4_3</v>
      </c>
      <c r="AM1515">
        <f>M1515</f>
        <v>15</v>
      </c>
      <c r="AN1515" t="str">
        <f>SUBSTITUTE(SUBSTITUTE(SUBSTITUTE("vpc"&amp;$B1515&amp;$C1515&amp;$D1515&amp;$E1515&amp;$F1515,".","_"),"(","_"),")","")</f>
        <v>vpc801_6_4_3</v>
      </c>
      <c r="AO1515">
        <f ca="1">O1515</f>
        <v>0</v>
      </c>
      <c r="AP1515" t="str">
        <f t="shared" si="491"/>
        <v>vch801_6_4_3</v>
      </c>
      <c r="AQ1515">
        <f>W1515</f>
        <v>0</v>
      </c>
      <c r="AR1515" t="str">
        <f t="shared" si="492"/>
        <v>vnt801_6_4_3</v>
      </c>
      <c r="AS1515">
        <f>X1515</f>
        <v>0</v>
      </c>
      <c r="BJ1515" s="573" t="s">
        <v>4670</v>
      </c>
    </row>
    <row r="1516" spans="1:62" x14ac:dyDescent="0.35">
      <c r="A1516" s="403">
        <v>8</v>
      </c>
      <c r="B1516" s="609" t="s">
        <v>907</v>
      </c>
      <c r="C1516" s="604"/>
      <c r="D1516" s="604"/>
      <c r="E1516" s="604" t="s">
        <v>274</v>
      </c>
      <c r="F1516" s="604"/>
      <c r="G1516" s="403" t="str">
        <f t="shared" ref="G1516:G1518" ca="1" si="493">G1515</f>
        <v>P</v>
      </c>
      <c r="H1516" s="403" t="s">
        <v>4325</v>
      </c>
      <c r="I1516" s="32"/>
      <c r="J1516" s="4"/>
      <c r="K1516" s="4"/>
      <c r="L1516" s="707"/>
      <c r="M1516" s="690"/>
      <c r="N1516" s="696"/>
      <c r="O1516" s="696"/>
      <c r="X1516" s="688"/>
      <c r="Y1516" s="891"/>
      <c r="Z1516" s="892"/>
      <c r="BJ1516" s="573" t="s">
        <v>4670</v>
      </c>
    </row>
    <row r="1517" spans="1:62" x14ac:dyDescent="0.35">
      <c r="A1517" s="403">
        <v>8</v>
      </c>
      <c r="B1517" s="609" t="s">
        <v>907</v>
      </c>
      <c r="C1517" s="604"/>
      <c r="D1517" s="604"/>
      <c r="E1517" s="604" t="s">
        <v>274</v>
      </c>
      <c r="F1517" s="604"/>
      <c r="G1517" s="403" t="str">
        <f t="shared" ca="1" si="493"/>
        <v>P</v>
      </c>
      <c r="H1517" s="403" t="s">
        <v>4325</v>
      </c>
      <c r="I1517" s="32"/>
      <c r="J1517" s="4"/>
      <c r="K1517" s="4"/>
      <c r="L1517" s="714" t="s">
        <v>3847</v>
      </c>
      <c r="M1517" s="43"/>
      <c r="N1517" s="85"/>
      <c r="O1517" s="85"/>
      <c r="S1517" s="1" t="b">
        <f ca="1">IFERROR(AND(MATCH(W121,INDIRECT(U121),0)=3,SUM(O123:O140)&gt;=5),FALSE)</f>
        <v>0</v>
      </c>
      <c r="X1517" s="688"/>
      <c r="Y1517" s="891"/>
      <c r="Z1517" s="892"/>
      <c r="BJ1517" s="573" t="s">
        <v>4670</v>
      </c>
    </row>
    <row r="1518" spans="1:62" x14ac:dyDescent="0.35">
      <c r="A1518" s="403">
        <v>8</v>
      </c>
      <c r="B1518" s="609" t="s">
        <v>907</v>
      </c>
      <c r="C1518" s="604"/>
      <c r="D1518" s="604"/>
      <c r="E1518" s="604" t="s">
        <v>274</v>
      </c>
      <c r="F1518" s="604"/>
      <c r="G1518" s="403" t="str">
        <f t="shared" ca="1" si="493"/>
        <v>P</v>
      </c>
      <c r="H1518" s="403" t="s">
        <v>4325</v>
      </c>
      <c r="I1518" s="161"/>
      <c r="J1518" s="155"/>
      <c r="K1518" s="155"/>
      <c r="L1518" s="755"/>
      <c r="M1518" s="198"/>
      <c r="N1518" s="342"/>
      <c r="O1518" s="342"/>
      <c r="P1518" s="119"/>
      <c r="Q1518" s="119"/>
      <c r="R1518" s="119"/>
      <c r="S1518" s="119"/>
      <c r="T1518" s="119"/>
      <c r="U1518" s="119"/>
      <c r="V1518" s="119"/>
      <c r="W1518" s="119"/>
      <c r="X1518" s="688"/>
      <c r="Y1518" s="891"/>
      <c r="Z1518" s="892"/>
      <c r="BJ1518" s="573" t="s">
        <v>4670</v>
      </c>
    </row>
    <row r="1519" spans="1:62" x14ac:dyDescent="0.35">
      <c r="A1519" s="403">
        <v>8</v>
      </c>
      <c r="B1519" s="609" t="s">
        <v>913</v>
      </c>
      <c r="C1519" s="604"/>
      <c r="D1519" s="604"/>
      <c r="E1519" s="604"/>
      <c r="F1519" s="604"/>
      <c r="G1519" s="403" t="str">
        <f>IF(N1519&gt;0,"P","")</f>
        <v/>
      </c>
      <c r="H1519" s="403" t="s">
        <v>4325</v>
      </c>
      <c r="I1519" s="32" t="s">
        <v>913</v>
      </c>
      <c r="J1519" s="4"/>
      <c r="K1519" s="4"/>
      <c r="L1519" s="706" t="s">
        <v>914</v>
      </c>
      <c r="M1519" s="690">
        <v>3</v>
      </c>
      <c r="N1519" s="696">
        <f>'Ch8'!O123</f>
        <v>0</v>
      </c>
      <c r="O1519" s="696">
        <f>M1519*S1519*W1519</f>
        <v>0</v>
      </c>
      <c r="P1519" t="b">
        <v>0</v>
      </c>
      <c r="Q1519" t="b">
        <v>1</v>
      </c>
      <c r="R1519" t="b">
        <v>0</v>
      </c>
      <c r="S1519" t="b">
        <f>NOT(W1515=TRUE)</f>
        <v>1</v>
      </c>
      <c r="T1519" t="b">
        <f>IF(AND(NOT(S1519),W1519=TRUE),TRUE,FALSE)</f>
        <v>0</v>
      </c>
      <c r="W1519" s="17"/>
      <c r="X1519" s="700"/>
      <c r="Y1519" s="891" t="str">
        <f>IF(LEN('Ch8'!X123)=0,"None",'Ch8'!X123)</f>
        <v>None</v>
      </c>
      <c r="Z1519" s="892"/>
      <c r="AC1519" t="b">
        <f>OR(AD1519:AE1519)</f>
        <v>0</v>
      </c>
      <c r="AD1519" t="b">
        <f>T1519</f>
        <v>0</v>
      </c>
      <c r="AE1519" t="b">
        <v>0</v>
      </c>
      <c r="AF1519" t="b">
        <f>AND(AE1519,NOT(Q1519))</f>
        <v>0</v>
      </c>
      <c r="AL1519" t="str">
        <f t="shared" ref="AL1519" si="494">SUBSTITUTE(SUBSTITUTE(SUBSTITUTE("vpa"&amp;$B1519&amp;$C1519&amp;$D1519&amp;$E1519&amp;$F1519,".","_"),"(","_"),")","")</f>
        <v>vpa801_6_5</v>
      </c>
      <c r="AM1519">
        <f>M1519</f>
        <v>3</v>
      </c>
      <c r="AN1519" t="str">
        <f>SUBSTITUTE(SUBSTITUTE(SUBSTITUTE("vpc"&amp;$B1519&amp;$C1519&amp;$D1519&amp;$E1519&amp;$F1519,".","_"),"(","_"),")","")</f>
        <v>vpc801_6_5</v>
      </c>
      <c r="AO1519">
        <f>O1519</f>
        <v>0</v>
      </c>
      <c r="AP1519" t="str">
        <f>SUBSTITUTE(SUBSTITUTE(SUBSTITUTE("vch"&amp;$B1519&amp;$C1519&amp;$D1519&amp;$E1519&amp;$F1519,".","_"),"(","_"),")","")</f>
        <v>vch801_6_5</v>
      </c>
      <c r="AQ1519">
        <f>W1519</f>
        <v>0</v>
      </c>
      <c r="AR1519" t="str">
        <f>SUBSTITUTE(SUBSTITUTE(SUBSTITUTE("vnt"&amp;$B1519&amp;$C1519&amp;$D1519&amp;$E1519&amp;$F1519,".","_"),"(","_"),")","")</f>
        <v>vnt801_6_5</v>
      </c>
      <c r="AS1519">
        <f>X1519</f>
        <v>0</v>
      </c>
      <c r="BJ1519" s="573" t="s">
        <v>4670</v>
      </c>
    </row>
    <row r="1520" spans="1:62" ht="15" thickBot="1" x14ac:dyDescent="0.4">
      <c r="A1520" s="403">
        <v>8</v>
      </c>
      <c r="B1520" s="609" t="s">
        <v>913</v>
      </c>
      <c r="C1520" s="604"/>
      <c r="D1520" s="604"/>
      <c r="E1520" s="604"/>
      <c r="F1520" s="604"/>
      <c r="G1520" s="403" t="str">
        <f t="shared" ref="G1520" si="495">G1519</f>
        <v/>
      </c>
      <c r="H1520" s="403" t="s">
        <v>4325</v>
      </c>
      <c r="I1520" s="132"/>
      <c r="J1520" s="183"/>
      <c r="K1520" s="183"/>
      <c r="L1520" s="710"/>
      <c r="M1520" s="693"/>
      <c r="N1520" s="695"/>
      <c r="O1520" s="695"/>
      <c r="P1520" s="58"/>
      <c r="Q1520" s="58"/>
      <c r="R1520" s="58"/>
      <c r="S1520" s="58"/>
      <c r="T1520" s="58"/>
      <c r="U1520" s="58"/>
      <c r="V1520" s="58"/>
      <c r="W1520" s="58"/>
      <c r="X1520" s="689"/>
      <c r="Y1520" s="905"/>
      <c r="Z1520" s="895"/>
      <c r="BJ1520" s="573" t="s">
        <v>4670</v>
      </c>
    </row>
    <row r="1521" spans="1:62" ht="15" thickTop="1" x14ac:dyDescent="0.35">
      <c r="A1521" s="403">
        <v>8</v>
      </c>
      <c r="B1521" s="609">
        <v>801.7</v>
      </c>
      <c r="C1521" s="604"/>
      <c r="D1521" s="604"/>
      <c r="E1521" s="604"/>
      <c r="F1521" s="604"/>
      <c r="G1521" s="600" t="str">
        <f ca="1">IF(COUNTIF(G1523:G1534,"P")&gt;0,"P","")</f>
        <v/>
      </c>
      <c r="H1521" s="403" t="s">
        <v>4325</v>
      </c>
      <c r="I1521" s="123">
        <v>801.7</v>
      </c>
      <c r="J1521" s="124"/>
      <c r="K1521" s="124"/>
      <c r="L1521" s="794" t="s">
        <v>915</v>
      </c>
      <c r="M1521" s="199"/>
      <c r="N1521" s="341"/>
      <c r="O1521" s="341"/>
      <c r="P1521" s="62"/>
      <c r="Q1521" s="62"/>
      <c r="R1521" s="62"/>
      <c r="S1521" s="62"/>
      <c r="T1521" s="62"/>
      <c r="U1521" s="62"/>
      <c r="V1521" s="62"/>
      <c r="W1521" s="62"/>
      <c r="X1521" s="62"/>
      <c r="Z1521" s="543"/>
      <c r="BJ1521" s="573" t="s">
        <v>4670</v>
      </c>
    </row>
    <row r="1522" spans="1:62" x14ac:dyDescent="0.35">
      <c r="A1522" s="403">
        <v>8</v>
      </c>
      <c r="B1522" s="609">
        <v>801.7</v>
      </c>
      <c r="C1522" s="604"/>
      <c r="D1522" s="604"/>
      <c r="E1522" s="604"/>
      <c r="F1522" s="604"/>
      <c r="G1522" s="403" t="str">
        <f t="shared" ref="G1522" ca="1" si="496">G1521</f>
        <v/>
      </c>
      <c r="H1522" s="403" t="s">
        <v>4325</v>
      </c>
      <c r="I1522" s="32"/>
      <c r="J1522" s="4"/>
      <c r="K1522" s="4"/>
      <c r="L1522" s="795"/>
      <c r="M1522" s="43"/>
      <c r="N1522" s="85"/>
      <c r="O1522" s="85"/>
      <c r="Z1522" s="543"/>
      <c r="BJ1522" s="573" t="s">
        <v>4670</v>
      </c>
    </row>
    <row r="1523" spans="1:62" x14ac:dyDescent="0.35">
      <c r="A1523" s="403">
        <v>8</v>
      </c>
      <c r="B1523" s="609" t="s">
        <v>1304</v>
      </c>
      <c r="C1523" s="604"/>
      <c r="D1523" s="604"/>
      <c r="E1523" s="604"/>
      <c r="F1523" s="604"/>
      <c r="G1523" s="403" t="str">
        <f ca="1">IF(N1523&gt;0,"P","")</f>
        <v/>
      </c>
      <c r="H1523" s="403" t="s">
        <v>4325</v>
      </c>
      <c r="I1523" s="32" t="s">
        <v>1304</v>
      </c>
      <c r="J1523" s="4"/>
      <c r="K1523" s="4"/>
      <c r="L1523" s="352" t="s">
        <v>1305</v>
      </c>
      <c r="M1523" s="43"/>
      <c r="N1523" s="85">
        <f ca="1">'Ch8'!O127</f>
        <v>0</v>
      </c>
      <c r="O1523" s="85">
        <f ca="1">IFERROR(INDEX({5,5,10,15,25},MATCH(W1523,INDIRECT(U1523),0)),0)*S1523</f>
        <v>0</v>
      </c>
      <c r="P1523" t="b">
        <v>0</v>
      </c>
      <c r="Q1523" t="b">
        <v>1</v>
      </c>
      <c r="R1523" t="b">
        <v>0</v>
      </c>
      <c r="S1523" t="b">
        <v>1</v>
      </c>
      <c r="T1523" t="b">
        <f>IF(AND(NOT(S1523),LEN(W1523)&gt;0),TRUE,FALSE)</f>
        <v>0</v>
      </c>
      <c r="U1523" t="str">
        <f>SUBSTITUTE(SUBSTITUTE(SUBSTITUTE("dd"&amp;B1523&amp;C1523&amp;D1523&amp;E1523&amp;F1523,".","_"),"(","_"),")","")</f>
        <v>dd801_7_1</v>
      </c>
      <c r="W1523" s="9"/>
      <c r="X1523" s="688"/>
      <c r="Y1523" s="891" t="str">
        <f>IF(LEN('Ch8'!X127)=0,"None",'Ch8'!X127)</f>
        <v>None</v>
      </c>
      <c r="Z1523" s="892"/>
      <c r="AC1523" t="b">
        <f>OR(AD1523:AE1523)</f>
        <v>0</v>
      </c>
      <c r="AD1523" t="b">
        <f>T1523</f>
        <v>0</v>
      </c>
      <c r="AN1523" t="str">
        <f>SUBSTITUTE(SUBSTITUTE(SUBSTITUTE("vpc"&amp;$B1523&amp;$C1523&amp;$D1523&amp;$E1523&amp;$F1523,".","_"),"(","_"),")","")</f>
        <v>vpc801_7_1</v>
      </c>
      <c r="AO1523">
        <f ca="1">O1523</f>
        <v>0</v>
      </c>
      <c r="AP1523" t="str">
        <f>SUBSTITUTE(SUBSTITUTE(SUBSTITUTE("vch"&amp;$B1523&amp;$C1523&amp;$D1523&amp;$E1523&amp;$F1523,".","_"),"(","_"),")","")</f>
        <v>vch801_7_1</v>
      </c>
      <c r="AQ1523">
        <f>W1523</f>
        <v>0</v>
      </c>
      <c r="AR1523" t="str">
        <f>SUBSTITUTE(SUBSTITUTE(SUBSTITUTE("vnt"&amp;$B1523&amp;$C1523&amp;$D1523&amp;$E1523&amp;$F1523,".","_"),"(","_"),")","")</f>
        <v>vnt801_7_1</v>
      </c>
      <c r="AS1523">
        <f>X1523</f>
        <v>0</v>
      </c>
      <c r="BJ1523" s="573" t="s">
        <v>4670</v>
      </c>
    </row>
    <row r="1524" spans="1:62" x14ac:dyDescent="0.35">
      <c r="A1524" s="403">
        <v>8</v>
      </c>
      <c r="B1524" s="609" t="s">
        <v>1304</v>
      </c>
      <c r="C1524" s="604"/>
      <c r="D1524" s="604"/>
      <c r="E1524" s="604" t="s">
        <v>270</v>
      </c>
      <c r="F1524" s="604"/>
      <c r="G1524" s="403" t="str">
        <f t="shared" ref="G1524:G1533" ca="1" si="497">G1523</f>
        <v/>
      </c>
      <c r="H1524" s="403" t="s">
        <v>4325</v>
      </c>
      <c r="I1524" s="32"/>
      <c r="J1524" s="148" t="s">
        <v>270</v>
      </c>
      <c r="K1524" s="155"/>
      <c r="L1524" s="214" t="s">
        <v>916</v>
      </c>
      <c r="M1524" s="198">
        <v>5</v>
      </c>
      <c r="N1524" s="85"/>
      <c r="O1524" s="85"/>
      <c r="X1524" s="688"/>
      <c r="Y1524" s="891"/>
      <c r="Z1524" s="892"/>
      <c r="AL1524" t="str">
        <f t="shared" ref="AL1524" si="498">SUBSTITUTE(SUBSTITUTE(SUBSTITUTE("vpa"&amp;$B1524&amp;$C1524&amp;$D1524&amp;$E1524&amp;$F1524,".","_"),"(","_"),")","")</f>
        <v>vpa801_7_1_1</v>
      </c>
      <c r="AM1524">
        <f>M1524</f>
        <v>5</v>
      </c>
      <c r="BJ1524" s="573" t="s">
        <v>4670</v>
      </c>
    </row>
    <row r="1525" spans="1:62" x14ac:dyDescent="0.35">
      <c r="A1525" s="403">
        <v>8</v>
      </c>
      <c r="B1525" s="609" t="s">
        <v>1304</v>
      </c>
      <c r="C1525" s="604"/>
      <c r="D1525" s="604"/>
      <c r="E1525" s="604" t="s">
        <v>272</v>
      </c>
      <c r="F1525" s="604"/>
      <c r="G1525" s="403" t="str">
        <f t="shared" ca="1" si="497"/>
        <v/>
      </c>
      <c r="H1525" s="403" t="s">
        <v>4325</v>
      </c>
      <c r="I1525" s="32"/>
      <c r="J1525" s="19" t="s">
        <v>272</v>
      </c>
      <c r="K1525" s="4"/>
      <c r="L1525" s="707" t="s">
        <v>917</v>
      </c>
      <c r="M1525" s="43"/>
      <c r="N1525" s="85"/>
      <c r="O1525" s="85"/>
      <c r="X1525" s="688"/>
      <c r="Y1525" s="891"/>
      <c r="Z1525" s="892"/>
      <c r="BJ1525" s="573" t="s">
        <v>4670</v>
      </c>
    </row>
    <row r="1526" spans="1:62" x14ac:dyDescent="0.35">
      <c r="A1526" s="403">
        <v>8</v>
      </c>
      <c r="B1526" s="609" t="s">
        <v>1304</v>
      </c>
      <c r="C1526" s="604"/>
      <c r="D1526" s="604"/>
      <c r="E1526" s="604" t="s">
        <v>272</v>
      </c>
      <c r="F1526" s="604"/>
      <c r="G1526" s="403" t="str">
        <f t="shared" ca="1" si="497"/>
        <v/>
      </c>
      <c r="H1526" s="403" t="s">
        <v>4325</v>
      </c>
      <c r="I1526" s="32"/>
      <c r="J1526" s="4"/>
      <c r="K1526" s="4"/>
      <c r="L1526" s="707"/>
      <c r="M1526" s="43"/>
      <c r="N1526" s="85"/>
      <c r="O1526" s="85"/>
      <c r="X1526" s="688"/>
      <c r="Y1526" s="891"/>
      <c r="Z1526" s="892"/>
      <c r="BJ1526" s="573" t="s">
        <v>4670</v>
      </c>
    </row>
    <row r="1527" spans="1:62" x14ac:dyDescent="0.35">
      <c r="A1527" s="403">
        <v>8</v>
      </c>
      <c r="B1527" s="609" t="s">
        <v>1304</v>
      </c>
      <c r="C1527" s="604"/>
      <c r="D1527" s="604"/>
      <c r="E1527" s="604" t="s">
        <v>272</v>
      </c>
      <c r="F1527" s="604" t="s">
        <v>121</v>
      </c>
      <c r="G1527" s="403" t="str">
        <f t="shared" ca="1" si="497"/>
        <v/>
      </c>
      <c r="H1527" s="605" t="s">
        <v>4325</v>
      </c>
      <c r="I1527" s="4"/>
      <c r="J1527" s="4"/>
      <c r="K1527" s="148" t="s">
        <v>121</v>
      </c>
      <c r="L1527" s="214" t="s">
        <v>918</v>
      </c>
      <c r="M1527" s="198">
        <v>5</v>
      </c>
      <c r="N1527" s="85"/>
      <c r="O1527" s="85"/>
      <c r="X1527" s="688"/>
      <c r="Y1527" s="891"/>
      <c r="Z1527" s="892"/>
      <c r="AL1527" t="str">
        <f t="shared" ref="AL1527:AL1529" si="499">SUBSTITUTE(SUBSTITUTE(SUBSTITUTE("vpa"&amp;$B1527&amp;$C1527&amp;$D1527&amp;$E1527&amp;$F1527,".","_"),"(","_"),")","")</f>
        <v>vpa801_7_1_2_a</v>
      </c>
      <c r="AM1527">
        <f>M1527</f>
        <v>5</v>
      </c>
      <c r="BJ1527" s="573" t="s">
        <v>4670</v>
      </c>
    </row>
    <row r="1528" spans="1:62" x14ac:dyDescent="0.35">
      <c r="A1528" s="403">
        <v>8</v>
      </c>
      <c r="B1528" s="609" t="s">
        <v>1304</v>
      </c>
      <c r="C1528" s="604"/>
      <c r="D1528" s="604"/>
      <c r="E1528" s="604" t="s">
        <v>272</v>
      </c>
      <c r="F1528" s="604" t="s">
        <v>122</v>
      </c>
      <c r="G1528" s="403" t="str">
        <f t="shared" ca="1" si="497"/>
        <v/>
      </c>
      <c r="H1528" s="605" t="s">
        <v>4325</v>
      </c>
      <c r="I1528" s="4"/>
      <c r="J1528" s="4"/>
      <c r="K1528" s="148" t="s">
        <v>122</v>
      </c>
      <c r="L1528" s="214" t="s">
        <v>919</v>
      </c>
      <c r="M1528" s="198">
        <v>10</v>
      </c>
      <c r="N1528" s="85"/>
      <c r="O1528" s="85"/>
      <c r="X1528" s="688"/>
      <c r="Y1528" s="891"/>
      <c r="Z1528" s="892"/>
      <c r="AL1528" t="str">
        <f t="shared" si="499"/>
        <v>vpa801_7_1_2_b</v>
      </c>
      <c r="AM1528">
        <f>M1528</f>
        <v>10</v>
      </c>
      <c r="BJ1528" s="573" t="s">
        <v>4670</v>
      </c>
    </row>
    <row r="1529" spans="1:62" x14ac:dyDescent="0.35">
      <c r="A1529" s="403">
        <v>8</v>
      </c>
      <c r="B1529" s="609" t="s">
        <v>1304</v>
      </c>
      <c r="C1529" s="604"/>
      <c r="D1529" s="604"/>
      <c r="E1529" s="604" t="s">
        <v>272</v>
      </c>
      <c r="F1529" s="604" t="s">
        <v>123</v>
      </c>
      <c r="G1529" s="403" t="str">
        <f t="shared" ca="1" si="497"/>
        <v/>
      </c>
      <c r="H1529" s="605" t="s">
        <v>4325</v>
      </c>
      <c r="I1529" s="4"/>
      <c r="J1529" s="4"/>
      <c r="K1529" s="19" t="s">
        <v>123</v>
      </c>
      <c r="L1529" s="707" t="s">
        <v>920</v>
      </c>
      <c r="M1529" s="690">
        <v>15</v>
      </c>
      <c r="N1529" s="85"/>
      <c r="O1529" s="85"/>
      <c r="X1529" s="688"/>
      <c r="Y1529" s="891"/>
      <c r="Z1529" s="892"/>
      <c r="AL1529" t="str">
        <f t="shared" si="499"/>
        <v>vpa801_7_1_2_c</v>
      </c>
      <c r="AM1529">
        <f>M1529</f>
        <v>15</v>
      </c>
      <c r="BJ1529" s="573" t="s">
        <v>4670</v>
      </c>
    </row>
    <row r="1530" spans="1:62" x14ac:dyDescent="0.35">
      <c r="A1530" s="403">
        <v>8</v>
      </c>
      <c r="B1530" s="609" t="s">
        <v>1304</v>
      </c>
      <c r="C1530" s="604"/>
      <c r="D1530" s="604"/>
      <c r="E1530" s="604" t="s">
        <v>272</v>
      </c>
      <c r="F1530" s="604" t="s">
        <v>123</v>
      </c>
      <c r="G1530" s="403" t="str">
        <f t="shared" ca="1" si="497"/>
        <v/>
      </c>
      <c r="H1530" s="605" t="s">
        <v>4325</v>
      </c>
      <c r="I1530" s="4"/>
      <c r="J1530" s="4"/>
      <c r="K1530" s="155"/>
      <c r="L1530" s="709"/>
      <c r="M1530" s="691"/>
      <c r="N1530" s="85"/>
      <c r="O1530" s="85"/>
      <c r="X1530" s="688"/>
      <c r="Y1530" s="891"/>
      <c r="Z1530" s="892"/>
      <c r="BJ1530" s="573" t="s">
        <v>4670</v>
      </c>
    </row>
    <row r="1531" spans="1:62" x14ac:dyDescent="0.35">
      <c r="A1531" s="403">
        <v>8</v>
      </c>
      <c r="B1531" s="609" t="s">
        <v>1304</v>
      </c>
      <c r="C1531" s="604"/>
      <c r="D1531" s="604"/>
      <c r="E1531" s="604" t="s">
        <v>272</v>
      </c>
      <c r="F1531" s="604" t="s">
        <v>420</v>
      </c>
      <c r="G1531" s="403" t="str">
        <f t="shared" ca="1" si="497"/>
        <v/>
      </c>
      <c r="H1531" s="605" t="s">
        <v>4325</v>
      </c>
      <c r="I1531" s="4"/>
      <c r="J1531" s="4"/>
      <c r="K1531" s="19" t="s">
        <v>420</v>
      </c>
      <c r="L1531" s="707" t="s">
        <v>921</v>
      </c>
      <c r="M1531" s="690">
        <v>25</v>
      </c>
      <c r="N1531" s="85"/>
      <c r="O1531" s="85"/>
      <c r="X1531" s="688"/>
      <c r="Y1531" s="891"/>
      <c r="Z1531" s="892"/>
      <c r="AL1531" t="str">
        <f t="shared" ref="AL1531" si="500">SUBSTITUTE(SUBSTITUTE(SUBSTITUTE("vpa"&amp;$B1531&amp;$C1531&amp;$D1531&amp;$E1531&amp;$F1531,".","_"),"(","_"),")","")</f>
        <v>vpa801_7_1_2_d</v>
      </c>
      <c r="AM1531">
        <f>M1531</f>
        <v>25</v>
      </c>
      <c r="BJ1531" s="573" t="s">
        <v>4670</v>
      </c>
    </row>
    <row r="1532" spans="1:62" x14ac:dyDescent="0.35">
      <c r="A1532" s="403">
        <v>8</v>
      </c>
      <c r="B1532" s="609" t="s">
        <v>1304</v>
      </c>
      <c r="C1532" s="604"/>
      <c r="D1532" s="604"/>
      <c r="E1532" s="604" t="s">
        <v>272</v>
      </c>
      <c r="F1532" s="604" t="s">
        <v>420</v>
      </c>
      <c r="G1532" s="403" t="str">
        <f t="shared" ca="1" si="497"/>
        <v/>
      </c>
      <c r="H1532" s="605" t="s">
        <v>4325</v>
      </c>
      <c r="I1532" s="32"/>
      <c r="J1532" s="4"/>
      <c r="K1532" s="4"/>
      <c r="L1532" s="707"/>
      <c r="M1532" s="690"/>
      <c r="N1532" s="85"/>
      <c r="O1532" s="85"/>
      <c r="X1532" s="688"/>
      <c r="Y1532" s="891"/>
      <c r="Z1532" s="892"/>
      <c r="BJ1532" s="573" t="s">
        <v>4670</v>
      </c>
    </row>
    <row r="1533" spans="1:62" x14ac:dyDescent="0.35">
      <c r="A1533" s="403">
        <v>8</v>
      </c>
      <c r="B1533" s="609" t="s">
        <v>1304</v>
      </c>
      <c r="C1533" s="604"/>
      <c r="D1533" s="604"/>
      <c r="E1533" s="604" t="s">
        <v>272</v>
      </c>
      <c r="F1533" s="604" t="s">
        <v>420</v>
      </c>
      <c r="G1533" s="403" t="str">
        <f t="shared" ca="1" si="497"/>
        <v/>
      </c>
      <c r="H1533" s="605" t="s">
        <v>4325</v>
      </c>
      <c r="I1533" s="161"/>
      <c r="J1533" s="155"/>
      <c r="K1533" s="155"/>
      <c r="L1533" s="709"/>
      <c r="M1533" s="691"/>
      <c r="N1533" s="342"/>
      <c r="O1533" s="342"/>
      <c r="P1533" s="119"/>
      <c r="Q1533" s="119"/>
      <c r="R1533" s="119"/>
      <c r="S1533" s="119"/>
      <c r="T1533" s="119"/>
      <c r="U1533" s="119"/>
      <c r="V1533" s="119"/>
      <c r="W1533" s="119"/>
      <c r="X1533" s="688"/>
      <c r="Y1533" s="891"/>
      <c r="Z1533" s="892"/>
      <c r="BJ1533" s="573" t="s">
        <v>4670</v>
      </c>
    </row>
    <row r="1534" spans="1:62" x14ac:dyDescent="0.35">
      <c r="A1534" s="403">
        <v>8</v>
      </c>
      <c r="B1534" s="609" t="s">
        <v>922</v>
      </c>
      <c r="C1534" s="604"/>
      <c r="D1534" s="604"/>
      <c r="E1534" s="604"/>
      <c r="F1534" s="604"/>
      <c r="G1534" s="403" t="str">
        <f ca="1">IF(N1534&gt;0,"P","")</f>
        <v/>
      </c>
      <c r="H1534" s="403" t="s">
        <v>4325</v>
      </c>
      <c r="I1534" s="32" t="s">
        <v>922</v>
      </c>
      <c r="J1534" s="4"/>
      <c r="K1534" s="4"/>
      <c r="L1534" s="706" t="s">
        <v>923</v>
      </c>
      <c r="M1534" s="43"/>
      <c r="N1534" s="696">
        <f ca="1">'Ch8'!O138</f>
        <v>0</v>
      </c>
      <c r="O1534" s="696">
        <f ca="1">MAX(IFERROR(5*MATCH(W1537,INDIRECT(U1537),0),0)*S1537,M1539*S1539*W1539)*S1537</f>
        <v>0</v>
      </c>
      <c r="Z1534" s="543"/>
      <c r="AN1534" t="str">
        <f>SUBSTITUTE(SUBSTITUTE(SUBSTITUTE("vpc"&amp;$B1534&amp;$C1534&amp;$D1534&amp;$E1534&amp;$F1534,".","_"),"(","_"),")","")</f>
        <v>vpc801_7_2</v>
      </c>
      <c r="AO1534">
        <f ca="1">O1534</f>
        <v>0</v>
      </c>
      <c r="BJ1534" s="573" t="s">
        <v>4670</v>
      </c>
    </row>
    <row r="1535" spans="1:62" x14ac:dyDescent="0.35">
      <c r="A1535" s="403">
        <v>8</v>
      </c>
      <c r="B1535" s="609" t="s">
        <v>922</v>
      </c>
      <c r="C1535" s="604"/>
      <c r="D1535" s="604"/>
      <c r="E1535" s="604"/>
      <c r="F1535" s="604"/>
      <c r="G1535" s="403" t="str">
        <f t="shared" ref="G1535:G1541" ca="1" si="501">G1534</f>
        <v/>
      </c>
      <c r="H1535" s="403" t="s">
        <v>4325</v>
      </c>
      <c r="I1535" s="32"/>
      <c r="J1535" s="4"/>
      <c r="K1535" s="4"/>
      <c r="L1535" s="706"/>
      <c r="M1535" s="43"/>
      <c r="N1535" s="696"/>
      <c r="O1535" s="696"/>
      <c r="Z1535" s="543"/>
      <c r="BJ1535" s="573" t="s">
        <v>4670</v>
      </c>
    </row>
    <row r="1536" spans="1:62" x14ac:dyDescent="0.35">
      <c r="A1536" s="403">
        <v>8</v>
      </c>
      <c r="B1536" s="609" t="s">
        <v>922</v>
      </c>
      <c r="C1536" s="604"/>
      <c r="D1536" s="604"/>
      <c r="E1536" s="604"/>
      <c r="F1536" s="604"/>
      <c r="G1536" s="403" t="str">
        <f t="shared" ca="1" si="501"/>
        <v/>
      </c>
      <c r="H1536" s="403" t="s">
        <v>4325</v>
      </c>
      <c r="I1536" s="32"/>
      <c r="J1536" s="4"/>
      <c r="K1536" s="4"/>
      <c r="L1536" s="706"/>
      <c r="M1536" s="43"/>
      <c r="N1536" s="696"/>
      <c r="O1536" s="696"/>
      <c r="Z1536" s="543"/>
      <c r="BJ1536" s="573" t="s">
        <v>4670</v>
      </c>
    </row>
    <row r="1537" spans="1:62" ht="15" customHeight="1" x14ac:dyDescent="0.35">
      <c r="A1537" s="403">
        <v>8</v>
      </c>
      <c r="B1537" s="609" t="s">
        <v>922</v>
      </c>
      <c r="C1537" s="604"/>
      <c r="D1537" s="604"/>
      <c r="E1537" s="604" t="s">
        <v>270</v>
      </c>
      <c r="F1537" s="604"/>
      <c r="G1537" s="403" t="str">
        <f t="shared" ca="1" si="501"/>
        <v/>
      </c>
      <c r="H1537" s="403" t="s">
        <v>4325</v>
      </c>
      <c r="I1537" s="32"/>
      <c r="J1537" s="19" t="s">
        <v>270</v>
      </c>
      <c r="K1537" s="4"/>
      <c r="L1537" s="104" t="s">
        <v>924</v>
      </c>
      <c r="M1537" s="737" t="s">
        <v>3852</v>
      </c>
      <c r="N1537" s="85"/>
      <c r="O1537" s="85"/>
      <c r="P1537" t="b">
        <v>0</v>
      </c>
      <c r="Q1537" t="b">
        <v>1</v>
      </c>
      <c r="R1537" t="b">
        <v>0</v>
      </c>
      <c r="S1537" t="b">
        <v>1</v>
      </c>
      <c r="T1537" t="b">
        <f>IF(AND(NOT(S1537),LEN(W1537)&gt;0),TRUE,FALSE)</f>
        <v>0</v>
      </c>
      <c r="U1537" t="str">
        <f>SUBSTITUTE(SUBSTITUTE(SUBSTITUTE("dd"&amp;B1537&amp;C1537&amp;D1537&amp;E1537&amp;F1537,".","_"),"(","_"),")","")</f>
        <v>dd801_7_2_1</v>
      </c>
      <c r="W1537" s="9"/>
      <c r="X1537" s="688"/>
      <c r="Y1537" s="891" t="str">
        <f>IF(LEN('Ch8'!X141)=0,"None",'Ch8'!X141)</f>
        <v>None</v>
      </c>
      <c r="Z1537" s="892"/>
      <c r="AC1537" t="b">
        <f>OR(AD1537:AE1537)</f>
        <v>0</v>
      </c>
      <c r="AD1537" t="b">
        <f>T1537</f>
        <v>0</v>
      </c>
      <c r="AL1537" t="str">
        <f t="shared" ref="AL1537" si="502">SUBSTITUTE(SUBSTITUTE(SUBSTITUTE("vpa"&amp;$B1537&amp;$C1537&amp;$D1537&amp;$E1537&amp;$F1537,".","_"),"(","_"),")","")</f>
        <v>vpa801_7_2_1</v>
      </c>
      <c r="AM1537" t="str">
        <f>M1537</f>
        <v>5
15 Max</v>
      </c>
      <c r="AP1537" t="str">
        <f>SUBSTITUTE(SUBSTITUTE(SUBSTITUTE("vch"&amp;$B1537&amp;$C1537&amp;$D1537&amp;$E1537&amp;$F1537,".","_"),"(","_"),")","")</f>
        <v>vch801_7_2_1</v>
      </c>
      <c r="AQ1537">
        <f>W1537</f>
        <v>0</v>
      </c>
      <c r="AR1537" t="str">
        <f>SUBSTITUTE(SUBSTITUTE(SUBSTITUTE("vnt"&amp;$B1537&amp;$C1537&amp;$D1537&amp;$E1537&amp;$F1537,".","_"),"(","_"),")","")</f>
        <v>vnt801_7_2_1</v>
      </c>
      <c r="AS1537">
        <f>X1537</f>
        <v>0</v>
      </c>
      <c r="BJ1537" s="573" t="s">
        <v>4670</v>
      </c>
    </row>
    <row r="1538" spans="1:62" x14ac:dyDescent="0.35">
      <c r="A1538" s="403">
        <v>8</v>
      </c>
      <c r="B1538" s="609" t="s">
        <v>922</v>
      </c>
      <c r="C1538" s="604"/>
      <c r="D1538" s="604"/>
      <c r="E1538" s="604" t="s">
        <v>270</v>
      </c>
      <c r="F1538" s="604"/>
      <c r="G1538" s="403" t="str">
        <f t="shared" ca="1" si="501"/>
        <v/>
      </c>
      <c r="H1538" s="403" t="s">
        <v>4325</v>
      </c>
      <c r="I1538" s="32"/>
      <c r="J1538" s="155"/>
      <c r="K1538" s="155"/>
      <c r="L1538" s="165" t="s">
        <v>925</v>
      </c>
      <c r="M1538" s="691"/>
      <c r="N1538" s="85"/>
      <c r="O1538" s="85"/>
      <c r="X1538" s="688"/>
      <c r="Y1538" s="891"/>
      <c r="Z1538" s="892"/>
      <c r="BJ1538" s="573" t="s">
        <v>4670</v>
      </c>
    </row>
    <row r="1539" spans="1:62" ht="15" thickBot="1" x14ac:dyDescent="0.4">
      <c r="A1539" s="403">
        <v>8</v>
      </c>
      <c r="B1539" s="609" t="s">
        <v>922</v>
      </c>
      <c r="C1539" s="604"/>
      <c r="D1539" s="604"/>
      <c r="E1539" s="604" t="s">
        <v>272</v>
      </c>
      <c r="F1539" s="604"/>
      <c r="G1539" s="403" t="str">
        <f t="shared" ca="1" si="501"/>
        <v/>
      </c>
      <c r="H1539" s="403" t="s">
        <v>4325</v>
      </c>
      <c r="I1539" s="132"/>
      <c r="J1539" s="133" t="s">
        <v>272</v>
      </c>
      <c r="K1539" s="183"/>
      <c r="L1539" s="223" t="s">
        <v>926</v>
      </c>
      <c r="M1539" s="270">
        <v>25</v>
      </c>
      <c r="N1539" s="184"/>
      <c r="O1539" s="184"/>
      <c r="P1539" t="b">
        <v>0</v>
      </c>
      <c r="Q1539" t="b">
        <v>1</v>
      </c>
      <c r="R1539" s="58" t="b">
        <v>0</v>
      </c>
      <c r="S1539" s="58" t="b">
        <v>1</v>
      </c>
      <c r="T1539" s="58" t="b">
        <v>0</v>
      </c>
      <c r="U1539" s="58"/>
      <c r="V1539" s="58"/>
      <c r="W1539" s="59"/>
      <c r="X1539" s="113"/>
      <c r="Y1539" s="201" t="str">
        <f>IF(LEN('Ch8'!X143)=0,"None",'Ch8'!X143)</f>
        <v>None</v>
      </c>
      <c r="Z1539" s="567"/>
      <c r="AC1539" t="b">
        <f>OR(AD1539:AE1539)</f>
        <v>0</v>
      </c>
      <c r="AD1539" t="b">
        <f>T1539</f>
        <v>0</v>
      </c>
      <c r="AE1539" t="b">
        <v>0</v>
      </c>
      <c r="AF1539" t="b">
        <f>AND(AE1539,NOT(Q1539))</f>
        <v>0</v>
      </c>
      <c r="AL1539" t="str">
        <f t="shared" ref="AL1539:AL1540" si="503">SUBSTITUTE(SUBSTITUTE(SUBSTITUTE("vpa"&amp;$B1539&amp;$C1539&amp;$D1539&amp;$E1539&amp;$F1539,".","_"),"(","_"),")","")</f>
        <v>vpa801_7_2_2</v>
      </c>
      <c r="AM1539">
        <f>M1539</f>
        <v>25</v>
      </c>
      <c r="AP1539" t="str">
        <f>SUBSTITUTE(SUBSTITUTE(SUBSTITUTE("vch"&amp;$B1539&amp;$C1539&amp;$D1539&amp;$E1539&amp;$F1539,".","_"),"(","_"),")","")</f>
        <v>vch801_7_2_2</v>
      </c>
      <c r="AQ1539">
        <f>W1539</f>
        <v>0</v>
      </c>
      <c r="AR1539" t="str">
        <f t="shared" ref="AR1539:AR1540" si="504">SUBSTITUTE(SUBSTITUTE(SUBSTITUTE("vnt"&amp;$B1539&amp;$C1539&amp;$D1539&amp;$E1539&amp;$F1539,".","_"),"(","_"),")","")</f>
        <v>vnt801_7_2_2</v>
      </c>
      <c r="AS1539">
        <f>X1539</f>
        <v>0</v>
      </c>
      <c r="BJ1539" s="573" t="s">
        <v>4670</v>
      </c>
    </row>
    <row r="1540" spans="1:62" ht="15" thickTop="1" x14ac:dyDescent="0.35">
      <c r="A1540" s="403">
        <v>8</v>
      </c>
      <c r="B1540" s="609">
        <v>801.8</v>
      </c>
      <c r="C1540" s="604"/>
      <c r="D1540" s="604"/>
      <c r="E1540" s="604"/>
      <c r="F1540" s="604"/>
      <c r="G1540" s="403" t="str">
        <f>IF(N1540&gt;0,"P","")</f>
        <v/>
      </c>
      <c r="H1540" s="403" t="s">
        <v>4325</v>
      </c>
      <c r="I1540" s="32">
        <v>801.8</v>
      </c>
      <c r="J1540" s="4"/>
      <c r="K1540" s="4"/>
      <c r="L1540" s="706" t="s">
        <v>927</v>
      </c>
      <c r="M1540" s="692">
        <v>1</v>
      </c>
      <c r="N1540" s="694">
        <f>'Ch8'!O144</f>
        <v>0</v>
      </c>
      <c r="O1540" s="694">
        <f>M1540*S1540*W1540</f>
        <v>0</v>
      </c>
      <c r="P1540" t="b">
        <v>0</v>
      </c>
      <c r="Q1540" t="b">
        <v>1</v>
      </c>
      <c r="R1540" t="b">
        <v>0</v>
      </c>
      <c r="S1540" t="b">
        <v>1</v>
      </c>
      <c r="T1540" t="b">
        <v>0</v>
      </c>
      <c r="W1540" s="77"/>
      <c r="X1540" s="700"/>
      <c r="Y1540" s="904" t="str">
        <f>IF(LEN('Ch8'!X144)=0,"None",'Ch8'!X144)</f>
        <v>None</v>
      </c>
      <c r="Z1540" s="896"/>
      <c r="AC1540" t="b">
        <f>OR(AD1540:AE1540)</f>
        <v>0</v>
      </c>
      <c r="AD1540" t="b">
        <f>T1540</f>
        <v>0</v>
      </c>
      <c r="AE1540" t="b">
        <v>0</v>
      </c>
      <c r="AF1540" t="b">
        <f>AND(AE1540,NOT(Q1540))</f>
        <v>0</v>
      </c>
      <c r="AL1540" t="str">
        <f t="shared" si="503"/>
        <v>vpa801_8</v>
      </c>
      <c r="AM1540">
        <f>M1540</f>
        <v>1</v>
      </c>
      <c r="AN1540" t="str">
        <f>SUBSTITUTE(SUBSTITUTE(SUBSTITUTE("vpc"&amp;$B1540&amp;$C1540&amp;$D1540&amp;$E1540&amp;$F1540,".","_"),"(","_"),")","")</f>
        <v>vpc801_8</v>
      </c>
      <c r="AO1540">
        <f>O1540</f>
        <v>0</v>
      </c>
      <c r="AP1540" t="str">
        <f>SUBSTITUTE(SUBSTITUTE(SUBSTITUTE("vch"&amp;$B1540&amp;$C1540&amp;$D1540&amp;$E1540&amp;$F1540,".","_"),"(","_"),")","")</f>
        <v>vch801_8</v>
      </c>
      <c r="AQ1540">
        <f>W1540</f>
        <v>0</v>
      </c>
      <c r="AR1540" t="str">
        <f t="shared" si="504"/>
        <v>vnt801_8</v>
      </c>
      <c r="AS1540">
        <f>X1540</f>
        <v>0</v>
      </c>
      <c r="BJ1540" s="573" t="s">
        <v>4670</v>
      </c>
    </row>
    <row r="1541" spans="1:62" x14ac:dyDescent="0.35">
      <c r="A1541" s="403">
        <v>8</v>
      </c>
      <c r="B1541" s="609">
        <v>801.8</v>
      </c>
      <c r="C1541" s="604"/>
      <c r="D1541" s="604"/>
      <c r="E1541" s="604"/>
      <c r="F1541" s="604"/>
      <c r="G1541" s="403" t="str">
        <f t="shared" si="501"/>
        <v/>
      </c>
      <c r="H1541" s="403" t="s">
        <v>4325</v>
      </c>
      <c r="I1541" s="32"/>
      <c r="J1541" s="4"/>
      <c r="K1541" s="4"/>
      <c r="L1541" s="706"/>
      <c r="M1541" s="690"/>
      <c r="N1541" s="696"/>
      <c r="O1541" s="696"/>
      <c r="X1541" s="688"/>
      <c r="Y1541" s="891"/>
      <c r="Z1541" s="892"/>
      <c r="BJ1541" s="573" t="s">
        <v>4670</v>
      </c>
    </row>
    <row r="1542" spans="1:62" ht="18.5" x14ac:dyDescent="0.45">
      <c r="A1542" s="403">
        <v>8</v>
      </c>
      <c r="B1542" s="609">
        <v>802</v>
      </c>
      <c r="C1542" s="604"/>
      <c r="D1542" s="604"/>
      <c r="E1542" s="604"/>
      <c r="F1542" s="604"/>
      <c r="G1542" s="403" t="s">
        <v>4326</v>
      </c>
      <c r="H1542" s="403" t="s">
        <v>4323</v>
      </c>
      <c r="I1542" s="10" t="s">
        <v>928</v>
      </c>
      <c r="J1542" s="15"/>
      <c r="K1542" s="15"/>
      <c r="L1542" s="174"/>
      <c r="M1542" s="340"/>
      <c r="N1542" s="340"/>
      <c r="O1542" s="340"/>
      <c r="P1542" s="15"/>
      <c r="Q1542" s="15"/>
      <c r="R1542" s="15"/>
      <c r="S1542" s="15"/>
      <c r="T1542" s="15"/>
      <c r="U1542" s="15"/>
      <c r="V1542" s="15"/>
      <c r="W1542" s="15"/>
      <c r="X1542" s="15"/>
      <c r="Y1542" s="15"/>
      <c r="Z1542" s="562"/>
      <c r="BJ1542" s="573" t="s">
        <v>4670</v>
      </c>
    </row>
    <row r="1543" spans="1:62" x14ac:dyDescent="0.35">
      <c r="A1543" s="403">
        <v>8</v>
      </c>
      <c r="B1543" s="609">
        <v>802.1</v>
      </c>
      <c r="C1543" s="604"/>
      <c r="D1543" s="604"/>
      <c r="E1543" s="604"/>
      <c r="F1543" s="604"/>
      <c r="G1543" s="403" t="str">
        <f ca="1">IF(N1543&gt;0,"P","")</f>
        <v/>
      </c>
      <c r="H1543" s="403" t="s">
        <v>4323</v>
      </c>
      <c r="I1543" s="32">
        <v>802.1</v>
      </c>
      <c r="J1543" s="4"/>
      <c r="K1543" s="4"/>
      <c r="L1543" s="706" t="s">
        <v>929</v>
      </c>
      <c r="M1543" s="43"/>
      <c r="N1543" s="696">
        <f ca="1">'Ch8'!O147</f>
        <v>0</v>
      </c>
      <c r="O1543" s="696">
        <f ca="1">MAX(IFERROR(5*MATCH(W1547,INDIRECT(U1547),0),0)*S1547,M1549*S1549*W1549)*S1547</f>
        <v>0</v>
      </c>
      <c r="Z1543" s="543"/>
      <c r="AN1543" t="str">
        <f>SUBSTITUTE(SUBSTITUTE(SUBSTITUTE("vpc"&amp;$B1543&amp;$C1543&amp;$D1543&amp;$E1543&amp;$F1543,".","_"),"(","_"),")","")</f>
        <v>vpc802_1</v>
      </c>
      <c r="AO1543">
        <f ca="1">O1543</f>
        <v>0</v>
      </c>
      <c r="BJ1543" s="573" t="s">
        <v>4670</v>
      </c>
    </row>
    <row r="1544" spans="1:62" x14ac:dyDescent="0.35">
      <c r="A1544" s="403">
        <v>8</v>
      </c>
      <c r="B1544" s="609">
        <v>802.1</v>
      </c>
      <c r="C1544" s="604"/>
      <c r="D1544" s="604"/>
      <c r="E1544" s="604"/>
      <c r="F1544" s="604"/>
      <c r="G1544" s="403" t="str">
        <f t="shared" ref="G1544:G1549" ca="1" si="505">G1543</f>
        <v/>
      </c>
      <c r="H1544" s="403" t="s">
        <v>4323</v>
      </c>
      <c r="I1544" s="32"/>
      <c r="J1544" s="4"/>
      <c r="K1544" s="4"/>
      <c r="L1544" s="706"/>
      <c r="M1544" s="43"/>
      <c r="N1544" s="696"/>
      <c r="O1544" s="696"/>
      <c r="Z1544" s="543"/>
      <c r="BJ1544" s="573" t="s">
        <v>4670</v>
      </c>
    </row>
    <row r="1545" spans="1:62" x14ac:dyDescent="0.35">
      <c r="A1545" s="403">
        <v>8</v>
      </c>
      <c r="B1545" s="609">
        <v>802.1</v>
      </c>
      <c r="C1545" s="604"/>
      <c r="D1545" s="604"/>
      <c r="E1545" s="604"/>
      <c r="F1545" s="604"/>
      <c r="G1545" s="403" t="str">
        <f t="shared" ca="1" si="505"/>
        <v/>
      </c>
      <c r="H1545" s="403" t="s">
        <v>4323</v>
      </c>
      <c r="I1545" s="32"/>
      <c r="J1545" s="4"/>
      <c r="K1545" s="4"/>
      <c r="L1545" s="107" t="s">
        <v>930</v>
      </c>
      <c r="M1545" s="43"/>
      <c r="N1545" s="696"/>
      <c r="O1545" s="696"/>
      <c r="Z1545" s="543"/>
      <c r="BJ1545" s="573" t="s">
        <v>4670</v>
      </c>
    </row>
    <row r="1546" spans="1:62" x14ac:dyDescent="0.35">
      <c r="A1546" s="403">
        <v>8</v>
      </c>
      <c r="B1546" s="609">
        <v>802.1</v>
      </c>
      <c r="C1546" s="604"/>
      <c r="D1546" s="604"/>
      <c r="E1546" s="604"/>
      <c r="F1546" s="604"/>
      <c r="G1546" s="403" t="str">
        <f t="shared" ca="1" si="505"/>
        <v/>
      </c>
      <c r="H1546" s="403" t="s">
        <v>4323</v>
      </c>
      <c r="I1546" s="32"/>
      <c r="J1546" s="4"/>
      <c r="K1546" s="4"/>
      <c r="L1546" s="107" t="s">
        <v>931</v>
      </c>
      <c r="M1546" s="43"/>
      <c r="N1546" s="85"/>
      <c r="O1546" s="85"/>
      <c r="Z1546" s="543"/>
      <c r="BJ1546" s="573" t="s">
        <v>4670</v>
      </c>
    </row>
    <row r="1547" spans="1:62" x14ac:dyDescent="0.35">
      <c r="A1547" s="403">
        <v>8</v>
      </c>
      <c r="B1547" s="609">
        <v>802.1</v>
      </c>
      <c r="C1547" s="604"/>
      <c r="D1547" s="604"/>
      <c r="E1547" s="604" t="s">
        <v>270</v>
      </c>
      <c r="F1547" s="604"/>
      <c r="G1547" s="403" t="str">
        <f t="shared" ca="1" si="505"/>
        <v/>
      </c>
      <c r="H1547" s="403" t="s">
        <v>4323</v>
      </c>
      <c r="I1547" s="32"/>
      <c r="J1547" s="19" t="s">
        <v>270</v>
      </c>
      <c r="K1547" s="4"/>
      <c r="L1547" s="104" t="s">
        <v>932</v>
      </c>
      <c r="M1547" s="737" t="s">
        <v>3857</v>
      </c>
      <c r="N1547" s="85"/>
      <c r="O1547" s="85"/>
      <c r="P1547" t="b">
        <v>1</v>
      </c>
      <c r="Q1547" t="b">
        <v>1</v>
      </c>
      <c r="R1547" t="b">
        <v>0</v>
      </c>
      <c r="S1547" t="b">
        <f>NOT(W1563)</f>
        <v>1</v>
      </c>
      <c r="T1547" t="b">
        <f>IF(AND(NOT(S1547),LEN(W1547)&gt;0),TRUE,FALSE)</f>
        <v>0</v>
      </c>
      <c r="U1547" t="str">
        <f>SUBSTITUTE(SUBSTITUTE(SUBSTITUTE("dd"&amp;B1547&amp;C1547&amp;D1547&amp;E1547&amp;F1547,".","_"),"(","_"),")","")</f>
        <v>dd802_1_1</v>
      </c>
      <c r="W1547" s="9"/>
      <c r="X1547" s="688"/>
      <c r="Y1547" s="891" t="str">
        <f>IF(LEN('Ch8'!X151)=0,"None",'Ch8'!X151)</f>
        <v>None</v>
      </c>
      <c r="Z1547" s="892"/>
      <c r="AC1547" t="b">
        <f>OR(AD1547:AE1547)</f>
        <v>0</v>
      </c>
      <c r="AD1547" t="b">
        <f>T1547</f>
        <v>0</v>
      </c>
      <c r="AL1547" t="str">
        <f t="shared" ref="AL1547" si="506">SUBSTITUTE(SUBSTITUTE(SUBSTITUTE("vpa"&amp;$B1547&amp;$C1547&amp;$D1547&amp;$E1547&amp;$F1547,".","_"),"(","_"),")","")</f>
        <v>vpa802_1_1</v>
      </c>
      <c r="AM1547" t="str">
        <f>M1547</f>
        <v>5
20 Max</v>
      </c>
      <c r="AP1547" t="str">
        <f>SUBSTITUTE(SUBSTITUTE(SUBSTITUTE("vch"&amp;$B1547&amp;$C1547&amp;$D1547&amp;$E1547&amp;$F1547,".","_"),"(","_"),")","")</f>
        <v>vch802_1_1</v>
      </c>
      <c r="AQ1547">
        <f>W1547</f>
        <v>0</v>
      </c>
      <c r="AR1547" t="str">
        <f>SUBSTITUTE(SUBSTITUTE(SUBSTITUTE("vnt"&amp;$B1547&amp;$C1547&amp;$D1547&amp;$E1547&amp;$F1547,".","_"),"(","_"),")","")</f>
        <v>vnt802_1_1</v>
      </c>
      <c r="AS1547">
        <f>X1547</f>
        <v>0</v>
      </c>
      <c r="BJ1547" s="573" t="s">
        <v>4670</v>
      </c>
    </row>
    <row r="1548" spans="1:62" x14ac:dyDescent="0.35">
      <c r="A1548" s="403">
        <v>8</v>
      </c>
      <c r="B1548" s="609">
        <v>802.1</v>
      </c>
      <c r="C1548" s="604"/>
      <c r="D1548" s="604"/>
      <c r="E1548" s="604" t="s">
        <v>270</v>
      </c>
      <c r="F1548" s="604"/>
      <c r="G1548" s="403" t="str">
        <f t="shared" ca="1" si="505"/>
        <v/>
      </c>
      <c r="H1548" s="403" t="s">
        <v>4323</v>
      </c>
      <c r="I1548" s="32"/>
      <c r="J1548" s="155"/>
      <c r="K1548" s="155"/>
      <c r="L1548" s="165" t="s">
        <v>933</v>
      </c>
      <c r="M1548" s="691"/>
      <c r="N1548" s="85"/>
      <c r="O1548" s="85"/>
      <c r="X1548" s="688"/>
      <c r="Y1548" s="891"/>
      <c r="Z1548" s="892"/>
      <c r="BJ1548" s="573" t="s">
        <v>4670</v>
      </c>
    </row>
    <row r="1549" spans="1:62" ht="15" thickBot="1" x14ac:dyDescent="0.4">
      <c r="A1549" s="403">
        <v>8</v>
      </c>
      <c r="B1549" s="609">
        <v>802.1</v>
      </c>
      <c r="C1549" s="604"/>
      <c r="D1549" s="604"/>
      <c r="E1549" s="604" t="s">
        <v>272</v>
      </c>
      <c r="F1549" s="604"/>
      <c r="G1549" s="403" t="str">
        <f t="shared" ca="1" si="505"/>
        <v/>
      </c>
      <c r="H1549" s="403" t="s">
        <v>4323</v>
      </c>
      <c r="I1549" s="132"/>
      <c r="J1549" s="133" t="s">
        <v>272</v>
      </c>
      <c r="K1549" s="183"/>
      <c r="L1549" s="223" t="s">
        <v>934</v>
      </c>
      <c r="M1549" s="270">
        <v>10</v>
      </c>
      <c r="N1549" s="184"/>
      <c r="O1549" s="184"/>
      <c r="P1549" t="b">
        <v>1</v>
      </c>
      <c r="Q1549" t="b">
        <v>1</v>
      </c>
      <c r="R1549" s="58" t="b">
        <v>0</v>
      </c>
      <c r="S1549" s="58" t="b">
        <f>NOT(W1563)</f>
        <v>1</v>
      </c>
      <c r="T1549" s="58" t="b">
        <f>IF(AND(NOT(S1549),W1549=TRUE),TRUE,FALSE)</f>
        <v>0</v>
      </c>
      <c r="U1549" s="58"/>
      <c r="V1549" s="58"/>
      <c r="W1549" s="17"/>
      <c r="X1549" s="113"/>
      <c r="Y1549" s="201" t="str">
        <f>IF(LEN('Ch8'!X153)=0,"None",'Ch8'!X153)</f>
        <v>None</v>
      </c>
      <c r="Z1549" s="567"/>
      <c r="AC1549" t="b">
        <f>OR(AD1549:AE1549)</f>
        <v>0</v>
      </c>
      <c r="AD1549" t="b">
        <f>T1549</f>
        <v>0</v>
      </c>
      <c r="AE1549" t="b">
        <v>0</v>
      </c>
      <c r="AF1549" t="b">
        <f>AND(AE1549,NOT(Q1549))</f>
        <v>0</v>
      </c>
      <c r="AL1549" t="str">
        <f t="shared" ref="AL1549:AL1550" si="507">SUBSTITUTE(SUBSTITUTE(SUBSTITUTE("vpa"&amp;$B1549&amp;$C1549&amp;$D1549&amp;$E1549&amp;$F1549,".","_"),"(","_"),")","")</f>
        <v>vpa802_1_2</v>
      </c>
      <c r="AM1549">
        <f>M1549</f>
        <v>10</v>
      </c>
      <c r="AP1549" t="str">
        <f>SUBSTITUTE(SUBSTITUTE(SUBSTITUTE("vch"&amp;$B1549&amp;$C1549&amp;$D1549&amp;$E1549&amp;$F1549,".","_"),"(","_"),")","")</f>
        <v>vch802_1_2</v>
      </c>
      <c r="AQ1549">
        <f>W1549</f>
        <v>0</v>
      </c>
      <c r="AR1549" t="str">
        <f t="shared" ref="AR1549:AR1550" si="508">SUBSTITUTE(SUBSTITUTE(SUBSTITUTE("vnt"&amp;$B1549&amp;$C1549&amp;$D1549&amp;$E1549&amp;$F1549,".","_"),"(","_"),")","")</f>
        <v>vnt802_1_2</v>
      </c>
      <c r="AS1549">
        <f>X1549</f>
        <v>0</v>
      </c>
      <c r="BJ1549" s="573" t="s">
        <v>4670</v>
      </c>
    </row>
    <row r="1550" spans="1:62" ht="15" thickTop="1" x14ac:dyDescent="0.35">
      <c r="A1550" s="403">
        <v>8</v>
      </c>
      <c r="B1550" s="609">
        <v>802.2</v>
      </c>
      <c r="C1550" s="604"/>
      <c r="D1550" s="604"/>
      <c r="E1550" s="604"/>
      <c r="F1550" s="604"/>
      <c r="G1550" s="403" t="str">
        <f>IF(N1550&gt;0,"P","")</f>
        <v/>
      </c>
      <c r="H1550" s="403" t="s">
        <v>4323</v>
      </c>
      <c r="I1550" s="123">
        <v>802.2</v>
      </c>
      <c r="J1550" s="124"/>
      <c r="K1550" s="124"/>
      <c r="L1550" s="711" t="s">
        <v>935</v>
      </c>
      <c r="M1550" s="743" t="s">
        <v>936</v>
      </c>
      <c r="N1550" s="694">
        <f>'Ch8'!O154</f>
        <v>0</v>
      </c>
      <c r="O1550" s="694">
        <f>W1551*3</f>
        <v>0</v>
      </c>
      <c r="P1550" s="62"/>
      <c r="Q1550" s="62"/>
      <c r="R1550" s="62"/>
      <c r="S1550" s="62"/>
      <c r="T1550" s="62"/>
      <c r="U1550" s="62"/>
      <c r="V1550" s="62"/>
      <c r="W1550" s="62" t="s">
        <v>3856</v>
      </c>
      <c r="X1550" s="687"/>
      <c r="Y1550" s="904" t="str">
        <f>IF(LEN('Ch8'!X154)=0,"None",'Ch8'!X154)</f>
        <v>None</v>
      </c>
      <c r="Z1550" s="896"/>
      <c r="AL1550" t="str">
        <f t="shared" si="507"/>
        <v>vpa802_2</v>
      </c>
      <c r="AM1550" t="str">
        <f>M1550</f>
        <v>3 per roughed in system</v>
      </c>
      <c r="AN1550" t="str">
        <f>SUBSTITUTE(SUBSTITUTE(SUBSTITUTE("vpc"&amp;$B1550&amp;$C1550&amp;$D1550&amp;$E1550&amp;$F1550,".","_"),"(","_"),")","")</f>
        <v>vpc802_2</v>
      </c>
      <c r="AO1550">
        <f>O1550</f>
        <v>0</v>
      </c>
      <c r="AR1550" t="str">
        <f t="shared" si="508"/>
        <v>vnt802_2</v>
      </c>
      <c r="AS1550">
        <f>X1550</f>
        <v>0</v>
      </c>
      <c r="BJ1550" s="573" t="s">
        <v>4670</v>
      </c>
    </row>
    <row r="1551" spans="1:62" x14ac:dyDescent="0.35">
      <c r="A1551" s="403">
        <v>8</v>
      </c>
      <c r="B1551" s="609">
        <v>802.2</v>
      </c>
      <c r="C1551" s="604"/>
      <c r="D1551" s="604"/>
      <c r="E1551" s="604"/>
      <c r="F1551" s="604"/>
      <c r="G1551" s="403" t="str">
        <f t="shared" ref="G1551:G1552" si="509">G1550</f>
        <v/>
      </c>
      <c r="H1551" s="403" t="s">
        <v>4323</v>
      </c>
      <c r="I1551" s="32"/>
      <c r="J1551" s="4"/>
      <c r="K1551" s="4"/>
      <c r="L1551" s="706"/>
      <c r="M1551" s="737"/>
      <c r="N1551" s="696"/>
      <c r="O1551" s="696"/>
      <c r="P1551" t="b">
        <v>1</v>
      </c>
      <c r="Q1551" t="b">
        <v>1</v>
      </c>
      <c r="R1551" t="b">
        <v>0</v>
      </c>
      <c r="S1551" t="b">
        <v>1</v>
      </c>
      <c r="T1551" t="b">
        <f>IF(AND(NOT(S1551),LEN(W1551)&gt;0),TRUE,FALSE)</f>
        <v>0</v>
      </c>
      <c r="W1551" s="279"/>
      <c r="X1551" s="688"/>
      <c r="Y1551" s="891"/>
      <c r="Z1551" s="892"/>
      <c r="AC1551" t="b">
        <f>OR(AD1551:AE1551)</f>
        <v>0</v>
      </c>
      <c r="AD1551" t="b">
        <f>T1551</f>
        <v>0</v>
      </c>
      <c r="AP1551" t="str">
        <f>SUBSTITUTE(SUBSTITUTE(SUBSTITUTE("vch"&amp;$B1551&amp;$C1551&amp;$D1551&amp;$E1551&amp;$F1551,".","_"),"(","_"),")","")</f>
        <v>vch802_2</v>
      </c>
      <c r="AQ1551" s="627">
        <f>W1551</f>
        <v>0</v>
      </c>
      <c r="BJ1551" s="573" t="s">
        <v>4670</v>
      </c>
    </row>
    <row r="1552" spans="1:62" ht="15" thickBot="1" x14ac:dyDescent="0.4">
      <c r="A1552" s="403">
        <v>8</v>
      </c>
      <c r="B1552" s="609">
        <v>802.2</v>
      </c>
      <c r="C1552" s="604"/>
      <c r="D1552" s="604"/>
      <c r="E1552" s="604"/>
      <c r="F1552" s="604"/>
      <c r="G1552" s="403" t="str">
        <f t="shared" si="509"/>
        <v/>
      </c>
      <c r="H1552" s="403" t="s">
        <v>4323</v>
      </c>
      <c r="I1552" s="132"/>
      <c r="J1552" s="183"/>
      <c r="K1552" s="183"/>
      <c r="L1552" s="710"/>
      <c r="M1552" s="800"/>
      <c r="N1552" s="695"/>
      <c r="O1552" s="695"/>
      <c r="P1552" s="58"/>
      <c r="Q1552" s="58"/>
      <c r="R1552" s="58"/>
      <c r="S1552" s="58"/>
      <c r="T1552" s="58"/>
      <c r="U1552" s="58"/>
      <c r="V1552" s="58"/>
      <c r="W1552" s="58"/>
      <c r="X1552" s="689"/>
      <c r="Y1552" s="891"/>
      <c r="Z1552" s="892"/>
      <c r="BJ1552" s="573" t="s">
        <v>4670</v>
      </c>
    </row>
    <row r="1553" spans="1:62" ht="15" thickTop="1" x14ac:dyDescent="0.35">
      <c r="A1553" s="403">
        <v>8</v>
      </c>
      <c r="B1553" s="609">
        <v>802.3</v>
      </c>
      <c r="C1553" s="604"/>
      <c r="D1553" s="604"/>
      <c r="E1553" s="604"/>
      <c r="F1553" s="604"/>
      <c r="G1553" s="403" t="str">
        <f>IF(N1553&gt;0,"P","")</f>
        <v/>
      </c>
      <c r="H1553" s="403" t="s">
        <v>4325</v>
      </c>
      <c r="I1553" s="32">
        <v>802.3</v>
      </c>
      <c r="J1553" s="4"/>
      <c r="K1553" s="4"/>
      <c r="L1553" s="783" t="s">
        <v>937</v>
      </c>
      <c r="M1553" s="690">
        <v>2</v>
      </c>
      <c r="N1553" s="696">
        <f>'Ch8'!O157</f>
        <v>0</v>
      </c>
      <c r="O1553" s="696">
        <f>IFERROR(2*OR(W1556,W1557),0)*S1556</f>
        <v>0</v>
      </c>
      <c r="Z1553" s="543"/>
      <c r="AL1553" t="str">
        <f t="shared" ref="AL1553" si="510">SUBSTITUTE(SUBSTITUTE(SUBSTITUTE("vpa"&amp;$B1553&amp;$C1553&amp;$D1553&amp;$E1553&amp;$F1553,".","_"),"(","_"),")","")</f>
        <v>vpa802_3</v>
      </c>
      <c r="AM1553">
        <f>M1553</f>
        <v>2</v>
      </c>
      <c r="AN1553" t="str">
        <f>SUBSTITUTE(SUBSTITUTE(SUBSTITUTE("vpc"&amp;$B1553&amp;$C1553&amp;$D1553&amp;$E1553&amp;$F1553,".","_"),"(","_"),")","")</f>
        <v>vpc802_3</v>
      </c>
      <c r="AO1553">
        <f>O1553</f>
        <v>0</v>
      </c>
      <c r="BJ1553" s="573" t="s">
        <v>4670</v>
      </c>
    </row>
    <row r="1554" spans="1:62" x14ac:dyDescent="0.35">
      <c r="A1554" s="403">
        <v>8</v>
      </c>
      <c r="B1554" s="609">
        <v>802.3</v>
      </c>
      <c r="C1554" s="604"/>
      <c r="D1554" s="604"/>
      <c r="E1554" s="604"/>
      <c r="F1554" s="604"/>
      <c r="G1554" s="403" t="str">
        <f t="shared" ref="G1554:G1557" si="511">G1553</f>
        <v/>
      </c>
      <c r="H1554" s="403" t="s">
        <v>4325</v>
      </c>
      <c r="I1554" s="32"/>
      <c r="J1554" s="4"/>
      <c r="K1554" s="4"/>
      <c r="L1554" s="783"/>
      <c r="M1554" s="690"/>
      <c r="N1554" s="696"/>
      <c r="O1554" s="696"/>
      <c r="Z1554" s="543"/>
      <c r="BJ1554" s="573" t="s">
        <v>4670</v>
      </c>
    </row>
    <row r="1555" spans="1:62" x14ac:dyDescent="0.35">
      <c r="A1555" s="403">
        <v>8</v>
      </c>
      <c r="B1555" s="609">
        <v>802.3</v>
      </c>
      <c r="C1555" s="604"/>
      <c r="D1555" s="604"/>
      <c r="E1555" s="604"/>
      <c r="F1555" s="604"/>
      <c r="G1555" s="403" t="str">
        <f t="shared" si="511"/>
        <v/>
      </c>
      <c r="H1555" s="403" t="s">
        <v>4325</v>
      </c>
      <c r="I1555" s="32"/>
      <c r="J1555" s="4"/>
      <c r="K1555" s="4"/>
      <c r="L1555" s="783"/>
      <c r="M1555" s="690"/>
      <c r="N1555" s="696"/>
      <c r="O1555" s="696"/>
      <c r="Z1555" s="543"/>
      <c r="BJ1555" s="573" t="s">
        <v>4670</v>
      </c>
    </row>
    <row r="1556" spans="1:62" x14ac:dyDescent="0.35">
      <c r="A1556" s="403">
        <v>8</v>
      </c>
      <c r="B1556" s="609">
        <v>802.3</v>
      </c>
      <c r="C1556" s="604"/>
      <c r="D1556" s="604"/>
      <c r="E1556" s="604" t="s">
        <v>270</v>
      </c>
      <c r="F1556" s="604"/>
      <c r="G1556" s="403" t="str">
        <f t="shared" si="511"/>
        <v/>
      </c>
      <c r="H1556" s="403" t="s">
        <v>4325</v>
      </c>
      <c r="I1556" s="32"/>
      <c r="J1556" s="148" t="s">
        <v>270</v>
      </c>
      <c r="K1556" s="155"/>
      <c r="L1556" s="214" t="s">
        <v>938</v>
      </c>
      <c r="M1556" s="43"/>
      <c r="N1556" s="85"/>
      <c r="O1556" s="85"/>
      <c r="P1556" t="b">
        <v>0</v>
      </c>
      <c r="Q1556" t="b">
        <v>1</v>
      </c>
      <c r="R1556" t="b">
        <v>0</v>
      </c>
      <c r="S1556" t="b">
        <v>1</v>
      </c>
      <c r="T1556" t="b">
        <f>IF(AND(NOT(S1556),W1556=TRUE),TRUE,FALSE)</f>
        <v>0</v>
      </c>
      <c r="W1556" s="17"/>
      <c r="X1556" s="39"/>
      <c r="Y1556" s="200" t="str">
        <f>IF(LEN('Ch8'!X160)=0,"None",'Ch8'!X160)</f>
        <v>None</v>
      </c>
      <c r="Z1556" s="563"/>
      <c r="AC1556" t="b">
        <f>OR(AD1556:AE1556)</f>
        <v>0</v>
      </c>
      <c r="AD1556" t="b">
        <f>T1556</f>
        <v>0</v>
      </c>
      <c r="AE1556" t="b">
        <v>0</v>
      </c>
      <c r="AF1556" t="b">
        <f>AND(AE1556,NOT(Q1556))</f>
        <v>0</v>
      </c>
      <c r="AP1556" t="str">
        <f t="shared" ref="AP1556:AP1558" si="512">SUBSTITUTE(SUBSTITUTE(SUBSTITUTE("vch"&amp;$B1556&amp;$C1556&amp;$D1556&amp;$E1556&amp;$F1556,".","_"),"(","_"),")","")</f>
        <v>vch802_3_1</v>
      </c>
      <c r="AQ1556">
        <f>W1556</f>
        <v>0</v>
      </c>
      <c r="AR1556" t="str">
        <f t="shared" ref="AR1556:AR1558" si="513">SUBSTITUTE(SUBSTITUTE(SUBSTITUTE("vnt"&amp;$B1556&amp;$C1556&amp;$D1556&amp;$E1556&amp;$F1556,".","_"),"(","_"),")","")</f>
        <v>vnt802_3_1</v>
      </c>
      <c r="AS1556">
        <f>X1556</f>
        <v>0</v>
      </c>
      <c r="BJ1556" s="573" t="s">
        <v>4670</v>
      </c>
    </row>
    <row r="1557" spans="1:62" ht="15" thickBot="1" x14ac:dyDescent="0.4">
      <c r="A1557" s="403">
        <v>8</v>
      </c>
      <c r="B1557" s="609">
        <v>802.3</v>
      </c>
      <c r="C1557" s="604"/>
      <c r="D1557" s="604"/>
      <c r="E1557" s="604" t="s">
        <v>272</v>
      </c>
      <c r="F1557" s="604"/>
      <c r="G1557" s="403" t="str">
        <f t="shared" si="511"/>
        <v/>
      </c>
      <c r="H1557" s="403" t="s">
        <v>4325</v>
      </c>
      <c r="I1557" s="132"/>
      <c r="J1557" s="133" t="s">
        <v>272</v>
      </c>
      <c r="K1557" s="183"/>
      <c r="L1557" s="223" t="s">
        <v>939</v>
      </c>
      <c r="M1557" s="270"/>
      <c r="N1557" s="184"/>
      <c r="O1557" s="184"/>
      <c r="P1557" t="b">
        <v>0</v>
      </c>
      <c r="Q1557" t="b">
        <v>1</v>
      </c>
      <c r="R1557" s="58" t="b">
        <v>0</v>
      </c>
      <c r="S1557" s="58" t="b">
        <v>1</v>
      </c>
      <c r="T1557" s="58" t="b">
        <f>IF(AND(NOT(S1557),W1557=TRUE),TRUE,FALSE)</f>
        <v>0</v>
      </c>
      <c r="U1557" s="58"/>
      <c r="V1557" s="58"/>
      <c r="W1557" s="59"/>
      <c r="X1557" s="113"/>
      <c r="Y1557" s="201" t="str">
        <f>IF(LEN('Ch8'!X161)=0,"None",'Ch8'!X161)</f>
        <v>None</v>
      </c>
      <c r="Z1557" s="567"/>
      <c r="AC1557" t="b">
        <f>OR(AD1557:AE1557)</f>
        <v>0</v>
      </c>
      <c r="AD1557" t="b">
        <f>T1557</f>
        <v>0</v>
      </c>
      <c r="AE1557" t="b">
        <v>0</v>
      </c>
      <c r="AF1557" t="b">
        <f>AND(AE1557,NOT(Q1557))</f>
        <v>0</v>
      </c>
      <c r="AP1557" t="str">
        <f t="shared" si="512"/>
        <v>vch802_3_2</v>
      </c>
      <c r="AQ1557">
        <f>W1557</f>
        <v>0</v>
      </c>
      <c r="AR1557" t="str">
        <f t="shared" si="513"/>
        <v>vnt802_3_2</v>
      </c>
      <c r="AS1557">
        <f>X1557</f>
        <v>0</v>
      </c>
      <c r="BJ1557" s="573" t="s">
        <v>4670</v>
      </c>
    </row>
    <row r="1558" spans="1:62" ht="15" thickTop="1" x14ac:dyDescent="0.35">
      <c r="A1558" s="403">
        <v>8</v>
      </c>
      <c r="B1558" s="609">
        <v>802.4</v>
      </c>
      <c r="C1558" s="604"/>
      <c r="D1558" s="604"/>
      <c r="E1558" s="604"/>
      <c r="F1558" s="604"/>
      <c r="G1558" s="403" t="str">
        <f>IF(N1558&gt;0,"P","")</f>
        <v/>
      </c>
      <c r="H1558" s="403" t="s">
        <v>4325</v>
      </c>
      <c r="I1558" s="123">
        <v>802.4</v>
      </c>
      <c r="J1558" s="124"/>
      <c r="K1558" s="124"/>
      <c r="L1558" s="711" t="s">
        <v>940</v>
      </c>
      <c r="M1558" s="692">
        <v>20</v>
      </c>
      <c r="N1558" s="694">
        <f>'Ch8'!O162</f>
        <v>0</v>
      </c>
      <c r="O1558" s="694">
        <f>M1558*S1558*W1558</f>
        <v>0</v>
      </c>
      <c r="P1558" t="b">
        <v>0</v>
      </c>
      <c r="Q1558" t="b">
        <v>1</v>
      </c>
      <c r="R1558" s="62" t="b">
        <v>0</v>
      </c>
      <c r="S1558" s="62" t="b">
        <v>1</v>
      </c>
      <c r="T1558" s="62" t="b">
        <f>IF(AND(NOT(S1558),W1558=TRUE),TRUE,FALSE)</f>
        <v>0</v>
      </c>
      <c r="U1558" s="62"/>
      <c r="V1558" s="62"/>
      <c r="W1558" s="77"/>
      <c r="X1558" s="687"/>
      <c r="Y1558" s="904" t="str">
        <f>IF(LEN('Ch8'!X162)=0,"None",'Ch8'!X162)</f>
        <v>None</v>
      </c>
      <c r="Z1558" s="896"/>
      <c r="AC1558" t="b">
        <f>OR(AD1558:AE1558)</f>
        <v>0</v>
      </c>
      <c r="AD1558" t="b">
        <f>T1558</f>
        <v>0</v>
      </c>
      <c r="AE1558" t="b">
        <v>0</v>
      </c>
      <c r="AF1558" t="b">
        <f>AND(AE1558,NOT(Q1558))</f>
        <v>0</v>
      </c>
      <c r="AL1558" t="str">
        <f t="shared" ref="AL1558" si="514">SUBSTITUTE(SUBSTITUTE(SUBSTITUTE("vpa"&amp;$B1558&amp;$C1558&amp;$D1558&amp;$E1558&amp;$F1558,".","_"),"(","_"),")","")</f>
        <v>vpa802_4</v>
      </c>
      <c r="AM1558">
        <f>M1558</f>
        <v>20</v>
      </c>
      <c r="AN1558" t="str">
        <f>SUBSTITUTE(SUBSTITUTE(SUBSTITUTE("vpc"&amp;$B1558&amp;$C1558&amp;$D1558&amp;$E1558&amp;$F1558,".","_"),"(","_"),")","")</f>
        <v>vpc802_4</v>
      </c>
      <c r="AO1558">
        <f>O1558</f>
        <v>0</v>
      </c>
      <c r="AP1558" t="str">
        <f t="shared" si="512"/>
        <v>vch802_4</v>
      </c>
      <c r="AQ1558">
        <f>W1558</f>
        <v>0</v>
      </c>
      <c r="AR1558" t="str">
        <f t="shared" si="513"/>
        <v>vnt802_4</v>
      </c>
      <c r="AS1558">
        <f>X1558</f>
        <v>0</v>
      </c>
      <c r="BJ1558" s="573" t="s">
        <v>4670</v>
      </c>
    </row>
    <row r="1559" spans="1:62" x14ac:dyDescent="0.35">
      <c r="A1559" s="403">
        <v>8</v>
      </c>
      <c r="B1559" s="609">
        <v>802.4</v>
      </c>
      <c r="C1559" s="604"/>
      <c r="D1559" s="604"/>
      <c r="E1559" s="604"/>
      <c r="F1559" s="604"/>
      <c r="G1559" s="403" t="str">
        <f t="shared" ref="G1559:G1560" si="515">G1558</f>
        <v/>
      </c>
      <c r="H1559" s="403" t="s">
        <v>4325</v>
      </c>
      <c r="I1559" s="32"/>
      <c r="J1559" s="4"/>
      <c r="K1559" s="4"/>
      <c r="L1559" s="706"/>
      <c r="M1559" s="690"/>
      <c r="N1559" s="696"/>
      <c r="O1559" s="696"/>
      <c r="X1559" s="688"/>
      <c r="Y1559" s="891"/>
      <c r="Z1559" s="892"/>
      <c r="BJ1559" s="573" t="s">
        <v>4670</v>
      </c>
    </row>
    <row r="1560" spans="1:62" ht="15" thickBot="1" x14ac:dyDescent="0.4">
      <c r="A1560" s="403">
        <v>8</v>
      </c>
      <c r="B1560" s="609">
        <v>802.4</v>
      </c>
      <c r="C1560" s="604"/>
      <c r="D1560" s="604"/>
      <c r="E1560" s="604"/>
      <c r="F1560" s="604"/>
      <c r="G1560" s="403" t="str">
        <f t="shared" si="515"/>
        <v/>
      </c>
      <c r="H1560" s="403" t="s">
        <v>4325</v>
      </c>
      <c r="I1560" s="132"/>
      <c r="J1560" s="183"/>
      <c r="K1560" s="183"/>
      <c r="L1560" s="710"/>
      <c r="M1560" s="693"/>
      <c r="N1560" s="695"/>
      <c r="O1560" s="695"/>
      <c r="P1560" s="58"/>
      <c r="Q1560" s="58"/>
      <c r="R1560" s="58"/>
      <c r="S1560" s="58"/>
      <c r="T1560" s="58"/>
      <c r="U1560" s="58"/>
      <c r="V1560" s="58"/>
      <c r="W1560" s="58"/>
      <c r="X1560" s="689"/>
      <c r="Y1560" s="905"/>
      <c r="Z1560" s="895"/>
      <c r="BJ1560" s="573" t="s">
        <v>4670</v>
      </c>
    </row>
    <row r="1561" spans="1:62" ht="15" thickTop="1" x14ac:dyDescent="0.35">
      <c r="A1561" s="403">
        <v>8</v>
      </c>
      <c r="B1561" s="609">
        <v>802.5</v>
      </c>
      <c r="C1561" s="604"/>
      <c r="D1561" s="604"/>
      <c r="E1561" s="604"/>
      <c r="F1561" s="604"/>
      <c r="G1561" s="403" t="str">
        <f>IF(N1561&gt;0,"P","")</f>
        <v/>
      </c>
      <c r="H1561" s="403" t="s">
        <v>4325</v>
      </c>
      <c r="I1561" s="123">
        <v>802.5</v>
      </c>
      <c r="J1561" s="124"/>
      <c r="K1561" s="124"/>
      <c r="L1561" s="792" t="s">
        <v>941</v>
      </c>
      <c r="M1561" s="692">
        <v>1</v>
      </c>
      <c r="N1561" s="694">
        <f>'Ch8'!O165</f>
        <v>0</v>
      </c>
      <c r="O1561" s="694">
        <f>M1561*S1561*W1561</f>
        <v>0</v>
      </c>
      <c r="P1561" t="b">
        <v>0</v>
      </c>
      <c r="Q1561" t="b">
        <v>1</v>
      </c>
      <c r="R1561" s="62" t="b">
        <v>0</v>
      </c>
      <c r="S1561" s="62" t="b">
        <v>1</v>
      </c>
      <c r="T1561" s="62" t="b">
        <f>IF(AND(NOT(S1561),W1561=TRUE),TRUE,FALSE)</f>
        <v>0</v>
      </c>
      <c r="U1561" s="62"/>
      <c r="V1561" s="62"/>
      <c r="W1561" s="17"/>
      <c r="X1561" s="687"/>
      <c r="Y1561" s="904" t="str">
        <f>IF(LEN('Ch8'!X165)=0,"None",'Ch8'!X165)</f>
        <v>None</v>
      </c>
      <c r="Z1561" s="896"/>
      <c r="AC1561" t="b">
        <f>OR(AD1561:AE1561)</f>
        <v>0</v>
      </c>
      <c r="AD1561" t="b">
        <f>T1561</f>
        <v>0</v>
      </c>
      <c r="AE1561" t="b">
        <v>0</v>
      </c>
      <c r="AF1561" t="b">
        <f>AND(AE1561,NOT(Q1561))</f>
        <v>0</v>
      </c>
      <c r="AL1561" t="str">
        <f t="shared" ref="AL1561" si="516">SUBSTITUTE(SUBSTITUTE(SUBSTITUTE("vpa"&amp;$B1561&amp;$C1561&amp;$D1561&amp;$E1561&amp;$F1561,".","_"),"(","_"),")","")</f>
        <v>vpa802_5</v>
      </c>
      <c r="AM1561">
        <f>M1561</f>
        <v>1</v>
      </c>
      <c r="AN1561" t="str">
        <f>SUBSTITUTE(SUBSTITUTE(SUBSTITUTE("vpc"&amp;$B1561&amp;$C1561&amp;$D1561&amp;$E1561&amp;$F1561,".","_"),"(","_"),")","")</f>
        <v>vpc802_5</v>
      </c>
      <c r="AO1561">
        <f>O1561</f>
        <v>0</v>
      </c>
      <c r="AP1561" t="str">
        <f>SUBSTITUTE(SUBSTITUTE(SUBSTITUTE("vch"&amp;$B1561&amp;$C1561&amp;$D1561&amp;$E1561&amp;$F1561,".","_"),"(","_"),")","")</f>
        <v>vch802_5</v>
      </c>
      <c r="AQ1561">
        <f>W1561</f>
        <v>0</v>
      </c>
      <c r="AR1561" t="str">
        <f>SUBSTITUTE(SUBSTITUTE(SUBSTITUTE("vnt"&amp;$B1561&amp;$C1561&amp;$D1561&amp;$E1561&amp;$F1561,".","_"),"(","_"),")","")</f>
        <v>vnt802_5</v>
      </c>
      <c r="AS1561">
        <f>X1561</f>
        <v>0</v>
      </c>
      <c r="BJ1561" s="573" t="s">
        <v>4670</v>
      </c>
    </row>
    <row r="1562" spans="1:62" ht="15" thickBot="1" x14ac:dyDescent="0.4">
      <c r="A1562" s="403">
        <v>8</v>
      </c>
      <c r="B1562" s="609">
        <v>802.5</v>
      </c>
      <c r="C1562" s="604"/>
      <c r="D1562" s="604"/>
      <c r="E1562" s="604"/>
      <c r="F1562" s="604"/>
      <c r="G1562" s="403" t="str">
        <f t="shared" ref="G1562" si="517">G1561</f>
        <v/>
      </c>
      <c r="H1562" s="403" t="s">
        <v>4325</v>
      </c>
      <c r="I1562" s="132"/>
      <c r="J1562" s="183"/>
      <c r="K1562" s="183"/>
      <c r="L1562" s="793"/>
      <c r="M1562" s="693"/>
      <c r="N1562" s="695"/>
      <c r="O1562" s="695"/>
      <c r="P1562" s="58"/>
      <c r="Q1562" s="58"/>
      <c r="R1562" s="58"/>
      <c r="S1562" s="58"/>
      <c r="T1562" s="58"/>
      <c r="U1562" s="58"/>
      <c r="V1562" s="58"/>
      <c r="W1562" s="58"/>
      <c r="X1562" s="689"/>
      <c r="Y1562" s="905"/>
      <c r="Z1562" s="895"/>
      <c r="BJ1562" s="573" t="s">
        <v>4670</v>
      </c>
    </row>
    <row r="1563" spans="1:62" ht="15" thickTop="1" x14ac:dyDescent="0.35">
      <c r="A1563" s="403">
        <v>8</v>
      </c>
      <c r="B1563" s="609">
        <v>802.6</v>
      </c>
      <c r="C1563" s="604"/>
      <c r="D1563" s="604"/>
      <c r="E1563" s="604"/>
      <c r="F1563" s="604"/>
      <c r="G1563" s="403" t="str">
        <f>IF(N1563&gt;0,"P","")</f>
        <v/>
      </c>
      <c r="H1563" s="403" t="s">
        <v>4325</v>
      </c>
      <c r="I1563" s="32">
        <v>802.6</v>
      </c>
      <c r="J1563" s="4"/>
      <c r="K1563" s="4"/>
      <c r="L1563" s="706" t="s">
        <v>942</v>
      </c>
      <c r="M1563" s="690">
        <v>20</v>
      </c>
      <c r="N1563" s="696">
        <f>'Ch8'!O167</f>
        <v>0</v>
      </c>
      <c r="O1563" s="696">
        <f>M1563*S1563*W1563</f>
        <v>0</v>
      </c>
      <c r="P1563" t="b">
        <v>0</v>
      </c>
      <c r="Q1563" t="b">
        <v>1</v>
      </c>
      <c r="R1563" t="b">
        <v>0</v>
      </c>
      <c r="S1563" t="b">
        <f>NOT(OR(LEN(W1547)&gt;0,W1549))</f>
        <v>1</v>
      </c>
      <c r="T1563" t="b">
        <f>IF(AND(NOT(S1563),W1563=TRUE),TRUE,FALSE)</f>
        <v>0</v>
      </c>
      <c r="W1563" s="17"/>
      <c r="X1563" s="700"/>
      <c r="Y1563" s="904" t="str">
        <f>IF(LEN('Ch8'!X167)=0,"None",'Ch8'!X167)</f>
        <v>None</v>
      </c>
      <c r="Z1563" s="896"/>
      <c r="AC1563" t="b">
        <f>OR(AD1563:AE1563)</f>
        <v>0</v>
      </c>
      <c r="AD1563" t="b">
        <f>T1563</f>
        <v>0</v>
      </c>
      <c r="AE1563" t="b">
        <v>0</v>
      </c>
      <c r="AF1563" t="b">
        <f>AND(AE1563,NOT(Q1563))</f>
        <v>0</v>
      </c>
      <c r="AL1563" t="str">
        <f t="shared" ref="AL1563" si="518">SUBSTITUTE(SUBSTITUTE(SUBSTITUTE("vpa"&amp;$B1563&amp;$C1563&amp;$D1563&amp;$E1563&amp;$F1563,".","_"),"(","_"),")","")</f>
        <v>vpa802_6</v>
      </c>
      <c r="AM1563">
        <f>M1563</f>
        <v>20</v>
      </c>
      <c r="AN1563" t="str">
        <f>SUBSTITUTE(SUBSTITUTE(SUBSTITUTE("vpc"&amp;$B1563&amp;$C1563&amp;$D1563&amp;$E1563&amp;$F1563,".","_"),"(","_"),")","")</f>
        <v>vpc802_6</v>
      </c>
      <c r="AO1563">
        <f>O1563</f>
        <v>0</v>
      </c>
      <c r="AP1563" t="str">
        <f>SUBSTITUTE(SUBSTITUTE(SUBSTITUTE("vch"&amp;$B1563&amp;$C1563&amp;$D1563&amp;$E1563&amp;$F1563,".","_"),"(","_"),")","")</f>
        <v>vch802_6</v>
      </c>
      <c r="AQ1563">
        <f>W1563</f>
        <v>0</v>
      </c>
      <c r="AR1563" t="str">
        <f>SUBSTITUTE(SUBSTITUTE(SUBSTITUTE("vnt"&amp;$B1563&amp;$C1563&amp;$D1563&amp;$E1563&amp;$F1563,".","_"),"(","_"),")","")</f>
        <v>vnt802_6</v>
      </c>
      <c r="AS1563">
        <f>X1563</f>
        <v>0</v>
      </c>
      <c r="BJ1563" s="573" t="s">
        <v>4670</v>
      </c>
    </row>
    <row r="1564" spans="1:62" x14ac:dyDescent="0.35">
      <c r="A1564" s="403">
        <v>8</v>
      </c>
      <c r="B1564" s="609">
        <v>802.6</v>
      </c>
      <c r="C1564" s="604"/>
      <c r="D1564" s="604"/>
      <c r="E1564" s="604"/>
      <c r="F1564" s="604"/>
      <c r="G1564" s="403" t="str">
        <f t="shared" ref="G1564:G1565" si="519">G1563</f>
        <v/>
      </c>
      <c r="H1564" s="403" t="s">
        <v>4325</v>
      </c>
      <c r="I1564" s="32"/>
      <c r="J1564" s="4"/>
      <c r="K1564" s="4"/>
      <c r="L1564" s="706"/>
      <c r="M1564" s="690"/>
      <c r="N1564" s="696"/>
      <c r="O1564" s="696"/>
      <c r="X1564" s="688"/>
      <c r="Y1564" s="891"/>
      <c r="Z1564" s="892"/>
      <c r="BJ1564" s="573" t="s">
        <v>4670</v>
      </c>
    </row>
    <row r="1565" spans="1:62" x14ac:dyDescent="0.35">
      <c r="A1565" s="403">
        <v>8</v>
      </c>
      <c r="B1565" s="609">
        <v>802.6</v>
      </c>
      <c r="C1565" s="604"/>
      <c r="D1565" s="604"/>
      <c r="E1565" s="604"/>
      <c r="F1565" s="604"/>
      <c r="G1565" s="403" t="str">
        <f t="shared" si="519"/>
        <v/>
      </c>
      <c r="H1565" s="403" t="s">
        <v>4325</v>
      </c>
      <c r="I1565" s="32"/>
      <c r="J1565" s="4"/>
      <c r="K1565" s="4"/>
      <c r="L1565" s="107" t="s">
        <v>931</v>
      </c>
      <c r="M1565" s="690"/>
      <c r="N1565" s="696"/>
      <c r="O1565" s="696"/>
      <c r="X1565" s="688"/>
      <c r="Y1565" s="891"/>
      <c r="Z1565" s="892"/>
      <c r="BJ1565" s="573" t="s">
        <v>4670</v>
      </c>
    </row>
    <row r="1566" spans="1:62" ht="18.5" x14ac:dyDescent="0.45">
      <c r="A1566" s="403">
        <v>9</v>
      </c>
      <c r="B1566" s="609" t="s">
        <v>4586</v>
      </c>
      <c r="G1566" s="403" t="s">
        <v>4326</v>
      </c>
      <c r="H1566" s="403" t="s">
        <v>4323</v>
      </c>
      <c r="I1566" s="14" t="s">
        <v>3345</v>
      </c>
      <c r="J1566" s="14"/>
      <c r="K1566" s="14"/>
      <c r="L1566" s="15"/>
      <c r="M1566" s="16"/>
      <c r="N1566" s="16"/>
      <c r="O1566" s="16"/>
      <c r="P1566" t="s">
        <v>260</v>
      </c>
      <c r="Q1566" t="s">
        <v>260</v>
      </c>
      <c r="R1566" t="s">
        <v>260</v>
      </c>
      <c r="S1566" t="s">
        <v>260</v>
      </c>
      <c r="T1566" t="s">
        <v>260</v>
      </c>
      <c r="U1566" t="s">
        <v>260</v>
      </c>
      <c r="V1566" t="s">
        <v>260</v>
      </c>
      <c r="W1566" s="15"/>
      <c r="X1566" s="15"/>
      <c r="Y1566" s="15"/>
      <c r="Z1566" s="562"/>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J1566" s="573" t="s">
        <v>4670</v>
      </c>
    </row>
    <row r="1567" spans="1:62" x14ac:dyDescent="0.35">
      <c r="A1567" s="403">
        <v>9</v>
      </c>
      <c r="B1567" s="609" t="s">
        <v>4359</v>
      </c>
      <c r="C1567" s="604"/>
      <c r="D1567" s="604"/>
      <c r="E1567" s="604"/>
      <c r="F1567" s="604"/>
      <c r="I1567" s="166">
        <v>901</v>
      </c>
      <c r="J1567" s="4"/>
      <c r="K1567" s="4"/>
      <c r="L1567" s="110" t="s">
        <v>3346</v>
      </c>
      <c r="M1567" s="109"/>
      <c r="N1567" s="43"/>
      <c r="O1567" s="43"/>
      <c r="Z1567" s="543"/>
      <c r="BJ1567" s="573" t="s">
        <v>4670</v>
      </c>
    </row>
    <row r="1568" spans="1:62" x14ac:dyDescent="0.35">
      <c r="A1568" s="403">
        <v>9</v>
      </c>
      <c r="B1568" s="609">
        <v>901.1</v>
      </c>
      <c r="C1568" s="604"/>
      <c r="D1568" s="604"/>
      <c r="E1568" s="604"/>
      <c r="F1568" s="604"/>
      <c r="G1568" s="600" t="str">
        <f ca="1">IF(COUNTIF(G1569:G1593,"P")&gt;0,"P","")</f>
        <v>P</v>
      </c>
      <c r="H1568" s="403" t="s">
        <v>4323</v>
      </c>
      <c r="I1568" s="166">
        <v>901.1</v>
      </c>
      <c r="J1568" s="4"/>
      <c r="K1568" s="4"/>
      <c r="L1568" s="110" t="s">
        <v>3347</v>
      </c>
      <c r="M1568" s="109"/>
      <c r="N1568" s="43"/>
      <c r="O1568" s="43"/>
      <c r="Z1568" s="543"/>
      <c r="AX1568" s="6" t="str">
        <f>'Overview (Verification)'!A8</f>
        <v>Builder Name:</v>
      </c>
      <c r="AY1568" t="str">
        <f>IF(LEN('Overview (Verification)'!P8)=0,0,'Overview (Verification)'!P8)</f>
        <v>ABC Builder</v>
      </c>
      <c r="BJ1568" s="573" t="s">
        <v>4670</v>
      </c>
    </row>
    <row r="1569" spans="1:62" x14ac:dyDescent="0.35">
      <c r="A1569" s="403">
        <v>9</v>
      </c>
      <c r="B1569" s="609" t="s">
        <v>3348</v>
      </c>
      <c r="C1569" s="604"/>
      <c r="D1569" s="604"/>
      <c r="E1569" s="604"/>
      <c r="F1569" s="604"/>
      <c r="G1569" s="403" t="str">
        <f>IF(N1569&gt;0,"P","")</f>
        <v/>
      </c>
      <c r="H1569" s="403" t="s">
        <v>4323</v>
      </c>
      <c r="I1569" s="166" t="s">
        <v>3348</v>
      </c>
      <c r="J1569" s="4"/>
      <c r="K1569" s="4"/>
      <c r="L1569" s="706" t="s">
        <v>3349</v>
      </c>
      <c r="M1569" s="690">
        <v>5</v>
      </c>
      <c r="N1569" s="696">
        <f>'Ch9'!O12</f>
        <v>0</v>
      </c>
      <c r="O1569" s="696">
        <f>M1569*S1569*W1569</f>
        <v>0</v>
      </c>
      <c r="P1569" t="b">
        <v>1</v>
      </c>
      <c r="Q1569" t="b">
        <v>1</v>
      </c>
      <c r="R1569" t="b">
        <v>0</v>
      </c>
      <c r="S1569" t="b">
        <v>1</v>
      </c>
      <c r="T1569" t="b">
        <v>0</v>
      </c>
      <c r="W1569" s="17"/>
      <c r="X1569" s="688"/>
      <c r="Y1569" s="891" t="str">
        <f>IF(LEN('Ch9'!X12)=0,"None",'Ch9'!X12)</f>
        <v>None</v>
      </c>
      <c r="Z1569" s="892"/>
      <c r="AC1569" t="b">
        <f>OR(AD1569:AE1569)</f>
        <v>0</v>
      </c>
      <c r="AD1569" t="b">
        <f>T1569</f>
        <v>0</v>
      </c>
      <c r="AE1569" t="b">
        <f>AND(R1569,NOT(W1569))</f>
        <v>0</v>
      </c>
      <c r="AF1569" t="b">
        <f>AND(AE1569,NOT(Q1569))</f>
        <v>0</v>
      </c>
      <c r="AL1569" t="str">
        <f t="shared" ref="AL1569" si="520">SUBSTITUTE(SUBSTITUTE(SUBSTITUTE("vpa"&amp;$B1569&amp;$C1569&amp;$D1569&amp;$E1569&amp;$F1569,".","_"),"(","_"),")","")</f>
        <v>vpa901_1_1</v>
      </c>
      <c r="AM1569">
        <f>M1569</f>
        <v>5</v>
      </c>
      <c r="AN1569" t="str">
        <f>SUBSTITUTE(SUBSTITUTE(SUBSTITUTE("vpc"&amp;$B1569&amp;$C1569&amp;$D1569&amp;$E1569&amp;$F1569,".","_"),"(","_"),")","")</f>
        <v>vpc901_1_1</v>
      </c>
      <c r="AO1569">
        <f>O1569</f>
        <v>0</v>
      </c>
      <c r="AP1569" t="str">
        <f>SUBSTITUTE(SUBSTITUTE(SUBSTITUTE("vch"&amp;$B1569&amp;$C1569&amp;$D1569&amp;$E1569&amp;$F1569,".","_"),"(","_"),")","")</f>
        <v>vch901_1_1</v>
      </c>
      <c r="AQ1569">
        <f>W1569</f>
        <v>0</v>
      </c>
      <c r="AR1569" t="str">
        <f>SUBSTITUTE(SUBSTITUTE(SUBSTITUTE("vnt"&amp;$B1569&amp;$C1569&amp;$D1569&amp;$E1569&amp;$F1569,".","_"),"(","_"),")","")</f>
        <v>vnt901_1_1</v>
      </c>
      <c r="AS1569">
        <f>X1569</f>
        <v>0</v>
      </c>
      <c r="AX1569" s="6" t="str">
        <f>'Overview (Verification)'!A9</f>
        <v>Physical Address of Home:</v>
      </c>
      <c r="AY1569" t="str">
        <f>IF(LEN('Overview (Verification)'!P9)=0,0,'Overview (Verification)'!P9)</f>
        <v>123 Example Drive</v>
      </c>
      <c r="BJ1569" s="573" t="s">
        <v>4670</v>
      </c>
    </row>
    <row r="1570" spans="1:62" x14ac:dyDescent="0.35">
      <c r="A1570" s="403">
        <v>9</v>
      </c>
      <c r="B1570" s="609" t="s">
        <v>3348</v>
      </c>
      <c r="C1570" s="604"/>
      <c r="D1570" s="604"/>
      <c r="E1570" s="604"/>
      <c r="F1570" s="604"/>
      <c r="G1570" s="403" t="str">
        <f t="shared" ref="G1570:G1574" si="521">G1569</f>
        <v/>
      </c>
      <c r="H1570" s="403" t="s">
        <v>4323</v>
      </c>
      <c r="I1570" s="108"/>
      <c r="J1570" s="4"/>
      <c r="K1570" s="4"/>
      <c r="L1570" s="706"/>
      <c r="M1570" s="690"/>
      <c r="N1570" s="696"/>
      <c r="O1570" s="696"/>
      <c r="X1570" s="688"/>
      <c r="Y1570" s="891"/>
      <c r="Z1570" s="892"/>
      <c r="AX1570" s="6" t="str">
        <f>'Overview (Verification)'!A10</f>
        <v>Community/Lot #:</v>
      </c>
      <c r="AY1570" t="str">
        <f>IF(LEN('Overview (Verification)'!P10)=0,0,'Overview (Verification)'!P10)</f>
        <v>Lot 1A</v>
      </c>
      <c r="BJ1570" s="573" t="s">
        <v>4670</v>
      </c>
    </row>
    <row r="1571" spans="1:62" x14ac:dyDescent="0.35">
      <c r="A1571" s="403">
        <v>9</v>
      </c>
      <c r="B1571" s="609" t="s">
        <v>3348</v>
      </c>
      <c r="C1571" s="604"/>
      <c r="D1571" s="604"/>
      <c r="E1571" s="604"/>
      <c r="F1571" s="604"/>
      <c r="G1571" s="403" t="str">
        <f t="shared" si="521"/>
        <v/>
      </c>
      <c r="H1571" s="403" t="s">
        <v>4323</v>
      </c>
      <c r="I1571" s="108"/>
      <c r="J1571" s="4"/>
      <c r="K1571" s="4"/>
      <c r="L1571" s="706"/>
      <c r="M1571" s="690"/>
      <c r="N1571" s="696"/>
      <c r="O1571" s="696"/>
      <c r="X1571" s="688"/>
      <c r="Y1571" s="891"/>
      <c r="Z1571" s="892"/>
      <c r="AX1571" s="6" t="str">
        <f>'Overview (Verification)'!A11</f>
        <v>City:</v>
      </c>
      <c r="AY1571" t="str">
        <f>IF(LEN('Overview (Verification)'!P11)=0,0,'Overview (Verification)'!P11)</f>
        <v>Durham</v>
      </c>
      <c r="BJ1571" s="573" t="s">
        <v>4670</v>
      </c>
    </row>
    <row r="1572" spans="1:62" x14ac:dyDescent="0.35">
      <c r="A1572" s="403">
        <v>9</v>
      </c>
      <c r="B1572" s="609" t="s">
        <v>3348</v>
      </c>
      <c r="C1572" s="604"/>
      <c r="D1572" s="604"/>
      <c r="E1572" s="604"/>
      <c r="F1572" s="604"/>
      <c r="G1572" s="403" t="str">
        <f t="shared" si="521"/>
        <v/>
      </c>
      <c r="H1572" s="403" t="s">
        <v>4323</v>
      </c>
      <c r="I1572" s="108"/>
      <c r="J1572" s="4"/>
      <c r="K1572" s="4"/>
      <c r="L1572" s="706"/>
      <c r="M1572" s="690"/>
      <c r="N1572" s="696"/>
      <c r="O1572" s="696"/>
      <c r="X1572" s="688"/>
      <c r="Y1572" s="891"/>
      <c r="Z1572" s="892"/>
      <c r="AX1572" s="6" t="str">
        <f>'Overview (Verification)'!A12</f>
        <v>State:</v>
      </c>
      <c r="AY1572" t="str">
        <f>IF(LEN('Overview (Verification)'!P12)=0,0,'Overview (Verification)'!P12)</f>
        <v>North Carolina</v>
      </c>
      <c r="BC1572" t="str">
        <f>'Overview (Verification)'!T12</f>
        <v>State</v>
      </c>
      <c r="BD1572" t="str">
        <f>'Overview (Verification)'!U12</f>
        <v>County</v>
      </c>
      <c r="BE1572" t="str">
        <f>'Overview (Verification)'!V12</f>
        <v>Radon</v>
      </c>
      <c r="BF1572" t="str">
        <f>'Overview (Verification)'!W12</f>
        <v>Climate</v>
      </c>
      <c r="BG1572" t="str">
        <f>'Overview (Verification)'!X12</f>
        <v>Moist</v>
      </c>
      <c r="BH1572" t="str">
        <f>'Overview (Verification)'!Y12</f>
        <v>WarmHumid</v>
      </c>
      <c r="BJ1572" s="573" t="s">
        <v>4670</v>
      </c>
    </row>
    <row r="1573" spans="1:62" x14ac:dyDescent="0.35">
      <c r="A1573" s="403">
        <v>9</v>
      </c>
      <c r="B1573" s="609" t="s">
        <v>3348</v>
      </c>
      <c r="C1573" s="604"/>
      <c r="D1573" s="604"/>
      <c r="E1573" s="604"/>
      <c r="F1573" s="604"/>
      <c r="G1573" s="403" t="str">
        <f t="shared" si="521"/>
        <v/>
      </c>
      <c r="H1573" s="403" t="s">
        <v>4323</v>
      </c>
      <c r="I1573" s="108"/>
      <c r="J1573" s="4"/>
      <c r="K1573" s="4"/>
      <c r="L1573" s="791" t="s">
        <v>3594</v>
      </c>
      <c r="M1573" s="690"/>
      <c r="N1573" s="696"/>
      <c r="O1573" s="696"/>
      <c r="X1573" s="688"/>
      <c r="Y1573" s="891"/>
      <c r="Z1573" s="892"/>
      <c r="AX1573" s="6" t="str">
        <f>'Overview (Verification)'!A13</f>
        <v>County:</v>
      </c>
      <c r="AY1573" t="str">
        <f>IF(LEN('Overview (Verification)'!P13)=0,0,'Overview (Verification)'!P13)</f>
        <v xml:space="preserve">Chatham  </v>
      </c>
      <c r="BC1573" t="str">
        <f>'Overview (Verification)'!T13</f>
        <v>North Carolina</v>
      </c>
      <c r="BD1573" t="str">
        <f>'Overview (Verification)'!U13</f>
        <v xml:space="preserve">Chatham  </v>
      </c>
      <c r="BE1573">
        <f>'Overview (Verification)'!V13</f>
        <v>3</v>
      </c>
      <c r="BF1573">
        <f>'Overview (Verification)'!W13</f>
        <v>4</v>
      </c>
      <c r="BG1573" t="str">
        <f>'Overview (Verification)'!X13</f>
        <v>Moist</v>
      </c>
      <c r="BH1573" t="str">
        <f>'Overview (Verification)'!Y13</f>
        <v xml:space="preserve"> </v>
      </c>
      <c r="BJ1573" s="573" t="s">
        <v>4670</v>
      </c>
    </row>
    <row r="1574" spans="1:62" x14ac:dyDescent="0.35">
      <c r="A1574" s="403">
        <v>9</v>
      </c>
      <c r="B1574" s="609" t="s">
        <v>3348</v>
      </c>
      <c r="C1574" s="604"/>
      <c r="D1574" s="604"/>
      <c r="E1574" s="604"/>
      <c r="F1574" s="604"/>
      <c r="G1574" s="403" t="str">
        <f t="shared" si="521"/>
        <v/>
      </c>
      <c r="H1574" s="403" t="s">
        <v>4323</v>
      </c>
      <c r="I1574" s="353"/>
      <c r="J1574" s="155"/>
      <c r="K1574" s="155"/>
      <c r="L1574" s="801"/>
      <c r="M1574" s="691"/>
      <c r="N1574" s="697"/>
      <c r="O1574" s="697"/>
      <c r="P1574" s="119"/>
      <c r="Q1574" s="119"/>
      <c r="R1574" s="119"/>
      <c r="S1574" s="119"/>
      <c r="T1574" s="119"/>
      <c r="U1574" s="119"/>
      <c r="V1574" s="119"/>
      <c r="W1574" s="119"/>
      <c r="X1574" s="688"/>
      <c r="Y1574" s="891"/>
      <c r="Z1574" s="892"/>
      <c r="AX1574" s="6" t="str">
        <f>'Overview (Verification)'!A14</f>
        <v>Zip:</v>
      </c>
      <c r="AY1574" t="str">
        <f>IF(LEN('Overview (Verification)'!P14)=0,0,'Overview (Verification)'!P14)</f>
        <v>27703</v>
      </c>
      <c r="BJ1574" s="573" t="s">
        <v>4670</v>
      </c>
    </row>
    <row r="1575" spans="1:62" x14ac:dyDescent="0.35">
      <c r="A1575" s="403">
        <v>9</v>
      </c>
      <c r="B1575" s="609" t="s">
        <v>3350</v>
      </c>
      <c r="C1575" s="604"/>
      <c r="D1575" s="604"/>
      <c r="E1575" s="604"/>
      <c r="F1575" s="604"/>
      <c r="G1575" s="403" t="str">
        <f>IF(N1575&gt;0,"P","")</f>
        <v>P</v>
      </c>
      <c r="H1575" s="403" t="s">
        <v>4324</v>
      </c>
      <c r="I1575" s="135" t="s">
        <v>3350</v>
      </c>
      <c r="J1575" s="136"/>
      <c r="K1575" s="136"/>
      <c r="L1575" s="753" t="s">
        <v>3351</v>
      </c>
      <c r="M1575" s="712">
        <v>5</v>
      </c>
      <c r="N1575" s="713">
        <f>'Ch9'!O18</f>
        <v>5</v>
      </c>
      <c r="O1575" s="713">
        <f>M1575*S1575*W1575</f>
        <v>5</v>
      </c>
      <c r="P1575" t="b">
        <v>1</v>
      </c>
      <c r="Q1575" t="b">
        <v>0</v>
      </c>
      <c r="R1575" s="138" t="b">
        <v>0</v>
      </c>
      <c r="S1575" s="138" t="b">
        <v>1</v>
      </c>
      <c r="T1575" s="138" t="b">
        <v>0</v>
      </c>
      <c r="U1575" s="138"/>
      <c r="V1575" s="138"/>
      <c r="W1575" s="17" t="b">
        <v>1</v>
      </c>
      <c r="X1575" s="688"/>
      <c r="Y1575" s="891" t="str">
        <f>IF(LEN('Ch9'!X18)=0,"None",'Ch9'!X18)</f>
        <v>None</v>
      </c>
      <c r="Z1575" s="892"/>
      <c r="AC1575" t="b">
        <f>OR(AD1575:AE1575)</f>
        <v>0</v>
      </c>
      <c r="AD1575" t="b">
        <f>T1575</f>
        <v>0</v>
      </c>
      <c r="AE1575" t="b">
        <f>AND(R1575,NOT(W1575))</f>
        <v>0</v>
      </c>
      <c r="AF1575" t="b">
        <f>AND(AE1575,NOT(Q1575))</f>
        <v>0</v>
      </c>
      <c r="AL1575" t="str">
        <f t="shared" ref="AL1575" si="522">SUBSTITUTE(SUBSTITUTE(SUBSTITUTE("vpa"&amp;$B1575&amp;$C1575&amp;$D1575&amp;$E1575&amp;$F1575,".","_"),"(","_"),")","")</f>
        <v>vpa901_1_2</v>
      </c>
      <c r="AM1575">
        <f>M1575</f>
        <v>5</v>
      </c>
      <c r="AN1575" t="str">
        <f>SUBSTITUTE(SUBSTITUTE(SUBSTITUTE("vpc"&amp;$B1575&amp;$C1575&amp;$D1575&amp;$E1575&amp;$F1575,".","_"),"(","_"),")","")</f>
        <v>vpc901_1_2</v>
      </c>
      <c r="AO1575">
        <f>O1575</f>
        <v>5</v>
      </c>
      <c r="AP1575" t="str">
        <f>SUBSTITUTE(SUBSTITUTE(SUBSTITUTE("vch"&amp;$B1575&amp;$C1575&amp;$D1575&amp;$E1575&amp;$F1575,".","_"),"(","_"),")","")</f>
        <v>vch901_1_2</v>
      </c>
      <c r="AQ1575" t="b">
        <f>W1575</f>
        <v>1</v>
      </c>
      <c r="AR1575" t="str">
        <f>SUBSTITUTE(SUBSTITUTE(SUBSTITUTE("vnt"&amp;$B1575&amp;$C1575&amp;$D1575&amp;$E1575&amp;$F1575,".","_"),"(","_"),")","")</f>
        <v>vnt901_1_2</v>
      </c>
      <c r="AS1575">
        <f>X1575</f>
        <v>0</v>
      </c>
      <c r="AX1575" s="6"/>
      <c r="BJ1575" s="573" t="s">
        <v>4670</v>
      </c>
    </row>
    <row r="1576" spans="1:62" x14ac:dyDescent="0.35">
      <c r="A1576" s="403">
        <v>9</v>
      </c>
      <c r="B1576" s="609" t="s">
        <v>3350</v>
      </c>
      <c r="C1576" s="604"/>
      <c r="D1576" s="604"/>
      <c r="E1576" s="604"/>
      <c r="F1576" s="604"/>
      <c r="G1576" s="403" t="str">
        <f t="shared" ref="G1576:G1577" si="523">G1575</f>
        <v>P</v>
      </c>
      <c r="H1576" s="403" t="s">
        <v>4324</v>
      </c>
      <c r="I1576" s="108"/>
      <c r="J1576" s="4"/>
      <c r="K1576" s="4"/>
      <c r="L1576" s="706"/>
      <c r="M1576" s="690"/>
      <c r="N1576" s="696"/>
      <c r="O1576" s="696"/>
      <c r="X1576" s="688"/>
      <c r="Y1576" s="891"/>
      <c r="Z1576" s="892"/>
      <c r="AX1576" s="6" t="str">
        <f>'Overview (Verification)'!A16</f>
        <v>Single-Family or Multifamily:</v>
      </c>
      <c r="AY1576" t="str">
        <f>IF(LEN('Overview (Verification)'!P16)=0,0,'Overview (Verification)'!P16)</f>
        <v>Single-Family</v>
      </c>
      <c r="BJ1576" s="573" t="s">
        <v>4670</v>
      </c>
    </row>
    <row r="1577" spans="1:62" x14ac:dyDescent="0.35">
      <c r="A1577" s="403">
        <v>9</v>
      </c>
      <c r="B1577" s="609" t="s">
        <v>3350</v>
      </c>
      <c r="C1577" s="604"/>
      <c r="D1577" s="604"/>
      <c r="E1577" s="604"/>
      <c r="F1577" s="604"/>
      <c r="G1577" s="403" t="str">
        <f t="shared" si="523"/>
        <v>P</v>
      </c>
      <c r="H1577" s="403" t="s">
        <v>4324</v>
      </c>
      <c r="I1577" s="353"/>
      <c r="J1577" s="155"/>
      <c r="K1577" s="155"/>
      <c r="L1577" s="121" t="s">
        <v>3922</v>
      </c>
      <c r="M1577" s="198"/>
      <c r="N1577" s="342"/>
      <c r="O1577" s="342"/>
      <c r="P1577" s="119"/>
      <c r="Q1577" s="119"/>
      <c r="R1577" s="119"/>
      <c r="S1577" s="119"/>
      <c r="T1577" s="119"/>
      <c r="U1577" s="119"/>
      <c r="V1577" s="119"/>
      <c r="W1577" s="119"/>
      <c r="X1577" s="688"/>
      <c r="Y1577" s="891"/>
      <c r="Z1577" s="892"/>
      <c r="AX1577" s="6" t="str">
        <f>'Overview (Verification)'!A17</f>
        <v>Number of Units:</v>
      </c>
      <c r="AY1577">
        <f>IF(LEN('Overview (Verification)'!P17)=0,0,'Overview (Verification)'!P17)</f>
        <v>0</v>
      </c>
      <c r="BJ1577" s="573" t="s">
        <v>4670</v>
      </c>
    </row>
    <row r="1578" spans="1:62" x14ac:dyDescent="0.35">
      <c r="A1578" s="403">
        <v>9</v>
      </c>
      <c r="B1578" s="609" t="s">
        <v>3352</v>
      </c>
      <c r="C1578" s="604"/>
      <c r="D1578" s="604"/>
      <c r="E1578" s="604"/>
      <c r="F1578" s="604"/>
      <c r="G1578" s="600" t="str">
        <f ca="1">IF(COUNTIF(G1580:G1583,"P")&gt;0,"P","")</f>
        <v/>
      </c>
      <c r="H1578" s="403" t="s">
        <v>4323</v>
      </c>
      <c r="I1578" s="32" t="s">
        <v>3352</v>
      </c>
      <c r="J1578" s="4"/>
      <c r="K1578" s="4"/>
      <c r="L1578" s="706" t="s">
        <v>3353</v>
      </c>
      <c r="M1578" s="43"/>
      <c r="N1578" s="85"/>
      <c r="O1578" s="85"/>
      <c r="Z1578" s="543"/>
      <c r="AX1578" s="6" t="str">
        <f>'Overview (Verification)'!A18</f>
        <v>Project Name:</v>
      </c>
      <c r="AY1578">
        <f>IF(LEN('Overview (Verification)'!P18)=0,0,'Overview (Verification)'!P18)</f>
        <v>0</v>
      </c>
      <c r="BJ1578" s="573" t="s">
        <v>4670</v>
      </c>
    </row>
    <row r="1579" spans="1:62" x14ac:dyDescent="0.35">
      <c r="A1579" s="403">
        <v>9</v>
      </c>
      <c r="B1579" s="609" t="s">
        <v>3352</v>
      </c>
      <c r="C1579" s="604"/>
      <c r="D1579" s="604"/>
      <c r="E1579" s="604"/>
      <c r="F1579" s="604"/>
      <c r="G1579" s="403" t="str">
        <f t="shared" ref="G1579" ca="1" si="524">G1578</f>
        <v/>
      </c>
      <c r="H1579" s="403" t="s">
        <v>4323</v>
      </c>
      <c r="I1579" s="108"/>
      <c r="J1579" s="4"/>
      <c r="K1579" s="4"/>
      <c r="L1579" s="706"/>
      <c r="M1579" s="43"/>
      <c r="N1579" s="85"/>
      <c r="O1579" s="85"/>
      <c r="Z1579" s="543"/>
      <c r="AX1579" s="6"/>
      <c r="BJ1579" s="573" t="s">
        <v>4670</v>
      </c>
    </row>
    <row r="1580" spans="1:62" x14ac:dyDescent="0.35">
      <c r="A1580" s="403">
        <v>9</v>
      </c>
      <c r="B1580" s="609" t="s">
        <v>3352</v>
      </c>
      <c r="C1580" s="604"/>
      <c r="D1580" s="604"/>
      <c r="E1580" s="604" t="s">
        <v>270</v>
      </c>
      <c r="F1580" s="604"/>
      <c r="G1580" s="403" t="str">
        <f ca="1">IF(N1580&gt;0,"P","")</f>
        <v/>
      </c>
      <c r="H1580" s="403" t="s">
        <v>4323</v>
      </c>
      <c r="I1580" s="108"/>
      <c r="J1580" s="19" t="s">
        <v>270</v>
      </c>
      <c r="K1580" s="4"/>
      <c r="L1580" s="104" t="s">
        <v>3354</v>
      </c>
      <c r="M1580" s="43"/>
      <c r="N1580" s="85">
        <f ca="1">'Ch9'!O23</f>
        <v>0</v>
      </c>
      <c r="O1580" s="85">
        <f ca="1">IFERROR(INDEX({3,5},MATCH(W1580,INDIRECT(U1580),0)),0)*S1580</f>
        <v>0</v>
      </c>
      <c r="P1580" t="b">
        <v>1</v>
      </c>
      <c r="Q1580" t="b">
        <v>1</v>
      </c>
      <c r="R1580" t="b">
        <v>0</v>
      </c>
      <c r="S1580" t="b">
        <f>OR(AY1589=INDEX(ddHeat1,1),AY1589=INDEX(ddHeat1,2),AY1590=INDEX(ddHeat2,1),AY1590=INDEX(ddHeat2,2),AY1591=INDEX(ddHeat3,1),AY1591=INDEX(ddHeat3,2))</f>
        <v>1</v>
      </c>
      <c r="T1580" t="b">
        <f>AND(NOT(S1580),LEN(W1580)&gt;0)</f>
        <v>0</v>
      </c>
      <c r="U1580" t="str">
        <f>SUBSTITUTE(SUBSTITUTE(SUBSTITUTE("dd"&amp;B1580&amp;C1580&amp;D1580&amp;E1580&amp;F1580,".","_"),"(","_"),")","")</f>
        <v>dd901_1_3_1</v>
      </c>
      <c r="W1580" s="9"/>
      <c r="X1580" s="688"/>
      <c r="Y1580" s="891" t="str">
        <f>IF(LEN('Ch9'!X23)=0,"None",'Ch9'!X23)</f>
        <v>None</v>
      </c>
      <c r="Z1580" s="892"/>
      <c r="AN1580" t="str">
        <f>SUBSTITUTE(SUBSTITUTE(SUBSTITUTE("vpc"&amp;$B1580&amp;$C1580&amp;$D1580&amp;$E1580&amp;$F1580,".","_"),"(","_"),")","")</f>
        <v>vpc901_1_3_1</v>
      </c>
      <c r="AO1580">
        <f ca="1">O1580</f>
        <v>0</v>
      </c>
      <c r="AP1580" t="str">
        <f>SUBSTITUTE(SUBSTITUTE(SUBSTITUTE("vch"&amp;$B1580&amp;$C1580&amp;$D1580&amp;$E1580&amp;$F1580,".","_"),"(","_"),")","")</f>
        <v>vch901_1_3_1</v>
      </c>
      <c r="AQ1580">
        <f>W1580</f>
        <v>0</v>
      </c>
      <c r="AR1580" t="str">
        <f>SUBSTITUTE(SUBSTITUTE(SUBSTITUTE("vnt"&amp;$B1580&amp;$C1580&amp;$D1580&amp;$E1580&amp;$F1580,".","_"),"(","_"),")","")</f>
        <v>vnt901_1_3_1</v>
      </c>
      <c r="AS1580">
        <f>X1580</f>
        <v>0</v>
      </c>
      <c r="AX1580" s="6" t="str">
        <f>'Overview (Verification)'!A20</f>
        <v>Above grade plane finished floor area:</v>
      </c>
      <c r="AY1580">
        <f>IF(LEN('Overview (Verification)'!P20)=0,0,'Overview (Verification)'!P20)</f>
        <v>2644</v>
      </c>
      <c r="BJ1580" s="573" t="s">
        <v>4670</v>
      </c>
    </row>
    <row r="1581" spans="1:62" x14ac:dyDescent="0.35">
      <c r="A1581" s="403">
        <v>9</v>
      </c>
      <c r="B1581" s="609" t="s">
        <v>3352</v>
      </c>
      <c r="C1581" s="604"/>
      <c r="D1581" s="604"/>
      <c r="E1581" s="604" t="s">
        <v>270</v>
      </c>
      <c r="F1581" s="608" t="s">
        <v>121</v>
      </c>
      <c r="G1581" s="403" t="str">
        <f t="shared" ref="G1581:G1582" ca="1" si="525">G1580</f>
        <v/>
      </c>
      <c r="H1581" s="617" t="s">
        <v>4323</v>
      </c>
      <c r="I1581" s="108"/>
      <c r="J1581" s="19"/>
      <c r="K1581" s="19" t="s">
        <v>121</v>
      </c>
      <c r="L1581" s="104" t="s">
        <v>3355</v>
      </c>
      <c r="M1581" s="43">
        <v>3</v>
      </c>
      <c r="N1581" s="85"/>
      <c r="O1581" s="85"/>
      <c r="X1581" s="688"/>
      <c r="Y1581" s="891"/>
      <c r="Z1581" s="892"/>
      <c r="AL1581" t="str">
        <f t="shared" ref="AL1581:AL1582" si="526">SUBSTITUTE(SUBSTITUTE(SUBSTITUTE("vpa"&amp;$B1581&amp;$C1581&amp;$D1581&amp;$E1581&amp;$F1581,".","_"),"(","_"),")","")</f>
        <v>vpa901_1_3_1_a</v>
      </c>
      <c r="AM1581">
        <f>M1581</f>
        <v>3</v>
      </c>
      <c r="AX1581" s="6" t="str">
        <f>'Overview (Verification)'!A21</f>
        <v>Total conditioned floor area:</v>
      </c>
      <c r="AY1581">
        <f>IF(LEN('Overview (Verification)'!P21)=0,0,'Overview (Verification)'!P21)</f>
        <v>2644</v>
      </c>
      <c r="BJ1581" s="573" t="s">
        <v>4670</v>
      </c>
    </row>
    <row r="1582" spans="1:62" x14ac:dyDescent="0.35">
      <c r="A1582" s="403">
        <v>9</v>
      </c>
      <c r="B1582" s="609" t="s">
        <v>3352</v>
      </c>
      <c r="C1582" s="604"/>
      <c r="D1582" s="604"/>
      <c r="E1582" s="604" t="s">
        <v>270</v>
      </c>
      <c r="F1582" s="608" t="s">
        <v>122</v>
      </c>
      <c r="G1582" s="403" t="str">
        <f t="shared" ca="1" si="525"/>
        <v/>
      </c>
      <c r="H1582" s="617" t="s">
        <v>4323</v>
      </c>
      <c r="I1582" s="108"/>
      <c r="J1582" s="148"/>
      <c r="K1582" s="148" t="s">
        <v>122</v>
      </c>
      <c r="L1582" s="214" t="s">
        <v>3356</v>
      </c>
      <c r="M1582" s="198">
        <v>5</v>
      </c>
      <c r="N1582" s="342"/>
      <c r="O1582" s="342"/>
      <c r="X1582" s="688"/>
      <c r="Y1582" s="891"/>
      <c r="Z1582" s="892"/>
      <c r="AL1582" t="str">
        <f t="shared" si="526"/>
        <v>vpa901_1_3_1_b</v>
      </c>
      <c r="AM1582">
        <f>M1582</f>
        <v>5</v>
      </c>
      <c r="AX1582" s="6" t="str">
        <f>'Overview (Verification)'!A22</f>
        <v>Stories above grade:</v>
      </c>
      <c r="AY1582">
        <f>IF(LEN('Overview (Verification)'!P22)=0,0,'Overview (Verification)'!P22)</f>
        <v>2</v>
      </c>
      <c r="BJ1582" s="573" t="s">
        <v>4670</v>
      </c>
    </row>
    <row r="1583" spans="1:62" x14ac:dyDescent="0.35">
      <c r="A1583" s="403">
        <v>9</v>
      </c>
      <c r="B1583" s="609" t="s">
        <v>3352</v>
      </c>
      <c r="C1583" s="604"/>
      <c r="D1583" s="604"/>
      <c r="E1583" s="604" t="s">
        <v>272</v>
      </c>
      <c r="F1583" s="608"/>
      <c r="G1583" s="403" t="str">
        <f ca="1">IF(N1583&gt;0,"P","")</f>
        <v/>
      </c>
      <c r="H1583" s="414" t="s">
        <v>4323</v>
      </c>
      <c r="I1583" s="108"/>
      <c r="J1583" s="19" t="s">
        <v>272</v>
      </c>
      <c r="K1583" s="4"/>
      <c r="L1583" s="104" t="s">
        <v>3357</v>
      </c>
      <c r="M1583" s="43"/>
      <c r="N1583" s="85">
        <f ca="1">'Ch9'!O26</f>
        <v>0</v>
      </c>
      <c r="O1583" s="85">
        <f ca="1">IFERROR(INDEX({3,5},MATCH(W1583,INDIRECT(U1583),0)),0)*S1583</f>
        <v>0</v>
      </c>
      <c r="P1583" t="b">
        <v>1</v>
      </c>
      <c r="Q1583" t="b">
        <v>1</v>
      </c>
      <c r="R1583" t="b">
        <v>0</v>
      </c>
      <c r="S1583" t="b">
        <v>1</v>
      </c>
      <c r="T1583" t="b">
        <v>0</v>
      </c>
      <c r="U1583" t="str">
        <f>SUBSTITUTE(SUBSTITUTE(SUBSTITUTE("dd"&amp;B1583&amp;C1583&amp;D1583&amp;E1583&amp;F1583,".","_"),"(","_"),")","")</f>
        <v>dd901_1_3_2</v>
      </c>
      <c r="W1583" s="9"/>
      <c r="X1583" s="688"/>
      <c r="Y1583" s="891" t="str">
        <f>IF(LEN('Ch9'!X26)=0,"None",'Ch9'!X26)</f>
        <v>None</v>
      </c>
      <c r="Z1583" s="892"/>
      <c r="AN1583" t="str">
        <f>SUBSTITUTE(SUBSTITUTE(SUBSTITUTE("vpc"&amp;$B1583&amp;$C1583&amp;$D1583&amp;$E1583&amp;$F1583,".","_"),"(","_"),")","")</f>
        <v>vpc901_1_3_2</v>
      </c>
      <c r="AO1583">
        <f ca="1">O1583</f>
        <v>0</v>
      </c>
      <c r="AP1583" t="str">
        <f>SUBSTITUTE(SUBSTITUTE(SUBSTITUTE("vch"&amp;$B1583&amp;$C1583&amp;$D1583&amp;$E1583&amp;$F1583,".","_"),"(","_"),")","")</f>
        <v>vch901_1_3_2</v>
      </c>
      <c r="AQ1583">
        <f>W1583</f>
        <v>0</v>
      </c>
      <c r="AR1583" t="str">
        <f>SUBSTITUTE(SUBSTITUTE(SUBSTITUTE("vnt"&amp;$B1583&amp;$C1583&amp;$D1583&amp;$E1583&amp;$F1583,".","_"),"(","_"),")","")</f>
        <v>vnt901_1_3_2</v>
      </c>
      <c r="AS1583">
        <f>X1583</f>
        <v>0</v>
      </c>
      <c r="AX1583" s="6"/>
      <c r="BJ1583" s="573" t="s">
        <v>4670</v>
      </c>
    </row>
    <row r="1584" spans="1:62" x14ac:dyDescent="0.35">
      <c r="A1584" s="403">
        <v>9</v>
      </c>
      <c r="B1584" s="609" t="s">
        <v>3352</v>
      </c>
      <c r="C1584" s="604"/>
      <c r="D1584" s="604"/>
      <c r="E1584" s="604" t="s">
        <v>272</v>
      </c>
      <c r="F1584" s="608" t="s">
        <v>121</v>
      </c>
      <c r="G1584" s="403" t="str">
        <f t="shared" ref="G1584:G1585" ca="1" si="527">G1583</f>
        <v/>
      </c>
      <c r="H1584" s="617" t="s">
        <v>4323</v>
      </c>
      <c r="I1584" s="108"/>
      <c r="J1584" s="4"/>
      <c r="K1584" s="19" t="s">
        <v>121</v>
      </c>
      <c r="L1584" s="104" t="s">
        <v>3358</v>
      </c>
      <c r="M1584" s="43">
        <v>3</v>
      </c>
      <c r="N1584" s="85"/>
      <c r="O1584" s="85"/>
      <c r="X1584" s="688"/>
      <c r="Y1584" s="891"/>
      <c r="Z1584" s="892"/>
      <c r="AL1584" t="str">
        <f t="shared" ref="AL1584:AL1586" si="528">SUBSTITUTE(SUBSTITUTE(SUBSTITUTE("vpa"&amp;$B1584&amp;$C1584&amp;$D1584&amp;$E1584&amp;$F1584,".","_"),"(","_"),")","")</f>
        <v>vpa901_1_3_2_a</v>
      </c>
      <c r="AM1584">
        <f>M1584</f>
        <v>3</v>
      </c>
      <c r="AX1584" s="6" t="str">
        <f>'Overview (Verification)'!A24</f>
        <v xml:space="preserve">Project Description (optional): </v>
      </c>
      <c r="AY1584">
        <f>IF(LEN('Overview (Verification)'!P24)=0,0,'Overview (Verification)'!P24)</f>
        <v>0</v>
      </c>
      <c r="BJ1584" s="573" t="s">
        <v>4670</v>
      </c>
    </row>
    <row r="1585" spans="1:62" x14ac:dyDescent="0.35">
      <c r="A1585" s="403">
        <v>9</v>
      </c>
      <c r="B1585" s="609" t="s">
        <v>3352</v>
      </c>
      <c r="C1585" s="604"/>
      <c r="D1585" s="604"/>
      <c r="E1585" s="604" t="s">
        <v>272</v>
      </c>
      <c r="F1585" s="608" t="s">
        <v>122</v>
      </c>
      <c r="G1585" s="403" t="str">
        <f t="shared" ca="1" si="527"/>
        <v/>
      </c>
      <c r="H1585" s="617" t="s">
        <v>4323</v>
      </c>
      <c r="I1585" s="353"/>
      <c r="J1585" s="155"/>
      <c r="K1585" s="148" t="s">
        <v>122</v>
      </c>
      <c r="L1585" s="214" t="s">
        <v>3359</v>
      </c>
      <c r="M1585" s="198">
        <v>5</v>
      </c>
      <c r="N1585" s="342"/>
      <c r="O1585" s="342"/>
      <c r="P1585" s="119"/>
      <c r="Q1585" s="119"/>
      <c r="R1585" s="119"/>
      <c r="S1585" s="119"/>
      <c r="T1585" s="119"/>
      <c r="U1585" s="119"/>
      <c r="V1585" s="119"/>
      <c r="W1585" s="119"/>
      <c r="X1585" s="688"/>
      <c r="Y1585" s="891"/>
      <c r="Z1585" s="892"/>
      <c r="AL1585" t="str">
        <f t="shared" si="528"/>
        <v>vpa901_1_3_2_b</v>
      </c>
      <c r="AM1585">
        <f>M1585</f>
        <v>5</v>
      </c>
      <c r="AX1585" s="6"/>
      <c r="BJ1585" s="573" t="s">
        <v>4670</v>
      </c>
    </row>
    <row r="1586" spans="1:62" x14ac:dyDescent="0.35">
      <c r="A1586" s="403">
        <v>9</v>
      </c>
      <c r="B1586" s="609" t="s">
        <v>3360</v>
      </c>
      <c r="C1586" s="604"/>
      <c r="D1586" s="604"/>
      <c r="E1586" s="604"/>
      <c r="F1586" s="604"/>
      <c r="G1586" s="403" t="s">
        <v>4326</v>
      </c>
      <c r="H1586" s="403" t="s">
        <v>4324</v>
      </c>
      <c r="I1586" s="32" t="s">
        <v>3360</v>
      </c>
      <c r="J1586" s="4"/>
      <c r="K1586" s="4"/>
      <c r="L1586" s="706" t="s">
        <v>3361</v>
      </c>
      <c r="M1586" s="740" t="str">
        <f>IF(R1586,"Mandatory","N/A")</f>
        <v>Mandatory</v>
      </c>
      <c r="N1586" s="85"/>
      <c r="O1586" s="85"/>
      <c r="P1586" t="b">
        <v>1</v>
      </c>
      <c r="Q1586" t="b">
        <v>0</v>
      </c>
      <c r="R1586" t="b">
        <f>S1586</f>
        <v>1</v>
      </c>
      <c r="S1586" t="b">
        <v>1</v>
      </c>
      <c r="T1586" t="b">
        <v>0</v>
      </c>
      <c r="U1586" t="str">
        <f>SUBSTITUTE(SUBSTITUTE(SUBSTITUTE("dd"&amp;B1586&amp;C1586&amp;D1586&amp;E1586&amp;F1586,".","_"),"(","_"),")","")</f>
        <v>dd901_1_4</v>
      </c>
      <c r="W1586" s="9" t="s">
        <v>3239</v>
      </c>
      <c r="X1586" s="700"/>
      <c r="Y1586" s="891" t="str">
        <f>IF(LEN('Ch9'!X29)=0,"None",'Ch9'!X29)</f>
        <v>None</v>
      </c>
      <c r="Z1586" s="892"/>
      <c r="AC1586" t="b">
        <f>OR(AD1586:AE1586)</f>
        <v>0</v>
      </c>
      <c r="AD1586" t="b">
        <f>T1586</f>
        <v>0</v>
      </c>
      <c r="AE1586" t="b">
        <f>AND(R1586,OR(W1586="Not Met",W1586=""))</f>
        <v>0</v>
      </c>
      <c r="AF1586" t="b">
        <f>AND(AE1586,NOT(Q1586))</f>
        <v>0</v>
      </c>
      <c r="AL1586" t="str">
        <f t="shared" si="528"/>
        <v>vpa901_1_4</v>
      </c>
      <c r="AM1586" t="str">
        <f>M1586</f>
        <v>Mandatory</v>
      </c>
      <c r="AP1586" t="str">
        <f>SUBSTITUTE(SUBSTITUTE(SUBSTITUTE("vch"&amp;$B1586&amp;$C1586&amp;$D1586&amp;$E1586&amp;$F1586,".","_"),"(","_"),")","")</f>
        <v>vch901_1_4</v>
      </c>
      <c r="AQ1586" t="str">
        <f>W1586</f>
        <v>Met</v>
      </c>
      <c r="AR1586" t="str">
        <f>SUBSTITUTE(SUBSTITUTE(SUBSTITUTE("vnt"&amp;$B1586&amp;$C1586&amp;$D1586&amp;$E1586&amp;$F1586,".","_"),"(","_"),")","")</f>
        <v>vnt901_1_4</v>
      </c>
      <c r="AS1586">
        <f>X1586</f>
        <v>0</v>
      </c>
      <c r="AX1586" s="6" t="str">
        <f>'Overview (Verification)'!A26</f>
        <v>HERS Index (if available):</v>
      </c>
      <c r="AY1586">
        <f>IF(LEN('Overview (Verification)'!P26)=0,0,'Overview (Verification)'!P26)</f>
        <v>0</v>
      </c>
      <c r="BJ1586" s="573" t="s">
        <v>4670</v>
      </c>
    </row>
    <row r="1587" spans="1:62" x14ac:dyDescent="0.35">
      <c r="A1587" s="403">
        <v>9</v>
      </c>
      <c r="B1587" s="609" t="s">
        <v>3360</v>
      </c>
      <c r="C1587" s="604"/>
      <c r="D1587" s="604"/>
      <c r="E1587" s="604"/>
      <c r="F1587" s="604"/>
      <c r="G1587" s="403" t="s">
        <v>4326</v>
      </c>
      <c r="H1587" s="403" t="s">
        <v>4324</v>
      </c>
      <c r="I1587" s="108"/>
      <c r="J1587" s="4"/>
      <c r="K1587" s="4"/>
      <c r="L1587" s="706"/>
      <c r="M1587" s="740"/>
      <c r="N1587" s="85"/>
      <c r="O1587" s="85"/>
      <c r="X1587" s="688"/>
      <c r="Y1587" s="891"/>
      <c r="Z1587" s="892"/>
      <c r="AX1587" s="6" t="str">
        <f>'Overview (Verification)'!A27</f>
        <v>Foundation Type:</v>
      </c>
      <c r="AY1587" t="str">
        <f>IF(LEN('Overview (Verification)'!P27)=0,0,'Overview (Verification)'!P27)</f>
        <v>Conditioned crawlspace</v>
      </c>
      <c r="BJ1587" s="573" t="s">
        <v>4670</v>
      </c>
    </row>
    <row r="1588" spans="1:62" x14ac:dyDescent="0.35">
      <c r="A1588" s="403">
        <v>9</v>
      </c>
      <c r="B1588" s="609" t="s">
        <v>3360</v>
      </c>
      <c r="C1588" s="604"/>
      <c r="D1588" s="604"/>
      <c r="E1588" s="604"/>
      <c r="F1588" s="604"/>
      <c r="G1588" s="403" t="s">
        <v>4326</v>
      </c>
      <c r="H1588" s="403" t="s">
        <v>4324</v>
      </c>
      <c r="I1588" s="108"/>
      <c r="J1588" s="4"/>
      <c r="K1588" s="4"/>
      <c r="L1588" s="706"/>
      <c r="M1588" s="740"/>
      <c r="N1588" s="85"/>
      <c r="O1588" s="85"/>
      <c r="X1588" s="688"/>
      <c r="Y1588" s="891"/>
      <c r="Z1588" s="892"/>
      <c r="AX1588" s="6"/>
      <c r="BJ1588" s="573" t="s">
        <v>4670</v>
      </c>
    </row>
    <row r="1589" spans="1:62" x14ac:dyDescent="0.35">
      <c r="A1589" s="403">
        <v>9</v>
      </c>
      <c r="B1589" s="609" t="s">
        <v>3360</v>
      </c>
      <c r="C1589" s="604"/>
      <c r="D1589" s="604"/>
      <c r="E1589" s="604"/>
      <c r="F1589" s="604"/>
      <c r="G1589" s="403" t="s">
        <v>4326</v>
      </c>
      <c r="H1589" s="403" t="s">
        <v>4324</v>
      </c>
      <c r="I1589" s="353"/>
      <c r="J1589" s="155"/>
      <c r="K1589" s="155"/>
      <c r="L1589" s="739"/>
      <c r="M1589" s="741"/>
      <c r="N1589" s="342"/>
      <c r="O1589" s="342"/>
      <c r="P1589" s="119"/>
      <c r="Q1589" s="119"/>
      <c r="R1589" s="119"/>
      <c r="S1589" s="119"/>
      <c r="T1589" s="119"/>
      <c r="U1589" s="119"/>
      <c r="V1589" s="119"/>
      <c r="W1589" s="119"/>
      <c r="X1589" s="688"/>
      <c r="Y1589" s="891"/>
      <c r="Z1589" s="892"/>
      <c r="AX1589" s="6" t="str">
        <f>'Overview (Verification)'!A29</f>
        <v>Type of Heating System (main system):</v>
      </c>
      <c r="AY1589" t="str">
        <f>IF(LEN('Overview (Verification)'!P29)=0,0,'Overview (Verification)'!P29)</f>
        <v>Furnace</v>
      </c>
      <c r="BJ1589" s="573" t="s">
        <v>4670</v>
      </c>
    </row>
    <row r="1590" spans="1:62" x14ac:dyDescent="0.35">
      <c r="A1590" s="403">
        <v>9</v>
      </c>
      <c r="B1590" s="609" t="s">
        <v>3362</v>
      </c>
      <c r="C1590" s="604"/>
      <c r="D1590" s="604"/>
      <c r="E1590" s="604"/>
      <c r="F1590" s="604"/>
      <c r="G1590" s="403" t="str">
        <f>IF(N1590&gt;0,"P","")</f>
        <v/>
      </c>
      <c r="H1590" s="403" t="s">
        <v>4323</v>
      </c>
      <c r="I1590" s="32" t="s">
        <v>3362</v>
      </c>
      <c r="J1590" s="4"/>
      <c r="K1590" s="4"/>
      <c r="L1590" s="706" t="s">
        <v>3363</v>
      </c>
      <c r="M1590" s="690">
        <v>7</v>
      </c>
      <c r="N1590" s="696">
        <f>'Ch9'!O33</f>
        <v>0</v>
      </c>
      <c r="O1590" s="696">
        <f>M1590*S1590*W1590</f>
        <v>7</v>
      </c>
      <c r="P1590" t="b">
        <v>1</v>
      </c>
      <c r="Q1590" t="b">
        <v>1</v>
      </c>
      <c r="R1590" t="b">
        <v>0</v>
      </c>
      <c r="S1590" t="b">
        <f>NOT(W1586="N/A")</f>
        <v>1</v>
      </c>
      <c r="T1590" t="b">
        <f>AND(NOT(S1590),W1590=TRUE)</f>
        <v>0</v>
      </c>
      <c r="W1590" s="17" t="b">
        <v>1</v>
      </c>
      <c r="X1590" s="700"/>
      <c r="Y1590" s="891" t="str">
        <f>IF(LEN('Ch9'!X33)=0,"None",'Ch9'!X33)</f>
        <v>None</v>
      </c>
      <c r="Z1590" s="892"/>
      <c r="AC1590" t="b">
        <f>OR(AD1590:AE1590)</f>
        <v>0</v>
      </c>
      <c r="AD1590" t="b">
        <f>T1590</f>
        <v>0</v>
      </c>
      <c r="AE1590" t="b">
        <f>AND(R1590,NOT(W1590))</f>
        <v>0</v>
      </c>
      <c r="AF1590" t="b">
        <f>AND(AE1590,NOT(Q1590))</f>
        <v>0</v>
      </c>
      <c r="AL1590" t="str">
        <f t="shared" ref="AL1590" si="529">SUBSTITUTE(SUBSTITUTE(SUBSTITUTE("vpa"&amp;$B1590&amp;$C1590&amp;$D1590&amp;$E1590&amp;$F1590,".","_"),"(","_"),")","")</f>
        <v>vpa901_1_5</v>
      </c>
      <c r="AM1590">
        <f>M1590</f>
        <v>7</v>
      </c>
      <c r="AN1590" t="str">
        <f>SUBSTITUTE(SUBSTITUTE(SUBSTITUTE("vpc"&amp;$B1590&amp;$C1590&amp;$D1590&amp;$E1590&amp;$F1590,".","_"),"(","_"),")","")</f>
        <v>vpc901_1_5</v>
      </c>
      <c r="AO1590">
        <f>O1590</f>
        <v>7</v>
      </c>
      <c r="AP1590" t="str">
        <f>SUBSTITUTE(SUBSTITUTE(SUBSTITUTE("vch"&amp;$B1590&amp;$C1590&amp;$D1590&amp;$E1590&amp;$F1590,".","_"),"(","_"),")","")</f>
        <v>vch901_1_5</v>
      </c>
      <c r="AQ1590" t="b">
        <f>W1590</f>
        <v>1</v>
      </c>
      <c r="AR1590" t="str">
        <f>SUBSTITUTE(SUBSTITUTE(SUBSTITUTE("vnt"&amp;$B1590&amp;$C1590&amp;$D1590&amp;$E1590&amp;$F1590,".","_"),"(","_"),")","")</f>
        <v>vnt901_1_5</v>
      </c>
      <c r="AS1590">
        <f>X1590</f>
        <v>0</v>
      </c>
      <c r="AX1590" s="6" t="str">
        <f>'Overview (Verification)'!A30</f>
        <v>Type of Heating System (system 2):</v>
      </c>
      <c r="AY1590">
        <f>IF(LEN('Overview (Verification)'!P30)=0,0,'Overview (Verification)'!P30)</f>
        <v>0</v>
      </c>
      <c r="BJ1590" s="573" t="s">
        <v>4670</v>
      </c>
    </row>
    <row r="1591" spans="1:62" x14ac:dyDescent="0.35">
      <c r="A1591" s="403">
        <v>9</v>
      </c>
      <c r="B1591" s="609" t="s">
        <v>3362</v>
      </c>
      <c r="C1591" s="604"/>
      <c r="D1591" s="604"/>
      <c r="E1591" s="604"/>
      <c r="F1591" s="604"/>
      <c r="G1591" s="403" t="str">
        <f t="shared" ref="G1591:G1592" si="530">G1590</f>
        <v/>
      </c>
      <c r="H1591" s="403" t="s">
        <v>4323</v>
      </c>
      <c r="I1591" s="108"/>
      <c r="J1591" s="4"/>
      <c r="K1591" s="4"/>
      <c r="L1591" s="706"/>
      <c r="M1591" s="690"/>
      <c r="N1591" s="696"/>
      <c r="O1591" s="696"/>
      <c r="X1591" s="688"/>
      <c r="Y1591" s="891"/>
      <c r="Z1591" s="892"/>
      <c r="AX1591" s="6" t="str">
        <f>'Overview (Verification)'!A31</f>
        <v>Type of Heating System (system 3):</v>
      </c>
      <c r="AY1591">
        <f>IF(LEN('Overview (Verification)'!P31)=0,0,'Overview (Verification)'!P31)</f>
        <v>0</v>
      </c>
      <c r="BJ1591" s="573" t="s">
        <v>4670</v>
      </c>
    </row>
    <row r="1592" spans="1:62" x14ac:dyDescent="0.35">
      <c r="A1592" s="403">
        <v>9</v>
      </c>
      <c r="B1592" s="609" t="s">
        <v>3362</v>
      </c>
      <c r="C1592" s="604"/>
      <c r="D1592" s="604"/>
      <c r="E1592" s="604"/>
      <c r="F1592" s="604"/>
      <c r="G1592" s="403" t="str">
        <f t="shared" si="530"/>
        <v/>
      </c>
      <c r="H1592" s="403" t="s">
        <v>4323</v>
      </c>
      <c r="I1592" s="353"/>
      <c r="J1592" s="155"/>
      <c r="K1592" s="155"/>
      <c r="L1592" s="739"/>
      <c r="M1592" s="691"/>
      <c r="N1592" s="697"/>
      <c r="O1592" s="697"/>
      <c r="P1592" s="119"/>
      <c r="Q1592" s="119"/>
      <c r="R1592" s="119"/>
      <c r="S1592" s="119"/>
      <c r="T1592" s="119"/>
      <c r="U1592" s="119"/>
      <c r="V1592" s="119"/>
      <c r="W1592" s="119"/>
      <c r="X1592" s="688"/>
      <c r="Y1592" s="891"/>
      <c r="Z1592" s="892"/>
      <c r="AX1592" s="6" t="str">
        <f>'Overview (Verification)'!A32</f>
        <v>Heating Fuel:</v>
      </c>
      <c r="AY1592">
        <f>IF(LEN('Overview (Verification)'!P32)=0,0,'Overview (Verification)'!P32)</f>
        <v>0</v>
      </c>
      <c r="BJ1592" s="573" t="s">
        <v>4670</v>
      </c>
    </row>
    <row r="1593" spans="1:62" x14ac:dyDescent="0.35">
      <c r="A1593" s="403">
        <v>9</v>
      </c>
      <c r="B1593" s="609" t="s">
        <v>3364</v>
      </c>
      <c r="C1593" s="604"/>
      <c r="D1593" s="604"/>
      <c r="E1593" s="604"/>
      <c r="F1593" s="604"/>
      <c r="G1593" s="403" t="str">
        <f ca="1">IF(N1593&gt;0,"P","")</f>
        <v/>
      </c>
      <c r="H1593" s="403" t="s">
        <v>4323</v>
      </c>
      <c r="I1593" s="32" t="s">
        <v>3364</v>
      </c>
      <c r="J1593" s="4"/>
      <c r="K1593" s="4"/>
      <c r="L1593" s="110" t="s">
        <v>3365</v>
      </c>
      <c r="M1593" s="43"/>
      <c r="N1593" s="85">
        <f ca="1">'Ch9'!O36</f>
        <v>0</v>
      </c>
      <c r="O1593" s="85">
        <f ca="1">IFERROR(INDEX({2,5},MATCH(W1593,INDIRECT(U1593),0)),0)*S1593</f>
        <v>0</v>
      </c>
      <c r="P1593" t="b">
        <v>1</v>
      </c>
      <c r="Q1593" t="b">
        <v>1</v>
      </c>
      <c r="R1593" t="b">
        <v>0</v>
      </c>
      <c r="S1593" t="b">
        <f>OR(AY1589=INDEX(ddHeat1,3),AY1589=INDEX(ddHeat1,5),AY1590=INDEX(ddHeat2,3),AY1590=INDEX(ddHeat2,5),AY1591=INDEX(ddHeat3,3),AY1591=INDEX(ddHeat3,5))</f>
        <v>0</v>
      </c>
      <c r="T1593" t="b">
        <f>AND(NOT(S1593),LEN(W1593)&gt;0)</f>
        <v>0</v>
      </c>
      <c r="U1593" t="str">
        <f>SUBSTITUTE(SUBSTITUTE(SUBSTITUTE("dd"&amp;B1593&amp;C1593&amp;D1593&amp;E1593&amp;F1593,".","_"),"(","_"),")","")</f>
        <v>dd901_1_6</v>
      </c>
      <c r="W1593" s="9"/>
      <c r="X1593" s="700"/>
      <c r="Y1593" s="891" t="str">
        <f>IF(LEN('Ch9'!X36)=0,"None",'Ch9'!X36)</f>
        <v>None</v>
      </c>
      <c r="Z1593" s="892"/>
      <c r="AC1593" t="b">
        <f>OR(AD1593:AE1593)</f>
        <v>0</v>
      </c>
      <c r="AD1593" t="b">
        <f>T1593</f>
        <v>0</v>
      </c>
      <c r="AE1593" t="b">
        <f>AND(R1593,OR(W1593="Not Met",W1593=""))</f>
        <v>0</v>
      </c>
      <c r="AF1593" t="b">
        <f>AND(AE1593,NOT(Q1593))</f>
        <v>0</v>
      </c>
      <c r="AN1593" t="str">
        <f>SUBSTITUTE(SUBSTITUTE(SUBSTITUTE("vpc"&amp;$B1593&amp;$C1593&amp;$D1593&amp;$E1593&amp;$F1593,".","_"),"(","_"),")","")</f>
        <v>vpc901_1_6</v>
      </c>
      <c r="AO1593">
        <f ca="1">O1593</f>
        <v>0</v>
      </c>
      <c r="AP1593" t="str">
        <f>SUBSTITUTE(SUBSTITUTE(SUBSTITUTE("vch"&amp;$B1593&amp;$C1593&amp;$D1593&amp;$E1593&amp;$F1593,".","_"),"(","_"),")","")</f>
        <v>vch901_1_6</v>
      </c>
      <c r="AQ1593">
        <f>W1593</f>
        <v>0</v>
      </c>
      <c r="AR1593" t="str">
        <f>SUBSTITUTE(SUBSTITUTE(SUBSTITUTE("vnt"&amp;$B1593&amp;$C1593&amp;$D1593&amp;$E1593&amp;$F1593,".","_"),"(","_"),")","")</f>
        <v>vnt901_1_6</v>
      </c>
      <c r="AS1593">
        <f>X1593</f>
        <v>0</v>
      </c>
      <c r="AX1593" s="6" t="str">
        <f>'Overview (Verification)'!A33</f>
        <v>Heating Ducts:</v>
      </c>
      <c r="AY1593" t="str">
        <f>IF(LEN('Overview (Verification)'!P33)=0,0,'Overview (Verification)'!P33)</f>
        <v>Ducted</v>
      </c>
      <c r="BJ1593" s="573" t="s">
        <v>4670</v>
      </c>
    </row>
    <row r="1594" spans="1:62" x14ac:dyDescent="0.35">
      <c r="A1594" s="403">
        <v>9</v>
      </c>
      <c r="B1594" s="609" t="s">
        <v>3364</v>
      </c>
      <c r="C1594" s="604"/>
      <c r="D1594" s="604"/>
      <c r="E1594" s="604" t="s">
        <v>270</v>
      </c>
      <c r="F1594" s="604"/>
      <c r="G1594" s="403" t="str">
        <f t="shared" ref="G1594:G1595" ca="1" si="531">G1593</f>
        <v/>
      </c>
      <c r="H1594" s="403" t="s">
        <v>4323</v>
      </c>
      <c r="I1594" s="108"/>
      <c r="J1594" s="148" t="s">
        <v>270</v>
      </c>
      <c r="K1594" s="155"/>
      <c r="L1594" s="214" t="s">
        <v>3366</v>
      </c>
      <c r="M1594" s="198">
        <v>2</v>
      </c>
      <c r="N1594" s="85"/>
      <c r="O1594" s="85"/>
      <c r="X1594" s="688"/>
      <c r="Y1594" s="891"/>
      <c r="Z1594" s="892"/>
      <c r="AL1594" t="str">
        <f t="shared" ref="AL1594:AL1595" si="532">SUBSTITUTE(SUBSTITUTE(SUBSTITUTE("vpa"&amp;$B1594&amp;$C1594&amp;$D1594&amp;$E1594&amp;$F1594,".","_"),"(","_"),")","")</f>
        <v>vpa901_1_6_1</v>
      </c>
      <c r="AM1594">
        <f>M1594</f>
        <v>2</v>
      </c>
      <c r="AX1594" s="6" t="str">
        <f>'Overview (Verification)'!A34</f>
        <v>Type of Cooling System (main system):</v>
      </c>
      <c r="AY1594" t="str">
        <f>IF(LEN('Overview (Verification)'!P34)=0,0,'Overview (Verification)'!P34)</f>
        <v>Electric Air Conditiner</v>
      </c>
      <c r="BJ1594" s="573" t="s">
        <v>4670</v>
      </c>
    </row>
    <row r="1595" spans="1:62" ht="15" thickBot="1" x14ac:dyDescent="0.4">
      <c r="A1595" s="403">
        <v>9</v>
      </c>
      <c r="B1595" s="609" t="s">
        <v>3364</v>
      </c>
      <c r="C1595" s="604"/>
      <c r="D1595" s="604"/>
      <c r="E1595" s="604" t="s">
        <v>272</v>
      </c>
      <c r="F1595" s="604"/>
      <c r="G1595" s="403" t="str">
        <f t="shared" ca="1" si="531"/>
        <v/>
      </c>
      <c r="H1595" s="403" t="s">
        <v>4323</v>
      </c>
      <c r="I1595" s="328"/>
      <c r="J1595" s="133" t="s">
        <v>272</v>
      </c>
      <c r="K1595" s="183"/>
      <c r="L1595" s="223" t="s">
        <v>3367</v>
      </c>
      <c r="M1595" s="270">
        <v>5</v>
      </c>
      <c r="N1595" s="184"/>
      <c r="O1595" s="184"/>
      <c r="P1595" s="58"/>
      <c r="Q1595" s="58"/>
      <c r="R1595" s="58"/>
      <c r="S1595" s="58"/>
      <c r="T1595" s="58"/>
      <c r="U1595" s="58"/>
      <c r="V1595" s="58"/>
      <c r="W1595" s="58"/>
      <c r="X1595" s="689"/>
      <c r="Y1595" s="905"/>
      <c r="Z1595" s="895"/>
      <c r="AL1595" t="str">
        <f t="shared" si="532"/>
        <v>vpa901_1_6_2</v>
      </c>
      <c r="AM1595">
        <f>M1595</f>
        <v>5</v>
      </c>
      <c r="AX1595" s="6" t="str">
        <f>'Overview (Verification)'!A35</f>
        <v>Type of Cooling System (system 2):</v>
      </c>
      <c r="AY1595">
        <f>IF(LEN('Overview (Verification)'!P35)=0,0,'Overview (Verification)'!P35)</f>
        <v>0</v>
      </c>
      <c r="BJ1595" s="573" t="s">
        <v>4670</v>
      </c>
    </row>
    <row r="1596" spans="1:62" ht="15" thickTop="1" x14ac:dyDescent="0.35">
      <c r="A1596" s="403">
        <v>9</v>
      </c>
      <c r="B1596" s="609">
        <v>901.2</v>
      </c>
      <c r="C1596" s="604"/>
      <c r="D1596" s="604"/>
      <c r="E1596" s="604"/>
      <c r="F1596" s="604"/>
      <c r="G1596" s="403" t="s">
        <v>4326</v>
      </c>
      <c r="H1596" s="403" t="s">
        <v>4323</v>
      </c>
      <c r="I1596" s="123">
        <v>901.2</v>
      </c>
      <c r="J1596" s="124"/>
      <c r="K1596" s="124"/>
      <c r="L1596" s="222" t="s">
        <v>3368</v>
      </c>
      <c r="M1596" s="199"/>
      <c r="N1596" s="341"/>
      <c r="O1596" s="341"/>
      <c r="P1596" s="62"/>
      <c r="Q1596" s="62"/>
      <c r="R1596" s="62"/>
      <c r="S1596" s="62"/>
      <c r="T1596" s="62"/>
      <c r="U1596" s="62"/>
      <c r="V1596" s="62"/>
      <c r="W1596" s="62"/>
      <c r="X1596" s="62"/>
      <c r="Z1596" s="543"/>
      <c r="AX1596" s="6" t="str">
        <f>'Overview (Verification)'!A36</f>
        <v>Type of Cooling System (system 3):</v>
      </c>
      <c r="AY1596">
        <f>IF(LEN('Overview (Verification)'!P36)=0,0,'Overview (Verification)'!P36)</f>
        <v>0</v>
      </c>
      <c r="BJ1596" s="573" t="s">
        <v>4670</v>
      </c>
    </row>
    <row r="1597" spans="1:62" x14ac:dyDescent="0.35">
      <c r="A1597" s="403">
        <v>9</v>
      </c>
      <c r="B1597" s="609" t="s">
        <v>3369</v>
      </c>
      <c r="C1597" s="604"/>
      <c r="D1597" s="604"/>
      <c r="E1597" s="604"/>
      <c r="F1597" s="604"/>
      <c r="G1597" s="403" t="s">
        <v>4326</v>
      </c>
      <c r="H1597" s="403" t="s">
        <v>4323</v>
      </c>
      <c r="I1597" s="32" t="s">
        <v>3369</v>
      </c>
      <c r="J1597" s="4"/>
      <c r="K1597" s="4"/>
      <c r="L1597" s="706" t="s">
        <v>3370</v>
      </c>
      <c r="M1597" s="43"/>
      <c r="N1597" s="85"/>
      <c r="O1597" s="85"/>
      <c r="Z1597" s="543"/>
      <c r="AA1597">
        <f>'Photo Review'!H1595</f>
        <v>0</v>
      </c>
      <c r="AX1597" s="6" t="str">
        <f>'Overview (Verification)'!A37</f>
        <v>Cooling Ducts:</v>
      </c>
      <c r="AY1597" t="str">
        <f>IF(LEN('Overview (Verification)'!P37)=0,0,'Overview (Verification)'!P37)</f>
        <v>Ducted</v>
      </c>
      <c r="BJ1597" s="573" t="s">
        <v>4670</v>
      </c>
    </row>
    <row r="1598" spans="1:62" x14ac:dyDescent="0.35">
      <c r="A1598" s="403">
        <v>9</v>
      </c>
      <c r="B1598" s="609" t="s">
        <v>3369</v>
      </c>
      <c r="C1598" s="604"/>
      <c r="D1598" s="604"/>
      <c r="E1598" s="604"/>
      <c r="F1598" s="604"/>
      <c r="G1598" s="403" t="s">
        <v>4326</v>
      </c>
      <c r="H1598" s="403" t="s">
        <v>4323</v>
      </c>
      <c r="I1598" s="108"/>
      <c r="J1598" s="4"/>
      <c r="K1598" s="4"/>
      <c r="L1598" s="706"/>
      <c r="M1598" s="43"/>
      <c r="N1598" s="85"/>
      <c r="O1598" s="85"/>
      <c r="Z1598" s="543"/>
      <c r="AX1598" s="6"/>
      <c r="BJ1598" s="573" t="s">
        <v>4670</v>
      </c>
    </row>
    <row r="1599" spans="1:62" x14ac:dyDescent="0.35">
      <c r="A1599" s="403">
        <v>9</v>
      </c>
      <c r="B1599" s="609" t="s">
        <v>3369</v>
      </c>
      <c r="C1599" s="604"/>
      <c r="D1599" s="604"/>
      <c r="E1599" s="604" t="s">
        <v>270</v>
      </c>
      <c r="F1599" s="604"/>
      <c r="G1599" s="403" t="s">
        <v>4326</v>
      </c>
      <c r="H1599" s="403" t="s">
        <v>4323</v>
      </c>
      <c r="I1599" s="108"/>
      <c r="J1599" s="19" t="s">
        <v>270</v>
      </c>
      <c r="K1599" s="4"/>
      <c r="L1599" s="707" t="s">
        <v>3371</v>
      </c>
      <c r="M1599" s="556" t="str">
        <f>IF(R1599,"Mandatory","N/A")</f>
        <v>Mandatory</v>
      </c>
      <c r="N1599" s="696">
        <f>'Ch9'!O42</f>
        <v>0</v>
      </c>
      <c r="O1599" s="696">
        <f>M1600*S1599*(W1599="Met")</f>
        <v>0</v>
      </c>
      <c r="P1599" t="b">
        <v>1</v>
      </c>
      <c r="Q1599" t="b">
        <v>1</v>
      </c>
      <c r="R1599" t="b">
        <f>S1599</f>
        <v>1</v>
      </c>
      <c r="S1599" t="b">
        <f>NOT(W1611)</f>
        <v>1</v>
      </c>
      <c r="T1599" t="b">
        <f>AND(NOT(S1599),LEN(W1599)&gt;0,W1599&lt;&gt;"N/A")</f>
        <v>0</v>
      </c>
      <c r="U1599" t="str">
        <f>SUBSTITUTE(SUBSTITUTE(SUBSTITUTE("dd"&amp;B1599&amp;C1599&amp;D1599&amp;E1599&amp;F1599,".","_"),"(","_"),")","")</f>
        <v>dd901_2_1_1</v>
      </c>
      <c r="W1599" s="9" t="s">
        <v>3241</v>
      </c>
      <c r="X1599" s="688"/>
      <c r="Y1599" s="891" t="str">
        <f>IF(LEN('Ch9'!X42)=0,"None",'Ch9'!X42)</f>
        <v>None</v>
      </c>
      <c r="Z1599" s="892"/>
      <c r="AC1599" t="b">
        <f>OR(AD1599:AE1599)</f>
        <v>0</v>
      </c>
      <c r="AD1599" t="b">
        <f>T1599</f>
        <v>0</v>
      </c>
      <c r="AE1599" t="b">
        <f>AND(R1599,OR(W1599="Not Met",W1599=""))</f>
        <v>0</v>
      </c>
      <c r="AF1599" t="b">
        <f>AND(AE1599,NOT(Q1599))</f>
        <v>0</v>
      </c>
      <c r="AN1599" t="str">
        <f>SUBSTITUTE(SUBSTITUTE(SUBSTITUTE("vpc"&amp;$B1599&amp;$C1599&amp;$D1599&amp;$E1599&amp;$F1599,".","_"),"(","_"),")","")</f>
        <v>vpc901_2_1_1</v>
      </c>
      <c r="AO1599">
        <f>O1599</f>
        <v>0</v>
      </c>
      <c r="AP1599" t="str">
        <f>SUBSTITUTE(SUBSTITUTE(SUBSTITUTE("vch"&amp;$B1599&amp;$C1599&amp;$D1599&amp;$E1599&amp;$F1599,".","_"),"(","_"),")","")</f>
        <v>vch901_2_1_1</v>
      </c>
      <c r="AQ1599" t="str">
        <f>W1599</f>
        <v>N/A</v>
      </c>
      <c r="AR1599" t="str">
        <f>SUBSTITUTE(SUBSTITUTE(SUBSTITUTE("vnt"&amp;$B1599&amp;$C1599&amp;$D1599&amp;$E1599&amp;$F1599,".","_"),"(","_"),")","")</f>
        <v>vnt901_2_1_1</v>
      </c>
      <c r="AS1599">
        <f>X1599</f>
        <v>0</v>
      </c>
      <c r="AX1599" s="6" t="str">
        <f>'Overview (Verification)'!A39</f>
        <v>Maximum window and door SHGC:</v>
      </c>
      <c r="AY1599">
        <f>IF(LEN('Overview (Verification)'!P39)=0,0,'Overview (Verification)'!P39)</f>
        <v>0.22</v>
      </c>
      <c r="BJ1599" s="573" t="s">
        <v>4670</v>
      </c>
    </row>
    <row r="1600" spans="1:62" x14ac:dyDescent="0.35">
      <c r="A1600" s="403">
        <v>9</v>
      </c>
      <c r="B1600" s="609" t="s">
        <v>3369</v>
      </c>
      <c r="C1600" s="604"/>
      <c r="D1600" s="604"/>
      <c r="E1600" s="604" t="s">
        <v>270</v>
      </c>
      <c r="F1600" s="604"/>
      <c r="G1600" s="403" t="s">
        <v>4326</v>
      </c>
      <c r="H1600" s="403" t="s">
        <v>4323</v>
      </c>
      <c r="I1600" s="108"/>
      <c r="J1600" s="4"/>
      <c r="K1600" s="4"/>
      <c r="L1600" s="707"/>
      <c r="M1600" s="690">
        <v>4</v>
      </c>
      <c r="N1600" s="696"/>
      <c r="O1600" s="696"/>
      <c r="X1600" s="688"/>
      <c r="Y1600" s="891"/>
      <c r="Z1600" s="892"/>
      <c r="AL1600" t="str">
        <f t="shared" ref="AL1600" si="533">SUBSTITUTE(SUBSTITUTE(SUBSTITUTE("vpa"&amp;$B1600&amp;$C1600&amp;$D1600&amp;$E1600&amp;$F1600,".","_"),"(","_"),")","")</f>
        <v>vpa901_2_1_1</v>
      </c>
      <c r="AM1600">
        <f>M1600</f>
        <v>4</v>
      </c>
      <c r="AX1600" s="6" t="str">
        <f>'Overview (Verification)'!A40</f>
        <v>Maximum skylight SHGC:</v>
      </c>
      <c r="AY1600">
        <f>IF(LEN('Overview (Verification)'!P40)=0,0,'Overview (Verification)'!P40)</f>
        <v>0</v>
      </c>
      <c r="BJ1600" s="573" t="s">
        <v>4670</v>
      </c>
    </row>
    <row r="1601" spans="1:62" x14ac:dyDescent="0.35">
      <c r="A1601" s="403">
        <v>9</v>
      </c>
      <c r="B1601" s="609" t="s">
        <v>3369</v>
      </c>
      <c r="C1601" s="604"/>
      <c r="D1601" s="604"/>
      <c r="E1601" s="604" t="s">
        <v>270</v>
      </c>
      <c r="F1601" s="604"/>
      <c r="G1601" s="403" t="s">
        <v>4326</v>
      </c>
      <c r="H1601" s="403" t="s">
        <v>4323</v>
      </c>
      <c r="I1601" s="108"/>
      <c r="J1601" s="155"/>
      <c r="K1601" s="155"/>
      <c r="L1601" s="709"/>
      <c r="M1601" s="691"/>
      <c r="N1601" s="697"/>
      <c r="O1601" s="697"/>
      <c r="X1601" s="688"/>
      <c r="Y1601" s="891"/>
      <c r="Z1601" s="892"/>
      <c r="AX1601" s="6" t="str">
        <f>'Overview (Verification)'!A41</f>
        <v>Maximum window and door U-value:</v>
      </c>
      <c r="AY1601">
        <f>IF(LEN('Overview (Verification)'!P41)=0,0,'Overview (Verification)'!P41)</f>
        <v>0.32</v>
      </c>
      <c r="BJ1601" s="573" t="s">
        <v>4670</v>
      </c>
    </row>
    <row r="1602" spans="1:62" x14ac:dyDescent="0.35">
      <c r="A1602" s="403">
        <v>9</v>
      </c>
      <c r="B1602" s="609" t="s">
        <v>3369</v>
      </c>
      <c r="C1602" s="604"/>
      <c r="D1602" s="604"/>
      <c r="E1602" s="604" t="s">
        <v>272</v>
      </c>
      <c r="F1602" s="604"/>
      <c r="G1602" s="403" t="s">
        <v>4326</v>
      </c>
      <c r="H1602" s="403" t="s">
        <v>4323</v>
      </c>
      <c r="I1602" s="108"/>
      <c r="J1602" s="19" t="s">
        <v>272</v>
      </c>
      <c r="K1602" s="4"/>
      <c r="L1602" s="707" t="s">
        <v>3372</v>
      </c>
      <c r="M1602" s="556" t="str">
        <f>IF(R1602,"Mandatory","N/A")</f>
        <v>Mandatory</v>
      </c>
      <c r="N1602" s="696">
        <f>'Ch9'!O45</f>
        <v>0</v>
      </c>
      <c r="O1602" s="696">
        <f>M1603*S1602*(W1602="Met")</f>
        <v>0</v>
      </c>
      <c r="P1602" t="b">
        <v>1</v>
      </c>
      <c r="Q1602" t="b">
        <v>1</v>
      </c>
      <c r="R1602" t="b">
        <f>S1602</f>
        <v>1</v>
      </c>
      <c r="S1602" t="b">
        <f>NOT(W1611)</f>
        <v>1</v>
      </c>
      <c r="T1602" t="b">
        <f>AND(NOT(S1602),LEN(W1602)&gt;0,W1602&lt;&gt;"N/A")</f>
        <v>0</v>
      </c>
      <c r="U1602" t="str">
        <f>SUBSTITUTE(SUBSTITUTE(SUBSTITUTE("dd"&amp;B1602&amp;C1602&amp;D1602&amp;E1602&amp;F1602,".","_"),"(","_"),")","")</f>
        <v>dd901_2_1_2</v>
      </c>
      <c r="W1602" s="9" t="s">
        <v>3241</v>
      </c>
      <c r="X1602" s="688"/>
      <c r="Y1602" s="891" t="str">
        <f>IF(LEN('Ch9'!X45)=0,"None",'Ch9'!X45)</f>
        <v>None</v>
      </c>
      <c r="Z1602" s="892"/>
      <c r="AC1602" t="b">
        <f>OR(AD1602:AE1602)</f>
        <v>0</v>
      </c>
      <c r="AD1602" t="b">
        <f>T1602</f>
        <v>0</v>
      </c>
      <c r="AE1602" t="b">
        <f>AND(R1602,OR(W1602="Not Met",W1602=""))</f>
        <v>0</v>
      </c>
      <c r="AF1602" t="b">
        <f>AND(AE1602,NOT(Q1602))</f>
        <v>0</v>
      </c>
      <c r="AN1602" t="str">
        <f>SUBSTITUTE(SUBSTITUTE(SUBSTITUTE("vpc"&amp;$B1602&amp;$C1602&amp;$D1602&amp;$E1602&amp;$F1602,".","_"),"(","_"),")","")</f>
        <v>vpc901_2_1_2</v>
      </c>
      <c r="AO1602">
        <f>O1602</f>
        <v>0</v>
      </c>
      <c r="AP1602" t="str">
        <f>SUBSTITUTE(SUBSTITUTE(SUBSTITUTE("vch"&amp;$B1602&amp;$C1602&amp;$D1602&amp;$E1602&amp;$F1602,".","_"),"(","_"),")","")</f>
        <v>vch901_2_1_2</v>
      </c>
      <c r="AQ1602" t="str">
        <f>W1602</f>
        <v>N/A</v>
      </c>
      <c r="AR1602" t="str">
        <f>SUBSTITUTE(SUBSTITUTE(SUBSTITUTE("vnt"&amp;$B1602&amp;$C1602&amp;$D1602&amp;$E1602&amp;$F1602,".","_"),"(","_"),")","")</f>
        <v>vnt901_2_1_2</v>
      </c>
      <c r="AS1602">
        <f>X1602</f>
        <v>0</v>
      </c>
      <c r="AX1602" s="6" t="str">
        <f>'Overview (Verification)'!A42</f>
        <v>Maximum skylight U-value:</v>
      </c>
      <c r="AY1602">
        <f>IF(LEN('Overview (Verification)'!P42)=0,0,'Overview (Verification)'!P42)</f>
        <v>0</v>
      </c>
      <c r="BJ1602" s="573" t="s">
        <v>4670</v>
      </c>
    </row>
    <row r="1603" spans="1:62" x14ac:dyDescent="0.35">
      <c r="A1603" s="403">
        <v>9</v>
      </c>
      <c r="B1603" s="609" t="s">
        <v>3369</v>
      </c>
      <c r="C1603" s="604"/>
      <c r="D1603" s="604"/>
      <c r="E1603" s="604" t="s">
        <v>272</v>
      </c>
      <c r="F1603" s="604"/>
      <c r="G1603" s="403" t="s">
        <v>4326</v>
      </c>
      <c r="H1603" s="403" t="s">
        <v>4323</v>
      </c>
      <c r="I1603" s="108"/>
      <c r="J1603" s="148"/>
      <c r="K1603" s="155"/>
      <c r="L1603" s="709"/>
      <c r="M1603" s="198">
        <v>6</v>
      </c>
      <c r="N1603" s="697"/>
      <c r="O1603" s="697"/>
      <c r="X1603" s="688"/>
      <c r="Y1603" s="891"/>
      <c r="Z1603" s="892"/>
      <c r="AL1603" t="str">
        <f t="shared" ref="AL1603" si="534">SUBSTITUTE(SUBSTITUTE(SUBSTITUTE("vpa"&amp;$B1603&amp;$C1603&amp;$D1603&amp;$E1603&amp;$F1603,".","_"),"(","_"),")","")</f>
        <v>vpa901_2_1_2</v>
      </c>
      <c r="AM1603">
        <f>M1603</f>
        <v>6</v>
      </c>
      <c r="AX1603" s="6" t="str">
        <f>'Overview (Verification)'!A43</f>
        <v>Renewable Energy:</v>
      </c>
      <c r="AY1603">
        <f>IF(LEN('Overview (Verification)'!P43)=0,0,'Overview (Verification)'!P43)</f>
        <v>0</v>
      </c>
      <c r="BJ1603" s="573" t="s">
        <v>4670</v>
      </c>
    </row>
    <row r="1604" spans="1:62" x14ac:dyDescent="0.35">
      <c r="A1604" s="403">
        <v>9</v>
      </c>
      <c r="B1604" s="609" t="s">
        <v>3369</v>
      </c>
      <c r="C1604" s="604"/>
      <c r="D1604" s="604"/>
      <c r="E1604" s="604" t="s">
        <v>274</v>
      </c>
      <c r="F1604" s="604"/>
      <c r="G1604" s="403" t="s">
        <v>4326</v>
      </c>
      <c r="H1604" s="403" t="s">
        <v>4323</v>
      </c>
      <c r="I1604" s="108"/>
      <c r="J1604" s="19" t="s">
        <v>274</v>
      </c>
      <c r="K1604" s="4"/>
      <c r="L1604" s="707" t="s">
        <v>3373</v>
      </c>
      <c r="M1604" s="556" t="str">
        <f>IF(R1604,"Mandatory","N/A")</f>
        <v>Mandatory</v>
      </c>
      <c r="N1604" s="696">
        <f>'Ch9'!O47</f>
        <v>0</v>
      </c>
      <c r="O1604" s="696">
        <f>M1605*S1604*(W1604="Met")</f>
        <v>0</v>
      </c>
      <c r="P1604" t="b">
        <v>1</v>
      </c>
      <c r="Q1604" t="b">
        <v>1</v>
      </c>
      <c r="R1604" t="b">
        <f>S1604</f>
        <v>1</v>
      </c>
      <c r="S1604" t="b">
        <f>NOT(W1611)</f>
        <v>1</v>
      </c>
      <c r="T1604" t="b">
        <f>AND(NOT(S1604),LEN(W1604)&gt;0,W1604&lt;&gt;"N/A")</f>
        <v>0</v>
      </c>
      <c r="U1604" t="str">
        <f>SUBSTITUTE(SUBSTITUTE(SUBSTITUTE("dd"&amp;B1604&amp;C1604&amp;D1604&amp;E1604&amp;F1604,".","_"),"(","_"),")","")</f>
        <v>dd901_2_1_3</v>
      </c>
      <c r="W1604" s="9" t="s">
        <v>3241</v>
      </c>
      <c r="X1604" s="688"/>
      <c r="Y1604" s="891" t="str">
        <f>IF(LEN('Ch9'!X47)=0,"None",'Ch9'!X47)</f>
        <v>None</v>
      </c>
      <c r="Z1604" s="892"/>
      <c r="AC1604" t="b">
        <f>OR(AD1604:AE1604)</f>
        <v>0</v>
      </c>
      <c r="AD1604" t="b">
        <f>T1604</f>
        <v>0</v>
      </c>
      <c r="AE1604" t="b">
        <f>AND(R1604,OR(W1604="Not Met",W1604=""))</f>
        <v>0</v>
      </c>
      <c r="AF1604" t="b">
        <f>AND(AE1604,NOT(Q1604))</f>
        <v>0</v>
      </c>
      <c r="AN1604" t="str">
        <f>SUBSTITUTE(SUBSTITUTE(SUBSTITUTE("vpc"&amp;$B1604&amp;$C1604&amp;$D1604&amp;$E1604&amp;$F1604,".","_"),"(","_"),")","")</f>
        <v>vpc901_2_1_3</v>
      </c>
      <c r="AO1604">
        <f>O1604</f>
        <v>0</v>
      </c>
      <c r="AP1604" t="str">
        <f>SUBSTITUTE(SUBSTITUTE(SUBSTITUTE("vch"&amp;$B1604&amp;$C1604&amp;$D1604&amp;$E1604&amp;$F1604,".","_"),"(","_"),")","")</f>
        <v>vch901_2_1_3</v>
      </c>
      <c r="AQ1604" t="str">
        <f>W1604</f>
        <v>N/A</v>
      </c>
      <c r="AR1604" t="str">
        <f>SUBSTITUTE(SUBSTITUTE(SUBSTITUTE("vnt"&amp;$B1604&amp;$C1604&amp;$D1604&amp;$E1604&amp;$F1604,".","_"),"(","_"),")","")</f>
        <v>vnt901_2_1_3</v>
      </c>
      <c r="AS1604">
        <f>X1604</f>
        <v>0</v>
      </c>
      <c r="AX1604" s="6" t="str">
        <f>'Overview (Verification)'!A44</f>
        <v>Thermal Envelope Insulation:</v>
      </c>
      <c r="AY1604">
        <f>IF(LEN('Overview (Verification)'!P44)=0,0,'Overview (Verification)'!P44)</f>
        <v>0</v>
      </c>
      <c r="BJ1604" s="573" t="s">
        <v>4670</v>
      </c>
    </row>
    <row r="1605" spans="1:62" x14ac:dyDescent="0.35">
      <c r="A1605" s="403">
        <v>9</v>
      </c>
      <c r="B1605" s="609" t="s">
        <v>3369</v>
      </c>
      <c r="C1605" s="604"/>
      <c r="D1605" s="604"/>
      <c r="E1605" s="604" t="s">
        <v>274</v>
      </c>
      <c r="F1605" s="604"/>
      <c r="G1605" s="403" t="s">
        <v>4326</v>
      </c>
      <c r="H1605" s="403" t="s">
        <v>4323</v>
      </c>
      <c r="I1605" s="108"/>
      <c r="J1605" s="19"/>
      <c r="K1605" s="4"/>
      <c r="L1605" s="707"/>
      <c r="M1605" s="690">
        <v>6</v>
      </c>
      <c r="N1605" s="696"/>
      <c r="O1605" s="696"/>
      <c r="X1605" s="688"/>
      <c r="Y1605" s="891"/>
      <c r="Z1605" s="892"/>
      <c r="AL1605" t="str">
        <f t="shared" ref="AL1605" si="535">SUBSTITUTE(SUBSTITUTE(SUBSTITUTE("vpa"&amp;$B1605&amp;$C1605&amp;$D1605&amp;$E1605&amp;$F1605,".","_"),"(","_"),")","")</f>
        <v>vpa901_2_1_3</v>
      </c>
      <c r="AM1605">
        <f>M1605</f>
        <v>6</v>
      </c>
      <c r="AX1605" s="6" t="str">
        <f>'Overview (Verification)'!A45</f>
        <v>Attic Type:</v>
      </c>
      <c r="AY1605" t="str">
        <f>IF(LEN('Overview (Verification)'!P45)=0,0,'Overview (Verification)'!P45)</f>
        <v>Vented</v>
      </c>
      <c r="BJ1605" s="573" t="s">
        <v>4670</v>
      </c>
    </row>
    <row r="1606" spans="1:62" x14ac:dyDescent="0.35">
      <c r="A1606" s="403">
        <v>9</v>
      </c>
      <c r="B1606" s="609" t="s">
        <v>3369</v>
      </c>
      <c r="C1606" s="604"/>
      <c r="D1606" s="604"/>
      <c r="E1606" s="604" t="s">
        <v>274</v>
      </c>
      <c r="F1606" s="604"/>
      <c r="G1606" s="403" t="s">
        <v>4326</v>
      </c>
      <c r="H1606" s="403" t="s">
        <v>4323</v>
      </c>
      <c r="I1606" s="108"/>
      <c r="J1606" s="148"/>
      <c r="K1606" s="155"/>
      <c r="L1606" s="709"/>
      <c r="M1606" s="691"/>
      <c r="N1606" s="697"/>
      <c r="O1606" s="697"/>
      <c r="X1606" s="688"/>
      <c r="Y1606" s="891"/>
      <c r="Z1606" s="892"/>
      <c r="AX1606" s="6" t="str">
        <f>'Overview (Verification)'!A46</f>
        <v>Attached Garage:</v>
      </c>
      <c r="AY1606" t="str">
        <f>IF(LEN('Overview (Verification)'!P46)=0,0,'Overview (Verification)'!P46)</f>
        <v>Yes</v>
      </c>
      <c r="BJ1606" s="573" t="s">
        <v>4670</v>
      </c>
    </row>
    <row r="1607" spans="1:62" x14ac:dyDescent="0.35">
      <c r="A1607" s="403">
        <v>9</v>
      </c>
      <c r="B1607" s="609" t="s">
        <v>3369</v>
      </c>
      <c r="C1607" s="604"/>
      <c r="D1607" s="604"/>
      <c r="E1607" s="604" t="s">
        <v>283</v>
      </c>
      <c r="F1607" s="604"/>
      <c r="G1607" s="403" t="s">
        <v>4326</v>
      </c>
      <c r="H1607" s="403" t="s">
        <v>4323</v>
      </c>
      <c r="I1607" s="108"/>
      <c r="J1607" s="19" t="s">
        <v>283</v>
      </c>
      <c r="K1607" s="4"/>
      <c r="L1607" s="723" t="s">
        <v>3374</v>
      </c>
      <c r="M1607" s="556" t="str">
        <f>IF(R1607,"Mandatory","N/A")</f>
        <v>Mandatory</v>
      </c>
      <c r="N1607" s="696">
        <f>'Ch9'!O50</f>
        <v>0</v>
      </c>
      <c r="O1607" s="696">
        <f>M1608*S1607*(W1607="Met")</f>
        <v>0</v>
      </c>
      <c r="P1607" t="b">
        <v>1</v>
      </c>
      <c r="Q1607" t="b">
        <v>1</v>
      </c>
      <c r="R1607" t="b">
        <f>S1607</f>
        <v>1</v>
      </c>
      <c r="S1607" t="b">
        <f>NOT(W1611)</f>
        <v>1</v>
      </c>
      <c r="T1607" t="b">
        <f>AND(NOT(S1607),LEN(W1607)&gt;0,W1607&lt;&gt;"N/A")</f>
        <v>0</v>
      </c>
      <c r="U1607" t="str">
        <f>SUBSTITUTE(SUBSTITUTE(SUBSTITUTE("dd"&amp;B1607&amp;C1607&amp;D1607&amp;E1607&amp;F1607,".","_"),"(","_"),")","")</f>
        <v>dd901_2_1_4</v>
      </c>
      <c r="W1607" s="9" t="s">
        <v>3241</v>
      </c>
      <c r="X1607" s="688"/>
      <c r="Y1607" s="891" t="str">
        <f>IF(LEN('Ch9'!X50)=0,"None",'Ch9'!X50)</f>
        <v>None</v>
      </c>
      <c r="Z1607" s="892"/>
      <c r="AC1607" t="b">
        <f>OR(AD1607:AE1607)</f>
        <v>0</v>
      </c>
      <c r="AD1607" t="b">
        <f>T1607</f>
        <v>0</v>
      </c>
      <c r="AE1607" t="b">
        <f>AND(R1607,OR(W1607="Not Met",W1607=""))</f>
        <v>0</v>
      </c>
      <c r="AF1607" t="b">
        <f>AND(AE1607,NOT(Q1607))</f>
        <v>0</v>
      </c>
      <c r="AN1607" t="str">
        <f>SUBSTITUTE(SUBSTITUTE(SUBSTITUTE("vpc"&amp;$B1607&amp;$C1607&amp;$D1607&amp;$E1607&amp;$F1607,".","_"),"(","_"),")","")</f>
        <v>vpc901_2_1_4</v>
      </c>
      <c r="AO1607">
        <f>O1607</f>
        <v>0</v>
      </c>
      <c r="AP1607" t="str">
        <f>SUBSTITUTE(SUBSTITUTE(SUBSTITUTE("vch"&amp;$B1607&amp;$C1607&amp;$D1607&amp;$E1607&amp;$F1607,".","_"),"(","_"),")","")</f>
        <v>vch901_2_1_4</v>
      </c>
      <c r="AQ1607" t="str">
        <f>W1607</f>
        <v>N/A</v>
      </c>
      <c r="AR1607" t="str">
        <f>SUBSTITUTE(SUBSTITUTE(SUBSTITUTE("vnt"&amp;$B1607&amp;$C1607&amp;$D1607&amp;$E1607&amp;$F1607,".","_"),"(","_"),")","")</f>
        <v>vnt901_2_1_4</v>
      </c>
      <c r="AS1607">
        <f>X1607</f>
        <v>0</v>
      </c>
      <c r="AX1607" s="6" t="str">
        <f>'Overview (Verification)'!A47</f>
        <v>Recessed Lighting:</v>
      </c>
      <c r="AY1607">
        <f>IF(LEN('Overview (Verification)'!P47)=0,0,'Overview (Verification)'!P47)</f>
        <v>0</v>
      </c>
      <c r="BJ1607" s="573" t="s">
        <v>4670</v>
      </c>
    </row>
    <row r="1608" spans="1:62" x14ac:dyDescent="0.35">
      <c r="A1608" s="403">
        <v>9</v>
      </c>
      <c r="B1608" s="609" t="s">
        <v>3369</v>
      </c>
      <c r="C1608" s="604"/>
      <c r="D1608" s="604"/>
      <c r="E1608" s="604" t="s">
        <v>283</v>
      </c>
      <c r="F1608" s="604"/>
      <c r="G1608" s="403" t="s">
        <v>4326</v>
      </c>
      <c r="H1608" s="403" t="s">
        <v>4323</v>
      </c>
      <c r="I1608" s="108"/>
      <c r="J1608" s="148"/>
      <c r="K1608" s="155"/>
      <c r="L1608" s="724"/>
      <c r="M1608" s="198">
        <v>6</v>
      </c>
      <c r="N1608" s="697"/>
      <c r="O1608" s="697"/>
      <c r="X1608" s="688"/>
      <c r="Y1608" s="891"/>
      <c r="Z1608" s="892"/>
      <c r="AL1608" t="str">
        <f t="shared" ref="AL1608" si="536">SUBSTITUTE(SUBSTITUTE(SUBSTITUTE("vpa"&amp;$B1608&amp;$C1608&amp;$D1608&amp;$E1608&amp;$F1608,".","_"),"(","_"),")","")</f>
        <v>vpa901_2_1_4</v>
      </c>
      <c r="AM1608">
        <f>M1608</f>
        <v>6</v>
      </c>
      <c r="AX1608" s="6"/>
      <c r="BJ1608" s="573" t="s">
        <v>4670</v>
      </c>
    </row>
    <row r="1609" spans="1:62" x14ac:dyDescent="0.35">
      <c r="A1609" s="403">
        <v>9</v>
      </c>
      <c r="B1609" s="609" t="s">
        <v>3369</v>
      </c>
      <c r="C1609" s="604"/>
      <c r="D1609" s="604"/>
      <c r="E1609" s="604" t="s">
        <v>289</v>
      </c>
      <c r="F1609" s="604"/>
      <c r="G1609" s="403" t="s">
        <v>4326</v>
      </c>
      <c r="H1609" s="403" t="s">
        <v>4323</v>
      </c>
      <c r="I1609" s="108"/>
      <c r="J1609" s="19" t="s">
        <v>289</v>
      </c>
      <c r="K1609" s="4"/>
      <c r="L1609" s="707" t="s">
        <v>3375</v>
      </c>
      <c r="M1609" s="556" t="str">
        <f>IF(R1609,"Mandatory","N/A")</f>
        <v>Mandatory</v>
      </c>
      <c r="N1609" s="696">
        <f>'Ch9'!O52</f>
        <v>0</v>
      </c>
      <c r="O1609" s="696">
        <f>M1610*S1609*(W1609="Met")</f>
        <v>0</v>
      </c>
      <c r="P1609" t="b">
        <v>1</v>
      </c>
      <c r="Q1609" t="b">
        <v>1</v>
      </c>
      <c r="R1609" t="b">
        <f>S1609</f>
        <v>1</v>
      </c>
      <c r="S1609" t="b">
        <f>NOT(W1611)</f>
        <v>1</v>
      </c>
      <c r="T1609" t="b">
        <f>AND(NOT(S1609),LEN(W1609)&gt;0,W1609&lt;&gt;"N/A")</f>
        <v>0</v>
      </c>
      <c r="U1609" t="str">
        <f>SUBSTITUTE(SUBSTITUTE(SUBSTITUTE("dd"&amp;B1609&amp;C1609&amp;D1609&amp;E1609&amp;F1609,".","_"),"(","_"),")","")</f>
        <v>dd901_2_1_5</v>
      </c>
      <c r="W1609" s="9" t="s">
        <v>3241</v>
      </c>
      <c r="X1609" s="688"/>
      <c r="Y1609" s="891" t="str">
        <f>IF(LEN('Ch9'!X52)=0,"None",'Ch9'!X52)</f>
        <v>None</v>
      </c>
      <c r="Z1609" s="892"/>
      <c r="AC1609" t="b">
        <f>OR(AD1609:AE1609)</f>
        <v>0</v>
      </c>
      <c r="AD1609" t="b">
        <f>T1609</f>
        <v>0</v>
      </c>
      <c r="AE1609" t="b">
        <f>AND(R1609,OR(W1609="Not Met",W1609=""))</f>
        <v>0</v>
      </c>
      <c r="AF1609" t="b">
        <f>AND(AE1609,NOT(Q1609))</f>
        <v>0</v>
      </c>
      <c r="AN1609" t="str">
        <f>SUBSTITUTE(SUBSTITUTE(SUBSTITUTE("vpc"&amp;$B1609&amp;$C1609&amp;$D1609&amp;$E1609&amp;$F1609,".","_"),"(","_"),")","")</f>
        <v>vpc901_2_1_5</v>
      </c>
      <c r="AO1609">
        <f>O1609</f>
        <v>0</v>
      </c>
      <c r="AP1609" t="str">
        <f>SUBSTITUTE(SUBSTITUTE(SUBSTITUTE("vch"&amp;$B1609&amp;$C1609&amp;$D1609&amp;$E1609&amp;$F1609,".","_"),"(","_"),")","")</f>
        <v>vch901_2_1_5</v>
      </c>
      <c r="AQ1609" t="str">
        <f>W1609</f>
        <v>N/A</v>
      </c>
      <c r="AR1609" t="str">
        <f>SUBSTITUTE(SUBSTITUTE(SUBSTITUTE("vnt"&amp;$B1609&amp;$C1609&amp;$D1609&amp;$E1609&amp;$F1609,".","_"),"(","_"),")","")</f>
        <v>vnt901_2_1_5</v>
      </c>
      <c r="AS1609">
        <f>X1609</f>
        <v>0</v>
      </c>
      <c r="AX1609" s="6" t="str">
        <f>'Overview (Verification)'!A49</f>
        <v>Special Design Features:</v>
      </c>
      <c r="BJ1609" s="573" t="s">
        <v>4670</v>
      </c>
    </row>
    <row r="1610" spans="1:62" x14ac:dyDescent="0.35">
      <c r="A1610" s="403">
        <v>9</v>
      </c>
      <c r="B1610" s="609" t="s">
        <v>3369</v>
      </c>
      <c r="C1610" s="604"/>
      <c r="D1610" s="604"/>
      <c r="E1610" s="604" t="s">
        <v>289</v>
      </c>
      <c r="F1610" s="604"/>
      <c r="G1610" s="403" t="s">
        <v>4326</v>
      </c>
      <c r="H1610" s="403" t="s">
        <v>4323</v>
      </c>
      <c r="I1610" s="353"/>
      <c r="J1610" s="148"/>
      <c r="K1610" s="155"/>
      <c r="L1610" s="709"/>
      <c r="M1610" s="198">
        <v>6</v>
      </c>
      <c r="N1610" s="697"/>
      <c r="O1610" s="697"/>
      <c r="P1610" s="119"/>
      <c r="Q1610" s="119"/>
      <c r="R1610" s="119"/>
      <c r="S1610" s="119"/>
      <c r="T1610" s="119"/>
      <c r="U1610" s="119"/>
      <c r="V1610" s="119"/>
      <c r="W1610" s="119"/>
      <c r="X1610" s="688"/>
      <c r="Y1610" s="891"/>
      <c r="Z1610" s="892"/>
      <c r="AL1610" t="str">
        <f t="shared" ref="AL1610:AL1611" si="537">SUBSTITUTE(SUBSTITUTE(SUBSTITUTE("vpa"&amp;$B1610&amp;$C1610&amp;$D1610&amp;$E1610&amp;$F1610,".","_"),"(","_"),")","")</f>
        <v>vpa901_2_1_5</v>
      </c>
      <c r="AM1610">
        <f>M1610</f>
        <v>6</v>
      </c>
      <c r="AX1610" s="6" t="str">
        <f>'Overview (Verification)'!A50</f>
        <v>Passive Solar:</v>
      </c>
      <c r="AY1610">
        <f>IF(LEN('Overview (Verification)'!P50)=0,0,'Overview (Verification)'!P50)</f>
        <v>0</v>
      </c>
      <c r="BJ1610" s="573" t="s">
        <v>4670</v>
      </c>
    </row>
    <row r="1611" spans="1:62" ht="15" thickBot="1" x14ac:dyDescent="0.4">
      <c r="A1611" s="403">
        <v>9</v>
      </c>
      <c r="B1611" s="609" t="s">
        <v>3376</v>
      </c>
      <c r="C1611" s="604"/>
      <c r="D1611" s="604"/>
      <c r="E1611" s="604"/>
      <c r="F1611" s="604"/>
      <c r="G1611" s="403" t="str">
        <f>IF(N1611&gt;0,"P","")</f>
        <v/>
      </c>
      <c r="H1611" s="403" t="s">
        <v>4323</v>
      </c>
      <c r="I1611" s="132" t="s">
        <v>3376</v>
      </c>
      <c r="J1611" s="183"/>
      <c r="K1611" s="183"/>
      <c r="L1611" s="354" t="s">
        <v>3377</v>
      </c>
      <c r="M1611" s="270">
        <v>6</v>
      </c>
      <c r="N1611" s="184">
        <f>'Ch9'!O54</f>
        <v>0</v>
      </c>
      <c r="O1611" s="184">
        <f>M1611*S1611*W1611</f>
        <v>0</v>
      </c>
      <c r="P1611" t="b">
        <v>1</v>
      </c>
      <c r="Q1611" t="b">
        <v>1</v>
      </c>
      <c r="R1611" s="58" t="b">
        <v>0</v>
      </c>
      <c r="S1611" s="58" t="b">
        <f>(COUNTIF(W1599:W1609,"Met"))=0</f>
        <v>1</v>
      </c>
      <c r="T1611" s="58" t="b">
        <f>AND(NOT(S1611),W1611=TRUE)</f>
        <v>0</v>
      </c>
      <c r="U1611" s="58"/>
      <c r="V1611" s="58"/>
      <c r="W1611" s="59"/>
      <c r="X1611" s="316"/>
      <c r="Y1611" s="201" t="str">
        <f>IF(LEN('Ch9'!X54)=0,"None",'Ch9'!X54)</f>
        <v>None</v>
      </c>
      <c r="Z1611" s="567"/>
      <c r="AA1611">
        <f>'Photo Review'!H1609</f>
        <v>0</v>
      </c>
      <c r="AC1611" t="b">
        <f>OR(AD1611:AE1611)</f>
        <v>0</v>
      </c>
      <c r="AD1611" t="b">
        <f>T1611</f>
        <v>0</v>
      </c>
      <c r="AE1611" t="b">
        <f>AND(R1611,NOT(W1611))</f>
        <v>0</v>
      </c>
      <c r="AF1611" t="b">
        <f>AND(AE1611,NOT(Q1611))</f>
        <v>0</v>
      </c>
      <c r="AL1611" t="str">
        <f t="shared" si="537"/>
        <v>vpa901_2_2</v>
      </c>
      <c r="AM1611">
        <f>M1611</f>
        <v>6</v>
      </c>
      <c r="AN1611" t="str">
        <f>SUBSTITUTE(SUBSTITUTE(SUBSTITUTE("vpc"&amp;$B1611&amp;$C1611&amp;$D1611&amp;$E1611&amp;$F1611,".","_"),"(","_"),")","")</f>
        <v>vpc901_2_2</v>
      </c>
      <c r="AO1611">
        <f>O1611</f>
        <v>0</v>
      </c>
      <c r="AP1611" t="str">
        <f>SUBSTITUTE(SUBSTITUTE(SUBSTITUTE("vch"&amp;$B1611&amp;$C1611&amp;$D1611&amp;$E1611&amp;$F1611,".","_"),"(","_"),")","")</f>
        <v>vch901_2_2</v>
      </c>
      <c r="AQ1611">
        <f>W1611</f>
        <v>0</v>
      </c>
      <c r="AR1611" t="str">
        <f>SUBSTITUTE(SUBSTITUTE(SUBSTITUTE("vnt"&amp;$B1611&amp;$C1611&amp;$D1611&amp;$E1611&amp;$F1611,".","_"),"(","_"),")","")</f>
        <v>vnt901_2_2</v>
      </c>
      <c r="AS1611">
        <f>X1611</f>
        <v>0</v>
      </c>
      <c r="AX1611" s="6" t="str">
        <f>'Overview (Verification)'!A51</f>
        <v>Mass Walls:</v>
      </c>
      <c r="AY1611">
        <f>IF(LEN('Overview (Verification)'!P51)=0,0,'Overview (Verification)'!P51)</f>
        <v>0</v>
      </c>
      <c r="BJ1611" s="573" t="s">
        <v>4670</v>
      </c>
    </row>
    <row r="1612" spans="1:62" ht="15" thickTop="1" x14ac:dyDescent="0.35">
      <c r="A1612" s="403">
        <v>9</v>
      </c>
      <c r="B1612" s="609">
        <v>901.3</v>
      </c>
      <c r="C1612" s="604"/>
      <c r="D1612" s="604"/>
      <c r="E1612" s="604"/>
      <c r="F1612" s="604"/>
      <c r="G1612" s="403" t="s">
        <v>4326</v>
      </c>
      <c r="H1612" s="403" t="s">
        <v>4323</v>
      </c>
      <c r="I1612" s="32">
        <v>901.3</v>
      </c>
      <c r="J1612" s="4"/>
      <c r="K1612" s="4"/>
      <c r="L1612" s="110" t="s">
        <v>3378</v>
      </c>
      <c r="M1612" s="43"/>
      <c r="N1612" s="85"/>
      <c r="O1612" s="85"/>
      <c r="Z1612" s="543"/>
      <c r="AX1612" s="6" t="str">
        <f>'Overview (Verification)'!A52</f>
        <v>Ductless:</v>
      </c>
      <c r="AY1612">
        <f>IF(LEN('Overview (Verification)'!P52)=0,0,'Overview (Verification)'!P52)</f>
        <v>0</v>
      </c>
      <c r="BJ1612" s="573" t="s">
        <v>4670</v>
      </c>
    </row>
    <row r="1613" spans="1:62" x14ac:dyDescent="0.35">
      <c r="A1613" s="403">
        <v>9</v>
      </c>
      <c r="B1613" s="609">
        <v>901.3</v>
      </c>
      <c r="C1613" s="604"/>
      <c r="D1613" s="604"/>
      <c r="E1613" s="604" t="s">
        <v>270</v>
      </c>
      <c r="F1613" s="604"/>
      <c r="G1613" s="403" t="s">
        <v>4326</v>
      </c>
      <c r="H1613" s="605" t="s">
        <v>4323</v>
      </c>
      <c r="I1613" s="108"/>
      <c r="J1613" s="19" t="s">
        <v>270</v>
      </c>
      <c r="K1613" s="4"/>
      <c r="L1613" s="104" t="s">
        <v>3379</v>
      </c>
      <c r="M1613" s="43"/>
      <c r="N1613" s="85"/>
      <c r="O1613" s="85"/>
      <c r="Z1613" s="543"/>
      <c r="AA1613">
        <f>'Photo Review'!H1611</f>
        <v>0</v>
      </c>
      <c r="AX1613" s="6" t="str">
        <f>'Overview (Verification)'!A53</f>
        <v>Radiant/Hydronic:</v>
      </c>
      <c r="AY1613">
        <f>IF(LEN('Overview (Verification)'!P53)=0,0,'Overview (Verification)'!P53)</f>
        <v>0</v>
      </c>
      <c r="BJ1613" s="573" t="s">
        <v>4670</v>
      </c>
    </row>
    <row r="1614" spans="1:62" x14ac:dyDescent="0.35">
      <c r="A1614" s="403">
        <v>9</v>
      </c>
      <c r="B1614" s="609">
        <v>901.3</v>
      </c>
      <c r="C1614" s="604"/>
      <c r="D1614" s="604"/>
      <c r="E1614" s="604" t="s">
        <v>270</v>
      </c>
      <c r="F1614" s="608" t="s">
        <v>121</v>
      </c>
      <c r="G1614" s="403" t="s">
        <v>4326</v>
      </c>
      <c r="H1614" s="617" t="s">
        <v>4325</v>
      </c>
      <c r="I1614" s="108"/>
      <c r="J1614" s="4"/>
      <c r="K1614" s="19" t="s">
        <v>121</v>
      </c>
      <c r="L1614" s="707" t="s">
        <v>3380</v>
      </c>
      <c r="M1614" s="556" t="str">
        <f>IF(R1614,"Mandatory","N/A")</f>
        <v>N/A</v>
      </c>
      <c r="N1614" s="696">
        <f>'Ch9'!O57</f>
        <v>2</v>
      </c>
      <c r="O1614" s="696">
        <f>M1615*S1614*(W1614="Met")</f>
        <v>0</v>
      </c>
      <c r="P1614" t="b">
        <v>0</v>
      </c>
      <c r="Q1614" t="b">
        <v>1</v>
      </c>
      <c r="R1614" t="b">
        <f>S1614</f>
        <v>0</v>
      </c>
      <c r="S1614" t="b">
        <f>NOT(OR(W1624,W1616="N/A"))</f>
        <v>0</v>
      </c>
      <c r="T1614" t="b">
        <f>AND(NOT(S1614),LEN(W1614)&gt;"Met")</f>
        <v>0</v>
      </c>
      <c r="U1614" t="str">
        <f>SUBSTITUTE(SUBSTITUTE(SUBSTITUTE("dd"&amp;B1614&amp;C1614&amp;D1614&amp;E1614&amp;F1614,".","_"),"(","_"),")","")</f>
        <v>dd901_3_1_a</v>
      </c>
      <c r="W1614" s="9" t="s">
        <v>3241</v>
      </c>
      <c r="X1614" s="688"/>
      <c r="Y1614" s="891" t="str">
        <f>IF(LEN('Ch9'!X57)=0,"None",'Ch9'!X57)</f>
        <v>None</v>
      </c>
      <c r="Z1614" s="892"/>
      <c r="AC1614" t="b">
        <f>OR(AD1614:AE1614)</f>
        <v>0</v>
      </c>
      <c r="AD1614" t="b">
        <f>T1614</f>
        <v>0</v>
      </c>
      <c r="AE1614" t="b">
        <f>AND(R1614,OR(W1614="Not Met",W1614=""))</f>
        <v>0</v>
      </c>
      <c r="AF1614" t="b">
        <f>AND(AE1614,NOT(Q1614))</f>
        <v>0</v>
      </c>
      <c r="AN1614" t="str">
        <f>SUBSTITUTE(SUBSTITUTE(SUBSTITUTE("vpc"&amp;$B1614&amp;$C1614&amp;$D1614&amp;$E1614&amp;$F1614,".","_"),"(","_"),")","")</f>
        <v>vpc901_3_1_a</v>
      </c>
      <c r="AO1614">
        <f>O1614</f>
        <v>0</v>
      </c>
      <c r="AP1614" t="str">
        <f>SUBSTITUTE(SUBSTITUTE(SUBSTITUTE("vch"&amp;$B1614&amp;$C1614&amp;$D1614&amp;$E1614&amp;$F1614,".","_"),"(","_"),")","")</f>
        <v>vch901_3_1_a</v>
      </c>
      <c r="AQ1614" t="str">
        <f>W1614</f>
        <v>N/A</v>
      </c>
      <c r="AR1614" t="str">
        <f>SUBSTITUTE(SUBSTITUTE(SUBSTITUTE("vnt"&amp;$B1614&amp;$C1614&amp;$D1614&amp;$E1614&amp;$F1614,".","_"),"(","_"),")","")</f>
        <v>vnt901_3_1_a</v>
      </c>
      <c r="AS1614">
        <f>X1614</f>
        <v>0</v>
      </c>
      <c r="AX1614" s="6" t="str">
        <f>'Overview (Verification)'!A54</f>
        <v>Tankless Water Heater:</v>
      </c>
      <c r="AY1614">
        <f>IF(LEN('Overview (Verification)'!P54)=0,0,'Overview (Verification)'!P54)</f>
        <v>0</v>
      </c>
      <c r="BJ1614" s="573" t="s">
        <v>4670</v>
      </c>
    </row>
    <row r="1615" spans="1:62" x14ac:dyDescent="0.35">
      <c r="A1615" s="403">
        <v>9</v>
      </c>
      <c r="B1615" s="609">
        <v>901.3</v>
      </c>
      <c r="C1615" s="604"/>
      <c r="D1615" s="604"/>
      <c r="E1615" s="604" t="s">
        <v>270</v>
      </c>
      <c r="F1615" s="608" t="s">
        <v>121</v>
      </c>
      <c r="G1615" s="403" t="s">
        <v>4326</v>
      </c>
      <c r="H1615" s="617" t="s">
        <v>4325</v>
      </c>
      <c r="I1615" s="108"/>
      <c r="J1615" s="4"/>
      <c r="K1615" s="148"/>
      <c r="L1615" s="709"/>
      <c r="M1615" s="198">
        <v>2</v>
      </c>
      <c r="N1615" s="697"/>
      <c r="O1615" s="697"/>
      <c r="X1615" s="688"/>
      <c r="Y1615" s="891"/>
      <c r="Z1615" s="892"/>
      <c r="AL1615" t="str">
        <f t="shared" ref="AL1615" si="538">SUBSTITUTE(SUBSTITUTE(SUBSTITUTE("vpa"&amp;$B1615&amp;$C1615&amp;$D1615&amp;$E1615&amp;$F1615,".","_"),"(","_"),")","")</f>
        <v>vpa901_3_1_a</v>
      </c>
      <c r="AM1615">
        <f>M1615</f>
        <v>2</v>
      </c>
      <c r="AX1615" s="6" t="str">
        <f>'Overview (Verification)'!A55</f>
        <v>Composting Toilet:</v>
      </c>
      <c r="AY1615">
        <f>IF(LEN('Overview (Verification)'!P55)=0,0,'Overview (Verification)'!P55)</f>
        <v>0</v>
      </c>
      <c r="BJ1615" s="573" t="s">
        <v>4670</v>
      </c>
    </row>
    <row r="1616" spans="1:62" x14ac:dyDescent="0.35">
      <c r="A1616" s="403">
        <v>9</v>
      </c>
      <c r="B1616" s="609">
        <v>901.3</v>
      </c>
      <c r="C1616" s="604"/>
      <c r="D1616" s="604"/>
      <c r="E1616" s="604" t="s">
        <v>270</v>
      </c>
      <c r="F1616" s="608" t="s">
        <v>122</v>
      </c>
      <c r="G1616" s="403" t="s">
        <v>4326</v>
      </c>
      <c r="H1616" s="617" t="s">
        <v>4324</v>
      </c>
      <c r="I1616" s="108"/>
      <c r="J1616" s="4"/>
      <c r="K1616" s="19" t="s">
        <v>122</v>
      </c>
      <c r="L1616" s="707" t="s">
        <v>3381</v>
      </c>
      <c r="M1616" s="556" t="str">
        <f>IF(R1616,"Mandatory","N/A")</f>
        <v>N/A</v>
      </c>
      <c r="N1616" s="696">
        <f>'Ch9'!O59</f>
        <v>2</v>
      </c>
      <c r="O1616" s="696">
        <f>M1617*S1616*(W1616="Met")</f>
        <v>0</v>
      </c>
      <c r="P1616" t="b">
        <v>1</v>
      </c>
      <c r="Q1616" t="b">
        <v>0</v>
      </c>
      <c r="R1616" t="b">
        <f>S1616</f>
        <v>0</v>
      </c>
      <c r="S1616" t="b">
        <f>NOT(OR(W1624,W1614="N/A"))</f>
        <v>0</v>
      </c>
      <c r="T1616" t="b">
        <f>AND(NOT(S1616),LEN(W1616)&gt;"Met")</f>
        <v>0</v>
      </c>
      <c r="U1616" t="str">
        <f>SUBSTITUTE(SUBSTITUTE(SUBSTITUTE("dd"&amp;B1616&amp;C1616&amp;D1616&amp;E1616&amp;F1616,".","_"),"(","_"),")","")</f>
        <v>dd901_3_1_b</v>
      </c>
      <c r="W1616" s="9"/>
      <c r="X1616" s="688"/>
      <c r="Y1616" s="891" t="str">
        <f>IF(LEN('Ch9'!X59)=0,"None",'Ch9'!X59)</f>
        <v>None</v>
      </c>
      <c r="Z1616" s="892"/>
      <c r="AC1616" t="b">
        <f>OR(AD1616:AE1616)</f>
        <v>0</v>
      </c>
      <c r="AD1616" t="b">
        <f>T1616</f>
        <v>0</v>
      </c>
      <c r="AE1616" t="b">
        <f>AND(R1616,OR(W1616="Not Met",W1616=""))</f>
        <v>0</v>
      </c>
      <c r="AF1616" t="b">
        <f>AND(AE1616,NOT(Q1616))</f>
        <v>0</v>
      </c>
      <c r="AN1616" t="str">
        <f>SUBSTITUTE(SUBSTITUTE(SUBSTITUTE("vpc"&amp;$B1616&amp;$C1616&amp;$D1616&amp;$E1616&amp;$F1616,".","_"),"(","_"),")","")</f>
        <v>vpc901_3_1_b</v>
      </c>
      <c r="AO1616">
        <f>O1616</f>
        <v>0</v>
      </c>
      <c r="AP1616" t="str">
        <f>SUBSTITUTE(SUBSTITUTE(SUBSTITUTE("vch"&amp;$B1616&amp;$C1616&amp;$D1616&amp;$E1616&amp;$F1616,".","_"),"(","_"),")","")</f>
        <v>vch901_3_1_b</v>
      </c>
      <c r="AQ1616">
        <f>W1616</f>
        <v>0</v>
      </c>
      <c r="AR1616" t="str">
        <f>SUBSTITUTE(SUBSTITUTE(SUBSTITUTE("vnt"&amp;$B1616&amp;$C1616&amp;$D1616&amp;$E1616&amp;$F1616,".","_"),"(","_"),")","")</f>
        <v>vnt901_3_1_b</v>
      </c>
      <c r="AS1616">
        <f>X1616</f>
        <v>0</v>
      </c>
      <c r="AX1616" s="6"/>
      <c r="BJ1616" s="573" t="s">
        <v>4670</v>
      </c>
    </row>
    <row r="1617" spans="1:62" x14ac:dyDescent="0.35">
      <c r="A1617" s="403">
        <v>9</v>
      </c>
      <c r="B1617" s="609">
        <v>901.3</v>
      </c>
      <c r="C1617" s="604"/>
      <c r="D1617" s="604"/>
      <c r="E1617" s="604" t="s">
        <v>270</v>
      </c>
      <c r="F1617" s="608" t="s">
        <v>122</v>
      </c>
      <c r="G1617" s="403" t="s">
        <v>4326</v>
      </c>
      <c r="H1617" s="617" t="s">
        <v>4324</v>
      </c>
      <c r="I1617" s="108"/>
      <c r="J1617" s="4"/>
      <c r="K1617" s="155"/>
      <c r="L1617" s="709"/>
      <c r="M1617" s="198">
        <v>2</v>
      </c>
      <c r="N1617" s="697"/>
      <c r="O1617" s="697"/>
      <c r="X1617" s="688"/>
      <c r="Y1617" s="891"/>
      <c r="Z1617" s="892"/>
      <c r="AL1617" t="str">
        <f t="shared" ref="AL1617:AL1618" si="539">SUBSTITUTE(SUBSTITUTE(SUBSTITUTE("vpa"&amp;$B1617&amp;$C1617&amp;$D1617&amp;$E1617&amp;$F1617,".","_"),"(","_"),")","")</f>
        <v>vpa901_3_1_b</v>
      </c>
      <c r="AM1617">
        <f>M1617</f>
        <v>2</v>
      </c>
      <c r="AX1617" s="6" t="str">
        <f>'Overview (Verification)'!A57</f>
        <v>Local Energy Code:</v>
      </c>
      <c r="AY1617">
        <f>IF(LEN('Overview (Verification)'!P57)=0,0,'Overview (Verification)'!P57)</f>
        <v>0</v>
      </c>
      <c r="BJ1617" s="573" t="s">
        <v>4670</v>
      </c>
    </row>
    <row r="1618" spans="1:62" x14ac:dyDescent="0.35">
      <c r="A1618" s="403">
        <v>9</v>
      </c>
      <c r="B1618" s="609">
        <v>901.3</v>
      </c>
      <c r="C1618" s="604"/>
      <c r="D1618" s="604"/>
      <c r="E1618" s="604" t="s">
        <v>270</v>
      </c>
      <c r="F1618" s="608" t="s">
        <v>123</v>
      </c>
      <c r="G1618" s="403" t="str">
        <f ca="1">IF(N1618&gt;0,"P","")</f>
        <v/>
      </c>
      <c r="H1618" s="617" t="s">
        <v>4325</v>
      </c>
      <c r="I1618" s="108"/>
      <c r="J1618" s="4"/>
      <c r="K1618" s="19" t="s">
        <v>123</v>
      </c>
      <c r="L1618" s="707" t="s">
        <v>3382</v>
      </c>
      <c r="M1618" s="690">
        <v>8</v>
      </c>
      <c r="N1618" s="696">
        <f ca="1">'Ch9'!O61</f>
        <v>0</v>
      </c>
      <c r="O1618" s="696">
        <f ca="1">M1618*S1618*W1618</f>
        <v>0</v>
      </c>
      <c r="P1618" t="b">
        <v>0</v>
      </c>
      <c r="Q1618" t="b">
        <v>1</v>
      </c>
      <c r="R1618" t="b">
        <v>0</v>
      </c>
      <c r="S1618" t="b">
        <f ca="1">AND(NOT(W1624),$AY$18=INDEX(INDIRECT("ddSingleOrMulti"),1))</f>
        <v>0</v>
      </c>
      <c r="T1618" t="b">
        <f ca="1">AND(NOT(S1618),W1618=TRUE)</f>
        <v>0</v>
      </c>
      <c r="W1618" s="17"/>
      <c r="X1618" s="688"/>
      <c r="Y1618" s="891" t="str">
        <f>IF(LEN('Ch9'!X61)=0,"None",'Ch9'!X61)</f>
        <v>None</v>
      </c>
      <c r="Z1618" s="892"/>
      <c r="AC1618" t="b">
        <f ca="1">OR(AD1618:AE1618)</f>
        <v>0</v>
      </c>
      <c r="AD1618" t="b">
        <f ca="1">T1618</f>
        <v>0</v>
      </c>
      <c r="AE1618" t="b">
        <f>AND(R1618,NOT(W1618))</f>
        <v>0</v>
      </c>
      <c r="AF1618" t="b">
        <f>AND(AE1618,NOT(Q1618))</f>
        <v>0</v>
      </c>
      <c r="AL1618" t="str">
        <f t="shared" si="539"/>
        <v>vpa901_3_1_c</v>
      </c>
      <c r="AM1618">
        <f>M1618</f>
        <v>8</v>
      </c>
      <c r="AN1618" t="str">
        <f>SUBSTITUTE(SUBSTITUTE(SUBSTITUTE("vpc"&amp;$B1618&amp;$C1618&amp;$D1618&amp;$E1618&amp;$F1618,".","_"),"(","_"),")","")</f>
        <v>vpc901_3_1_c</v>
      </c>
      <c r="AO1618">
        <f ca="1">O1618</f>
        <v>0</v>
      </c>
      <c r="AP1618" t="str">
        <f>SUBSTITUTE(SUBSTITUTE(SUBSTITUTE("vch"&amp;$B1618&amp;$C1618&amp;$D1618&amp;$E1618&amp;$F1618,".","_"),"(","_"),")","")</f>
        <v>vch901_3_1_c</v>
      </c>
      <c r="AQ1618">
        <f>W1618</f>
        <v>0</v>
      </c>
      <c r="AR1618" t="str">
        <f>SUBSTITUTE(SUBSTITUTE(SUBSTITUTE("vnt"&amp;$B1618&amp;$C1618&amp;$D1618&amp;$E1618&amp;$F1618,".","_"),"(","_"),")","")</f>
        <v>vnt901_3_1_c</v>
      </c>
      <c r="AS1618">
        <f>X1618</f>
        <v>0</v>
      </c>
      <c r="AX1618" s="6" t="str">
        <f>'Overview (Verification)'!A58</f>
        <v>Local Building Code:</v>
      </c>
      <c r="AY1618">
        <f>IF(LEN('Overview (Verification)'!P58)=0,0,'Overview (Verification)'!P58)</f>
        <v>0</v>
      </c>
      <c r="BJ1618" s="573" t="s">
        <v>4670</v>
      </c>
    </row>
    <row r="1619" spans="1:62" x14ac:dyDescent="0.35">
      <c r="A1619" s="403">
        <v>9</v>
      </c>
      <c r="B1619" s="609">
        <v>901.3</v>
      </c>
      <c r="C1619" s="604"/>
      <c r="D1619" s="604"/>
      <c r="E1619" s="604" t="s">
        <v>270</v>
      </c>
      <c r="F1619" s="608" t="s">
        <v>123</v>
      </c>
      <c r="G1619" s="403" t="str">
        <f t="shared" ref="G1619:G1623" ca="1" si="540">G1618</f>
        <v/>
      </c>
      <c r="H1619" s="617" t="s">
        <v>4325</v>
      </c>
      <c r="I1619" s="108"/>
      <c r="J1619" s="4"/>
      <c r="K1619" s="4"/>
      <c r="L1619" s="707"/>
      <c r="M1619" s="690"/>
      <c r="N1619" s="696"/>
      <c r="O1619" s="696"/>
      <c r="X1619" s="688"/>
      <c r="Y1619" s="891"/>
      <c r="Z1619" s="892"/>
      <c r="BJ1619" s="573" t="s">
        <v>4670</v>
      </c>
    </row>
    <row r="1620" spans="1:62" x14ac:dyDescent="0.35">
      <c r="A1620" s="403">
        <v>9</v>
      </c>
      <c r="B1620" s="609">
        <v>901.3</v>
      </c>
      <c r="C1620" s="604"/>
      <c r="D1620" s="604"/>
      <c r="E1620" s="604" t="s">
        <v>270</v>
      </c>
      <c r="F1620" s="608" t="s">
        <v>123</v>
      </c>
      <c r="G1620" s="403" t="str">
        <f t="shared" ca="1" si="540"/>
        <v/>
      </c>
      <c r="H1620" s="617" t="s">
        <v>4325</v>
      </c>
      <c r="I1620" s="108"/>
      <c r="J1620" s="4"/>
      <c r="K1620" s="4"/>
      <c r="L1620" s="707"/>
      <c r="M1620" s="690"/>
      <c r="N1620" s="696"/>
      <c r="O1620" s="696"/>
      <c r="X1620" s="688"/>
      <c r="Y1620" s="891"/>
      <c r="Z1620" s="892"/>
      <c r="BJ1620" s="573" t="s">
        <v>4670</v>
      </c>
    </row>
    <row r="1621" spans="1:62" x14ac:dyDescent="0.35">
      <c r="A1621" s="403">
        <v>9</v>
      </c>
      <c r="B1621" s="609">
        <v>901.3</v>
      </c>
      <c r="C1621" s="604"/>
      <c r="D1621" s="604"/>
      <c r="E1621" s="604" t="s">
        <v>270</v>
      </c>
      <c r="F1621" s="608" t="s">
        <v>123</v>
      </c>
      <c r="G1621" s="403" t="str">
        <f t="shared" ca="1" si="540"/>
        <v/>
      </c>
      <c r="H1621" s="617" t="s">
        <v>4325</v>
      </c>
      <c r="I1621" s="108"/>
      <c r="J1621" s="4"/>
      <c r="K1621" s="4"/>
      <c r="L1621" s="707"/>
      <c r="M1621" s="690"/>
      <c r="N1621" s="696"/>
      <c r="O1621" s="696"/>
      <c r="X1621" s="688"/>
      <c r="Y1621" s="891"/>
      <c r="Z1621" s="892"/>
      <c r="BJ1621" s="573" t="s">
        <v>4670</v>
      </c>
    </row>
    <row r="1622" spans="1:62" x14ac:dyDescent="0.35">
      <c r="A1622" s="403">
        <v>9</v>
      </c>
      <c r="B1622" s="609">
        <v>901.3</v>
      </c>
      <c r="C1622" s="604"/>
      <c r="D1622" s="604"/>
      <c r="E1622" s="604" t="s">
        <v>270</v>
      </c>
      <c r="F1622" s="608" t="s">
        <v>123</v>
      </c>
      <c r="G1622" s="403" t="str">
        <f t="shared" ca="1" si="540"/>
        <v/>
      </c>
      <c r="H1622" s="617" t="s">
        <v>4325</v>
      </c>
      <c r="I1622" s="108"/>
      <c r="J1622" s="4"/>
      <c r="K1622" s="4"/>
      <c r="L1622" s="707"/>
      <c r="M1622" s="690"/>
      <c r="N1622" s="696"/>
      <c r="O1622" s="696"/>
      <c r="X1622" s="688"/>
      <c r="Y1622" s="891"/>
      <c r="Z1622" s="892"/>
      <c r="BJ1622" s="573" t="s">
        <v>4670</v>
      </c>
    </row>
    <row r="1623" spans="1:62" x14ac:dyDescent="0.35">
      <c r="A1623" s="403">
        <v>9</v>
      </c>
      <c r="B1623" s="609">
        <v>901.3</v>
      </c>
      <c r="C1623" s="604"/>
      <c r="D1623" s="604"/>
      <c r="E1623" s="604" t="s">
        <v>270</v>
      </c>
      <c r="F1623" s="608" t="s">
        <v>123</v>
      </c>
      <c r="G1623" s="403" t="str">
        <f t="shared" ca="1" si="540"/>
        <v/>
      </c>
      <c r="H1623" s="617" t="s">
        <v>4325</v>
      </c>
      <c r="I1623" s="108"/>
      <c r="J1623" s="155"/>
      <c r="K1623" s="155"/>
      <c r="L1623" s="709"/>
      <c r="M1623" s="691"/>
      <c r="N1623" s="697"/>
      <c r="O1623" s="697"/>
      <c r="X1623" s="688"/>
      <c r="Y1623" s="891"/>
      <c r="Z1623" s="892"/>
      <c r="BJ1623" s="573" t="s">
        <v>4670</v>
      </c>
    </row>
    <row r="1624" spans="1:62" ht="15.75" customHeight="1" thickBot="1" x14ac:dyDescent="0.4">
      <c r="A1624" s="403">
        <v>9</v>
      </c>
      <c r="B1624" s="609">
        <v>901.3</v>
      </c>
      <c r="C1624" s="604"/>
      <c r="D1624" s="604"/>
      <c r="E1624" s="604" t="s">
        <v>272</v>
      </c>
      <c r="F1624" s="608"/>
      <c r="G1624" s="403" t="str">
        <f>IF(N1624&gt;0,"P","")</f>
        <v/>
      </c>
      <c r="H1624" s="414" t="s">
        <v>4323</v>
      </c>
      <c r="I1624" s="328"/>
      <c r="J1624" s="133" t="s">
        <v>272</v>
      </c>
      <c r="K1624" s="183"/>
      <c r="L1624" s="223" t="s">
        <v>3383</v>
      </c>
      <c r="M1624" s="270">
        <v>10</v>
      </c>
      <c r="N1624" s="184">
        <f>'Ch9'!O67</f>
        <v>0</v>
      </c>
      <c r="O1624" s="184">
        <f>M1624*S1624*W1624</f>
        <v>10</v>
      </c>
      <c r="P1624" t="b">
        <v>1</v>
      </c>
      <c r="Q1624" t="b">
        <v>1</v>
      </c>
      <c r="R1624" s="58" t="b">
        <v>0</v>
      </c>
      <c r="S1624" s="58" t="b">
        <f>AND(NOT(W1618),W1614&lt;&gt;"Met",W1616&lt;&gt;"Met")</f>
        <v>1</v>
      </c>
      <c r="T1624" s="58" t="b">
        <f>AND(NOT(S1624),W1624=TRUE)</f>
        <v>0</v>
      </c>
      <c r="U1624" s="58"/>
      <c r="V1624" s="58"/>
      <c r="W1624" s="59" t="b">
        <v>1</v>
      </c>
      <c r="X1624" s="113"/>
      <c r="Y1624" s="201" t="str">
        <f>IF(LEN('Ch9'!X67)=0,"None",'Ch9'!X67)</f>
        <v>None</v>
      </c>
      <c r="Z1624" s="567"/>
      <c r="AA1624">
        <f>'Photo Review'!H1622</f>
        <v>0</v>
      </c>
      <c r="AC1624" t="b">
        <f>OR(AD1624:AE1624)</f>
        <v>0</v>
      </c>
      <c r="AD1624" t="b">
        <f>T1624</f>
        <v>0</v>
      </c>
      <c r="AE1624" t="b">
        <f>AND(R1624,NOT(W1624))</f>
        <v>0</v>
      </c>
      <c r="AF1624" t="b">
        <f>AND(AE1624,NOT(Q1624))</f>
        <v>0</v>
      </c>
      <c r="AL1624" t="str">
        <f t="shared" ref="AL1624:AL1625" si="541">SUBSTITUTE(SUBSTITUTE(SUBSTITUTE("vpa"&amp;$B1624&amp;$C1624&amp;$D1624&amp;$E1624&amp;$F1624,".","_"),"(","_"),")","")</f>
        <v>vpa901_3_2</v>
      </c>
      <c r="AM1624">
        <f>M1624</f>
        <v>10</v>
      </c>
      <c r="AN1624" t="str">
        <f t="shared" ref="AN1624:AN1625" si="542">SUBSTITUTE(SUBSTITUTE(SUBSTITUTE("vpc"&amp;$B1624&amp;$C1624&amp;$D1624&amp;$E1624&amp;$F1624,".","_"),"(","_"),")","")</f>
        <v>vpc901_3_2</v>
      </c>
      <c r="AO1624">
        <f>O1624</f>
        <v>10</v>
      </c>
      <c r="AP1624" t="str">
        <f>SUBSTITUTE(SUBSTITUTE(SUBSTITUTE("vch"&amp;$B1624&amp;$C1624&amp;$D1624&amp;$E1624&amp;$F1624,".","_"),"(","_"),")","")</f>
        <v>vch901_3_2</v>
      </c>
      <c r="AQ1624" t="b">
        <f>W1624</f>
        <v>1</v>
      </c>
      <c r="AR1624" t="str">
        <f>SUBSTITUTE(SUBSTITUTE(SUBSTITUTE("vnt"&amp;$B1624&amp;$C1624&amp;$D1624&amp;$E1624&amp;$F1624,".","_"),"(","_"),")","")</f>
        <v>vnt901_3_2</v>
      </c>
      <c r="AS1624">
        <f>X1624</f>
        <v>0</v>
      </c>
      <c r="BJ1624" s="573" t="s">
        <v>4670</v>
      </c>
    </row>
    <row r="1625" spans="1:62" ht="15" thickTop="1" x14ac:dyDescent="0.35">
      <c r="A1625" s="403">
        <v>9</v>
      </c>
      <c r="B1625" s="609">
        <v>901.4</v>
      </c>
      <c r="C1625" s="604"/>
      <c r="D1625" s="604"/>
      <c r="E1625" s="604"/>
      <c r="F1625" s="604"/>
      <c r="G1625" s="403" t="s">
        <v>4326</v>
      </c>
      <c r="H1625" s="403" t="s">
        <v>4323</v>
      </c>
      <c r="I1625" s="32">
        <v>901.4</v>
      </c>
      <c r="J1625" s="4"/>
      <c r="K1625" s="4"/>
      <c r="L1625" s="707" t="s">
        <v>3384</v>
      </c>
      <c r="M1625" s="690" t="s">
        <v>750</v>
      </c>
      <c r="N1625" s="694">
        <f ca="1">'Ch9'!O68</f>
        <v>0</v>
      </c>
      <c r="O1625" s="694">
        <f ca="1">MIN(10,(IFERROR(INDEX({2,2,3,4,4},MATCH(W1633,INDIRECT(U1633),0)),0)+IFERROR(INDEX({2,2,3,4,4},MATCH(W1634,INDIRECT(U1634),0)),0)+IFERROR(INDEX({2,2,3,4,4},MATCH(W1635,INDIRECT(U1635),0)),0)+IFERROR(INDEX({2,2,3,4,4},MATCH(W1636,INDIRECT(U1636),0)),0)))*S1633</f>
        <v>0</v>
      </c>
      <c r="Z1625" s="543"/>
      <c r="AL1625" t="str">
        <f t="shared" si="541"/>
        <v>vpa901_4</v>
      </c>
      <c r="AM1625" t="str">
        <f>M1625</f>
        <v>10 Max</v>
      </c>
      <c r="AN1625" t="str">
        <f t="shared" si="542"/>
        <v>vpc901_4</v>
      </c>
      <c r="AO1625">
        <f ca="1">O1625</f>
        <v>0</v>
      </c>
      <c r="BJ1625" s="573" t="s">
        <v>4670</v>
      </c>
    </row>
    <row r="1626" spans="1:62" x14ac:dyDescent="0.35">
      <c r="A1626" s="403">
        <v>9</v>
      </c>
      <c r="B1626" s="609">
        <v>901.4</v>
      </c>
      <c r="C1626" s="604"/>
      <c r="D1626" s="604"/>
      <c r="E1626" s="604"/>
      <c r="F1626" s="604"/>
      <c r="G1626" s="403" t="s">
        <v>4326</v>
      </c>
      <c r="H1626" s="403" t="s">
        <v>4323</v>
      </c>
      <c r="I1626" s="108"/>
      <c r="J1626" s="4"/>
      <c r="K1626" s="4"/>
      <c r="L1626" s="707"/>
      <c r="M1626" s="690"/>
      <c r="N1626" s="696"/>
      <c r="O1626" s="696"/>
      <c r="Z1626" s="543"/>
      <c r="BJ1626" s="573" t="s">
        <v>4670</v>
      </c>
    </row>
    <row r="1627" spans="1:62" x14ac:dyDescent="0.35">
      <c r="A1627" s="403">
        <v>9</v>
      </c>
      <c r="B1627" s="609">
        <v>901.4</v>
      </c>
      <c r="C1627" s="604"/>
      <c r="D1627" s="604"/>
      <c r="E1627" s="604"/>
      <c r="F1627" s="604"/>
      <c r="G1627" s="403" t="s">
        <v>4326</v>
      </c>
      <c r="H1627" s="403" t="s">
        <v>4323</v>
      </c>
      <c r="I1627" s="108"/>
      <c r="J1627" s="4"/>
      <c r="K1627" s="4"/>
      <c r="L1627" s="707"/>
      <c r="M1627" s="690"/>
      <c r="N1627" s="696"/>
      <c r="O1627" s="696"/>
      <c r="Z1627" s="543"/>
      <c r="BJ1627" s="573" t="s">
        <v>4670</v>
      </c>
    </row>
    <row r="1628" spans="1:62" x14ac:dyDescent="0.35">
      <c r="A1628" s="403">
        <v>9</v>
      </c>
      <c r="B1628" s="609">
        <v>901.4</v>
      </c>
      <c r="C1628" s="604"/>
      <c r="D1628" s="604"/>
      <c r="E1628" s="604" t="s">
        <v>270</v>
      </c>
      <c r="F1628" s="604"/>
      <c r="G1628" s="403" t="s">
        <v>4326</v>
      </c>
      <c r="H1628" s="403" t="s">
        <v>4324</v>
      </c>
      <c r="I1628" s="108"/>
      <c r="J1628" s="19" t="s">
        <v>270</v>
      </c>
      <c r="K1628" s="4"/>
      <c r="L1628" s="707" t="s">
        <v>3385</v>
      </c>
      <c r="M1628" s="740" t="str">
        <f>IF(R1628,"Mandatory","N/A")</f>
        <v>Mandatory</v>
      </c>
      <c r="P1628" t="b">
        <v>1</v>
      </c>
      <c r="Q1628" t="b">
        <v>0</v>
      </c>
      <c r="R1628" t="b">
        <f>S1628</f>
        <v>1</v>
      </c>
      <c r="S1628" t="b">
        <v>1</v>
      </c>
      <c r="T1628" t="b">
        <v>0</v>
      </c>
      <c r="U1628" t="str">
        <f>SUBSTITUTE(SUBSTITUTE(SUBSTITUTE("dd"&amp;B1628&amp;C1628&amp;D1628&amp;E1628&amp;F1628,".","_"),"(","_"),")","")</f>
        <v>dd901_4_1</v>
      </c>
      <c r="W1628" s="9" t="s">
        <v>3239</v>
      </c>
      <c r="X1628" s="688"/>
      <c r="Y1628" s="891" t="str">
        <f>IF(LEN('Ch9'!X71)=0,"None",'Ch9'!X71)</f>
        <v>Boise Cascade BCI® Joists</v>
      </c>
      <c r="Z1628" s="892"/>
      <c r="AC1628" t="b">
        <f>OR(AD1628:AE1628)</f>
        <v>0</v>
      </c>
      <c r="AD1628" t="b">
        <f>T1628</f>
        <v>0</v>
      </c>
      <c r="AE1628" t="b">
        <f>OR(AND(W1628="N/A",LEN(X1628)=0),AND(R1628,OR(W1628="Not Met",W1628="")))</f>
        <v>0</v>
      </c>
      <c r="AF1628" t="b">
        <f>AND(AE1628,NOT(Q1628))</f>
        <v>0</v>
      </c>
      <c r="AL1628" t="str">
        <f t="shared" ref="AL1628" si="543">SUBSTITUTE(SUBSTITUTE(SUBSTITUTE("vpa"&amp;$B1628&amp;$C1628&amp;$D1628&amp;$E1628&amp;$F1628,".","_"),"(","_"),")","")</f>
        <v>vpa901_4_1</v>
      </c>
      <c r="AM1628" t="str">
        <f>M1628</f>
        <v>Mandatory</v>
      </c>
      <c r="AP1628" t="str">
        <f>SUBSTITUTE(SUBSTITUTE(SUBSTITUTE("vch"&amp;$B1628&amp;$C1628&amp;$D1628&amp;$E1628&amp;$F1628,".","_"),"(","_"),")","")</f>
        <v>vch901_4_1</v>
      </c>
      <c r="AQ1628" t="str">
        <f>W1628</f>
        <v>Met</v>
      </c>
      <c r="AR1628" t="str">
        <f>SUBSTITUTE(SUBSTITUTE(SUBSTITUTE("vnt"&amp;$B1628&amp;$C1628&amp;$D1628&amp;$E1628&amp;$F1628,".","_"),"(","_"),")","")</f>
        <v>vnt901_4_1</v>
      </c>
      <c r="AS1628">
        <f>X1628</f>
        <v>0</v>
      </c>
      <c r="BJ1628" s="573" t="s">
        <v>4670</v>
      </c>
    </row>
    <row r="1629" spans="1:62" x14ac:dyDescent="0.35">
      <c r="A1629" s="403">
        <v>9</v>
      </c>
      <c r="B1629" s="609">
        <v>901.4</v>
      </c>
      <c r="C1629" s="604"/>
      <c r="D1629" s="604"/>
      <c r="E1629" s="604" t="s">
        <v>270</v>
      </c>
      <c r="F1629" s="604"/>
      <c r="G1629" s="403" t="s">
        <v>4326</v>
      </c>
      <c r="H1629" s="403" t="s">
        <v>4324</v>
      </c>
      <c r="I1629" s="108"/>
      <c r="J1629" s="4"/>
      <c r="K1629" s="4"/>
      <c r="L1629" s="707"/>
      <c r="M1629" s="740"/>
      <c r="N1629" s="85"/>
      <c r="O1629" s="85"/>
      <c r="X1629" s="688"/>
      <c r="Y1629" s="891"/>
      <c r="Z1629" s="892"/>
      <c r="BJ1629" s="573" t="s">
        <v>4670</v>
      </c>
    </row>
    <row r="1630" spans="1:62" x14ac:dyDescent="0.35">
      <c r="A1630" s="403">
        <v>9</v>
      </c>
      <c r="B1630" s="609">
        <v>901.4</v>
      </c>
      <c r="C1630" s="604"/>
      <c r="D1630" s="604"/>
      <c r="E1630" s="604" t="s">
        <v>270</v>
      </c>
      <c r="F1630" s="604"/>
      <c r="G1630" s="403" t="s">
        <v>4326</v>
      </c>
      <c r="H1630" s="403" t="s">
        <v>4324</v>
      </c>
      <c r="I1630" s="108"/>
      <c r="J1630" s="4"/>
      <c r="K1630" s="4"/>
      <c r="L1630" s="707"/>
      <c r="M1630" s="740"/>
      <c r="N1630" s="85"/>
      <c r="O1630" s="85"/>
      <c r="X1630" s="688"/>
      <c r="Y1630" s="891"/>
      <c r="Z1630" s="892"/>
      <c r="BJ1630" s="573" t="s">
        <v>4670</v>
      </c>
    </row>
    <row r="1631" spans="1:62" x14ac:dyDescent="0.35">
      <c r="A1631" s="403">
        <v>9</v>
      </c>
      <c r="B1631" s="609">
        <v>901.4</v>
      </c>
      <c r="C1631" s="604"/>
      <c r="D1631" s="604"/>
      <c r="E1631" s="604" t="s">
        <v>270</v>
      </c>
      <c r="F1631" s="604"/>
      <c r="G1631" s="403" t="s">
        <v>4326</v>
      </c>
      <c r="H1631" s="403" t="s">
        <v>4324</v>
      </c>
      <c r="I1631" s="108"/>
      <c r="J1631" s="4"/>
      <c r="K1631" s="4"/>
      <c r="L1631" s="707"/>
      <c r="M1631" s="740"/>
      <c r="N1631" s="85"/>
      <c r="O1631" s="85"/>
      <c r="X1631" s="688"/>
      <c r="Y1631" s="891"/>
      <c r="Z1631" s="892"/>
      <c r="BJ1631" s="573" t="s">
        <v>4670</v>
      </c>
    </row>
    <row r="1632" spans="1:62" x14ac:dyDescent="0.35">
      <c r="A1632" s="403">
        <v>9</v>
      </c>
      <c r="B1632" s="609">
        <v>901.4</v>
      </c>
      <c r="C1632" s="604"/>
      <c r="D1632" s="604"/>
      <c r="E1632" s="604" t="s">
        <v>270</v>
      </c>
      <c r="F1632" s="604"/>
      <c r="G1632" s="403" t="s">
        <v>4326</v>
      </c>
      <c r="H1632" s="403" t="s">
        <v>4324</v>
      </c>
      <c r="I1632" s="108"/>
      <c r="J1632" s="155"/>
      <c r="K1632" s="155"/>
      <c r="L1632" s="121" t="s">
        <v>4319</v>
      </c>
      <c r="M1632" s="741"/>
      <c r="N1632" s="85"/>
      <c r="O1632" s="85"/>
      <c r="X1632" s="688"/>
      <c r="Y1632" s="891"/>
      <c r="Z1632" s="892"/>
      <c r="BJ1632" s="573" t="s">
        <v>4670</v>
      </c>
    </row>
    <row r="1633" spans="1:62" x14ac:dyDescent="0.35">
      <c r="A1633" s="403">
        <v>9</v>
      </c>
      <c r="B1633" s="609">
        <v>901.4</v>
      </c>
      <c r="C1633" s="604"/>
      <c r="D1633" s="604"/>
      <c r="E1633" s="604"/>
      <c r="F1633" s="608" t="s">
        <v>121</v>
      </c>
      <c r="G1633" s="403" t="str">
        <f ca="1">IF(N1625&gt;0,"P","")</f>
        <v/>
      </c>
      <c r="H1633" s="617" t="s">
        <v>4323</v>
      </c>
      <c r="I1633" s="108"/>
      <c r="J1633" s="4"/>
      <c r="K1633" s="4"/>
      <c r="L1633" s="104" t="s">
        <v>3907</v>
      </c>
      <c r="M1633" s="312"/>
      <c r="N1633" s="85"/>
      <c r="O1633" s="85"/>
      <c r="P1633" t="b">
        <v>1</v>
      </c>
      <c r="Q1633" t="b">
        <v>1</v>
      </c>
      <c r="R1633" t="b">
        <v>0</v>
      </c>
      <c r="S1633" t="b">
        <v>1</v>
      </c>
      <c r="T1633" t="b">
        <v>0</v>
      </c>
      <c r="U1633" t="str">
        <f>SUBSTITUTE(SUBSTITUTE(SUBSTITUTE("dd"&amp;B1633&amp;C1633&amp;D1633&amp;E1633&amp;F1633,".","_"),"(","_"),")","")</f>
        <v>dd901_4_a</v>
      </c>
      <c r="W1633" s="9"/>
      <c r="X1633" s="688"/>
      <c r="Y1633" s="891" t="str">
        <f>IF(LEN('Ch9'!X76)=0,"None",'Ch9'!X76)</f>
        <v>None</v>
      </c>
      <c r="Z1633" s="892"/>
      <c r="AC1633" t="b">
        <f>OR(AD1633:AE1633)</f>
        <v>0</v>
      </c>
      <c r="AD1633" t="b">
        <f>T1633</f>
        <v>0</v>
      </c>
      <c r="AE1633" t="b">
        <f>AND(R1633,OR(W1633="Not Met",W1633=""))</f>
        <v>0</v>
      </c>
      <c r="AF1633" t="b">
        <f t="shared" ref="AF1633:AF1636" si="544">AND(AE1633,NOT(Q1633))</f>
        <v>0</v>
      </c>
      <c r="AP1633" t="str">
        <f t="shared" ref="AP1633:AP1636" si="545">SUBSTITUTE(SUBSTITUTE(SUBSTITUTE("vch"&amp;$B1633&amp;$C1633&amp;$D1633&amp;$E1633&amp;$F1633,".","_"),"(","_"),")","")</f>
        <v>vch901_4_a</v>
      </c>
      <c r="AQ1633">
        <f>W1633</f>
        <v>0</v>
      </c>
      <c r="AR1633" t="str">
        <f>SUBSTITUTE(SUBSTITUTE(SUBSTITUTE("vnt"&amp;$B1633&amp;$C1633&amp;$D1633&amp;$E1633&amp;$F1633,".","_"),"(","_"),")","")</f>
        <v>vnt901_4_a</v>
      </c>
      <c r="AS1633">
        <f>X1633</f>
        <v>0</v>
      </c>
      <c r="BJ1633" s="573" t="s">
        <v>4670</v>
      </c>
    </row>
    <row r="1634" spans="1:62" x14ac:dyDescent="0.35">
      <c r="A1634" s="403">
        <v>9</v>
      </c>
      <c r="B1634" s="609">
        <v>901.4</v>
      </c>
      <c r="C1634" s="604"/>
      <c r="D1634" s="604"/>
      <c r="E1634" s="604"/>
      <c r="F1634" s="608" t="s">
        <v>122</v>
      </c>
      <c r="G1634" s="403" t="str">
        <f t="shared" ref="G1634:G1643" ca="1" si="546">G1633</f>
        <v/>
      </c>
      <c r="H1634" s="617" t="s">
        <v>4323</v>
      </c>
      <c r="I1634" s="108"/>
      <c r="J1634" s="4"/>
      <c r="K1634" s="4"/>
      <c r="L1634" s="104" t="s">
        <v>3908</v>
      </c>
      <c r="M1634" s="312"/>
      <c r="N1634" s="85"/>
      <c r="O1634" s="85"/>
      <c r="P1634" t="b">
        <v>1</v>
      </c>
      <c r="Q1634" t="b">
        <v>1</v>
      </c>
      <c r="R1634" t="b">
        <v>0</v>
      </c>
      <c r="S1634" t="b">
        <v>1</v>
      </c>
      <c r="T1634" t="b">
        <v>0</v>
      </c>
      <c r="U1634" t="str">
        <f>SUBSTITUTE(SUBSTITUTE(SUBSTITUTE("dd"&amp;B1634&amp;C1634&amp;D1634&amp;E1634&amp;F1634,".","_"),"(","_"),")","")</f>
        <v>dd901_4_b</v>
      </c>
      <c r="W1634" s="9"/>
      <c r="X1634" s="688"/>
      <c r="Y1634" s="891"/>
      <c r="Z1634" s="892"/>
      <c r="AC1634" t="b">
        <f>OR(AD1634:AE1634)</f>
        <v>0</v>
      </c>
      <c r="AD1634" t="b">
        <f>T1634</f>
        <v>0</v>
      </c>
      <c r="AE1634" t="b">
        <f>AND(R1634,OR(W1634="Not Met",W1634=""))</f>
        <v>0</v>
      </c>
      <c r="AF1634" t="b">
        <f t="shared" si="544"/>
        <v>0</v>
      </c>
      <c r="AP1634" t="str">
        <f t="shared" si="545"/>
        <v>vch901_4_b</v>
      </c>
      <c r="AQ1634">
        <f>W1634</f>
        <v>0</v>
      </c>
      <c r="BJ1634" s="573" t="s">
        <v>4670</v>
      </c>
    </row>
    <row r="1635" spans="1:62" x14ac:dyDescent="0.35">
      <c r="A1635" s="403">
        <v>9</v>
      </c>
      <c r="B1635" s="609">
        <v>901.4</v>
      </c>
      <c r="C1635" s="604"/>
      <c r="D1635" s="604"/>
      <c r="E1635" s="604"/>
      <c r="F1635" s="608" t="s">
        <v>123</v>
      </c>
      <c r="G1635" s="403" t="str">
        <f t="shared" ca="1" si="546"/>
        <v/>
      </c>
      <c r="H1635" s="617" t="s">
        <v>4323</v>
      </c>
      <c r="I1635" s="108"/>
      <c r="J1635" s="4"/>
      <c r="K1635" s="4"/>
      <c r="L1635" s="104" t="s">
        <v>3909</v>
      </c>
      <c r="M1635" s="312"/>
      <c r="N1635" s="85"/>
      <c r="O1635" s="85"/>
      <c r="P1635" t="b">
        <v>1</v>
      </c>
      <c r="Q1635" t="b">
        <v>1</v>
      </c>
      <c r="R1635" t="b">
        <v>0</v>
      </c>
      <c r="S1635" t="b">
        <v>1</v>
      </c>
      <c r="T1635" t="b">
        <v>0</v>
      </c>
      <c r="U1635" t="str">
        <f>SUBSTITUTE(SUBSTITUTE(SUBSTITUTE("dd"&amp;B1635&amp;C1635&amp;D1635&amp;E1635&amp;F1635,".","_"),"(","_"),")","")</f>
        <v>dd901_4_c</v>
      </c>
      <c r="W1635" s="9"/>
      <c r="X1635" s="688"/>
      <c r="Y1635" s="891"/>
      <c r="Z1635" s="892"/>
      <c r="AC1635" t="b">
        <f>OR(AD1635:AE1635)</f>
        <v>0</v>
      </c>
      <c r="AD1635" t="b">
        <f>T1635</f>
        <v>0</v>
      </c>
      <c r="AE1635" t="b">
        <f>AND(R1635,OR(W1635="Not Met",W1635=""))</f>
        <v>0</v>
      </c>
      <c r="AF1635" t="b">
        <f t="shared" si="544"/>
        <v>0</v>
      </c>
      <c r="AP1635" t="str">
        <f t="shared" si="545"/>
        <v>vch901_4_c</v>
      </c>
      <c r="AQ1635">
        <f>W1635</f>
        <v>0</v>
      </c>
      <c r="BJ1635" s="573" t="s">
        <v>4670</v>
      </c>
    </row>
    <row r="1636" spans="1:62" x14ac:dyDescent="0.35">
      <c r="A1636" s="403">
        <v>9</v>
      </c>
      <c r="B1636" s="609">
        <v>901.4</v>
      </c>
      <c r="C1636" s="604"/>
      <c r="D1636" s="604"/>
      <c r="E1636" s="604"/>
      <c r="F1636" s="608" t="s">
        <v>420</v>
      </c>
      <c r="G1636" s="403" t="str">
        <f t="shared" ca="1" si="546"/>
        <v/>
      </c>
      <c r="H1636" s="617" t="s">
        <v>4323</v>
      </c>
      <c r="I1636" s="108"/>
      <c r="J1636" s="4"/>
      <c r="K1636" s="4"/>
      <c r="L1636" s="104" t="s">
        <v>3910</v>
      </c>
      <c r="M1636" s="312"/>
      <c r="N1636" s="85"/>
      <c r="O1636" s="85"/>
      <c r="P1636" t="b">
        <v>1</v>
      </c>
      <c r="Q1636" t="b">
        <v>1</v>
      </c>
      <c r="R1636" t="b">
        <v>0</v>
      </c>
      <c r="S1636" t="b">
        <v>1</v>
      </c>
      <c r="T1636" t="b">
        <v>0</v>
      </c>
      <c r="U1636" t="str">
        <f>SUBSTITUTE(SUBSTITUTE(SUBSTITUTE("dd"&amp;B1636&amp;C1636&amp;D1636&amp;E1636&amp;F1636,".","_"),"(","_"),")","")</f>
        <v>dd901_4_d</v>
      </c>
      <c r="W1636" s="9"/>
      <c r="X1636" s="688"/>
      <c r="Y1636" s="891"/>
      <c r="Z1636" s="892"/>
      <c r="AC1636" t="b">
        <f>OR(AD1636:AE1636)</f>
        <v>0</v>
      </c>
      <c r="AD1636" t="b">
        <f>T1636</f>
        <v>0</v>
      </c>
      <c r="AE1636" t="b">
        <f>AND(R1636,OR(W1636="Not Met",W1636=""))</f>
        <v>0</v>
      </c>
      <c r="AF1636" t="b">
        <f t="shared" si="544"/>
        <v>0</v>
      </c>
      <c r="AP1636" t="str">
        <f t="shared" si="545"/>
        <v>vch901_4_d</v>
      </c>
      <c r="AQ1636">
        <f>W1636</f>
        <v>0</v>
      </c>
      <c r="BJ1636" s="573" t="s">
        <v>4670</v>
      </c>
    </row>
    <row r="1637" spans="1:62" x14ac:dyDescent="0.35">
      <c r="A1637" s="403">
        <v>9</v>
      </c>
      <c r="B1637" s="609">
        <v>901.4</v>
      </c>
      <c r="C1637" s="604"/>
      <c r="D1637" s="604"/>
      <c r="E1637" s="604" t="s">
        <v>272</v>
      </c>
      <c r="F1637" s="604"/>
      <c r="G1637" s="403" t="str">
        <f t="shared" ca="1" si="546"/>
        <v/>
      </c>
      <c r="H1637" s="403" t="s">
        <v>4323</v>
      </c>
      <c r="I1637" s="108"/>
      <c r="J1637" s="19" t="s">
        <v>272</v>
      </c>
      <c r="K1637" s="4"/>
      <c r="L1637" s="707" t="s">
        <v>3386</v>
      </c>
      <c r="M1637" s="690">
        <v>2</v>
      </c>
      <c r="N1637" s="85"/>
      <c r="O1637" s="85"/>
      <c r="X1637" s="688"/>
      <c r="Y1637" s="891"/>
      <c r="Z1637" s="892"/>
      <c r="AL1637" t="str">
        <f t="shared" ref="AL1637" si="547">SUBSTITUTE(SUBSTITUTE(SUBSTITUTE("vpa"&amp;$B1637&amp;$C1637&amp;$D1637&amp;$E1637&amp;$F1637,".","_"),"(","_"),")","")</f>
        <v>vpa901_4_2</v>
      </c>
      <c r="AM1637">
        <f>M1637</f>
        <v>2</v>
      </c>
      <c r="BJ1637" s="573" t="s">
        <v>4670</v>
      </c>
    </row>
    <row r="1638" spans="1:62" x14ac:dyDescent="0.35">
      <c r="A1638" s="403">
        <v>9</v>
      </c>
      <c r="B1638" s="609">
        <v>901.4</v>
      </c>
      <c r="C1638" s="604"/>
      <c r="D1638" s="604"/>
      <c r="E1638" s="604" t="s">
        <v>272</v>
      </c>
      <c r="F1638" s="604"/>
      <c r="G1638" s="403" t="str">
        <f t="shared" ca="1" si="546"/>
        <v/>
      </c>
      <c r="H1638" s="403" t="s">
        <v>4323</v>
      </c>
      <c r="I1638" s="108"/>
      <c r="J1638" s="155"/>
      <c r="K1638" s="155"/>
      <c r="L1638" s="709"/>
      <c r="M1638" s="691"/>
      <c r="N1638" s="85"/>
      <c r="O1638" s="85"/>
      <c r="X1638" s="688"/>
      <c r="Y1638" s="891"/>
      <c r="Z1638" s="892"/>
      <c r="BJ1638" s="573" t="s">
        <v>4670</v>
      </c>
    </row>
    <row r="1639" spans="1:62" x14ac:dyDescent="0.35">
      <c r="A1639" s="403">
        <v>9</v>
      </c>
      <c r="B1639" s="609">
        <v>901.4</v>
      </c>
      <c r="C1639" s="604"/>
      <c r="D1639" s="604"/>
      <c r="E1639" s="604" t="s">
        <v>274</v>
      </c>
      <c r="F1639" s="604"/>
      <c r="G1639" s="403" t="str">
        <f t="shared" ca="1" si="546"/>
        <v/>
      </c>
      <c r="H1639" s="403" t="s">
        <v>4323</v>
      </c>
      <c r="I1639" s="108"/>
      <c r="J1639" s="148" t="s">
        <v>274</v>
      </c>
      <c r="K1639" s="155"/>
      <c r="L1639" s="214" t="s">
        <v>3387</v>
      </c>
      <c r="M1639" s="198">
        <v>2</v>
      </c>
      <c r="N1639" s="85"/>
      <c r="O1639" s="85"/>
      <c r="X1639" s="688"/>
      <c r="Y1639" s="891"/>
      <c r="Z1639" s="892"/>
      <c r="AL1639" t="str">
        <f t="shared" ref="AL1639:AL1641" si="548">SUBSTITUTE(SUBSTITUTE(SUBSTITUTE("vpa"&amp;$B1639&amp;$C1639&amp;$D1639&amp;$E1639&amp;$F1639,".","_"),"(","_"),")","")</f>
        <v>vpa901_4_3</v>
      </c>
      <c r="AM1639">
        <f>M1639</f>
        <v>2</v>
      </c>
      <c r="BJ1639" s="573" t="s">
        <v>4670</v>
      </c>
    </row>
    <row r="1640" spans="1:62" x14ac:dyDescent="0.35">
      <c r="A1640" s="403">
        <v>9</v>
      </c>
      <c r="B1640" s="609">
        <v>901.4</v>
      </c>
      <c r="C1640" s="604"/>
      <c r="D1640" s="604"/>
      <c r="E1640" s="604" t="s">
        <v>283</v>
      </c>
      <c r="F1640" s="604"/>
      <c r="G1640" s="403" t="str">
        <f t="shared" ca="1" si="546"/>
        <v/>
      </c>
      <c r="H1640" s="403" t="s">
        <v>4323</v>
      </c>
      <c r="I1640" s="108"/>
      <c r="J1640" s="148" t="s">
        <v>283</v>
      </c>
      <c r="K1640" s="155"/>
      <c r="L1640" s="214" t="s">
        <v>3388</v>
      </c>
      <c r="M1640" s="198">
        <v>3</v>
      </c>
      <c r="N1640" s="85"/>
      <c r="O1640" s="85"/>
      <c r="X1640" s="688"/>
      <c r="Y1640" s="891"/>
      <c r="Z1640" s="892"/>
      <c r="AL1640" t="str">
        <f t="shared" si="548"/>
        <v>vpa901_4_4</v>
      </c>
      <c r="AM1640">
        <f>M1640</f>
        <v>3</v>
      </c>
      <c r="BJ1640" s="573" t="s">
        <v>4670</v>
      </c>
    </row>
    <row r="1641" spans="1:62" x14ac:dyDescent="0.35">
      <c r="A1641" s="403">
        <v>9</v>
      </c>
      <c r="B1641" s="609">
        <v>901.4</v>
      </c>
      <c r="C1641" s="604"/>
      <c r="D1641" s="604"/>
      <c r="E1641" s="604" t="s">
        <v>289</v>
      </c>
      <c r="F1641" s="604"/>
      <c r="G1641" s="403" t="str">
        <f t="shared" ca="1" si="546"/>
        <v/>
      </c>
      <c r="H1641" s="403" t="s">
        <v>4323</v>
      </c>
      <c r="I1641" s="108"/>
      <c r="J1641" s="19" t="s">
        <v>289</v>
      </c>
      <c r="K1641" s="4"/>
      <c r="L1641" s="707" t="s">
        <v>3389</v>
      </c>
      <c r="M1641" s="690">
        <v>4</v>
      </c>
      <c r="N1641" s="85"/>
      <c r="O1641" s="85"/>
      <c r="X1641" s="688"/>
      <c r="Y1641" s="891"/>
      <c r="Z1641" s="892"/>
      <c r="AL1641" t="str">
        <f t="shared" si="548"/>
        <v>vpa901_4_5</v>
      </c>
      <c r="AM1641">
        <f>M1641</f>
        <v>4</v>
      </c>
      <c r="BJ1641" s="573" t="s">
        <v>4670</v>
      </c>
    </row>
    <row r="1642" spans="1:62" x14ac:dyDescent="0.35">
      <c r="A1642" s="403">
        <v>9</v>
      </c>
      <c r="B1642" s="609">
        <v>901.4</v>
      </c>
      <c r="C1642" s="604"/>
      <c r="D1642" s="604"/>
      <c r="E1642" s="604" t="s">
        <v>289</v>
      </c>
      <c r="F1642" s="604"/>
      <c r="G1642" s="403" t="str">
        <f t="shared" ca="1" si="546"/>
        <v/>
      </c>
      <c r="H1642" s="403" t="s">
        <v>4323</v>
      </c>
      <c r="I1642" s="108"/>
      <c r="J1642" s="148"/>
      <c r="K1642" s="155"/>
      <c r="L1642" s="709"/>
      <c r="M1642" s="691"/>
      <c r="N1642" s="85"/>
      <c r="O1642" s="85"/>
      <c r="X1642" s="688"/>
      <c r="Y1642" s="891"/>
      <c r="Z1642" s="892"/>
      <c r="BJ1642" s="573" t="s">
        <v>4670</v>
      </c>
    </row>
    <row r="1643" spans="1:62" ht="15" thickBot="1" x14ac:dyDescent="0.4">
      <c r="A1643" s="403">
        <v>9</v>
      </c>
      <c r="B1643" s="609">
        <v>901.4</v>
      </c>
      <c r="C1643" s="604"/>
      <c r="D1643" s="604"/>
      <c r="E1643" s="604" t="s">
        <v>291</v>
      </c>
      <c r="F1643" s="604"/>
      <c r="G1643" s="403" t="str">
        <f t="shared" ca="1" si="546"/>
        <v/>
      </c>
      <c r="H1643" s="403" t="s">
        <v>4323</v>
      </c>
      <c r="I1643" s="328"/>
      <c r="J1643" s="133" t="s">
        <v>291</v>
      </c>
      <c r="K1643" s="183"/>
      <c r="L1643" s="223" t="s">
        <v>3390</v>
      </c>
      <c r="M1643" s="270">
        <v>4</v>
      </c>
      <c r="N1643" s="184"/>
      <c r="O1643" s="184"/>
      <c r="P1643" s="58"/>
      <c r="Q1643" s="58"/>
      <c r="R1643" s="58"/>
      <c r="S1643" s="58"/>
      <c r="T1643" s="58"/>
      <c r="U1643" s="58"/>
      <c r="V1643" s="58"/>
      <c r="W1643" s="58"/>
      <c r="X1643" s="689"/>
      <c r="Y1643" s="905"/>
      <c r="Z1643" s="895"/>
      <c r="AL1643" t="str">
        <f t="shared" ref="AL1643" si="549">SUBSTITUTE(SUBSTITUTE(SUBSTITUTE("vpa"&amp;$B1643&amp;$C1643&amp;$D1643&amp;$E1643&amp;$F1643,".","_"),"(","_"),")","")</f>
        <v>vpa901_4_6</v>
      </c>
      <c r="AM1643">
        <f>M1643</f>
        <v>4</v>
      </c>
      <c r="BJ1643" s="573" t="s">
        <v>4670</v>
      </c>
    </row>
    <row r="1644" spans="1:62" ht="15" thickTop="1" x14ac:dyDescent="0.35">
      <c r="A1644" s="403">
        <v>9</v>
      </c>
      <c r="B1644" s="609">
        <v>901.5</v>
      </c>
      <c r="C1644" s="604"/>
      <c r="D1644" s="604"/>
      <c r="E1644" s="604"/>
      <c r="F1644" s="604"/>
      <c r="G1644" s="600" t="str">
        <f>IF(COUNTIF(G1647:G1649,"P")&gt;0,"P","")</f>
        <v>P</v>
      </c>
      <c r="H1644" s="403" t="s">
        <v>4325</v>
      </c>
      <c r="I1644" s="32">
        <v>901.5</v>
      </c>
      <c r="J1644" s="4"/>
      <c r="K1644" s="4"/>
      <c r="L1644" s="706" t="s">
        <v>3391</v>
      </c>
      <c r="M1644" s="43"/>
      <c r="N1644" s="85"/>
      <c r="O1644" s="85"/>
      <c r="Z1644" s="543"/>
      <c r="BJ1644" s="573" t="s">
        <v>4670</v>
      </c>
    </row>
    <row r="1645" spans="1:62" x14ac:dyDescent="0.35">
      <c r="A1645" s="403">
        <v>9</v>
      </c>
      <c r="B1645" s="609">
        <v>901.5</v>
      </c>
      <c r="C1645" s="604"/>
      <c r="D1645" s="604"/>
      <c r="E1645" s="604"/>
      <c r="F1645" s="604"/>
      <c r="G1645" s="403" t="str">
        <f t="shared" ref="G1645:G1646" si="550">G1644</f>
        <v>P</v>
      </c>
      <c r="H1645" s="403" t="s">
        <v>4325</v>
      </c>
      <c r="I1645" s="108"/>
      <c r="J1645" s="4"/>
      <c r="K1645" s="4"/>
      <c r="L1645" s="706"/>
      <c r="M1645" s="43"/>
      <c r="N1645" s="85"/>
      <c r="O1645" s="85"/>
      <c r="Z1645" s="543"/>
      <c r="BJ1645" s="573" t="s">
        <v>4670</v>
      </c>
    </row>
    <row r="1646" spans="1:62" x14ac:dyDescent="0.35">
      <c r="A1646" s="403">
        <v>9</v>
      </c>
      <c r="B1646" s="609">
        <v>901.5</v>
      </c>
      <c r="C1646" s="604"/>
      <c r="D1646" s="604"/>
      <c r="E1646" s="604"/>
      <c r="F1646" s="604"/>
      <c r="G1646" s="403" t="str">
        <f t="shared" si="550"/>
        <v>P</v>
      </c>
      <c r="H1646" s="403" t="s">
        <v>4325</v>
      </c>
      <c r="I1646" s="108"/>
      <c r="J1646" s="4"/>
      <c r="K1646" s="4"/>
      <c r="L1646" s="107" t="s">
        <v>3392</v>
      </c>
      <c r="M1646" s="43"/>
      <c r="N1646" s="85"/>
      <c r="O1646" s="85"/>
      <c r="Z1646" s="543"/>
      <c r="BJ1646" s="573" t="s">
        <v>4670</v>
      </c>
    </row>
    <row r="1647" spans="1:62" x14ac:dyDescent="0.35">
      <c r="A1647" s="403">
        <v>9</v>
      </c>
      <c r="B1647" s="609">
        <v>901.5</v>
      </c>
      <c r="C1647" s="604"/>
      <c r="D1647" s="604"/>
      <c r="E1647" s="604" t="s">
        <v>270</v>
      </c>
      <c r="F1647" s="604"/>
      <c r="G1647" s="403" t="str">
        <f>IF(N1647&gt;0,"P","")</f>
        <v/>
      </c>
      <c r="H1647" s="403" t="s">
        <v>4325</v>
      </c>
      <c r="I1647" s="108"/>
      <c r="J1647" s="19" t="s">
        <v>270</v>
      </c>
      <c r="K1647" s="4"/>
      <c r="L1647" s="707" t="s">
        <v>3393</v>
      </c>
      <c r="M1647" s="690">
        <v>5</v>
      </c>
      <c r="N1647" s="696">
        <f>'Ch9'!O90</f>
        <v>0</v>
      </c>
      <c r="O1647" s="696">
        <f>M1647*S1647*W1647</f>
        <v>0</v>
      </c>
      <c r="P1647" t="b">
        <v>0</v>
      </c>
      <c r="Q1647" t="b">
        <v>1</v>
      </c>
      <c r="R1647" t="b">
        <v>0</v>
      </c>
      <c r="S1647" t="b">
        <v>1</v>
      </c>
      <c r="T1647" t="b">
        <v>0</v>
      </c>
      <c r="W1647" s="17"/>
      <c r="X1647" s="688"/>
      <c r="Y1647" s="891" t="str">
        <f>IF(LEN('Ch9'!X90)=0,"None",'Ch9'!X90)</f>
        <v>None</v>
      </c>
      <c r="Z1647" s="892"/>
      <c r="AC1647" t="b">
        <f>OR(AD1647:AE1647)</f>
        <v>0</v>
      </c>
      <c r="AD1647" t="b">
        <f>T1647</f>
        <v>0</v>
      </c>
      <c r="AE1647" t="b">
        <f>AND(R1647,NOT(W1647))</f>
        <v>0</v>
      </c>
      <c r="AF1647" t="b">
        <f>AND(AE1647,NOT(Q1647))</f>
        <v>0</v>
      </c>
      <c r="AL1647" t="str">
        <f t="shared" ref="AL1647" si="551">SUBSTITUTE(SUBSTITUTE(SUBSTITUTE("vpa"&amp;$B1647&amp;$C1647&amp;$D1647&amp;$E1647&amp;$F1647,".","_"),"(","_"),")","")</f>
        <v>vpa901_5_1</v>
      </c>
      <c r="AM1647">
        <f>M1647</f>
        <v>5</v>
      </c>
      <c r="AN1647" t="str">
        <f>SUBSTITUTE(SUBSTITUTE(SUBSTITUTE("vpc"&amp;$B1647&amp;$C1647&amp;$D1647&amp;$E1647&amp;$F1647,".","_"),"(","_"),")","")</f>
        <v>vpc901_5_1</v>
      </c>
      <c r="AO1647">
        <f>O1647</f>
        <v>0</v>
      </c>
      <c r="AP1647" t="str">
        <f>SUBSTITUTE(SUBSTITUTE(SUBSTITUTE("vch"&amp;$B1647&amp;$C1647&amp;$D1647&amp;$E1647&amp;$F1647,".","_"),"(","_"),")","")</f>
        <v>vch901_5_1</v>
      </c>
      <c r="AQ1647">
        <f>W1647</f>
        <v>0</v>
      </c>
      <c r="AR1647" t="str">
        <f>SUBSTITUTE(SUBSTITUTE(SUBSTITUTE("vnt"&amp;$B1647&amp;$C1647&amp;$D1647&amp;$E1647&amp;$F1647,".","_"),"(","_"),")","")</f>
        <v>vnt901_5_1</v>
      </c>
      <c r="AS1647">
        <f>X1647</f>
        <v>0</v>
      </c>
      <c r="BJ1647" s="573" t="s">
        <v>4670</v>
      </c>
    </row>
    <row r="1648" spans="1:62" x14ac:dyDescent="0.35">
      <c r="A1648" s="403">
        <v>9</v>
      </c>
      <c r="B1648" s="609">
        <v>901.5</v>
      </c>
      <c r="C1648" s="604"/>
      <c r="D1648" s="604"/>
      <c r="E1648" s="604" t="s">
        <v>270</v>
      </c>
      <c r="F1648" s="604"/>
      <c r="G1648" s="403" t="str">
        <f t="shared" ref="G1648" si="552">G1647</f>
        <v/>
      </c>
      <c r="H1648" s="403" t="s">
        <v>4325</v>
      </c>
      <c r="I1648" s="108"/>
      <c r="J1648" s="155"/>
      <c r="K1648" s="155"/>
      <c r="L1648" s="709"/>
      <c r="M1648" s="691"/>
      <c r="N1648" s="697"/>
      <c r="O1648" s="697"/>
      <c r="X1648" s="688"/>
      <c r="Y1648" s="891"/>
      <c r="Z1648" s="892"/>
      <c r="BJ1648" s="573" t="s">
        <v>4670</v>
      </c>
    </row>
    <row r="1649" spans="1:62" x14ac:dyDescent="0.35">
      <c r="A1649" s="403">
        <v>9</v>
      </c>
      <c r="B1649" s="609">
        <v>901.5</v>
      </c>
      <c r="C1649" s="604"/>
      <c r="D1649" s="604"/>
      <c r="E1649" s="604" t="s">
        <v>272</v>
      </c>
      <c r="F1649" s="604"/>
      <c r="G1649" s="403" t="str">
        <f>IF(N1649&gt;0,"P","")</f>
        <v>P</v>
      </c>
      <c r="H1649" s="403" t="s">
        <v>4325</v>
      </c>
      <c r="I1649" s="108"/>
      <c r="J1649" s="19" t="s">
        <v>272</v>
      </c>
      <c r="K1649" s="4"/>
      <c r="L1649" s="707" t="s">
        <v>3394</v>
      </c>
      <c r="M1649" s="690">
        <v>3</v>
      </c>
      <c r="N1649" s="696">
        <f>'Ch9'!O92</f>
        <v>3</v>
      </c>
      <c r="O1649" s="696">
        <f>M1649*S1649*W1649</f>
        <v>0</v>
      </c>
      <c r="P1649" t="b">
        <v>0</v>
      </c>
      <c r="Q1649" t="b">
        <v>1</v>
      </c>
      <c r="R1649" t="b">
        <v>0</v>
      </c>
      <c r="S1649" t="b">
        <v>1</v>
      </c>
      <c r="T1649" t="b">
        <v>0</v>
      </c>
      <c r="W1649" s="17"/>
      <c r="X1649" s="688"/>
      <c r="Y1649" s="891" t="str">
        <f>IF(LEN('Ch9'!X92)=0,"None",'Ch9'!X92)</f>
        <v>Timberlake Kitchen &amp; Bathroom Cabinetry</v>
      </c>
      <c r="Z1649" s="892"/>
      <c r="AC1649" t="b">
        <f>OR(AD1649:AE1649)</f>
        <v>0</v>
      </c>
      <c r="AD1649" t="b">
        <f>T1649</f>
        <v>0</v>
      </c>
      <c r="AE1649" t="b">
        <f>AND(R1649,NOT(W1649))</f>
        <v>0</v>
      </c>
      <c r="AF1649" t="b">
        <f>AND(AE1649,NOT(Q1649))</f>
        <v>0</v>
      </c>
      <c r="AL1649" t="str">
        <f t="shared" ref="AL1649" si="553">SUBSTITUTE(SUBSTITUTE(SUBSTITUTE("vpa"&amp;$B1649&amp;$C1649&amp;$D1649&amp;$E1649&amp;$F1649,".","_"),"(","_"),")","")</f>
        <v>vpa901_5_2</v>
      </c>
      <c r="AM1649">
        <f>M1649</f>
        <v>3</v>
      </c>
      <c r="AN1649" t="str">
        <f>SUBSTITUTE(SUBSTITUTE(SUBSTITUTE("vpc"&amp;$B1649&amp;$C1649&amp;$D1649&amp;$E1649&amp;$F1649,".","_"),"(","_"),")","")</f>
        <v>vpc901_5_2</v>
      </c>
      <c r="AO1649">
        <f>O1649</f>
        <v>0</v>
      </c>
      <c r="AP1649" t="str">
        <f>SUBSTITUTE(SUBSTITUTE(SUBSTITUTE("vch"&amp;$B1649&amp;$C1649&amp;$D1649&amp;$E1649&amp;$F1649,".","_"),"(","_"),")","")</f>
        <v>vch901_5_2</v>
      </c>
      <c r="AQ1649">
        <f>W1649</f>
        <v>0</v>
      </c>
      <c r="AR1649" t="str">
        <f>SUBSTITUTE(SUBSTITUTE(SUBSTITUTE("vnt"&amp;$B1649&amp;$C1649&amp;$D1649&amp;$E1649&amp;$F1649,".","_"),"(","_"),")","")</f>
        <v>vnt901_5_2</v>
      </c>
      <c r="AS1649">
        <f>X1649</f>
        <v>0</v>
      </c>
      <c r="BJ1649" s="573" t="s">
        <v>4670</v>
      </c>
    </row>
    <row r="1650" spans="1:62" x14ac:dyDescent="0.35">
      <c r="A1650" s="403">
        <v>9</v>
      </c>
      <c r="B1650" s="609">
        <v>901.5</v>
      </c>
      <c r="C1650" s="604"/>
      <c r="D1650" s="604"/>
      <c r="E1650" s="604" t="s">
        <v>272</v>
      </c>
      <c r="F1650" s="604"/>
      <c r="G1650" s="403" t="str">
        <f t="shared" ref="G1650:G1651" si="554">G1649</f>
        <v>P</v>
      </c>
      <c r="H1650" s="403" t="s">
        <v>4325</v>
      </c>
      <c r="I1650" s="108"/>
      <c r="J1650" s="4"/>
      <c r="K1650" s="4"/>
      <c r="L1650" s="707"/>
      <c r="M1650" s="690"/>
      <c r="N1650" s="696"/>
      <c r="O1650" s="696"/>
      <c r="X1650" s="688"/>
      <c r="Y1650" s="891"/>
      <c r="Z1650" s="892"/>
      <c r="BJ1650" s="573" t="s">
        <v>4670</v>
      </c>
    </row>
    <row r="1651" spans="1:62" ht="15" thickBot="1" x14ac:dyDescent="0.4">
      <c r="A1651" s="403">
        <v>9</v>
      </c>
      <c r="B1651" s="609">
        <v>901.5</v>
      </c>
      <c r="C1651" s="604"/>
      <c r="D1651" s="604"/>
      <c r="E1651" s="604"/>
      <c r="F1651" s="604"/>
      <c r="G1651" s="403" t="str">
        <f t="shared" si="554"/>
        <v>P</v>
      </c>
      <c r="H1651" s="403" t="s">
        <v>4325</v>
      </c>
      <c r="I1651" s="328"/>
      <c r="J1651" s="183"/>
      <c r="K1651" s="183"/>
      <c r="L1651" s="708"/>
      <c r="M1651" s="693"/>
      <c r="N1651" s="695"/>
      <c r="O1651" s="695"/>
      <c r="P1651" s="58"/>
      <c r="Q1651" s="58"/>
      <c r="R1651" s="58"/>
      <c r="S1651" s="58"/>
      <c r="T1651" s="58"/>
      <c r="U1651" s="58"/>
      <c r="V1651" s="58"/>
      <c r="W1651" s="58"/>
      <c r="X1651" s="689"/>
      <c r="Y1651" s="905"/>
      <c r="Z1651" s="895"/>
      <c r="BJ1651" s="573" t="s">
        <v>4670</v>
      </c>
    </row>
    <row r="1652" spans="1:62" ht="15" thickTop="1" x14ac:dyDescent="0.35">
      <c r="A1652" s="403">
        <v>9</v>
      </c>
      <c r="B1652" s="609">
        <v>901.6</v>
      </c>
      <c r="C1652" s="604"/>
      <c r="D1652" s="604"/>
      <c r="E1652" s="604"/>
      <c r="F1652" s="604"/>
      <c r="G1652" s="403" t="s">
        <v>4326</v>
      </c>
      <c r="H1652" s="403" t="s">
        <v>4325</v>
      </c>
      <c r="I1652" s="123">
        <v>901.6</v>
      </c>
      <c r="J1652" s="124"/>
      <c r="K1652" s="124"/>
      <c r="L1652" s="711" t="s">
        <v>3395</v>
      </c>
      <c r="M1652" s="749" t="str">
        <f>IF(R1652,"Mandatory","N/A")</f>
        <v>Mandatory</v>
      </c>
      <c r="N1652" s="341"/>
      <c r="O1652" s="341"/>
      <c r="P1652" t="b">
        <v>0</v>
      </c>
      <c r="Q1652" t="b">
        <v>1</v>
      </c>
      <c r="R1652" s="62" t="b">
        <f>S1652</f>
        <v>1</v>
      </c>
      <c r="S1652" s="62" t="b">
        <v>1</v>
      </c>
      <c r="T1652" s="62" t="b">
        <v>0</v>
      </c>
      <c r="U1652" s="62"/>
      <c r="V1652" s="62"/>
      <c r="W1652" s="17" t="b">
        <v>1</v>
      </c>
      <c r="X1652" s="687"/>
      <c r="Y1652" s="904" t="str">
        <f>IF(LEN('Ch9'!X95)=0,"None",'Ch9'!X95)</f>
        <v>None</v>
      </c>
      <c r="Z1652" s="896"/>
      <c r="AC1652" t="b">
        <f>OR(AD1652:AE1652)</f>
        <v>0</v>
      </c>
      <c r="AD1652" t="b">
        <f>T1652</f>
        <v>0</v>
      </c>
      <c r="AE1652" t="b">
        <f>AND(R1652,NOT(W1652))</f>
        <v>0</v>
      </c>
      <c r="AF1652" t="b">
        <f>AND(AE1652,NOT(Q1652))</f>
        <v>0</v>
      </c>
      <c r="AL1652" t="str">
        <f t="shared" ref="AL1652" si="555">SUBSTITUTE(SUBSTITUTE(SUBSTITUTE("vpa"&amp;$B1652&amp;$C1652&amp;$D1652&amp;$E1652&amp;$F1652,".","_"),"(","_"),")","")</f>
        <v>vpa901_6</v>
      </c>
      <c r="AM1652" t="str">
        <f>M1652</f>
        <v>Mandatory</v>
      </c>
      <c r="AP1652" t="str">
        <f>SUBSTITUTE(SUBSTITUTE(SUBSTITUTE("vch"&amp;$B1652&amp;$C1652&amp;$D1652&amp;$E1652&amp;$F1652,".","_"),"(","_"),")","")</f>
        <v>vch901_6</v>
      </c>
      <c r="AQ1652" t="b">
        <f>W1652</f>
        <v>1</v>
      </c>
      <c r="AR1652" t="str">
        <f>SUBSTITUTE(SUBSTITUTE(SUBSTITUTE("vnt"&amp;$B1652&amp;$C1652&amp;$D1652&amp;$E1652&amp;$F1652,".","_"),"(","_"),")","")</f>
        <v>vnt901_6</v>
      </c>
      <c r="AS1652">
        <f>X1652</f>
        <v>0</v>
      </c>
      <c r="BJ1652" s="573" t="s">
        <v>4670</v>
      </c>
    </row>
    <row r="1653" spans="1:62" ht="15" thickBot="1" x14ac:dyDescent="0.4">
      <c r="A1653" s="403">
        <v>9</v>
      </c>
      <c r="B1653" s="609">
        <v>901.6</v>
      </c>
      <c r="C1653" s="604"/>
      <c r="D1653" s="604"/>
      <c r="E1653" s="604"/>
      <c r="F1653" s="604"/>
      <c r="G1653" s="403" t="s">
        <v>4326</v>
      </c>
      <c r="H1653" s="403" t="s">
        <v>4325</v>
      </c>
      <c r="I1653" s="328"/>
      <c r="J1653" s="183"/>
      <c r="K1653" s="183"/>
      <c r="L1653" s="710"/>
      <c r="M1653" s="771"/>
      <c r="N1653" s="184"/>
      <c r="O1653" s="184"/>
      <c r="P1653" s="58"/>
      <c r="Q1653" s="58"/>
      <c r="R1653" s="58"/>
      <c r="S1653" s="58"/>
      <c r="T1653" s="58"/>
      <c r="U1653" s="58"/>
      <c r="V1653" s="58"/>
      <c r="W1653" s="58"/>
      <c r="X1653" s="689"/>
      <c r="Y1653" s="905"/>
      <c r="Z1653" s="895"/>
      <c r="BJ1653" s="573" t="s">
        <v>4670</v>
      </c>
    </row>
    <row r="1654" spans="1:62" ht="15" thickTop="1" x14ac:dyDescent="0.35">
      <c r="A1654" s="403">
        <v>9</v>
      </c>
      <c r="B1654" s="609">
        <v>901.7</v>
      </c>
      <c r="C1654" s="604"/>
      <c r="D1654" s="604"/>
      <c r="E1654" s="604"/>
      <c r="F1654" s="604"/>
      <c r="G1654" s="403" t="str">
        <f>IF(N1654&gt;0,"P","")</f>
        <v/>
      </c>
      <c r="H1654" s="403" t="s">
        <v>4325</v>
      </c>
      <c r="I1654" s="32">
        <v>901.7</v>
      </c>
      <c r="J1654" s="4"/>
      <c r="K1654" s="4"/>
      <c r="L1654" s="706" t="s">
        <v>3396</v>
      </c>
      <c r="M1654" s="737" t="s">
        <v>3589</v>
      </c>
      <c r="N1654" s="696">
        <f>'Ch9'!O97</f>
        <v>0</v>
      </c>
      <c r="O1654" s="696">
        <f>MIN(8,ROUNDDOWN(W1661/0.1,0)+ROUNDDOWN(W1671/0.1,0)+ROUNDDOWN(W1672*1.33/0.1,0))</f>
        <v>0</v>
      </c>
      <c r="Z1654" s="543"/>
      <c r="AL1654" t="str">
        <f t="shared" ref="AL1654" si="556">SUBSTITUTE(SUBSTITUTE(SUBSTITUTE("vpa"&amp;$B1654&amp;$C1654&amp;$D1654&amp;$E1654&amp;$F1654,".","_"),"(","_"),")","")</f>
        <v>vpa901_7</v>
      </c>
      <c r="AM1654" t="str">
        <f>M1654</f>
        <v>1
8 Max</v>
      </c>
      <c r="AN1654" t="str">
        <f>SUBSTITUTE(SUBSTITUTE(SUBSTITUTE("vpc"&amp;$B1654&amp;$C1654&amp;$D1654&amp;$E1654&amp;$F1654,".","_"),"(","_"),")","")</f>
        <v>vpc901_7</v>
      </c>
      <c r="AO1654">
        <f>O1654</f>
        <v>0</v>
      </c>
      <c r="BJ1654" s="573" t="s">
        <v>4670</v>
      </c>
    </row>
    <row r="1655" spans="1:62" x14ac:dyDescent="0.35">
      <c r="A1655" s="403">
        <v>9</v>
      </c>
      <c r="B1655" s="609">
        <v>901.7</v>
      </c>
      <c r="C1655" s="604"/>
      <c r="D1655" s="604"/>
      <c r="E1655" s="604"/>
      <c r="F1655" s="604"/>
      <c r="G1655" s="403" t="str">
        <f t="shared" ref="G1655:G1674" si="557">G1654</f>
        <v/>
      </c>
      <c r="H1655" s="403" t="s">
        <v>4325</v>
      </c>
      <c r="I1655" s="108"/>
      <c r="J1655" s="4"/>
      <c r="K1655" s="4"/>
      <c r="L1655" s="706"/>
      <c r="M1655" s="737"/>
      <c r="N1655" s="696"/>
      <c r="O1655" s="696"/>
      <c r="Z1655" s="543"/>
      <c r="BJ1655" s="573" t="s">
        <v>4670</v>
      </c>
    </row>
    <row r="1656" spans="1:62" x14ac:dyDescent="0.35">
      <c r="A1656" s="403">
        <v>9</v>
      </c>
      <c r="B1656" s="609">
        <v>901.7</v>
      </c>
      <c r="C1656" s="604"/>
      <c r="D1656" s="604"/>
      <c r="E1656" s="604"/>
      <c r="F1656" s="604"/>
      <c r="G1656" s="403" t="str">
        <f t="shared" si="557"/>
        <v/>
      </c>
      <c r="H1656" s="403" t="s">
        <v>4325</v>
      </c>
      <c r="I1656" s="108"/>
      <c r="J1656" s="4"/>
      <c r="K1656" s="4"/>
      <c r="L1656" s="706"/>
      <c r="M1656" s="737"/>
      <c r="N1656" s="696"/>
      <c r="O1656" s="696"/>
      <c r="Z1656" s="543"/>
      <c r="BJ1656" s="573" t="s">
        <v>4670</v>
      </c>
    </row>
    <row r="1657" spans="1:62" x14ac:dyDescent="0.35">
      <c r="A1657" s="403">
        <v>9</v>
      </c>
      <c r="B1657" s="609">
        <v>901.7</v>
      </c>
      <c r="C1657" s="604"/>
      <c r="D1657" s="604"/>
      <c r="E1657" s="604"/>
      <c r="F1657" s="604"/>
      <c r="G1657" s="403" t="str">
        <f t="shared" si="557"/>
        <v/>
      </c>
      <c r="H1657" s="403" t="s">
        <v>4325</v>
      </c>
      <c r="I1657" s="108"/>
      <c r="J1657" s="4"/>
      <c r="K1657" s="4"/>
      <c r="L1657" s="706"/>
      <c r="M1657" s="737"/>
      <c r="N1657" s="696"/>
      <c r="O1657" s="696"/>
      <c r="Z1657" s="543"/>
      <c r="BJ1657" s="573" t="s">
        <v>4670</v>
      </c>
    </row>
    <row r="1658" spans="1:62" x14ac:dyDescent="0.35">
      <c r="A1658" s="403">
        <v>9</v>
      </c>
      <c r="B1658" s="609">
        <v>901.7</v>
      </c>
      <c r="C1658" s="604"/>
      <c r="D1658" s="604"/>
      <c r="E1658" s="604"/>
      <c r="F1658" s="604"/>
      <c r="G1658" s="403" t="str">
        <f t="shared" si="557"/>
        <v/>
      </c>
      <c r="H1658" s="403" t="s">
        <v>4325</v>
      </c>
      <c r="I1658" s="108"/>
      <c r="J1658" s="4"/>
      <c r="K1658" s="4"/>
      <c r="L1658" s="706"/>
      <c r="M1658" s="737"/>
      <c r="N1658" s="696"/>
      <c r="O1658" s="696"/>
      <c r="Z1658" s="543"/>
      <c r="BJ1658" s="573" t="s">
        <v>4670</v>
      </c>
    </row>
    <row r="1659" spans="1:62" x14ac:dyDescent="0.35">
      <c r="A1659" s="403">
        <v>9</v>
      </c>
      <c r="B1659" s="609">
        <v>901.7</v>
      </c>
      <c r="C1659" s="604"/>
      <c r="D1659" s="604"/>
      <c r="E1659" s="604"/>
      <c r="F1659" s="604"/>
      <c r="G1659" s="403" t="str">
        <f t="shared" si="557"/>
        <v/>
      </c>
      <c r="H1659" s="403" t="s">
        <v>4325</v>
      </c>
      <c r="I1659" s="108"/>
      <c r="J1659" s="4"/>
      <c r="K1659" s="4"/>
      <c r="L1659" s="752" t="s">
        <v>3397</v>
      </c>
      <c r="M1659" s="737"/>
      <c r="N1659" s="696"/>
      <c r="O1659" s="696"/>
      <c r="Z1659" s="543"/>
      <c r="BJ1659" s="573" t="s">
        <v>4670</v>
      </c>
    </row>
    <row r="1660" spans="1:62" x14ac:dyDescent="0.35">
      <c r="A1660" s="403">
        <v>9</v>
      </c>
      <c r="B1660" s="609">
        <v>901.7</v>
      </c>
      <c r="C1660" s="604"/>
      <c r="D1660" s="604"/>
      <c r="E1660" s="604"/>
      <c r="F1660" s="604"/>
      <c r="G1660" s="403" t="str">
        <f t="shared" si="557"/>
        <v/>
      </c>
      <c r="H1660" s="403" t="s">
        <v>4325</v>
      </c>
      <c r="I1660" s="108"/>
      <c r="J1660" s="4"/>
      <c r="K1660" s="4"/>
      <c r="L1660" s="752"/>
      <c r="M1660" s="737"/>
      <c r="N1660" s="696"/>
      <c r="O1660" s="696"/>
      <c r="W1660" t="s">
        <v>3923</v>
      </c>
      <c r="Z1660" s="543"/>
      <c r="BJ1660" s="573" t="s">
        <v>4670</v>
      </c>
    </row>
    <row r="1661" spans="1:62" x14ac:dyDescent="0.35">
      <c r="A1661" s="403">
        <v>9</v>
      </c>
      <c r="B1661" s="609">
        <v>901.7</v>
      </c>
      <c r="C1661" s="604"/>
      <c r="D1661" s="604"/>
      <c r="E1661" s="604" t="s">
        <v>270</v>
      </c>
      <c r="F1661" s="608"/>
      <c r="G1661" s="403" t="str">
        <f t="shared" si="557"/>
        <v/>
      </c>
      <c r="H1661" s="414" t="s">
        <v>4325</v>
      </c>
      <c r="I1661" s="108"/>
      <c r="J1661" s="19" t="s">
        <v>270</v>
      </c>
      <c r="K1661" s="4"/>
      <c r="L1661" s="707" t="s">
        <v>3398</v>
      </c>
      <c r="M1661" s="43"/>
      <c r="N1661" s="85"/>
      <c r="O1661" s="85"/>
      <c r="P1661" t="b">
        <v>0</v>
      </c>
      <c r="Q1661" t="b">
        <v>1</v>
      </c>
      <c r="R1661" t="b">
        <v>0</v>
      </c>
      <c r="S1661" t="b">
        <v>1</v>
      </c>
      <c r="T1661" t="b">
        <f>SUM(W1661,W1671,W1672)&gt;1</f>
        <v>0</v>
      </c>
      <c r="W1661" s="333"/>
      <c r="X1661" s="688"/>
      <c r="Y1661" s="891" t="str">
        <f>IF(LEN('Ch9'!X104)=0,"None",'Ch9'!X104)</f>
        <v>None</v>
      </c>
      <c r="Z1661" s="892"/>
      <c r="AC1661" t="b">
        <f>OR(AD1661:AE1661)</f>
        <v>0</v>
      </c>
      <c r="AD1661" t="b">
        <f>T1661</f>
        <v>0</v>
      </c>
      <c r="AE1661" t="b">
        <f>AND(R1661,OR(W1661="Not Met",W1661=""))</f>
        <v>0</v>
      </c>
      <c r="AF1661" t="b">
        <f>AND(AE1661,NOT(Q1661))</f>
        <v>0</v>
      </c>
      <c r="AP1661" t="str">
        <f>SUBSTITUTE(SUBSTITUTE(SUBSTITUTE("vch"&amp;$B1661&amp;$C1661&amp;$D1661&amp;$E1661&amp;$F1661,".","_"),"(","_"),")","")</f>
        <v>vch901_7_1</v>
      </c>
      <c r="AQ1661" s="258">
        <f>W1661</f>
        <v>0</v>
      </c>
      <c r="AR1661" t="str">
        <f>SUBSTITUTE(SUBSTITUTE(SUBSTITUTE("vnt"&amp;$B1661&amp;$C1661&amp;$D1661&amp;$E1661&amp;$F1661,".","_"),"(","_"),")","")</f>
        <v>vnt901_7_1</v>
      </c>
      <c r="AS1661">
        <f>X1661</f>
        <v>0</v>
      </c>
      <c r="BJ1661" s="573" t="s">
        <v>4670</v>
      </c>
    </row>
    <row r="1662" spans="1:62" x14ac:dyDescent="0.35">
      <c r="A1662" s="403">
        <v>9</v>
      </c>
      <c r="B1662" s="609">
        <v>901.7</v>
      </c>
      <c r="C1662" s="604"/>
      <c r="D1662" s="604"/>
      <c r="E1662" s="604" t="s">
        <v>270</v>
      </c>
      <c r="F1662" s="608"/>
      <c r="G1662" s="403" t="str">
        <f t="shared" si="557"/>
        <v/>
      </c>
      <c r="H1662" s="414" t="s">
        <v>4325</v>
      </c>
      <c r="I1662" s="108"/>
      <c r="J1662" s="4"/>
      <c r="K1662" s="4"/>
      <c r="L1662" s="707"/>
      <c r="M1662" s="43"/>
      <c r="N1662" s="85"/>
      <c r="O1662" s="85"/>
      <c r="X1662" s="688"/>
      <c r="Y1662" s="891"/>
      <c r="Z1662" s="892"/>
      <c r="BJ1662" s="573" t="s">
        <v>4670</v>
      </c>
    </row>
    <row r="1663" spans="1:62" x14ac:dyDescent="0.35">
      <c r="A1663" s="403">
        <v>9</v>
      </c>
      <c r="B1663" s="609">
        <v>901.7</v>
      </c>
      <c r="C1663" s="604"/>
      <c r="D1663" s="604"/>
      <c r="E1663" s="604" t="s">
        <v>270</v>
      </c>
      <c r="F1663" s="608"/>
      <c r="G1663" s="403" t="str">
        <f t="shared" si="557"/>
        <v/>
      </c>
      <c r="H1663" s="414" t="s">
        <v>4325</v>
      </c>
      <c r="I1663" s="108"/>
      <c r="J1663" s="4"/>
      <c r="K1663" s="4"/>
      <c r="L1663" s="707"/>
      <c r="M1663" s="43"/>
      <c r="N1663" s="85"/>
      <c r="O1663" s="85"/>
      <c r="X1663" s="688"/>
      <c r="Y1663" s="891"/>
      <c r="Z1663" s="892"/>
      <c r="BJ1663" s="573" t="s">
        <v>4670</v>
      </c>
    </row>
    <row r="1664" spans="1:62" x14ac:dyDescent="0.35">
      <c r="A1664" s="403">
        <v>9</v>
      </c>
      <c r="B1664" s="609">
        <v>901.7</v>
      </c>
      <c r="C1664" s="604"/>
      <c r="D1664" s="604"/>
      <c r="E1664" s="604" t="s">
        <v>270</v>
      </c>
      <c r="F1664" s="608"/>
      <c r="G1664" s="403" t="str">
        <f t="shared" si="557"/>
        <v/>
      </c>
      <c r="H1664" s="414" t="s">
        <v>4325</v>
      </c>
      <c r="I1664" s="108"/>
      <c r="J1664" s="4"/>
      <c r="K1664" s="4"/>
      <c r="L1664" s="707"/>
      <c r="M1664" s="43"/>
      <c r="N1664" s="85"/>
      <c r="O1664" s="85"/>
      <c r="X1664" s="688"/>
      <c r="Y1664" s="891"/>
      <c r="Z1664" s="892"/>
      <c r="BJ1664" s="573" t="s">
        <v>4670</v>
      </c>
    </row>
    <row r="1665" spans="1:62" x14ac:dyDescent="0.35">
      <c r="A1665" s="403">
        <v>9</v>
      </c>
      <c r="B1665" s="609">
        <v>901.7</v>
      </c>
      <c r="C1665" s="604"/>
      <c r="D1665" s="604"/>
      <c r="E1665" s="604" t="s">
        <v>270</v>
      </c>
      <c r="F1665" s="608" t="s">
        <v>121</v>
      </c>
      <c r="G1665" s="403" t="str">
        <f t="shared" si="557"/>
        <v/>
      </c>
      <c r="H1665" s="617" t="s">
        <v>4325</v>
      </c>
      <c r="I1665" s="108"/>
      <c r="J1665" s="4"/>
      <c r="K1665" s="19" t="s">
        <v>121</v>
      </c>
      <c r="L1665" s="104" t="s">
        <v>3399</v>
      </c>
      <c r="M1665" s="43"/>
      <c r="N1665" s="85"/>
      <c r="O1665" s="85"/>
      <c r="X1665" s="688"/>
      <c r="Y1665" s="891"/>
      <c r="Z1665" s="892"/>
      <c r="BJ1665" s="573" t="s">
        <v>4670</v>
      </c>
    </row>
    <row r="1666" spans="1:62" x14ac:dyDescent="0.35">
      <c r="A1666" s="403">
        <v>9</v>
      </c>
      <c r="B1666" s="609">
        <v>901.7</v>
      </c>
      <c r="C1666" s="604"/>
      <c r="D1666" s="604"/>
      <c r="E1666" s="604" t="s">
        <v>270</v>
      </c>
      <c r="F1666" s="608" t="s">
        <v>122</v>
      </c>
      <c r="G1666" s="403" t="str">
        <f t="shared" si="557"/>
        <v/>
      </c>
      <c r="H1666" s="617" t="s">
        <v>4325</v>
      </c>
      <c r="I1666" s="108"/>
      <c r="J1666" s="4"/>
      <c r="K1666" s="19" t="s">
        <v>122</v>
      </c>
      <c r="L1666" s="104" t="s">
        <v>3400</v>
      </c>
      <c r="M1666" s="43"/>
      <c r="N1666" s="85"/>
      <c r="O1666" s="85"/>
      <c r="X1666" s="688"/>
      <c r="Y1666" s="891"/>
      <c r="Z1666" s="892"/>
      <c r="BJ1666" s="573" t="s">
        <v>4670</v>
      </c>
    </row>
    <row r="1667" spans="1:62" x14ac:dyDescent="0.35">
      <c r="A1667" s="403">
        <v>9</v>
      </c>
      <c r="B1667" s="609">
        <v>901.7</v>
      </c>
      <c r="C1667" s="604"/>
      <c r="D1667" s="604"/>
      <c r="E1667" s="604" t="s">
        <v>270</v>
      </c>
      <c r="F1667" s="608" t="s">
        <v>123</v>
      </c>
      <c r="G1667" s="403" t="str">
        <f t="shared" si="557"/>
        <v/>
      </c>
      <c r="H1667" s="617" t="s">
        <v>4325</v>
      </c>
      <c r="I1667" s="108"/>
      <c r="J1667" s="4"/>
      <c r="K1667" s="19" t="s">
        <v>123</v>
      </c>
      <c r="L1667" s="104" t="s">
        <v>3401</v>
      </c>
      <c r="M1667" s="43"/>
      <c r="N1667" s="85"/>
      <c r="O1667" s="85"/>
      <c r="X1667" s="688"/>
      <c r="Y1667" s="891"/>
      <c r="Z1667" s="892"/>
      <c r="BJ1667" s="573" t="s">
        <v>4670</v>
      </c>
    </row>
    <row r="1668" spans="1:62" x14ac:dyDescent="0.35">
      <c r="A1668" s="403">
        <v>9</v>
      </c>
      <c r="B1668" s="609">
        <v>901.7</v>
      </c>
      <c r="C1668" s="604"/>
      <c r="D1668" s="604"/>
      <c r="E1668" s="604" t="s">
        <v>270</v>
      </c>
      <c r="F1668" s="608" t="s">
        <v>420</v>
      </c>
      <c r="G1668" s="403" t="str">
        <f t="shared" si="557"/>
        <v/>
      </c>
      <c r="H1668" s="617" t="s">
        <v>4325</v>
      </c>
      <c r="I1668" s="108"/>
      <c r="J1668" s="4"/>
      <c r="K1668" s="19" t="s">
        <v>420</v>
      </c>
      <c r="L1668" s="104" t="s">
        <v>3402</v>
      </c>
      <c r="M1668" s="43"/>
      <c r="N1668" s="85"/>
      <c r="O1668" s="85"/>
      <c r="X1668" s="688"/>
      <c r="Y1668" s="891"/>
      <c r="Z1668" s="892"/>
      <c r="BJ1668" s="573" t="s">
        <v>4670</v>
      </c>
    </row>
    <row r="1669" spans="1:62" x14ac:dyDescent="0.35">
      <c r="A1669" s="403">
        <v>9</v>
      </c>
      <c r="B1669" s="609">
        <v>901.7</v>
      </c>
      <c r="C1669" s="604"/>
      <c r="D1669" s="604"/>
      <c r="E1669" s="604" t="s">
        <v>270</v>
      </c>
      <c r="F1669" s="608" t="s">
        <v>575</v>
      </c>
      <c r="G1669" s="403" t="str">
        <f t="shared" si="557"/>
        <v/>
      </c>
      <c r="H1669" s="617" t="s">
        <v>4325</v>
      </c>
      <c r="I1669" s="108"/>
      <c r="J1669" s="4"/>
      <c r="K1669" s="19" t="s">
        <v>575</v>
      </c>
      <c r="L1669" s="104" t="s">
        <v>3403</v>
      </c>
      <c r="M1669" s="43"/>
      <c r="N1669" s="85"/>
      <c r="O1669" s="85"/>
      <c r="X1669" s="688"/>
      <c r="Y1669" s="891"/>
      <c r="Z1669" s="892"/>
      <c r="BJ1669" s="573" t="s">
        <v>4670</v>
      </c>
    </row>
    <row r="1670" spans="1:62" x14ac:dyDescent="0.35">
      <c r="A1670" s="403">
        <v>9</v>
      </c>
      <c r="B1670" s="609">
        <v>901.7</v>
      </c>
      <c r="C1670" s="604"/>
      <c r="D1670" s="604"/>
      <c r="E1670" s="604" t="s">
        <v>270</v>
      </c>
      <c r="F1670" s="608" t="s">
        <v>642</v>
      </c>
      <c r="G1670" s="403" t="str">
        <f t="shared" si="557"/>
        <v/>
      </c>
      <c r="H1670" s="617" t="s">
        <v>4325</v>
      </c>
      <c r="I1670" s="108"/>
      <c r="J1670" s="155"/>
      <c r="K1670" s="148" t="s">
        <v>642</v>
      </c>
      <c r="L1670" s="214" t="s">
        <v>3404</v>
      </c>
      <c r="M1670" s="43"/>
      <c r="N1670" s="85"/>
      <c r="O1670" s="85"/>
      <c r="W1670" t="s">
        <v>3924</v>
      </c>
      <c r="X1670" s="688"/>
      <c r="Y1670" s="891"/>
      <c r="Z1670" s="892"/>
      <c r="BJ1670" s="573" t="s">
        <v>4670</v>
      </c>
    </row>
    <row r="1671" spans="1:62" x14ac:dyDescent="0.35">
      <c r="A1671" s="403">
        <v>9</v>
      </c>
      <c r="B1671" s="609">
        <v>901.7</v>
      </c>
      <c r="C1671" s="604"/>
      <c r="D1671" s="604"/>
      <c r="E1671" s="604" t="s">
        <v>272</v>
      </c>
      <c r="F1671" s="608"/>
      <c r="G1671" s="403" t="str">
        <f t="shared" si="557"/>
        <v/>
      </c>
      <c r="H1671" s="414" t="s">
        <v>4325</v>
      </c>
      <c r="I1671" s="108"/>
      <c r="J1671" s="148" t="s">
        <v>272</v>
      </c>
      <c r="K1671" s="155"/>
      <c r="L1671" s="214" t="s">
        <v>4101</v>
      </c>
      <c r="M1671" s="43"/>
      <c r="N1671" s="85"/>
      <c r="O1671" s="85"/>
      <c r="P1671" t="b">
        <v>0</v>
      </c>
      <c r="Q1671" t="b">
        <v>1</v>
      </c>
      <c r="R1671" t="b">
        <v>0</v>
      </c>
      <c r="S1671" t="b">
        <v>1</v>
      </c>
      <c r="T1671" t="b">
        <f>SUM(W1661,W1671,W1672)&gt;1</f>
        <v>0</v>
      </c>
      <c r="W1671" s="333"/>
      <c r="X1671" s="688"/>
      <c r="Y1671" s="891" t="str">
        <f>IF(LEN('Ch9'!X114)=0,"None",'Ch9'!X114)</f>
        <v>None</v>
      </c>
      <c r="Z1671" s="892"/>
      <c r="AC1671" t="b">
        <f>OR(AD1671:AE1671)</f>
        <v>0</v>
      </c>
      <c r="AD1671" t="b">
        <f>T1671</f>
        <v>0</v>
      </c>
      <c r="AE1671" t="b">
        <f>AND(R1671,OR(W1671="Not Met",W1671=""))</f>
        <v>0</v>
      </c>
      <c r="AF1671" t="b">
        <f>AND(AE1671,NOT(Q1671))</f>
        <v>0</v>
      </c>
      <c r="AP1671" t="str">
        <f t="shared" ref="AP1671:AP1672" si="558">SUBSTITUTE(SUBSTITUTE(SUBSTITUTE("vch"&amp;$B1671&amp;$C1671&amp;$D1671&amp;$E1671&amp;$F1671,".","_"),"(","_"),")","")</f>
        <v>vch901_7_2</v>
      </c>
      <c r="AQ1671" s="258">
        <f>W1671</f>
        <v>0</v>
      </c>
      <c r="AR1671" t="str">
        <f>SUBSTITUTE(SUBSTITUTE(SUBSTITUTE("vnt"&amp;$B1671&amp;$C1671&amp;$D1671&amp;$E1671&amp;$F1671,".","_"),"(","_"),")","")</f>
        <v>vnt901_7_2</v>
      </c>
      <c r="AS1671">
        <f>X1671</f>
        <v>0</v>
      </c>
      <c r="BJ1671" s="573" t="s">
        <v>4670</v>
      </c>
    </row>
    <row r="1672" spans="1:62" x14ac:dyDescent="0.35">
      <c r="A1672" s="403">
        <v>9</v>
      </c>
      <c r="B1672" s="609">
        <v>901.7</v>
      </c>
      <c r="C1672" s="604"/>
      <c r="D1672" s="604"/>
      <c r="E1672" s="604" t="s">
        <v>274</v>
      </c>
      <c r="F1672" s="608"/>
      <c r="G1672" s="403" t="str">
        <f t="shared" si="557"/>
        <v/>
      </c>
      <c r="H1672" s="414" t="s">
        <v>4325</v>
      </c>
      <c r="I1672" s="108"/>
      <c r="J1672" s="19" t="s">
        <v>274</v>
      </c>
      <c r="K1672" s="4"/>
      <c r="L1672" s="104" t="s">
        <v>3911</v>
      </c>
      <c r="M1672" s="43"/>
      <c r="N1672" s="85"/>
      <c r="O1672" s="85"/>
      <c r="P1672" t="b">
        <v>0</v>
      </c>
      <c r="Q1672" t="b">
        <v>1</v>
      </c>
      <c r="R1672" t="b">
        <v>0</v>
      </c>
      <c r="S1672" t="b">
        <v>1</v>
      </c>
      <c r="T1672" t="b">
        <f>SUM(W1661,W1671,W1672)&gt;1</f>
        <v>0</v>
      </c>
      <c r="W1672" s="333"/>
      <c r="X1672" s="688"/>
      <c r="Y1672" s="891"/>
      <c r="Z1672" s="892"/>
      <c r="AC1672" t="b">
        <f>OR(AD1672:AE1672)</f>
        <v>0</v>
      </c>
      <c r="AD1672" t="b">
        <f>T1672</f>
        <v>0</v>
      </c>
      <c r="AE1672" t="b">
        <f>AND(R1672,OR(W1672="Not Met",W1672=""))</f>
        <v>0</v>
      </c>
      <c r="AF1672" t="b">
        <f>AND(AE1672,NOT(Q1672))</f>
        <v>0</v>
      </c>
      <c r="AP1672" t="str">
        <f t="shared" si="558"/>
        <v>vch901_7_3</v>
      </c>
      <c r="AQ1672" s="258">
        <f>W1672</f>
        <v>0</v>
      </c>
      <c r="BJ1672" s="573" t="s">
        <v>4670</v>
      </c>
    </row>
    <row r="1673" spans="1:62" x14ac:dyDescent="0.35">
      <c r="A1673" s="403">
        <v>9</v>
      </c>
      <c r="B1673" s="609">
        <v>901.7</v>
      </c>
      <c r="C1673" s="604"/>
      <c r="D1673" s="604"/>
      <c r="E1673" s="604" t="s">
        <v>272</v>
      </c>
      <c r="F1673" s="604"/>
      <c r="G1673" s="403" t="str">
        <f t="shared" si="557"/>
        <v/>
      </c>
      <c r="H1673" s="403" t="s">
        <v>4325</v>
      </c>
      <c r="I1673" s="108"/>
      <c r="J1673" s="4"/>
      <c r="K1673" s="4"/>
      <c r="L1673" s="752" t="s">
        <v>3405</v>
      </c>
      <c r="M1673" s="43"/>
      <c r="N1673" s="85"/>
      <c r="O1673" s="85"/>
      <c r="X1673" s="688"/>
      <c r="Y1673" s="891"/>
      <c r="Z1673" s="892"/>
      <c r="BJ1673" s="573" t="s">
        <v>4670</v>
      </c>
    </row>
    <row r="1674" spans="1:62" ht="15" thickBot="1" x14ac:dyDescent="0.4">
      <c r="A1674" s="403">
        <v>9</v>
      </c>
      <c r="B1674" s="609">
        <v>901.7</v>
      </c>
      <c r="C1674" s="604"/>
      <c r="D1674" s="604"/>
      <c r="E1674" s="604" t="s">
        <v>272</v>
      </c>
      <c r="F1674" s="604"/>
      <c r="G1674" s="403" t="str">
        <f t="shared" si="557"/>
        <v/>
      </c>
      <c r="H1674" s="403" t="s">
        <v>4325</v>
      </c>
      <c r="I1674" s="328"/>
      <c r="J1674" s="183"/>
      <c r="K1674" s="183"/>
      <c r="L1674" s="779"/>
      <c r="M1674" s="270"/>
      <c r="N1674" s="184"/>
      <c r="O1674" s="184"/>
      <c r="P1674" s="58"/>
      <c r="Q1674" s="58"/>
      <c r="R1674" s="58"/>
      <c r="S1674" s="58"/>
      <c r="T1674" s="58"/>
      <c r="U1674" s="58"/>
      <c r="V1674" s="58"/>
      <c r="W1674" s="58"/>
      <c r="X1674" s="689"/>
      <c r="Y1674" s="905"/>
      <c r="Z1674" s="895"/>
      <c r="BJ1674" s="573" t="s">
        <v>4670</v>
      </c>
    </row>
    <row r="1675" spans="1:62" ht="15" thickTop="1" x14ac:dyDescent="0.35">
      <c r="A1675" s="403">
        <v>9</v>
      </c>
      <c r="B1675" s="609">
        <v>901.8</v>
      </c>
      <c r="C1675" s="604"/>
      <c r="D1675" s="604"/>
      <c r="E1675" s="604"/>
      <c r="F1675" s="604"/>
      <c r="G1675" s="403" t="str">
        <f>IF(N1675&gt;0,"P","")</f>
        <v/>
      </c>
      <c r="H1675" s="403" t="s">
        <v>4325</v>
      </c>
      <c r="I1675" s="123">
        <v>901.8</v>
      </c>
      <c r="J1675" s="124"/>
      <c r="K1675" s="124"/>
      <c r="L1675" s="711" t="s">
        <v>3406</v>
      </c>
      <c r="M1675" s="692">
        <v>4</v>
      </c>
      <c r="N1675" s="694">
        <f>'Ch9'!O118</f>
        <v>0</v>
      </c>
      <c r="O1675" s="694">
        <f>M1675*S1675*W1675</f>
        <v>0</v>
      </c>
      <c r="P1675" t="b">
        <v>0</v>
      </c>
      <c r="Q1675" t="b">
        <v>1</v>
      </c>
      <c r="R1675" s="62" t="b">
        <v>0</v>
      </c>
      <c r="S1675" s="62" t="b">
        <v>1</v>
      </c>
      <c r="T1675" s="62" t="b">
        <v>0</v>
      </c>
      <c r="U1675" s="62"/>
      <c r="V1675" s="62"/>
      <c r="W1675" s="17"/>
      <c r="X1675" s="687"/>
      <c r="Y1675" s="904" t="str">
        <f>IF(LEN('Ch9'!X118)=0,"None",'Ch9'!X118)</f>
        <v>None</v>
      </c>
      <c r="Z1675" s="896"/>
      <c r="AC1675" t="b">
        <f>OR(AD1675:AE1675)</f>
        <v>0</v>
      </c>
      <c r="AD1675" t="b">
        <f>T1675</f>
        <v>0</v>
      </c>
      <c r="AE1675" t="b">
        <f>AND(R1675,NOT(W1675))</f>
        <v>0</v>
      </c>
      <c r="AF1675" t="b">
        <f>AND(AE1675,NOT(Q1675))</f>
        <v>0</v>
      </c>
      <c r="AL1675" t="str">
        <f t="shared" ref="AL1675" si="559">SUBSTITUTE(SUBSTITUTE(SUBSTITUTE("vpa"&amp;$B1675&amp;$C1675&amp;$D1675&amp;$E1675&amp;$F1675,".","_"),"(","_"),")","")</f>
        <v>vpa901_8</v>
      </c>
      <c r="AM1675">
        <f>M1675</f>
        <v>4</v>
      </c>
      <c r="AN1675" t="str">
        <f>SUBSTITUTE(SUBSTITUTE(SUBSTITUTE("vpc"&amp;$B1675&amp;$C1675&amp;$D1675&amp;$E1675&amp;$F1675,".","_"),"(","_"),")","")</f>
        <v>vpc901_8</v>
      </c>
      <c r="AO1675">
        <f>O1675</f>
        <v>0</v>
      </c>
      <c r="AP1675" t="str">
        <f>SUBSTITUTE(SUBSTITUTE(SUBSTITUTE("vch"&amp;$B1675&amp;$C1675&amp;$D1675&amp;$E1675&amp;$F1675,".","_"),"(","_"),")","")</f>
        <v>vch901_8</v>
      </c>
      <c r="AQ1675">
        <f>W1675</f>
        <v>0</v>
      </c>
      <c r="AR1675" t="str">
        <f>SUBSTITUTE(SUBSTITUTE(SUBSTITUTE("vnt"&amp;$B1675&amp;$C1675&amp;$D1675&amp;$E1675&amp;$F1675,".","_"),"(","_"),")","")</f>
        <v>vnt901_8</v>
      </c>
      <c r="AS1675">
        <f>X1675</f>
        <v>0</v>
      </c>
      <c r="BJ1675" s="573" t="s">
        <v>4670</v>
      </c>
    </row>
    <row r="1676" spans="1:62" x14ac:dyDescent="0.35">
      <c r="A1676" s="403">
        <v>9</v>
      </c>
      <c r="B1676" s="609">
        <v>901.8</v>
      </c>
      <c r="C1676" s="604"/>
      <c r="D1676" s="604"/>
      <c r="E1676" s="604"/>
      <c r="F1676" s="604"/>
      <c r="G1676" s="403" t="str">
        <f t="shared" ref="G1676:G1680" si="560">G1675</f>
        <v/>
      </c>
      <c r="H1676" s="403" t="s">
        <v>4325</v>
      </c>
      <c r="I1676" s="108"/>
      <c r="J1676" s="4"/>
      <c r="K1676" s="4"/>
      <c r="L1676" s="706"/>
      <c r="M1676" s="690"/>
      <c r="N1676" s="696"/>
      <c r="O1676" s="696"/>
      <c r="X1676" s="688"/>
      <c r="Y1676" s="891"/>
      <c r="Z1676" s="892"/>
      <c r="BJ1676" s="573" t="s">
        <v>4670</v>
      </c>
    </row>
    <row r="1677" spans="1:62" x14ac:dyDescent="0.35">
      <c r="A1677" s="403">
        <v>9</v>
      </c>
      <c r="B1677" s="609">
        <v>901.8</v>
      </c>
      <c r="C1677" s="604"/>
      <c r="D1677" s="604"/>
      <c r="E1677" s="604"/>
      <c r="F1677" s="604"/>
      <c r="G1677" s="403" t="str">
        <f t="shared" si="560"/>
        <v/>
      </c>
      <c r="H1677" s="403" t="s">
        <v>4325</v>
      </c>
      <c r="I1677" s="108"/>
      <c r="J1677" s="4"/>
      <c r="K1677" s="4"/>
      <c r="L1677" s="706"/>
      <c r="M1677" s="690"/>
      <c r="N1677" s="696"/>
      <c r="O1677" s="696"/>
      <c r="X1677" s="688"/>
      <c r="Y1677" s="891"/>
      <c r="Z1677" s="892"/>
      <c r="BJ1677" s="573" t="s">
        <v>4670</v>
      </c>
    </row>
    <row r="1678" spans="1:62" x14ac:dyDescent="0.35">
      <c r="A1678" s="403">
        <v>9</v>
      </c>
      <c r="B1678" s="609">
        <v>901.8</v>
      </c>
      <c r="C1678" s="604"/>
      <c r="D1678" s="604"/>
      <c r="E1678" s="604"/>
      <c r="F1678" s="604"/>
      <c r="G1678" s="403" t="str">
        <f t="shared" si="560"/>
        <v/>
      </c>
      <c r="H1678" s="403" t="s">
        <v>4325</v>
      </c>
      <c r="I1678" s="108"/>
      <c r="J1678" s="4"/>
      <c r="K1678" s="4"/>
      <c r="L1678" s="706"/>
      <c r="M1678" s="690"/>
      <c r="N1678" s="696"/>
      <c r="O1678" s="696"/>
      <c r="X1678" s="688"/>
      <c r="Y1678" s="891"/>
      <c r="Z1678" s="892"/>
      <c r="BJ1678" s="573" t="s">
        <v>4670</v>
      </c>
    </row>
    <row r="1679" spans="1:62" x14ac:dyDescent="0.35">
      <c r="A1679" s="403">
        <v>9</v>
      </c>
      <c r="B1679" s="609">
        <v>901.8</v>
      </c>
      <c r="C1679" s="604"/>
      <c r="D1679" s="604"/>
      <c r="E1679" s="604"/>
      <c r="F1679" s="604"/>
      <c r="G1679" s="403" t="str">
        <f t="shared" si="560"/>
        <v/>
      </c>
      <c r="H1679" s="403" t="s">
        <v>4325</v>
      </c>
      <c r="I1679" s="108"/>
      <c r="J1679" s="4"/>
      <c r="K1679" s="4"/>
      <c r="L1679" s="706"/>
      <c r="M1679" s="690"/>
      <c r="N1679" s="696"/>
      <c r="O1679" s="696"/>
      <c r="X1679" s="688"/>
      <c r="Y1679" s="891"/>
      <c r="Z1679" s="892"/>
      <c r="BJ1679" s="573" t="s">
        <v>4670</v>
      </c>
    </row>
    <row r="1680" spans="1:62" ht="15" thickBot="1" x14ac:dyDescent="0.4">
      <c r="A1680" s="403">
        <v>9</v>
      </c>
      <c r="B1680" s="609">
        <v>901.8</v>
      </c>
      <c r="C1680" s="604"/>
      <c r="D1680" s="604"/>
      <c r="E1680" s="604"/>
      <c r="F1680" s="604"/>
      <c r="G1680" s="403" t="str">
        <f t="shared" si="560"/>
        <v/>
      </c>
      <c r="H1680" s="403" t="s">
        <v>4325</v>
      </c>
      <c r="I1680" s="328"/>
      <c r="J1680" s="183"/>
      <c r="K1680" s="183"/>
      <c r="L1680" s="710"/>
      <c r="M1680" s="693"/>
      <c r="N1680" s="695"/>
      <c r="O1680" s="695"/>
      <c r="P1680" s="58"/>
      <c r="Q1680" s="58"/>
      <c r="R1680" s="58"/>
      <c r="S1680" s="58"/>
      <c r="T1680" s="58"/>
      <c r="U1680" s="58"/>
      <c r="V1680" s="58"/>
      <c r="W1680" s="58"/>
      <c r="X1680" s="689"/>
      <c r="Y1680" s="905"/>
      <c r="Z1680" s="895"/>
      <c r="BJ1680" s="573" t="s">
        <v>4670</v>
      </c>
    </row>
    <row r="1681" spans="1:62" ht="15" thickTop="1" x14ac:dyDescent="0.35">
      <c r="A1681" s="403">
        <v>9</v>
      </c>
      <c r="B1681" s="609">
        <v>901.9</v>
      </c>
      <c r="C1681" s="604"/>
      <c r="D1681" s="604"/>
      <c r="E1681" s="604"/>
      <c r="F1681" s="604"/>
      <c r="G1681" s="600" t="str">
        <f>IF(COUNTIF(G1684:G1696,"P")&gt;0,"P","")</f>
        <v/>
      </c>
      <c r="H1681" s="403" t="s">
        <v>4325</v>
      </c>
      <c r="I1681" s="123">
        <v>901.9</v>
      </c>
      <c r="J1681" s="124"/>
      <c r="K1681" s="124"/>
      <c r="L1681" s="711" t="s">
        <v>3407</v>
      </c>
      <c r="M1681" s="199"/>
      <c r="N1681" s="341"/>
      <c r="O1681" s="341"/>
      <c r="P1681" s="62"/>
      <c r="Q1681" s="62"/>
      <c r="R1681" s="62"/>
      <c r="S1681" s="62"/>
      <c r="T1681" s="62"/>
      <c r="U1681" s="62"/>
      <c r="V1681" s="62"/>
      <c r="W1681" s="62"/>
      <c r="X1681" s="688"/>
      <c r="Y1681" s="904" t="str">
        <f>IF(LEN('Ch9'!X124)=0,"None",'Ch9'!X124)</f>
        <v>None</v>
      </c>
      <c r="Z1681" s="896"/>
      <c r="AR1681" t="str">
        <f>SUBSTITUTE(SUBSTITUTE(SUBSTITUTE("vnt"&amp;$B1681&amp;$C1681&amp;$D1681&amp;$E1681&amp;$F1681,".","_"),"(","_"),")","")</f>
        <v>vnt901_9</v>
      </c>
      <c r="AS1681">
        <f>X1681</f>
        <v>0</v>
      </c>
      <c r="BJ1681" s="573" t="s">
        <v>4670</v>
      </c>
    </row>
    <row r="1682" spans="1:62" x14ac:dyDescent="0.35">
      <c r="A1682" s="403">
        <v>9</v>
      </c>
      <c r="B1682" s="609">
        <v>901.9</v>
      </c>
      <c r="C1682" s="604"/>
      <c r="D1682" s="604"/>
      <c r="E1682" s="604"/>
      <c r="F1682" s="604"/>
      <c r="G1682" s="403" t="str">
        <f t="shared" ref="G1682:G1683" si="561">G1681</f>
        <v/>
      </c>
      <c r="H1682" s="403" t="s">
        <v>4325</v>
      </c>
      <c r="I1682" s="108"/>
      <c r="J1682" s="4"/>
      <c r="K1682" s="4"/>
      <c r="L1682" s="706"/>
      <c r="M1682" s="43"/>
      <c r="N1682" s="85"/>
      <c r="O1682" s="85"/>
      <c r="X1682" s="688"/>
      <c r="Y1682" s="891"/>
      <c r="Z1682" s="892"/>
      <c r="BJ1682" s="573" t="s">
        <v>4670</v>
      </c>
    </row>
    <row r="1683" spans="1:62" x14ac:dyDescent="0.35">
      <c r="A1683" s="403">
        <v>9</v>
      </c>
      <c r="B1683" s="609">
        <v>901.9</v>
      </c>
      <c r="C1683" s="604"/>
      <c r="D1683" s="604"/>
      <c r="E1683" s="604"/>
      <c r="F1683" s="604"/>
      <c r="G1683" s="403" t="str">
        <f t="shared" si="561"/>
        <v/>
      </c>
      <c r="H1683" s="403" t="s">
        <v>4325</v>
      </c>
      <c r="I1683" s="108"/>
      <c r="J1683" s="4"/>
      <c r="K1683" s="4"/>
      <c r="L1683" s="706"/>
      <c r="M1683" s="43"/>
      <c r="N1683" s="85"/>
      <c r="O1683" s="85"/>
      <c r="X1683" s="688"/>
      <c r="Y1683" s="891"/>
      <c r="Z1683" s="892"/>
      <c r="BJ1683" s="573" t="s">
        <v>4670</v>
      </c>
    </row>
    <row r="1684" spans="1:62" x14ac:dyDescent="0.35">
      <c r="A1684" s="403">
        <v>9</v>
      </c>
      <c r="B1684" s="609" t="s">
        <v>3408</v>
      </c>
      <c r="C1684" s="604"/>
      <c r="D1684" s="604"/>
      <c r="E1684" s="604"/>
      <c r="F1684" s="604"/>
      <c r="G1684" s="403" t="str">
        <f>IF(N1684&gt;0,"P","")</f>
        <v/>
      </c>
      <c r="H1684" s="403" t="s">
        <v>4325</v>
      </c>
      <c r="I1684" s="32" t="s">
        <v>3408</v>
      </c>
      <c r="J1684" s="4"/>
      <c r="K1684" s="4"/>
      <c r="L1684" s="706" t="s">
        <v>3409</v>
      </c>
      <c r="M1684" s="690">
        <v>5</v>
      </c>
      <c r="N1684" s="696">
        <f>'Ch9'!O127</f>
        <v>0</v>
      </c>
      <c r="O1684" s="696">
        <f>M1684*S1686*IFERROR(OR(W1686,W1688,W1689),0)</f>
        <v>0</v>
      </c>
      <c r="Z1684" s="543"/>
      <c r="AL1684" t="str">
        <f t="shared" ref="AL1684" si="562">SUBSTITUTE(SUBSTITUTE(SUBSTITUTE("vpa"&amp;$B1684&amp;$C1684&amp;$D1684&amp;$E1684&amp;$F1684,".","_"),"(","_"),")","")</f>
        <v>vpa901_9_1</v>
      </c>
      <c r="AM1684">
        <f>M1684</f>
        <v>5</v>
      </c>
      <c r="AN1684" t="str">
        <f>SUBSTITUTE(SUBSTITUTE(SUBSTITUTE("vpc"&amp;$B1684&amp;$C1684&amp;$D1684&amp;$E1684&amp;$F1684,".","_"),"(","_"),")","")</f>
        <v>vpc901_9_1</v>
      </c>
      <c r="AO1684">
        <f>O1684</f>
        <v>0</v>
      </c>
      <c r="BJ1684" s="573" t="s">
        <v>4670</v>
      </c>
    </row>
    <row r="1685" spans="1:62" x14ac:dyDescent="0.35">
      <c r="A1685" s="403">
        <v>9</v>
      </c>
      <c r="B1685" s="609" t="s">
        <v>3408</v>
      </c>
      <c r="C1685" s="604"/>
      <c r="D1685" s="604"/>
      <c r="E1685" s="604"/>
      <c r="F1685" s="604"/>
      <c r="G1685" s="403" t="str">
        <f t="shared" ref="G1685:G1690" si="563">G1684</f>
        <v/>
      </c>
      <c r="H1685" s="403" t="s">
        <v>4325</v>
      </c>
      <c r="I1685" s="108"/>
      <c r="J1685" s="4"/>
      <c r="K1685" s="4"/>
      <c r="L1685" s="706"/>
      <c r="M1685" s="690"/>
      <c r="N1685" s="696"/>
      <c r="O1685" s="696"/>
      <c r="Z1685" s="543"/>
      <c r="BJ1685" s="573" t="s">
        <v>4670</v>
      </c>
    </row>
    <row r="1686" spans="1:62" x14ac:dyDescent="0.35">
      <c r="A1686" s="403">
        <v>9</v>
      </c>
      <c r="B1686" s="609" t="s">
        <v>3408</v>
      </c>
      <c r="C1686" s="604"/>
      <c r="D1686" s="604"/>
      <c r="E1686" s="604" t="s">
        <v>270</v>
      </c>
      <c r="F1686" s="604"/>
      <c r="G1686" s="403" t="str">
        <f t="shared" si="563"/>
        <v/>
      </c>
      <c r="H1686" s="403" t="s">
        <v>4325</v>
      </c>
      <c r="I1686" s="108"/>
      <c r="J1686" s="19" t="s">
        <v>270</v>
      </c>
      <c r="K1686" s="4"/>
      <c r="L1686" s="707" t="s">
        <v>3410</v>
      </c>
      <c r="M1686" s="43"/>
      <c r="N1686" s="85"/>
      <c r="O1686" s="85"/>
      <c r="P1686" t="b">
        <v>0</v>
      </c>
      <c r="Q1686" t="b">
        <v>1</v>
      </c>
      <c r="R1686" t="b">
        <v>0</v>
      </c>
      <c r="S1686" t="b">
        <f>NOT(W1696)</f>
        <v>1</v>
      </c>
      <c r="T1686" t="b">
        <f>AND(NOT(S1686),W1686=TRUE)</f>
        <v>0</v>
      </c>
      <c r="W1686" s="17"/>
      <c r="X1686" s="688"/>
      <c r="Y1686" s="891" t="str">
        <f>IF(LEN('Ch9'!X129)=0,"None",'Ch9'!X129)</f>
        <v>None</v>
      </c>
      <c r="Z1686" s="892"/>
      <c r="AC1686" t="b">
        <f>OR(AD1686:AE1686)</f>
        <v>0</v>
      </c>
      <c r="AD1686" t="b">
        <f>T1686</f>
        <v>0</v>
      </c>
      <c r="AE1686" t="b">
        <f>AND(R1686,NOT(W1686))</f>
        <v>0</v>
      </c>
      <c r="AF1686" t="b">
        <f>AND(AE1686,NOT(Q1686))</f>
        <v>0</v>
      </c>
      <c r="AP1686" t="str">
        <f>SUBSTITUTE(SUBSTITUTE(SUBSTITUTE("vch"&amp;$B1686&amp;$C1686&amp;$D1686&amp;$E1686&amp;$F1686,".","_"),"(","_"),")","")</f>
        <v>vch901_9_1_1</v>
      </c>
      <c r="AQ1686">
        <f>W1686</f>
        <v>0</v>
      </c>
      <c r="AR1686" t="str">
        <f>SUBSTITUTE(SUBSTITUTE(SUBSTITUTE("vnt"&amp;$B1686&amp;$C1686&amp;$D1686&amp;$E1686&amp;$F1686,".","_"),"(","_"),")","")</f>
        <v>vnt901_9_1_1</v>
      </c>
      <c r="AS1686">
        <f>X1686</f>
        <v>0</v>
      </c>
      <c r="BJ1686" s="573" t="s">
        <v>4670</v>
      </c>
    </row>
    <row r="1687" spans="1:62" x14ac:dyDescent="0.35">
      <c r="A1687" s="403">
        <v>9</v>
      </c>
      <c r="B1687" s="609" t="s">
        <v>3408</v>
      </c>
      <c r="C1687" s="604"/>
      <c r="D1687" s="604"/>
      <c r="E1687" s="604" t="s">
        <v>270</v>
      </c>
      <c r="F1687" s="604"/>
      <c r="G1687" s="403" t="str">
        <f t="shared" si="563"/>
        <v/>
      </c>
      <c r="H1687" s="403" t="s">
        <v>4325</v>
      </c>
      <c r="I1687" s="108"/>
      <c r="J1687" s="155"/>
      <c r="K1687" s="155"/>
      <c r="L1687" s="709"/>
      <c r="M1687" s="43"/>
      <c r="N1687" s="85"/>
      <c r="O1687" s="85"/>
      <c r="X1687" s="688"/>
      <c r="Y1687" s="891"/>
      <c r="Z1687" s="892"/>
      <c r="BJ1687" s="573" t="s">
        <v>4670</v>
      </c>
    </row>
    <row r="1688" spans="1:62" x14ac:dyDescent="0.35">
      <c r="A1688" s="403">
        <v>9</v>
      </c>
      <c r="B1688" s="609" t="s">
        <v>3408</v>
      </c>
      <c r="C1688" s="604"/>
      <c r="D1688" s="604"/>
      <c r="E1688" s="604" t="s">
        <v>272</v>
      </c>
      <c r="F1688" s="604"/>
      <c r="G1688" s="403" t="str">
        <f t="shared" si="563"/>
        <v/>
      </c>
      <c r="H1688" s="403" t="s">
        <v>4325</v>
      </c>
      <c r="I1688" s="108"/>
      <c r="J1688" s="148" t="s">
        <v>272</v>
      </c>
      <c r="K1688" s="155"/>
      <c r="L1688" s="214" t="s">
        <v>3411</v>
      </c>
      <c r="M1688" s="43"/>
      <c r="N1688" s="85"/>
      <c r="O1688" s="85"/>
      <c r="P1688" t="b">
        <v>0</v>
      </c>
      <c r="Q1688" t="b">
        <v>1</v>
      </c>
      <c r="R1688" t="b">
        <v>0</v>
      </c>
      <c r="S1688" t="b">
        <f>NOT(W1696)</f>
        <v>1</v>
      </c>
      <c r="T1688" t="b">
        <f>AND(NOT(S1688),W1688=TRUE)</f>
        <v>0</v>
      </c>
      <c r="W1688" s="17"/>
      <c r="X1688" s="39"/>
      <c r="Y1688" s="200" t="str">
        <f>IF(LEN('Ch9'!X131)=0,"None",'Ch9'!X131)</f>
        <v>None</v>
      </c>
      <c r="Z1688" s="563"/>
      <c r="AC1688" t="b">
        <f>OR(AD1688:AE1688)</f>
        <v>0</v>
      </c>
      <c r="AD1688" t="b">
        <f>T1688</f>
        <v>0</v>
      </c>
      <c r="AE1688" t="b">
        <f>AND(R1688,NOT(W1688))</f>
        <v>0</v>
      </c>
      <c r="AF1688" t="b">
        <f>AND(AE1688,NOT(Q1688))</f>
        <v>0</v>
      </c>
      <c r="AP1688" t="str">
        <f t="shared" ref="AP1688:AP1689" si="564">SUBSTITUTE(SUBSTITUTE(SUBSTITUTE("vch"&amp;$B1688&amp;$C1688&amp;$D1688&amp;$E1688&amp;$F1688,".","_"),"(","_"),")","")</f>
        <v>vch901_9_1_2</v>
      </c>
      <c r="AQ1688">
        <f>W1688</f>
        <v>0</v>
      </c>
      <c r="AR1688" t="str">
        <f t="shared" ref="AR1688:AR1689" si="565">SUBSTITUTE(SUBSTITUTE(SUBSTITUTE("vnt"&amp;$B1688&amp;$C1688&amp;$D1688&amp;$E1688&amp;$F1688,".","_"),"(","_"),")","")</f>
        <v>vnt901_9_1_2</v>
      </c>
      <c r="AS1688">
        <f>X1688</f>
        <v>0</v>
      </c>
      <c r="BJ1688" s="573" t="s">
        <v>4670</v>
      </c>
    </row>
    <row r="1689" spans="1:62" x14ac:dyDescent="0.35">
      <c r="A1689" s="403">
        <v>9</v>
      </c>
      <c r="B1689" s="609" t="s">
        <v>3408</v>
      </c>
      <c r="C1689" s="604"/>
      <c r="D1689" s="604"/>
      <c r="E1689" s="604" t="s">
        <v>274</v>
      </c>
      <c r="F1689" s="604"/>
      <c r="G1689" s="403" t="str">
        <f t="shared" si="563"/>
        <v/>
      </c>
      <c r="H1689" s="403" t="s">
        <v>4325</v>
      </c>
      <c r="I1689" s="108"/>
      <c r="J1689" s="19" t="s">
        <v>274</v>
      </c>
      <c r="K1689" s="4"/>
      <c r="L1689" s="104" t="s">
        <v>3412</v>
      </c>
      <c r="M1689" s="43"/>
      <c r="N1689" s="85"/>
      <c r="O1689" s="85"/>
      <c r="P1689" t="b">
        <v>0</v>
      </c>
      <c r="Q1689" t="b">
        <v>1</v>
      </c>
      <c r="R1689" t="b">
        <v>0</v>
      </c>
      <c r="S1689" t="b">
        <f>NOT(W1696)</f>
        <v>1</v>
      </c>
      <c r="T1689" t="b">
        <f>AND(NOT(S1689),W1689=TRUE)</f>
        <v>0</v>
      </c>
      <c r="W1689" s="17"/>
      <c r="X1689" s="688"/>
      <c r="Y1689" s="891" t="str">
        <f>IF(LEN('Ch9'!X132)=0,"None",'Ch9'!X132)</f>
        <v>None</v>
      </c>
      <c r="Z1689" s="892"/>
      <c r="AC1689" t="b">
        <f>OR(AD1689:AE1689)</f>
        <v>0</v>
      </c>
      <c r="AD1689" t="b">
        <f>T1689</f>
        <v>0</v>
      </c>
      <c r="AE1689" t="b">
        <f>AND(R1689,NOT(W1689))</f>
        <v>0</v>
      </c>
      <c r="AF1689" t="b">
        <f>AND(AE1689,NOT(Q1689))</f>
        <v>0</v>
      </c>
      <c r="AP1689" t="str">
        <f t="shared" si="564"/>
        <v>vch901_9_1_3</v>
      </c>
      <c r="AQ1689">
        <f>W1689</f>
        <v>0</v>
      </c>
      <c r="AR1689" t="str">
        <f t="shared" si="565"/>
        <v>vnt901_9_1_3</v>
      </c>
      <c r="AS1689">
        <f>X1689</f>
        <v>0</v>
      </c>
      <c r="BJ1689" s="573" t="s">
        <v>4670</v>
      </c>
    </row>
    <row r="1690" spans="1:62" x14ac:dyDescent="0.35">
      <c r="A1690" s="403">
        <v>9</v>
      </c>
      <c r="B1690" s="609" t="s">
        <v>3408</v>
      </c>
      <c r="C1690" s="604"/>
      <c r="D1690" s="604"/>
      <c r="E1690" s="604" t="s">
        <v>274</v>
      </c>
      <c r="F1690" s="605"/>
      <c r="G1690" s="403" t="str">
        <f t="shared" si="563"/>
        <v/>
      </c>
      <c r="H1690" s="403" t="s">
        <v>4325</v>
      </c>
      <c r="I1690" s="119"/>
      <c r="J1690" s="119"/>
      <c r="K1690" s="119"/>
      <c r="L1690" s="356" t="s">
        <v>3925</v>
      </c>
      <c r="M1690" s="155"/>
      <c r="N1690" s="155"/>
      <c r="O1690" s="155"/>
      <c r="P1690" s="119"/>
      <c r="Q1690" s="119"/>
      <c r="R1690" s="119"/>
      <c r="S1690" s="119"/>
      <c r="T1690" s="119"/>
      <c r="U1690" s="119"/>
      <c r="V1690" s="119"/>
      <c r="W1690" s="119"/>
      <c r="X1690" s="688"/>
      <c r="Y1690" s="891"/>
      <c r="Z1690" s="892"/>
      <c r="BJ1690" s="573" t="s">
        <v>4670</v>
      </c>
    </row>
    <row r="1691" spans="1:62" x14ac:dyDescent="0.35">
      <c r="A1691" s="403">
        <v>9</v>
      </c>
      <c r="B1691" s="609" t="s">
        <v>3413</v>
      </c>
      <c r="C1691" s="604"/>
      <c r="D1691" s="604"/>
      <c r="E1691" s="604"/>
      <c r="F1691" s="604"/>
      <c r="G1691" s="403" t="str">
        <f>IF(N1691&gt;0,"P","")</f>
        <v/>
      </c>
      <c r="H1691" s="403" t="s">
        <v>4325</v>
      </c>
      <c r="I1691" s="135" t="s">
        <v>3413</v>
      </c>
      <c r="J1691" s="136"/>
      <c r="K1691" s="136"/>
      <c r="L1691" s="753" t="s">
        <v>3414</v>
      </c>
      <c r="M1691" s="712">
        <v>1</v>
      </c>
      <c r="N1691" s="713">
        <f>'Ch9'!O134</f>
        <v>0</v>
      </c>
      <c r="O1691" s="713">
        <f>M1691*S1691*W1691</f>
        <v>0</v>
      </c>
      <c r="P1691" t="b">
        <v>0</v>
      </c>
      <c r="Q1691" t="b">
        <v>1</v>
      </c>
      <c r="R1691" s="138" t="b">
        <v>0</v>
      </c>
      <c r="S1691" s="138" t="b">
        <f>IFERROR(OR(AND(W1686,W1688,W1689),W1696),FALSE)</f>
        <v>0</v>
      </c>
      <c r="T1691" s="138" t="b">
        <f>AND(NOT(S1691),W1691=TRUE)</f>
        <v>0</v>
      </c>
      <c r="U1691" s="138"/>
      <c r="V1691" s="138"/>
      <c r="W1691" s="17"/>
      <c r="X1691" s="688"/>
      <c r="Y1691" s="891" t="str">
        <f>IF(LEN('Ch9'!X134)=0,"None",'Ch9'!X134)</f>
        <v>None</v>
      </c>
      <c r="Z1691" s="892"/>
      <c r="AC1691" t="b">
        <f>OR(AD1691:AE1691)</f>
        <v>0</v>
      </c>
      <c r="AD1691" t="b">
        <f>T1691</f>
        <v>0</v>
      </c>
      <c r="AE1691" t="b">
        <f>AND(R1691,NOT(W1691))</f>
        <v>0</v>
      </c>
      <c r="AF1691" t="b">
        <f>AND(AE1691,NOT(Q1691))</f>
        <v>0</v>
      </c>
      <c r="AL1691" t="str">
        <f t="shared" ref="AL1691" si="566">SUBSTITUTE(SUBSTITUTE(SUBSTITUTE("vpa"&amp;$B1691&amp;$C1691&amp;$D1691&amp;$E1691&amp;$F1691,".","_"),"(","_"),")","")</f>
        <v>vpa901_9_2</v>
      </c>
      <c r="AM1691">
        <f>M1691</f>
        <v>1</v>
      </c>
      <c r="AN1691" t="str">
        <f>SUBSTITUTE(SUBSTITUTE(SUBSTITUTE("vpc"&amp;$B1691&amp;$C1691&amp;$D1691&amp;$E1691&amp;$F1691,".","_"),"(","_"),")","")</f>
        <v>vpc901_9_2</v>
      </c>
      <c r="AO1691">
        <f>O1691</f>
        <v>0</v>
      </c>
      <c r="AP1691" t="str">
        <f>SUBSTITUTE(SUBSTITUTE(SUBSTITUTE("vch"&amp;$B1691&amp;$C1691&amp;$D1691&amp;$E1691&amp;$F1691,".","_"),"(","_"),")","")</f>
        <v>vch901_9_2</v>
      </c>
      <c r="AQ1691">
        <f>W1691</f>
        <v>0</v>
      </c>
      <c r="AR1691" t="str">
        <f>SUBSTITUTE(SUBSTITUTE(SUBSTITUTE("vnt"&amp;$B1691&amp;$C1691&amp;$D1691&amp;$E1691&amp;$F1691,".","_"),"(","_"),")","")</f>
        <v>vnt901_9_2</v>
      </c>
      <c r="AS1691">
        <f>X1691</f>
        <v>0</v>
      </c>
      <c r="BJ1691" s="573" t="s">
        <v>4670</v>
      </c>
    </row>
    <row r="1692" spans="1:62" x14ac:dyDescent="0.35">
      <c r="A1692" s="403">
        <v>9</v>
      </c>
      <c r="B1692" s="609" t="s">
        <v>3413</v>
      </c>
      <c r="C1692" s="604"/>
      <c r="D1692" s="604"/>
      <c r="E1692" s="604"/>
      <c r="F1692" s="604"/>
      <c r="G1692" s="403" t="str">
        <f t="shared" ref="G1692:G1695" si="567">G1691</f>
        <v/>
      </c>
      <c r="H1692" s="403" t="s">
        <v>4325</v>
      </c>
      <c r="I1692" s="108"/>
      <c r="J1692" s="4"/>
      <c r="K1692" s="4"/>
      <c r="L1692" s="706"/>
      <c r="M1692" s="690"/>
      <c r="N1692" s="696"/>
      <c r="O1692" s="696"/>
      <c r="X1692" s="688"/>
      <c r="Y1692" s="891"/>
      <c r="Z1692" s="892"/>
      <c r="BJ1692" s="573" t="s">
        <v>4670</v>
      </c>
    </row>
    <row r="1693" spans="1:62" x14ac:dyDescent="0.35">
      <c r="A1693" s="403">
        <v>9</v>
      </c>
      <c r="B1693" s="609" t="s">
        <v>3413</v>
      </c>
      <c r="C1693" s="604"/>
      <c r="D1693" s="604"/>
      <c r="E1693" s="604"/>
      <c r="F1693" s="604"/>
      <c r="G1693" s="403" t="str">
        <f t="shared" si="567"/>
        <v/>
      </c>
      <c r="H1693" s="403" t="s">
        <v>4325</v>
      </c>
      <c r="I1693" s="108"/>
      <c r="J1693" s="4"/>
      <c r="K1693" s="4"/>
      <c r="L1693" s="791" t="s">
        <v>3415</v>
      </c>
      <c r="M1693" s="690"/>
      <c r="N1693" s="696"/>
      <c r="O1693" s="696"/>
      <c r="X1693" s="688"/>
      <c r="Y1693" s="891"/>
      <c r="Z1693" s="892"/>
      <c r="BJ1693" s="573" t="s">
        <v>4670</v>
      </c>
    </row>
    <row r="1694" spans="1:62" x14ac:dyDescent="0.35">
      <c r="A1694" s="403">
        <v>9</v>
      </c>
      <c r="B1694" s="609" t="s">
        <v>3413</v>
      </c>
      <c r="C1694" s="604"/>
      <c r="D1694" s="604"/>
      <c r="E1694" s="604"/>
      <c r="F1694" s="604"/>
      <c r="G1694" s="403" t="str">
        <f t="shared" si="567"/>
        <v/>
      </c>
      <c r="H1694" s="403" t="s">
        <v>4325</v>
      </c>
      <c r="I1694" s="108"/>
      <c r="J1694" s="4"/>
      <c r="K1694" s="4"/>
      <c r="L1694" s="791"/>
      <c r="M1694" s="690"/>
      <c r="N1694" s="696"/>
      <c r="O1694" s="696"/>
      <c r="X1694" s="688"/>
      <c r="Y1694" s="891"/>
      <c r="Z1694" s="892"/>
      <c r="BJ1694" s="573" t="s">
        <v>4670</v>
      </c>
    </row>
    <row r="1695" spans="1:62" x14ac:dyDescent="0.35">
      <c r="A1695" s="403">
        <v>9</v>
      </c>
      <c r="B1695" s="609" t="s">
        <v>3413</v>
      </c>
      <c r="C1695" s="604"/>
      <c r="D1695" s="604"/>
      <c r="E1695" s="604"/>
      <c r="F1695" s="604"/>
      <c r="G1695" s="403" t="str">
        <f t="shared" si="567"/>
        <v/>
      </c>
      <c r="H1695" s="403" t="s">
        <v>4325</v>
      </c>
      <c r="I1695" s="353"/>
      <c r="J1695" s="155"/>
      <c r="K1695" s="155"/>
      <c r="L1695" s="356" t="s">
        <v>4020</v>
      </c>
      <c r="M1695" s="198"/>
      <c r="N1695" s="342"/>
      <c r="O1695" s="342"/>
      <c r="P1695" s="119"/>
      <c r="Q1695" s="119"/>
      <c r="R1695" s="119"/>
      <c r="S1695" s="119"/>
      <c r="T1695" s="119"/>
      <c r="U1695" s="119"/>
      <c r="V1695" s="119"/>
      <c r="W1695" s="119"/>
      <c r="X1695" s="688"/>
      <c r="Y1695" s="891"/>
      <c r="Z1695" s="892"/>
      <c r="BJ1695" s="573" t="s">
        <v>4670</v>
      </c>
    </row>
    <row r="1696" spans="1:62" x14ac:dyDescent="0.35">
      <c r="A1696" s="403">
        <v>9</v>
      </c>
      <c r="B1696" s="609" t="s">
        <v>3416</v>
      </c>
      <c r="C1696" s="604"/>
      <c r="D1696" s="604"/>
      <c r="E1696" s="604"/>
      <c r="F1696" s="604"/>
      <c r="G1696" s="403" t="str">
        <f>IF(N1696&gt;0,"P","")</f>
        <v/>
      </c>
      <c r="H1696" s="403" t="s">
        <v>4325</v>
      </c>
      <c r="I1696" s="32" t="s">
        <v>3416</v>
      </c>
      <c r="J1696" s="4"/>
      <c r="K1696" s="4"/>
      <c r="L1696" s="706" t="s">
        <v>3417</v>
      </c>
      <c r="M1696" s="690">
        <v>8</v>
      </c>
      <c r="N1696" s="696">
        <f>'Ch9'!O139</f>
        <v>0</v>
      </c>
      <c r="O1696" s="696">
        <f>M1696*S1696*W1696</f>
        <v>0</v>
      </c>
      <c r="P1696" t="b">
        <v>0</v>
      </c>
      <c r="Q1696" t="b">
        <v>1</v>
      </c>
      <c r="R1696" t="b">
        <v>0</v>
      </c>
      <c r="S1696" t="b">
        <f>AND(NOT(W1686),NOT(W1688),NOT(W1689))</f>
        <v>1</v>
      </c>
      <c r="T1696" t="b">
        <f>AND(NOT(S1696),W1696=TRUE)</f>
        <v>0</v>
      </c>
      <c r="W1696" s="17"/>
      <c r="X1696" s="700"/>
      <c r="Y1696" s="891" t="str">
        <f>IF(LEN('Ch9'!X139)=0,"None",'Ch9'!X139)</f>
        <v>None</v>
      </c>
      <c r="Z1696" s="892"/>
      <c r="AC1696" t="b">
        <f>OR(AD1696:AE1696)</f>
        <v>0</v>
      </c>
      <c r="AD1696" t="b">
        <f>T1696</f>
        <v>0</v>
      </c>
      <c r="AE1696" t="b">
        <f>AND(R1696,NOT(W1696))</f>
        <v>0</v>
      </c>
      <c r="AF1696" t="b">
        <f>AND(AE1696,NOT(Q1696))</f>
        <v>0</v>
      </c>
      <c r="AL1696" t="str">
        <f t="shared" ref="AL1696" si="568">SUBSTITUTE(SUBSTITUTE(SUBSTITUTE("vpa"&amp;$B1696&amp;$C1696&amp;$D1696&amp;$E1696&amp;$F1696,".","_"),"(","_"),")","")</f>
        <v>vpa901_9_3</v>
      </c>
      <c r="AM1696">
        <f>M1696</f>
        <v>8</v>
      </c>
      <c r="AN1696" t="str">
        <f>SUBSTITUTE(SUBSTITUTE(SUBSTITUTE("vpc"&amp;$B1696&amp;$C1696&amp;$D1696&amp;$E1696&amp;$F1696,".","_"),"(","_"),")","")</f>
        <v>vpc901_9_3</v>
      </c>
      <c r="AO1696">
        <f>O1696</f>
        <v>0</v>
      </c>
      <c r="AP1696" t="str">
        <f>SUBSTITUTE(SUBSTITUTE(SUBSTITUTE("vch"&amp;$B1696&amp;$C1696&amp;$D1696&amp;$E1696&amp;$F1696,".","_"),"(","_"),")","")</f>
        <v>vch901_9_3</v>
      </c>
      <c r="AQ1696">
        <f>W1696</f>
        <v>0</v>
      </c>
      <c r="AR1696" t="str">
        <f>SUBSTITUTE(SUBSTITUTE(SUBSTITUTE("vnt"&amp;$B1696&amp;$C1696&amp;$D1696&amp;$E1696&amp;$F1696,".","_"),"(","_"),")","")</f>
        <v>vnt901_9_3</v>
      </c>
      <c r="AS1696">
        <f>X1696</f>
        <v>0</v>
      </c>
      <c r="BJ1696" s="573" t="s">
        <v>4670</v>
      </c>
    </row>
    <row r="1697" spans="1:62" x14ac:dyDescent="0.35">
      <c r="A1697" s="403">
        <v>9</v>
      </c>
      <c r="B1697" s="609" t="s">
        <v>3416</v>
      </c>
      <c r="C1697" s="604"/>
      <c r="D1697" s="604"/>
      <c r="E1697" s="604"/>
      <c r="F1697" s="604"/>
      <c r="G1697" s="403" t="str">
        <f t="shared" ref="G1697:G1701" si="569">G1696</f>
        <v/>
      </c>
      <c r="H1697" s="403" t="s">
        <v>4325</v>
      </c>
      <c r="I1697" s="108"/>
      <c r="J1697" s="4"/>
      <c r="K1697" s="4"/>
      <c r="L1697" s="706"/>
      <c r="M1697" s="690"/>
      <c r="N1697" s="696"/>
      <c r="O1697" s="696"/>
      <c r="X1697" s="688"/>
      <c r="Y1697" s="891"/>
      <c r="Z1697" s="892"/>
      <c r="BJ1697" s="573" t="s">
        <v>4670</v>
      </c>
    </row>
    <row r="1698" spans="1:62" x14ac:dyDescent="0.35">
      <c r="A1698" s="403">
        <v>9</v>
      </c>
      <c r="B1698" s="609" t="s">
        <v>3416</v>
      </c>
      <c r="C1698" s="604"/>
      <c r="D1698" s="604"/>
      <c r="E1698" s="604"/>
      <c r="F1698" s="604"/>
      <c r="G1698" s="403" t="str">
        <f t="shared" si="569"/>
        <v/>
      </c>
      <c r="H1698" s="403" t="s">
        <v>4325</v>
      </c>
      <c r="I1698" s="108"/>
      <c r="J1698" s="4"/>
      <c r="K1698" s="4"/>
      <c r="L1698" s="706"/>
      <c r="M1698" s="690"/>
      <c r="N1698" s="696"/>
      <c r="O1698" s="696"/>
      <c r="X1698" s="688"/>
      <c r="Y1698" s="891"/>
      <c r="Z1698" s="892"/>
      <c r="BJ1698" s="573" t="s">
        <v>4670</v>
      </c>
    </row>
    <row r="1699" spans="1:62" x14ac:dyDescent="0.35">
      <c r="A1699" s="403">
        <v>9</v>
      </c>
      <c r="B1699" s="609" t="s">
        <v>3416</v>
      </c>
      <c r="C1699" s="604"/>
      <c r="D1699" s="604"/>
      <c r="E1699" s="604"/>
      <c r="F1699" s="604"/>
      <c r="G1699" s="403" t="str">
        <f t="shared" si="569"/>
        <v/>
      </c>
      <c r="H1699" s="403" t="s">
        <v>4325</v>
      </c>
      <c r="I1699" s="108"/>
      <c r="J1699" s="4"/>
      <c r="K1699" s="4"/>
      <c r="L1699" s="706"/>
      <c r="M1699" s="690"/>
      <c r="N1699" s="696"/>
      <c r="O1699" s="696"/>
      <c r="X1699" s="688"/>
      <c r="Y1699" s="891"/>
      <c r="Z1699" s="892"/>
      <c r="BJ1699" s="573" t="s">
        <v>4670</v>
      </c>
    </row>
    <row r="1700" spans="1:62" x14ac:dyDescent="0.35">
      <c r="A1700" s="403">
        <v>9</v>
      </c>
      <c r="B1700" s="609" t="s">
        <v>3416</v>
      </c>
      <c r="C1700" s="604"/>
      <c r="D1700" s="604"/>
      <c r="E1700" s="604"/>
      <c r="F1700" s="604"/>
      <c r="G1700" s="403" t="str">
        <f t="shared" si="569"/>
        <v/>
      </c>
      <c r="H1700" s="403" t="s">
        <v>4325</v>
      </c>
      <c r="I1700" s="108"/>
      <c r="J1700" s="4"/>
      <c r="K1700" s="4"/>
      <c r="L1700" s="706"/>
      <c r="M1700" s="690"/>
      <c r="N1700" s="696"/>
      <c r="O1700" s="696"/>
      <c r="X1700" s="688"/>
      <c r="Y1700" s="891"/>
      <c r="Z1700" s="892"/>
      <c r="BJ1700" s="573" t="s">
        <v>4670</v>
      </c>
    </row>
    <row r="1701" spans="1:62" ht="15" thickBot="1" x14ac:dyDescent="0.4">
      <c r="A1701" s="403">
        <v>9</v>
      </c>
      <c r="B1701" s="609" t="s">
        <v>3416</v>
      </c>
      <c r="C1701" s="604"/>
      <c r="D1701" s="604"/>
      <c r="E1701" s="604"/>
      <c r="F1701" s="604"/>
      <c r="G1701" s="403" t="str">
        <f t="shared" si="569"/>
        <v/>
      </c>
      <c r="H1701" s="403" t="s">
        <v>4325</v>
      </c>
      <c r="I1701" s="328"/>
      <c r="J1701" s="183"/>
      <c r="K1701" s="183"/>
      <c r="L1701" s="710"/>
      <c r="M1701" s="693"/>
      <c r="N1701" s="695"/>
      <c r="O1701" s="695"/>
      <c r="P1701" s="58"/>
      <c r="Q1701" s="58"/>
      <c r="R1701" s="58"/>
      <c r="S1701" s="58"/>
      <c r="T1701" s="58"/>
      <c r="U1701" s="58"/>
      <c r="V1701" s="58"/>
      <c r="W1701" s="58"/>
      <c r="X1701" s="689"/>
      <c r="Y1701" s="905"/>
      <c r="Z1701" s="895"/>
      <c r="BJ1701" s="573" t="s">
        <v>4670</v>
      </c>
    </row>
    <row r="1702" spans="1:62" ht="15" thickTop="1" x14ac:dyDescent="0.35">
      <c r="A1702" s="403">
        <v>9</v>
      </c>
      <c r="B1702" s="618" t="s">
        <v>4322</v>
      </c>
      <c r="C1702" s="604"/>
      <c r="D1702" s="604"/>
      <c r="E1702" s="604"/>
      <c r="F1702" s="604"/>
      <c r="G1702" s="403" t="str">
        <f>IF(N1702&gt;0,"P","")</f>
        <v/>
      </c>
      <c r="H1702" s="403" t="s">
        <v>4325</v>
      </c>
      <c r="I1702" s="167">
        <v>901.1</v>
      </c>
      <c r="J1702" s="4"/>
      <c r="K1702" s="4"/>
      <c r="L1702" s="706" t="s">
        <v>3418</v>
      </c>
      <c r="M1702" s="43"/>
      <c r="N1702" s="696">
        <f>'Ch9'!O145</f>
        <v>0</v>
      </c>
      <c r="O1702" s="696">
        <f>IF(W1711=TRUE,5,IF(W1710=TRUE,5,IF(W1705=TRUE,8,0)))*S1705</f>
        <v>0</v>
      </c>
      <c r="Z1702" s="543"/>
      <c r="AN1702" t="str">
        <f>SUBSTITUTE(SUBSTITUTE(SUBSTITUTE("vpc"&amp;$B1702&amp;$C1702&amp;$D1702&amp;$E1702&amp;$F1702,".","_"),"(","_"),")","")</f>
        <v>vpc901_10</v>
      </c>
      <c r="AO1702">
        <f>O1702</f>
        <v>0</v>
      </c>
      <c r="BJ1702" s="573" t="s">
        <v>4670</v>
      </c>
    </row>
    <row r="1703" spans="1:62" x14ac:dyDescent="0.35">
      <c r="A1703" s="403">
        <v>9</v>
      </c>
      <c r="B1703" s="618" t="s">
        <v>4322</v>
      </c>
      <c r="C1703" s="604"/>
      <c r="D1703" s="604"/>
      <c r="E1703" s="604"/>
      <c r="F1703" s="604"/>
      <c r="G1703" s="403" t="str">
        <f t="shared" ref="G1703:G1714" si="570">G1702</f>
        <v/>
      </c>
      <c r="H1703" s="403" t="s">
        <v>4325</v>
      </c>
      <c r="I1703" s="108"/>
      <c r="J1703" s="4"/>
      <c r="K1703" s="4"/>
      <c r="L1703" s="706"/>
      <c r="M1703" s="43"/>
      <c r="N1703" s="696"/>
      <c r="O1703" s="696"/>
      <c r="Z1703" s="543"/>
      <c r="BJ1703" s="573" t="s">
        <v>4670</v>
      </c>
    </row>
    <row r="1704" spans="1:62" x14ac:dyDescent="0.35">
      <c r="A1704" s="403">
        <v>9</v>
      </c>
      <c r="B1704" s="618" t="s">
        <v>4322</v>
      </c>
      <c r="C1704" s="604"/>
      <c r="D1704" s="604"/>
      <c r="E1704" s="604"/>
      <c r="F1704" s="604"/>
      <c r="G1704" s="403" t="str">
        <f t="shared" si="570"/>
        <v/>
      </c>
      <c r="H1704" s="403" t="s">
        <v>4325</v>
      </c>
      <c r="I1704" s="108"/>
      <c r="J1704" s="4"/>
      <c r="K1704" s="4"/>
      <c r="L1704" s="706"/>
      <c r="M1704" s="43"/>
      <c r="N1704" s="696"/>
      <c r="O1704" s="696"/>
      <c r="Z1704" s="543"/>
      <c r="BJ1704" s="573" t="s">
        <v>4670</v>
      </c>
    </row>
    <row r="1705" spans="1:62" x14ac:dyDescent="0.35">
      <c r="A1705" s="403">
        <v>9</v>
      </c>
      <c r="B1705" s="618" t="s">
        <v>4322</v>
      </c>
      <c r="C1705" s="604"/>
      <c r="D1705" s="604"/>
      <c r="E1705" s="604" t="s">
        <v>270</v>
      </c>
      <c r="F1705" s="604"/>
      <c r="G1705" s="403" t="str">
        <f t="shared" si="570"/>
        <v/>
      </c>
      <c r="H1705" s="403" t="s">
        <v>4325</v>
      </c>
      <c r="I1705" s="108"/>
      <c r="J1705" s="19" t="s">
        <v>270</v>
      </c>
      <c r="K1705" s="4"/>
      <c r="L1705" s="707" t="s">
        <v>3419</v>
      </c>
      <c r="M1705" s="690">
        <v>8</v>
      </c>
      <c r="N1705" s="85"/>
      <c r="O1705" s="85"/>
      <c r="P1705" t="b">
        <v>0</v>
      </c>
      <c r="Q1705" t="b">
        <v>1</v>
      </c>
      <c r="R1705" t="b">
        <v>0</v>
      </c>
      <c r="S1705" t="b">
        <v>1</v>
      </c>
      <c r="T1705" t="b">
        <v>0</v>
      </c>
      <c r="W1705" s="17"/>
      <c r="X1705" s="688"/>
      <c r="Y1705" s="891" t="str">
        <f>IF(LEN('Ch9'!X148)=0,"None",'Ch9'!X148)</f>
        <v>None</v>
      </c>
      <c r="Z1705" s="892"/>
      <c r="AC1705" t="b">
        <f>OR(AD1705:AE1705)</f>
        <v>0</v>
      </c>
      <c r="AD1705" t="b">
        <f>T1705</f>
        <v>0</v>
      </c>
      <c r="AE1705" t="b">
        <f>AND(R1705,NOT(W1705))</f>
        <v>0</v>
      </c>
      <c r="AF1705" t="b">
        <f>AND(AE1705,NOT(Q1705))</f>
        <v>0</v>
      </c>
      <c r="AL1705" t="str">
        <f t="shared" ref="AL1705" si="571">SUBSTITUTE(SUBSTITUTE(SUBSTITUTE("vpa"&amp;$B1705&amp;$C1705&amp;$D1705&amp;$E1705&amp;$F1705,".","_"),"(","_"),")","")</f>
        <v>vpa901_10_1</v>
      </c>
      <c r="AM1705">
        <f>M1705</f>
        <v>8</v>
      </c>
      <c r="AP1705" t="str">
        <f>SUBSTITUTE(SUBSTITUTE(SUBSTITUTE("vch"&amp;$B1705&amp;$C1705&amp;$D1705&amp;$E1705&amp;$F1705,".","_"),"(","_"),")","")</f>
        <v>vch901_10_1</v>
      </c>
      <c r="AQ1705">
        <f>W1705</f>
        <v>0</v>
      </c>
      <c r="AR1705" t="str">
        <f>SUBSTITUTE(SUBSTITUTE(SUBSTITUTE("vnt"&amp;$B1705&amp;$C1705&amp;$D1705&amp;$E1705&amp;$F1705,".","_"),"(","_"),")","")</f>
        <v>vnt901_10_1</v>
      </c>
      <c r="AS1705">
        <f>X1705</f>
        <v>0</v>
      </c>
      <c r="BJ1705" s="573" t="s">
        <v>4670</v>
      </c>
    </row>
    <row r="1706" spans="1:62" x14ac:dyDescent="0.35">
      <c r="A1706" s="403">
        <v>9</v>
      </c>
      <c r="B1706" s="618" t="s">
        <v>4322</v>
      </c>
      <c r="C1706" s="604"/>
      <c r="D1706" s="604"/>
      <c r="E1706" s="604" t="s">
        <v>270</v>
      </c>
      <c r="F1706" s="604"/>
      <c r="G1706" s="403" t="str">
        <f t="shared" si="570"/>
        <v/>
      </c>
      <c r="H1706" s="403" t="s">
        <v>4325</v>
      </c>
      <c r="I1706" s="108"/>
      <c r="J1706" s="4"/>
      <c r="K1706" s="4"/>
      <c r="L1706" s="707"/>
      <c r="M1706" s="690"/>
      <c r="N1706" s="85"/>
      <c r="O1706" s="85"/>
      <c r="X1706" s="688"/>
      <c r="Y1706" s="891"/>
      <c r="Z1706" s="892"/>
      <c r="BJ1706" s="573" t="s">
        <v>4670</v>
      </c>
    </row>
    <row r="1707" spans="1:62" x14ac:dyDescent="0.35">
      <c r="A1707" s="403">
        <v>9</v>
      </c>
      <c r="B1707" s="618" t="s">
        <v>4322</v>
      </c>
      <c r="C1707" s="604"/>
      <c r="D1707" s="604"/>
      <c r="E1707" s="604" t="s">
        <v>270</v>
      </c>
      <c r="F1707" s="604"/>
      <c r="G1707" s="403" t="str">
        <f t="shared" si="570"/>
        <v/>
      </c>
      <c r="H1707" s="403" t="s">
        <v>4325</v>
      </c>
      <c r="I1707" s="108"/>
      <c r="J1707" s="4"/>
      <c r="K1707" s="4"/>
      <c r="L1707" s="707"/>
      <c r="M1707" s="690"/>
      <c r="N1707" s="85"/>
      <c r="O1707" s="85"/>
      <c r="X1707" s="688"/>
      <c r="Y1707" s="891"/>
      <c r="Z1707" s="892"/>
      <c r="BJ1707" s="573" t="s">
        <v>4670</v>
      </c>
    </row>
    <row r="1708" spans="1:62" x14ac:dyDescent="0.35">
      <c r="A1708" s="403">
        <v>9</v>
      </c>
      <c r="B1708" s="618" t="s">
        <v>4322</v>
      </c>
      <c r="C1708" s="604"/>
      <c r="D1708" s="604"/>
      <c r="E1708" s="604" t="s">
        <v>270</v>
      </c>
      <c r="F1708" s="604"/>
      <c r="G1708" s="403" t="str">
        <f t="shared" si="570"/>
        <v/>
      </c>
      <c r="H1708" s="403" t="s">
        <v>4325</v>
      </c>
      <c r="I1708" s="108"/>
      <c r="J1708" s="4"/>
      <c r="K1708" s="4"/>
      <c r="L1708" s="707"/>
      <c r="M1708" s="690"/>
      <c r="N1708" s="85"/>
      <c r="O1708" s="85"/>
      <c r="X1708" s="688"/>
      <c r="Y1708" s="891"/>
      <c r="Z1708" s="892"/>
      <c r="BJ1708" s="573" t="s">
        <v>4670</v>
      </c>
    </row>
    <row r="1709" spans="1:62" x14ac:dyDescent="0.35">
      <c r="A1709" s="403">
        <v>9</v>
      </c>
      <c r="B1709" s="618" t="s">
        <v>4322</v>
      </c>
      <c r="C1709" s="604"/>
      <c r="D1709" s="604"/>
      <c r="E1709" s="604" t="s">
        <v>270</v>
      </c>
      <c r="F1709" s="604"/>
      <c r="G1709" s="403" t="str">
        <f t="shared" si="570"/>
        <v/>
      </c>
      <c r="H1709" s="403" t="s">
        <v>4325</v>
      </c>
      <c r="I1709" s="108"/>
      <c r="J1709" s="155"/>
      <c r="K1709" s="155"/>
      <c r="L1709" s="709"/>
      <c r="M1709" s="691"/>
      <c r="N1709" s="85"/>
      <c r="O1709" s="85"/>
      <c r="X1709" s="688"/>
      <c r="Y1709" s="891"/>
      <c r="Z1709" s="892"/>
      <c r="BJ1709" s="573" t="s">
        <v>4670</v>
      </c>
    </row>
    <row r="1710" spans="1:62" x14ac:dyDescent="0.35">
      <c r="A1710" s="403">
        <v>9</v>
      </c>
      <c r="B1710" s="618" t="s">
        <v>4322</v>
      </c>
      <c r="C1710" s="604"/>
      <c r="D1710" s="604"/>
      <c r="E1710" s="604" t="s">
        <v>272</v>
      </c>
      <c r="F1710" s="604"/>
      <c r="G1710" s="403" t="str">
        <f t="shared" si="570"/>
        <v/>
      </c>
      <c r="H1710" s="403" t="s">
        <v>4325</v>
      </c>
      <c r="I1710" s="108"/>
      <c r="J1710" s="148" t="s">
        <v>272</v>
      </c>
      <c r="K1710" s="155"/>
      <c r="L1710" s="214" t="s">
        <v>3420</v>
      </c>
      <c r="M1710" s="198">
        <v>5</v>
      </c>
      <c r="N1710" s="85"/>
      <c r="O1710" s="85"/>
      <c r="P1710" t="b">
        <v>0</v>
      </c>
      <c r="Q1710" t="b">
        <v>1</v>
      </c>
      <c r="R1710" t="b">
        <v>0</v>
      </c>
      <c r="S1710" t="b">
        <v>1</v>
      </c>
      <c r="T1710" t="b">
        <v>0</v>
      </c>
      <c r="W1710" s="17"/>
      <c r="X1710" s="39"/>
      <c r="Y1710" s="200" t="str">
        <f>IF(LEN('Ch9'!X153)=0,"None",'Ch9'!X153)</f>
        <v>None</v>
      </c>
      <c r="Z1710" s="563"/>
      <c r="AC1710" t="b">
        <f>OR(AD1710:AE1710)</f>
        <v>0</v>
      </c>
      <c r="AD1710" t="b">
        <f>T1710</f>
        <v>0</v>
      </c>
      <c r="AE1710" t="b">
        <f>AND(R1710,NOT(W1710))</f>
        <v>0</v>
      </c>
      <c r="AF1710" t="b">
        <f>AND(AE1710,NOT(Q1710))</f>
        <v>0</v>
      </c>
      <c r="AL1710" t="str">
        <f t="shared" ref="AL1710:AL1711" si="572">SUBSTITUTE(SUBSTITUTE(SUBSTITUTE("vpa"&amp;$B1710&amp;$C1710&amp;$D1710&amp;$E1710&amp;$F1710,".","_"),"(","_"),")","")</f>
        <v>vpa901_10_2</v>
      </c>
      <c r="AM1710">
        <f>M1710</f>
        <v>5</v>
      </c>
      <c r="AP1710" t="str">
        <f t="shared" ref="AP1710:AP1711" si="573">SUBSTITUTE(SUBSTITUTE(SUBSTITUTE("vch"&amp;$B1710&amp;$C1710&amp;$D1710&amp;$E1710&amp;$F1710,".","_"),"(","_"),")","")</f>
        <v>vch901_10_2</v>
      </c>
      <c r="AQ1710">
        <f>W1710</f>
        <v>0</v>
      </c>
      <c r="AR1710" t="str">
        <f t="shared" ref="AR1710:AR1711" si="574">SUBSTITUTE(SUBSTITUTE(SUBSTITUTE("vnt"&amp;$B1710&amp;$C1710&amp;$D1710&amp;$E1710&amp;$F1710,".","_"),"(","_"),")","")</f>
        <v>vnt901_10_2</v>
      </c>
      <c r="AS1710">
        <f>X1710</f>
        <v>0</v>
      </c>
      <c r="BJ1710" s="573" t="s">
        <v>4670</v>
      </c>
    </row>
    <row r="1711" spans="1:62" x14ac:dyDescent="0.35">
      <c r="A1711" s="403">
        <v>9</v>
      </c>
      <c r="B1711" s="618" t="s">
        <v>4322</v>
      </c>
      <c r="C1711" s="604"/>
      <c r="D1711" s="604"/>
      <c r="E1711" s="604" t="s">
        <v>274</v>
      </c>
      <c r="F1711" s="604"/>
      <c r="G1711" s="403" t="str">
        <f t="shared" si="570"/>
        <v/>
      </c>
      <c r="H1711" s="403" t="s">
        <v>4325</v>
      </c>
      <c r="I1711" s="108"/>
      <c r="J1711" s="19" t="s">
        <v>274</v>
      </c>
      <c r="K1711" s="4"/>
      <c r="L1711" s="707" t="s">
        <v>3421</v>
      </c>
      <c r="M1711" s="690">
        <v>5</v>
      </c>
      <c r="N1711" s="85"/>
      <c r="O1711" s="85"/>
      <c r="P1711" t="b">
        <v>0</v>
      </c>
      <c r="Q1711" t="b">
        <v>1</v>
      </c>
      <c r="R1711" t="b">
        <v>0</v>
      </c>
      <c r="S1711" t="b">
        <v>1</v>
      </c>
      <c r="T1711" t="b">
        <v>0</v>
      </c>
      <c r="W1711" s="17"/>
      <c r="X1711" s="688"/>
      <c r="Y1711" s="891" t="str">
        <f>IF(LEN('Ch9'!X154)=0,"None",'Ch9'!X154)</f>
        <v>None</v>
      </c>
      <c r="Z1711" s="892"/>
      <c r="AC1711" t="b">
        <f>OR(AD1711:AE1711)</f>
        <v>0</v>
      </c>
      <c r="AD1711" t="b">
        <f>T1711</f>
        <v>0</v>
      </c>
      <c r="AE1711" t="b">
        <f>AND(R1711,NOT(W1711))</f>
        <v>0</v>
      </c>
      <c r="AF1711" t="b">
        <f>AND(AE1711,NOT(Q1711))</f>
        <v>0</v>
      </c>
      <c r="AL1711" t="str">
        <f t="shared" si="572"/>
        <v>vpa901_10_3</v>
      </c>
      <c r="AM1711">
        <f>M1711</f>
        <v>5</v>
      </c>
      <c r="AP1711" t="str">
        <f t="shared" si="573"/>
        <v>vch901_10_3</v>
      </c>
      <c r="AQ1711">
        <f>W1711</f>
        <v>0</v>
      </c>
      <c r="AR1711" t="str">
        <f t="shared" si="574"/>
        <v>vnt901_10_3</v>
      </c>
      <c r="AS1711">
        <f>X1711</f>
        <v>0</v>
      </c>
      <c r="BJ1711" s="573" t="s">
        <v>4670</v>
      </c>
    </row>
    <row r="1712" spans="1:62" x14ac:dyDescent="0.35">
      <c r="A1712" s="403">
        <v>9</v>
      </c>
      <c r="B1712" s="618" t="s">
        <v>4322</v>
      </c>
      <c r="C1712" s="604"/>
      <c r="D1712" s="604"/>
      <c r="E1712" s="604" t="s">
        <v>274</v>
      </c>
      <c r="F1712" s="604"/>
      <c r="G1712" s="403" t="str">
        <f t="shared" si="570"/>
        <v/>
      </c>
      <c r="H1712" s="403" t="s">
        <v>4325</v>
      </c>
      <c r="I1712" s="108"/>
      <c r="J1712" s="4"/>
      <c r="K1712" s="4"/>
      <c r="L1712" s="707"/>
      <c r="M1712" s="690"/>
      <c r="N1712" s="85"/>
      <c r="O1712" s="85"/>
      <c r="X1712" s="688"/>
      <c r="Y1712" s="891"/>
      <c r="Z1712" s="892"/>
      <c r="BJ1712" s="573" t="s">
        <v>4670</v>
      </c>
    </row>
    <row r="1713" spans="1:62" x14ac:dyDescent="0.35">
      <c r="A1713" s="403">
        <v>9</v>
      </c>
      <c r="B1713" s="618" t="s">
        <v>4322</v>
      </c>
      <c r="C1713" s="604"/>
      <c r="D1713" s="604"/>
      <c r="E1713" s="604" t="s">
        <v>274</v>
      </c>
      <c r="F1713" s="604"/>
      <c r="G1713" s="403" t="str">
        <f t="shared" si="570"/>
        <v/>
      </c>
      <c r="H1713" s="403" t="s">
        <v>4325</v>
      </c>
      <c r="I1713" s="108"/>
      <c r="J1713" s="4"/>
      <c r="K1713" s="4"/>
      <c r="L1713" s="707"/>
      <c r="M1713" s="690"/>
      <c r="N1713" s="85"/>
      <c r="O1713" s="85"/>
      <c r="X1713" s="688"/>
      <c r="Y1713" s="891"/>
      <c r="Z1713" s="892"/>
      <c r="BJ1713" s="573" t="s">
        <v>4670</v>
      </c>
    </row>
    <row r="1714" spans="1:62" ht="15" thickBot="1" x14ac:dyDescent="0.4">
      <c r="A1714" s="403">
        <v>9</v>
      </c>
      <c r="B1714" s="618" t="s">
        <v>4322</v>
      </c>
      <c r="C1714" s="604"/>
      <c r="D1714" s="604"/>
      <c r="E1714" s="604" t="s">
        <v>274</v>
      </c>
      <c r="F1714" s="604"/>
      <c r="G1714" s="403" t="str">
        <f t="shared" si="570"/>
        <v/>
      </c>
      <c r="H1714" s="403" t="s">
        <v>4325</v>
      </c>
      <c r="I1714" s="328"/>
      <c r="J1714" s="183"/>
      <c r="K1714" s="183"/>
      <c r="L1714" s="329" t="s">
        <v>4021</v>
      </c>
      <c r="M1714" s="270"/>
      <c r="N1714" s="184"/>
      <c r="O1714" s="184"/>
      <c r="P1714" s="58"/>
      <c r="Q1714" s="58"/>
      <c r="R1714" s="58"/>
      <c r="S1714" s="58"/>
      <c r="T1714" s="58"/>
      <c r="U1714" s="58"/>
      <c r="V1714" s="58"/>
      <c r="W1714" s="58"/>
      <c r="X1714" s="689"/>
      <c r="Y1714" s="905"/>
      <c r="Z1714" s="895"/>
      <c r="BJ1714" s="573" t="s">
        <v>4670</v>
      </c>
    </row>
    <row r="1715" spans="1:62" ht="15" thickTop="1" x14ac:dyDescent="0.35">
      <c r="A1715" s="403">
        <v>9</v>
      </c>
      <c r="B1715" s="609">
        <v>901.11</v>
      </c>
      <c r="C1715" s="604"/>
      <c r="D1715" s="604"/>
      <c r="E1715" s="604"/>
      <c r="F1715" s="604"/>
      <c r="G1715" s="403" t="str">
        <f>IF(N1715&gt;0,"P","")</f>
        <v>P</v>
      </c>
      <c r="H1715" s="403" t="s">
        <v>4323</v>
      </c>
      <c r="I1715" s="123">
        <v>901.11</v>
      </c>
      <c r="J1715" s="124"/>
      <c r="K1715" s="124"/>
      <c r="L1715" s="711" t="s">
        <v>3422</v>
      </c>
      <c r="M1715" s="692">
        <v>4</v>
      </c>
      <c r="N1715" s="694">
        <f>'Ch9'!O158</f>
        <v>4</v>
      </c>
      <c r="O1715" s="694">
        <f>M1715*S1715*W1715</f>
        <v>0</v>
      </c>
      <c r="P1715" t="b">
        <v>1</v>
      </c>
      <c r="Q1715" t="b">
        <v>1</v>
      </c>
      <c r="R1715" s="62" t="b">
        <v>0</v>
      </c>
      <c r="S1715" s="62" t="b">
        <v>1</v>
      </c>
      <c r="T1715" s="62" t="b">
        <v>0</v>
      </c>
      <c r="U1715" s="62"/>
      <c r="V1715" s="62"/>
      <c r="W1715" s="17"/>
      <c r="X1715" s="687"/>
      <c r="Y1715" s="904" t="str">
        <f>IF(LEN('Ch9'!X158)=0,"None",'Ch9'!X158)</f>
        <v>CertainTeed Sustainable Insulation™ Batt &amp; Roll Insulation</v>
      </c>
      <c r="Z1715" s="896"/>
      <c r="AC1715" t="b">
        <f>OR(AD1715:AE1715)</f>
        <v>0</v>
      </c>
      <c r="AD1715" t="b">
        <f>T1715</f>
        <v>0</v>
      </c>
      <c r="AE1715" t="b">
        <f>AND(R1715,NOT(W1715))</f>
        <v>0</v>
      </c>
      <c r="AF1715" t="b">
        <f>AND(AE1715,NOT(Q1715))</f>
        <v>0</v>
      </c>
      <c r="AL1715" t="str">
        <f t="shared" ref="AL1715" si="575">SUBSTITUTE(SUBSTITUTE(SUBSTITUTE("vpa"&amp;$B1715&amp;$C1715&amp;$D1715&amp;$E1715&amp;$F1715,".","_"),"(","_"),")","")</f>
        <v>vpa901_11</v>
      </c>
      <c r="AM1715">
        <f>M1715</f>
        <v>4</v>
      </c>
      <c r="AN1715" t="str">
        <f>SUBSTITUTE(SUBSTITUTE(SUBSTITUTE("vpc"&amp;$B1715&amp;$C1715&amp;$D1715&amp;$E1715&amp;$F1715,".","_"),"(","_"),")","")</f>
        <v>vpc901_11</v>
      </c>
      <c r="AO1715">
        <f>O1715</f>
        <v>0</v>
      </c>
      <c r="AP1715" t="str">
        <f>SUBSTITUTE(SUBSTITUTE(SUBSTITUTE("vch"&amp;$B1715&amp;$C1715&amp;$D1715&amp;$E1715&amp;$F1715,".","_"),"(","_"),")","")</f>
        <v>vch901_11</v>
      </c>
      <c r="AQ1715">
        <f>W1715</f>
        <v>0</v>
      </c>
      <c r="AR1715" t="str">
        <f>SUBSTITUTE(SUBSTITUTE(SUBSTITUTE("vnt"&amp;$B1715&amp;$C1715&amp;$D1715&amp;$E1715&amp;$F1715,".","_"),"(","_"),")","")</f>
        <v>vnt901_11</v>
      </c>
      <c r="AS1715">
        <f>X1715</f>
        <v>0</v>
      </c>
      <c r="BJ1715" s="573" t="s">
        <v>4670</v>
      </c>
    </row>
    <row r="1716" spans="1:62" x14ac:dyDescent="0.35">
      <c r="A1716" s="403">
        <v>9</v>
      </c>
      <c r="B1716" s="609">
        <v>901.11</v>
      </c>
      <c r="C1716" s="604"/>
      <c r="D1716" s="604"/>
      <c r="E1716" s="604"/>
      <c r="F1716" s="604"/>
      <c r="G1716" s="403" t="str">
        <f t="shared" ref="G1716:G1719" si="576">G1715</f>
        <v>P</v>
      </c>
      <c r="H1716" s="403" t="s">
        <v>4323</v>
      </c>
      <c r="I1716" s="108"/>
      <c r="J1716" s="4"/>
      <c r="K1716" s="4"/>
      <c r="L1716" s="706"/>
      <c r="M1716" s="690"/>
      <c r="N1716" s="696"/>
      <c r="O1716" s="696"/>
      <c r="X1716" s="688"/>
      <c r="Y1716" s="891"/>
      <c r="Z1716" s="892"/>
      <c r="BJ1716" s="573" t="s">
        <v>4670</v>
      </c>
    </row>
    <row r="1717" spans="1:62" x14ac:dyDescent="0.35">
      <c r="A1717" s="403">
        <v>9</v>
      </c>
      <c r="B1717" s="609">
        <v>901.11</v>
      </c>
      <c r="C1717" s="604"/>
      <c r="D1717" s="604"/>
      <c r="E1717" s="604"/>
      <c r="F1717" s="604"/>
      <c r="G1717" s="403" t="str">
        <f t="shared" si="576"/>
        <v>P</v>
      </c>
      <c r="H1717" s="403" t="s">
        <v>4323</v>
      </c>
      <c r="I1717" s="108"/>
      <c r="J1717" s="4"/>
      <c r="K1717" s="4"/>
      <c r="L1717" s="706"/>
      <c r="M1717" s="690"/>
      <c r="N1717" s="696"/>
      <c r="O1717" s="696"/>
      <c r="X1717" s="688"/>
      <c r="Y1717" s="891"/>
      <c r="Z1717" s="892"/>
      <c r="BJ1717" s="573" t="s">
        <v>4670</v>
      </c>
    </row>
    <row r="1718" spans="1:62" x14ac:dyDescent="0.35">
      <c r="A1718" s="403">
        <v>9</v>
      </c>
      <c r="B1718" s="609">
        <v>901.11</v>
      </c>
      <c r="C1718" s="604"/>
      <c r="D1718" s="604"/>
      <c r="E1718" s="604"/>
      <c r="F1718" s="604"/>
      <c r="G1718" s="403" t="str">
        <f t="shared" si="576"/>
        <v>P</v>
      </c>
      <c r="H1718" s="403" t="s">
        <v>4323</v>
      </c>
      <c r="I1718" s="108"/>
      <c r="J1718" s="4"/>
      <c r="K1718" s="4"/>
      <c r="L1718" s="706"/>
      <c r="M1718" s="690"/>
      <c r="N1718" s="696"/>
      <c r="O1718" s="696"/>
      <c r="X1718" s="688"/>
      <c r="Y1718" s="891"/>
      <c r="Z1718" s="892"/>
      <c r="BJ1718" s="573" t="s">
        <v>4670</v>
      </c>
    </row>
    <row r="1719" spans="1:62" ht="15" thickBot="1" x14ac:dyDescent="0.4">
      <c r="A1719" s="403">
        <v>9</v>
      </c>
      <c r="B1719" s="609">
        <v>901.11</v>
      </c>
      <c r="C1719" s="604"/>
      <c r="D1719" s="604"/>
      <c r="E1719" s="604"/>
      <c r="F1719" s="604"/>
      <c r="G1719" s="403" t="str">
        <f t="shared" si="576"/>
        <v>P</v>
      </c>
      <c r="H1719" s="403" t="s">
        <v>4323</v>
      </c>
      <c r="I1719" s="328"/>
      <c r="J1719" s="183"/>
      <c r="K1719" s="183"/>
      <c r="L1719" s="710"/>
      <c r="M1719" s="693"/>
      <c r="N1719" s="695"/>
      <c r="O1719" s="695"/>
      <c r="P1719" s="58"/>
      <c r="Q1719" s="58"/>
      <c r="R1719" s="58"/>
      <c r="S1719" s="58"/>
      <c r="T1719" s="58"/>
      <c r="U1719" s="58"/>
      <c r="V1719" s="58"/>
      <c r="W1719" s="58"/>
      <c r="X1719" s="689"/>
      <c r="Y1719" s="905"/>
      <c r="Z1719" s="895"/>
      <c r="BJ1719" s="573" t="s">
        <v>4670</v>
      </c>
    </row>
    <row r="1720" spans="1:62" ht="15" thickTop="1" x14ac:dyDescent="0.35">
      <c r="A1720" s="403">
        <v>9</v>
      </c>
      <c r="B1720" s="609">
        <v>901.12</v>
      </c>
      <c r="C1720" s="604"/>
      <c r="D1720" s="604"/>
      <c r="E1720" s="604"/>
      <c r="F1720" s="604"/>
      <c r="G1720" s="403" t="s">
        <v>4326</v>
      </c>
      <c r="H1720" s="403" t="s">
        <v>4325</v>
      </c>
      <c r="I1720" s="123">
        <v>901.12</v>
      </c>
      <c r="J1720" s="124"/>
      <c r="K1720" s="124"/>
      <c r="L1720" s="711" t="s">
        <v>3423</v>
      </c>
      <c r="M1720" s="749" t="str">
        <f>IF(R1720,"Mandatory","N/A")</f>
        <v>Mandatory</v>
      </c>
      <c r="N1720" s="341"/>
      <c r="O1720" s="341"/>
      <c r="P1720" t="b">
        <v>0</v>
      </c>
      <c r="Q1720" t="b">
        <v>1</v>
      </c>
      <c r="R1720" s="62" t="b">
        <f>S1720</f>
        <v>1</v>
      </c>
      <c r="S1720" s="62" t="b">
        <v>1</v>
      </c>
      <c r="T1720" s="62" t="b">
        <v>0</v>
      </c>
      <c r="U1720" s="62" t="str">
        <f>SUBSTITUTE(SUBSTITUTE(SUBSTITUTE("dd"&amp;B1720&amp;C1720&amp;D1720&amp;E1720&amp;F1720,".","_"),"(","_"),")","")</f>
        <v>dd901_12</v>
      </c>
      <c r="V1720" s="62"/>
      <c r="W1720" s="9" t="s">
        <v>3239</v>
      </c>
      <c r="X1720" s="687"/>
      <c r="Y1720" s="904" t="str">
        <f>IF(LEN('Ch9'!X163)=0,"None",'Ch9'!X163)</f>
        <v>None</v>
      </c>
      <c r="Z1720" s="896"/>
      <c r="AC1720" t="b">
        <f>OR(AD1720:AE1720)</f>
        <v>0</v>
      </c>
      <c r="AD1720" t="b">
        <f>T1720</f>
        <v>0</v>
      </c>
      <c r="AE1720" t="b">
        <f>AND(R1720,OR(LEN(W1720)=0,W1720="Not Met"))</f>
        <v>0</v>
      </c>
      <c r="AF1720" t="b">
        <f>AND(AE1720,NOT(Q1720))</f>
        <v>0</v>
      </c>
      <c r="AL1720" t="str">
        <f t="shared" ref="AL1720" si="577">SUBSTITUTE(SUBSTITUTE(SUBSTITUTE("vpa"&amp;$B1720&amp;$C1720&amp;$D1720&amp;$E1720&amp;$F1720,".","_"),"(","_"),")","")</f>
        <v>vpa901_12</v>
      </c>
      <c r="AM1720" t="str">
        <f>M1720</f>
        <v>Mandatory</v>
      </c>
      <c r="AP1720" t="str">
        <f>SUBSTITUTE(SUBSTITUTE(SUBSTITUTE("vch"&amp;$B1720&amp;$C1720&amp;$D1720&amp;$E1720&amp;$F1720,".","_"),"(","_"),")","")</f>
        <v>vch901_12</v>
      </c>
      <c r="AQ1720" t="str">
        <f>W1720</f>
        <v>Met</v>
      </c>
      <c r="AR1720" t="str">
        <f>SUBSTITUTE(SUBSTITUTE(SUBSTITUTE("vnt"&amp;$B1720&amp;$C1720&amp;$D1720&amp;$E1720&amp;$F1720,".","_"),"(","_"),")","")</f>
        <v>vnt901_12</v>
      </c>
      <c r="AS1720">
        <f>X1720</f>
        <v>0</v>
      </c>
      <c r="BJ1720" s="573" t="s">
        <v>4670</v>
      </c>
    </row>
    <row r="1721" spans="1:62" ht="15" thickBot="1" x14ac:dyDescent="0.4">
      <c r="A1721" s="403">
        <v>9</v>
      </c>
      <c r="B1721" s="609">
        <v>901.12</v>
      </c>
      <c r="C1721" s="604"/>
      <c r="D1721" s="604"/>
      <c r="E1721" s="604"/>
      <c r="F1721" s="604"/>
      <c r="G1721" s="403" t="s">
        <v>4326</v>
      </c>
      <c r="H1721" s="403" t="s">
        <v>4325</v>
      </c>
      <c r="I1721" s="328"/>
      <c r="J1721" s="183"/>
      <c r="K1721" s="183"/>
      <c r="L1721" s="710"/>
      <c r="M1721" s="771"/>
      <c r="N1721" s="184"/>
      <c r="O1721" s="184"/>
      <c r="P1721" s="58"/>
      <c r="Q1721" s="58"/>
      <c r="R1721" s="58"/>
      <c r="S1721" s="58"/>
      <c r="T1721" s="58"/>
      <c r="U1721" s="58"/>
      <c r="V1721" s="58"/>
      <c r="W1721" s="58"/>
      <c r="X1721" s="689"/>
      <c r="Y1721" s="905"/>
      <c r="Z1721" s="895"/>
      <c r="BJ1721" s="573" t="s">
        <v>4670</v>
      </c>
    </row>
    <row r="1722" spans="1:62" ht="15" thickTop="1" x14ac:dyDescent="0.35">
      <c r="A1722" s="403">
        <v>9</v>
      </c>
      <c r="B1722" s="609">
        <v>901.13</v>
      </c>
      <c r="C1722" s="604"/>
      <c r="D1722" s="604"/>
      <c r="E1722" s="604"/>
      <c r="F1722" s="604"/>
      <c r="G1722" s="403" t="str">
        <f ca="1">IF(N1722&gt;0,"P","")</f>
        <v/>
      </c>
      <c r="H1722" s="403" t="s">
        <v>4325</v>
      </c>
      <c r="I1722" s="123">
        <v>901.13</v>
      </c>
      <c r="J1722" s="124"/>
      <c r="K1722" s="124"/>
      <c r="L1722" s="711" t="s">
        <v>3424</v>
      </c>
      <c r="M1722" s="199"/>
      <c r="N1722" s="694">
        <f ca="1">'Ch9'!O165</f>
        <v>0</v>
      </c>
      <c r="O1722" s="694">
        <f ca="1">MIN(1,M1724*S1724*W1724+M1725*S1725*W1725)</f>
        <v>0</v>
      </c>
      <c r="P1722" s="62"/>
      <c r="Q1722" s="62"/>
      <c r="R1722" s="62"/>
      <c r="S1722" s="62"/>
      <c r="T1722" s="62"/>
      <c r="U1722" s="62"/>
      <c r="V1722" s="62"/>
      <c r="W1722" s="62"/>
      <c r="X1722" s="687"/>
      <c r="Y1722" s="904" t="str">
        <f>IF(LEN('Ch9'!X165)=0,"None",'Ch9'!X165)</f>
        <v>None</v>
      </c>
      <c r="Z1722" s="896"/>
      <c r="AN1722" t="str">
        <f>SUBSTITUTE(SUBSTITUTE(SUBSTITUTE("vpc"&amp;$B1722&amp;$C1722&amp;$D1722&amp;$E1722&amp;$F1722,".","_"),"(","_"),")","")</f>
        <v>vpc901_13</v>
      </c>
      <c r="AO1722">
        <f ca="1">O1722</f>
        <v>0</v>
      </c>
      <c r="AR1722" t="str">
        <f>SUBSTITUTE(SUBSTITUTE(SUBSTITUTE("vnt"&amp;$B1722&amp;$C1722&amp;$D1722&amp;$E1722&amp;$F1722,".","_"),"(","_"),")","")</f>
        <v>vnt901_13</v>
      </c>
      <c r="AS1722">
        <f>X1722</f>
        <v>0</v>
      </c>
      <c r="BJ1722" s="573" t="s">
        <v>4670</v>
      </c>
    </row>
    <row r="1723" spans="1:62" x14ac:dyDescent="0.35">
      <c r="A1723" s="403">
        <v>9</v>
      </c>
      <c r="B1723" s="609">
        <v>901.13</v>
      </c>
      <c r="C1723" s="604"/>
      <c r="D1723" s="604"/>
      <c r="E1723" s="604"/>
      <c r="F1723" s="604"/>
      <c r="G1723" s="403" t="str">
        <f t="shared" ref="G1723:G1725" ca="1" si="578">G1722</f>
        <v/>
      </c>
      <c r="H1723" s="403" t="s">
        <v>4325</v>
      </c>
      <c r="I1723" s="108"/>
      <c r="J1723" s="4"/>
      <c r="K1723" s="4"/>
      <c r="L1723" s="706"/>
      <c r="M1723" s="43"/>
      <c r="N1723" s="696"/>
      <c r="O1723" s="696"/>
      <c r="X1723" s="688"/>
      <c r="Y1723" s="891"/>
      <c r="Z1723" s="892"/>
      <c r="BJ1723" s="573" t="s">
        <v>4670</v>
      </c>
    </row>
    <row r="1724" spans="1:62" ht="15" customHeight="1" x14ac:dyDescent="0.35">
      <c r="A1724" s="403">
        <v>9</v>
      </c>
      <c r="B1724" s="609">
        <v>901.13</v>
      </c>
      <c r="C1724" s="604"/>
      <c r="D1724" s="604"/>
      <c r="E1724" s="604" t="s">
        <v>270</v>
      </c>
      <c r="F1724" s="604"/>
      <c r="G1724" s="403" t="str">
        <f t="shared" ca="1" si="578"/>
        <v/>
      </c>
      <c r="H1724" s="403" t="s">
        <v>4325</v>
      </c>
      <c r="I1724" s="108"/>
      <c r="J1724" s="148" t="s">
        <v>270</v>
      </c>
      <c r="K1724" s="155"/>
      <c r="L1724" s="214" t="s">
        <v>3425</v>
      </c>
      <c r="M1724" s="198">
        <v>1</v>
      </c>
      <c r="N1724" s="85"/>
      <c r="O1724" s="85"/>
      <c r="P1724" t="b">
        <v>0</v>
      </c>
      <c r="Q1724" t="b">
        <v>1</v>
      </c>
      <c r="R1724" t="b">
        <v>0</v>
      </c>
      <c r="S1724" t="b">
        <f ca="1">$AY$18=INDEX(INDIRECT("ddSingleOrMulti"),2)</f>
        <v>0</v>
      </c>
      <c r="T1724" t="b">
        <f ca="1">AND(NOT(S1724),W1724=TRUE)</f>
        <v>0</v>
      </c>
      <c r="W1724" s="17"/>
      <c r="X1724" s="688"/>
      <c r="Y1724" s="891"/>
      <c r="Z1724" s="892"/>
      <c r="AC1724" t="b">
        <f ca="1">OR(AD1724:AE1724)</f>
        <v>0</v>
      </c>
      <c r="AD1724" t="b">
        <f ca="1">T1724</f>
        <v>0</v>
      </c>
      <c r="AE1724" t="b">
        <f>AND(R1724,NOT(W1724))</f>
        <v>0</v>
      </c>
      <c r="AF1724" t="b">
        <f>AND(AE1724,NOT(Q1724))</f>
        <v>0</v>
      </c>
      <c r="AL1724" t="str">
        <f t="shared" ref="AL1724:AL1725" si="579">SUBSTITUTE(SUBSTITUTE(SUBSTITUTE("vpa"&amp;$B1724&amp;$C1724&amp;$D1724&amp;$E1724&amp;$F1724,".","_"),"(","_"),")","")</f>
        <v>vpa901_13_1</v>
      </c>
      <c r="AM1724">
        <f>M1724</f>
        <v>1</v>
      </c>
      <c r="AP1724" t="str">
        <f t="shared" ref="AP1724:AP1725" si="580">SUBSTITUTE(SUBSTITUTE(SUBSTITUTE("vch"&amp;$B1724&amp;$C1724&amp;$D1724&amp;$E1724&amp;$F1724,".","_"),"(","_"),")","")</f>
        <v>vch901_13_1</v>
      </c>
      <c r="AQ1724">
        <f>W1724</f>
        <v>0</v>
      </c>
      <c r="BJ1724" s="573" t="s">
        <v>4670</v>
      </c>
    </row>
    <row r="1725" spans="1:62" ht="15" customHeight="1" thickBot="1" x14ac:dyDescent="0.4">
      <c r="A1725" s="403">
        <v>9</v>
      </c>
      <c r="B1725" s="609">
        <v>901.13</v>
      </c>
      <c r="C1725" s="604"/>
      <c r="D1725" s="604"/>
      <c r="E1725" s="604" t="s">
        <v>272</v>
      </c>
      <c r="F1725" s="604"/>
      <c r="G1725" s="403" t="str">
        <f t="shared" ca="1" si="578"/>
        <v/>
      </c>
      <c r="H1725" s="403" t="s">
        <v>4325</v>
      </c>
      <c r="I1725" s="328"/>
      <c r="J1725" s="133" t="s">
        <v>272</v>
      </c>
      <c r="K1725" s="183"/>
      <c r="L1725" s="223" t="s">
        <v>3426</v>
      </c>
      <c r="M1725" s="270">
        <v>1</v>
      </c>
      <c r="N1725" s="184"/>
      <c r="O1725" s="184"/>
      <c r="P1725" t="b">
        <v>0</v>
      </c>
      <c r="Q1725" t="b">
        <v>1</v>
      </c>
      <c r="R1725" s="58" t="b">
        <v>0</v>
      </c>
      <c r="S1725" t="b">
        <f ca="1">$AY$18=INDEX(INDIRECT("ddSingleOrMulti"),2)</f>
        <v>0</v>
      </c>
      <c r="T1725" t="b">
        <f ca="1">AND(NOT(S1725),W1725=TRUE)</f>
        <v>0</v>
      </c>
      <c r="U1725" s="58"/>
      <c r="V1725" s="58"/>
      <c r="W1725" s="59"/>
      <c r="X1725" s="689"/>
      <c r="Y1725" s="905"/>
      <c r="Z1725" s="895"/>
      <c r="AC1725" t="b">
        <f ca="1">OR(AD1725:AE1725)</f>
        <v>0</v>
      </c>
      <c r="AD1725" t="b">
        <f ca="1">T1725</f>
        <v>0</v>
      </c>
      <c r="AE1725" t="b">
        <f>AND(R1725,NOT(W1725))</f>
        <v>0</v>
      </c>
      <c r="AF1725" t="b">
        <f>AND(AE1725,NOT(Q1725))</f>
        <v>0</v>
      </c>
      <c r="AL1725" t="str">
        <f t="shared" si="579"/>
        <v>vpa901_13_2</v>
      </c>
      <c r="AM1725">
        <f>M1725</f>
        <v>1</v>
      </c>
      <c r="AP1725" t="str">
        <f t="shared" si="580"/>
        <v>vch901_13_2</v>
      </c>
      <c r="AQ1725">
        <f>W1725</f>
        <v>0</v>
      </c>
      <c r="BJ1725" s="573" t="s">
        <v>4670</v>
      </c>
    </row>
    <row r="1726" spans="1:62" ht="15" thickTop="1" x14ac:dyDescent="0.35">
      <c r="A1726" s="403">
        <v>9</v>
      </c>
      <c r="B1726" s="609">
        <v>901.14</v>
      </c>
      <c r="C1726" s="604"/>
      <c r="D1726" s="604"/>
      <c r="E1726" s="604"/>
      <c r="F1726" s="604"/>
      <c r="G1726" s="600" t="str">
        <f ca="1">IF(COUNTIF(G1728:G1730,"P")&gt;0,"P","")</f>
        <v/>
      </c>
      <c r="H1726" s="403" t="s">
        <v>4325</v>
      </c>
      <c r="I1726" s="32">
        <v>901.14</v>
      </c>
      <c r="J1726" s="4"/>
      <c r="K1726" s="4"/>
      <c r="L1726" s="706" t="s">
        <v>3427</v>
      </c>
      <c r="M1726" s="43"/>
      <c r="N1726" s="85"/>
      <c r="O1726" s="85"/>
      <c r="Z1726" s="543"/>
      <c r="BJ1726" s="573" t="s">
        <v>4670</v>
      </c>
    </row>
    <row r="1727" spans="1:62" x14ac:dyDescent="0.35">
      <c r="A1727" s="403">
        <v>9</v>
      </c>
      <c r="B1727" s="609">
        <v>901.14</v>
      </c>
      <c r="C1727" s="604"/>
      <c r="D1727" s="604"/>
      <c r="E1727" s="604"/>
      <c r="F1727" s="604"/>
      <c r="G1727" s="403" t="str">
        <f t="shared" ref="G1727" ca="1" si="581">G1726</f>
        <v/>
      </c>
      <c r="H1727" s="403" t="s">
        <v>4325</v>
      </c>
      <c r="I1727" s="108"/>
      <c r="J1727" s="4"/>
      <c r="K1727" s="4"/>
      <c r="L1727" s="706"/>
      <c r="M1727" s="43"/>
      <c r="N1727" s="85"/>
      <c r="O1727" s="85"/>
      <c r="Z1727" s="543"/>
      <c r="BJ1727" s="573" t="s">
        <v>4670</v>
      </c>
    </row>
    <row r="1728" spans="1:62" x14ac:dyDescent="0.35">
      <c r="A1728" s="403">
        <v>9</v>
      </c>
      <c r="B1728" s="609">
        <v>901.14</v>
      </c>
      <c r="C1728" s="604"/>
      <c r="D1728" s="604"/>
      <c r="E1728" s="604" t="s">
        <v>270</v>
      </c>
      <c r="F1728" s="604"/>
      <c r="G1728" s="403" t="str">
        <f ca="1">IF(N1728&gt;0,"P","")</f>
        <v/>
      </c>
      <c r="H1728" s="403" t="s">
        <v>4325</v>
      </c>
      <c r="I1728" s="108"/>
      <c r="J1728" s="19" t="s">
        <v>270</v>
      </c>
      <c r="K1728" s="4"/>
      <c r="L1728" s="707" t="s">
        <v>3428</v>
      </c>
      <c r="M1728" s="690">
        <v>1</v>
      </c>
      <c r="N1728" s="696">
        <f ca="1">'Ch9'!O171</f>
        <v>0</v>
      </c>
      <c r="O1728" s="696">
        <f ca="1">M1728*S1728*W1728</f>
        <v>0</v>
      </c>
      <c r="P1728" t="b">
        <v>0</v>
      </c>
      <c r="Q1728" t="b">
        <v>1</v>
      </c>
      <c r="R1728" t="b">
        <v>0</v>
      </c>
      <c r="S1728" t="b">
        <f ca="1">$AY$18=INDEX(INDIRECT("ddSingleOrMulti"),2)</f>
        <v>0</v>
      </c>
      <c r="T1728" t="b">
        <f ca="1">AND(NOT(S1728),W1728=TRUE)</f>
        <v>0</v>
      </c>
      <c r="W1728" s="17"/>
      <c r="X1728" s="688"/>
      <c r="Y1728" s="891" t="str">
        <f>IF(LEN('Ch9'!X171)=0,"None",'Ch9'!X171)</f>
        <v>None</v>
      </c>
      <c r="Z1728" s="892"/>
      <c r="AC1728" t="b">
        <f ca="1">OR(AD1728:AE1728)</f>
        <v>0</v>
      </c>
      <c r="AD1728" t="b">
        <f ca="1">T1728</f>
        <v>0</v>
      </c>
      <c r="AE1728" t="b">
        <f>AND(R1728,NOT(W1728))</f>
        <v>0</v>
      </c>
      <c r="AF1728" t="b">
        <f>AND(AE1728,NOT(Q1728))</f>
        <v>0</v>
      </c>
      <c r="AL1728" t="str">
        <f t="shared" ref="AL1728" si="582">SUBSTITUTE(SUBSTITUTE(SUBSTITUTE("vpa"&amp;$B1728&amp;$C1728&amp;$D1728&amp;$E1728&amp;$F1728,".","_"),"(","_"),")","")</f>
        <v>vpa901_14_1</v>
      </c>
      <c r="AM1728">
        <f>M1728</f>
        <v>1</v>
      </c>
      <c r="AN1728" t="str">
        <f>SUBSTITUTE(SUBSTITUTE(SUBSTITUTE("vpc"&amp;$B1728&amp;$C1728&amp;$D1728&amp;$E1728&amp;$F1728,".","_"),"(","_"),")","")</f>
        <v>vpc901_14_1</v>
      </c>
      <c r="AO1728">
        <f ca="1">O1728</f>
        <v>0</v>
      </c>
      <c r="AP1728" t="str">
        <f>SUBSTITUTE(SUBSTITUTE(SUBSTITUTE("vch"&amp;$B1728&amp;$C1728&amp;$D1728&amp;$E1728&amp;$F1728,".","_"),"(","_"),")","")</f>
        <v>vch901_14_1</v>
      </c>
      <c r="AQ1728">
        <f>W1728</f>
        <v>0</v>
      </c>
      <c r="AR1728" t="str">
        <f>SUBSTITUTE(SUBSTITUTE(SUBSTITUTE("vnt"&amp;$B1728&amp;$C1728&amp;$D1728&amp;$E1728&amp;$F1728,".","_"),"(","_"),")","")</f>
        <v>vnt901_14_1</v>
      </c>
      <c r="AS1728">
        <f>X1728</f>
        <v>0</v>
      </c>
      <c r="BJ1728" s="573" t="s">
        <v>4670</v>
      </c>
    </row>
    <row r="1729" spans="1:62" x14ac:dyDescent="0.35">
      <c r="A1729" s="403">
        <v>9</v>
      </c>
      <c r="B1729" s="609">
        <v>901.14</v>
      </c>
      <c r="C1729" s="604"/>
      <c r="D1729" s="604"/>
      <c r="E1729" s="604" t="s">
        <v>270</v>
      </c>
      <c r="F1729" s="604"/>
      <c r="G1729" s="403" t="str">
        <f t="shared" ref="G1729" ca="1" si="583">G1728</f>
        <v/>
      </c>
      <c r="H1729" s="403" t="s">
        <v>4325</v>
      </c>
      <c r="I1729" s="108"/>
      <c r="J1729" s="155"/>
      <c r="K1729" s="155"/>
      <c r="L1729" s="709"/>
      <c r="M1729" s="691"/>
      <c r="N1729" s="697"/>
      <c r="O1729" s="697"/>
      <c r="X1729" s="688"/>
      <c r="Y1729" s="891"/>
      <c r="Z1729" s="892"/>
      <c r="BJ1729" s="573" t="s">
        <v>4670</v>
      </c>
    </row>
    <row r="1730" spans="1:62" x14ac:dyDescent="0.35">
      <c r="A1730" s="403">
        <v>9</v>
      </c>
      <c r="B1730" s="609">
        <v>901.14</v>
      </c>
      <c r="C1730" s="604"/>
      <c r="D1730" s="604"/>
      <c r="E1730" s="604" t="s">
        <v>272</v>
      </c>
      <c r="F1730" s="604"/>
      <c r="G1730" s="403" t="str">
        <f ca="1">IF(N1730&gt;0,"P","")</f>
        <v/>
      </c>
      <c r="H1730" s="403" t="s">
        <v>4325</v>
      </c>
      <c r="I1730" s="108"/>
      <c r="J1730" s="19" t="s">
        <v>272</v>
      </c>
      <c r="K1730" s="4"/>
      <c r="L1730" s="707" t="s">
        <v>3429</v>
      </c>
      <c r="M1730" s="690">
        <v>1</v>
      </c>
      <c r="N1730" s="696">
        <f ca="1">'Ch9'!O173</f>
        <v>0</v>
      </c>
      <c r="O1730" s="696">
        <f ca="1">M1730*S1730*W1730</f>
        <v>0</v>
      </c>
      <c r="P1730" t="b">
        <v>0</v>
      </c>
      <c r="Q1730" t="b">
        <v>1</v>
      </c>
      <c r="R1730" t="b">
        <v>0</v>
      </c>
      <c r="S1730" t="b">
        <f ca="1">$AY$18=INDEX(INDIRECT("ddSingleOrMulti"),2)</f>
        <v>0</v>
      </c>
      <c r="T1730" t="b">
        <f ca="1">AND(NOT(S1730),W1730=TRUE)</f>
        <v>0</v>
      </c>
      <c r="W1730" s="17"/>
      <c r="X1730" s="688"/>
      <c r="Y1730" s="891" t="str">
        <f>IF(LEN('Ch9'!X173)=0,"None",'Ch9'!X173)</f>
        <v>None</v>
      </c>
      <c r="Z1730" s="892"/>
      <c r="AC1730" t="b">
        <f ca="1">OR(AD1730:AE1730)</f>
        <v>0</v>
      </c>
      <c r="AD1730" t="b">
        <f ca="1">T1730</f>
        <v>0</v>
      </c>
      <c r="AE1730" t="b">
        <f>AND(R1730,NOT(W1730))</f>
        <v>0</v>
      </c>
      <c r="AF1730" t="b">
        <f>AND(AE1730,NOT(Q1730))</f>
        <v>0</v>
      </c>
      <c r="AL1730" t="str">
        <f t="shared" ref="AL1730" si="584">SUBSTITUTE(SUBSTITUTE(SUBSTITUTE("vpa"&amp;$B1730&amp;$C1730&amp;$D1730&amp;$E1730&amp;$F1730,".","_"),"(","_"),")","")</f>
        <v>vpa901_14_2</v>
      </c>
      <c r="AM1730">
        <f>M1730</f>
        <v>1</v>
      </c>
      <c r="AN1730" t="str">
        <f>SUBSTITUTE(SUBSTITUTE(SUBSTITUTE("vpc"&amp;$B1730&amp;$C1730&amp;$D1730&amp;$E1730&amp;$F1730,".","_"),"(","_"),")","")</f>
        <v>vpc901_14_2</v>
      </c>
      <c r="AO1730">
        <f ca="1">O1730</f>
        <v>0</v>
      </c>
      <c r="AP1730" t="str">
        <f>SUBSTITUTE(SUBSTITUTE(SUBSTITUTE("vch"&amp;$B1730&amp;$C1730&amp;$D1730&amp;$E1730&amp;$F1730,".","_"),"(","_"),")","")</f>
        <v>vch901_14_2</v>
      </c>
      <c r="AQ1730">
        <f>W1730</f>
        <v>0</v>
      </c>
      <c r="AR1730" t="str">
        <f>SUBSTITUTE(SUBSTITUTE(SUBSTITUTE("vnt"&amp;$B1730&amp;$C1730&amp;$D1730&amp;$E1730&amp;$F1730,".","_"),"(","_"),")","")</f>
        <v>vnt901_14_2</v>
      </c>
      <c r="AS1730">
        <f>X1730</f>
        <v>0</v>
      </c>
      <c r="BJ1730" s="573" t="s">
        <v>4670</v>
      </c>
    </row>
    <row r="1731" spans="1:62" x14ac:dyDescent="0.35">
      <c r="A1731" s="403">
        <v>9</v>
      </c>
      <c r="B1731" s="609">
        <v>901.14</v>
      </c>
      <c r="C1731" s="604"/>
      <c r="D1731" s="604"/>
      <c r="E1731" s="604" t="s">
        <v>272</v>
      </c>
      <c r="F1731" s="604"/>
      <c r="G1731" s="403" t="str">
        <f t="shared" ref="G1731" ca="1" si="585">G1730</f>
        <v/>
      </c>
      <c r="H1731" s="403" t="s">
        <v>4325</v>
      </c>
      <c r="I1731" s="108"/>
      <c r="J1731" s="4"/>
      <c r="K1731" s="4"/>
      <c r="L1731" s="707"/>
      <c r="M1731" s="690"/>
      <c r="N1731" s="696"/>
      <c r="O1731" s="696"/>
      <c r="X1731" s="688"/>
      <c r="Y1731" s="891"/>
      <c r="Z1731" s="892"/>
      <c r="BJ1731" s="573" t="s">
        <v>4670</v>
      </c>
    </row>
    <row r="1732" spans="1:62" ht="18.5" x14ac:dyDescent="0.45">
      <c r="A1732" s="403">
        <v>9</v>
      </c>
      <c r="B1732" s="609">
        <v>902</v>
      </c>
      <c r="C1732" s="604"/>
      <c r="D1732" s="604"/>
      <c r="E1732" s="604"/>
      <c r="F1732" s="604"/>
      <c r="G1732" s="403" t="s">
        <v>4326</v>
      </c>
      <c r="H1732" s="403" t="s">
        <v>4323</v>
      </c>
      <c r="I1732" s="10" t="s">
        <v>3430</v>
      </c>
      <c r="J1732" s="15"/>
      <c r="K1732" s="15"/>
      <c r="L1732" s="47"/>
      <c r="M1732" s="340"/>
      <c r="N1732" s="340"/>
      <c r="O1732" s="340"/>
      <c r="P1732" s="15"/>
      <c r="Q1732" s="15"/>
      <c r="R1732" s="15"/>
      <c r="S1732" s="15"/>
      <c r="T1732" s="15"/>
      <c r="U1732" s="15"/>
      <c r="V1732" s="15"/>
      <c r="W1732" s="15"/>
      <c r="X1732" s="15"/>
      <c r="Y1732" s="15"/>
      <c r="Z1732" s="562"/>
      <c r="BJ1732" s="573" t="s">
        <v>4670</v>
      </c>
    </row>
    <row r="1733" spans="1:62" ht="15" thickBot="1" x14ac:dyDescent="0.4">
      <c r="A1733" s="403">
        <v>9</v>
      </c>
      <c r="B1733" s="609" t="s">
        <v>4579</v>
      </c>
      <c r="C1733" s="604"/>
      <c r="D1733" s="604"/>
      <c r="E1733" s="604"/>
      <c r="F1733" s="604"/>
      <c r="I1733" s="326">
        <v>902</v>
      </c>
      <c r="J1733" s="183"/>
      <c r="K1733" s="183"/>
      <c r="L1733" s="272" t="s">
        <v>3431</v>
      </c>
      <c r="M1733" s="270"/>
      <c r="N1733" s="184"/>
      <c r="O1733" s="184"/>
      <c r="P1733" s="58"/>
      <c r="Q1733" s="58"/>
      <c r="R1733" s="58"/>
      <c r="S1733" s="58"/>
      <c r="T1733" s="58"/>
      <c r="U1733" s="58"/>
      <c r="V1733" s="58"/>
      <c r="W1733" s="58"/>
      <c r="X1733" s="58"/>
      <c r="Z1733" s="543"/>
      <c r="BJ1733" s="573" t="s">
        <v>4670</v>
      </c>
    </row>
    <row r="1734" spans="1:62" ht="15" thickTop="1" x14ac:dyDescent="0.35">
      <c r="A1734" s="403">
        <v>9</v>
      </c>
      <c r="B1734" s="609">
        <v>902.1</v>
      </c>
      <c r="C1734" s="604"/>
      <c r="D1734" s="604"/>
      <c r="E1734" s="604"/>
      <c r="F1734" s="604"/>
      <c r="G1734" s="403" t="s">
        <v>4326</v>
      </c>
      <c r="H1734" s="403" t="s">
        <v>4325</v>
      </c>
      <c r="I1734" s="32">
        <v>902.1</v>
      </c>
      <c r="J1734" s="4"/>
      <c r="K1734" s="4"/>
      <c r="L1734" s="110" t="s">
        <v>3432</v>
      </c>
      <c r="M1734" s="43"/>
      <c r="N1734" s="85"/>
      <c r="O1734" s="85"/>
      <c r="Z1734" s="543"/>
      <c r="BJ1734" s="573" t="s">
        <v>4670</v>
      </c>
    </row>
    <row r="1735" spans="1:62" x14ac:dyDescent="0.35">
      <c r="A1735" s="403">
        <v>9</v>
      </c>
      <c r="B1735" s="609">
        <v>902.1</v>
      </c>
      <c r="C1735" s="604"/>
      <c r="D1735" s="604"/>
      <c r="E1735" s="604"/>
      <c r="F1735" s="604"/>
      <c r="G1735" s="403" t="s">
        <v>4326</v>
      </c>
      <c r="H1735" s="403" t="s">
        <v>4325</v>
      </c>
      <c r="I1735" s="32" t="s">
        <v>4070</v>
      </c>
      <c r="J1735" s="4"/>
      <c r="K1735" s="4"/>
      <c r="L1735" s="110" t="s">
        <v>4071</v>
      </c>
      <c r="M1735" s="43"/>
      <c r="N1735" s="85"/>
      <c r="O1735" s="85"/>
      <c r="Z1735" s="543"/>
      <c r="BJ1735" s="573" t="s">
        <v>4670</v>
      </c>
    </row>
    <row r="1736" spans="1:62" x14ac:dyDescent="0.35">
      <c r="A1736" s="403">
        <v>9</v>
      </c>
      <c r="B1736" s="609">
        <v>902.1</v>
      </c>
      <c r="C1736" s="604"/>
      <c r="D1736" s="604"/>
      <c r="E1736" s="604" t="s">
        <v>270</v>
      </c>
      <c r="F1736" s="604"/>
      <c r="G1736" s="403" t="s">
        <v>4326</v>
      </c>
      <c r="H1736" s="403" t="s">
        <v>4325</v>
      </c>
      <c r="I1736" s="108"/>
      <c r="J1736" s="19" t="s">
        <v>270</v>
      </c>
      <c r="K1736" s="4"/>
      <c r="L1736" s="707" t="s">
        <v>3433</v>
      </c>
      <c r="M1736" s="740" t="str">
        <f>IF(R1736,"Mandatory","N/A")</f>
        <v>Mandatory</v>
      </c>
      <c r="N1736" s="85"/>
      <c r="O1736" s="85"/>
      <c r="P1736" t="b">
        <v>0</v>
      </c>
      <c r="Q1736" t="b">
        <v>1</v>
      </c>
      <c r="R1736" t="b">
        <f>S1736</f>
        <v>1</v>
      </c>
      <c r="S1736" t="b">
        <v>1</v>
      </c>
      <c r="T1736" t="b">
        <v>0</v>
      </c>
      <c r="W1736" s="17" t="b">
        <v>1</v>
      </c>
      <c r="X1736" s="688"/>
      <c r="Y1736" s="891" t="str">
        <f>IF(LEN('Ch9'!X179)=0,"None",'Ch9'!X179)</f>
        <v>None</v>
      </c>
      <c r="Z1736" s="892"/>
      <c r="AC1736" t="b">
        <f>OR(AD1736:AE1736)</f>
        <v>0</v>
      </c>
      <c r="AD1736" t="b">
        <f>T1736</f>
        <v>0</v>
      </c>
      <c r="AE1736" t="b">
        <f>AND(R1736,NOT(W1736))</f>
        <v>0</v>
      </c>
      <c r="AF1736" t="b">
        <f>AND(AE1736,NOT(Q1736))</f>
        <v>0</v>
      </c>
      <c r="AP1736" t="str">
        <f>SUBSTITUTE(SUBSTITUTE(SUBSTITUTE("vch"&amp;$B1736&amp;$C1736&amp;$D1736&amp;$E1736&amp;$F1736,".","_"),"(","_"),")","")</f>
        <v>vch902_1_1</v>
      </c>
      <c r="AQ1736" t="b">
        <f>W1736</f>
        <v>1</v>
      </c>
      <c r="AR1736" t="str">
        <f>SUBSTITUTE(SUBSTITUTE(SUBSTITUTE("vnt"&amp;$B1736&amp;$C1736&amp;$D1736&amp;$E1736&amp;$F1736,".","_"),"(","_"),")","")</f>
        <v>vnt902_1_1</v>
      </c>
      <c r="AS1736">
        <f>X1736</f>
        <v>0</v>
      </c>
      <c r="BJ1736" s="573" t="s">
        <v>4670</v>
      </c>
    </row>
    <row r="1737" spans="1:62" x14ac:dyDescent="0.35">
      <c r="A1737" s="403">
        <v>9</v>
      </c>
      <c r="B1737" s="609">
        <v>902.1</v>
      </c>
      <c r="C1737" s="604"/>
      <c r="D1737" s="604"/>
      <c r="E1737" s="604" t="s">
        <v>270</v>
      </c>
      <c r="F1737" s="604"/>
      <c r="G1737" s="403" t="s">
        <v>4326</v>
      </c>
      <c r="H1737" s="403" t="s">
        <v>4325</v>
      </c>
      <c r="I1737" s="108"/>
      <c r="J1737" s="4"/>
      <c r="K1737" s="4"/>
      <c r="L1737" s="707"/>
      <c r="M1737" s="740"/>
      <c r="N1737" s="85"/>
      <c r="O1737" s="85"/>
      <c r="X1737" s="688"/>
      <c r="Y1737" s="891"/>
      <c r="Z1737" s="892"/>
      <c r="BJ1737" s="573" t="s">
        <v>4670</v>
      </c>
    </row>
    <row r="1738" spans="1:62" x14ac:dyDescent="0.35">
      <c r="A1738" s="403">
        <v>9</v>
      </c>
      <c r="B1738" s="609">
        <v>902.1</v>
      </c>
      <c r="C1738" s="604"/>
      <c r="D1738" s="604"/>
      <c r="E1738" s="604" t="s">
        <v>270</v>
      </c>
      <c r="F1738" s="604" t="s">
        <v>121</v>
      </c>
      <c r="G1738" s="403" t="str">
        <f>IF(N1738&gt;0,"P","")</f>
        <v/>
      </c>
      <c r="H1738" s="605" t="s">
        <v>4325</v>
      </c>
      <c r="I1738" s="108"/>
      <c r="J1738" s="19"/>
      <c r="K1738" s="19" t="s">
        <v>121</v>
      </c>
      <c r="L1738" s="707" t="s">
        <v>3912</v>
      </c>
      <c r="M1738" s="690">
        <v>1</v>
      </c>
      <c r="N1738" s="696">
        <f>'Ch9'!O181</f>
        <v>0</v>
      </c>
      <c r="O1738" s="696">
        <f>M1738*S1738*W1738</f>
        <v>0</v>
      </c>
      <c r="P1738" t="b">
        <v>0</v>
      </c>
      <c r="Q1738" t="b">
        <v>1</v>
      </c>
      <c r="R1738" t="b">
        <v>0</v>
      </c>
      <c r="S1738" t="b">
        <f>W1736=TRUE</f>
        <v>1</v>
      </c>
      <c r="T1738" t="b">
        <f>AND(NOT(S1738),W1738=TRUE)</f>
        <v>0</v>
      </c>
      <c r="W1738" s="17"/>
      <c r="X1738" s="688"/>
      <c r="Y1738" s="891" t="str">
        <f>IF(LEN('Ch9'!X181)=0,"None",'Ch9'!X181)</f>
        <v>None</v>
      </c>
      <c r="Z1738" s="892"/>
      <c r="AC1738" t="b">
        <f>OR(AD1738:AE1738)</f>
        <v>0</v>
      </c>
      <c r="AD1738" t="b">
        <f>T1738</f>
        <v>0</v>
      </c>
      <c r="AE1738" t="b">
        <f>AND(R1738,NOT(W1738))</f>
        <v>0</v>
      </c>
      <c r="AF1738" t="b">
        <f>AND(AE1738,NOT(Q1738))</f>
        <v>0</v>
      </c>
      <c r="AL1738" t="str">
        <f t="shared" ref="AL1738" si="586">SUBSTITUTE(SUBSTITUTE(SUBSTITUTE("vpa"&amp;$B1738&amp;$C1738&amp;$D1738&amp;$E1738&amp;$F1738,".","_"),"(","_"),")","")</f>
        <v>vpa902_1_1_a</v>
      </c>
      <c r="AM1738">
        <f>M1738</f>
        <v>1</v>
      </c>
      <c r="AN1738" t="str">
        <f>SUBSTITUTE(SUBSTITUTE(SUBSTITUTE("vpc"&amp;$B1738&amp;$C1738&amp;$D1738&amp;$E1738&amp;$F1738,".","_"),"(","_"),")","")</f>
        <v>vpc902_1_1_a</v>
      </c>
      <c r="AO1738">
        <f>O1738</f>
        <v>0</v>
      </c>
      <c r="AP1738" t="str">
        <f>SUBSTITUTE(SUBSTITUTE(SUBSTITUTE("vch"&amp;$B1738&amp;$C1738&amp;$D1738&amp;$E1738&amp;$F1738,".","_"),"(","_"),")","")</f>
        <v>vch902_1_1_a</v>
      </c>
      <c r="AQ1738">
        <f>W1738</f>
        <v>0</v>
      </c>
      <c r="AR1738" t="str">
        <f>SUBSTITUTE(SUBSTITUTE(SUBSTITUTE("vnt"&amp;$B1738&amp;$C1738&amp;$D1738&amp;$E1738&amp;$F1738,".","_"),"(","_"),")","")</f>
        <v>vnt902_1_1_a</v>
      </c>
      <c r="AS1738">
        <f>X1738</f>
        <v>0</v>
      </c>
      <c r="BJ1738" s="573" t="s">
        <v>4670</v>
      </c>
    </row>
    <row r="1739" spans="1:62" x14ac:dyDescent="0.35">
      <c r="A1739" s="403">
        <v>9</v>
      </c>
      <c r="B1739" s="609">
        <v>902.1</v>
      </c>
      <c r="C1739" s="604"/>
      <c r="D1739" s="604"/>
      <c r="E1739" s="604" t="s">
        <v>270</v>
      </c>
      <c r="F1739" s="604"/>
      <c r="G1739" s="403" t="str">
        <f t="shared" ref="G1739" si="587">G1738</f>
        <v/>
      </c>
      <c r="H1739" s="403" t="s">
        <v>4325</v>
      </c>
      <c r="I1739" s="108"/>
      <c r="J1739" s="148"/>
      <c r="K1739" s="155"/>
      <c r="L1739" s="709"/>
      <c r="M1739" s="691"/>
      <c r="N1739" s="697"/>
      <c r="O1739" s="697"/>
      <c r="X1739" s="688"/>
      <c r="Y1739" s="891"/>
      <c r="Z1739" s="892"/>
      <c r="BJ1739" s="573" t="s">
        <v>4670</v>
      </c>
    </row>
    <row r="1740" spans="1:62" x14ac:dyDescent="0.35">
      <c r="A1740" s="403">
        <v>9</v>
      </c>
      <c r="B1740" s="609">
        <v>902.1</v>
      </c>
      <c r="C1740" s="604"/>
      <c r="D1740" s="604"/>
      <c r="E1740" s="604" t="s">
        <v>4583</v>
      </c>
      <c r="F1740" s="604"/>
      <c r="G1740" s="403" t="s">
        <v>4326</v>
      </c>
      <c r="H1740" s="403" t="s">
        <v>4325</v>
      </c>
      <c r="I1740" s="108"/>
      <c r="J1740" s="19" t="s">
        <v>272</v>
      </c>
      <c r="K1740" s="4"/>
      <c r="L1740" s="707" t="s">
        <v>3434</v>
      </c>
      <c r="M1740" s="740" t="str">
        <f>IF(R1740,"Mandatory","N/A")</f>
        <v>Mandatory</v>
      </c>
      <c r="N1740" s="85"/>
      <c r="O1740" s="85"/>
      <c r="P1740" t="b">
        <v>0</v>
      </c>
      <c r="Q1740" t="b">
        <v>1</v>
      </c>
      <c r="R1740" t="b">
        <f>S1740</f>
        <v>1</v>
      </c>
      <c r="S1740" t="b">
        <v>1</v>
      </c>
      <c r="T1740" t="b">
        <v>0</v>
      </c>
      <c r="U1740" t="str">
        <f>SUBSTITUTE(SUBSTITUTE(SUBSTITUTE("dd"&amp;B1740&amp;C1740&amp;D1740&amp;E1740&amp;F1740,".","_"),"(","_"),")","")</f>
        <v>dd902_1_2_</v>
      </c>
      <c r="W1740" s="9" t="s">
        <v>3239</v>
      </c>
      <c r="X1740" s="688"/>
      <c r="Y1740" s="891" t="str">
        <f>IF(LEN('Ch9'!X183)=0,"None",'Ch9'!X183)</f>
        <v>None</v>
      </c>
      <c r="Z1740" s="892"/>
      <c r="AC1740" t="b">
        <f>OR(AD1740:AE1740)</f>
        <v>0</v>
      </c>
      <c r="AD1740" t="b">
        <f>T1740</f>
        <v>0</v>
      </c>
      <c r="AE1740" t="b">
        <f>AND(R1740,OR(W1740="Not Met",W1740=""))</f>
        <v>0</v>
      </c>
      <c r="AF1740" t="b">
        <f>AND(AE1740,NOT(Q1740))</f>
        <v>0</v>
      </c>
      <c r="AL1740" t="str">
        <f t="shared" ref="AL1740" si="588">SUBSTITUTE(SUBSTITUTE(SUBSTITUTE("vpa"&amp;$B1740&amp;$C1740&amp;$D1740&amp;$E1740&amp;$F1740,".","_"),"(","_"),")","")</f>
        <v>vpa902_1_2_</v>
      </c>
      <c r="AM1740" t="str">
        <f>M1740</f>
        <v>Mandatory</v>
      </c>
      <c r="AP1740" t="str">
        <f>SUBSTITUTE(SUBSTITUTE(SUBSTITUTE("vch"&amp;$B1740&amp;$C1740&amp;$D1740&amp;$E1740&amp;$F1740,".","_"),"(","_"),")","")</f>
        <v>vch902_1_2_</v>
      </c>
      <c r="AQ1740" t="str">
        <f>W1740</f>
        <v>Met</v>
      </c>
      <c r="AR1740" t="str">
        <f>SUBSTITUTE(SUBSTITUTE(SUBSTITUTE("vnt"&amp;$B1740&amp;$C1740&amp;$D1740&amp;$E1740&amp;$F1740,".","_"),"(","_"),")","")</f>
        <v>vnt902_1_2_</v>
      </c>
      <c r="AS1740">
        <f>X1740</f>
        <v>0</v>
      </c>
      <c r="BJ1740" s="573" t="s">
        <v>4670</v>
      </c>
    </row>
    <row r="1741" spans="1:62" x14ac:dyDescent="0.35">
      <c r="A1741" s="403">
        <v>9</v>
      </c>
      <c r="B1741" s="609">
        <v>902.1</v>
      </c>
      <c r="C1741" s="604"/>
      <c r="D1741" s="604"/>
      <c r="E1741" s="604" t="s">
        <v>272</v>
      </c>
      <c r="F1741" s="604"/>
      <c r="G1741" s="403" t="s">
        <v>4326</v>
      </c>
      <c r="H1741" s="403" t="s">
        <v>4325</v>
      </c>
      <c r="I1741" s="108"/>
      <c r="J1741" s="148"/>
      <c r="K1741" s="155"/>
      <c r="L1741" s="709"/>
      <c r="M1741" s="741"/>
      <c r="N1741" s="342"/>
      <c r="O1741" s="342"/>
      <c r="X1741" s="688"/>
      <c r="Y1741" s="891"/>
      <c r="Z1741" s="892"/>
      <c r="BJ1741" s="573" t="s">
        <v>4670</v>
      </c>
    </row>
    <row r="1742" spans="1:62" x14ac:dyDescent="0.35">
      <c r="A1742" s="403">
        <v>9</v>
      </c>
      <c r="B1742" s="609">
        <v>902.1</v>
      </c>
      <c r="C1742" s="604"/>
      <c r="D1742" s="604"/>
      <c r="E1742" s="604" t="s">
        <v>4584</v>
      </c>
      <c r="F1742" s="604"/>
      <c r="G1742" s="403" t="str">
        <f>IF(N1742&gt;0,"P","")</f>
        <v>P</v>
      </c>
      <c r="H1742" s="403" t="s">
        <v>4325</v>
      </c>
      <c r="I1742" s="108"/>
      <c r="J1742" s="19" t="s">
        <v>274</v>
      </c>
      <c r="K1742" s="4"/>
      <c r="L1742" s="707" t="s">
        <v>3435</v>
      </c>
      <c r="M1742" s="690">
        <v>8</v>
      </c>
      <c r="N1742" s="696">
        <f>'Ch9'!O185</f>
        <v>8</v>
      </c>
      <c r="O1742" s="696">
        <f>M1742*S1742*W1742</f>
        <v>8</v>
      </c>
      <c r="P1742" t="b">
        <v>0</v>
      </c>
      <c r="Q1742" t="b">
        <v>1</v>
      </c>
      <c r="R1742" t="b">
        <v>0</v>
      </c>
      <c r="S1742" t="b">
        <v>1</v>
      </c>
      <c r="T1742" t="b">
        <v>0</v>
      </c>
      <c r="W1742" s="17" t="b">
        <v>1</v>
      </c>
      <c r="X1742" s="688"/>
      <c r="Y1742" s="891" t="str">
        <f>IF(LEN('Ch9'!X185)=0,"None",'Ch9'!X185)</f>
        <v>None</v>
      </c>
      <c r="Z1742" s="892"/>
      <c r="AC1742" t="b">
        <f>OR(AD1742:AE1742)</f>
        <v>0</v>
      </c>
      <c r="AD1742" t="b">
        <f>T1742</f>
        <v>0</v>
      </c>
      <c r="AE1742" t="b">
        <f>AND(R1742,NOT(W1742))</f>
        <v>0</v>
      </c>
      <c r="AF1742" t="b">
        <f>AND(AE1742,NOT(Q1742))</f>
        <v>0</v>
      </c>
      <c r="AL1742" t="str">
        <f t="shared" ref="AL1742" si="589">SUBSTITUTE(SUBSTITUTE(SUBSTITUTE("vpa"&amp;$B1742&amp;$C1742&amp;$D1742&amp;$E1742&amp;$F1742,".","_"),"(","_"),")","")</f>
        <v>vpa902_1_3_</v>
      </c>
      <c r="AM1742">
        <f>M1742</f>
        <v>8</v>
      </c>
      <c r="AN1742" t="str">
        <f>SUBSTITUTE(SUBSTITUTE(SUBSTITUTE("vpc"&amp;$B1742&amp;$C1742&amp;$D1742&amp;$E1742&amp;$F1742,".","_"),"(","_"),")","")</f>
        <v>vpc902_1_3_</v>
      </c>
      <c r="AO1742">
        <f>O1742</f>
        <v>8</v>
      </c>
      <c r="AP1742" t="str">
        <f>SUBSTITUTE(SUBSTITUTE(SUBSTITUTE("vch"&amp;$B1742&amp;$C1742&amp;$D1742&amp;$E1742&amp;$F1742,".","_"),"(","_"),")","")</f>
        <v>vch902_1_3_</v>
      </c>
      <c r="AQ1742" t="b">
        <f>W1742</f>
        <v>1</v>
      </c>
      <c r="AR1742" t="str">
        <f>SUBSTITUTE(SUBSTITUTE(SUBSTITUTE("vnt"&amp;$B1742&amp;$C1742&amp;$D1742&amp;$E1742&amp;$F1742,".","_"),"(","_"),")","")</f>
        <v>vnt902_1_3_</v>
      </c>
      <c r="AS1742">
        <f>X1742</f>
        <v>0</v>
      </c>
      <c r="BJ1742" s="573" t="s">
        <v>4670</v>
      </c>
    </row>
    <row r="1743" spans="1:62" x14ac:dyDescent="0.35">
      <c r="A1743" s="403">
        <v>9</v>
      </c>
      <c r="B1743" s="609">
        <v>902.1</v>
      </c>
      <c r="C1743" s="604"/>
      <c r="D1743" s="604"/>
      <c r="E1743" s="604" t="s">
        <v>274</v>
      </c>
      <c r="F1743" s="604"/>
      <c r="G1743" s="403" t="str">
        <f t="shared" ref="G1743:G1744" si="590">G1742</f>
        <v>P</v>
      </c>
      <c r="H1743" s="403" t="s">
        <v>4325</v>
      </c>
      <c r="I1743" s="108"/>
      <c r="J1743" s="19"/>
      <c r="K1743" s="4"/>
      <c r="L1743" s="707"/>
      <c r="M1743" s="690"/>
      <c r="N1743" s="696"/>
      <c r="O1743" s="696"/>
      <c r="X1743" s="688"/>
      <c r="Y1743" s="891"/>
      <c r="Z1743" s="892"/>
      <c r="BJ1743" s="573" t="s">
        <v>4670</v>
      </c>
    </row>
    <row r="1744" spans="1:62" x14ac:dyDescent="0.35">
      <c r="A1744" s="403">
        <v>9</v>
      </c>
      <c r="B1744" s="609">
        <v>902.1</v>
      </c>
      <c r="C1744" s="604"/>
      <c r="D1744" s="604"/>
      <c r="E1744" s="604" t="s">
        <v>274</v>
      </c>
      <c r="F1744" s="604"/>
      <c r="G1744" s="403" t="str">
        <f t="shared" si="590"/>
        <v>P</v>
      </c>
      <c r="H1744" s="403" t="s">
        <v>4325</v>
      </c>
      <c r="I1744" s="353"/>
      <c r="J1744" s="155"/>
      <c r="K1744" s="155"/>
      <c r="L1744" s="709"/>
      <c r="M1744" s="691"/>
      <c r="N1744" s="697"/>
      <c r="O1744" s="697"/>
      <c r="P1744" s="119"/>
      <c r="Q1744" s="119"/>
      <c r="R1744" s="119"/>
      <c r="S1744" s="119"/>
      <c r="T1744" s="119"/>
      <c r="U1744" s="119"/>
      <c r="V1744" s="119"/>
      <c r="W1744" s="119"/>
      <c r="X1744" s="688"/>
      <c r="Y1744" s="891"/>
      <c r="Z1744" s="892"/>
      <c r="BJ1744" s="573" t="s">
        <v>4670</v>
      </c>
    </row>
    <row r="1745" spans="1:62" x14ac:dyDescent="0.35">
      <c r="A1745" s="403">
        <v>9</v>
      </c>
      <c r="B1745" s="609" t="s">
        <v>3436</v>
      </c>
      <c r="C1745" s="604"/>
      <c r="D1745" s="604"/>
      <c r="E1745" s="604"/>
      <c r="F1745" s="604"/>
      <c r="G1745" s="403" t="str">
        <f>IF(N1745&gt;0,"P","")</f>
        <v/>
      </c>
      <c r="H1745" s="403" t="s">
        <v>4325</v>
      </c>
      <c r="I1745" s="135" t="s">
        <v>3436</v>
      </c>
      <c r="J1745" s="136"/>
      <c r="K1745" s="136"/>
      <c r="L1745" s="753" t="s">
        <v>3437</v>
      </c>
      <c r="M1745" s="712" t="s">
        <v>3438</v>
      </c>
      <c r="N1745" s="713">
        <f>'Ch9'!O188</f>
        <v>0</v>
      </c>
      <c r="O1745" s="713">
        <f>MIN(11,IF(W1746+W1748=0,0,5+2*(W1746+W1748-1)))</f>
        <v>0</v>
      </c>
      <c r="P1745" s="138"/>
      <c r="Q1745" s="138"/>
      <c r="R1745" s="138"/>
      <c r="S1745" s="138"/>
      <c r="T1745" s="138"/>
      <c r="U1745" s="138"/>
      <c r="V1745" s="138"/>
      <c r="W1745" s="138" t="s">
        <v>3913</v>
      </c>
      <c r="X1745" s="688"/>
      <c r="Y1745" s="891" t="str">
        <f>IF(LEN('Ch9'!X188)=0,"None",'Ch9'!X188)</f>
        <v>None</v>
      </c>
      <c r="Z1745" s="892"/>
      <c r="AL1745" t="str">
        <f t="shared" ref="AL1745" si="591">SUBSTITUTE(SUBSTITUTE(SUBSTITUTE("vpa"&amp;$B1745&amp;$C1745&amp;$D1745&amp;$E1745&amp;$F1745,".","_"),"(","_"),")","")</f>
        <v>vpa902_1_2</v>
      </c>
      <c r="AM1745" t="str">
        <f>M1745</f>
        <v>11 Max</v>
      </c>
      <c r="AN1745" t="str">
        <f>SUBSTITUTE(SUBSTITUTE(SUBSTITUTE("vpc"&amp;$B1745&amp;$C1745&amp;$D1745&amp;$E1745&amp;$F1745,".","_"),"(","_"),")","")</f>
        <v>vpc902_1_2</v>
      </c>
      <c r="AO1745">
        <f>O1745</f>
        <v>0</v>
      </c>
      <c r="AR1745" t="str">
        <f>SUBSTITUTE(SUBSTITUTE(SUBSTITUTE("vnt"&amp;$B1745&amp;$C1745&amp;$D1745&amp;$E1745&amp;$F1745,".","_"),"(","_"),")","")</f>
        <v>vnt902_1_2</v>
      </c>
      <c r="AS1745">
        <f>X1745</f>
        <v>0</v>
      </c>
      <c r="BJ1745" s="573" t="s">
        <v>4670</v>
      </c>
    </row>
    <row r="1746" spans="1:62" x14ac:dyDescent="0.35">
      <c r="A1746" s="403">
        <v>9</v>
      </c>
      <c r="B1746" s="609" t="s">
        <v>3436</v>
      </c>
      <c r="C1746" s="604"/>
      <c r="D1746" s="604"/>
      <c r="E1746" s="604"/>
      <c r="F1746" s="604"/>
      <c r="G1746" s="403" t="str">
        <f t="shared" ref="G1746:G1748" si="592">G1745</f>
        <v/>
      </c>
      <c r="H1746" s="403" t="s">
        <v>4325</v>
      </c>
      <c r="I1746" s="108"/>
      <c r="J1746" s="4"/>
      <c r="K1746" s="4"/>
      <c r="L1746" s="706"/>
      <c r="M1746" s="690"/>
      <c r="N1746" s="696"/>
      <c r="O1746" s="696"/>
      <c r="P1746" t="b">
        <v>0</v>
      </c>
      <c r="Q1746" t="b">
        <v>1</v>
      </c>
      <c r="R1746" t="b">
        <v>0</v>
      </c>
      <c r="S1746" t="b">
        <v>1</v>
      </c>
      <c r="T1746" t="b">
        <v>0</v>
      </c>
      <c r="W1746" s="330"/>
      <c r="X1746" s="688"/>
      <c r="Y1746" s="891"/>
      <c r="Z1746" s="892"/>
      <c r="AC1746" t="b">
        <f>OR(AD1746:AE1746)</f>
        <v>0</v>
      </c>
      <c r="AD1746" t="b">
        <f>T1746</f>
        <v>0</v>
      </c>
      <c r="AE1746" t="b">
        <f>AND(R1746,OR(W1746="Not Met",W1746=""))</f>
        <v>0</v>
      </c>
      <c r="AF1746" t="b">
        <f>AND(AE1746,NOT(Q1746))</f>
        <v>0</v>
      </c>
      <c r="AP1746" t="str">
        <f>SUBSTITUTE(SUBSTITUTE(SUBSTITUTE("vch"&amp;$B1746&amp;$C1746&amp;$D1746&amp;$E1746&amp;$F1746,".","_"),"(","_"),")","")</f>
        <v>vch902_1_2</v>
      </c>
      <c r="AQ1746" s="628">
        <f>W1746</f>
        <v>0</v>
      </c>
      <c r="BJ1746" s="573" t="s">
        <v>4670</v>
      </c>
    </row>
    <row r="1747" spans="1:62" x14ac:dyDescent="0.35">
      <c r="A1747" s="403">
        <v>9</v>
      </c>
      <c r="B1747" s="609" t="s">
        <v>3436</v>
      </c>
      <c r="C1747" s="604"/>
      <c r="D1747" s="604"/>
      <c r="E1747" s="604" t="s">
        <v>270</v>
      </c>
      <c r="F1747" s="604"/>
      <c r="G1747" s="403" t="str">
        <f t="shared" si="592"/>
        <v/>
      </c>
      <c r="H1747" s="403" t="s">
        <v>4325</v>
      </c>
      <c r="I1747" s="108"/>
      <c r="J1747" s="148" t="s">
        <v>270</v>
      </c>
      <c r="K1747" s="155"/>
      <c r="L1747" s="214" t="s">
        <v>3439</v>
      </c>
      <c r="M1747" s="198">
        <v>5</v>
      </c>
      <c r="N1747" s="85"/>
      <c r="O1747" s="85"/>
      <c r="W1747" t="s">
        <v>3914</v>
      </c>
      <c r="X1747" s="688"/>
      <c r="Y1747" s="891"/>
      <c r="Z1747" s="892"/>
      <c r="AL1747" t="str">
        <f t="shared" ref="AL1747:AL1749" si="593">SUBSTITUTE(SUBSTITUTE(SUBSTITUTE("vpa"&amp;$B1747&amp;$C1747&amp;$D1747&amp;$E1747&amp;$F1747,".","_"),"(","_"),")","")</f>
        <v>vpa902_1_2_1</v>
      </c>
      <c r="AM1747">
        <f>M1747</f>
        <v>5</v>
      </c>
      <c r="BJ1747" s="573" t="s">
        <v>4670</v>
      </c>
    </row>
    <row r="1748" spans="1:62" x14ac:dyDescent="0.35">
      <c r="A1748" s="403">
        <v>9</v>
      </c>
      <c r="B1748" s="609" t="s">
        <v>3436</v>
      </c>
      <c r="C1748" s="604"/>
      <c r="D1748" s="604"/>
      <c r="E1748" s="604" t="s">
        <v>272</v>
      </c>
      <c r="F1748" s="604"/>
      <c r="G1748" s="403" t="str">
        <f t="shared" si="592"/>
        <v/>
      </c>
      <c r="H1748" s="403" t="s">
        <v>4325</v>
      </c>
      <c r="I1748" s="353"/>
      <c r="J1748" s="148" t="s">
        <v>272</v>
      </c>
      <c r="K1748" s="155"/>
      <c r="L1748" s="214" t="s">
        <v>3440</v>
      </c>
      <c r="M1748" s="198">
        <v>2</v>
      </c>
      <c r="N1748" s="342"/>
      <c r="O1748" s="342"/>
      <c r="P1748" t="b">
        <v>0</v>
      </c>
      <c r="Q1748" t="b">
        <v>1</v>
      </c>
      <c r="R1748" s="119" t="b">
        <v>0</v>
      </c>
      <c r="S1748" s="119" t="b">
        <v>1</v>
      </c>
      <c r="T1748" s="119" t="b">
        <v>0</v>
      </c>
      <c r="U1748" s="119"/>
      <c r="V1748" s="119"/>
      <c r="W1748" s="357"/>
      <c r="X1748" s="688"/>
      <c r="Y1748" s="891"/>
      <c r="Z1748" s="892"/>
      <c r="AC1748" t="b">
        <f>OR(AD1748:AE1748)</f>
        <v>0</v>
      </c>
      <c r="AD1748" t="b">
        <f>T1748</f>
        <v>0</v>
      </c>
      <c r="AE1748" t="b">
        <f>AND(R1748,OR(W1748="Not Met",W1748=""))</f>
        <v>0</v>
      </c>
      <c r="AF1748" t="b">
        <f>AND(AE1748,NOT(Q1748))</f>
        <v>0</v>
      </c>
      <c r="AL1748" t="str">
        <f t="shared" si="593"/>
        <v>vpa902_1_2_2</v>
      </c>
      <c r="AM1748">
        <f>M1748</f>
        <v>2</v>
      </c>
      <c r="AP1748" t="str">
        <f t="shared" ref="AP1748:AP1749" si="594">SUBSTITUTE(SUBSTITUTE(SUBSTITUTE("vch"&amp;$B1748&amp;$C1748&amp;$D1748&amp;$E1748&amp;$F1748,".","_"),"(","_"),")","")</f>
        <v>vch902_1_2_2</v>
      </c>
      <c r="AQ1748" s="629">
        <f>W1748</f>
        <v>0</v>
      </c>
      <c r="BJ1748" s="573" t="s">
        <v>4670</v>
      </c>
    </row>
    <row r="1749" spans="1:62" x14ac:dyDescent="0.35">
      <c r="A1749" s="403">
        <v>9</v>
      </c>
      <c r="B1749" s="609" t="s">
        <v>3441</v>
      </c>
      <c r="C1749" s="604"/>
      <c r="D1749" s="604"/>
      <c r="E1749" s="604"/>
      <c r="F1749" s="604"/>
      <c r="G1749" s="403" t="str">
        <f>IF(N1749&gt;0,"P","")</f>
        <v/>
      </c>
      <c r="H1749" s="403" t="s">
        <v>4325</v>
      </c>
      <c r="I1749" s="135" t="s">
        <v>3441</v>
      </c>
      <c r="J1749" s="136"/>
      <c r="K1749" s="136"/>
      <c r="L1749" s="753" t="s">
        <v>3442</v>
      </c>
      <c r="M1749" s="712">
        <v>8</v>
      </c>
      <c r="N1749" s="713">
        <f>'Ch9'!O192</f>
        <v>0</v>
      </c>
      <c r="O1749" s="713">
        <f>M1749*S1749*W1749</f>
        <v>8</v>
      </c>
      <c r="P1749" t="b">
        <v>0</v>
      </c>
      <c r="Q1749" t="b">
        <v>1</v>
      </c>
      <c r="R1749" s="138" t="b">
        <v>0</v>
      </c>
      <c r="S1749" s="138" t="b">
        <v>1</v>
      </c>
      <c r="T1749" s="138" t="b">
        <v>0</v>
      </c>
      <c r="U1749" s="138"/>
      <c r="V1749" s="138"/>
      <c r="W1749" s="17" t="b">
        <v>1</v>
      </c>
      <c r="X1749" s="688"/>
      <c r="Y1749" s="891" t="str">
        <f>IF(LEN('Ch9'!X192)=0,"None",'Ch9'!X192)</f>
        <v>None</v>
      </c>
      <c r="Z1749" s="892"/>
      <c r="AC1749" t="b">
        <f>OR(AD1749:AE1749)</f>
        <v>0</v>
      </c>
      <c r="AD1749" t="b">
        <f>T1749</f>
        <v>0</v>
      </c>
      <c r="AE1749" t="b">
        <f>AND(R1749,NOT(W1749))</f>
        <v>0</v>
      </c>
      <c r="AF1749" t="b">
        <f>AND(AE1749,NOT(Q1749))</f>
        <v>0</v>
      </c>
      <c r="AL1749" t="str">
        <f t="shared" si="593"/>
        <v>vpa902_1_3</v>
      </c>
      <c r="AM1749">
        <f>M1749</f>
        <v>8</v>
      </c>
      <c r="AN1749" t="str">
        <f>SUBSTITUTE(SUBSTITUTE(SUBSTITUTE("vpc"&amp;$B1749&amp;$C1749&amp;$D1749&amp;$E1749&amp;$F1749,".","_"),"(","_"),")","")</f>
        <v>vpc902_1_3</v>
      </c>
      <c r="AO1749">
        <f>O1749</f>
        <v>8</v>
      </c>
      <c r="AP1749" t="str">
        <f t="shared" si="594"/>
        <v>vch902_1_3</v>
      </c>
      <c r="AQ1749" t="b">
        <f>W1749</f>
        <v>1</v>
      </c>
      <c r="AR1749" t="str">
        <f>SUBSTITUTE(SUBSTITUTE(SUBSTITUTE("vnt"&amp;$B1749&amp;$C1749&amp;$D1749&amp;$E1749&amp;$F1749,".","_"),"(","_"),")","")</f>
        <v>vnt902_1_3</v>
      </c>
      <c r="AS1749">
        <f>X1749</f>
        <v>0</v>
      </c>
      <c r="BJ1749" s="573" t="s">
        <v>4670</v>
      </c>
    </row>
    <row r="1750" spans="1:62" x14ac:dyDescent="0.35">
      <c r="A1750" s="403">
        <v>9</v>
      </c>
      <c r="B1750" s="609" t="s">
        <v>3441</v>
      </c>
      <c r="C1750" s="604"/>
      <c r="D1750" s="604"/>
      <c r="E1750" s="604"/>
      <c r="F1750" s="604"/>
      <c r="G1750" s="403" t="str">
        <f t="shared" ref="G1750:G1752" si="595">G1749</f>
        <v/>
      </c>
      <c r="H1750" s="403" t="s">
        <v>4325</v>
      </c>
      <c r="I1750" s="108"/>
      <c r="J1750" s="4"/>
      <c r="K1750" s="4"/>
      <c r="L1750" s="706"/>
      <c r="M1750" s="690"/>
      <c r="N1750" s="696"/>
      <c r="O1750" s="696"/>
      <c r="X1750" s="688"/>
      <c r="Y1750" s="891"/>
      <c r="Z1750" s="892"/>
      <c r="BJ1750" s="573" t="s">
        <v>4670</v>
      </c>
    </row>
    <row r="1751" spans="1:62" x14ac:dyDescent="0.35">
      <c r="A1751" s="403">
        <v>9</v>
      </c>
      <c r="B1751" s="609" t="s">
        <v>3441</v>
      </c>
      <c r="C1751" s="604"/>
      <c r="D1751" s="604"/>
      <c r="E1751" s="604"/>
      <c r="F1751" s="604" t="s">
        <v>121</v>
      </c>
      <c r="G1751" s="403" t="str">
        <f t="shared" si="595"/>
        <v/>
      </c>
      <c r="H1751" s="605" t="s">
        <v>4325</v>
      </c>
      <c r="I1751" s="108"/>
      <c r="J1751" s="4"/>
      <c r="K1751" s="19" t="s">
        <v>121</v>
      </c>
      <c r="L1751" s="104" t="s">
        <v>3443</v>
      </c>
      <c r="M1751" s="43"/>
      <c r="N1751" s="85"/>
      <c r="O1751" s="85"/>
      <c r="X1751" s="688"/>
      <c r="Y1751" s="891"/>
      <c r="Z1751" s="892"/>
      <c r="BJ1751" s="573" t="s">
        <v>4670</v>
      </c>
    </row>
    <row r="1752" spans="1:62" ht="15" customHeight="1" x14ac:dyDescent="0.35">
      <c r="A1752" s="403">
        <v>9</v>
      </c>
      <c r="B1752" s="609" t="s">
        <v>3441</v>
      </c>
      <c r="C1752" s="604"/>
      <c r="D1752" s="604"/>
      <c r="E1752" s="604"/>
      <c r="F1752" s="604" t="s">
        <v>122</v>
      </c>
      <c r="G1752" s="403" t="str">
        <f t="shared" si="595"/>
        <v/>
      </c>
      <c r="H1752" s="605" t="s">
        <v>4325</v>
      </c>
      <c r="I1752" s="353"/>
      <c r="J1752" s="155"/>
      <c r="K1752" s="148" t="s">
        <v>122</v>
      </c>
      <c r="L1752" s="214" t="s">
        <v>3444</v>
      </c>
      <c r="M1752" s="198"/>
      <c r="N1752" s="342"/>
      <c r="O1752" s="342"/>
      <c r="P1752" s="119"/>
      <c r="Q1752" s="119"/>
      <c r="R1752" s="119"/>
      <c r="S1752" s="119"/>
      <c r="T1752" s="119"/>
      <c r="U1752" s="119"/>
      <c r="V1752" s="119"/>
      <c r="W1752" s="119"/>
      <c r="X1752" s="688"/>
      <c r="Y1752" s="891"/>
      <c r="Z1752" s="892"/>
      <c r="BJ1752" s="573" t="s">
        <v>4670</v>
      </c>
    </row>
    <row r="1753" spans="1:62" x14ac:dyDescent="0.35">
      <c r="A1753" s="403">
        <v>9</v>
      </c>
      <c r="B1753" s="609" t="s">
        <v>3445</v>
      </c>
      <c r="C1753" s="604"/>
      <c r="D1753" s="604"/>
      <c r="E1753" s="604"/>
      <c r="F1753" s="604"/>
      <c r="G1753" s="403" t="str">
        <f>IF(N1753&gt;0,"P","")</f>
        <v>P</v>
      </c>
      <c r="H1753" s="403" t="s">
        <v>4325</v>
      </c>
      <c r="I1753" s="135" t="s">
        <v>3445</v>
      </c>
      <c r="J1753" s="136"/>
      <c r="K1753" s="136"/>
      <c r="L1753" s="358" t="s">
        <v>3446</v>
      </c>
      <c r="M1753" s="317" t="s">
        <v>568</v>
      </c>
      <c r="N1753" s="189">
        <f>'Ch9'!O196</f>
        <v>4</v>
      </c>
      <c r="O1753" s="189">
        <f>MIN(12,M1754*S1755*W1755+M1756*S1757*W1757)</f>
        <v>0</v>
      </c>
      <c r="P1753" s="138"/>
      <c r="Q1753" s="138"/>
      <c r="R1753" s="138"/>
      <c r="S1753" s="138"/>
      <c r="T1753" s="138"/>
      <c r="U1753" s="138"/>
      <c r="V1753" s="138"/>
      <c r="W1753" s="138"/>
      <c r="X1753" s="688"/>
      <c r="Y1753" s="891" t="str">
        <f>IF(LEN('Ch9'!X196)=0,"None",'Ch9'!X196)</f>
        <v>Panasonic Exhaust Ventilation Fan WhisperValue DC FV-0510VSC1, FV0510VSCL1</v>
      </c>
      <c r="Z1753" s="892"/>
      <c r="AL1753" t="str">
        <f t="shared" ref="AL1753:AL1754" si="596">SUBSTITUTE(SUBSTITUTE(SUBSTITUTE("vpa"&amp;$B1753&amp;$C1753&amp;$D1753&amp;$E1753&amp;$F1753,".","_"),"(","_"),")","")</f>
        <v>vpa902_1_4</v>
      </c>
      <c r="AM1753" t="str">
        <f>M1753</f>
        <v>12 Max</v>
      </c>
      <c r="AN1753" t="str">
        <f>SUBSTITUTE(SUBSTITUTE(SUBSTITUTE("vpc"&amp;$B1753&amp;$C1753&amp;$D1753&amp;$E1753&amp;$F1753,".","_"),"(","_"),")","")</f>
        <v>vpc902_1_4</v>
      </c>
      <c r="AO1753">
        <f>O1753</f>
        <v>0</v>
      </c>
      <c r="AR1753" t="str">
        <f>SUBSTITUTE(SUBSTITUTE(SUBSTITUTE("vnt"&amp;$B1753&amp;$C1753&amp;$D1753&amp;$E1753&amp;$F1753,".","_"),"(","_"),")","")</f>
        <v>vnt902_1_4</v>
      </c>
      <c r="AS1753">
        <f>X1753</f>
        <v>0</v>
      </c>
      <c r="BJ1753" s="573" t="s">
        <v>4670</v>
      </c>
    </row>
    <row r="1754" spans="1:62" x14ac:dyDescent="0.35">
      <c r="A1754" s="403">
        <v>9</v>
      </c>
      <c r="B1754" s="609" t="s">
        <v>3445</v>
      </c>
      <c r="C1754" s="604"/>
      <c r="D1754" s="604"/>
      <c r="E1754" s="604" t="s">
        <v>270</v>
      </c>
      <c r="F1754" s="604"/>
      <c r="G1754" s="403" t="str">
        <f t="shared" ref="G1754:G1757" si="597">G1753</f>
        <v>P</v>
      </c>
      <c r="H1754" s="403" t="s">
        <v>4325</v>
      </c>
      <c r="I1754" s="108"/>
      <c r="J1754" s="19" t="s">
        <v>270</v>
      </c>
      <c r="K1754" s="4"/>
      <c r="L1754" s="104" t="s">
        <v>3915</v>
      </c>
      <c r="M1754" s="690">
        <v>2</v>
      </c>
      <c r="N1754" s="85"/>
      <c r="O1754" s="85"/>
      <c r="W1754" t="s">
        <v>4023</v>
      </c>
      <c r="X1754" s="688"/>
      <c r="Y1754" s="891"/>
      <c r="Z1754" s="892"/>
      <c r="AL1754" t="str">
        <f t="shared" si="596"/>
        <v>vpa902_1_4_1</v>
      </c>
      <c r="AM1754">
        <f>M1754</f>
        <v>2</v>
      </c>
      <c r="BJ1754" s="573" t="s">
        <v>4670</v>
      </c>
    </row>
    <row r="1755" spans="1:62" x14ac:dyDescent="0.35">
      <c r="A1755" s="403">
        <v>9</v>
      </c>
      <c r="B1755" s="609" t="s">
        <v>3445</v>
      </c>
      <c r="C1755" s="604"/>
      <c r="D1755" s="604"/>
      <c r="E1755" s="604" t="s">
        <v>270</v>
      </c>
      <c r="F1755" s="604"/>
      <c r="G1755" s="403" t="str">
        <f t="shared" si="597"/>
        <v>P</v>
      </c>
      <c r="H1755" s="403" t="s">
        <v>4325</v>
      </c>
      <c r="I1755" s="108"/>
      <c r="J1755" s="148"/>
      <c r="K1755" s="155"/>
      <c r="L1755" s="165" t="s">
        <v>3447</v>
      </c>
      <c r="M1755" s="691"/>
      <c r="N1755" s="85"/>
      <c r="O1755" s="85"/>
      <c r="P1755" t="b">
        <v>0</v>
      </c>
      <c r="Q1755" t="b">
        <v>1</v>
      </c>
      <c r="R1755" t="b">
        <v>0</v>
      </c>
      <c r="S1755" t="b">
        <v>1</v>
      </c>
      <c r="T1755" t="b">
        <v>0</v>
      </c>
      <c r="W1755" s="331"/>
      <c r="X1755" s="688"/>
      <c r="Y1755" s="891"/>
      <c r="Z1755" s="892"/>
      <c r="AC1755" t="b">
        <f>OR(AD1755:AE1755)</f>
        <v>0</v>
      </c>
      <c r="AD1755" t="b">
        <f>T1755</f>
        <v>0</v>
      </c>
      <c r="AE1755" t="b">
        <f>AND(R1755,OR(W1755="Not Met",W1755=""))</f>
        <v>0</v>
      </c>
      <c r="AF1755" t="b">
        <f>AND(AE1755,NOT(Q1755))</f>
        <v>0</v>
      </c>
      <c r="AP1755" t="str">
        <f>SUBSTITUTE(SUBSTITUTE(SUBSTITUTE("vch"&amp;$B1755&amp;$C1755&amp;$D1755&amp;$E1755&amp;$F1755,".","_"),"(","_"),")","")</f>
        <v>vch902_1_4_1</v>
      </c>
      <c r="AQ1755" s="630">
        <f>W1755</f>
        <v>0</v>
      </c>
      <c r="BJ1755" s="573" t="s">
        <v>4670</v>
      </c>
    </row>
    <row r="1756" spans="1:62" x14ac:dyDescent="0.35">
      <c r="A1756" s="403">
        <v>9</v>
      </c>
      <c r="B1756" s="609" t="s">
        <v>3445</v>
      </c>
      <c r="C1756" s="604"/>
      <c r="D1756" s="604"/>
      <c r="E1756" s="604" t="s">
        <v>272</v>
      </c>
      <c r="F1756" s="604"/>
      <c r="G1756" s="403" t="str">
        <f t="shared" si="597"/>
        <v>P</v>
      </c>
      <c r="H1756" s="403" t="s">
        <v>4325</v>
      </c>
      <c r="I1756" s="108"/>
      <c r="J1756" s="19" t="s">
        <v>272</v>
      </c>
      <c r="K1756" s="4"/>
      <c r="L1756" s="104" t="s">
        <v>3448</v>
      </c>
      <c r="M1756" s="690">
        <v>3</v>
      </c>
      <c r="N1756" s="85"/>
      <c r="O1756" s="85"/>
      <c r="X1756" s="688"/>
      <c r="Y1756" s="891"/>
      <c r="Z1756" s="892"/>
      <c r="AL1756" t="str">
        <f t="shared" ref="AL1756" si="598">SUBSTITUTE(SUBSTITUTE(SUBSTITUTE("vpa"&amp;$B1756&amp;$C1756&amp;$D1756&amp;$E1756&amp;$F1756,".","_"),"(","_"),")","")</f>
        <v>vpa902_1_4_2</v>
      </c>
      <c r="AM1756">
        <f>M1756</f>
        <v>3</v>
      </c>
      <c r="BJ1756" s="573" t="s">
        <v>4670</v>
      </c>
    </row>
    <row r="1757" spans="1:62" x14ac:dyDescent="0.35">
      <c r="A1757" s="403">
        <v>9</v>
      </c>
      <c r="B1757" s="609" t="s">
        <v>3445</v>
      </c>
      <c r="C1757" s="604"/>
      <c r="D1757" s="604"/>
      <c r="E1757" s="604" t="s">
        <v>272</v>
      </c>
      <c r="F1757" s="604"/>
      <c r="G1757" s="403" t="str">
        <f t="shared" si="597"/>
        <v>P</v>
      </c>
      <c r="H1757" s="403" t="s">
        <v>4325</v>
      </c>
      <c r="I1757" s="353"/>
      <c r="J1757" s="155"/>
      <c r="K1757" s="155"/>
      <c r="L1757" s="165" t="s">
        <v>3447</v>
      </c>
      <c r="M1757" s="691"/>
      <c r="N1757" s="342"/>
      <c r="O1757" s="342"/>
      <c r="P1757" t="b">
        <v>0</v>
      </c>
      <c r="Q1757" t="b">
        <v>1</v>
      </c>
      <c r="R1757" s="119" t="b">
        <v>0</v>
      </c>
      <c r="S1757" s="119" t="b">
        <v>1</v>
      </c>
      <c r="T1757" s="119" t="b">
        <v>0</v>
      </c>
      <c r="U1757" s="119"/>
      <c r="V1757" s="119"/>
      <c r="W1757" s="331"/>
      <c r="X1757" s="688"/>
      <c r="Y1757" s="891"/>
      <c r="Z1757" s="892"/>
      <c r="AC1757" t="b">
        <f>OR(AD1757:AE1757)</f>
        <v>0</v>
      </c>
      <c r="AD1757" t="b">
        <f>T1757</f>
        <v>0</v>
      </c>
      <c r="AE1757" t="b">
        <f>AND(R1757,OR(W1757="Not Met",W1757=""))</f>
        <v>0</v>
      </c>
      <c r="AF1757" t="b">
        <f>AND(AE1757,NOT(Q1757))</f>
        <v>0</v>
      </c>
      <c r="AP1757" t="str">
        <f>SUBSTITUTE(SUBSTITUTE(SUBSTITUTE("vch"&amp;$B1757&amp;$C1757&amp;$D1757&amp;$E1757&amp;$F1757,".","_"),"(","_"),")","")</f>
        <v>vch902_1_4_2</v>
      </c>
      <c r="AQ1757" s="630">
        <f>W1757</f>
        <v>0</v>
      </c>
      <c r="BJ1757" s="573" t="s">
        <v>4670</v>
      </c>
    </row>
    <row r="1758" spans="1:62" x14ac:dyDescent="0.35">
      <c r="A1758" s="403">
        <v>9</v>
      </c>
      <c r="B1758" s="609" t="s">
        <v>3449</v>
      </c>
      <c r="C1758" s="604"/>
      <c r="D1758" s="604"/>
      <c r="E1758" s="604"/>
      <c r="F1758" s="604"/>
      <c r="G1758" s="403" t="str">
        <f>IF(N1758&gt;0,"P","")</f>
        <v/>
      </c>
      <c r="H1758" s="403" t="s">
        <v>4325</v>
      </c>
      <c r="I1758" s="32" t="s">
        <v>3449</v>
      </c>
      <c r="J1758" s="4"/>
      <c r="K1758" s="4"/>
      <c r="L1758" s="706" t="s">
        <v>3450</v>
      </c>
      <c r="M1758" s="690">
        <v>3</v>
      </c>
      <c r="N1758" s="696">
        <f>'Ch9'!O201</f>
        <v>0</v>
      </c>
      <c r="O1758" s="696">
        <f>M1758*W1760*W1762*W1764</f>
        <v>0</v>
      </c>
      <c r="Z1758" s="543"/>
      <c r="AL1758" t="str">
        <f t="shared" ref="AL1758" si="599">SUBSTITUTE(SUBSTITUTE(SUBSTITUTE("vpa"&amp;$B1758&amp;$C1758&amp;$D1758&amp;$E1758&amp;$F1758,".","_"),"(","_"),")","")</f>
        <v>vpa902_1_5</v>
      </c>
      <c r="AM1758">
        <f>M1758</f>
        <v>3</v>
      </c>
      <c r="AN1758" t="str">
        <f>SUBSTITUTE(SUBSTITUTE(SUBSTITUTE("vpc"&amp;$B1758&amp;$C1758&amp;$D1758&amp;$E1758&amp;$F1758,".","_"),"(","_"),")","")</f>
        <v>vpc902_1_5</v>
      </c>
      <c r="AO1758">
        <f>O1758</f>
        <v>0</v>
      </c>
      <c r="BJ1758" s="573" t="s">
        <v>4670</v>
      </c>
    </row>
    <row r="1759" spans="1:62" x14ac:dyDescent="0.35">
      <c r="A1759" s="403">
        <v>9</v>
      </c>
      <c r="B1759" s="609" t="s">
        <v>3449</v>
      </c>
      <c r="C1759" s="604"/>
      <c r="D1759" s="604"/>
      <c r="E1759" s="604"/>
      <c r="F1759" s="604"/>
      <c r="G1759" s="403" t="str">
        <f t="shared" ref="G1759:G1766" si="600">G1758</f>
        <v/>
      </c>
      <c r="H1759" s="403" t="s">
        <v>4325</v>
      </c>
      <c r="I1759" s="108"/>
      <c r="J1759" s="4"/>
      <c r="K1759" s="4"/>
      <c r="L1759" s="706"/>
      <c r="M1759" s="690"/>
      <c r="N1759" s="696"/>
      <c r="O1759" s="696"/>
      <c r="Z1759" s="543"/>
      <c r="BJ1759" s="573" t="s">
        <v>4670</v>
      </c>
    </row>
    <row r="1760" spans="1:62" x14ac:dyDescent="0.35">
      <c r="A1760" s="403">
        <v>9</v>
      </c>
      <c r="B1760" s="609" t="s">
        <v>3449</v>
      </c>
      <c r="C1760" s="604"/>
      <c r="D1760" s="604"/>
      <c r="E1760" s="604" t="s">
        <v>270</v>
      </c>
      <c r="F1760" s="604"/>
      <c r="G1760" s="403" t="str">
        <f t="shared" si="600"/>
        <v/>
      </c>
      <c r="H1760" s="403" t="s">
        <v>4325</v>
      </c>
      <c r="I1760" s="108"/>
      <c r="J1760" s="19" t="s">
        <v>270</v>
      </c>
      <c r="K1760" s="4"/>
      <c r="L1760" s="707" t="s">
        <v>3451</v>
      </c>
      <c r="M1760" s="43"/>
      <c r="N1760" s="85"/>
      <c r="O1760" s="85"/>
      <c r="P1760" t="b">
        <v>0</v>
      </c>
      <c r="Q1760" t="b">
        <v>1</v>
      </c>
      <c r="R1760" t="b">
        <v>0</v>
      </c>
      <c r="S1760" t="b">
        <v>1</v>
      </c>
      <c r="T1760" t="b">
        <v>0</v>
      </c>
      <c r="W1760" s="17"/>
      <c r="X1760" s="688"/>
      <c r="Y1760" s="891" t="str">
        <f>IF(LEN('Ch9'!X203)=0,"None",'Ch9'!X203)</f>
        <v>None</v>
      </c>
      <c r="Z1760" s="892"/>
      <c r="AC1760" t="b">
        <f>OR(AD1760:AE1760)</f>
        <v>0</v>
      </c>
      <c r="AD1760" t="b">
        <f>T1760</f>
        <v>0</v>
      </c>
      <c r="AE1760" t="b">
        <f>AND(R1760,NOT(W1760))</f>
        <v>0</v>
      </c>
      <c r="AF1760" t="b">
        <f>AND(AE1760,NOT(Q1760))</f>
        <v>0</v>
      </c>
      <c r="AP1760" t="str">
        <f>SUBSTITUTE(SUBSTITUTE(SUBSTITUTE("vch"&amp;$B1760&amp;$C1760&amp;$D1760&amp;$E1760&amp;$F1760,".","_"),"(","_"),")","")</f>
        <v>vch902_1_5_1</v>
      </c>
      <c r="AQ1760">
        <f>W1760</f>
        <v>0</v>
      </c>
      <c r="AR1760" t="str">
        <f>SUBSTITUTE(SUBSTITUTE(SUBSTITUTE("vnt"&amp;$B1760&amp;$C1760&amp;$D1760&amp;$E1760&amp;$F1760,".","_"),"(","_"),")","")</f>
        <v>vnt902_1_5_1</v>
      </c>
      <c r="AS1760">
        <f>X1760</f>
        <v>0</v>
      </c>
      <c r="BJ1760" s="573" t="s">
        <v>4670</v>
      </c>
    </row>
    <row r="1761" spans="1:62" x14ac:dyDescent="0.35">
      <c r="A1761" s="403">
        <v>9</v>
      </c>
      <c r="B1761" s="609" t="s">
        <v>3449</v>
      </c>
      <c r="C1761" s="604"/>
      <c r="D1761" s="604"/>
      <c r="E1761" s="604" t="s">
        <v>270</v>
      </c>
      <c r="F1761" s="604"/>
      <c r="G1761" s="403" t="str">
        <f t="shared" si="600"/>
        <v/>
      </c>
      <c r="H1761" s="403" t="s">
        <v>4325</v>
      </c>
      <c r="I1761" s="108"/>
      <c r="J1761" s="148"/>
      <c r="K1761" s="155"/>
      <c r="L1761" s="709"/>
      <c r="M1761" s="43"/>
      <c r="N1761" s="85"/>
      <c r="O1761" s="85"/>
      <c r="X1761" s="688"/>
      <c r="Y1761" s="891"/>
      <c r="Z1761" s="892"/>
      <c r="BJ1761" s="573" t="s">
        <v>4670</v>
      </c>
    </row>
    <row r="1762" spans="1:62" x14ac:dyDescent="0.35">
      <c r="A1762" s="403">
        <v>9</v>
      </c>
      <c r="B1762" s="609" t="s">
        <v>3449</v>
      </c>
      <c r="C1762" s="604"/>
      <c r="D1762" s="604"/>
      <c r="E1762" s="604" t="s">
        <v>272</v>
      </c>
      <c r="F1762" s="604"/>
      <c r="G1762" s="403" t="str">
        <f t="shared" si="600"/>
        <v/>
      </c>
      <c r="H1762" s="403" t="s">
        <v>4325</v>
      </c>
      <c r="I1762" s="108"/>
      <c r="J1762" s="19" t="s">
        <v>272</v>
      </c>
      <c r="K1762" s="4"/>
      <c r="L1762" s="707" t="s">
        <v>3452</v>
      </c>
      <c r="M1762" s="43"/>
      <c r="N1762" s="85"/>
      <c r="O1762" s="85"/>
      <c r="P1762" t="b">
        <v>0</v>
      </c>
      <c r="Q1762" t="b">
        <v>1</v>
      </c>
      <c r="R1762" t="b">
        <v>0</v>
      </c>
      <c r="S1762" t="b">
        <v>1</v>
      </c>
      <c r="T1762" t="b">
        <v>0</v>
      </c>
      <c r="W1762" s="17"/>
      <c r="X1762" s="688"/>
      <c r="Y1762" s="891" t="str">
        <f>IF(LEN('Ch9'!X205)=0,"None",'Ch9'!X205)</f>
        <v>None</v>
      </c>
      <c r="Z1762" s="892"/>
      <c r="AC1762" t="b">
        <f>OR(AD1762:AE1762)</f>
        <v>0</v>
      </c>
      <c r="AD1762" t="b">
        <f>T1762</f>
        <v>0</v>
      </c>
      <c r="AE1762" t="b">
        <f>AND(R1762,NOT(W1762))</f>
        <v>0</v>
      </c>
      <c r="AF1762" t="b">
        <f>AND(AE1762,NOT(Q1762))</f>
        <v>0</v>
      </c>
      <c r="AP1762" t="str">
        <f>SUBSTITUTE(SUBSTITUTE(SUBSTITUTE("vch"&amp;$B1762&amp;$C1762&amp;$D1762&amp;$E1762&amp;$F1762,".","_"),"(","_"),")","")</f>
        <v>vch902_1_5_2</v>
      </c>
      <c r="AQ1762">
        <f>W1762</f>
        <v>0</v>
      </c>
      <c r="AR1762" t="str">
        <f>SUBSTITUTE(SUBSTITUTE(SUBSTITUTE("vnt"&amp;$B1762&amp;$C1762&amp;$D1762&amp;$E1762&amp;$F1762,".","_"),"(","_"),")","")</f>
        <v>vnt902_1_5_2</v>
      </c>
      <c r="AS1762">
        <f>X1762</f>
        <v>0</v>
      </c>
      <c r="BJ1762" s="573" t="s">
        <v>4670</v>
      </c>
    </row>
    <row r="1763" spans="1:62" x14ac:dyDescent="0.35">
      <c r="A1763" s="403">
        <v>9</v>
      </c>
      <c r="B1763" s="609" t="s">
        <v>3449</v>
      </c>
      <c r="C1763" s="604"/>
      <c r="D1763" s="604"/>
      <c r="E1763" s="604" t="s">
        <v>272</v>
      </c>
      <c r="F1763" s="604"/>
      <c r="G1763" s="403" t="str">
        <f t="shared" si="600"/>
        <v/>
      </c>
      <c r="H1763" s="403" t="s">
        <v>4325</v>
      </c>
      <c r="I1763" s="108"/>
      <c r="J1763" s="155"/>
      <c r="K1763" s="155"/>
      <c r="L1763" s="709"/>
      <c r="M1763" s="43"/>
      <c r="N1763" s="85"/>
      <c r="O1763" s="85"/>
      <c r="X1763" s="688"/>
      <c r="Y1763" s="891"/>
      <c r="Z1763" s="892"/>
      <c r="BJ1763" s="573" t="s">
        <v>4670</v>
      </c>
    </row>
    <row r="1764" spans="1:62" x14ac:dyDescent="0.35">
      <c r="A1764" s="403">
        <v>9</v>
      </c>
      <c r="B1764" s="609" t="s">
        <v>3449</v>
      </c>
      <c r="C1764" s="604"/>
      <c r="D1764" s="604"/>
      <c r="E1764" s="604" t="s">
        <v>274</v>
      </c>
      <c r="F1764" s="604"/>
      <c r="G1764" s="403" t="str">
        <f t="shared" si="600"/>
        <v/>
      </c>
      <c r="H1764" s="403" t="s">
        <v>4325</v>
      </c>
      <c r="I1764" s="108"/>
      <c r="J1764" s="19" t="s">
        <v>274</v>
      </c>
      <c r="K1764" s="4"/>
      <c r="L1764" s="707" t="s">
        <v>3453</v>
      </c>
      <c r="M1764" s="43"/>
      <c r="N1764" s="85"/>
      <c r="O1764" s="85"/>
      <c r="P1764" t="b">
        <v>0</v>
      </c>
      <c r="Q1764" t="b">
        <v>1</v>
      </c>
      <c r="R1764" t="b">
        <v>0</v>
      </c>
      <c r="S1764" t="b">
        <v>1</v>
      </c>
      <c r="T1764" t="b">
        <v>0</v>
      </c>
      <c r="W1764" s="17"/>
      <c r="X1764" s="688"/>
      <c r="Y1764" s="891" t="str">
        <f>IF(LEN('Ch9'!X207)=0,"None",'Ch9'!X207)</f>
        <v>None</v>
      </c>
      <c r="Z1764" s="892"/>
      <c r="AC1764" t="b">
        <f>OR(AD1764:AE1764)</f>
        <v>0</v>
      </c>
      <c r="AD1764" t="b">
        <f>T1764</f>
        <v>0</v>
      </c>
      <c r="AE1764" t="b">
        <f>AND(R1764,NOT(W1764))</f>
        <v>0</v>
      </c>
      <c r="AF1764" t="b">
        <f>AND(AE1764,NOT(Q1764))</f>
        <v>0</v>
      </c>
      <c r="AP1764" t="str">
        <f>SUBSTITUTE(SUBSTITUTE(SUBSTITUTE("vch"&amp;$B1764&amp;$C1764&amp;$D1764&amp;$E1764&amp;$F1764,".","_"),"(","_"),")","")</f>
        <v>vch902_1_5_3</v>
      </c>
      <c r="AQ1764">
        <f>W1764</f>
        <v>0</v>
      </c>
      <c r="AR1764" t="str">
        <f>SUBSTITUTE(SUBSTITUTE(SUBSTITUTE("vnt"&amp;$B1764&amp;$C1764&amp;$D1764&amp;$E1764&amp;$F1764,".","_"),"(","_"),")","")</f>
        <v>vnt902_1_5_3</v>
      </c>
      <c r="AS1764">
        <f>X1764</f>
        <v>0</v>
      </c>
      <c r="BJ1764" s="573" t="s">
        <v>4670</v>
      </c>
    </row>
    <row r="1765" spans="1:62" x14ac:dyDescent="0.35">
      <c r="A1765" s="403">
        <v>9</v>
      </c>
      <c r="B1765" s="609" t="s">
        <v>3449</v>
      </c>
      <c r="C1765" s="604"/>
      <c r="D1765" s="604"/>
      <c r="E1765" s="604" t="s">
        <v>274</v>
      </c>
      <c r="F1765" s="604"/>
      <c r="G1765" s="403" t="str">
        <f t="shared" si="600"/>
        <v/>
      </c>
      <c r="H1765" s="403" t="s">
        <v>4325</v>
      </c>
      <c r="I1765" s="108"/>
      <c r="J1765" s="4"/>
      <c r="K1765" s="4"/>
      <c r="L1765" s="707"/>
      <c r="M1765" s="43"/>
      <c r="N1765" s="85"/>
      <c r="O1765" s="85"/>
      <c r="X1765" s="688"/>
      <c r="Y1765" s="891"/>
      <c r="Z1765" s="892"/>
      <c r="BJ1765" s="573" t="s">
        <v>4670</v>
      </c>
    </row>
    <row r="1766" spans="1:62" ht="15" thickBot="1" x14ac:dyDescent="0.4">
      <c r="A1766" s="403">
        <v>9</v>
      </c>
      <c r="B1766" s="609" t="s">
        <v>3449</v>
      </c>
      <c r="C1766" s="604"/>
      <c r="D1766" s="604"/>
      <c r="E1766" s="604" t="s">
        <v>274</v>
      </c>
      <c r="F1766" s="604"/>
      <c r="G1766" s="403" t="str">
        <f t="shared" si="600"/>
        <v/>
      </c>
      <c r="H1766" s="403" t="s">
        <v>4325</v>
      </c>
      <c r="I1766" s="328"/>
      <c r="J1766" s="183"/>
      <c r="K1766" s="183"/>
      <c r="L1766" s="708"/>
      <c r="M1766" s="270"/>
      <c r="N1766" s="184"/>
      <c r="O1766" s="184"/>
      <c r="P1766" s="58"/>
      <c r="Q1766" s="58"/>
      <c r="R1766" s="58"/>
      <c r="S1766" s="58"/>
      <c r="T1766" s="58"/>
      <c r="U1766" s="58"/>
      <c r="V1766" s="58"/>
      <c r="W1766" s="58"/>
      <c r="X1766" s="689"/>
      <c r="Y1766" s="905"/>
      <c r="Z1766" s="895"/>
      <c r="BJ1766" s="573" t="s">
        <v>4670</v>
      </c>
    </row>
    <row r="1767" spans="1:62" ht="15" thickTop="1" x14ac:dyDescent="0.35">
      <c r="A1767" s="403">
        <v>9</v>
      </c>
      <c r="B1767" s="609">
        <v>902.2</v>
      </c>
      <c r="C1767" s="604"/>
      <c r="D1767" s="604"/>
      <c r="E1767" s="604"/>
      <c r="F1767" s="604"/>
      <c r="G1767" s="403" t="s">
        <v>4326</v>
      </c>
      <c r="H1767" s="403" t="s">
        <v>4325</v>
      </c>
      <c r="I1767" s="123">
        <v>902.2</v>
      </c>
      <c r="J1767" s="124"/>
      <c r="K1767" s="124"/>
      <c r="L1767" s="222" t="s">
        <v>3454</v>
      </c>
      <c r="M1767" s="199"/>
      <c r="N1767" s="341"/>
      <c r="O1767" s="341"/>
      <c r="P1767" s="62"/>
      <c r="Q1767" s="62"/>
      <c r="R1767" s="62"/>
      <c r="S1767" s="62"/>
      <c r="T1767" s="62"/>
      <c r="U1767" s="62"/>
      <c r="V1767" s="62"/>
      <c r="W1767" s="62"/>
      <c r="X1767" s="62"/>
      <c r="Z1767" s="543"/>
      <c r="BJ1767" s="573" t="s">
        <v>4670</v>
      </c>
    </row>
    <row r="1768" spans="1:62" ht="15" customHeight="1" x14ac:dyDescent="0.35">
      <c r="A1768" s="403">
        <v>9</v>
      </c>
      <c r="B1768" s="609" t="s">
        <v>3917</v>
      </c>
      <c r="C1768" s="604"/>
      <c r="D1768" s="604"/>
      <c r="E1768" s="604"/>
      <c r="F1768" s="604"/>
      <c r="G1768" s="403" t="s">
        <v>4326</v>
      </c>
      <c r="H1768" s="403" t="s">
        <v>4325</v>
      </c>
      <c r="I1768" s="32" t="s">
        <v>3917</v>
      </c>
      <c r="J1768" s="4"/>
      <c r="K1768" s="4"/>
      <c r="L1768" s="706" t="s">
        <v>4594</v>
      </c>
      <c r="M1768" s="750" t="str">
        <f>IF(R1768,"Mandatory 
(ACH50 is &lt; 5.0)","N/A")</f>
        <v>Mandatory 
(ACH50 is &lt; 5.0)</v>
      </c>
      <c r="N1768" s="696">
        <f ca="1">'Ch9'!O211</f>
        <v>3</v>
      </c>
      <c r="O1768" s="696">
        <f ca="1">IFERROR(INDEX({3,6,7,8},MATCH(W1768,INDIRECT(U1768),0)),0)*S1768</f>
        <v>3</v>
      </c>
      <c r="P1768" t="b">
        <v>0</v>
      </c>
      <c r="Q1768" t="b">
        <v>1</v>
      </c>
      <c r="R1768" t="b">
        <f>OR(AND(S1769&gt;0,S1769&lt;5), AND(S1770&gt;0,S1770&lt;0.28))</f>
        <v>1</v>
      </c>
      <c r="S1768" t="b">
        <v>1</v>
      </c>
      <c r="T1768" t="b">
        <f>AND(NOT(S1768),LEN(W1768)&gt;0)</f>
        <v>0</v>
      </c>
      <c r="U1768" t="str">
        <f>SUBSTITUTE(SUBSTITUTE(SUBSTITUTE("dd"&amp;B1768&amp;C1768&amp;D1768&amp;E1768&amp;F1768,".","_"),"(","_"),")","")</f>
        <v>dd902_2_1</v>
      </c>
      <c r="W1768" s="488" t="s">
        <v>270</v>
      </c>
      <c r="X1768" s="688"/>
      <c r="Y1768" s="891" t="str">
        <f>IF(LEN('Ch9'!X211)=0,"None",'Ch9'!X211)</f>
        <v>Panasonic Exhaust Ventilation Fan. Whisper ValueDC FV-0510VSC1, FV0510VSCL1</v>
      </c>
      <c r="Z1768" s="892"/>
      <c r="AC1768" t="b">
        <f>OR(AD1768:AE1768)</f>
        <v>0</v>
      </c>
      <c r="AD1768" t="b">
        <f>T1768</f>
        <v>0</v>
      </c>
      <c r="AE1768" t="b">
        <f>AND(R1768,OR(W1768="Not Met",W1768=""))</f>
        <v>0</v>
      </c>
      <c r="AF1768" t="b">
        <f>AND(AE1768,NOT(Q1768))</f>
        <v>0</v>
      </c>
      <c r="AL1768" t="str">
        <f t="shared" ref="AL1768" si="601">SUBSTITUTE(SUBSTITUTE(SUBSTITUTE("vpa"&amp;$B1768&amp;$C1768&amp;$D1768&amp;$E1768&amp;$F1768,".","_"),"(","_"),")","")</f>
        <v>vpa902_2_1</v>
      </c>
      <c r="AM1768" t="str">
        <f>M1768</f>
        <v>Mandatory 
(ACH50 is &lt; 5.0)</v>
      </c>
      <c r="AN1768" t="str">
        <f>SUBSTITUTE(SUBSTITUTE(SUBSTITUTE("vpc"&amp;$B1768&amp;$C1768&amp;$D1768&amp;$E1768&amp;$F1768,".","_"),"(","_"),")","")</f>
        <v>vpc902_2_1</v>
      </c>
      <c r="AO1768">
        <f ca="1">O1768</f>
        <v>3</v>
      </c>
      <c r="AP1768" t="str">
        <f>SUBSTITUTE(SUBSTITUTE(SUBSTITUTE("vch"&amp;$B1768&amp;$C1768&amp;$D1768&amp;$E1768&amp;$F1768,".","_"),"(","_"),")","")</f>
        <v>vch902_2_1</v>
      </c>
      <c r="AQ1768" t="str">
        <f>W1768</f>
        <v>(1)</v>
      </c>
      <c r="AR1768" t="str">
        <f>SUBSTITUTE(SUBSTITUTE(SUBSTITUTE("vnt"&amp;$B1768&amp;$C1768&amp;$D1768&amp;$E1768&amp;$F1768,".","_"),"(","_"),")","")</f>
        <v>vnt902_2_1</v>
      </c>
      <c r="AS1768">
        <f>X1768</f>
        <v>0</v>
      </c>
      <c r="BJ1768" s="573" t="s">
        <v>4670</v>
      </c>
    </row>
    <row r="1769" spans="1:62" x14ac:dyDescent="0.35">
      <c r="A1769" s="403">
        <v>9</v>
      </c>
      <c r="B1769" s="609" t="s">
        <v>3917</v>
      </c>
      <c r="C1769" s="604"/>
      <c r="D1769" s="604"/>
      <c r="E1769" s="604"/>
      <c r="F1769" s="604"/>
      <c r="G1769" s="403" t="s">
        <v>4326</v>
      </c>
      <c r="H1769" s="403" t="s">
        <v>4325</v>
      </c>
      <c r="I1769" s="108"/>
      <c r="J1769" s="4"/>
      <c r="K1769" s="4"/>
      <c r="L1769" s="706"/>
      <c r="M1769" s="750"/>
      <c r="N1769" s="696"/>
      <c r="O1769" s="696"/>
      <c r="R1769" s="285" t="s">
        <v>4024</v>
      </c>
      <c r="S1769" s="332">
        <f>MAX(W839,W1295)</f>
        <v>3</v>
      </c>
      <c r="X1769" s="688"/>
      <c r="Y1769" s="891"/>
      <c r="Z1769" s="892"/>
      <c r="BJ1769" s="573" t="s">
        <v>4670</v>
      </c>
    </row>
    <row r="1770" spans="1:62" x14ac:dyDescent="0.35">
      <c r="A1770" s="403">
        <v>9</v>
      </c>
      <c r="B1770" s="609" t="s">
        <v>3917</v>
      </c>
      <c r="C1770" s="604"/>
      <c r="D1770" s="604"/>
      <c r="E1770" s="604"/>
      <c r="F1770" s="604"/>
      <c r="G1770" s="403" t="s">
        <v>4326</v>
      </c>
      <c r="H1770" s="403" t="s">
        <v>4325</v>
      </c>
      <c r="I1770" s="108"/>
      <c r="J1770" s="4"/>
      <c r="K1770" s="4"/>
      <c r="L1770" s="706"/>
      <c r="M1770" s="750"/>
      <c r="N1770" s="696"/>
      <c r="O1770" s="696"/>
      <c r="R1770" s="285" t="s">
        <v>4694</v>
      </c>
      <c r="S1770" s="332">
        <f>MAX(W842,W1297)</f>
        <v>0</v>
      </c>
      <c r="X1770" s="688"/>
      <c r="Y1770" s="891"/>
      <c r="Z1770" s="892"/>
      <c r="BJ1770" s="573" t="s">
        <v>4670</v>
      </c>
    </row>
    <row r="1771" spans="1:62" x14ac:dyDescent="0.35">
      <c r="A1771" s="403">
        <v>9</v>
      </c>
      <c r="B1771" s="609" t="s">
        <v>3917</v>
      </c>
      <c r="C1771" s="604"/>
      <c r="D1771" s="604"/>
      <c r="E1771" s="604" t="s">
        <v>270</v>
      </c>
      <c r="F1771" s="604"/>
      <c r="G1771" s="403" t="s">
        <v>4326</v>
      </c>
      <c r="H1771" s="403" t="s">
        <v>4325</v>
      </c>
      <c r="I1771" s="108"/>
      <c r="J1771" s="19" t="s">
        <v>270</v>
      </c>
      <c r="K1771" s="4"/>
      <c r="L1771" s="723" t="s">
        <v>3455</v>
      </c>
      <c r="M1771" s="690">
        <v>3</v>
      </c>
      <c r="N1771" s="85"/>
      <c r="O1771" s="85"/>
      <c r="X1771" s="688"/>
      <c r="Y1771" s="891"/>
      <c r="Z1771" s="892"/>
      <c r="AL1771" t="str">
        <f t="shared" ref="AL1771" si="602">SUBSTITUTE(SUBSTITUTE(SUBSTITUTE("vpa"&amp;$B1771&amp;$C1771&amp;$D1771&amp;$E1771&amp;$F1771,".","_"),"(","_"),")","")</f>
        <v>vpa902_2_1_1</v>
      </c>
      <c r="AM1771">
        <f>M1771</f>
        <v>3</v>
      </c>
      <c r="BJ1771" s="573" t="s">
        <v>4670</v>
      </c>
    </row>
    <row r="1772" spans="1:62" x14ac:dyDescent="0.35">
      <c r="A1772" s="403">
        <v>9</v>
      </c>
      <c r="B1772" s="609" t="s">
        <v>3917</v>
      </c>
      <c r="C1772" s="604"/>
      <c r="D1772" s="604"/>
      <c r="E1772" s="604" t="s">
        <v>270</v>
      </c>
      <c r="F1772" s="604"/>
      <c r="G1772" s="403" t="s">
        <v>4326</v>
      </c>
      <c r="H1772" s="403" t="s">
        <v>4325</v>
      </c>
      <c r="I1772" s="108"/>
      <c r="J1772" s="148"/>
      <c r="K1772" s="155"/>
      <c r="L1772" s="724"/>
      <c r="M1772" s="691"/>
      <c r="N1772" s="85"/>
      <c r="O1772" s="85"/>
      <c r="X1772" s="688"/>
      <c r="Y1772" s="891"/>
      <c r="Z1772" s="892"/>
      <c r="BJ1772" s="573" t="s">
        <v>4670</v>
      </c>
    </row>
    <row r="1773" spans="1:62" x14ac:dyDescent="0.35">
      <c r="A1773" s="403">
        <v>9</v>
      </c>
      <c r="B1773" s="609" t="s">
        <v>3917</v>
      </c>
      <c r="C1773" s="604"/>
      <c r="D1773" s="604"/>
      <c r="E1773" s="604" t="s">
        <v>272</v>
      </c>
      <c r="F1773" s="604"/>
      <c r="G1773" s="403" t="s">
        <v>4326</v>
      </c>
      <c r="H1773" s="403" t="s">
        <v>4325</v>
      </c>
      <c r="I1773" s="108"/>
      <c r="J1773" s="19" t="s">
        <v>272</v>
      </c>
      <c r="K1773" s="4"/>
      <c r="L1773" s="707" t="s">
        <v>3456</v>
      </c>
      <c r="M1773" s="690">
        <v>6</v>
      </c>
      <c r="N1773" s="85"/>
      <c r="O1773" s="85"/>
      <c r="X1773" s="688"/>
      <c r="Y1773" s="891"/>
      <c r="Z1773" s="892"/>
      <c r="AL1773" t="str">
        <f t="shared" ref="AL1773" si="603">SUBSTITUTE(SUBSTITUTE(SUBSTITUTE("vpa"&amp;$B1773&amp;$C1773&amp;$D1773&amp;$E1773&amp;$F1773,".","_"),"(","_"),")","")</f>
        <v>vpa902_2_1_2</v>
      </c>
      <c r="AM1773">
        <f>M1773</f>
        <v>6</v>
      </c>
      <c r="BJ1773" s="573" t="s">
        <v>4670</v>
      </c>
    </row>
    <row r="1774" spans="1:62" x14ac:dyDescent="0.35">
      <c r="A1774" s="403">
        <v>9</v>
      </c>
      <c r="B1774" s="609" t="s">
        <v>3917</v>
      </c>
      <c r="C1774" s="604"/>
      <c r="D1774" s="604"/>
      <c r="E1774" s="604" t="s">
        <v>272</v>
      </c>
      <c r="F1774" s="604"/>
      <c r="G1774" s="403" t="s">
        <v>4326</v>
      </c>
      <c r="H1774" s="403" t="s">
        <v>4325</v>
      </c>
      <c r="I1774" s="108"/>
      <c r="J1774" s="155"/>
      <c r="K1774" s="155"/>
      <c r="L1774" s="709"/>
      <c r="M1774" s="691"/>
      <c r="N1774" s="85"/>
      <c r="O1774" s="85"/>
      <c r="X1774" s="688"/>
      <c r="Y1774" s="891"/>
      <c r="Z1774" s="892"/>
      <c r="BJ1774" s="573" t="s">
        <v>4670</v>
      </c>
    </row>
    <row r="1775" spans="1:62" x14ac:dyDescent="0.35">
      <c r="A1775" s="403">
        <v>9</v>
      </c>
      <c r="B1775" s="609" t="s">
        <v>3917</v>
      </c>
      <c r="C1775" s="604"/>
      <c r="D1775" s="604"/>
      <c r="E1775" s="604" t="s">
        <v>274</v>
      </c>
      <c r="F1775" s="604"/>
      <c r="G1775" s="403" t="s">
        <v>4326</v>
      </c>
      <c r="H1775" s="403" t="s">
        <v>4325</v>
      </c>
      <c r="I1775" s="108"/>
      <c r="J1775" s="148" t="s">
        <v>274</v>
      </c>
      <c r="K1775" s="155"/>
      <c r="L1775" s="214" t="s">
        <v>3457</v>
      </c>
      <c r="M1775" s="198">
        <v>7</v>
      </c>
      <c r="N1775" s="85"/>
      <c r="O1775" s="85"/>
      <c r="X1775" s="688"/>
      <c r="Y1775" s="891"/>
      <c r="Z1775" s="892"/>
      <c r="AL1775" t="str">
        <f t="shared" ref="AL1775:AL1777" si="604">SUBSTITUTE(SUBSTITUTE(SUBSTITUTE("vpa"&amp;$B1775&amp;$C1775&amp;$D1775&amp;$E1775&amp;$F1775,".","_"),"(","_"),")","")</f>
        <v>vpa902_2_1_3</v>
      </c>
      <c r="AM1775">
        <f>M1775</f>
        <v>7</v>
      </c>
      <c r="BJ1775" s="573" t="s">
        <v>4670</v>
      </c>
    </row>
    <row r="1776" spans="1:62" x14ac:dyDescent="0.35">
      <c r="A1776" s="403">
        <v>9</v>
      </c>
      <c r="B1776" s="609" t="s">
        <v>3917</v>
      </c>
      <c r="C1776" s="604"/>
      <c r="D1776" s="604"/>
      <c r="E1776" s="604" t="s">
        <v>283</v>
      </c>
      <c r="F1776" s="604"/>
      <c r="G1776" s="403" t="s">
        <v>4326</v>
      </c>
      <c r="H1776" s="403" t="s">
        <v>4325</v>
      </c>
      <c r="I1776" s="353"/>
      <c r="J1776" s="148" t="s">
        <v>283</v>
      </c>
      <c r="K1776" s="155"/>
      <c r="L1776" s="214" t="s">
        <v>3458</v>
      </c>
      <c r="M1776" s="198">
        <v>8</v>
      </c>
      <c r="N1776" s="342"/>
      <c r="O1776" s="342"/>
      <c r="P1776" s="119"/>
      <c r="Q1776" s="119"/>
      <c r="R1776" s="119"/>
      <c r="S1776" s="119"/>
      <c r="T1776" s="119"/>
      <c r="U1776" s="119"/>
      <c r="V1776" s="119"/>
      <c r="W1776" s="119"/>
      <c r="X1776" s="688"/>
      <c r="Y1776" s="891"/>
      <c r="Z1776" s="892"/>
      <c r="AL1776" t="str">
        <f t="shared" si="604"/>
        <v>vpa902_2_1_4</v>
      </c>
      <c r="AM1776">
        <f>M1776</f>
        <v>8</v>
      </c>
      <c r="BJ1776" s="573" t="s">
        <v>4670</v>
      </c>
    </row>
    <row r="1777" spans="1:62" x14ac:dyDescent="0.35">
      <c r="A1777" s="403">
        <v>9</v>
      </c>
      <c r="B1777" s="609" t="s">
        <v>3459</v>
      </c>
      <c r="C1777" s="604"/>
      <c r="D1777" s="604"/>
      <c r="E1777" s="604"/>
      <c r="F1777" s="604"/>
      <c r="G1777" s="403" t="str">
        <f ca="1">IF(N1777&gt;0,"P","")</f>
        <v/>
      </c>
      <c r="H1777" s="403" t="s">
        <v>4325</v>
      </c>
      <c r="I1777" s="135" t="s">
        <v>3459</v>
      </c>
      <c r="J1777" s="136"/>
      <c r="K1777" s="136"/>
      <c r="L1777" s="753" t="s">
        <v>3460</v>
      </c>
      <c r="M1777" s="712">
        <v>4</v>
      </c>
      <c r="N1777" s="713">
        <f ca="1">'Ch9'!O220</f>
        <v>0</v>
      </c>
      <c r="O1777" s="713">
        <f ca="1">M1777*S1777*W1777</f>
        <v>0</v>
      </c>
      <c r="P1777" t="b">
        <v>0</v>
      </c>
      <c r="Q1777" t="b">
        <v>1</v>
      </c>
      <c r="R1777" s="138" t="b">
        <v>0</v>
      </c>
      <c r="S1777" s="138" t="b">
        <f ca="1">O1768&gt;0</f>
        <v>1</v>
      </c>
      <c r="T1777" s="138" t="b">
        <f ca="1">AND(NOT(S1777),W1777=TRUE)</f>
        <v>0</v>
      </c>
      <c r="U1777" s="138"/>
      <c r="V1777" s="138"/>
      <c r="W1777" s="17"/>
      <c r="X1777" s="688"/>
      <c r="Y1777" s="891" t="str">
        <f>IF(LEN('Ch9'!X220)=0,"None",'Ch9'!X220)</f>
        <v>None</v>
      </c>
      <c r="Z1777" s="892"/>
      <c r="AC1777" t="b">
        <f ca="1">OR(AD1777:AE1777)</f>
        <v>0</v>
      </c>
      <c r="AD1777" t="b">
        <f ca="1">T1777</f>
        <v>0</v>
      </c>
      <c r="AE1777" t="b">
        <f>AND(R1777,NOT(W1777))</f>
        <v>0</v>
      </c>
      <c r="AF1777" t="b">
        <f>AND(AE1777,NOT(Q1777))</f>
        <v>0</v>
      </c>
      <c r="AL1777" t="str">
        <f t="shared" si="604"/>
        <v>vpa902_2_2</v>
      </c>
      <c r="AM1777">
        <f>M1777</f>
        <v>4</v>
      </c>
      <c r="AN1777" t="str">
        <f>SUBSTITUTE(SUBSTITUTE(SUBSTITUTE("vpc"&amp;$B1777&amp;$C1777&amp;$D1777&amp;$E1777&amp;$F1777,".","_"),"(","_"),")","")</f>
        <v>vpc902_2_2</v>
      </c>
      <c r="AO1777">
        <f ca="1">O1777</f>
        <v>0</v>
      </c>
      <c r="AP1777" t="str">
        <f>SUBSTITUTE(SUBSTITUTE(SUBSTITUTE("vch"&amp;$B1777&amp;$C1777&amp;$D1777&amp;$E1777&amp;$F1777,".","_"),"(","_"),")","")</f>
        <v>vch902_2_2</v>
      </c>
      <c r="AQ1777">
        <f>W1777</f>
        <v>0</v>
      </c>
      <c r="AR1777" t="str">
        <f>SUBSTITUTE(SUBSTITUTE(SUBSTITUTE("vnt"&amp;$B1777&amp;$C1777&amp;$D1777&amp;$E1777&amp;$F1777,".","_"),"(","_"),")","")</f>
        <v>vnt902_2_2</v>
      </c>
      <c r="AS1777">
        <f>X1777</f>
        <v>0</v>
      </c>
      <c r="BJ1777" s="573" t="s">
        <v>4670</v>
      </c>
    </row>
    <row r="1778" spans="1:62" x14ac:dyDescent="0.35">
      <c r="A1778" s="403">
        <v>9</v>
      </c>
      <c r="B1778" s="609" t="s">
        <v>3459</v>
      </c>
      <c r="C1778" s="604"/>
      <c r="D1778" s="604"/>
      <c r="E1778" s="604"/>
      <c r="F1778" s="604"/>
      <c r="G1778" s="403" t="str">
        <f t="shared" ref="G1778" ca="1" si="605">G1777</f>
        <v/>
      </c>
      <c r="H1778" s="403" t="s">
        <v>4325</v>
      </c>
      <c r="I1778" s="353"/>
      <c r="J1778" s="155"/>
      <c r="K1778" s="155"/>
      <c r="L1778" s="739"/>
      <c r="M1778" s="691"/>
      <c r="N1778" s="697"/>
      <c r="O1778" s="697"/>
      <c r="P1778" s="119"/>
      <c r="Q1778" s="119"/>
      <c r="R1778" s="119"/>
      <c r="S1778" s="119"/>
      <c r="T1778" s="119"/>
      <c r="U1778" s="119"/>
      <c r="V1778" s="119"/>
      <c r="W1778" s="119"/>
      <c r="X1778" s="688"/>
      <c r="Y1778" s="891"/>
      <c r="Z1778" s="892"/>
      <c r="BJ1778" s="573" t="s">
        <v>4670</v>
      </c>
    </row>
    <row r="1779" spans="1:62" x14ac:dyDescent="0.35">
      <c r="A1779" s="403">
        <v>9</v>
      </c>
      <c r="B1779" s="609" t="s">
        <v>3461</v>
      </c>
      <c r="C1779" s="604"/>
      <c r="D1779" s="604"/>
      <c r="E1779" s="604"/>
      <c r="F1779" s="604"/>
      <c r="G1779" s="403" t="str">
        <f>IF(N1779&gt;0,"P","")</f>
        <v>P</v>
      </c>
      <c r="H1779" s="403" t="s">
        <v>4325</v>
      </c>
      <c r="I1779" s="135" t="s">
        <v>3461</v>
      </c>
      <c r="J1779" s="136"/>
      <c r="K1779" s="136"/>
      <c r="L1779" s="753" t="s">
        <v>3462</v>
      </c>
      <c r="M1779" s="712">
        <v>2</v>
      </c>
      <c r="N1779" s="713">
        <f>'Ch9'!O222</f>
        <v>2</v>
      </c>
      <c r="O1779" s="713">
        <f>M1779*S1779*W1779</f>
        <v>2</v>
      </c>
      <c r="P1779" t="b">
        <v>0</v>
      </c>
      <c r="Q1779" t="b">
        <v>1</v>
      </c>
      <c r="R1779" s="138" t="b">
        <v>0</v>
      </c>
      <c r="S1779" s="138" t="b">
        <f>NOT(OR(AND(AY1597=INDEX(ddHDucts,2),AY1593=INDEX(ddCDucts,2)),W1782))</f>
        <v>1</v>
      </c>
      <c r="T1779" s="138" t="b">
        <f>AND(NOT(S1779),W1779=TRUE)</f>
        <v>0</v>
      </c>
      <c r="U1779" s="138"/>
      <c r="V1779" s="138"/>
      <c r="W1779" s="17" t="b">
        <v>1</v>
      </c>
      <c r="X1779" s="688"/>
      <c r="Y1779" s="891" t="str">
        <f>IF(LEN('Ch9'!X222)=0,"None",'Ch9'!X222)</f>
        <v>None</v>
      </c>
      <c r="Z1779" s="892"/>
      <c r="AC1779" t="b">
        <f>OR(AD1779:AE1779)</f>
        <v>0</v>
      </c>
      <c r="AD1779" t="b">
        <f>T1779</f>
        <v>0</v>
      </c>
      <c r="AE1779" t="b">
        <f>AND(R1779,NOT(W1779))</f>
        <v>0</v>
      </c>
      <c r="AF1779" t="b">
        <f>AND(AE1779,NOT(Q1779))</f>
        <v>0</v>
      </c>
      <c r="AL1779" t="str">
        <f t="shared" ref="AL1779" si="606">SUBSTITUTE(SUBSTITUTE(SUBSTITUTE("vpa"&amp;$B1779&amp;$C1779&amp;$D1779&amp;$E1779&amp;$F1779,".","_"),"(","_"),")","")</f>
        <v>vpa902_2_3</v>
      </c>
      <c r="AM1779">
        <f>M1779</f>
        <v>2</v>
      </c>
      <c r="AN1779" t="str">
        <f>SUBSTITUTE(SUBSTITUTE(SUBSTITUTE("vpc"&amp;$B1779&amp;$C1779&amp;$D1779&amp;$E1779&amp;$F1779,".","_"),"(","_"),")","")</f>
        <v>vpc902_2_3</v>
      </c>
      <c r="AO1779">
        <f>O1779</f>
        <v>2</v>
      </c>
      <c r="AP1779" t="str">
        <f>SUBSTITUTE(SUBSTITUTE(SUBSTITUTE("vch"&amp;$B1779&amp;$C1779&amp;$D1779&amp;$E1779&amp;$F1779,".","_"),"(","_"),")","")</f>
        <v>vch902_2_3</v>
      </c>
      <c r="AQ1779" t="b">
        <f>W1779</f>
        <v>1</v>
      </c>
      <c r="AR1779" t="str">
        <f>SUBSTITUTE(SUBSTITUTE(SUBSTITUTE("vnt"&amp;$B1779&amp;$C1779&amp;$D1779&amp;$E1779&amp;$F1779,".","_"),"(","_"),")","")</f>
        <v>vnt902_2_3</v>
      </c>
      <c r="AS1779">
        <f>X1779</f>
        <v>0</v>
      </c>
      <c r="BJ1779" s="573" t="s">
        <v>4670</v>
      </c>
    </row>
    <row r="1780" spans="1:62" x14ac:dyDescent="0.35">
      <c r="A1780" s="403">
        <v>9</v>
      </c>
      <c r="B1780" s="609" t="s">
        <v>3461</v>
      </c>
      <c r="C1780" s="604"/>
      <c r="D1780" s="604"/>
      <c r="E1780" s="604"/>
      <c r="F1780" s="604"/>
      <c r="G1780" s="403" t="str">
        <f t="shared" ref="G1780:G1781" si="607">G1779</f>
        <v>P</v>
      </c>
      <c r="H1780" s="403" t="s">
        <v>4325</v>
      </c>
      <c r="I1780" s="108"/>
      <c r="J1780" s="4"/>
      <c r="K1780" s="4"/>
      <c r="L1780" s="706"/>
      <c r="M1780" s="690"/>
      <c r="N1780" s="696"/>
      <c r="O1780" s="696"/>
      <c r="X1780" s="688"/>
      <c r="Y1780" s="891"/>
      <c r="Z1780" s="892"/>
      <c r="BJ1780" s="573" t="s">
        <v>4670</v>
      </c>
    </row>
    <row r="1781" spans="1:62" x14ac:dyDescent="0.35">
      <c r="A1781" s="403">
        <v>9</v>
      </c>
      <c r="B1781" s="609" t="s">
        <v>3461</v>
      </c>
      <c r="C1781" s="604"/>
      <c r="D1781" s="604"/>
      <c r="E1781" s="604"/>
      <c r="F1781" s="604"/>
      <c r="G1781" s="403" t="str">
        <f t="shared" si="607"/>
        <v>P</v>
      </c>
      <c r="H1781" s="403" t="s">
        <v>4325</v>
      </c>
      <c r="I1781" s="353"/>
      <c r="J1781" s="155"/>
      <c r="K1781" s="155"/>
      <c r="L1781" s="739"/>
      <c r="M1781" s="691"/>
      <c r="N1781" s="697"/>
      <c r="O1781" s="697"/>
      <c r="P1781" s="119"/>
      <c r="Q1781" s="119"/>
      <c r="R1781" s="119"/>
      <c r="S1781" s="119"/>
      <c r="T1781" s="119"/>
      <c r="U1781" s="119"/>
      <c r="V1781" s="119"/>
      <c r="W1781" s="119"/>
      <c r="X1781" s="688"/>
      <c r="Y1781" s="891"/>
      <c r="Z1781" s="892"/>
      <c r="BJ1781" s="573" t="s">
        <v>4670</v>
      </c>
    </row>
    <row r="1782" spans="1:62" x14ac:dyDescent="0.35">
      <c r="A1782" s="403">
        <v>9</v>
      </c>
      <c r="B1782" s="609" t="s">
        <v>3463</v>
      </c>
      <c r="C1782" s="604"/>
      <c r="D1782" s="604"/>
      <c r="E1782" s="604"/>
      <c r="F1782" s="604"/>
      <c r="G1782" s="403" t="str">
        <f>IF(N1782&gt;0,"P","")</f>
        <v/>
      </c>
      <c r="H1782" s="403" t="s">
        <v>4325</v>
      </c>
      <c r="I1782" s="32" t="s">
        <v>3463</v>
      </c>
      <c r="J1782" s="4"/>
      <c r="K1782" s="4"/>
      <c r="L1782" s="706" t="s">
        <v>3464</v>
      </c>
      <c r="M1782" s="690">
        <v>3</v>
      </c>
      <c r="N1782" s="696">
        <f>'Ch9'!O225</f>
        <v>0</v>
      </c>
      <c r="O1782" s="696">
        <f>M1782*S1782*W1782</f>
        <v>0</v>
      </c>
      <c r="P1782" t="b">
        <v>0</v>
      </c>
      <c r="Q1782" t="b">
        <v>1</v>
      </c>
      <c r="R1782" t="b">
        <v>0</v>
      </c>
      <c r="S1782" t="b">
        <f>NOT(OR(AND(AY1597=INDEX(ddHDucts,2),AY1593=INDEX(ddCDucts,2)),W1779))</f>
        <v>0</v>
      </c>
      <c r="T1782" t="b">
        <f>AND(NOT(S1782),W1782=TRUE)</f>
        <v>0</v>
      </c>
      <c r="W1782" s="17"/>
      <c r="X1782" s="700"/>
      <c r="Y1782" s="891" t="str">
        <f>IF(LEN('Ch9'!X225)=0,"None",'Ch9'!X225)</f>
        <v>None</v>
      </c>
      <c r="Z1782" s="892"/>
      <c r="AC1782" t="b">
        <f>OR(AD1782:AE1782)</f>
        <v>0</v>
      </c>
      <c r="AD1782" t="b">
        <f>T1782</f>
        <v>0</v>
      </c>
      <c r="AE1782" t="b">
        <f>AND(R1782,NOT(W1782))</f>
        <v>0</v>
      </c>
      <c r="AF1782" t="b">
        <f>AND(AE1782,NOT(Q1782))</f>
        <v>0</v>
      </c>
      <c r="AL1782" t="str">
        <f t="shared" ref="AL1782" si="608">SUBSTITUTE(SUBSTITUTE(SUBSTITUTE("vpa"&amp;$B1782&amp;$C1782&amp;$D1782&amp;$E1782&amp;$F1782,".","_"),"(","_"),")","")</f>
        <v>vpa902_2_4</v>
      </c>
      <c r="AM1782">
        <f>M1782</f>
        <v>3</v>
      </c>
      <c r="AN1782" t="str">
        <f>SUBSTITUTE(SUBSTITUTE(SUBSTITUTE("vpc"&amp;$B1782&amp;$C1782&amp;$D1782&amp;$E1782&amp;$F1782,".","_"),"(","_"),")","")</f>
        <v>vpc902_2_4</v>
      </c>
      <c r="AO1782">
        <f>O1782</f>
        <v>0</v>
      </c>
      <c r="AP1782" t="str">
        <f>SUBSTITUTE(SUBSTITUTE(SUBSTITUTE("vch"&amp;$B1782&amp;$C1782&amp;$D1782&amp;$E1782&amp;$F1782,".","_"),"(","_"),")","")</f>
        <v>vch902_2_4</v>
      </c>
      <c r="AQ1782">
        <f>W1782</f>
        <v>0</v>
      </c>
      <c r="AR1782" t="str">
        <f>SUBSTITUTE(SUBSTITUTE(SUBSTITUTE("vnt"&amp;$B1782&amp;$C1782&amp;$D1782&amp;$E1782&amp;$F1782,".","_"),"(","_"),")","")</f>
        <v>vnt902_2_4</v>
      </c>
      <c r="AS1782">
        <f>X1782</f>
        <v>0</v>
      </c>
      <c r="BJ1782" s="573" t="s">
        <v>4670</v>
      </c>
    </row>
    <row r="1783" spans="1:62" x14ac:dyDescent="0.35">
      <c r="A1783" s="403">
        <v>9</v>
      </c>
      <c r="B1783" s="609" t="s">
        <v>3463</v>
      </c>
      <c r="C1783" s="604"/>
      <c r="D1783" s="604"/>
      <c r="E1783" s="604"/>
      <c r="F1783" s="604"/>
      <c r="G1783" s="403" t="str">
        <f t="shared" ref="G1783:G1784" si="609">G1782</f>
        <v/>
      </c>
      <c r="H1783" s="403" t="s">
        <v>4325</v>
      </c>
      <c r="I1783" s="108"/>
      <c r="J1783" s="4"/>
      <c r="K1783" s="4"/>
      <c r="L1783" s="706"/>
      <c r="M1783" s="690"/>
      <c r="N1783" s="696"/>
      <c r="O1783" s="696"/>
      <c r="X1783" s="688"/>
      <c r="Y1783" s="891"/>
      <c r="Z1783" s="892"/>
      <c r="BJ1783" s="573" t="s">
        <v>4670</v>
      </c>
    </row>
    <row r="1784" spans="1:62" ht="15" thickBot="1" x14ac:dyDescent="0.4">
      <c r="A1784" s="403">
        <v>9</v>
      </c>
      <c r="B1784" s="609" t="s">
        <v>3463</v>
      </c>
      <c r="C1784" s="604"/>
      <c r="D1784" s="604"/>
      <c r="E1784" s="604"/>
      <c r="F1784" s="604"/>
      <c r="G1784" s="403" t="str">
        <f t="shared" si="609"/>
        <v/>
      </c>
      <c r="H1784" s="403" t="s">
        <v>4325</v>
      </c>
      <c r="I1784" s="328"/>
      <c r="J1784" s="183"/>
      <c r="K1784" s="183"/>
      <c r="L1784" s="710"/>
      <c r="M1784" s="693"/>
      <c r="N1784" s="695"/>
      <c r="O1784" s="695"/>
      <c r="P1784" s="58"/>
      <c r="Q1784" s="58"/>
      <c r="R1784" s="58"/>
      <c r="S1784" s="58"/>
      <c r="T1784" s="58"/>
      <c r="U1784" s="58"/>
      <c r="V1784" s="58"/>
      <c r="W1784" s="58"/>
      <c r="X1784" s="689"/>
      <c r="Y1784" s="905"/>
      <c r="Z1784" s="895"/>
      <c r="BJ1784" s="573" t="s">
        <v>4670</v>
      </c>
    </row>
    <row r="1785" spans="1:62" ht="15" thickTop="1" x14ac:dyDescent="0.35">
      <c r="A1785" s="403">
        <v>9</v>
      </c>
      <c r="B1785" s="609">
        <v>902.3</v>
      </c>
      <c r="C1785" s="604"/>
      <c r="D1785" s="604"/>
      <c r="E1785" s="604"/>
      <c r="F1785" s="604"/>
      <c r="G1785" s="403" t="s">
        <v>4326</v>
      </c>
      <c r="H1785" s="403" t="s">
        <v>4323</v>
      </c>
      <c r="I1785" s="123">
        <v>902.3</v>
      </c>
      <c r="J1785" s="124"/>
      <c r="K1785" s="124"/>
      <c r="L1785" s="711" t="s">
        <v>3465</v>
      </c>
      <c r="M1785" s="199"/>
      <c r="N1785" s="341"/>
      <c r="O1785" s="341"/>
      <c r="P1785" s="62"/>
      <c r="Q1785" s="62"/>
      <c r="R1785" s="62"/>
      <c r="S1785" s="62"/>
      <c r="T1785" s="62"/>
      <c r="U1785" s="62"/>
      <c r="V1785" s="62"/>
      <c r="W1785" s="62"/>
      <c r="X1785" s="687"/>
      <c r="Y1785" s="904" t="str">
        <f>IF(LEN('Ch9'!X228)=0,"None",'Ch9'!X228)</f>
        <v>None</v>
      </c>
      <c r="Z1785" s="896"/>
      <c r="AR1785" t="str">
        <f>SUBSTITUTE(SUBSTITUTE(SUBSTITUTE("vnt"&amp;$B1785&amp;$C1785&amp;$D1785&amp;$E1785&amp;$F1785,".","_"),"(","_"),")","")</f>
        <v>vnt902_3</v>
      </c>
      <c r="AS1785">
        <f>X1785</f>
        <v>0</v>
      </c>
      <c r="BJ1785" s="573" t="s">
        <v>4670</v>
      </c>
    </row>
    <row r="1786" spans="1:62" x14ac:dyDescent="0.35">
      <c r="A1786" s="403">
        <v>9</v>
      </c>
      <c r="B1786" s="609">
        <v>902.3</v>
      </c>
      <c r="C1786" s="604"/>
      <c r="D1786" s="604"/>
      <c r="E1786" s="604"/>
      <c r="F1786" s="604"/>
      <c r="G1786" s="403" t="s">
        <v>4326</v>
      </c>
      <c r="H1786" s="403" t="s">
        <v>4323</v>
      </c>
      <c r="I1786" s="108"/>
      <c r="J1786" s="4"/>
      <c r="K1786" s="4"/>
      <c r="L1786" s="706"/>
      <c r="M1786" s="43"/>
      <c r="N1786" s="85"/>
      <c r="O1786" s="85"/>
      <c r="X1786" s="688"/>
      <c r="Y1786" s="891"/>
      <c r="Z1786" s="892"/>
      <c r="BJ1786" s="573" t="s">
        <v>4670</v>
      </c>
    </row>
    <row r="1787" spans="1:62" x14ac:dyDescent="0.35">
      <c r="A1787" s="403">
        <v>9</v>
      </c>
      <c r="B1787" s="609">
        <v>902.3</v>
      </c>
      <c r="C1787" s="604"/>
      <c r="D1787" s="604"/>
      <c r="E1787" s="604" t="s">
        <v>270</v>
      </c>
      <c r="F1787" s="604"/>
      <c r="G1787" s="403" t="s">
        <v>4326</v>
      </c>
      <c r="H1787" s="403" t="s">
        <v>4323</v>
      </c>
      <c r="I1787" s="108"/>
      <c r="J1787" s="19" t="s">
        <v>270</v>
      </c>
      <c r="K1787" s="4"/>
      <c r="L1787" s="104" t="s">
        <v>3466</v>
      </c>
      <c r="M1787" s="556" t="str">
        <f>IF(hidODTropicalFormula = "Tropical", "N/A",IF(R1787,"Mandatory","N/A"))</f>
        <v>N/A</v>
      </c>
      <c r="N1787" s="85">
        <f ca="1">'Ch9'!O230</f>
        <v>0</v>
      </c>
      <c r="O1787" s="85">
        <f ca="1">IFERROR(INDEX({7,10},MATCH(W1787,INDIRECT(U1787),0)),0)*S1787</f>
        <v>0</v>
      </c>
      <c r="P1787" t="b">
        <v>1</v>
      </c>
      <c r="Q1787" t="b">
        <v>1</v>
      </c>
      <c r="R1787" t="b">
        <f>S1787</f>
        <v>0</v>
      </c>
      <c r="S1787" t="b">
        <f>BE1573=1</f>
        <v>0</v>
      </c>
      <c r="T1787" t="b">
        <f>AND(NOT(S1787),LEN(W1787)&gt;0)</f>
        <v>0</v>
      </c>
      <c r="U1787" t="str">
        <f>SUBSTITUTE(SUBSTITUTE(SUBSTITUTE("dd"&amp;B1787&amp;C1787&amp;D1787&amp;E1787&amp;F1787,".","_"),"(","_"),")","")</f>
        <v>dd902_3_1</v>
      </c>
      <c r="W1787" s="9"/>
      <c r="X1787" s="688"/>
      <c r="Y1787" s="891"/>
      <c r="Z1787" s="892"/>
      <c r="AC1787" t="b">
        <f>OR(AD1787:AE1787)</f>
        <v>0</v>
      </c>
      <c r="AD1787" t="b">
        <f>T1787</f>
        <v>0</v>
      </c>
      <c r="AE1787" t="b">
        <f>AND(R1787,OR(W1787="Not Met",W1787=""))</f>
        <v>0</v>
      </c>
      <c r="AF1787" t="b">
        <f>AND(AE1787,NOT(Q1787))</f>
        <v>0</v>
      </c>
      <c r="AL1787" t="str">
        <f t="shared" ref="AL1787:AL1789" si="610">SUBSTITUTE(SUBSTITUTE(SUBSTITUTE("vpa"&amp;$B1787&amp;$C1787&amp;$D1787&amp;$E1787&amp;$F1787,".","_"),"(","_"),")","")</f>
        <v>vpa902_3_1</v>
      </c>
      <c r="AM1787" t="str">
        <f>M1787</f>
        <v>N/A</v>
      </c>
      <c r="AN1787" t="str">
        <f>SUBSTITUTE(SUBSTITUTE(SUBSTITUTE("vpc"&amp;$B1787&amp;$C1787&amp;$D1787&amp;$E1787&amp;$F1787,".","_"),"(","_"),")","")</f>
        <v>vpc902_3_1</v>
      </c>
      <c r="AO1787">
        <f ca="1">O1787</f>
        <v>0</v>
      </c>
      <c r="AP1787" t="str">
        <f>SUBSTITUTE(SUBSTITUTE(SUBSTITUTE("vch"&amp;$B1787&amp;$C1787&amp;$D1787&amp;$E1787&amp;$F1787,".","_"),"(","_"),")","")</f>
        <v>vch902_3_1</v>
      </c>
      <c r="AQ1787">
        <f>W1787</f>
        <v>0</v>
      </c>
      <c r="BJ1787" s="573" t="s">
        <v>4670</v>
      </c>
    </row>
    <row r="1788" spans="1:62" x14ac:dyDescent="0.35">
      <c r="A1788" s="403">
        <v>9</v>
      </c>
      <c r="B1788" s="609">
        <v>902.3</v>
      </c>
      <c r="C1788" s="604"/>
      <c r="D1788" s="604"/>
      <c r="E1788" s="604" t="s">
        <v>270</v>
      </c>
      <c r="F1788" s="604" t="s">
        <v>121</v>
      </c>
      <c r="G1788" s="403" t="s">
        <v>4326</v>
      </c>
      <c r="H1788" s="403" t="s">
        <v>4323</v>
      </c>
      <c r="I1788" s="108"/>
      <c r="J1788" s="4"/>
      <c r="K1788" s="19" t="s">
        <v>121</v>
      </c>
      <c r="L1788" s="104" t="s">
        <v>3467</v>
      </c>
      <c r="M1788" s="43">
        <v>7</v>
      </c>
      <c r="N1788" s="85"/>
      <c r="O1788" s="85"/>
      <c r="X1788" s="688"/>
      <c r="Y1788" s="891"/>
      <c r="Z1788" s="892"/>
      <c r="AL1788" t="str">
        <f t="shared" si="610"/>
        <v>vpa902_3_1_a</v>
      </c>
      <c r="AM1788">
        <f>M1788</f>
        <v>7</v>
      </c>
      <c r="BJ1788" s="573" t="s">
        <v>4670</v>
      </c>
    </row>
    <row r="1789" spans="1:62" x14ac:dyDescent="0.35">
      <c r="A1789" s="403">
        <v>9</v>
      </c>
      <c r="B1789" s="609">
        <v>902.3</v>
      </c>
      <c r="C1789" s="604"/>
      <c r="D1789" s="604"/>
      <c r="E1789" s="604" t="s">
        <v>270</v>
      </c>
      <c r="F1789" s="604" t="s">
        <v>122</v>
      </c>
      <c r="G1789" s="403" t="s">
        <v>4326</v>
      </c>
      <c r="H1789" s="403" t="s">
        <v>4323</v>
      </c>
      <c r="I1789" s="108"/>
      <c r="J1789" s="155"/>
      <c r="K1789" s="148" t="s">
        <v>122</v>
      </c>
      <c r="L1789" s="214" t="s">
        <v>3468</v>
      </c>
      <c r="M1789" s="198">
        <v>10</v>
      </c>
      <c r="N1789" s="85"/>
      <c r="O1789" s="85"/>
      <c r="X1789" s="688"/>
      <c r="Y1789" s="891"/>
      <c r="Z1789" s="892"/>
      <c r="AL1789" t="str">
        <f t="shared" si="610"/>
        <v>vpa902_3_1_b</v>
      </c>
      <c r="AM1789">
        <f>M1789</f>
        <v>10</v>
      </c>
      <c r="BJ1789" s="573" t="s">
        <v>4670</v>
      </c>
    </row>
    <row r="1790" spans="1:62" x14ac:dyDescent="0.35">
      <c r="A1790" s="403">
        <v>9</v>
      </c>
      <c r="B1790" s="609">
        <v>902.3</v>
      </c>
      <c r="C1790" s="604"/>
      <c r="D1790" s="604"/>
      <c r="E1790" s="604" t="s">
        <v>272</v>
      </c>
      <c r="F1790" s="604"/>
      <c r="G1790" s="600" t="str">
        <f>IF(COUNTIF(G1791,"P")&gt;0,"P","")</f>
        <v/>
      </c>
      <c r="H1790" s="403" t="s">
        <v>4323</v>
      </c>
      <c r="I1790" s="108"/>
      <c r="J1790" s="19" t="s">
        <v>272</v>
      </c>
      <c r="K1790" s="4"/>
      <c r="L1790" s="104" t="s">
        <v>3469</v>
      </c>
      <c r="M1790" s="43"/>
      <c r="N1790" s="85"/>
      <c r="O1790" s="85"/>
      <c r="X1790" s="688"/>
      <c r="Y1790" s="891"/>
      <c r="Z1790" s="892"/>
      <c r="BJ1790" s="573" t="s">
        <v>4670</v>
      </c>
    </row>
    <row r="1791" spans="1:62" ht="15" thickBot="1" x14ac:dyDescent="0.4">
      <c r="A1791" s="403">
        <v>9</v>
      </c>
      <c r="B1791" s="609">
        <v>902.3</v>
      </c>
      <c r="C1791" s="604"/>
      <c r="D1791" s="604"/>
      <c r="E1791" s="604" t="s">
        <v>272</v>
      </c>
      <c r="F1791" s="604" t="s">
        <v>121</v>
      </c>
      <c r="G1791" s="403" t="str">
        <f>IF(N1791&gt;0,"P","")</f>
        <v/>
      </c>
      <c r="H1791" s="403" t="s">
        <v>4323</v>
      </c>
      <c r="I1791" s="328"/>
      <c r="J1791" s="183"/>
      <c r="K1791" s="133" t="s">
        <v>121</v>
      </c>
      <c r="L1791" s="223" t="s">
        <v>3470</v>
      </c>
      <c r="M1791" s="270">
        <v>7</v>
      </c>
      <c r="N1791" s="184">
        <f>'Ch9'!O234</f>
        <v>0</v>
      </c>
      <c r="O1791" s="184">
        <f>M1791*S1791*W1791</f>
        <v>0</v>
      </c>
      <c r="P1791" t="b">
        <v>1</v>
      </c>
      <c r="Q1791" t="b">
        <v>1</v>
      </c>
      <c r="R1791" s="58" t="b">
        <v>0</v>
      </c>
      <c r="S1791" s="58" t="b">
        <f>OR(BE1573=2,BE1573=3)</f>
        <v>1</v>
      </c>
      <c r="T1791" s="58" t="b">
        <f>AND(NOT(S1791),W1791=TRUE)</f>
        <v>0</v>
      </c>
      <c r="U1791" s="58"/>
      <c r="V1791" s="58"/>
      <c r="W1791" s="59"/>
      <c r="X1791" s="689"/>
      <c r="Y1791" s="905"/>
      <c r="Z1791" s="895"/>
      <c r="AC1791" t="b">
        <f>OR(AD1791:AE1791)</f>
        <v>0</v>
      </c>
      <c r="AD1791" t="b">
        <f>T1791</f>
        <v>0</v>
      </c>
      <c r="AE1791" t="b">
        <f>AND(R1791,NOT(W1791))</f>
        <v>0</v>
      </c>
      <c r="AF1791" t="b">
        <f>AND(AE1791,NOT(Q1791))</f>
        <v>0</v>
      </c>
      <c r="AL1791" t="str">
        <f t="shared" ref="AL1791:AL1792" si="611">SUBSTITUTE(SUBSTITUTE(SUBSTITUTE("vpa"&amp;$B1791&amp;$C1791&amp;$D1791&amp;$E1791&amp;$F1791,".","_"),"(","_"),")","")</f>
        <v>vpa902_3_2_a</v>
      </c>
      <c r="AM1791">
        <f>M1791</f>
        <v>7</v>
      </c>
      <c r="AN1791" t="str">
        <f t="shared" ref="AN1791:AN1792" si="612">SUBSTITUTE(SUBSTITUTE(SUBSTITUTE("vpc"&amp;$B1791&amp;$C1791&amp;$D1791&amp;$E1791&amp;$F1791,".","_"),"(","_"),")","")</f>
        <v>vpc902_3_2_a</v>
      </c>
      <c r="AO1791">
        <f>O1791</f>
        <v>0</v>
      </c>
      <c r="AP1791" t="str">
        <f>SUBSTITUTE(SUBSTITUTE(SUBSTITUTE("vch"&amp;$B1791&amp;$C1791&amp;$D1791&amp;$E1791&amp;$F1791,".","_"),"(","_"),")","")</f>
        <v>vch902_3_2_a</v>
      </c>
      <c r="AQ1791">
        <f>W1791</f>
        <v>0</v>
      </c>
      <c r="BJ1791" s="573" t="s">
        <v>4670</v>
      </c>
    </row>
    <row r="1792" spans="1:62" ht="15" thickTop="1" x14ac:dyDescent="0.35">
      <c r="A1792" s="403">
        <v>9</v>
      </c>
      <c r="B1792" s="609">
        <v>902.4</v>
      </c>
      <c r="C1792" s="604"/>
      <c r="D1792" s="604"/>
      <c r="E1792" s="604"/>
      <c r="F1792" s="604"/>
      <c r="G1792" s="403" t="str">
        <f>IF(N1792&gt;0,"P","")</f>
        <v/>
      </c>
      <c r="H1792" s="403" t="s">
        <v>4323</v>
      </c>
      <c r="I1792" s="32">
        <v>902.4</v>
      </c>
      <c r="J1792" s="4"/>
      <c r="K1792" s="4"/>
      <c r="L1792" s="706" t="s">
        <v>3471</v>
      </c>
      <c r="M1792" s="690">
        <v>3</v>
      </c>
      <c r="N1792" s="696">
        <f>'Ch9'!O235</f>
        <v>0</v>
      </c>
      <c r="O1792" s="696">
        <f>M1792*S1794*IFERROR(OR(W1794,W1796),0)</f>
        <v>0</v>
      </c>
      <c r="Z1792" s="543"/>
      <c r="AL1792" t="str">
        <f t="shared" si="611"/>
        <v>vpa902_4</v>
      </c>
      <c r="AM1792">
        <f>M1792</f>
        <v>3</v>
      </c>
      <c r="AN1792" t="str">
        <f t="shared" si="612"/>
        <v>vpc902_4</v>
      </c>
      <c r="AO1792">
        <f>O1792</f>
        <v>0</v>
      </c>
      <c r="BJ1792" s="573" t="s">
        <v>4670</v>
      </c>
    </row>
    <row r="1793" spans="1:62" x14ac:dyDescent="0.35">
      <c r="A1793" s="403">
        <v>9</v>
      </c>
      <c r="B1793" s="609">
        <v>902.4</v>
      </c>
      <c r="C1793" s="604"/>
      <c r="D1793" s="604"/>
      <c r="E1793" s="604"/>
      <c r="F1793" s="604"/>
      <c r="G1793" s="403" t="str">
        <f t="shared" ref="G1793:G1798" si="613">G1792</f>
        <v/>
      </c>
      <c r="H1793" s="403" t="s">
        <v>4323</v>
      </c>
      <c r="I1793" s="108"/>
      <c r="J1793" s="4"/>
      <c r="K1793" s="4"/>
      <c r="L1793" s="706"/>
      <c r="M1793" s="690"/>
      <c r="N1793" s="696"/>
      <c r="O1793" s="696"/>
      <c r="Z1793" s="543"/>
      <c r="BJ1793" s="573" t="s">
        <v>4670</v>
      </c>
    </row>
    <row r="1794" spans="1:62" x14ac:dyDescent="0.35">
      <c r="A1794" s="403">
        <v>9</v>
      </c>
      <c r="B1794" s="609">
        <v>902.4</v>
      </c>
      <c r="C1794" s="604"/>
      <c r="D1794" s="604"/>
      <c r="E1794" s="604" t="s">
        <v>270</v>
      </c>
      <c r="F1794" s="604"/>
      <c r="G1794" s="403" t="str">
        <f t="shared" si="613"/>
        <v/>
      </c>
      <c r="H1794" s="403" t="s">
        <v>4324</v>
      </c>
      <c r="I1794" s="108"/>
      <c r="J1794" s="19" t="s">
        <v>270</v>
      </c>
      <c r="K1794" s="4"/>
      <c r="L1794" s="707" t="s">
        <v>3472</v>
      </c>
      <c r="M1794" s="43"/>
      <c r="N1794" s="85"/>
      <c r="O1794" s="85"/>
      <c r="P1794" t="b">
        <v>1</v>
      </c>
      <c r="Q1794" t="b">
        <v>0</v>
      </c>
      <c r="R1794" t="b">
        <v>0</v>
      </c>
      <c r="S1794" t="b">
        <v>1</v>
      </c>
      <c r="T1794" t="b">
        <v>0</v>
      </c>
      <c r="W1794" s="17"/>
      <c r="X1794" s="688"/>
      <c r="Y1794" s="891" t="str">
        <f>IF(LEN('Ch9'!X237)=0,"None",'Ch9'!X237)</f>
        <v>None</v>
      </c>
      <c r="Z1794" s="892"/>
      <c r="AC1794" t="b">
        <f>OR(AD1794:AE1794)</f>
        <v>0</v>
      </c>
      <c r="AD1794" t="b">
        <f>T1794</f>
        <v>0</v>
      </c>
      <c r="AE1794" t="b">
        <f>AND(R1794,NOT(W1794))</f>
        <v>0</v>
      </c>
      <c r="AF1794" t="b">
        <f>AND(AE1794,NOT(Q1794))</f>
        <v>0</v>
      </c>
      <c r="AP1794" t="str">
        <f>SUBSTITUTE(SUBSTITUTE(SUBSTITUTE("vch"&amp;$B1794&amp;$C1794&amp;$D1794&amp;$E1794&amp;$F1794,".","_"),"(","_"),")","")</f>
        <v>vch902_4_1</v>
      </c>
      <c r="AQ1794">
        <f>W1794</f>
        <v>0</v>
      </c>
      <c r="AR1794" t="str">
        <f>SUBSTITUTE(SUBSTITUTE(SUBSTITUTE("vnt"&amp;$B1794&amp;$C1794&amp;$D1794&amp;$E1794&amp;$F1794,".","_"),"(","_"),")","")</f>
        <v>vnt902_4_1</v>
      </c>
      <c r="AS1794">
        <f>X1794</f>
        <v>0</v>
      </c>
      <c r="BJ1794" s="573" t="s">
        <v>4670</v>
      </c>
    </row>
    <row r="1795" spans="1:62" x14ac:dyDescent="0.35">
      <c r="A1795" s="403">
        <v>9</v>
      </c>
      <c r="B1795" s="609">
        <v>902.4</v>
      </c>
      <c r="C1795" s="604"/>
      <c r="D1795" s="604"/>
      <c r="E1795" s="604" t="s">
        <v>270</v>
      </c>
      <c r="F1795" s="604"/>
      <c r="G1795" s="403" t="str">
        <f t="shared" si="613"/>
        <v/>
      </c>
      <c r="H1795" s="403" t="s">
        <v>4324</v>
      </c>
      <c r="I1795" s="108"/>
      <c r="J1795" s="148"/>
      <c r="K1795" s="155"/>
      <c r="L1795" s="709"/>
      <c r="M1795" s="43"/>
      <c r="N1795" s="85"/>
      <c r="O1795" s="85"/>
      <c r="X1795" s="688"/>
      <c r="Y1795" s="891"/>
      <c r="Z1795" s="892"/>
      <c r="BJ1795" s="573" t="s">
        <v>4670</v>
      </c>
    </row>
    <row r="1796" spans="1:62" x14ac:dyDescent="0.35">
      <c r="A1796" s="403">
        <v>9</v>
      </c>
      <c r="B1796" s="609">
        <v>902.4</v>
      </c>
      <c r="C1796" s="604"/>
      <c r="D1796" s="604"/>
      <c r="E1796" s="604" t="s">
        <v>272</v>
      </c>
      <c r="F1796" s="604"/>
      <c r="G1796" s="403" t="str">
        <f t="shared" si="613"/>
        <v/>
      </c>
      <c r="H1796" s="403" t="s">
        <v>4325</v>
      </c>
      <c r="I1796" s="108"/>
      <c r="J1796" s="19" t="s">
        <v>272</v>
      </c>
      <c r="K1796" s="4"/>
      <c r="L1796" s="707" t="s">
        <v>3473</v>
      </c>
      <c r="M1796" s="43"/>
      <c r="N1796" s="85"/>
      <c r="O1796" s="85"/>
      <c r="P1796" t="b">
        <v>0</v>
      </c>
      <c r="Q1796" t="b">
        <v>1</v>
      </c>
      <c r="R1796" t="b">
        <v>0</v>
      </c>
      <c r="S1796" t="b">
        <v>1</v>
      </c>
      <c r="T1796" t="b">
        <v>0</v>
      </c>
      <c r="W1796" s="17"/>
      <c r="X1796" s="688"/>
      <c r="Y1796" s="891" t="str">
        <f>IF(LEN('Ch9'!X239)=0,"None",'Ch9'!X239)</f>
        <v>None</v>
      </c>
      <c r="Z1796" s="892"/>
      <c r="AC1796" t="b">
        <f>OR(AD1796:AE1796)</f>
        <v>0</v>
      </c>
      <c r="AD1796" t="b">
        <f>T1796</f>
        <v>0</v>
      </c>
      <c r="AE1796" t="b">
        <f>AND(R1796,NOT(W1796))</f>
        <v>0</v>
      </c>
      <c r="AF1796" t="b">
        <f>AND(AE1796,NOT(Q1796))</f>
        <v>0</v>
      </c>
      <c r="AP1796" t="str">
        <f>SUBSTITUTE(SUBSTITUTE(SUBSTITUTE("vch"&amp;$B1796&amp;$C1796&amp;$D1796&amp;$E1796&amp;$F1796,".","_"),"(","_"),")","")</f>
        <v>vch902_4_2</v>
      </c>
      <c r="AQ1796">
        <f>W1796</f>
        <v>0</v>
      </c>
      <c r="AR1796" t="str">
        <f>SUBSTITUTE(SUBSTITUTE(SUBSTITUTE("vnt"&amp;$B1796&amp;$C1796&amp;$D1796&amp;$E1796&amp;$F1796,".","_"),"(","_"),")","")</f>
        <v>vnt902_4_2</v>
      </c>
      <c r="AS1796">
        <f>X1796</f>
        <v>0</v>
      </c>
      <c r="BJ1796" s="573" t="s">
        <v>4670</v>
      </c>
    </row>
    <row r="1797" spans="1:62" x14ac:dyDescent="0.35">
      <c r="A1797" s="403">
        <v>9</v>
      </c>
      <c r="B1797" s="609">
        <v>902.4</v>
      </c>
      <c r="C1797" s="604"/>
      <c r="D1797" s="604"/>
      <c r="E1797" s="604" t="s">
        <v>272</v>
      </c>
      <c r="F1797" s="604"/>
      <c r="G1797" s="403" t="str">
        <f t="shared" si="613"/>
        <v/>
      </c>
      <c r="H1797" s="403" t="s">
        <v>4325</v>
      </c>
      <c r="I1797" s="108"/>
      <c r="J1797" s="4"/>
      <c r="K1797" s="4"/>
      <c r="L1797" s="707"/>
      <c r="M1797" s="43"/>
      <c r="N1797" s="85"/>
      <c r="O1797" s="85"/>
      <c r="X1797" s="688"/>
      <c r="Y1797" s="891"/>
      <c r="Z1797" s="892"/>
      <c r="BJ1797" s="573" t="s">
        <v>4670</v>
      </c>
    </row>
    <row r="1798" spans="1:62" ht="15" thickBot="1" x14ac:dyDescent="0.4">
      <c r="A1798" s="403">
        <v>9</v>
      </c>
      <c r="B1798" s="609">
        <v>902.4</v>
      </c>
      <c r="C1798" s="604"/>
      <c r="D1798" s="604"/>
      <c r="E1798" s="604" t="s">
        <v>272</v>
      </c>
      <c r="F1798" s="604"/>
      <c r="G1798" s="403" t="str">
        <f t="shared" si="613"/>
        <v/>
      </c>
      <c r="H1798" s="403" t="s">
        <v>4325</v>
      </c>
      <c r="I1798" s="328"/>
      <c r="J1798" s="183"/>
      <c r="K1798" s="183"/>
      <c r="L1798" s="708"/>
      <c r="M1798" s="270"/>
      <c r="N1798" s="184"/>
      <c r="O1798" s="184"/>
      <c r="P1798" s="58"/>
      <c r="Q1798" s="58"/>
      <c r="R1798" s="58"/>
      <c r="S1798" s="58"/>
      <c r="T1798" s="58"/>
      <c r="U1798" s="58"/>
      <c r="V1798" s="58"/>
      <c r="W1798" s="58"/>
      <c r="X1798" s="689"/>
      <c r="Y1798" s="905"/>
      <c r="Z1798" s="895"/>
      <c r="BJ1798" s="573" t="s">
        <v>4670</v>
      </c>
    </row>
    <row r="1799" spans="1:62" ht="15" thickTop="1" x14ac:dyDescent="0.35">
      <c r="A1799" s="403">
        <v>9</v>
      </c>
      <c r="B1799" s="609">
        <v>902.5</v>
      </c>
      <c r="C1799" s="604"/>
      <c r="D1799" s="604"/>
      <c r="E1799" s="604"/>
      <c r="F1799" s="604"/>
      <c r="G1799" s="403" t="str">
        <f>IF(N1799&gt;0,"P","")</f>
        <v/>
      </c>
      <c r="H1799" s="403" t="s">
        <v>4323</v>
      </c>
      <c r="I1799" s="123">
        <v>902.5</v>
      </c>
      <c r="J1799" s="124"/>
      <c r="K1799" s="124"/>
      <c r="L1799" s="792" t="s">
        <v>3474</v>
      </c>
      <c r="M1799" s="692">
        <v>3</v>
      </c>
      <c r="N1799" s="694">
        <f>'Ch9'!O242</f>
        <v>0</v>
      </c>
      <c r="O1799" s="694">
        <f>M1799*S1799*W1799</f>
        <v>0</v>
      </c>
      <c r="P1799" t="b">
        <v>1</v>
      </c>
      <c r="Q1799" t="b">
        <v>1</v>
      </c>
      <c r="R1799" s="62" t="b">
        <v>0</v>
      </c>
      <c r="S1799" s="62" t="b">
        <v>1</v>
      </c>
      <c r="T1799" s="62" t="b">
        <v>0</v>
      </c>
      <c r="U1799" s="62"/>
      <c r="V1799" s="62"/>
      <c r="W1799" s="17"/>
      <c r="X1799" s="687"/>
      <c r="Y1799" s="904" t="str">
        <f>IF(LEN('Ch9'!X242)=0,"None",'Ch9'!X242)</f>
        <v>None</v>
      </c>
      <c r="Z1799" s="896"/>
      <c r="AC1799" t="b">
        <f>OR(AD1799:AE1799)</f>
        <v>0</v>
      </c>
      <c r="AD1799" t="b">
        <f>T1799</f>
        <v>0</v>
      </c>
      <c r="AE1799" t="b">
        <f>AND(R1799,NOT(W1799))</f>
        <v>0</v>
      </c>
      <c r="AF1799" t="b">
        <f>AND(AE1799,NOT(Q1799))</f>
        <v>0</v>
      </c>
      <c r="AL1799" t="str">
        <f t="shared" ref="AL1799" si="614">SUBSTITUTE(SUBSTITUTE(SUBSTITUTE("vpa"&amp;$B1799&amp;$C1799&amp;$D1799&amp;$E1799&amp;$F1799,".","_"),"(","_"),")","")</f>
        <v>vpa902_5</v>
      </c>
      <c r="AM1799">
        <f>M1799</f>
        <v>3</v>
      </c>
      <c r="AN1799" t="str">
        <f>SUBSTITUTE(SUBSTITUTE(SUBSTITUTE("vpc"&amp;$B1799&amp;$C1799&amp;$D1799&amp;$E1799&amp;$F1799,".","_"),"(","_"),")","")</f>
        <v>vpc902_5</v>
      </c>
      <c r="AO1799">
        <f>O1799</f>
        <v>0</v>
      </c>
      <c r="AP1799" t="str">
        <f>SUBSTITUTE(SUBSTITUTE(SUBSTITUTE("vch"&amp;$B1799&amp;$C1799&amp;$D1799&amp;$E1799&amp;$F1799,".","_"),"(","_"),")","")</f>
        <v>vch902_5</v>
      </c>
      <c r="AQ1799">
        <f>W1799</f>
        <v>0</v>
      </c>
      <c r="AR1799" t="str">
        <f>SUBSTITUTE(SUBSTITUTE(SUBSTITUTE("vnt"&amp;$B1799&amp;$C1799&amp;$D1799&amp;$E1799&amp;$F1799,".","_"),"(","_"),")","")</f>
        <v>vnt902_5</v>
      </c>
      <c r="AS1799">
        <f>X1799</f>
        <v>0</v>
      </c>
      <c r="BJ1799" s="573" t="s">
        <v>4670</v>
      </c>
    </row>
    <row r="1800" spans="1:62" ht="15" thickBot="1" x14ac:dyDescent="0.4">
      <c r="A1800" s="403">
        <v>9</v>
      </c>
      <c r="B1800" s="609">
        <v>902.5</v>
      </c>
      <c r="C1800" s="604"/>
      <c r="D1800" s="604"/>
      <c r="E1800" s="604"/>
      <c r="F1800" s="604"/>
      <c r="G1800" s="403" t="str">
        <f t="shared" ref="G1800" si="615">G1799</f>
        <v/>
      </c>
      <c r="H1800" s="403" t="s">
        <v>4323</v>
      </c>
      <c r="I1800" s="132"/>
      <c r="J1800" s="183"/>
      <c r="K1800" s="183"/>
      <c r="L1800" s="793"/>
      <c r="M1800" s="693"/>
      <c r="N1800" s="695"/>
      <c r="O1800" s="695"/>
      <c r="P1800" s="58"/>
      <c r="Q1800" s="58"/>
      <c r="R1800" s="58"/>
      <c r="S1800" s="58"/>
      <c r="T1800" s="58"/>
      <c r="U1800" s="58"/>
      <c r="V1800" s="58"/>
      <c r="W1800" s="58"/>
      <c r="X1800" s="689"/>
      <c r="Y1800" s="905"/>
      <c r="Z1800" s="895"/>
      <c r="BJ1800" s="573" t="s">
        <v>4670</v>
      </c>
    </row>
    <row r="1801" spans="1:62" ht="15" thickTop="1" x14ac:dyDescent="0.35">
      <c r="A1801" s="403">
        <v>9</v>
      </c>
      <c r="B1801" s="609">
        <v>902.6</v>
      </c>
      <c r="C1801" s="604"/>
      <c r="D1801" s="604"/>
      <c r="E1801" s="604"/>
      <c r="F1801" s="604"/>
      <c r="G1801" s="403" t="s">
        <v>4326</v>
      </c>
      <c r="H1801" s="403" t="s">
        <v>4324</v>
      </c>
      <c r="I1801" s="32">
        <v>902.6</v>
      </c>
      <c r="J1801" s="4"/>
      <c r="K1801" s="4"/>
      <c r="L1801" s="706" t="s">
        <v>3475</v>
      </c>
      <c r="M1801" s="740" t="str">
        <f>IF(R1801,"Mandatory","N/A")</f>
        <v>Mandatory</v>
      </c>
      <c r="N1801" s="85"/>
      <c r="O1801" s="85"/>
      <c r="P1801" t="b">
        <v>1</v>
      </c>
      <c r="Q1801" t="b">
        <v>0</v>
      </c>
      <c r="R1801" t="b">
        <f>S1801</f>
        <v>1</v>
      </c>
      <c r="S1801" t="b">
        <v>1</v>
      </c>
      <c r="T1801" t="b">
        <v>0</v>
      </c>
      <c r="W1801" s="17" t="b">
        <v>1</v>
      </c>
      <c r="X1801" s="700"/>
      <c r="Y1801" s="904" t="str">
        <f>IF(LEN('Ch9'!X244)=0,"None",'Ch9'!X244)</f>
        <v>None</v>
      </c>
      <c r="Z1801" s="896"/>
      <c r="AC1801" t="b">
        <f>OR(AD1801:AE1801)</f>
        <v>0</v>
      </c>
      <c r="AD1801" t="b">
        <f>T1801</f>
        <v>0</v>
      </c>
      <c r="AE1801" t="b">
        <f>AND(R1801,NOT(W1801))</f>
        <v>0</v>
      </c>
      <c r="AF1801" t="b">
        <f>AND(AE1801,NOT(Q1801))</f>
        <v>0</v>
      </c>
      <c r="AL1801" t="str">
        <f t="shared" ref="AL1801" si="616">SUBSTITUTE(SUBSTITUTE(SUBSTITUTE("vpa"&amp;$B1801&amp;$C1801&amp;$D1801&amp;$E1801&amp;$F1801,".","_"),"(","_"),")","")</f>
        <v>vpa902_6</v>
      </c>
      <c r="AM1801" t="str">
        <f>M1801</f>
        <v>Mandatory</v>
      </c>
      <c r="AP1801" t="str">
        <f>SUBSTITUTE(SUBSTITUTE(SUBSTITUTE("vch"&amp;$B1801&amp;$C1801&amp;$D1801&amp;$E1801&amp;$F1801,".","_"),"(","_"),")","")</f>
        <v>vch902_6</v>
      </c>
      <c r="AQ1801" t="b">
        <f>W1801</f>
        <v>1</v>
      </c>
      <c r="AR1801" t="str">
        <f>SUBSTITUTE(SUBSTITUTE(SUBSTITUTE("vnt"&amp;$B1801&amp;$C1801&amp;$D1801&amp;$E1801&amp;$F1801,".","_"),"(","_"),")","")</f>
        <v>vnt902_6</v>
      </c>
      <c r="AS1801">
        <f>X1801</f>
        <v>0</v>
      </c>
      <c r="BJ1801" s="573" t="s">
        <v>4670</v>
      </c>
    </row>
    <row r="1802" spans="1:62" x14ac:dyDescent="0.35">
      <c r="A1802" s="403">
        <v>9</v>
      </c>
      <c r="B1802" s="609">
        <v>902.6</v>
      </c>
      <c r="C1802" s="604"/>
      <c r="D1802" s="604"/>
      <c r="E1802" s="604"/>
      <c r="F1802" s="604"/>
      <c r="G1802" s="403" t="s">
        <v>4326</v>
      </c>
      <c r="H1802" s="403" t="s">
        <v>4324</v>
      </c>
      <c r="I1802" s="108"/>
      <c r="J1802" s="4"/>
      <c r="K1802" s="4"/>
      <c r="L1802" s="706"/>
      <c r="M1802" s="740"/>
      <c r="N1802" s="85"/>
      <c r="O1802" s="85"/>
      <c r="X1802" s="688"/>
      <c r="Y1802" s="891"/>
      <c r="Z1802" s="892"/>
      <c r="BJ1802" s="573" t="s">
        <v>4670</v>
      </c>
    </row>
    <row r="1803" spans="1:62" ht="18.5" x14ac:dyDescent="0.45">
      <c r="A1803" s="403">
        <v>9</v>
      </c>
      <c r="B1803" s="609">
        <v>903</v>
      </c>
      <c r="C1803" s="604"/>
      <c r="D1803" s="604"/>
      <c r="E1803" s="604"/>
      <c r="F1803" s="604"/>
      <c r="G1803" s="403" t="s">
        <v>4326</v>
      </c>
      <c r="H1803" s="403" t="s">
        <v>4323</v>
      </c>
      <c r="I1803" s="10" t="s">
        <v>3476</v>
      </c>
      <c r="J1803" s="15"/>
      <c r="K1803" s="15"/>
      <c r="L1803" s="47"/>
      <c r="M1803" s="340"/>
      <c r="N1803" s="340"/>
      <c r="O1803" s="340"/>
      <c r="P1803" s="15"/>
      <c r="Q1803" s="15"/>
      <c r="R1803" s="15"/>
      <c r="S1803" s="15"/>
      <c r="T1803" s="15"/>
      <c r="U1803" s="15"/>
      <c r="V1803" s="15"/>
      <c r="W1803" s="15"/>
      <c r="X1803" s="15"/>
      <c r="Y1803" s="15"/>
      <c r="Z1803" s="562"/>
      <c r="BJ1803" s="573" t="s">
        <v>4670</v>
      </c>
    </row>
    <row r="1804" spans="1:62" ht="15" thickBot="1" x14ac:dyDescent="0.4">
      <c r="A1804" s="403">
        <v>9</v>
      </c>
      <c r="B1804" s="609" t="s">
        <v>4580</v>
      </c>
      <c r="C1804" s="604"/>
      <c r="D1804" s="604"/>
      <c r="E1804" s="604"/>
      <c r="F1804" s="604"/>
      <c r="I1804" s="326">
        <v>903</v>
      </c>
      <c r="J1804" s="183"/>
      <c r="K1804" s="183"/>
      <c r="L1804" s="272" t="s">
        <v>3477</v>
      </c>
      <c r="M1804" s="270"/>
      <c r="N1804" s="184"/>
      <c r="O1804" s="184"/>
      <c r="P1804" s="58"/>
      <c r="Q1804" s="58"/>
      <c r="R1804" s="58"/>
      <c r="S1804" s="58"/>
      <c r="T1804" s="58"/>
      <c r="U1804" s="58"/>
      <c r="V1804" s="58"/>
      <c r="W1804" s="58"/>
      <c r="X1804" s="58"/>
      <c r="Y1804" s="58"/>
      <c r="Z1804" s="566"/>
      <c r="BJ1804" s="573" t="s">
        <v>4670</v>
      </c>
    </row>
    <row r="1805" spans="1:62" ht="15" thickTop="1" x14ac:dyDescent="0.35">
      <c r="A1805" s="403">
        <v>9</v>
      </c>
      <c r="B1805" s="609">
        <v>903.1</v>
      </c>
      <c r="C1805" s="604"/>
      <c r="D1805" s="604"/>
      <c r="E1805" s="604"/>
      <c r="F1805" s="604"/>
      <c r="G1805" s="403" t="str">
        <f ca="1">IF(N1805&gt;0,"P","")</f>
        <v>P</v>
      </c>
      <c r="H1805" s="403" t="s">
        <v>4324</v>
      </c>
      <c r="I1805" s="327">
        <v>903.1</v>
      </c>
      <c r="J1805" s="124"/>
      <c r="K1805" s="124"/>
      <c r="L1805" s="222" t="s">
        <v>3920</v>
      </c>
      <c r="M1805" s="199"/>
      <c r="N1805" s="341">
        <f ca="1">'Ch9'!O248</f>
        <v>5</v>
      </c>
      <c r="O1805" s="341">
        <f ca="1">IFERROR(INDEX({2,5},MATCH(W1805,INDIRECT(U1805),0)),0)*S1805</f>
        <v>0</v>
      </c>
      <c r="P1805" t="b">
        <v>1</v>
      </c>
      <c r="Q1805" t="b">
        <v>0</v>
      </c>
      <c r="R1805" s="62" t="b">
        <v>0</v>
      </c>
      <c r="S1805" s="62" t="b">
        <v>1</v>
      </c>
      <c r="T1805" s="62" t="b">
        <v>0</v>
      </c>
      <c r="U1805" s="62" t="str">
        <f>SUBSTITUTE(SUBSTITUTE(SUBSTITUTE("dd"&amp;B1805&amp;C1805&amp;D1805&amp;E1805&amp;F1805,".","_"),"(","_"),")","")</f>
        <v>dd903_1</v>
      </c>
      <c r="V1805" s="62"/>
      <c r="W1805" s="9"/>
      <c r="X1805" s="687"/>
      <c r="Y1805" s="904" t="str">
        <f>IF(LEN('Ch9'!X248)=0,"None",'Ch9'!X248)</f>
        <v>None</v>
      </c>
      <c r="Z1805" s="896"/>
      <c r="AC1805" t="b">
        <f>OR(AD1805:AE1805)</f>
        <v>0</v>
      </c>
      <c r="AD1805" t="b">
        <f>T1805</f>
        <v>0</v>
      </c>
      <c r="AE1805" t="b">
        <f>AND(R1805,OR(W1805="Not Met",W1805=""))</f>
        <v>0</v>
      </c>
      <c r="AF1805" t="b">
        <f>AND(AE1805,NOT(Q1805))</f>
        <v>0</v>
      </c>
      <c r="AN1805" t="str">
        <f>SUBSTITUTE(SUBSTITUTE(SUBSTITUTE("vpc"&amp;$B1805&amp;$C1805&amp;$D1805&amp;$E1805&amp;$F1805,".","_"),"(","_"),")","")</f>
        <v>vpc903_1</v>
      </c>
      <c r="AO1805">
        <f ca="1">O1805</f>
        <v>0</v>
      </c>
      <c r="AP1805" t="str">
        <f>SUBSTITUTE(SUBSTITUTE(SUBSTITUTE("vch"&amp;$B1805&amp;$C1805&amp;$D1805&amp;$E1805&amp;$F1805,".","_"),"(","_"),")","")</f>
        <v>vch903_1</v>
      </c>
      <c r="AQ1805">
        <f>W1805</f>
        <v>0</v>
      </c>
      <c r="AR1805" t="str">
        <f>SUBSTITUTE(SUBSTITUTE(SUBSTITUTE("vnt"&amp;$B1805&amp;$C1805&amp;$D1805&amp;$E1805&amp;$F1805,".","_"),"(","_"),")","")</f>
        <v>vnt903_1</v>
      </c>
      <c r="AS1805">
        <f>X1805</f>
        <v>0</v>
      </c>
      <c r="BJ1805" s="573" t="s">
        <v>4670</v>
      </c>
    </row>
    <row r="1806" spans="1:62" x14ac:dyDescent="0.35">
      <c r="A1806" s="403">
        <v>9</v>
      </c>
      <c r="B1806" s="609" t="s">
        <v>3478</v>
      </c>
      <c r="C1806" s="604"/>
      <c r="D1806" s="604"/>
      <c r="E1806" s="604" t="s">
        <v>270</v>
      </c>
      <c r="F1806" s="604"/>
      <c r="G1806" s="403" t="str">
        <f t="shared" ref="G1806:G1808" ca="1" si="617">G1805</f>
        <v>P</v>
      </c>
      <c r="H1806" s="403" t="s">
        <v>4324</v>
      </c>
      <c r="I1806" s="108"/>
      <c r="J1806" s="19" t="s">
        <v>270</v>
      </c>
      <c r="K1806" s="4"/>
      <c r="L1806" s="707" t="s">
        <v>3918</v>
      </c>
      <c r="M1806" s="690">
        <v>2</v>
      </c>
      <c r="N1806" s="85"/>
      <c r="O1806" s="85"/>
      <c r="X1806" s="688"/>
      <c r="Y1806" s="891"/>
      <c r="Z1806" s="892"/>
      <c r="AL1806" t="str">
        <f t="shared" ref="AL1806" si="618">SUBSTITUTE(SUBSTITUTE(SUBSTITUTE("vpa"&amp;$B1806&amp;$C1806&amp;$D1806&amp;$E1806&amp;$F1806,".","_"),"(","_"),")","")</f>
        <v>vpa903_1_1_1</v>
      </c>
      <c r="AM1806">
        <f>M1806</f>
        <v>2</v>
      </c>
      <c r="BJ1806" s="573" t="s">
        <v>4670</v>
      </c>
    </row>
    <row r="1807" spans="1:62" x14ac:dyDescent="0.35">
      <c r="A1807" s="403">
        <v>9</v>
      </c>
      <c r="B1807" s="609" t="s">
        <v>3478</v>
      </c>
      <c r="C1807" s="604"/>
      <c r="D1807" s="604"/>
      <c r="E1807" s="604"/>
      <c r="F1807" s="604"/>
      <c r="G1807" s="403" t="str">
        <f t="shared" ca="1" si="617"/>
        <v>P</v>
      </c>
      <c r="H1807" s="403" t="s">
        <v>4324</v>
      </c>
      <c r="I1807" s="108"/>
      <c r="J1807" s="148"/>
      <c r="K1807" s="155"/>
      <c r="L1807" s="739"/>
      <c r="M1807" s="691"/>
      <c r="N1807" s="85"/>
      <c r="O1807" s="85"/>
      <c r="X1807" s="688"/>
      <c r="Y1807" s="891"/>
      <c r="Z1807" s="892"/>
      <c r="BJ1807" s="573" t="s">
        <v>4670</v>
      </c>
    </row>
    <row r="1808" spans="1:62" ht="15" thickBot="1" x14ac:dyDescent="0.4">
      <c r="A1808" s="403">
        <v>9</v>
      </c>
      <c r="B1808" s="609" t="s">
        <v>3479</v>
      </c>
      <c r="C1808" s="604"/>
      <c r="D1808" s="604"/>
      <c r="E1808" s="604" t="s">
        <v>272</v>
      </c>
      <c r="F1808" s="604"/>
      <c r="G1808" s="403" t="str">
        <f t="shared" ca="1" si="617"/>
        <v>P</v>
      </c>
      <c r="H1808" s="403" t="s">
        <v>4324</v>
      </c>
      <c r="I1808" s="328"/>
      <c r="J1808" s="133" t="s">
        <v>272</v>
      </c>
      <c r="K1808" s="183"/>
      <c r="L1808" s="223" t="s">
        <v>3919</v>
      </c>
      <c r="M1808" s="270">
        <v>5</v>
      </c>
      <c r="N1808" s="184"/>
      <c r="O1808" s="184"/>
      <c r="P1808" s="58"/>
      <c r="Q1808" s="58"/>
      <c r="R1808" s="58"/>
      <c r="S1808" s="58"/>
      <c r="T1808" s="58"/>
      <c r="U1808" s="58"/>
      <c r="V1808" s="58"/>
      <c r="W1808" s="58"/>
      <c r="X1808" s="689"/>
      <c r="Y1808" s="905"/>
      <c r="Z1808" s="895"/>
      <c r="AL1808" t="str">
        <f t="shared" ref="AL1808" si="619">SUBSTITUTE(SUBSTITUTE(SUBSTITUTE("vpa"&amp;$B1808&amp;$C1808&amp;$D1808&amp;$E1808&amp;$F1808,".","_"),"(","_"),")","")</f>
        <v>vpa903_1_2_2</v>
      </c>
      <c r="AM1808">
        <f>M1808</f>
        <v>5</v>
      </c>
      <c r="BJ1808" s="573" t="s">
        <v>4670</v>
      </c>
    </row>
    <row r="1809" spans="1:62" ht="15" thickTop="1" x14ac:dyDescent="0.35">
      <c r="A1809" s="403">
        <v>9</v>
      </c>
      <c r="B1809" s="609">
        <v>903.2</v>
      </c>
      <c r="C1809" s="604"/>
      <c r="D1809" s="604"/>
      <c r="E1809" s="604"/>
      <c r="F1809" s="604"/>
      <c r="G1809" s="403" t="str">
        <f ca="1">IF(N1809&gt;0,"P","")</f>
        <v/>
      </c>
      <c r="H1809" s="403" t="s">
        <v>4323</v>
      </c>
      <c r="I1809" s="123">
        <v>903.2</v>
      </c>
      <c r="J1809" s="124"/>
      <c r="K1809" s="124"/>
      <c r="L1809" s="222" t="s">
        <v>3480</v>
      </c>
      <c r="M1809" s="199"/>
      <c r="N1809" s="341">
        <f ca="1">'Ch9'!O252</f>
        <v>0</v>
      </c>
      <c r="O1809" s="341">
        <f ca="1">IFERROR(INDEX({1,3},MATCH(W1809,INDIRECT(U1809),0)),0)*S1809</f>
        <v>0</v>
      </c>
      <c r="P1809" t="b">
        <v>1</v>
      </c>
      <c r="Q1809" t="b">
        <v>1</v>
      </c>
      <c r="R1809" s="62" t="b">
        <v>0</v>
      </c>
      <c r="S1809" s="62" t="b">
        <v>1</v>
      </c>
      <c r="T1809" s="62" t="b">
        <v>0</v>
      </c>
      <c r="U1809" s="62" t="str">
        <f>SUBSTITUTE(SUBSTITUTE(SUBSTITUTE("dd"&amp;B1809&amp;C1809&amp;D1809&amp;E1809&amp;F1809,".","_"),"(","_"),")","")</f>
        <v>dd903_2</v>
      </c>
      <c r="V1809" s="62"/>
      <c r="W1809" s="9"/>
      <c r="X1809" s="687"/>
      <c r="Y1809" s="904" t="str">
        <f>IF(LEN('Ch9'!X252)=0,"None",'Ch9'!X252)</f>
        <v>None</v>
      </c>
      <c r="Z1809" s="896"/>
      <c r="AC1809" t="b">
        <f>OR(AD1809:AE1809)</f>
        <v>0</v>
      </c>
      <c r="AD1809" t="b">
        <f>T1809</f>
        <v>0</v>
      </c>
      <c r="AE1809" t="b">
        <f>AND(R1809,OR(W1809="Not Met",W1809=""))</f>
        <v>0</v>
      </c>
      <c r="AF1809" t="b">
        <f>AND(AE1809,NOT(Q1809))</f>
        <v>0</v>
      </c>
      <c r="AN1809" t="str">
        <f>SUBSTITUTE(SUBSTITUTE(SUBSTITUTE("vpc"&amp;$B1809&amp;$C1809&amp;$D1809&amp;$E1809&amp;$F1809,".","_"),"(","_"),")","")</f>
        <v>vpc903_2</v>
      </c>
      <c r="AO1809">
        <f ca="1">O1809</f>
        <v>0</v>
      </c>
      <c r="AP1809" t="str">
        <f>SUBSTITUTE(SUBSTITUTE(SUBSTITUTE("vch"&amp;$B1809&amp;$C1809&amp;$D1809&amp;$E1809&amp;$F1809,".","_"),"(","_"),")","")</f>
        <v>vch903_2</v>
      </c>
      <c r="AQ1809">
        <f>W1809</f>
        <v>0</v>
      </c>
      <c r="AR1809" t="str">
        <f>SUBSTITUTE(SUBSTITUTE(SUBSTITUTE("vnt"&amp;$B1809&amp;$C1809&amp;$D1809&amp;$E1809&amp;$F1809,".","_"),"(","_"),")","")</f>
        <v>vnt903_2</v>
      </c>
      <c r="AS1809">
        <f>X1809</f>
        <v>0</v>
      </c>
      <c r="BJ1809" s="573" t="s">
        <v>4670</v>
      </c>
    </row>
    <row r="1810" spans="1:62" x14ac:dyDescent="0.35">
      <c r="A1810" s="403">
        <v>9</v>
      </c>
      <c r="B1810" s="609">
        <v>903.2</v>
      </c>
      <c r="C1810" s="604"/>
      <c r="D1810" s="604"/>
      <c r="E1810" s="604" t="s">
        <v>270</v>
      </c>
      <c r="F1810" s="604"/>
      <c r="G1810" s="403" t="str">
        <f t="shared" ref="G1810:G1812" ca="1" si="620">G1809</f>
        <v/>
      </c>
      <c r="H1810" s="403" t="s">
        <v>4323</v>
      </c>
      <c r="I1810" s="108"/>
      <c r="J1810" s="148" t="s">
        <v>270</v>
      </c>
      <c r="K1810" s="155"/>
      <c r="L1810" s="214" t="s">
        <v>3481</v>
      </c>
      <c r="M1810" s="198">
        <v>1</v>
      </c>
      <c r="N1810" s="85"/>
      <c r="O1810" s="85"/>
      <c r="X1810" s="688"/>
      <c r="Y1810" s="891"/>
      <c r="Z1810" s="892"/>
      <c r="AL1810" t="str">
        <f t="shared" ref="AL1810:AL1811" si="621">SUBSTITUTE(SUBSTITUTE(SUBSTITUTE("vpa"&amp;$B1810&amp;$C1810&amp;$D1810&amp;$E1810&amp;$F1810,".","_"),"(","_"),")","")</f>
        <v>vpa903_2_1</v>
      </c>
      <c r="AM1810">
        <f>M1810</f>
        <v>1</v>
      </c>
      <c r="BJ1810" s="573" t="s">
        <v>4670</v>
      </c>
    </row>
    <row r="1811" spans="1:62" x14ac:dyDescent="0.35">
      <c r="A1811" s="403">
        <v>9</v>
      </c>
      <c r="B1811" s="609">
        <v>903.2</v>
      </c>
      <c r="C1811" s="604"/>
      <c r="D1811" s="604"/>
      <c r="E1811" s="604" t="s">
        <v>272</v>
      </c>
      <c r="F1811" s="604"/>
      <c r="G1811" s="403" t="str">
        <f t="shared" ca="1" si="620"/>
        <v/>
      </c>
      <c r="H1811" s="403" t="s">
        <v>4323</v>
      </c>
      <c r="I1811" s="108"/>
      <c r="J1811" s="19" t="s">
        <v>272</v>
      </c>
      <c r="K1811" s="4"/>
      <c r="L1811" s="707" t="s">
        <v>3482</v>
      </c>
      <c r="M1811" s="690">
        <v>3</v>
      </c>
      <c r="N1811" s="85"/>
      <c r="O1811" s="85"/>
      <c r="X1811" s="688"/>
      <c r="Y1811" s="891"/>
      <c r="Z1811" s="892"/>
      <c r="AL1811" t="str">
        <f t="shared" si="621"/>
        <v>vpa903_2_2</v>
      </c>
      <c r="AM1811">
        <f>M1811</f>
        <v>3</v>
      </c>
      <c r="BJ1811" s="573" t="s">
        <v>4670</v>
      </c>
    </row>
    <row r="1812" spans="1:62" ht="15" thickBot="1" x14ac:dyDescent="0.4">
      <c r="A1812" s="403">
        <v>9</v>
      </c>
      <c r="B1812" s="609">
        <v>903.2</v>
      </c>
      <c r="C1812" s="604"/>
      <c r="D1812" s="604"/>
      <c r="E1812" s="604"/>
      <c r="F1812" s="604"/>
      <c r="G1812" s="403" t="str">
        <f t="shared" ca="1" si="620"/>
        <v/>
      </c>
      <c r="H1812" s="403" t="s">
        <v>4323</v>
      </c>
      <c r="I1812" s="328"/>
      <c r="J1812" s="183"/>
      <c r="K1812" s="183"/>
      <c r="L1812" s="708"/>
      <c r="M1812" s="693"/>
      <c r="N1812" s="184"/>
      <c r="O1812" s="184"/>
      <c r="P1812" s="58"/>
      <c r="Q1812" s="58"/>
      <c r="R1812" s="58"/>
      <c r="S1812" s="58"/>
      <c r="T1812" s="58"/>
      <c r="U1812" s="58"/>
      <c r="V1812" s="58"/>
      <c r="W1812" s="58"/>
      <c r="X1812" s="689"/>
      <c r="Y1812" s="905"/>
      <c r="Z1812" s="895"/>
      <c r="BJ1812" s="573" t="s">
        <v>4670</v>
      </c>
    </row>
    <row r="1813" spans="1:62" ht="15" thickTop="1" x14ac:dyDescent="0.35">
      <c r="A1813" s="403">
        <v>9</v>
      </c>
      <c r="B1813" s="609">
        <v>903.3</v>
      </c>
      <c r="C1813" s="604"/>
      <c r="D1813" s="604"/>
      <c r="E1813" s="604"/>
      <c r="F1813" s="604"/>
      <c r="G1813" s="403" t="str">
        <f>IF(N1813&gt;0,"P","")</f>
        <v/>
      </c>
      <c r="H1813" s="403" t="s">
        <v>4325</v>
      </c>
      <c r="I1813" s="32">
        <v>903.3</v>
      </c>
      <c r="J1813" s="4"/>
      <c r="K1813" s="4"/>
      <c r="L1813" s="706" t="s">
        <v>3921</v>
      </c>
      <c r="M1813" s="690">
        <v>7</v>
      </c>
      <c r="N1813" s="696">
        <f>'Ch9'!O256</f>
        <v>0</v>
      </c>
      <c r="O1813" s="696">
        <f>M1813*S1815*IFERROR(OR(W1815,W1816),0)</f>
        <v>0</v>
      </c>
      <c r="X1813" s="700"/>
      <c r="Y1813" s="904" t="str">
        <f>IF(LEN('Ch9'!X256)=0,"None",'Ch9'!X256)</f>
        <v>None</v>
      </c>
      <c r="Z1813" s="896"/>
      <c r="AL1813" t="str">
        <f t="shared" ref="AL1813" si="622">SUBSTITUTE(SUBSTITUTE(SUBSTITUTE("vpa"&amp;$B1813&amp;$C1813&amp;$D1813&amp;$E1813&amp;$F1813,".","_"),"(","_"),")","")</f>
        <v>vpa903_3</v>
      </c>
      <c r="AM1813">
        <f>M1813</f>
        <v>7</v>
      </c>
      <c r="AN1813" t="str">
        <f>SUBSTITUTE(SUBSTITUTE(SUBSTITUTE("vpc"&amp;$B1813&amp;$C1813&amp;$D1813&amp;$E1813&amp;$F1813,".","_"),"(","_"),")","")</f>
        <v>vpc903_3</v>
      </c>
      <c r="AO1813">
        <f>O1813</f>
        <v>0</v>
      </c>
      <c r="AR1813" t="str">
        <f>SUBSTITUTE(SUBSTITUTE(SUBSTITUTE("vnt"&amp;$B1813&amp;$C1813&amp;$D1813&amp;$E1813&amp;$F1813,".","_"),"(","_"),")","")</f>
        <v>vnt903_3</v>
      </c>
      <c r="AS1813">
        <f>X1813</f>
        <v>0</v>
      </c>
      <c r="BJ1813" s="573" t="s">
        <v>4670</v>
      </c>
    </row>
    <row r="1814" spans="1:62" x14ac:dyDescent="0.35">
      <c r="A1814" s="403">
        <v>9</v>
      </c>
      <c r="B1814" s="609">
        <v>903.3</v>
      </c>
      <c r="C1814" s="604"/>
      <c r="D1814" s="604"/>
      <c r="E1814" s="604"/>
      <c r="F1814" s="604"/>
      <c r="G1814" s="403" t="str">
        <f t="shared" ref="G1814:G1817" si="623">G1813</f>
        <v/>
      </c>
      <c r="H1814" s="403" t="s">
        <v>4325</v>
      </c>
      <c r="I1814" s="108"/>
      <c r="J1814" s="4"/>
      <c r="K1814" s="4"/>
      <c r="L1814" s="706"/>
      <c r="M1814" s="690"/>
      <c r="N1814" s="696"/>
      <c r="O1814" s="696"/>
      <c r="X1814" s="688"/>
      <c r="Y1814" s="891"/>
      <c r="Z1814" s="892"/>
      <c r="BJ1814" s="573" t="s">
        <v>4670</v>
      </c>
    </row>
    <row r="1815" spans="1:62" x14ac:dyDescent="0.35">
      <c r="A1815" s="403">
        <v>9</v>
      </c>
      <c r="B1815" s="609">
        <v>903.3</v>
      </c>
      <c r="C1815" s="604"/>
      <c r="D1815" s="604"/>
      <c r="E1815" s="604" t="s">
        <v>270</v>
      </c>
      <c r="F1815" s="604"/>
      <c r="G1815" s="403" t="str">
        <f t="shared" si="623"/>
        <v/>
      </c>
      <c r="H1815" s="403" t="s">
        <v>4325</v>
      </c>
      <c r="I1815" s="108"/>
      <c r="J1815" s="148" t="s">
        <v>270</v>
      </c>
      <c r="K1815" s="119"/>
      <c r="L1815" s="214" t="s">
        <v>3483</v>
      </c>
      <c r="M1815" s="43"/>
      <c r="N1815" s="85"/>
      <c r="O1815" s="85"/>
      <c r="P1815" t="b">
        <v>0</v>
      </c>
      <c r="Q1815" t="b">
        <v>1</v>
      </c>
      <c r="R1815" s="119" t="b">
        <v>0</v>
      </c>
      <c r="S1815" s="119" t="b">
        <f>AND(BF1573&lt;6,BG1573="Moist")</f>
        <v>1</v>
      </c>
      <c r="T1815" s="119" t="b">
        <f>AND(NOT(S1815),W1815=TRUE)</f>
        <v>0</v>
      </c>
      <c r="U1815" s="119"/>
      <c r="V1815" s="119"/>
      <c r="W1815" s="17"/>
      <c r="X1815" s="688"/>
      <c r="Y1815" s="891"/>
      <c r="Z1815" s="892"/>
      <c r="AC1815" t="b">
        <f>OR(AD1815:AE1815)</f>
        <v>0</v>
      </c>
      <c r="AD1815" t="b">
        <f>T1815</f>
        <v>0</v>
      </c>
      <c r="AE1815" t="b">
        <f>AND(R1815,NOT(W1815))</f>
        <v>0</v>
      </c>
      <c r="AF1815" t="b">
        <f>AND(AE1815,NOT(Q1815))</f>
        <v>0</v>
      </c>
      <c r="AP1815" t="str">
        <f t="shared" ref="AP1815:AP1816" si="624">SUBSTITUTE(SUBSTITUTE(SUBSTITUTE("vch"&amp;$B1815&amp;$C1815&amp;$D1815&amp;$E1815&amp;$F1815,".","_"),"(","_"),")","")</f>
        <v>vch903_3_1</v>
      </c>
      <c r="AQ1815">
        <f>W1815</f>
        <v>0</v>
      </c>
      <c r="BJ1815" s="573" t="s">
        <v>4670</v>
      </c>
    </row>
    <row r="1816" spans="1:62" x14ac:dyDescent="0.35">
      <c r="A1816" s="403">
        <v>9</v>
      </c>
      <c r="B1816" s="609">
        <v>903.3</v>
      </c>
      <c r="C1816" s="604"/>
      <c r="D1816" s="604"/>
      <c r="E1816" s="604" t="s">
        <v>272</v>
      </c>
      <c r="F1816" s="604"/>
      <c r="G1816" s="403" t="str">
        <f t="shared" si="623"/>
        <v/>
      </c>
      <c r="H1816" s="403" t="s">
        <v>4325</v>
      </c>
      <c r="I1816" s="108"/>
      <c r="J1816" s="19" t="s">
        <v>272</v>
      </c>
      <c r="L1816" s="723" t="s">
        <v>3484</v>
      </c>
      <c r="M1816" s="43"/>
      <c r="N1816" s="85"/>
      <c r="O1816" s="85"/>
      <c r="P1816" t="b">
        <v>0</v>
      </c>
      <c r="Q1816" t="b">
        <v>1</v>
      </c>
      <c r="R1816" t="b">
        <v>0</v>
      </c>
      <c r="S1816" t="b">
        <f>AND(BF1573&lt;6,BG1573="Moist")</f>
        <v>1</v>
      </c>
      <c r="T1816" t="b">
        <f>AND(NOT(S1816),W1816=TRUE)</f>
        <v>0</v>
      </c>
      <c r="W1816" s="17"/>
      <c r="X1816" s="688"/>
      <c r="Y1816" s="891"/>
      <c r="Z1816" s="892"/>
      <c r="AC1816" t="b">
        <f>OR(AD1816:AE1816)</f>
        <v>0</v>
      </c>
      <c r="AD1816" t="b">
        <f>T1816</f>
        <v>0</v>
      </c>
      <c r="AE1816" t="b">
        <f>AND(R1816,NOT(W1816))</f>
        <v>0</v>
      </c>
      <c r="AF1816" t="b">
        <f>AND(AE1816,NOT(Q1816))</f>
        <v>0</v>
      </c>
      <c r="AP1816" t="str">
        <f t="shared" si="624"/>
        <v>vch903_3_2</v>
      </c>
      <c r="AQ1816">
        <f>W1816</f>
        <v>0</v>
      </c>
      <c r="BJ1816" s="573" t="s">
        <v>4670</v>
      </c>
    </row>
    <row r="1817" spans="1:62" x14ac:dyDescent="0.35">
      <c r="A1817" s="403">
        <v>9</v>
      </c>
      <c r="B1817" s="609">
        <v>903.3</v>
      </c>
      <c r="C1817" s="604"/>
      <c r="D1817" s="604"/>
      <c r="E1817" s="604" t="s">
        <v>272</v>
      </c>
      <c r="F1817" s="604"/>
      <c r="G1817" s="403" t="str">
        <f t="shared" si="623"/>
        <v/>
      </c>
      <c r="H1817" s="403" t="s">
        <v>4325</v>
      </c>
      <c r="I1817" s="108"/>
      <c r="J1817" s="4"/>
      <c r="K1817" s="19"/>
      <c r="L1817" s="723"/>
      <c r="M1817" s="43"/>
      <c r="N1817" s="85"/>
      <c r="O1817" s="85"/>
      <c r="X1817" s="688"/>
      <c r="Y1817" s="891"/>
      <c r="Z1817" s="892"/>
      <c r="BJ1817" s="573" t="s">
        <v>4670</v>
      </c>
    </row>
    <row r="1818" spans="1:62" ht="18.5" x14ac:dyDescent="0.45">
      <c r="A1818" s="403">
        <v>9</v>
      </c>
      <c r="B1818" s="609">
        <v>904</v>
      </c>
      <c r="C1818" s="604"/>
      <c r="D1818" s="604"/>
      <c r="E1818" s="604"/>
      <c r="F1818" s="604"/>
      <c r="G1818" s="403" t="s">
        <v>4326</v>
      </c>
      <c r="H1818" s="403" t="s">
        <v>4323</v>
      </c>
      <c r="I1818" s="10" t="s">
        <v>3485</v>
      </c>
      <c r="J1818" s="15"/>
      <c r="K1818" s="15"/>
      <c r="L1818" s="47"/>
      <c r="M1818" s="340"/>
      <c r="N1818" s="340"/>
      <c r="O1818" s="340"/>
      <c r="P1818" s="15"/>
      <c r="Q1818" s="15"/>
      <c r="R1818" s="15"/>
      <c r="S1818" s="15"/>
      <c r="T1818" s="15"/>
      <c r="U1818" s="15"/>
      <c r="V1818" s="15"/>
      <c r="W1818" s="15"/>
      <c r="X1818" s="15"/>
      <c r="Y1818" s="15"/>
      <c r="Z1818" s="562"/>
      <c r="BJ1818" s="573" t="s">
        <v>4670</v>
      </c>
    </row>
    <row r="1819" spans="1:62" x14ac:dyDescent="0.35">
      <c r="A1819" s="403">
        <v>9</v>
      </c>
      <c r="B1819" s="609" t="s">
        <v>4581</v>
      </c>
      <c r="C1819" s="604"/>
      <c r="D1819" s="604"/>
      <c r="E1819" s="604"/>
      <c r="F1819" s="604"/>
      <c r="I1819" s="166">
        <v>904</v>
      </c>
      <c r="J1819" s="4"/>
      <c r="K1819" s="4"/>
      <c r="L1819" s="706" t="s">
        <v>3486</v>
      </c>
      <c r="M1819" s="43"/>
      <c r="N1819" s="85"/>
      <c r="O1819" s="85"/>
      <c r="Z1819" s="543"/>
      <c r="BJ1819" s="573" t="s">
        <v>4670</v>
      </c>
    </row>
    <row r="1820" spans="1:62" ht="15" thickBot="1" x14ac:dyDescent="0.4">
      <c r="A1820" s="403">
        <v>9</v>
      </c>
      <c r="B1820" s="609" t="s">
        <v>4581</v>
      </c>
      <c r="C1820" s="604"/>
      <c r="D1820" s="604"/>
      <c r="E1820" s="604"/>
      <c r="F1820" s="604"/>
      <c r="I1820" s="328"/>
      <c r="J1820" s="183"/>
      <c r="K1820" s="183"/>
      <c r="L1820" s="710"/>
      <c r="M1820" s="270"/>
      <c r="N1820" s="184"/>
      <c r="O1820" s="184"/>
      <c r="P1820" s="58"/>
      <c r="Q1820" s="58"/>
      <c r="R1820" s="58"/>
      <c r="S1820" s="58"/>
      <c r="T1820" s="58"/>
      <c r="U1820" s="58"/>
      <c r="V1820" s="58"/>
      <c r="W1820" s="58"/>
      <c r="X1820" s="58"/>
      <c r="Y1820" s="58"/>
      <c r="Z1820" s="566"/>
      <c r="BJ1820" s="573" t="s">
        <v>4670</v>
      </c>
    </row>
    <row r="1821" spans="1:62" ht="15" thickTop="1" x14ac:dyDescent="0.35">
      <c r="A1821" s="403">
        <v>9</v>
      </c>
      <c r="B1821" s="609">
        <v>904.1</v>
      </c>
      <c r="C1821" s="604"/>
      <c r="D1821" s="604"/>
      <c r="E1821" s="604"/>
      <c r="F1821" s="604"/>
      <c r="G1821" s="403" t="str">
        <f>IF(N1821&gt;0,"P","")</f>
        <v/>
      </c>
      <c r="H1821" s="403" t="s">
        <v>4324</v>
      </c>
      <c r="I1821" s="327">
        <v>904.1</v>
      </c>
      <c r="J1821" s="124"/>
      <c r="K1821" s="124"/>
      <c r="L1821" s="711" t="s">
        <v>3487</v>
      </c>
      <c r="M1821" s="692">
        <v>2</v>
      </c>
      <c r="N1821" s="694">
        <f>'Ch9'!O264</f>
        <v>0</v>
      </c>
      <c r="O1821" s="694">
        <f>M1821*S1821*W1821</f>
        <v>0</v>
      </c>
      <c r="P1821" t="b">
        <v>1</v>
      </c>
      <c r="Q1821" t="b">
        <v>0</v>
      </c>
      <c r="R1821" s="62" t="b">
        <v>0</v>
      </c>
      <c r="S1821" s="62" t="b">
        <f>T1822</f>
        <v>0</v>
      </c>
      <c r="T1821" s="62" t="b">
        <f>AND(NOT(S1821),W1821=TRUE)</f>
        <v>0</v>
      </c>
      <c r="U1821" s="62"/>
      <c r="V1821" s="62"/>
      <c r="W1821" s="17"/>
      <c r="X1821" s="687"/>
      <c r="Y1821" s="907" t="str">
        <f>IF(LEN('Ch9'!X264)=0,"None",'Ch9'!X264)</f>
        <v>None</v>
      </c>
      <c r="Z1821" s="898"/>
      <c r="AC1821" t="b">
        <f>OR(AD1821:AE1821)</f>
        <v>0</v>
      </c>
      <c r="AD1821" t="b">
        <f>T1821</f>
        <v>0</v>
      </c>
      <c r="AE1821" t="b">
        <f>AND(R1821,NOT(W1821))</f>
        <v>0</v>
      </c>
      <c r="AF1821" t="b">
        <f>AND(AE1821,NOT(Q1821))</f>
        <v>0</v>
      </c>
      <c r="AL1821" t="str">
        <f t="shared" ref="AL1821" si="625">SUBSTITUTE(SUBSTITUTE(SUBSTITUTE("vpa"&amp;$B1821&amp;$C1821&amp;$D1821&amp;$E1821&amp;$F1821,".","_"),"(","_"),")","")</f>
        <v>vpa904_1</v>
      </c>
      <c r="AM1821">
        <f>M1821</f>
        <v>2</v>
      </c>
      <c r="AN1821" t="str">
        <f>SUBSTITUTE(SUBSTITUTE(SUBSTITUTE("vpc"&amp;$B1821&amp;$C1821&amp;$D1821&amp;$E1821&amp;$F1821,".","_"),"(","_"),")","")</f>
        <v>vpc904_1</v>
      </c>
      <c r="AO1821">
        <f>O1821</f>
        <v>0</v>
      </c>
      <c r="AP1821" t="str">
        <f>SUBSTITUTE(SUBSTITUTE(SUBSTITUTE("vch"&amp;$B1821&amp;$C1821&amp;$D1821&amp;$E1821&amp;$F1821,".","_"),"(","_"),")","")</f>
        <v>vch904_1</v>
      </c>
      <c r="AQ1821">
        <f>W1821</f>
        <v>0</v>
      </c>
      <c r="AR1821" t="str">
        <f>SUBSTITUTE(SUBSTITUTE(SUBSTITUTE("vnt"&amp;$B1821&amp;$C1821&amp;$D1821&amp;$E1821&amp;$F1821,".","_"),"(","_"),")","")</f>
        <v>vnt904_1</v>
      </c>
      <c r="AS1821">
        <f>X1821</f>
        <v>0</v>
      </c>
      <c r="BJ1821" s="573" t="s">
        <v>4670</v>
      </c>
    </row>
    <row r="1822" spans="1:62" x14ac:dyDescent="0.35">
      <c r="A1822" s="403">
        <v>9</v>
      </c>
      <c r="B1822" s="609">
        <v>904.1</v>
      </c>
      <c r="C1822" s="604"/>
      <c r="D1822" s="604"/>
      <c r="E1822" s="604"/>
      <c r="F1822" s="604"/>
      <c r="G1822" s="403" t="str">
        <f t="shared" ref="G1822:G1825" si="626">G1821</f>
        <v/>
      </c>
      <c r="H1822" s="403" t="s">
        <v>4324</v>
      </c>
      <c r="I1822" s="108"/>
      <c r="J1822" s="4"/>
      <c r="K1822" s="4"/>
      <c r="L1822" s="706"/>
      <c r="M1822" s="690"/>
      <c r="N1822" s="696"/>
      <c r="O1822" s="696"/>
      <c r="S1822" s="285" t="s">
        <v>4026</v>
      </c>
      <c r="T1822" s="1" t="b">
        <f>W408=TRUE</f>
        <v>0</v>
      </c>
      <c r="X1822" s="688"/>
      <c r="Y1822" s="891"/>
      <c r="Z1822" s="892"/>
      <c r="BJ1822" s="573" t="s">
        <v>4670</v>
      </c>
    </row>
    <row r="1823" spans="1:62" x14ac:dyDescent="0.35">
      <c r="A1823" s="403">
        <v>9</v>
      </c>
      <c r="B1823" s="609">
        <v>904.1</v>
      </c>
      <c r="C1823" s="604"/>
      <c r="D1823" s="604"/>
      <c r="E1823" s="604"/>
      <c r="F1823" s="604"/>
      <c r="G1823" s="403" t="str">
        <f t="shared" si="626"/>
        <v/>
      </c>
      <c r="H1823" s="403" t="s">
        <v>4324</v>
      </c>
      <c r="I1823" s="108"/>
      <c r="J1823" s="4"/>
      <c r="K1823" s="4"/>
      <c r="L1823" s="706"/>
      <c r="M1823" s="690"/>
      <c r="N1823" s="696"/>
      <c r="O1823" s="696"/>
      <c r="X1823" s="688"/>
      <c r="Y1823" s="891"/>
      <c r="Z1823" s="892"/>
      <c r="BJ1823" s="573" t="s">
        <v>4670</v>
      </c>
    </row>
    <row r="1824" spans="1:62" x14ac:dyDescent="0.35">
      <c r="A1824" s="403">
        <v>9</v>
      </c>
      <c r="B1824" s="609">
        <v>904.1</v>
      </c>
      <c r="C1824" s="604"/>
      <c r="D1824" s="604"/>
      <c r="E1824" s="604"/>
      <c r="F1824" s="604"/>
      <c r="G1824" s="403" t="str">
        <f t="shared" si="626"/>
        <v/>
      </c>
      <c r="H1824" s="403" t="s">
        <v>4324</v>
      </c>
      <c r="I1824" s="108"/>
      <c r="J1824" s="4"/>
      <c r="K1824" s="4"/>
      <c r="L1824" s="706"/>
      <c r="M1824" s="690"/>
      <c r="N1824" s="696"/>
      <c r="O1824" s="696"/>
      <c r="X1824" s="688"/>
      <c r="Y1824" s="891"/>
      <c r="Z1824" s="892"/>
      <c r="BJ1824" s="573" t="s">
        <v>4670</v>
      </c>
    </row>
    <row r="1825" spans="1:62" ht="15" thickBot="1" x14ac:dyDescent="0.4">
      <c r="A1825" s="403">
        <v>9</v>
      </c>
      <c r="B1825" s="609">
        <v>904.1</v>
      </c>
      <c r="C1825" s="604"/>
      <c r="D1825" s="604"/>
      <c r="E1825" s="604"/>
      <c r="F1825" s="604"/>
      <c r="G1825" s="403" t="str">
        <f t="shared" si="626"/>
        <v/>
      </c>
      <c r="H1825" s="403" t="s">
        <v>4324</v>
      </c>
      <c r="I1825" s="328"/>
      <c r="J1825" s="183"/>
      <c r="K1825" s="183"/>
      <c r="L1825" s="710"/>
      <c r="M1825" s="693"/>
      <c r="N1825" s="695"/>
      <c r="O1825" s="695"/>
      <c r="P1825" s="58"/>
      <c r="Q1825" s="58"/>
      <c r="R1825" s="58"/>
      <c r="S1825" s="58"/>
      <c r="T1825" s="58"/>
      <c r="U1825" s="58"/>
      <c r="V1825" s="58"/>
      <c r="W1825" s="58"/>
      <c r="X1825" s="689"/>
      <c r="Y1825" s="905"/>
      <c r="Z1825" s="895"/>
      <c r="BJ1825" s="573" t="s">
        <v>4670</v>
      </c>
    </row>
    <row r="1826" spans="1:62" ht="15" thickTop="1" x14ac:dyDescent="0.35">
      <c r="A1826" s="403">
        <v>9</v>
      </c>
      <c r="B1826" s="609">
        <v>904.2</v>
      </c>
      <c r="C1826" s="604"/>
      <c r="D1826" s="604"/>
      <c r="E1826" s="604"/>
      <c r="F1826" s="604"/>
      <c r="G1826" s="403" t="str">
        <f>IF(N1826&gt;0,"P","")</f>
        <v/>
      </c>
      <c r="H1826" s="403" t="s">
        <v>4325</v>
      </c>
      <c r="I1826" s="32">
        <v>904.2</v>
      </c>
      <c r="J1826" s="4"/>
      <c r="K1826" s="4"/>
      <c r="L1826" s="706" t="s">
        <v>3488</v>
      </c>
      <c r="M1826" s="690">
        <v>3</v>
      </c>
      <c r="N1826" s="696">
        <f>'Ch9'!O269</f>
        <v>0</v>
      </c>
      <c r="O1826" s="696">
        <f>M1826*S1826*W1826</f>
        <v>0</v>
      </c>
      <c r="P1826" t="b">
        <v>0</v>
      </c>
      <c r="Q1826" t="b">
        <v>1</v>
      </c>
      <c r="R1826" t="b">
        <v>0</v>
      </c>
      <c r="S1826" t="b">
        <f>T1822</f>
        <v>0</v>
      </c>
      <c r="T1826" t="b">
        <f>AND(NOT(S1826),W1826=TRUE)</f>
        <v>0</v>
      </c>
      <c r="W1826" s="17"/>
      <c r="X1826" s="700"/>
      <c r="Y1826" s="904" t="str">
        <f>IF(LEN('Ch9'!X269)=0,"None",'Ch9'!X269)</f>
        <v>None</v>
      </c>
      <c r="Z1826" s="896"/>
      <c r="AC1826" t="b">
        <f>OR(AD1826:AE1826)</f>
        <v>0</v>
      </c>
      <c r="AD1826" t="b">
        <f>T1826</f>
        <v>0</v>
      </c>
      <c r="AE1826" t="b">
        <f>AND(R1826,NOT(W1826))</f>
        <v>0</v>
      </c>
      <c r="AF1826" t="b">
        <f>AND(AE1826,NOT(Q1826))</f>
        <v>0</v>
      </c>
      <c r="AL1826" t="str">
        <f t="shared" ref="AL1826" si="627">SUBSTITUTE(SUBSTITUTE(SUBSTITUTE("vpa"&amp;$B1826&amp;$C1826&amp;$D1826&amp;$E1826&amp;$F1826,".","_"),"(","_"),")","")</f>
        <v>vpa904_2</v>
      </c>
      <c r="AM1826">
        <f>M1826</f>
        <v>3</v>
      </c>
      <c r="AN1826" t="str">
        <f>SUBSTITUTE(SUBSTITUTE(SUBSTITUTE("vpc"&amp;$B1826&amp;$C1826&amp;$D1826&amp;$E1826&amp;$F1826,".","_"),"(","_"),")","")</f>
        <v>vpc904_2</v>
      </c>
      <c r="AO1826">
        <f>O1826</f>
        <v>0</v>
      </c>
      <c r="AP1826" t="str">
        <f>SUBSTITUTE(SUBSTITUTE(SUBSTITUTE("vch"&amp;$B1826&amp;$C1826&amp;$D1826&amp;$E1826&amp;$F1826,".","_"),"(","_"),")","")</f>
        <v>vch904_2</v>
      </c>
      <c r="AQ1826">
        <f>W1826</f>
        <v>0</v>
      </c>
      <c r="AR1826" t="str">
        <f>SUBSTITUTE(SUBSTITUTE(SUBSTITUTE("vnt"&amp;$B1826&amp;$C1826&amp;$D1826&amp;$E1826&amp;$F1826,".","_"),"(","_"),")","")</f>
        <v>vnt904_2</v>
      </c>
      <c r="AS1826">
        <f>X1826</f>
        <v>0</v>
      </c>
      <c r="BJ1826" s="573" t="s">
        <v>4670</v>
      </c>
    </row>
    <row r="1827" spans="1:62" x14ac:dyDescent="0.35">
      <c r="A1827" s="403">
        <v>9</v>
      </c>
      <c r="B1827" s="609">
        <v>904.2</v>
      </c>
      <c r="C1827" s="604"/>
      <c r="D1827" s="604"/>
      <c r="E1827" s="604"/>
      <c r="F1827" s="604"/>
      <c r="G1827" s="403" t="str">
        <f t="shared" ref="G1827:G1828" si="628">G1826</f>
        <v/>
      </c>
      <c r="H1827" s="403" t="s">
        <v>4325</v>
      </c>
      <c r="I1827" s="108"/>
      <c r="J1827" s="4"/>
      <c r="K1827" s="4"/>
      <c r="L1827" s="706"/>
      <c r="M1827" s="690"/>
      <c r="N1827" s="696"/>
      <c r="O1827" s="696"/>
      <c r="X1827" s="688"/>
      <c r="Y1827" s="891"/>
      <c r="Z1827" s="892"/>
      <c r="BJ1827" s="573" t="s">
        <v>4670</v>
      </c>
    </row>
    <row r="1828" spans="1:62" x14ac:dyDescent="0.35">
      <c r="A1828" s="403">
        <v>9</v>
      </c>
      <c r="B1828" s="609">
        <v>904.2</v>
      </c>
      <c r="C1828" s="604"/>
      <c r="D1828" s="604"/>
      <c r="E1828" s="604"/>
      <c r="F1828" s="604"/>
      <c r="G1828" s="403" t="str">
        <f t="shared" si="628"/>
        <v/>
      </c>
      <c r="H1828" s="403" t="s">
        <v>4325</v>
      </c>
      <c r="I1828" s="108"/>
      <c r="J1828" s="4"/>
      <c r="K1828" s="4"/>
      <c r="L1828" s="706"/>
      <c r="M1828" s="690"/>
      <c r="N1828" s="696"/>
      <c r="O1828" s="696"/>
      <c r="X1828" s="688"/>
      <c r="Y1828" s="891"/>
      <c r="Z1828" s="892"/>
      <c r="BJ1828" s="573" t="s">
        <v>4670</v>
      </c>
    </row>
    <row r="1829" spans="1:62" ht="18.5" x14ac:dyDescent="0.45">
      <c r="A1829" s="403">
        <v>9</v>
      </c>
      <c r="B1829" s="609">
        <v>905</v>
      </c>
      <c r="C1829" s="604"/>
      <c r="D1829" s="604"/>
      <c r="E1829" s="604"/>
      <c r="F1829" s="604"/>
      <c r="G1829" s="403" t="s">
        <v>4326</v>
      </c>
      <c r="H1829" s="403" t="s">
        <v>4323</v>
      </c>
      <c r="I1829" s="10" t="s">
        <v>3489</v>
      </c>
      <c r="J1829" s="15"/>
      <c r="K1829" s="15"/>
      <c r="L1829" s="47"/>
      <c r="M1829" s="340"/>
      <c r="N1829" s="340"/>
      <c r="O1829" s="340"/>
      <c r="P1829" s="15"/>
      <c r="Q1829" s="15"/>
      <c r="R1829" s="15"/>
      <c r="S1829" s="15"/>
      <c r="T1829" s="15"/>
      <c r="U1829" s="15"/>
      <c r="V1829" s="15"/>
      <c r="W1829" s="15"/>
      <c r="X1829" s="15"/>
      <c r="Y1829" s="15"/>
      <c r="Z1829" s="562"/>
      <c r="BJ1829" s="573" t="s">
        <v>4670</v>
      </c>
    </row>
    <row r="1830" spans="1:62" x14ac:dyDescent="0.35">
      <c r="A1830" s="403">
        <v>9</v>
      </c>
      <c r="B1830" s="609">
        <v>905.1</v>
      </c>
      <c r="C1830" s="604"/>
      <c r="D1830" s="604"/>
      <c r="E1830" s="604"/>
      <c r="F1830" s="604"/>
      <c r="G1830" s="403" t="str">
        <f>IF(N1830&gt;0,"P","")</f>
        <v/>
      </c>
      <c r="H1830" s="403" t="s">
        <v>4325</v>
      </c>
      <c r="I1830" s="32">
        <v>905.1</v>
      </c>
      <c r="J1830" s="4"/>
      <c r="K1830" s="4"/>
      <c r="L1830" s="706" t="s">
        <v>3490</v>
      </c>
      <c r="M1830" s="690">
        <v>2</v>
      </c>
      <c r="N1830" s="696">
        <f>'Ch9'!O273</f>
        <v>0</v>
      </c>
      <c r="O1830" s="696">
        <f>M1830*S1830*W1830</f>
        <v>0</v>
      </c>
      <c r="P1830" t="b">
        <v>0</v>
      </c>
      <c r="Q1830" t="b">
        <v>1</v>
      </c>
      <c r="R1830" t="b">
        <v>0</v>
      </c>
      <c r="S1830" t="b">
        <v>1</v>
      </c>
      <c r="T1830" t="b">
        <v>0</v>
      </c>
      <c r="W1830" s="17"/>
      <c r="X1830" s="688"/>
      <c r="Y1830" s="891" t="str">
        <f>IF(LEN('Ch9'!X273)=0,"None",'Ch9'!X273)</f>
        <v>None</v>
      </c>
      <c r="Z1830" s="892"/>
      <c r="AC1830" t="b">
        <f>OR(AD1830:AE1830)</f>
        <v>0</v>
      </c>
      <c r="AD1830" t="b">
        <f>T1830</f>
        <v>0</v>
      </c>
      <c r="AE1830" t="b">
        <f>AND(R1830,NOT(W1830))</f>
        <v>0</v>
      </c>
      <c r="AF1830" t="b">
        <f>AND(AE1830,NOT(Q1830))</f>
        <v>0</v>
      </c>
      <c r="AL1830" t="str">
        <f t="shared" ref="AL1830" si="629">SUBSTITUTE(SUBSTITUTE(SUBSTITUTE("vpa"&amp;$B1830&amp;$C1830&amp;$D1830&amp;$E1830&amp;$F1830,".","_"),"(","_"),")","")</f>
        <v>vpa905_1</v>
      </c>
      <c r="AM1830">
        <f>M1830</f>
        <v>2</v>
      </c>
      <c r="AN1830" t="str">
        <f>SUBSTITUTE(SUBSTITUTE(SUBSTITUTE("vpc"&amp;$B1830&amp;$C1830&amp;$D1830&amp;$E1830&amp;$F1830,".","_"),"(","_"),")","")</f>
        <v>vpc905_1</v>
      </c>
      <c r="AO1830">
        <f>O1830</f>
        <v>0</v>
      </c>
      <c r="AP1830" t="str">
        <f>SUBSTITUTE(SUBSTITUTE(SUBSTITUTE("vch"&amp;$B1830&amp;$C1830&amp;$D1830&amp;$E1830&amp;$F1830,".","_"),"(","_"),")","")</f>
        <v>vch905_1</v>
      </c>
      <c r="AQ1830">
        <f>W1830</f>
        <v>0</v>
      </c>
      <c r="AR1830" t="str">
        <f>SUBSTITUTE(SUBSTITUTE(SUBSTITUTE("vnt"&amp;$B1830&amp;$C1830&amp;$D1830&amp;$E1830&amp;$F1830,".","_"),"(","_"),")","")</f>
        <v>vnt905_1</v>
      </c>
      <c r="AS1830">
        <f>X1830</f>
        <v>0</v>
      </c>
      <c r="BJ1830" s="573" t="s">
        <v>4670</v>
      </c>
    </row>
    <row r="1831" spans="1:62" x14ac:dyDescent="0.35">
      <c r="A1831" s="403">
        <v>9</v>
      </c>
      <c r="B1831" s="609">
        <v>905.1</v>
      </c>
      <c r="C1831" s="604"/>
      <c r="D1831" s="604"/>
      <c r="E1831" s="604"/>
      <c r="F1831" s="604"/>
      <c r="G1831" s="403" t="str">
        <f t="shared" ref="G1831:G1834" si="630">G1830</f>
        <v/>
      </c>
      <c r="H1831" s="403" t="s">
        <v>4325</v>
      </c>
      <c r="I1831" s="108"/>
      <c r="J1831" s="4"/>
      <c r="K1831" s="4"/>
      <c r="L1831" s="706"/>
      <c r="M1831" s="690"/>
      <c r="N1831" s="696"/>
      <c r="O1831" s="696"/>
      <c r="X1831" s="688"/>
      <c r="Y1831" s="891"/>
      <c r="Z1831" s="892"/>
      <c r="BJ1831" s="573" t="s">
        <v>4670</v>
      </c>
    </row>
    <row r="1832" spans="1:62" x14ac:dyDescent="0.35">
      <c r="A1832" s="403">
        <v>9</v>
      </c>
      <c r="B1832" s="609">
        <v>905.1</v>
      </c>
      <c r="C1832" s="604"/>
      <c r="D1832" s="604"/>
      <c r="E1832" s="604"/>
      <c r="F1832" s="604"/>
      <c r="G1832" s="403" t="str">
        <f t="shared" si="630"/>
        <v/>
      </c>
      <c r="H1832" s="403" t="s">
        <v>4325</v>
      </c>
      <c r="I1832" s="108"/>
      <c r="J1832" s="4"/>
      <c r="K1832" s="4"/>
      <c r="L1832" s="706"/>
      <c r="M1832" s="690"/>
      <c r="N1832" s="696"/>
      <c r="O1832" s="696"/>
      <c r="X1832" s="688"/>
      <c r="Y1832" s="891"/>
      <c r="Z1832" s="892"/>
      <c r="BJ1832" s="573" t="s">
        <v>4670</v>
      </c>
    </row>
    <row r="1833" spans="1:62" x14ac:dyDescent="0.35">
      <c r="A1833" s="403">
        <v>9</v>
      </c>
      <c r="B1833" s="609">
        <v>905.1</v>
      </c>
      <c r="C1833" s="604"/>
      <c r="D1833" s="604"/>
      <c r="E1833" s="604"/>
      <c r="F1833" s="604"/>
      <c r="G1833" s="403" t="str">
        <f t="shared" si="630"/>
        <v/>
      </c>
      <c r="H1833" s="403" t="s">
        <v>4325</v>
      </c>
      <c r="I1833" s="108"/>
      <c r="J1833" s="4"/>
      <c r="K1833" s="4"/>
      <c r="L1833" s="706"/>
      <c r="M1833" s="690"/>
      <c r="N1833" s="696"/>
      <c r="O1833" s="696"/>
      <c r="X1833" s="688"/>
      <c r="Y1833" s="891"/>
      <c r="Z1833" s="892"/>
      <c r="BJ1833" s="573" t="s">
        <v>4670</v>
      </c>
    </row>
    <row r="1834" spans="1:62" ht="15" thickBot="1" x14ac:dyDescent="0.4">
      <c r="A1834" s="403">
        <v>9</v>
      </c>
      <c r="B1834" s="609">
        <v>905.1</v>
      </c>
      <c r="C1834" s="604"/>
      <c r="D1834" s="604"/>
      <c r="E1834" s="604"/>
      <c r="F1834" s="604"/>
      <c r="G1834" s="403" t="str">
        <f t="shared" si="630"/>
        <v/>
      </c>
      <c r="H1834" s="403" t="s">
        <v>4325</v>
      </c>
      <c r="I1834" s="328"/>
      <c r="J1834" s="183"/>
      <c r="K1834" s="183"/>
      <c r="L1834" s="710"/>
      <c r="M1834" s="693"/>
      <c r="N1834" s="695"/>
      <c r="O1834" s="695"/>
      <c r="P1834" s="58"/>
      <c r="Q1834" s="58"/>
      <c r="R1834" s="58"/>
      <c r="S1834" s="58"/>
      <c r="T1834" s="58"/>
      <c r="U1834" s="58"/>
      <c r="V1834" s="58"/>
      <c r="W1834" s="58"/>
      <c r="X1834" s="689"/>
      <c r="Y1834" s="905"/>
      <c r="Z1834" s="895"/>
      <c r="BJ1834" s="573" t="s">
        <v>4670</v>
      </c>
    </row>
    <row r="1835" spans="1:62" ht="15" thickTop="1" x14ac:dyDescent="0.35">
      <c r="A1835" s="403">
        <v>9</v>
      </c>
      <c r="B1835" s="609">
        <v>905.2</v>
      </c>
      <c r="C1835" s="604"/>
      <c r="D1835" s="604"/>
      <c r="E1835" s="604"/>
      <c r="F1835" s="604"/>
      <c r="G1835" s="403" t="str">
        <f>IF(N1835&gt;0,"P","")</f>
        <v/>
      </c>
      <c r="H1835" s="403" t="s">
        <v>4325</v>
      </c>
      <c r="I1835" s="32">
        <v>905.2</v>
      </c>
      <c r="J1835" s="4"/>
      <c r="K1835" s="4"/>
      <c r="L1835" s="706" t="s">
        <v>3491</v>
      </c>
      <c r="M1835" s="690">
        <v>2</v>
      </c>
      <c r="N1835" s="696">
        <f>'Ch9'!O278</f>
        <v>0</v>
      </c>
      <c r="O1835" s="696">
        <f>M1835*S1835*W1835</f>
        <v>0</v>
      </c>
      <c r="P1835" t="b">
        <v>0</v>
      </c>
      <c r="Q1835" t="b">
        <v>1</v>
      </c>
      <c r="R1835" t="b">
        <v>0</v>
      </c>
      <c r="S1835" t="b">
        <v>1</v>
      </c>
      <c r="T1835" t="b">
        <v>0</v>
      </c>
      <c r="W1835" s="17"/>
      <c r="X1835" s="700"/>
      <c r="Y1835" s="904" t="str">
        <f>IF(LEN('Ch9'!X278)=0,"None",'Ch9'!X278)</f>
        <v>None</v>
      </c>
      <c r="Z1835" s="896"/>
      <c r="AC1835" t="b">
        <f>OR(AD1835:AE1835)</f>
        <v>0</v>
      </c>
      <c r="AD1835" t="b">
        <f>T1835</f>
        <v>0</v>
      </c>
      <c r="AE1835" t="b">
        <f>AND(R1835,NOT(W1835))</f>
        <v>0</v>
      </c>
      <c r="AF1835" t="b">
        <f>AND(AE1835,NOT(Q1835))</f>
        <v>0</v>
      </c>
      <c r="AL1835" t="str">
        <f t="shared" ref="AL1835" si="631">SUBSTITUTE(SUBSTITUTE(SUBSTITUTE("vpa"&amp;$B1835&amp;$C1835&amp;$D1835&amp;$E1835&amp;$F1835,".","_"),"(","_"),")","")</f>
        <v>vpa905_2</v>
      </c>
      <c r="AM1835">
        <f>M1835</f>
        <v>2</v>
      </c>
      <c r="AN1835" t="str">
        <f>SUBSTITUTE(SUBSTITUTE(SUBSTITUTE("vpc"&amp;$B1835&amp;$C1835&amp;$D1835&amp;$E1835&amp;$F1835,".","_"),"(","_"),")","")</f>
        <v>vpc905_2</v>
      </c>
      <c r="AO1835">
        <f>O1835</f>
        <v>0</v>
      </c>
      <c r="AP1835" t="str">
        <f>SUBSTITUTE(SUBSTITUTE(SUBSTITUTE("vch"&amp;$B1835&amp;$C1835&amp;$D1835&amp;$E1835&amp;$F1835,".","_"),"(","_"),")","")</f>
        <v>vch905_2</v>
      </c>
      <c r="AQ1835">
        <f>W1835</f>
        <v>0</v>
      </c>
      <c r="AR1835" t="str">
        <f>SUBSTITUTE(SUBSTITUTE(SUBSTITUTE("vnt"&amp;$B1835&amp;$C1835&amp;$D1835&amp;$E1835&amp;$F1835,".","_"),"(","_"),")","")</f>
        <v>vnt905_2</v>
      </c>
      <c r="AS1835">
        <f>X1835</f>
        <v>0</v>
      </c>
      <c r="BJ1835" s="573" t="s">
        <v>4670</v>
      </c>
    </row>
    <row r="1836" spans="1:62" x14ac:dyDescent="0.35">
      <c r="A1836" s="403">
        <v>9</v>
      </c>
      <c r="B1836" s="609">
        <v>905.2</v>
      </c>
      <c r="C1836" s="604"/>
      <c r="D1836" s="604"/>
      <c r="E1836" s="604"/>
      <c r="F1836" s="604"/>
      <c r="G1836" s="403" t="str">
        <f t="shared" ref="G1836" si="632">G1835</f>
        <v/>
      </c>
      <c r="H1836" s="403" t="s">
        <v>4325</v>
      </c>
      <c r="I1836" s="108"/>
      <c r="J1836" s="4"/>
      <c r="K1836" s="4"/>
      <c r="L1836" s="706"/>
      <c r="M1836" s="690"/>
      <c r="N1836" s="696"/>
      <c r="O1836" s="696"/>
      <c r="X1836" s="688"/>
      <c r="Y1836" s="891"/>
      <c r="Z1836" s="892"/>
      <c r="BJ1836" s="573" t="s">
        <v>4670</v>
      </c>
    </row>
    <row r="1837" spans="1:62" ht="18.5" x14ac:dyDescent="0.45">
      <c r="A1837" s="403">
        <v>10</v>
      </c>
      <c r="B1837" s="609" t="s">
        <v>4587</v>
      </c>
      <c r="G1837" s="403" t="s">
        <v>4326</v>
      </c>
      <c r="H1837" s="403" t="s">
        <v>4323</v>
      </c>
      <c r="I1837" s="14" t="s">
        <v>3587</v>
      </c>
      <c r="J1837" s="14"/>
      <c r="K1837" s="14"/>
      <c r="L1837" s="15"/>
      <c r="M1837" s="16"/>
      <c r="N1837" s="16"/>
      <c r="O1837" s="16"/>
      <c r="P1837" t="s">
        <v>260</v>
      </c>
      <c r="Q1837" t="s">
        <v>260</v>
      </c>
      <c r="R1837" t="s">
        <v>260</v>
      </c>
      <c r="S1837" t="s">
        <v>260</v>
      </c>
      <c r="T1837" t="s">
        <v>260</v>
      </c>
      <c r="U1837" t="s">
        <v>260</v>
      </c>
      <c r="V1837" t="s">
        <v>260</v>
      </c>
      <c r="W1837" s="15"/>
      <c r="X1837" s="15"/>
      <c r="Y1837" s="15"/>
      <c r="Z1837" s="562"/>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J1837" s="573" t="s">
        <v>4670</v>
      </c>
    </row>
    <row r="1838" spans="1:62" x14ac:dyDescent="0.35">
      <c r="A1838" s="403">
        <v>10</v>
      </c>
      <c r="B1838" s="609" t="s">
        <v>4576</v>
      </c>
      <c r="C1838" s="604"/>
      <c r="D1838" s="604"/>
      <c r="E1838" s="604"/>
      <c r="F1838" s="604"/>
      <c r="I1838" s="166">
        <v>1001</v>
      </c>
      <c r="J1838" s="4"/>
      <c r="K1838" s="4"/>
      <c r="L1838" s="706" t="s">
        <v>3492</v>
      </c>
      <c r="M1838" s="85"/>
      <c r="Z1838" s="543"/>
      <c r="BJ1838" s="573" t="s">
        <v>4670</v>
      </c>
    </row>
    <row r="1839" spans="1:62" ht="15" thickBot="1" x14ac:dyDescent="0.4">
      <c r="A1839" s="403">
        <v>10</v>
      </c>
      <c r="B1839" s="609" t="s">
        <v>4576</v>
      </c>
      <c r="C1839" s="604"/>
      <c r="D1839" s="604"/>
      <c r="E1839" s="604"/>
      <c r="F1839" s="604"/>
      <c r="I1839" s="183"/>
      <c r="J1839" s="183"/>
      <c r="K1839" s="183"/>
      <c r="L1839" s="710"/>
      <c r="M1839" s="184"/>
      <c r="N1839" s="58"/>
      <c r="O1839" s="58"/>
      <c r="P1839" s="58"/>
      <c r="Q1839" s="58"/>
      <c r="R1839" s="58"/>
      <c r="S1839" s="58"/>
      <c r="T1839" s="58"/>
      <c r="U1839" s="58"/>
      <c r="V1839" s="58"/>
      <c r="W1839" s="58"/>
      <c r="X1839" s="58"/>
      <c r="Y1839" s="58"/>
      <c r="Z1839" s="566"/>
      <c r="AX1839" s="6" t="str">
        <f>'Overview (Verification)'!A8</f>
        <v>Builder Name:</v>
      </c>
      <c r="AY1839" t="str">
        <f>IF(LEN('Overview (Verification)'!P8)=0,0,'Overview (Verification)'!P8)</f>
        <v>ABC Builder</v>
      </c>
      <c r="BJ1839" s="573" t="s">
        <v>4670</v>
      </c>
    </row>
    <row r="1840" spans="1:62" ht="15" thickTop="1" x14ac:dyDescent="0.35">
      <c r="A1840" s="403">
        <v>10</v>
      </c>
      <c r="B1840" s="609">
        <v>1001.1</v>
      </c>
      <c r="C1840" s="604"/>
      <c r="D1840" s="604"/>
      <c r="E1840" s="604"/>
      <c r="F1840" s="604"/>
      <c r="G1840" s="403" t="str">
        <f>IF(N1840&gt;0,"P","")</f>
        <v>P</v>
      </c>
      <c r="H1840" s="403" t="s">
        <v>4325</v>
      </c>
      <c r="I1840" s="33">
        <v>1001.1</v>
      </c>
      <c r="J1840" s="4"/>
      <c r="K1840" s="4"/>
      <c r="L1840" s="706" t="s">
        <v>3493</v>
      </c>
      <c r="M1840" s="736" t="s">
        <v>3589</v>
      </c>
      <c r="N1840" s="694">
        <f>'Ch10'!O12</f>
        <v>8</v>
      </c>
      <c r="O1840" s="696">
        <f>MIN(IF(AND(COUNTIF(W1843:W1845,TRUE)=3,S1843),ROUNDDOWN(COUNTIF(W1849:W1887,TRUE)/2,0),0),8)</f>
        <v>8</v>
      </c>
      <c r="Z1840" s="543"/>
      <c r="AL1840" t="str">
        <f t="shared" ref="AL1840" si="633">SUBSTITUTE(SUBSTITUTE(SUBSTITUTE("vpa"&amp;$B1840&amp;$C1840&amp;$D1840&amp;$E1840&amp;$F1840,".","_"),"(","_"),")","")</f>
        <v>vpa1001_1</v>
      </c>
      <c r="AM1840" t="str">
        <f>M1840</f>
        <v>1
8 Max</v>
      </c>
      <c r="AN1840" t="str">
        <f>SUBSTITUTE(SUBSTITUTE(SUBSTITUTE("vpc"&amp;$B1840&amp;$C1840&amp;$D1840&amp;$E1840&amp;$F1840,".","_"),"(","_"),")","")</f>
        <v>vpc1001_1</v>
      </c>
      <c r="AO1840">
        <f>O1840</f>
        <v>8</v>
      </c>
      <c r="AX1840" s="6" t="str">
        <f>'Overview (Verification)'!A9</f>
        <v>Physical Address of Home:</v>
      </c>
      <c r="AY1840" t="str">
        <f>IF(LEN('Overview (Verification)'!P9)=0,0,'Overview (Verification)'!P9)</f>
        <v>123 Example Drive</v>
      </c>
      <c r="BJ1840" s="573" t="s">
        <v>4670</v>
      </c>
    </row>
    <row r="1841" spans="1:62" x14ac:dyDescent="0.35">
      <c r="A1841" s="403">
        <v>10</v>
      </c>
      <c r="B1841" s="609">
        <v>1001.1</v>
      </c>
      <c r="C1841" s="604"/>
      <c r="D1841" s="604"/>
      <c r="E1841" s="604"/>
      <c r="F1841" s="604"/>
      <c r="G1841" s="403" t="str">
        <f t="shared" ref="G1841:G1887" si="634">G1840</f>
        <v>P</v>
      </c>
      <c r="H1841" s="403" t="s">
        <v>4325</v>
      </c>
      <c r="I1841" s="4"/>
      <c r="J1841" s="4"/>
      <c r="K1841" s="4"/>
      <c r="L1841" s="706"/>
      <c r="M1841" s="736"/>
      <c r="N1841" s="696"/>
      <c r="O1841" s="696"/>
      <c r="Z1841" s="543"/>
      <c r="AX1841" s="6" t="str">
        <f>'Overview (Verification)'!A10</f>
        <v>Community/Lot #:</v>
      </c>
      <c r="AY1841" t="str">
        <f>IF(LEN('Overview (Verification)'!P10)=0,0,'Overview (Verification)'!P10)</f>
        <v>Lot 1A</v>
      </c>
      <c r="BJ1841" s="573" t="s">
        <v>4670</v>
      </c>
    </row>
    <row r="1842" spans="1:62" x14ac:dyDescent="0.35">
      <c r="A1842" s="403">
        <v>10</v>
      </c>
      <c r="B1842" s="609">
        <v>1001.1</v>
      </c>
      <c r="C1842" s="604"/>
      <c r="D1842" s="604"/>
      <c r="E1842" s="604"/>
      <c r="F1842" s="604"/>
      <c r="G1842" s="403" t="str">
        <f t="shared" si="634"/>
        <v>P</v>
      </c>
      <c r="H1842" s="403" t="s">
        <v>4325</v>
      </c>
      <c r="I1842" s="4"/>
      <c r="J1842" s="4"/>
      <c r="K1842" s="4"/>
      <c r="L1842" s="168" t="s">
        <v>3586</v>
      </c>
      <c r="M1842" s="736"/>
      <c r="N1842" s="696"/>
      <c r="O1842" s="696"/>
      <c r="Z1842" s="543"/>
      <c r="AX1842" s="6" t="str">
        <f>'Overview (Verification)'!A11</f>
        <v>City:</v>
      </c>
      <c r="AY1842" t="str">
        <f>IF(LEN('Overview (Verification)'!P11)=0,0,'Overview (Verification)'!P11)</f>
        <v>Durham</v>
      </c>
      <c r="BJ1842" s="573" t="s">
        <v>4670</v>
      </c>
    </row>
    <row r="1843" spans="1:62" x14ac:dyDescent="0.35">
      <c r="A1843" s="403">
        <v>10</v>
      </c>
      <c r="B1843" s="609">
        <v>1001.1</v>
      </c>
      <c r="C1843" s="604"/>
      <c r="D1843" s="604"/>
      <c r="E1843" s="604" t="s">
        <v>270</v>
      </c>
      <c r="F1843" s="604"/>
      <c r="G1843" s="403" t="str">
        <f t="shared" si="634"/>
        <v>P</v>
      </c>
      <c r="H1843" s="403" t="s">
        <v>4325</v>
      </c>
      <c r="I1843" s="4"/>
      <c r="J1843" s="148" t="s">
        <v>270</v>
      </c>
      <c r="K1843" s="155"/>
      <c r="L1843" s="214" t="s">
        <v>3494</v>
      </c>
      <c r="M1843" s="555" t="str">
        <f t="shared" ref="M1843:M1848" si="635">IF(R1843,"Mandatory","N/A")</f>
        <v>Mandatory</v>
      </c>
      <c r="N1843" s="4"/>
      <c r="O1843" s="85"/>
      <c r="P1843" t="b">
        <v>0</v>
      </c>
      <c r="Q1843" t="b">
        <v>1</v>
      </c>
      <c r="R1843" t="b">
        <f>S1843</f>
        <v>1</v>
      </c>
      <c r="S1843" t="b">
        <f>IF(AY1847=INDEX(ddSingleOrMulti,1),TRUE,FALSE)</f>
        <v>1</v>
      </c>
      <c r="T1843" t="b">
        <f>AND(NOT(S1843),W1843=TRUE)</f>
        <v>0</v>
      </c>
      <c r="W1843" s="17" t="b">
        <v>1</v>
      </c>
      <c r="X1843" s="39"/>
      <c r="Y1843" s="200" t="str">
        <f>IF(LEN('Ch10'!X15)=0,"None",'Ch10'!X15)</f>
        <v>None</v>
      </c>
      <c r="Z1843" s="563"/>
      <c r="AC1843" t="b">
        <f>OR(AD1843:AE1843)</f>
        <v>0</v>
      </c>
      <c r="AD1843" t="b">
        <f>T1843</f>
        <v>0</v>
      </c>
      <c r="AE1843" t="b">
        <f>AND(R1843,NOT(W1843=TRUE))</f>
        <v>0</v>
      </c>
      <c r="AF1843" t="b">
        <f>AND(AE1843,NOT(Q1843))</f>
        <v>0</v>
      </c>
      <c r="AL1843" t="str">
        <f t="shared" ref="AL1843:AL1845" si="636">SUBSTITUTE(SUBSTITUTE(SUBSTITUTE("vpa"&amp;$B1843&amp;$C1843&amp;$D1843&amp;$E1843&amp;$F1843,".","_"),"(","_"),")","")</f>
        <v>vpa1001_1_1</v>
      </c>
      <c r="AM1843" t="str">
        <f>M1843</f>
        <v>Mandatory</v>
      </c>
      <c r="AP1843" t="str">
        <f t="shared" ref="AP1843:AP1845" si="637">SUBSTITUTE(SUBSTITUTE(SUBSTITUTE("vch"&amp;$B1843&amp;$C1843&amp;$D1843&amp;$E1843&amp;$F1843,".","_"),"(","_"),")","")</f>
        <v>vch1001_1_1</v>
      </c>
      <c r="AQ1843" t="b">
        <f>W1843</f>
        <v>1</v>
      </c>
      <c r="AR1843" t="str">
        <f t="shared" ref="AR1843:AR1845" si="638">SUBSTITUTE(SUBSTITUTE(SUBSTITUTE("vnt"&amp;$B1843&amp;$C1843&amp;$D1843&amp;$E1843&amp;$F1843,".","_"),"(","_"),")","")</f>
        <v>vnt1001_1_1</v>
      </c>
      <c r="AS1843">
        <f>X1843</f>
        <v>0</v>
      </c>
      <c r="AX1843" s="6" t="str">
        <f>'Overview (Verification)'!A12</f>
        <v>State:</v>
      </c>
      <c r="AY1843" t="str">
        <f>IF(LEN('Overview (Verification)'!P12)=0,0,'Overview (Verification)'!P12)</f>
        <v>North Carolina</v>
      </c>
      <c r="BC1843" t="str">
        <f>'Overview (Verification)'!T12</f>
        <v>State</v>
      </c>
      <c r="BD1843" t="str">
        <f>'Overview (Verification)'!U12</f>
        <v>County</v>
      </c>
      <c r="BE1843" t="str">
        <f>'Overview (Verification)'!V12</f>
        <v>Radon</v>
      </c>
      <c r="BF1843" t="str">
        <f>'Overview (Verification)'!W12</f>
        <v>Climate</v>
      </c>
      <c r="BG1843" t="str">
        <f>'Overview (Verification)'!X12</f>
        <v>Moist</v>
      </c>
      <c r="BH1843" t="str">
        <f>'Overview (Verification)'!Y12</f>
        <v>WarmHumid</v>
      </c>
      <c r="BJ1843" s="573" t="s">
        <v>4670</v>
      </c>
    </row>
    <row r="1844" spans="1:62" x14ac:dyDescent="0.35">
      <c r="A1844" s="403">
        <v>10</v>
      </c>
      <c r="B1844" s="609">
        <v>1001.1</v>
      </c>
      <c r="C1844" s="604"/>
      <c r="D1844" s="604"/>
      <c r="E1844" s="604" t="s">
        <v>272</v>
      </c>
      <c r="F1844" s="604"/>
      <c r="G1844" s="403" t="str">
        <f t="shared" si="634"/>
        <v>P</v>
      </c>
      <c r="H1844" s="403" t="s">
        <v>4325</v>
      </c>
      <c r="I1844" s="4"/>
      <c r="J1844" s="150" t="s">
        <v>272</v>
      </c>
      <c r="K1844" s="187"/>
      <c r="L1844" s="220" t="s">
        <v>3495</v>
      </c>
      <c r="M1844" s="556" t="str">
        <f t="shared" si="635"/>
        <v>Mandatory</v>
      </c>
      <c r="N1844" s="4"/>
      <c r="O1844" s="85"/>
      <c r="P1844" t="b">
        <v>0</v>
      </c>
      <c r="Q1844" t="b">
        <v>1</v>
      </c>
      <c r="R1844" t="b">
        <f>S1844</f>
        <v>1</v>
      </c>
      <c r="S1844" t="b">
        <f>IF(AY1847=INDEX(ddSingleOrMulti,1),TRUE,FALSE)</f>
        <v>1</v>
      </c>
      <c r="T1844" t="b">
        <f>AND(NOT(S1844),W1844=TRUE)</f>
        <v>0</v>
      </c>
      <c r="W1844" s="17" t="b">
        <v>1</v>
      </c>
      <c r="X1844" s="39"/>
      <c r="Y1844" s="200" t="str">
        <f>IF(LEN('Ch10'!X16)=0,"None",'Ch10'!X16)</f>
        <v>None</v>
      </c>
      <c r="Z1844" s="563"/>
      <c r="AC1844" t="b">
        <f>OR(AD1844:AE1844)</f>
        <v>0</v>
      </c>
      <c r="AD1844" t="b">
        <f>T1844</f>
        <v>0</v>
      </c>
      <c r="AE1844" t="b">
        <f>AND(R1844,NOT(W1844=TRUE))</f>
        <v>0</v>
      </c>
      <c r="AF1844" t="b">
        <f>AND(AE1844,NOT(Q1844))</f>
        <v>0</v>
      </c>
      <c r="AL1844" t="str">
        <f t="shared" si="636"/>
        <v>vpa1001_1_2</v>
      </c>
      <c r="AM1844" t="str">
        <f>M1844</f>
        <v>Mandatory</v>
      </c>
      <c r="AP1844" t="str">
        <f t="shared" si="637"/>
        <v>vch1001_1_2</v>
      </c>
      <c r="AQ1844" t="b">
        <f>W1844</f>
        <v>1</v>
      </c>
      <c r="AR1844" t="str">
        <f t="shared" si="638"/>
        <v>vnt1001_1_2</v>
      </c>
      <c r="AS1844">
        <f>X1844</f>
        <v>0</v>
      </c>
      <c r="AX1844" s="6" t="str">
        <f>'Overview (Verification)'!A13</f>
        <v>County:</v>
      </c>
      <c r="AY1844" t="str">
        <f>IF(LEN('Overview (Verification)'!P13)=0,0,'Overview (Verification)'!P13)</f>
        <v xml:space="preserve">Chatham  </v>
      </c>
      <c r="BC1844" t="str">
        <f>'Overview (Verification)'!T13</f>
        <v>North Carolina</v>
      </c>
      <c r="BD1844" t="str">
        <f>'Overview (Verification)'!U13</f>
        <v xml:space="preserve">Chatham  </v>
      </c>
      <c r="BE1844">
        <f>'Overview (Verification)'!V13</f>
        <v>3</v>
      </c>
      <c r="BF1844">
        <f>'Overview (Verification)'!W13</f>
        <v>4</v>
      </c>
      <c r="BG1844" t="str">
        <f>'Overview (Verification)'!X13</f>
        <v>Moist</v>
      </c>
      <c r="BH1844" t="str">
        <f>'Overview (Verification)'!Y13</f>
        <v xml:space="preserve"> </v>
      </c>
      <c r="BJ1844" s="573" t="s">
        <v>4670</v>
      </c>
    </row>
    <row r="1845" spans="1:62" x14ac:dyDescent="0.35">
      <c r="A1845" s="403">
        <v>10</v>
      </c>
      <c r="B1845" s="609">
        <v>1001.1</v>
      </c>
      <c r="C1845" s="604"/>
      <c r="D1845" s="604"/>
      <c r="E1845" s="604" t="s">
        <v>274</v>
      </c>
      <c r="F1845" s="604"/>
      <c r="G1845" s="403" t="str">
        <f t="shared" si="634"/>
        <v>P</v>
      </c>
      <c r="H1845" s="403" t="s">
        <v>4325</v>
      </c>
      <c r="I1845" s="4"/>
      <c r="J1845" s="154" t="s">
        <v>274</v>
      </c>
      <c r="K1845" s="136"/>
      <c r="L1845" s="742" t="s">
        <v>3496</v>
      </c>
      <c r="M1845" s="769" t="str">
        <f t="shared" si="635"/>
        <v>Mandatory</v>
      </c>
      <c r="N1845" s="4"/>
      <c r="O1845" s="85"/>
      <c r="P1845" t="b">
        <v>0</v>
      </c>
      <c r="Q1845" t="b">
        <v>1</v>
      </c>
      <c r="R1845" t="b">
        <f>S1845</f>
        <v>1</v>
      </c>
      <c r="S1845" t="b">
        <f>IF(AY1847=INDEX(ddSingleOrMulti,1),TRUE,FALSE)</f>
        <v>1</v>
      </c>
      <c r="T1845" t="b">
        <f>AND(NOT(S1845),W1845=TRUE)</f>
        <v>0</v>
      </c>
      <c r="W1845" s="17" t="b">
        <v>1</v>
      </c>
      <c r="X1845" s="698"/>
      <c r="Y1845" s="891" t="str">
        <f>IF(LEN('Ch10'!X17)=0,"None",'Ch10'!X17)</f>
        <v>None</v>
      </c>
      <c r="Z1845" s="892"/>
      <c r="AC1845" t="b">
        <f>OR(AD1845:AE1845)</f>
        <v>0</v>
      </c>
      <c r="AD1845" t="b">
        <f>T1845</f>
        <v>0</v>
      </c>
      <c r="AE1845" t="b">
        <f>AND(R1845,NOT(W1845=TRUE))</f>
        <v>0</v>
      </c>
      <c r="AF1845" t="b">
        <f>AND(AE1845,NOT(Q1845))</f>
        <v>0</v>
      </c>
      <c r="AL1845" t="str">
        <f t="shared" si="636"/>
        <v>vpa1001_1_3</v>
      </c>
      <c r="AM1845" t="str">
        <f>M1845</f>
        <v>Mandatory</v>
      </c>
      <c r="AP1845" t="str">
        <f t="shared" si="637"/>
        <v>vch1001_1_3</v>
      </c>
      <c r="AQ1845" t="b">
        <f>W1845</f>
        <v>1</v>
      </c>
      <c r="AR1845" t="str">
        <f t="shared" si="638"/>
        <v>vnt1001_1_3</v>
      </c>
      <c r="AS1845">
        <f>X1845</f>
        <v>0</v>
      </c>
      <c r="AX1845" s="6" t="str">
        <f>'Overview (Verification)'!A14</f>
        <v>Zip:</v>
      </c>
      <c r="AY1845" t="str">
        <f>IF(LEN('Overview (Verification)'!P14)=0,0,'Overview (Verification)'!P14)</f>
        <v>27703</v>
      </c>
      <c r="BJ1845" s="573" t="s">
        <v>4670</v>
      </c>
    </row>
    <row r="1846" spans="1:62" x14ac:dyDescent="0.35">
      <c r="A1846" s="403">
        <v>10</v>
      </c>
      <c r="B1846" s="609">
        <v>1001.1</v>
      </c>
      <c r="C1846" s="604"/>
      <c r="D1846" s="604"/>
      <c r="E1846" s="604" t="s">
        <v>274</v>
      </c>
      <c r="F1846" s="604"/>
      <c r="G1846" s="403" t="str">
        <f t="shared" si="634"/>
        <v>P</v>
      </c>
      <c r="H1846" s="403" t="s">
        <v>4325</v>
      </c>
      <c r="I1846" s="4"/>
      <c r="J1846" s="19"/>
      <c r="K1846" s="4"/>
      <c r="L1846" s="707"/>
      <c r="M1846" s="740" t="str">
        <f t="shared" si="635"/>
        <v>N/A</v>
      </c>
      <c r="N1846" s="4"/>
      <c r="O1846" s="85"/>
      <c r="X1846" s="699"/>
      <c r="Y1846" s="891"/>
      <c r="Z1846" s="892"/>
      <c r="AX1846" s="6"/>
      <c r="BJ1846" s="573" t="s">
        <v>4670</v>
      </c>
    </row>
    <row r="1847" spans="1:62" x14ac:dyDescent="0.35">
      <c r="A1847" s="403">
        <v>10</v>
      </c>
      <c r="B1847" s="609">
        <v>1001.1</v>
      </c>
      <c r="C1847" s="604"/>
      <c r="D1847" s="604"/>
      <c r="E1847" s="604" t="s">
        <v>274</v>
      </c>
      <c r="F1847" s="604"/>
      <c r="G1847" s="403" t="str">
        <f t="shared" si="634"/>
        <v>P</v>
      </c>
      <c r="H1847" s="403" t="s">
        <v>4325</v>
      </c>
      <c r="I1847" s="4"/>
      <c r="J1847" s="19"/>
      <c r="K1847" s="4"/>
      <c r="L1847" s="707"/>
      <c r="M1847" s="740" t="str">
        <f t="shared" si="635"/>
        <v>N/A</v>
      </c>
      <c r="N1847" s="4"/>
      <c r="O1847" s="85"/>
      <c r="X1847" s="699"/>
      <c r="Y1847" s="891"/>
      <c r="Z1847" s="892"/>
      <c r="AX1847" s="6" t="str">
        <f>'Overview (Verification)'!A16</f>
        <v>Single-Family or Multifamily:</v>
      </c>
      <c r="AY1847" t="str">
        <f>IF(LEN('Overview (Verification)'!P16)=0,0,'Overview (Verification)'!P16)</f>
        <v>Single-Family</v>
      </c>
      <c r="BJ1847" s="573" t="s">
        <v>4670</v>
      </c>
    </row>
    <row r="1848" spans="1:62" x14ac:dyDescent="0.35">
      <c r="A1848" s="403">
        <v>10</v>
      </c>
      <c r="B1848" s="609">
        <v>1001.1</v>
      </c>
      <c r="C1848" s="604"/>
      <c r="D1848" s="604"/>
      <c r="E1848" s="604" t="s">
        <v>274</v>
      </c>
      <c r="F1848" s="604"/>
      <c r="G1848" s="403" t="str">
        <f t="shared" si="634"/>
        <v>P</v>
      </c>
      <c r="H1848" s="403" t="s">
        <v>4325</v>
      </c>
      <c r="I1848" s="4"/>
      <c r="J1848" s="148"/>
      <c r="K1848" s="155"/>
      <c r="L1848" s="709"/>
      <c r="M1848" s="741" t="str">
        <f t="shared" si="635"/>
        <v>N/A</v>
      </c>
      <c r="N1848" s="4"/>
      <c r="O1848" s="85"/>
      <c r="X1848" s="700"/>
      <c r="Y1848" s="891"/>
      <c r="Z1848" s="892"/>
      <c r="AX1848" s="6" t="str">
        <f>'Overview (Verification)'!A17</f>
        <v>Number of Units:</v>
      </c>
      <c r="AY1848">
        <f>IF(LEN('Overview (Verification)'!P17)=0,0,'Overview (Verification)'!P17)</f>
        <v>0</v>
      </c>
      <c r="BJ1848" s="573" t="s">
        <v>4670</v>
      </c>
    </row>
    <row r="1849" spans="1:62" x14ac:dyDescent="0.35">
      <c r="A1849" s="403">
        <v>10</v>
      </c>
      <c r="B1849" s="609">
        <v>1001.1</v>
      </c>
      <c r="C1849" s="604"/>
      <c r="D1849" s="604"/>
      <c r="E1849" s="604" t="s">
        <v>283</v>
      </c>
      <c r="F1849" s="604"/>
      <c r="G1849" s="403" t="str">
        <f t="shared" si="634"/>
        <v>P</v>
      </c>
      <c r="H1849" s="403" t="s">
        <v>4325</v>
      </c>
      <c r="I1849" s="4"/>
      <c r="J1849" s="150" t="s">
        <v>283</v>
      </c>
      <c r="K1849" s="187"/>
      <c r="L1849" s="220" t="s">
        <v>3497</v>
      </c>
      <c r="M1849" s="85"/>
      <c r="N1849" s="4"/>
      <c r="O1849" s="85"/>
      <c r="P1849" t="b">
        <v>0</v>
      </c>
      <c r="Q1849" t="b">
        <v>1</v>
      </c>
      <c r="R1849" t="b">
        <v>0</v>
      </c>
      <c r="S1849" t="b">
        <f>IF(AY1847=INDEX(ddSingleOrMulti,1),TRUE,FALSE)</f>
        <v>1</v>
      </c>
      <c r="T1849" t="b">
        <f>AND(NOT(S1849),W1849=TRUE)</f>
        <v>0</v>
      </c>
      <c r="W1849" s="17" t="b">
        <v>1</v>
      </c>
      <c r="X1849" s="39"/>
      <c r="Y1849" s="200" t="str">
        <f>IF(LEN('Ch10'!X21)=0,"None",'Ch10'!X21)</f>
        <v>None</v>
      </c>
      <c r="Z1849" s="563"/>
      <c r="AC1849" t="b">
        <f>OR(AD1849:AE1849)</f>
        <v>0</v>
      </c>
      <c r="AD1849" t="b">
        <f>T1849</f>
        <v>0</v>
      </c>
      <c r="AP1849" t="str">
        <f t="shared" ref="AP1849:AP1851" si="639">SUBSTITUTE(SUBSTITUTE(SUBSTITUTE("vch"&amp;$B1849&amp;$C1849&amp;$D1849&amp;$E1849&amp;$F1849,".","_"),"(","_"),")","")</f>
        <v>vch1001_1_4</v>
      </c>
      <c r="AQ1849" t="b">
        <f>W1849</f>
        <v>1</v>
      </c>
      <c r="AR1849" t="str">
        <f t="shared" ref="AR1849:AR1851" si="640">SUBSTITUTE(SUBSTITUTE(SUBSTITUTE("vnt"&amp;$B1849&amp;$C1849&amp;$D1849&amp;$E1849&amp;$F1849,".","_"),"(","_"),")","")</f>
        <v>vnt1001_1_4</v>
      </c>
      <c r="AS1849">
        <f>X1849</f>
        <v>0</v>
      </c>
      <c r="AX1849" s="6" t="str">
        <f>'Overview (Verification)'!A18</f>
        <v>Project Name:</v>
      </c>
      <c r="AY1849">
        <f>IF(LEN('Overview (Verification)'!P18)=0,0,'Overview (Verification)'!P18)</f>
        <v>0</v>
      </c>
      <c r="BJ1849" s="573" t="s">
        <v>4670</v>
      </c>
    </row>
    <row r="1850" spans="1:62" x14ac:dyDescent="0.35">
      <c r="A1850" s="403">
        <v>10</v>
      </c>
      <c r="B1850" s="609">
        <v>1001.1</v>
      </c>
      <c r="C1850" s="604"/>
      <c r="D1850" s="604"/>
      <c r="E1850" s="604" t="s">
        <v>289</v>
      </c>
      <c r="F1850" s="604"/>
      <c r="G1850" s="403" t="str">
        <f t="shared" si="634"/>
        <v>P</v>
      </c>
      <c r="H1850" s="403" t="s">
        <v>4325</v>
      </c>
      <c r="I1850" s="4"/>
      <c r="J1850" s="150" t="s">
        <v>289</v>
      </c>
      <c r="K1850" s="187"/>
      <c r="L1850" s="220" t="s">
        <v>3498</v>
      </c>
      <c r="M1850" s="85"/>
      <c r="N1850" s="4"/>
      <c r="O1850" s="85"/>
      <c r="P1850" t="b">
        <v>0</v>
      </c>
      <c r="Q1850" t="b">
        <v>1</v>
      </c>
      <c r="R1850" t="b">
        <v>0</v>
      </c>
      <c r="S1850" t="b">
        <f>IF(AY1847=INDEX(ddSingleOrMulti,1),TRUE,FALSE)</f>
        <v>1</v>
      </c>
      <c r="T1850" t="b">
        <f>AND(NOT(S1850),W1850=TRUE)</f>
        <v>0</v>
      </c>
      <c r="W1850" s="17" t="b">
        <v>1</v>
      </c>
      <c r="X1850" s="39"/>
      <c r="Y1850" s="200" t="str">
        <f>IF(LEN('Ch10'!X22)=0,"None",'Ch10'!X22)</f>
        <v>None</v>
      </c>
      <c r="Z1850" s="563"/>
      <c r="AC1850" t="b">
        <f>OR(AD1850:AE1850)</f>
        <v>0</v>
      </c>
      <c r="AD1850" t="b">
        <f>T1850</f>
        <v>0</v>
      </c>
      <c r="AP1850" t="str">
        <f t="shared" si="639"/>
        <v>vch1001_1_5</v>
      </c>
      <c r="AQ1850" t="b">
        <f>W1850</f>
        <v>1</v>
      </c>
      <c r="AR1850" t="str">
        <f t="shared" si="640"/>
        <v>vnt1001_1_5</v>
      </c>
      <c r="AS1850">
        <f>X1850</f>
        <v>0</v>
      </c>
      <c r="AX1850" s="6"/>
      <c r="BJ1850" s="573" t="s">
        <v>4670</v>
      </c>
    </row>
    <row r="1851" spans="1:62" x14ac:dyDescent="0.35">
      <c r="A1851" s="403">
        <v>10</v>
      </c>
      <c r="B1851" s="609">
        <v>1001.1</v>
      </c>
      <c r="C1851" s="604"/>
      <c r="D1851" s="604"/>
      <c r="E1851" s="604" t="s">
        <v>291</v>
      </c>
      <c r="F1851" s="604"/>
      <c r="G1851" s="403" t="str">
        <f t="shared" si="634"/>
        <v>P</v>
      </c>
      <c r="H1851" s="403" t="s">
        <v>4325</v>
      </c>
      <c r="I1851" s="4"/>
      <c r="J1851" s="154" t="s">
        <v>291</v>
      </c>
      <c r="K1851" s="136"/>
      <c r="L1851" s="742" t="s">
        <v>3499</v>
      </c>
      <c r="M1851" s="85"/>
      <c r="N1851" s="4"/>
      <c r="O1851" s="85"/>
      <c r="P1851" t="b">
        <v>0</v>
      </c>
      <c r="Q1851" t="b">
        <v>1</v>
      </c>
      <c r="R1851" t="b">
        <v>0</v>
      </c>
      <c r="S1851" t="b">
        <f>IF(AY1847=INDEX(ddSingleOrMulti,1),TRUE,FALSE)</f>
        <v>1</v>
      </c>
      <c r="T1851" t="b">
        <f>AND(NOT(S1851),W1851=TRUE)</f>
        <v>0</v>
      </c>
      <c r="W1851" s="17" t="b">
        <v>1</v>
      </c>
      <c r="X1851" s="688"/>
      <c r="Y1851" s="891" t="str">
        <f>IF(LEN('Ch10'!X23)=0,"None",'Ch10'!X23)</f>
        <v>None</v>
      </c>
      <c r="Z1851" s="892"/>
      <c r="AC1851" t="b">
        <f>OR(AD1851:AE1851)</f>
        <v>0</v>
      </c>
      <c r="AD1851" t="b">
        <f>T1851</f>
        <v>0</v>
      </c>
      <c r="AP1851" t="str">
        <f t="shared" si="639"/>
        <v>vch1001_1_6</v>
      </c>
      <c r="AQ1851" t="b">
        <f>W1851</f>
        <v>1</v>
      </c>
      <c r="AR1851" t="str">
        <f t="shared" si="640"/>
        <v>vnt1001_1_6</v>
      </c>
      <c r="AS1851">
        <f>X1851</f>
        <v>0</v>
      </c>
      <c r="AX1851" s="6" t="str">
        <f>'Overview (Verification)'!A20</f>
        <v>Above grade plane finished floor area:</v>
      </c>
      <c r="AY1851">
        <f>IF(LEN('Overview (Verification)'!P20)=0,0,'Overview (Verification)'!P20)</f>
        <v>2644</v>
      </c>
      <c r="BJ1851" s="573" t="s">
        <v>4670</v>
      </c>
    </row>
    <row r="1852" spans="1:62" x14ac:dyDescent="0.35">
      <c r="A1852" s="403">
        <v>10</v>
      </c>
      <c r="B1852" s="609">
        <v>1001.1</v>
      </c>
      <c r="C1852" s="604"/>
      <c r="D1852" s="604"/>
      <c r="E1852" s="604" t="s">
        <v>291</v>
      </c>
      <c r="F1852" s="604"/>
      <c r="G1852" s="403" t="str">
        <f t="shared" si="634"/>
        <v>P</v>
      </c>
      <c r="H1852" s="403" t="s">
        <v>4325</v>
      </c>
      <c r="I1852" s="4"/>
      <c r="J1852" s="148"/>
      <c r="K1852" s="155"/>
      <c r="L1852" s="709"/>
      <c r="M1852" s="85"/>
      <c r="N1852" s="4"/>
      <c r="O1852" s="85"/>
      <c r="X1852" s="688"/>
      <c r="Y1852" s="891"/>
      <c r="Z1852" s="892"/>
      <c r="AX1852" s="6" t="str">
        <f>'Overview (Verification)'!A21</f>
        <v>Total conditioned floor area:</v>
      </c>
      <c r="AY1852">
        <f>IF(LEN('Overview (Verification)'!P21)=0,0,'Overview (Verification)'!P21)</f>
        <v>2644</v>
      </c>
      <c r="BJ1852" s="573" t="s">
        <v>4670</v>
      </c>
    </row>
    <row r="1853" spans="1:62" x14ac:dyDescent="0.35">
      <c r="A1853" s="403">
        <v>10</v>
      </c>
      <c r="B1853" s="609">
        <v>1001.1</v>
      </c>
      <c r="C1853" s="604"/>
      <c r="D1853" s="604"/>
      <c r="E1853" s="604" t="s">
        <v>403</v>
      </c>
      <c r="F1853" s="604"/>
      <c r="G1853" s="403" t="str">
        <f t="shared" si="634"/>
        <v>P</v>
      </c>
      <c r="H1853" s="403" t="s">
        <v>4325</v>
      </c>
      <c r="I1853" s="4"/>
      <c r="J1853" s="154" t="s">
        <v>403</v>
      </c>
      <c r="K1853" s="136"/>
      <c r="L1853" s="742" t="s">
        <v>3500</v>
      </c>
      <c r="M1853" s="85"/>
      <c r="N1853" s="4"/>
      <c r="O1853" s="85"/>
      <c r="P1853" t="b">
        <v>0</v>
      </c>
      <c r="Q1853" t="b">
        <v>1</v>
      </c>
      <c r="R1853" t="b">
        <v>0</v>
      </c>
      <c r="S1853" t="b">
        <f>IF(AY1847=INDEX(ddSingleOrMulti,1),TRUE,FALSE)</f>
        <v>1</v>
      </c>
      <c r="T1853" t="b">
        <f>AND(NOT(S1853),W1853=TRUE)</f>
        <v>0</v>
      </c>
      <c r="W1853" s="17" t="b">
        <v>1</v>
      </c>
      <c r="X1853" s="688"/>
      <c r="Y1853" s="891" t="str">
        <f>IF(LEN('Ch10'!X25)=0,"None",'Ch10'!X25)</f>
        <v>None</v>
      </c>
      <c r="Z1853" s="892"/>
      <c r="AC1853" t="b">
        <f>OR(AD1853:AE1853)</f>
        <v>0</v>
      </c>
      <c r="AD1853" t="b">
        <f>T1853</f>
        <v>0</v>
      </c>
      <c r="AP1853" t="str">
        <f>SUBSTITUTE(SUBSTITUTE(SUBSTITUTE("vch"&amp;$B1853&amp;$C1853&amp;$D1853&amp;$E1853&amp;$F1853,".","_"),"(","_"),")","")</f>
        <v>vch1001_1_7</v>
      </c>
      <c r="AQ1853" t="b">
        <f>W1853</f>
        <v>1</v>
      </c>
      <c r="AR1853" t="str">
        <f>SUBSTITUTE(SUBSTITUTE(SUBSTITUTE("vnt"&amp;$B1853&amp;$C1853&amp;$D1853&amp;$E1853&amp;$F1853,".","_"),"(","_"),")","")</f>
        <v>vnt1001_1_7</v>
      </c>
      <c r="AS1853">
        <f>X1853</f>
        <v>0</v>
      </c>
      <c r="AX1853" s="6" t="str">
        <f>'Overview (Verification)'!A22</f>
        <v>Stories above grade:</v>
      </c>
      <c r="AY1853">
        <f>IF(LEN('Overview (Verification)'!P22)=0,0,'Overview (Verification)'!P22)</f>
        <v>2</v>
      </c>
      <c r="BJ1853" s="573" t="s">
        <v>4670</v>
      </c>
    </row>
    <row r="1854" spans="1:62" x14ac:dyDescent="0.35">
      <c r="A1854" s="403">
        <v>10</v>
      </c>
      <c r="B1854" s="609">
        <v>1001.1</v>
      </c>
      <c r="C1854" s="604"/>
      <c r="D1854" s="604"/>
      <c r="E1854" s="604" t="s">
        <v>403</v>
      </c>
      <c r="F1854" s="604"/>
      <c r="G1854" s="403" t="str">
        <f t="shared" si="634"/>
        <v>P</v>
      </c>
      <c r="H1854" s="403" t="s">
        <v>4325</v>
      </c>
      <c r="I1854" s="4"/>
      <c r="J1854" s="148"/>
      <c r="K1854" s="155"/>
      <c r="L1854" s="709"/>
      <c r="M1854" s="85"/>
      <c r="N1854" s="4"/>
      <c r="O1854" s="85"/>
      <c r="X1854" s="688"/>
      <c r="Y1854" s="891"/>
      <c r="Z1854" s="892"/>
      <c r="BJ1854" s="573" t="s">
        <v>4670</v>
      </c>
    </row>
    <row r="1855" spans="1:62" x14ac:dyDescent="0.35">
      <c r="A1855" s="403">
        <v>10</v>
      </c>
      <c r="B1855" s="609">
        <v>1001.1</v>
      </c>
      <c r="C1855" s="604"/>
      <c r="D1855" s="604"/>
      <c r="E1855" s="604" t="s">
        <v>453</v>
      </c>
      <c r="F1855" s="604"/>
      <c r="G1855" s="403" t="str">
        <f t="shared" si="634"/>
        <v>P</v>
      </c>
      <c r="H1855" s="403" t="s">
        <v>4325</v>
      </c>
      <c r="I1855" s="4"/>
      <c r="J1855" s="150" t="s">
        <v>453</v>
      </c>
      <c r="K1855" s="187"/>
      <c r="L1855" s="220" t="s">
        <v>3501</v>
      </c>
      <c r="M1855" s="85"/>
      <c r="N1855" s="4"/>
      <c r="O1855" s="85"/>
      <c r="P1855" t="b">
        <v>0</v>
      </c>
      <c r="Q1855" t="b">
        <v>1</v>
      </c>
      <c r="R1855" t="b">
        <v>0</v>
      </c>
      <c r="S1855" t="b">
        <f>IF(AY1847=INDEX(ddSingleOrMulti,1),TRUE,FALSE)</f>
        <v>1</v>
      </c>
      <c r="T1855" t="b">
        <f>AND(NOT(S1855),W1855=TRUE)</f>
        <v>0</v>
      </c>
      <c r="W1855" s="17" t="b">
        <v>1</v>
      </c>
      <c r="X1855" s="39"/>
      <c r="Y1855" s="200" t="str">
        <f>IF(LEN('Ch10'!X27)=0,"None",'Ch10'!X27)</f>
        <v>None</v>
      </c>
      <c r="Z1855" s="563"/>
      <c r="AC1855" t="b">
        <f>OR(AD1855:AE1855)</f>
        <v>0</v>
      </c>
      <c r="AD1855" t="b">
        <f>T1855</f>
        <v>0</v>
      </c>
      <c r="AP1855" t="str">
        <f t="shared" ref="AP1855:AP1860" si="641">SUBSTITUTE(SUBSTITUTE(SUBSTITUTE("vch"&amp;$B1855&amp;$C1855&amp;$D1855&amp;$E1855&amp;$F1855,".","_"),"(","_"),")","")</f>
        <v>vch1001_1_8</v>
      </c>
      <c r="AQ1855" t="b">
        <f>W1855</f>
        <v>1</v>
      </c>
      <c r="AR1855" t="str">
        <f t="shared" ref="AR1855:AR1860" si="642">SUBSTITUTE(SUBSTITUTE(SUBSTITUTE("vnt"&amp;$B1855&amp;$C1855&amp;$D1855&amp;$E1855&amp;$F1855,".","_"),"(","_"),")","")</f>
        <v>vnt1001_1_8</v>
      </c>
      <c r="AS1855">
        <f>X1855</f>
        <v>0</v>
      </c>
      <c r="AX1855" s="6" t="str">
        <f>'Overview (Verification)'!A24</f>
        <v xml:space="preserve">Project Description (optional): </v>
      </c>
      <c r="AY1855">
        <f>IF(LEN('Overview (Verification)'!P24)=0,0,'Overview (Verification)'!P24)</f>
        <v>0</v>
      </c>
      <c r="BJ1855" s="573" t="s">
        <v>4670</v>
      </c>
    </row>
    <row r="1856" spans="1:62" ht="15" customHeight="1" x14ac:dyDescent="0.35">
      <c r="A1856" s="403">
        <v>10</v>
      </c>
      <c r="B1856" s="609">
        <v>1001.1</v>
      </c>
      <c r="C1856" s="604"/>
      <c r="D1856" s="604"/>
      <c r="E1856" s="604" t="s">
        <v>455</v>
      </c>
      <c r="F1856" s="604"/>
      <c r="G1856" s="403" t="str">
        <f t="shared" si="634"/>
        <v>P</v>
      </c>
      <c r="H1856" s="403" t="s">
        <v>4325</v>
      </c>
      <c r="I1856" s="4"/>
      <c r="J1856" s="19" t="s">
        <v>455</v>
      </c>
      <c r="K1856" s="4"/>
      <c r="L1856" s="757" t="s">
        <v>3502</v>
      </c>
      <c r="M1856" s="750" t="str">
        <f ca="1">IF(R1856,"Mandatory per 902.2.1","N/A")</f>
        <v>Mandatory per 902.2.1</v>
      </c>
      <c r="N1856" s="4"/>
      <c r="O1856" s="85"/>
      <c r="P1856" t="b">
        <v>0</v>
      </c>
      <c r="Q1856" t="b">
        <v>1</v>
      </c>
      <c r="R1856" s="1" t="b">
        <f ca="1">AND(S1856,OR($O$1768&gt;0,$R$1768))</f>
        <v>1</v>
      </c>
      <c r="S1856" t="b">
        <f>IF(AY1847=INDEX(ddSingleOrMulti,1),TRUE,FALSE)</f>
        <v>1</v>
      </c>
      <c r="T1856" t="b">
        <f>AND(NOT(S1856),W1856=TRUE)</f>
        <v>0</v>
      </c>
      <c r="W1856" s="17" t="b">
        <v>1</v>
      </c>
      <c r="X1856" s="698"/>
      <c r="Y1856" s="906" t="str">
        <f>IF(LEN('Ch10'!X28)=0,"None",'Ch10'!X28)</f>
        <v>None</v>
      </c>
      <c r="Z1856" s="897"/>
      <c r="AC1856" t="b">
        <f ca="1">OR(AD1856:AE1856)</f>
        <v>0</v>
      </c>
      <c r="AD1856" t="b">
        <f>T1856</f>
        <v>0</v>
      </c>
      <c r="AE1856" t="b">
        <f ca="1">AND(R1856,NOT(W1856=TRUE))</f>
        <v>0</v>
      </c>
      <c r="AF1856" t="b">
        <f ca="1">AND(AE1856,NOT(Q1856))</f>
        <v>0</v>
      </c>
      <c r="AP1856" t="str">
        <f t="shared" si="641"/>
        <v>vch1001_1_9</v>
      </c>
      <c r="AQ1856" t="b">
        <f>W1856</f>
        <v>1</v>
      </c>
      <c r="AR1856" t="str">
        <f t="shared" si="642"/>
        <v>vnt1001_1_9</v>
      </c>
      <c r="AS1856">
        <f>X1856</f>
        <v>0</v>
      </c>
      <c r="BJ1856" s="573" t="s">
        <v>4670</v>
      </c>
    </row>
    <row r="1857" spans="1:62" ht="15" customHeight="1" x14ac:dyDescent="0.35">
      <c r="A1857" s="403">
        <v>10</v>
      </c>
      <c r="B1857" s="609">
        <v>1001.1</v>
      </c>
      <c r="C1857" s="604"/>
      <c r="D1857" s="604"/>
      <c r="E1857" s="604" t="s">
        <v>455</v>
      </c>
      <c r="F1857" s="604"/>
      <c r="G1857" s="403" t="str">
        <f t="shared" si="634"/>
        <v>P</v>
      </c>
      <c r="H1857" s="403" t="s">
        <v>4325</v>
      </c>
      <c r="I1857" s="4"/>
      <c r="J1857" s="19"/>
      <c r="K1857" s="4"/>
      <c r="L1857" s="724"/>
      <c r="M1857" s="750"/>
      <c r="N1857" s="4"/>
      <c r="O1857" s="85"/>
      <c r="X1857" s="700"/>
      <c r="Y1857" s="904"/>
      <c r="Z1857" s="896"/>
      <c r="AX1857" s="6" t="str">
        <f>'Overview (Verification)'!A26</f>
        <v>HERS Index (if available):</v>
      </c>
      <c r="AY1857">
        <f>IF(LEN('Overview (Verification)'!P26)=0,0,'Overview (Verification)'!P26)</f>
        <v>0</v>
      </c>
      <c r="BJ1857" s="573" t="s">
        <v>4670</v>
      </c>
    </row>
    <row r="1858" spans="1:62" x14ac:dyDescent="0.35">
      <c r="A1858" s="403">
        <v>10</v>
      </c>
      <c r="B1858" s="609">
        <v>1001.1</v>
      </c>
      <c r="C1858" s="604"/>
      <c r="D1858" s="604"/>
      <c r="E1858" s="604" t="s">
        <v>457</v>
      </c>
      <c r="F1858" s="604"/>
      <c r="G1858" s="403" t="str">
        <f>G1856</f>
        <v>P</v>
      </c>
      <c r="H1858" s="403" t="s">
        <v>4325</v>
      </c>
      <c r="I1858" s="4"/>
      <c r="J1858" s="150" t="s">
        <v>457</v>
      </c>
      <c r="K1858" s="187"/>
      <c r="L1858" s="220" t="s">
        <v>3503</v>
      </c>
      <c r="M1858" s="85"/>
      <c r="N1858" s="4"/>
      <c r="O1858" s="85"/>
      <c r="P1858" t="b">
        <v>0</v>
      </c>
      <c r="Q1858" t="b">
        <v>1</v>
      </c>
      <c r="R1858" t="b">
        <v>0</v>
      </c>
      <c r="S1858" t="b">
        <f>IF(AY1847=INDEX(ddSingleOrMulti,1),TRUE,FALSE)</f>
        <v>1</v>
      </c>
      <c r="T1858" t="b">
        <f>AND(NOT(S1858),W1858=TRUE)</f>
        <v>0</v>
      </c>
      <c r="W1858" s="17" t="b">
        <v>1</v>
      </c>
      <c r="X1858" s="39"/>
      <c r="Y1858" s="200" t="str">
        <f>IF(LEN('Ch10'!X30)=0,"None",'Ch10'!X30)</f>
        <v>None</v>
      </c>
      <c r="Z1858" s="563"/>
      <c r="AC1858" t="b">
        <f>OR(AD1858:AE1858)</f>
        <v>0</v>
      </c>
      <c r="AD1858" t="b">
        <f>T1858</f>
        <v>0</v>
      </c>
      <c r="AP1858" t="str">
        <f t="shared" si="641"/>
        <v>vch1001_1_10</v>
      </c>
      <c r="AQ1858" t="b">
        <f>W1858</f>
        <v>1</v>
      </c>
      <c r="AR1858" t="str">
        <f t="shared" si="642"/>
        <v>vnt1001_1_10</v>
      </c>
      <c r="AS1858">
        <f>X1858</f>
        <v>0</v>
      </c>
      <c r="AX1858" s="6" t="str">
        <f>'Overview (Verification)'!A27</f>
        <v>Foundation Type:</v>
      </c>
      <c r="AY1858" t="str">
        <f>IF(LEN('Overview (Verification)'!P27)=0,0,'Overview (Verification)'!P27)</f>
        <v>Conditioned crawlspace</v>
      </c>
      <c r="BJ1858" s="573" t="s">
        <v>4670</v>
      </c>
    </row>
    <row r="1859" spans="1:62" ht="15" customHeight="1" x14ac:dyDescent="0.35">
      <c r="A1859" s="403">
        <v>10</v>
      </c>
      <c r="B1859" s="609">
        <v>1001.1</v>
      </c>
      <c r="C1859" s="604"/>
      <c r="D1859" s="604"/>
      <c r="E1859" s="604" t="s">
        <v>459</v>
      </c>
      <c r="F1859" s="604"/>
      <c r="G1859" s="403" t="str">
        <f t="shared" si="634"/>
        <v>P</v>
      </c>
      <c r="H1859" s="403" t="s">
        <v>4325</v>
      </c>
      <c r="I1859" s="4"/>
      <c r="J1859" s="19" t="s">
        <v>459</v>
      </c>
      <c r="K1859" s="4"/>
      <c r="L1859" s="104" t="s">
        <v>3504</v>
      </c>
      <c r="M1859" s="85"/>
      <c r="N1859" s="4"/>
      <c r="O1859" s="85"/>
      <c r="P1859" t="b">
        <v>0</v>
      </c>
      <c r="Q1859" t="b">
        <v>1</v>
      </c>
      <c r="R1859" t="b">
        <v>0</v>
      </c>
      <c r="S1859" t="b">
        <f>IF(AY1847=INDEX(ddSingleOrMulti,1),TRUE,FALSE)</f>
        <v>1</v>
      </c>
      <c r="T1859" t="b">
        <f>AND(NOT(S1859),W1859=TRUE)</f>
        <v>0</v>
      </c>
      <c r="W1859" s="17" t="b">
        <v>1</v>
      </c>
      <c r="X1859" s="39"/>
      <c r="Y1859" s="200" t="str">
        <f>IF(LEN('Ch10'!X31)=0,"None",'Ch10'!X31)</f>
        <v>None</v>
      </c>
      <c r="Z1859" s="563"/>
      <c r="AC1859" t="b">
        <f>OR(AD1859:AE1859)</f>
        <v>0</v>
      </c>
      <c r="AD1859" t="b">
        <f>T1859</f>
        <v>0</v>
      </c>
      <c r="AP1859" t="str">
        <f t="shared" si="641"/>
        <v>vch1001_1_11</v>
      </c>
      <c r="AQ1859" t="b">
        <f>W1859</f>
        <v>1</v>
      </c>
      <c r="AR1859" t="str">
        <f t="shared" si="642"/>
        <v>vnt1001_1_11</v>
      </c>
      <c r="AS1859">
        <f>X1859</f>
        <v>0</v>
      </c>
      <c r="AX1859" s="6"/>
      <c r="BJ1859" s="573" t="s">
        <v>4670</v>
      </c>
    </row>
    <row r="1860" spans="1:62" x14ac:dyDescent="0.35">
      <c r="A1860" s="403">
        <v>10</v>
      </c>
      <c r="B1860" s="609">
        <v>1001.1</v>
      </c>
      <c r="C1860" s="604"/>
      <c r="D1860" s="604"/>
      <c r="E1860" s="604" t="s">
        <v>461</v>
      </c>
      <c r="F1860" s="604"/>
      <c r="G1860" s="403" t="str">
        <f t="shared" si="634"/>
        <v>P</v>
      </c>
      <c r="H1860" s="403" t="s">
        <v>4325</v>
      </c>
      <c r="I1860" s="4"/>
      <c r="J1860" s="154" t="s">
        <v>461</v>
      </c>
      <c r="K1860" s="136"/>
      <c r="L1860" s="742" t="s">
        <v>3505</v>
      </c>
      <c r="M1860" s="85"/>
      <c r="N1860" s="4"/>
      <c r="O1860" s="85"/>
      <c r="P1860" t="b">
        <v>0</v>
      </c>
      <c r="Q1860" t="b">
        <v>1</v>
      </c>
      <c r="R1860" t="b">
        <v>0</v>
      </c>
      <c r="S1860" t="b">
        <f>IF(AY1847=INDEX(ddSingleOrMulti,1),TRUE,FALSE)</f>
        <v>1</v>
      </c>
      <c r="T1860" t="b">
        <f>AND(NOT(S1860),W1860=TRUE)</f>
        <v>0</v>
      </c>
      <c r="W1860" s="17"/>
      <c r="X1860" s="688"/>
      <c r="Y1860" s="891" t="str">
        <f>IF(LEN('Ch10'!X32)=0,"None",'Ch10'!X32)</f>
        <v>None</v>
      </c>
      <c r="Z1860" s="892"/>
      <c r="AC1860" t="b">
        <f>OR(AD1860:AE1860)</f>
        <v>0</v>
      </c>
      <c r="AD1860" t="b">
        <f>T1860</f>
        <v>0</v>
      </c>
      <c r="AP1860" t="str">
        <f t="shared" si="641"/>
        <v>vch1001_1_12</v>
      </c>
      <c r="AQ1860">
        <f>W1860</f>
        <v>0</v>
      </c>
      <c r="AR1860" t="str">
        <f t="shared" si="642"/>
        <v>vnt1001_1_12</v>
      </c>
      <c r="AS1860">
        <f>X1860</f>
        <v>0</v>
      </c>
      <c r="AX1860" s="6" t="str">
        <f>'Overview (Verification)'!A29</f>
        <v>Type of Heating System (main system):</v>
      </c>
      <c r="AY1860" t="str">
        <f>IF(LEN('Overview (Verification)'!P29)=0,0,'Overview (Verification)'!P29)</f>
        <v>Furnace</v>
      </c>
      <c r="BJ1860" s="573" t="s">
        <v>4670</v>
      </c>
    </row>
    <row r="1861" spans="1:62" x14ac:dyDescent="0.35">
      <c r="A1861" s="403">
        <v>10</v>
      </c>
      <c r="B1861" s="609">
        <v>1001.1</v>
      </c>
      <c r="C1861" s="604"/>
      <c r="D1861" s="604"/>
      <c r="E1861" s="604" t="s">
        <v>461</v>
      </c>
      <c r="F1861" s="604"/>
      <c r="G1861" s="403" t="str">
        <f t="shared" si="634"/>
        <v>P</v>
      </c>
      <c r="H1861" s="403" t="s">
        <v>4325</v>
      </c>
      <c r="I1861" s="4"/>
      <c r="J1861" s="4"/>
      <c r="K1861" s="4"/>
      <c r="L1861" s="707"/>
      <c r="M1861" s="85"/>
      <c r="N1861" s="4"/>
      <c r="O1861" s="85"/>
      <c r="X1861" s="688"/>
      <c r="Y1861" s="891"/>
      <c r="Z1861" s="892"/>
      <c r="AX1861" s="6" t="str">
        <f>'Overview (Verification)'!A30</f>
        <v>Type of Heating System (system 2):</v>
      </c>
      <c r="AY1861">
        <f>IF(LEN('Overview (Verification)'!P30)=0,0,'Overview (Verification)'!P30)</f>
        <v>0</v>
      </c>
      <c r="BJ1861" s="573" t="s">
        <v>4670</v>
      </c>
    </row>
    <row r="1862" spans="1:62" x14ac:dyDescent="0.35">
      <c r="A1862" s="403">
        <v>10</v>
      </c>
      <c r="B1862" s="609">
        <v>1001.1</v>
      </c>
      <c r="C1862" s="604"/>
      <c r="D1862" s="604"/>
      <c r="E1862" s="604" t="s">
        <v>461</v>
      </c>
      <c r="F1862" s="604" t="s">
        <v>121</v>
      </c>
      <c r="G1862" s="403" t="str">
        <f t="shared" si="634"/>
        <v>P</v>
      </c>
      <c r="H1862" s="605" t="s">
        <v>4325</v>
      </c>
      <c r="I1862" s="4"/>
      <c r="J1862" s="4"/>
      <c r="K1862" s="19" t="s">
        <v>121</v>
      </c>
      <c r="L1862" s="104" t="s">
        <v>3506</v>
      </c>
      <c r="M1862" s="85"/>
      <c r="N1862" s="4"/>
      <c r="O1862" s="85"/>
      <c r="X1862" s="688"/>
      <c r="Y1862" s="891"/>
      <c r="Z1862" s="892"/>
      <c r="AX1862" s="6" t="str">
        <f>'Overview (Verification)'!A31</f>
        <v>Type of Heating System (system 3):</v>
      </c>
      <c r="AY1862">
        <f>IF(LEN('Overview (Verification)'!P31)=0,0,'Overview (Verification)'!P31)</f>
        <v>0</v>
      </c>
      <c r="BJ1862" s="573" t="s">
        <v>4670</v>
      </c>
    </row>
    <row r="1863" spans="1:62" x14ac:dyDescent="0.35">
      <c r="A1863" s="403">
        <v>10</v>
      </c>
      <c r="B1863" s="609">
        <v>1001.1</v>
      </c>
      <c r="C1863" s="604"/>
      <c r="D1863" s="604"/>
      <c r="E1863" s="604" t="s">
        <v>461</v>
      </c>
      <c r="F1863" s="604" t="s">
        <v>122</v>
      </c>
      <c r="G1863" s="403" t="str">
        <f t="shared" si="634"/>
        <v>P</v>
      </c>
      <c r="H1863" s="605" t="s">
        <v>4325</v>
      </c>
      <c r="I1863" s="4"/>
      <c r="J1863" s="4"/>
      <c r="K1863" s="19" t="s">
        <v>122</v>
      </c>
      <c r="L1863" s="104" t="s">
        <v>3507</v>
      </c>
      <c r="M1863" s="85"/>
      <c r="N1863" s="4"/>
      <c r="O1863" s="85"/>
      <c r="X1863" s="688"/>
      <c r="Y1863" s="891"/>
      <c r="Z1863" s="892"/>
      <c r="AX1863" s="6" t="str">
        <f>'Overview (Verification)'!A32</f>
        <v>Heating Fuel:</v>
      </c>
      <c r="AY1863">
        <f>IF(LEN('Overview (Verification)'!P32)=0,0,'Overview (Verification)'!P32)</f>
        <v>0</v>
      </c>
      <c r="BJ1863" s="573" t="s">
        <v>4670</v>
      </c>
    </row>
    <row r="1864" spans="1:62" x14ac:dyDescent="0.35">
      <c r="A1864" s="403">
        <v>10</v>
      </c>
      <c r="B1864" s="609">
        <v>1001.1</v>
      </c>
      <c r="C1864" s="604"/>
      <c r="D1864" s="604"/>
      <c r="E1864" s="604" t="s">
        <v>461</v>
      </c>
      <c r="F1864" s="604" t="s">
        <v>123</v>
      </c>
      <c r="G1864" s="403" t="str">
        <f t="shared" si="634"/>
        <v>P</v>
      </c>
      <c r="H1864" s="605" t="s">
        <v>4325</v>
      </c>
      <c r="I1864" s="4"/>
      <c r="J1864" s="4"/>
      <c r="K1864" s="19" t="s">
        <v>123</v>
      </c>
      <c r="L1864" s="707" t="s">
        <v>3508</v>
      </c>
      <c r="M1864" s="85"/>
      <c r="N1864" s="4"/>
      <c r="O1864" s="85"/>
      <c r="X1864" s="688"/>
      <c r="Y1864" s="891"/>
      <c r="Z1864" s="892"/>
      <c r="AX1864" s="6" t="str">
        <f>'Overview (Verification)'!A33</f>
        <v>Heating Ducts:</v>
      </c>
      <c r="AY1864" t="str">
        <f>IF(LEN('Overview (Verification)'!P33)=0,0,'Overview (Verification)'!P33)</f>
        <v>Ducted</v>
      </c>
      <c r="BJ1864" s="573" t="s">
        <v>4670</v>
      </c>
    </row>
    <row r="1865" spans="1:62" x14ac:dyDescent="0.35">
      <c r="A1865" s="403">
        <v>10</v>
      </c>
      <c r="B1865" s="609">
        <v>1001.1</v>
      </c>
      <c r="C1865" s="604"/>
      <c r="D1865" s="604"/>
      <c r="E1865" s="604" t="s">
        <v>461</v>
      </c>
      <c r="F1865" s="604"/>
      <c r="G1865" s="403" t="str">
        <f t="shared" si="634"/>
        <v>P</v>
      </c>
      <c r="H1865" s="403" t="s">
        <v>4325</v>
      </c>
      <c r="I1865" s="4"/>
      <c r="J1865" s="155"/>
      <c r="K1865" s="155"/>
      <c r="L1865" s="709"/>
      <c r="M1865" s="85"/>
      <c r="N1865" s="4"/>
      <c r="O1865" s="85"/>
      <c r="X1865" s="688"/>
      <c r="Y1865" s="891"/>
      <c r="Z1865" s="892"/>
      <c r="AX1865" s="6" t="str">
        <f>'Overview (Verification)'!A34</f>
        <v>Type of Cooling System (main system):</v>
      </c>
      <c r="AY1865" t="str">
        <f>IF(LEN('Overview (Verification)'!P34)=0,0,'Overview (Verification)'!P34)</f>
        <v>Electric Air Conditiner</v>
      </c>
      <c r="BJ1865" s="573" t="s">
        <v>4670</v>
      </c>
    </row>
    <row r="1866" spans="1:62" x14ac:dyDescent="0.35">
      <c r="A1866" s="403">
        <v>10</v>
      </c>
      <c r="B1866" s="609">
        <v>1001.1</v>
      </c>
      <c r="C1866" s="604"/>
      <c r="D1866" s="604"/>
      <c r="E1866" s="604" t="s">
        <v>3509</v>
      </c>
      <c r="F1866" s="604"/>
      <c r="G1866" s="403" t="str">
        <f t="shared" si="634"/>
        <v>P</v>
      </c>
      <c r="H1866" s="403" t="s">
        <v>4325</v>
      </c>
      <c r="I1866" s="4"/>
      <c r="J1866" s="154" t="s">
        <v>3509</v>
      </c>
      <c r="K1866" s="136"/>
      <c r="L1866" s="742" t="s">
        <v>3510</v>
      </c>
      <c r="M1866" s="85"/>
      <c r="N1866" s="4"/>
      <c r="O1866" s="85"/>
      <c r="P1866" t="b">
        <v>0</v>
      </c>
      <c r="Q1866" t="b">
        <v>1</v>
      </c>
      <c r="R1866" t="b">
        <v>0</v>
      </c>
      <c r="S1866" t="b">
        <f>IF(AY1847=INDEX(ddSingleOrMulti,1),TRUE,FALSE)</f>
        <v>1</v>
      </c>
      <c r="T1866" t="b">
        <f>AND(NOT(S1866),W1866=TRUE)</f>
        <v>0</v>
      </c>
      <c r="W1866" s="17" t="b">
        <v>1</v>
      </c>
      <c r="X1866" s="688"/>
      <c r="Y1866" s="891" t="str">
        <f>IF(LEN('Ch10'!X38)=0,"None",'Ch10'!X38)</f>
        <v>None</v>
      </c>
      <c r="Z1866" s="892"/>
      <c r="AC1866" t="b">
        <f>OR(AD1866:AE1866)</f>
        <v>0</v>
      </c>
      <c r="AD1866" t="b">
        <f>T1866</f>
        <v>0</v>
      </c>
      <c r="AP1866" t="str">
        <f>SUBSTITUTE(SUBSTITUTE(SUBSTITUTE("vch"&amp;$B1866&amp;$C1866&amp;$D1866&amp;$E1866&amp;$F1866,".","_"),"(","_"),")","")</f>
        <v>vch1001_1_13</v>
      </c>
      <c r="AQ1866" t="b">
        <f>W1866</f>
        <v>1</v>
      </c>
      <c r="AR1866" t="str">
        <f>SUBSTITUTE(SUBSTITUTE(SUBSTITUTE("vnt"&amp;$B1866&amp;$C1866&amp;$D1866&amp;$E1866&amp;$F1866,".","_"),"(","_"),")","")</f>
        <v>vnt1001_1_13</v>
      </c>
      <c r="AS1866">
        <f>X1866</f>
        <v>0</v>
      </c>
      <c r="AX1866" s="6" t="str">
        <f>'Overview (Verification)'!A35</f>
        <v>Type of Cooling System (system 2):</v>
      </c>
      <c r="AY1866">
        <f>IF(LEN('Overview (Verification)'!P35)=0,0,'Overview (Verification)'!P35)</f>
        <v>0</v>
      </c>
      <c r="BJ1866" s="573" t="s">
        <v>4670</v>
      </c>
    </row>
    <row r="1867" spans="1:62" x14ac:dyDescent="0.35">
      <c r="A1867" s="403">
        <v>10</v>
      </c>
      <c r="B1867" s="609">
        <v>1001.1</v>
      </c>
      <c r="C1867" s="604"/>
      <c r="D1867" s="604"/>
      <c r="E1867" s="604" t="s">
        <v>3509</v>
      </c>
      <c r="F1867" s="604"/>
      <c r="G1867" s="403" t="str">
        <f t="shared" si="634"/>
        <v>P</v>
      </c>
      <c r="H1867" s="403" t="s">
        <v>4325</v>
      </c>
      <c r="I1867" s="4"/>
      <c r="J1867" s="4"/>
      <c r="K1867" s="4"/>
      <c r="L1867" s="707"/>
      <c r="M1867" s="85"/>
      <c r="N1867" s="4"/>
      <c r="O1867" s="85"/>
      <c r="X1867" s="688"/>
      <c r="Y1867" s="891"/>
      <c r="Z1867" s="892"/>
      <c r="AX1867" s="6" t="str">
        <f>'Overview (Verification)'!A36</f>
        <v>Type of Cooling System (system 3):</v>
      </c>
      <c r="AY1867">
        <f>IF(LEN('Overview (Verification)'!P36)=0,0,'Overview (Verification)'!P36)</f>
        <v>0</v>
      </c>
      <c r="BJ1867" s="573" t="s">
        <v>4670</v>
      </c>
    </row>
    <row r="1868" spans="1:62" x14ac:dyDescent="0.35">
      <c r="A1868" s="403">
        <v>10</v>
      </c>
      <c r="B1868" s="609">
        <v>1001.1</v>
      </c>
      <c r="C1868" s="604"/>
      <c r="D1868" s="604"/>
      <c r="E1868" s="604" t="s">
        <v>3509</v>
      </c>
      <c r="F1868" s="604"/>
      <c r="G1868" s="403" t="str">
        <f t="shared" si="634"/>
        <v>P</v>
      </c>
      <c r="H1868" s="403" t="s">
        <v>4325</v>
      </c>
      <c r="I1868" s="4"/>
      <c r="J1868" s="4"/>
      <c r="K1868" s="4"/>
      <c r="L1868" s="707"/>
      <c r="M1868" s="85"/>
      <c r="N1868" s="4"/>
      <c r="O1868" s="85"/>
      <c r="X1868" s="688"/>
      <c r="Y1868" s="891"/>
      <c r="Z1868" s="892"/>
      <c r="AX1868" s="6" t="str">
        <f>'Overview (Verification)'!A37</f>
        <v>Cooling Ducts:</v>
      </c>
      <c r="AY1868" t="str">
        <f>IF(LEN('Overview (Verification)'!P37)=0,0,'Overview (Verification)'!P37)</f>
        <v>Ducted</v>
      </c>
      <c r="BJ1868" s="573" t="s">
        <v>4670</v>
      </c>
    </row>
    <row r="1869" spans="1:62" x14ac:dyDescent="0.35">
      <c r="A1869" s="403">
        <v>10</v>
      </c>
      <c r="B1869" s="609">
        <v>1001.1</v>
      </c>
      <c r="C1869" s="604"/>
      <c r="D1869" s="604"/>
      <c r="E1869" s="604" t="s">
        <v>3509</v>
      </c>
      <c r="F1869" s="604"/>
      <c r="G1869" s="403" t="str">
        <f t="shared" si="634"/>
        <v>P</v>
      </c>
      <c r="H1869" s="403" t="s">
        <v>4325</v>
      </c>
      <c r="I1869" s="4"/>
      <c r="J1869" s="155"/>
      <c r="K1869" s="155"/>
      <c r="L1869" s="709"/>
      <c r="M1869" s="85"/>
      <c r="N1869" s="4"/>
      <c r="O1869" s="85"/>
      <c r="X1869" s="688"/>
      <c r="Y1869" s="891"/>
      <c r="Z1869" s="892"/>
      <c r="AX1869" s="6"/>
      <c r="BJ1869" s="573" t="s">
        <v>4670</v>
      </c>
    </row>
    <row r="1870" spans="1:62" x14ac:dyDescent="0.35">
      <c r="A1870" s="403">
        <v>10</v>
      </c>
      <c r="B1870" s="609">
        <v>1001.1</v>
      </c>
      <c r="C1870" s="604"/>
      <c r="D1870" s="604"/>
      <c r="E1870" s="604" t="s">
        <v>3511</v>
      </c>
      <c r="F1870" s="604"/>
      <c r="G1870" s="403" t="str">
        <f t="shared" si="634"/>
        <v>P</v>
      </c>
      <c r="H1870" s="403" t="s">
        <v>4325</v>
      </c>
      <c r="I1870" s="4"/>
      <c r="J1870" s="154" t="s">
        <v>3511</v>
      </c>
      <c r="K1870" s="136"/>
      <c r="L1870" s="742" t="s">
        <v>3512</v>
      </c>
      <c r="M1870" s="85"/>
      <c r="N1870" s="4"/>
      <c r="O1870" s="85"/>
      <c r="P1870" t="b">
        <v>0</v>
      </c>
      <c r="Q1870" t="b">
        <v>1</v>
      </c>
      <c r="R1870" t="b">
        <v>0</v>
      </c>
      <c r="S1870" t="b">
        <f>IF(AY1847=INDEX(ddSingleOrMulti,1),TRUE,FALSE)</f>
        <v>1</v>
      </c>
      <c r="T1870" t="b">
        <f>AND(NOT(S1870),W1870=TRUE)</f>
        <v>0</v>
      </c>
      <c r="W1870" s="17"/>
      <c r="X1870" s="688"/>
      <c r="Y1870" s="891" t="str">
        <f>IF(LEN('Ch10'!X42)=0,"None",'Ch10'!X42)</f>
        <v>None</v>
      </c>
      <c r="Z1870" s="892"/>
      <c r="AC1870" t="b">
        <f>OR(AD1870:AE1870)</f>
        <v>0</v>
      </c>
      <c r="AD1870" t="b">
        <f>T1870</f>
        <v>0</v>
      </c>
      <c r="AP1870" t="str">
        <f>SUBSTITUTE(SUBSTITUTE(SUBSTITUTE("vch"&amp;$B1870&amp;$C1870&amp;$D1870&amp;$E1870&amp;$F1870,".","_"),"(","_"),")","")</f>
        <v>vch1001_1_14</v>
      </c>
      <c r="AQ1870">
        <f>W1870</f>
        <v>0</v>
      </c>
      <c r="AR1870" t="str">
        <f>SUBSTITUTE(SUBSTITUTE(SUBSTITUTE("vnt"&amp;$B1870&amp;$C1870&amp;$D1870&amp;$E1870&amp;$F1870,".","_"),"(","_"),")","")</f>
        <v>vnt1001_1_14</v>
      </c>
      <c r="AS1870">
        <f>X1870</f>
        <v>0</v>
      </c>
      <c r="AX1870" s="6" t="str">
        <f>'Overview (Verification)'!A39</f>
        <v>Maximum window and door SHGC:</v>
      </c>
      <c r="AY1870">
        <f>IF(LEN('Overview (Verification)'!P39)=0,0,'Overview (Verification)'!P39)</f>
        <v>0.22</v>
      </c>
      <c r="BJ1870" s="573" t="s">
        <v>4670</v>
      </c>
    </row>
    <row r="1871" spans="1:62" x14ac:dyDescent="0.35">
      <c r="A1871" s="403">
        <v>10</v>
      </c>
      <c r="B1871" s="609">
        <v>1001.1</v>
      </c>
      <c r="C1871" s="604"/>
      <c r="D1871" s="604"/>
      <c r="E1871" s="604" t="s">
        <v>3511</v>
      </c>
      <c r="F1871" s="604"/>
      <c r="G1871" s="403" t="str">
        <f t="shared" si="634"/>
        <v>P</v>
      </c>
      <c r="H1871" s="403" t="s">
        <v>4325</v>
      </c>
      <c r="I1871" s="4"/>
      <c r="J1871" s="155"/>
      <c r="K1871" s="155"/>
      <c r="L1871" s="709"/>
      <c r="M1871" s="85"/>
      <c r="N1871" s="4"/>
      <c r="O1871" s="85"/>
      <c r="X1871" s="688"/>
      <c r="Y1871" s="891"/>
      <c r="Z1871" s="892"/>
      <c r="AX1871" s="6" t="str">
        <f>'Overview (Verification)'!A40</f>
        <v>Maximum skylight SHGC:</v>
      </c>
      <c r="AY1871">
        <f>IF(LEN('Overview (Verification)'!P40)=0,0,'Overview (Verification)'!P40)</f>
        <v>0</v>
      </c>
      <c r="BJ1871" s="573" t="s">
        <v>4670</v>
      </c>
    </row>
    <row r="1872" spans="1:62" x14ac:dyDescent="0.35">
      <c r="A1872" s="403">
        <v>10</v>
      </c>
      <c r="B1872" s="609">
        <v>1001.1</v>
      </c>
      <c r="C1872" s="604"/>
      <c r="D1872" s="604"/>
      <c r="E1872" s="604" t="s">
        <v>3513</v>
      </c>
      <c r="F1872" s="604"/>
      <c r="G1872" s="403" t="str">
        <f t="shared" si="634"/>
        <v>P</v>
      </c>
      <c r="H1872" s="403" t="s">
        <v>4325</v>
      </c>
      <c r="I1872" s="4"/>
      <c r="J1872" s="154" t="s">
        <v>3513</v>
      </c>
      <c r="K1872" s="136"/>
      <c r="L1872" s="742" t="s">
        <v>3514</v>
      </c>
      <c r="M1872" s="85"/>
      <c r="N1872" s="4"/>
      <c r="O1872" s="85"/>
      <c r="P1872" t="b">
        <v>0</v>
      </c>
      <c r="Q1872" t="b">
        <v>1</v>
      </c>
      <c r="R1872" t="b">
        <v>0</v>
      </c>
      <c r="S1872" t="b">
        <f>IF(AY1847=INDEX(ddSingleOrMulti,1),TRUE,FALSE)</f>
        <v>1</v>
      </c>
      <c r="T1872" t="b">
        <f>AND(NOT(S1872),W1872=TRUE)</f>
        <v>0</v>
      </c>
      <c r="W1872" s="17" t="b">
        <v>1</v>
      </c>
      <c r="X1872" s="688"/>
      <c r="Y1872" s="891" t="str">
        <f>IF(LEN('Ch10'!X44)=0,"None",'Ch10'!X44)</f>
        <v>None</v>
      </c>
      <c r="Z1872" s="892"/>
      <c r="AC1872" t="b">
        <f>OR(AD1872:AE1872)</f>
        <v>0</v>
      </c>
      <c r="AD1872" t="b">
        <f>T1872</f>
        <v>0</v>
      </c>
      <c r="AP1872" t="str">
        <f>SUBSTITUTE(SUBSTITUTE(SUBSTITUTE("vch"&amp;$B1872&amp;$C1872&amp;$D1872&amp;$E1872&amp;$F1872,".","_"),"(","_"),")","")</f>
        <v>vch1001_1_15</v>
      </c>
      <c r="AQ1872" t="b">
        <f>W1872</f>
        <v>1</v>
      </c>
      <c r="AR1872" t="str">
        <f>SUBSTITUTE(SUBSTITUTE(SUBSTITUTE("vnt"&amp;$B1872&amp;$C1872&amp;$D1872&amp;$E1872&amp;$F1872,".","_"),"(","_"),")","")</f>
        <v>vnt1001_1_15</v>
      </c>
      <c r="AS1872">
        <f>X1872</f>
        <v>0</v>
      </c>
      <c r="AX1872" s="6" t="str">
        <f>'Overview (Verification)'!A41</f>
        <v>Maximum window and door U-value:</v>
      </c>
      <c r="AY1872">
        <f>IF(LEN('Overview (Verification)'!P41)=0,0,'Overview (Verification)'!P41)</f>
        <v>0.32</v>
      </c>
      <c r="BJ1872" s="573" t="s">
        <v>4670</v>
      </c>
    </row>
    <row r="1873" spans="1:62" x14ac:dyDescent="0.35">
      <c r="A1873" s="403">
        <v>10</v>
      </c>
      <c r="B1873" s="609">
        <v>1001.1</v>
      </c>
      <c r="C1873" s="604"/>
      <c r="D1873" s="604"/>
      <c r="E1873" s="604" t="s">
        <v>3513</v>
      </c>
      <c r="F1873" s="604"/>
      <c r="G1873" s="403" t="str">
        <f t="shared" si="634"/>
        <v>P</v>
      </c>
      <c r="H1873" s="403" t="s">
        <v>4325</v>
      </c>
      <c r="I1873" s="4"/>
      <c r="J1873" s="155"/>
      <c r="K1873" s="155"/>
      <c r="L1873" s="709"/>
      <c r="M1873" s="85"/>
      <c r="N1873" s="4"/>
      <c r="O1873" s="85"/>
      <c r="X1873" s="688"/>
      <c r="Y1873" s="891"/>
      <c r="Z1873" s="892"/>
      <c r="AX1873" s="6" t="str">
        <f>'Overview (Verification)'!A42</f>
        <v>Maximum skylight U-value:</v>
      </c>
      <c r="AY1873">
        <f>IF(LEN('Overview (Verification)'!P42)=0,0,'Overview (Verification)'!P42)</f>
        <v>0</v>
      </c>
      <c r="BJ1873" s="573" t="s">
        <v>4670</v>
      </c>
    </row>
    <row r="1874" spans="1:62" x14ac:dyDescent="0.35">
      <c r="A1874" s="403">
        <v>10</v>
      </c>
      <c r="B1874" s="609">
        <v>1001.1</v>
      </c>
      <c r="C1874" s="604"/>
      <c r="D1874" s="604"/>
      <c r="E1874" s="604" t="s">
        <v>3515</v>
      </c>
      <c r="F1874" s="604"/>
      <c r="G1874" s="403" t="str">
        <f t="shared" si="634"/>
        <v>P</v>
      </c>
      <c r="H1874" s="403" t="s">
        <v>4325</v>
      </c>
      <c r="I1874" s="4"/>
      <c r="J1874" s="150" t="s">
        <v>3515</v>
      </c>
      <c r="K1874" s="187"/>
      <c r="L1874" s="220" t="s">
        <v>3516</v>
      </c>
      <c r="M1874" s="85"/>
      <c r="N1874" s="4"/>
      <c r="O1874" s="85"/>
      <c r="P1874" t="b">
        <v>0</v>
      </c>
      <c r="Q1874" t="b">
        <v>1</v>
      </c>
      <c r="R1874" t="b">
        <v>0</v>
      </c>
      <c r="S1874" t="b">
        <f>IF(AY1847=INDEX(ddSingleOrMulti,1),TRUE,FALSE)</f>
        <v>1</v>
      </c>
      <c r="T1874" t="b">
        <f>AND(NOT(S1874),W1874=TRUE)</f>
        <v>0</v>
      </c>
      <c r="W1874" s="17" t="b">
        <v>1</v>
      </c>
      <c r="X1874" s="39"/>
      <c r="Y1874" s="200" t="str">
        <f>IF(LEN('Ch10'!X46)=0,"None",'Ch10'!X46)</f>
        <v>None</v>
      </c>
      <c r="Z1874" s="563"/>
      <c r="AC1874" t="b">
        <f>OR(AD1874:AE1874)</f>
        <v>0</v>
      </c>
      <c r="AD1874" t="b">
        <f>T1874</f>
        <v>0</v>
      </c>
      <c r="AP1874" t="str">
        <f t="shared" ref="AP1874:AP1875" si="643">SUBSTITUTE(SUBSTITUTE(SUBSTITUTE("vch"&amp;$B1874&amp;$C1874&amp;$D1874&amp;$E1874&amp;$F1874,".","_"),"(","_"),")","")</f>
        <v>vch1001_1_16</v>
      </c>
      <c r="AQ1874" t="b">
        <f>W1874</f>
        <v>1</v>
      </c>
      <c r="AR1874" t="str">
        <f t="shared" ref="AR1874:AR1875" si="644">SUBSTITUTE(SUBSTITUTE(SUBSTITUTE("vnt"&amp;$B1874&amp;$C1874&amp;$D1874&amp;$E1874&amp;$F1874,".","_"),"(","_"),")","")</f>
        <v>vnt1001_1_16</v>
      </c>
      <c r="AS1874">
        <f>X1874</f>
        <v>0</v>
      </c>
      <c r="AX1874" s="6" t="str">
        <f>'Overview (Verification)'!A43</f>
        <v>Renewable Energy:</v>
      </c>
      <c r="AY1874">
        <f>IF(LEN('Overview (Verification)'!P43)=0,0,'Overview (Verification)'!P43)</f>
        <v>0</v>
      </c>
      <c r="BJ1874" s="573" t="s">
        <v>4670</v>
      </c>
    </row>
    <row r="1875" spans="1:62" x14ac:dyDescent="0.35">
      <c r="A1875" s="403">
        <v>10</v>
      </c>
      <c r="B1875" s="609">
        <v>1001.1</v>
      </c>
      <c r="C1875" s="604"/>
      <c r="D1875" s="604"/>
      <c r="E1875" s="604" t="s">
        <v>3517</v>
      </c>
      <c r="F1875" s="604"/>
      <c r="G1875" s="403" t="str">
        <f t="shared" si="634"/>
        <v>P</v>
      </c>
      <c r="H1875" s="403" t="s">
        <v>4325</v>
      </c>
      <c r="I1875" s="4"/>
      <c r="J1875" s="154" t="s">
        <v>3517</v>
      </c>
      <c r="K1875" s="136"/>
      <c r="L1875" s="757" t="s">
        <v>3518</v>
      </c>
      <c r="M1875" s="85"/>
      <c r="N1875" s="4"/>
      <c r="O1875" s="85"/>
      <c r="P1875" t="b">
        <v>0</v>
      </c>
      <c r="Q1875" t="b">
        <v>1</v>
      </c>
      <c r="R1875" t="b">
        <v>0</v>
      </c>
      <c r="S1875" t="b">
        <f>IF(AY1847=INDEX(ddSingleOrMulti,1),TRUE,FALSE)</f>
        <v>1</v>
      </c>
      <c r="T1875" t="b">
        <f>AND(NOT(S1875),W1875=TRUE)</f>
        <v>0</v>
      </c>
      <c r="W1875" s="17" t="b">
        <v>1</v>
      </c>
      <c r="X1875" s="688"/>
      <c r="Y1875" s="891" t="str">
        <f>IF(LEN('Ch10'!X47)=0,"None",'Ch10'!X47)</f>
        <v>None</v>
      </c>
      <c r="Z1875" s="892"/>
      <c r="AC1875" t="b">
        <f>OR(AD1875:AE1875)</f>
        <v>0</v>
      </c>
      <c r="AD1875" t="b">
        <f>T1875</f>
        <v>0</v>
      </c>
      <c r="AP1875" t="str">
        <f t="shared" si="643"/>
        <v>vch1001_1_17</v>
      </c>
      <c r="AQ1875" t="b">
        <f>W1875</f>
        <v>1</v>
      </c>
      <c r="AR1875" t="str">
        <f t="shared" si="644"/>
        <v>vnt1001_1_17</v>
      </c>
      <c r="AS1875">
        <f>X1875</f>
        <v>0</v>
      </c>
      <c r="AX1875" s="6" t="str">
        <f>'Overview (Verification)'!A44</f>
        <v>Thermal Envelope Insulation:</v>
      </c>
      <c r="AY1875">
        <f>IF(LEN('Overview (Verification)'!P44)=0,0,'Overview (Verification)'!P44)</f>
        <v>0</v>
      </c>
      <c r="BJ1875" s="573" t="s">
        <v>4670</v>
      </c>
    </row>
    <row r="1876" spans="1:62" x14ac:dyDescent="0.35">
      <c r="A1876" s="403">
        <v>10</v>
      </c>
      <c r="B1876" s="609">
        <v>1001.1</v>
      </c>
      <c r="C1876" s="604"/>
      <c r="D1876" s="604"/>
      <c r="E1876" s="604" t="s">
        <v>3517</v>
      </c>
      <c r="F1876" s="604"/>
      <c r="G1876" s="403" t="str">
        <f t="shared" si="634"/>
        <v>P</v>
      </c>
      <c r="H1876" s="403" t="s">
        <v>4325</v>
      </c>
      <c r="I1876" s="4"/>
      <c r="J1876" s="148"/>
      <c r="K1876" s="155"/>
      <c r="L1876" s="724"/>
      <c r="M1876" s="85"/>
      <c r="N1876" s="4"/>
      <c r="O1876" s="85"/>
      <c r="X1876" s="688"/>
      <c r="Y1876" s="891"/>
      <c r="Z1876" s="892"/>
      <c r="AX1876" s="6" t="str">
        <f>'Overview (Verification)'!A45</f>
        <v>Attic Type:</v>
      </c>
      <c r="AY1876" t="str">
        <f>IF(LEN('Overview (Verification)'!P45)=0,0,'Overview (Verification)'!P45)</f>
        <v>Vented</v>
      </c>
      <c r="BJ1876" s="573" t="s">
        <v>4670</v>
      </c>
    </row>
    <row r="1877" spans="1:62" x14ac:dyDescent="0.35">
      <c r="A1877" s="403">
        <v>10</v>
      </c>
      <c r="B1877" s="609">
        <v>1001.1</v>
      </c>
      <c r="C1877" s="604"/>
      <c r="D1877" s="604"/>
      <c r="E1877" s="604" t="s">
        <v>3519</v>
      </c>
      <c r="F1877" s="604"/>
      <c r="G1877" s="403" t="str">
        <f t="shared" si="634"/>
        <v>P</v>
      </c>
      <c r="H1877" s="403" t="s">
        <v>4325</v>
      </c>
      <c r="I1877" s="4"/>
      <c r="J1877" s="154" t="s">
        <v>3519</v>
      </c>
      <c r="K1877" s="136"/>
      <c r="L1877" s="742" t="s">
        <v>3520</v>
      </c>
      <c r="M1877" s="85"/>
      <c r="N1877" s="4"/>
      <c r="O1877" s="85"/>
      <c r="P1877" t="b">
        <v>0</v>
      </c>
      <c r="Q1877" t="b">
        <v>1</v>
      </c>
      <c r="R1877" t="b">
        <v>0</v>
      </c>
      <c r="S1877" t="b">
        <f>IF(AY1847=INDEX(ddSingleOrMulti,1),TRUE,FALSE)</f>
        <v>1</v>
      </c>
      <c r="T1877" t="b">
        <f>AND(NOT(S1877),W1877=TRUE)</f>
        <v>0</v>
      </c>
      <c r="W1877" s="17" t="b">
        <v>1</v>
      </c>
      <c r="X1877" s="688"/>
      <c r="Y1877" s="891" t="str">
        <f>IF(LEN('Ch10'!X49)=0,"None",'Ch10'!X49)</f>
        <v>None</v>
      </c>
      <c r="Z1877" s="892"/>
      <c r="AC1877" t="b">
        <f>OR(AD1877:AE1877)</f>
        <v>0</v>
      </c>
      <c r="AD1877" t="b">
        <f>T1877</f>
        <v>0</v>
      </c>
      <c r="AP1877" t="str">
        <f>SUBSTITUTE(SUBSTITUTE(SUBSTITUTE("vch"&amp;$B1877&amp;$C1877&amp;$D1877&amp;$E1877&amp;$F1877,".","_"),"(","_"),")","")</f>
        <v>vch1001_1_18</v>
      </c>
      <c r="AQ1877" t="b">
        <f>W1877</f>
        <v>1</v>
      </c>
      <c r="AR1877" t="str">
        <f>SUBSTITUTE(SUBSTITUTE(SUBSTITUTE("vnt"&amp;$B1877&amp;$C1877&amp;$D1877&amp;$E1877&amp;$F1877,".","_"),"(","_"),")","")</f>
        <v>vnt1001_1_18</v>
      </c>
      <c r="AS1877">
        <f>X1877</f>
        <v>0</v>
      </c>
      <c r="AX1877" s="6" t="str">
        <f>'Overview (Verification)'!A46</f>
        <v>Attached Garage:</v>
      </c>
      <c r="AY1877" t="str">
        <f>IF(LEN('Overview (Verification)'!P46)=0,0,'Overview (Verification)'!P46)</f>
        <v>Yes</v>
      </c>
      <c r="BJ1877" s="573" t="s">
        <v>4670</v>
      </c>
    </row>
    <row r="1878" spans="1:62" x14ac:dyDescent="0.35">
      <c r="A1878" s="403">
        <v>10</v>
      </c>
      <c r="B1878" s="609">
        <v>1001.1</v>
      </c>
      <c r="C1878" s="604"/>
      <c r="D1878" s="604"/>
      <c r="E1878" s="604" t="s">
        <v>3519</v>
      </c>
      <c r="F1878" s="604"/>
      <c r="G1878" s="403" t="str">
        <f t="shared" si="634"/>
        <v>P</v>
      </c>
      <c r="H1878" s="403" t="s">
        <v>4325</v>
      </c>
      <c r="I1878" s="4"/>
      <c r="J1878" s="155"/>
      <c r="K1878" s="155"/>
      <c r="L1878" s="709"/>
      <c r="M1878" s="85"/>
      <c r="N1878" s="4"/>
      <c r="O1878" s="85"/>
      <c r="X1878" s="688"/>
      <c r="Y1878" s="891"/>
      <c r="Z1878" s="892"/>
      <c r="AX1878" s="6" t="str">
        <f>'Overview (Verification)'!A47</f>
        <v>Recessed Lighting:</v>
      </c>
      <c r="AY1878">
        <f>IF(LEN('Overview (Verification)'!P47)=0,0,'Overview (Verification)'!P47)</f>
        <v>0</v>
      </c>
      <c r="BJ1878" s="573" t="s">
        <v>4670</v>
      </c>
    </row>
    <row r="1879" spans="1:62" x14ac:dyDescent="0.35">
      <c r="A1879" s="403">
        <v>10</v>
      </c>
      <c r="B1879" s="609">
        <v>1001.1</v>
      </c>
      <c r="C1879" s="604"/>
      <c r="D1879" s="604"/>
      <c r="E1879" s="604" t="s">
        <v>3521</v>
      </c>
      <c r="F1879" s="604"/>
      <c r="G1879" s="403" t="str">
        <f t="shared" si="634"/>
        <v>P</v>
      </c>
      <c r="H1879" s="403" t="s">
        <v>4325</v>
      </c>
      <c r="I1879" s="4"/>
      <c r="J1879" s="150" t="s">
        <v>3521</v>
      </c>
      <c r="K1879" s="187"/>
      <c r="L1879" s="220" t="s">
        <v>3522</v>
      </c>
      <c r="M1879" s="85"/>
      <c r="N1879" s="4"/>
      <c r="O1879" s="85"/>
      <c r="P1879" t="b">
        <v>0</v>
      </c>
      <c r="Q1879" t="b">
        <v>1</v>
      </c>
      <c r="R1879" t="b">
        <v>0</v>
      </c>
      <c r="S1879" t="b">
        <f>IF(AY1847=INDEX(ddSingleOrMulti,1),TRUE,FALSE)</f>
        <v>1</v>
      </c>
      <c r="T1879" t="b">
        <f>AND(NOT(S1879),W1879=TRUE)</f>
        <v>0</v>
      </c>
      <c r="W1879" s="17" t="b">
        <v>1</v>
      </c>
      <c r="X1879" s="39"/>
      <c r="Y1879" s="200" t="str">
        <f>IF(LEN('Ch10'!X51)=0,"None",'Ch10'!X51)</f>
        <v>None</v>
      </c>
      <c r="Z1879" s="563"/>
      <c r="AC1879" t="b">
        <f>OR(AD1879:AE1879)</f>
        <v>0</v>
      </c>
      <c r="AD1879" t="b">
        <f>T1879</f>
        <v>0</v>
      </c>
      <c r="AP1879" t="str">
        <f t="shared" ref="AP1879:AP1880" si="645">SUBSTITUTE(SUBSTITUTE(SUBSTITUTE("vch"&amp;$B1879&amp;$C1879&amp;$D1879&amp;$E1879&amp;$F1879,".","_"),"(","_"),")","")</f>
        <v>vch1001_1_19</v>
      </c>
      <c r="AQ1879" t="b">
        <f>W1879</f>
        <v>1</v>
      </c>
      <c r="AR1879" t="str">
        <f t="shared" ref="AR1879:AR1880" si="646">SUBSTITUTE(SUBSTITUTE(SUBSTITUTE("vnt"&amp;$B1879&amp;$C1879&amp;$D1879&amp;$E1879&amp;$F1879,".","_"),"(","_"),")","")</f>
        <v>vnt1001_1_19</v>
      </c>
      <c r="AS1879">
        <f>X1879</f>
        <v>0</v>
      </c>
      <c r="AX1879" s="6"/>
      <c r="BJ1879" s="573" t="s">
        <v>4670</v>
      </c>
    </row>
    <row r="1880" spans="1:62" x14ac:dyDescent="0.35">
      <c r="A1880" s="403">
        <v>10</v>
      </c>
      <c r="B1880" s="609">
        <v>1001.1</v>
      </c>
      <c r="C1880" s="604"/>
      <c r="D1880" s="604"/>
      <c r="E1880" s="604" t="s">
        <v>3523</v>
      </c>
      <c r="F1880" s="604"/>
      <c r="G1880" s="403" t="str">
        <f t="shared" si="634"/>
        <v>P</v>
      </c>
      <c r="H1880" s="403" t="s">
        <v>4325</v>
      </c>
      <c r="I1880" s="4"/>
      <c r="J1880" s="154" t="s">
        <v>3523</v>
      </c>
      <c r="K1880" s="136"/>
      <c r="L1880" s="742" t="s">
        <v>3524</v>
      </c>
      <c r="M1880" s="85"/>
      <c r="N1880" s="4"/>
      <c r="O1880" s="85"/>
      <c r="P1880" t="b">
        <v>0</v>
      </c>
      <c r="Q1880" t="b">
        <v>1</v>
      </c>
      <c r="R1880" t="b">
        <v>0</v>
      </c>
      <c r="S1880" t="b">
        <f>IF(AY1847=INDEX(ddSingleOrMulti,1),TRUE,FALSE)</f>
        <v>1</v>
      </c>
      <c r="T1880" t="b">
        <f>AND(NOT(S1880),W1880=TRUE)</f>
        <v>0</v>
      </c>
      <c r="W1880" s="17" t="b">
        <v>1</v>
      </c>
      <c r="X1880" s="688"/>
      <c r="Y1880" s="891" t="str">
        <f>IF(LEN('Ch10'!X52)=0,"None",'Ch10'!X52)</f>
        <v>None</v>
      </c>
      <c r="Z1880" s="892"/>
      <c r="AC1880" t="b">
        <f>OR(AD1880:AE1880)</f>
        <v>0</v>
      </c>
      <c r="AD1880" t="b">
        <f>T1880</f>
        <v>0</v>
      </c>
      <c r="AP1880" t="str">
        <f t="shared" si="645"/>
        <v>vch1001_1_20</v>
      </c>
      <c r="AQ1880" t="b">
        <f>W1880</f>
        <v>1</v>
      </c>
      <c r="AR1880" t="str">
        <f t="shared" si="646"/>
        <v>vnt1001_1_20</v>
      </c>
      <c r="AS1880">
        <f>X1880</f>
        <v>0</v>
      </c>
      <c r="AX1880" s="6" t="str">
        <f>'Overview (Verification)'!A49</f>
        <v>Special Design Features:</v>
      </c>
      <c r="BJ1880" s="573" t="s">
        <v>4670</v>
      </c>
    </row>
    <row r="1881" spans="1:62" x14ac:dyDescent="0.35">
      <c r="A1881" s="403">
        <v>10</v>
      </c>
      <c r="B1881" s="609">
        <v>1001.1</v>
      </c>
      <c r="C1881" s="604"/>
      <c r="D1881" s="604"/>
      <c r="E1881" s="604" t="s">
        <v>3523</v>
      </c>
      <c r="F1881" s="604"/>
      <c r="G1881" s="403" t="str">
        <f t="shared" si="634"/>
        <v>P</v>
      </c>
      <c r="H1881" s="403" t="s">
        <v>4325</v>
      </c>
      <c r="I1881" s="4"/>
      <c r="J1881" s="155"/>
      <c r="K1881" s="155"/>
      <c r="L1881" s="709"/>
      <c r="M1881" s="85"/>
      <c r="N1881" s="4"/>
      <c r="O1881" s="85"/>
      <c r="X1881" s="688"/>
      <c r="Y1881" s="891"/>
      <c r="Z1881" s="892"/>
      <c r="AX1881" s="6" t="str">
        <f>'Overview (Verification)'!A50</f>
        <v>Passive Solar:</v>
      </c>
      <c r="AY1881">
        <f>IF(LEN('Overview (Verification)'!P50)=0,0,'Overview (Verification)'!P50)</f>
        <v>0</v>
      </c>
      <c r="BJ1881" s="573" t="s">
        <v>4670</v>
      </c>
    </row>
    <row r="1882" spans="1:62" x14ac:dyDescent="0.35">
      <c r="A1882" s="403">
        <v>10</v>
      </c>
      <c r="B1882" s="609">
        <v>1001.1</v>
      </c>
      <c r="C1882" s="604"/>
      <c r="D1882" s="604"/>
      <c r="E1882" s="604" t="s">
        <v>3525</v>
      </c>
      <c r="F1882" s="604"/>
      <c r="G1882" s="403" t="str">
        <f t="shared" si="634"/>
        <v>P</v>
      </c>
      <c r="H1882" s="403" t="s">
        <v>4325</v>
      </c>
      <c r="I1882" s="4"/>
      <c r="J1882" s="154" t="s">
        <v>3525</v>
      </c>
      <c r="K1882" s="136"/>
      <c r="L1882" s="742" t="s">
        <v>3526</v>
      </c>
      <c r="M1882" s="85"/>
      <c r="N1882" s="4"/>
      <c r="O1882" s="85"/>
      <c r="P1882" t="b">
        <v>0</v>
      </c>
      <c r="Q1882" t="b">
        <v>1</v>
      </c>
      <c r="R1882" t="b">
        <v>0</v>
      </c>
      <c r="S1882" t="b">
        <f>IF(AY1847=INDEX(ddSingleOrMulti,1),TRUE,FALSE)</f>
        <v>1</v>
      </c>
      <c r="T1882" t="b">
        <f>AND(NOT(S1882),W1882=TRUE)</f>
        <v>0</v>
      </c>
      <c r="W1882" s="17" t="b">
        <v>1</v>
      </c>
      <c r="X1882" s="688"/>
      <c r="Y1882" s="891" t="str">
        <f>IF(LEN('Ch10'!X54)=0,"None",'Ch10'!X54)</f>
        <v>None</v>
      </c>
      <c r="Z1882" s="892"/>
      <c r="AC1882" t="b">
        <f>OR(AD1882:AE1882)</f>
        <v>0</v>
      </c>
      <c r="AD1882" t="b">
        <f>T1882</f>
        <v>0</v>
      </c>
      <c r="AP1882" t="str">
        <f>SUBSTITUTE(SUBSTITUTE(SUBSTITUTE("vch"&amp;$B1882&amp;$C1882&amp;$D1882&amp;$E1882&amp;$F1882,".","_"),"(","_"),")","")</f>
        <v>vch1001_1_21</v>
      </c>
      <c r="AQ1882" t="b">
        <f>W1882</f>
        <v>1</v>
      </c>
      <c r="AR1882" t="str">
        <f>SUBSTITUTE(SUBSTITUTE(SUBSTITUTE("vnt"&amp;$B1882&amp;$C1882&amp;$D1882&amp;$E1882&amp;$F1882,".","_"),"(","_"),")","")</f>
        <v>vnt1001_1_21</v>
      </c>
      <c r="AS1882">
        <f>X1882</f>
        <v>0</v>
      </c>
      <c r="AX1882" s="6" t="str">
        <f>'Overview (Verification)'!A51</f>
        <v>Mass Walls:</v>
      </c>
      <c r="AY1882">
        <f>IF(LEN('Overview (Verification)'!P51)=0,0,'Overview (Verification)'!P51)</f>
        <v>0</v>
      </c>
      <c r="BJ1882" s="573" t="s">
        <v>4670</v>
      </c>
    </row>
    <row r="1883" spans="1:62" x14ac:dyDescent="0.35">
      <c r="A1883" s="403">
        <v>10</v>
      </c>
      <c r="B1883" s="609">
        <v>1001.1</v>
      </c>
      <c r="C1883" s="604"/>
      <c r="D1883" s="604"/>
      <c r="E1883" s="604" t="s">
        <v>3525</v>
      </c>
      <c r="F1883" s="604"/>
      <c r="G1883" s="403" t="str">
        <f t="shared" si="634"/>
        <v>P</v>
      </c>
      <c r="H1883" s="403" t="s">
        <v>4325</v>
      </c>
      <c r="I1883" s="4"/>
      <c r="J1883" s="155"/>
      <c r="K1883" s="155"/>
      <c r="L1883" s="709"/>
      <c r="M1883" s="85"/>
      <c r="N1883" s="4"/>
      <c r="O1883" s="85"/>
      <c r="X1883" s="688"/>
      <c r="Y1883" s="891"/>
      <c r="Z1883" s="892"/>
      <c r="AX1883" s="6" t="str">
        <f>'Overview (Verification)'!A52</f>
        <v>Ductless:</v>
      </c>
      <c r="AY1883">
        <f>IF(LEN('Overview (Verification)'!P52)=0,0,'Overview (Verification)'!P52)</f>
        <v>0</v>
      </c>
      <c r="BJ1883" s="573" t="s">
        <v>4670</v>
      </c>
    </row>
    <row r="1884" spans="1:62" x14ac:dyDescent="0.35">
      <c r="A1884" s="403">
        <v>10</v>
      </c>
      <c r="B1884" s="609">
        <v>1001.1</v>
      </c>
      <c r="C1884" s="604"/>
      <c r="D1884" s="604"/>
      <c r="E1884" s="604" t="s">
        <v>3527</v>
      </c>
      <c r="F1884" s="604"/>
      <c r="G1884" s="403" t="str">
        <f t="shared" si="634"/>
        <v>P</v>
      </c>
      <c r="H1884" s="403" t="s">
        <v>4325</v>
      </c>
      <c r="I1884" s="4"/>
      <c r="J1884" s="154" t="s">
        <v>3527</v>
      </c>
      <c r="K1884" s="136"/>
      <c r="L1884" s="742" t="s">
        <v>3528</v>
      </c>
      <c r="M1884" s="85"/>
      <c r="N1884" s="4"/>
      <c r="O1884" s="85"/>
      <c r="P1884" t="b">
        <v>0</v>
      </c>
      <c r="Q1884" t="b">
        <v>1</v>
      </c>
      <c r="R1884" t="b">
        <v>0</v>
      </c>
      <c r="S1884" t="b">
        <f>IF(AY1847=INDEX(ddSingleOrMulti,1),TRUE,FALSE)</f>
        <v>1</v>
      </c>
      <c r="T1884" t="b">
        <f>AND(NOT(S1884),W1884=TRUE)</f>
        <v>0</v>
      </c>
      <c r="W1884" s="17"/>
      <c r="X1884" s="688"/>
      <c r="Y1884" s="891" t="str">
        <f>IF(LEN('Ch10'!X56)=0,"None",'Ch10'!X56)</f>
        <v>None</v>
      </c>
      <c r="Z1884" s="892"/>
      <c r="AC1884" t="b">
        <f>OR(AD1884:AE1884)</f>
        <v>0</v>
      </c>
      <c r="AD1884" t="b">
        <f>T1884</f>
        <v>0</v>
      </c>
      <c r="AP1884" t="str">
        <f>SUBSTITUTE(SUBSTITUTE(SUBSTITUTE("vch"&amp;$B1884&amp;$C1884&amp;$D1884&amp;$E1884&amp;$F1884,".","_"),"(","_"),")","")</f>
        <v>vch1001_1_22</v>
      </c>
      <c r="AQ1884">
        <f>W1884</f>
        <v>0</v>
      </c>
      <c r="AR1884" t="str">
        <f>SUBSTITUTE(SUBSTITUTE(SUBSTITUTE("vnt"&amp;$B1884&amp;$C1884&amp;$D1884&amp;$E1884&amp;$F1884,".","_"),"(","_"),")","")</f>
        <v>vnt1001_1_22</v>
      </c>
      <c r="AS1884">
        <f>X1884</f>
        <v>0</v>
      </c>
      <c r="AX1884" s="6" t="str">
        <f>'Overview (Verification)'!A53</f>
        <v>Radiant/Hydronic:</v>
      </c>
      <c r="AY1884">
        <f>IF(LEN('Overview (Verification)'!P53)=0,0,'Overview (Verification)'!P53)</f>
        <v>0</v>
      </c>
      <c r="BJ1884" s="573" t="s">
        <v>4670</v>
      </c>
    </row>
    <row r="1885" spans="1:62" x14ac:dyDescent="0.35">
      <c r="A1885" s="403">
        <v>10</v>
      </c>
      <c r="B1885" s="609">
        <v>1001.1</v>
      </c>
      <c r="C1885" s="604"/>
      <c r="D1885" s="604"/>
      <c r="E1885" s="604" t="s">
        <v>3527</v>
      </c>
      <c r="F1885" s="604"/>
      <c r="G1885" s="403" t="str">
        <f t="shared" si="634"/>
        <v>P</v>
      </c>
      <c r="H1885" s="403" t="s">
        <v>4325</v>
      </c>
      <c r="I1885" s="4"/>
      <c r="J1885" s="155"/>
      <c r="K1885" s="155"/>
      <c r="L1885" s="709"/>
      <c r="M1885" s="85"/>
      <c r="N1885" s="4"/>
      <c r="O1885" s="85"/>
      <c r="X1885" s="688"/>
      <c r="Y1885" s="891"/>
      <c r="Z1885" s="892"/>
      <c r="AX1885" s="6" t="str">
        <f>'Overview (Verification)'!A54</f>
        <v>Tankless Water Heater:</v>
      </c>
      <c r="AY1885">
        <f>IF(LEN('Overview (Verification)'!P54)=0,0,'Overview (Verification)'!P54)</f>
        <v>0</v>
      </c>
      <c r="BJ1885" s="573" t="s">
        <v>4670</v>
      </c>
    </row>
    <row r="1886" spans="1:62" x14ac:dyDescent="0.35">
      <c r="A1886" s="403">
        <v>10</v>
      </c>
      <c r="B1886" s="609">
        <v>1001.1</v>
      </c>
      <c r="C1886" s="604"/>
      <c r="D1886" s="604"/>
      <c r="E1886" s="604" t="s">
        <v>3529</v>
      </c>
      <c r="F1886" s="604"/>
      <c r="G1886" s="403" t="str">
        <f t="shared" si="634"/>
        <v>P</v>
      </c>
      <c r="H1886" s="403" t="s">
        <v>4325</v>
      </c>
      <c r="I1886" s="4"/>
      <c r="J1886" s="150" t="s">
        <v>3529</v>
      </c>
      <c r="K1886" s="187"/>
      <c r="L1886" s="220" t="s">
        <v>3530</v>
      </c>
      <c r="M1886" s="85"/>
      <c r="N1886" s="4"/>
      <c r="O1886" s="85"/>
      <c r="P1886" t="b">
        <v>0</v>
      </c>
      <c r="Q1886" t="b">
        <v>1</v>
      </c>
      <c r="R1886" t="b">
        <v>0</v>
      </c>
      <c r="S1886" t="b">
        <f>IF(AY1847=INDEX(ddSingleOrMulti,1),TRUE,FALSE)</f>
        <v>1</v>
      </c>
      <c r="T1886" t="b">
        <f>AND(NOT(S1886),W1886=TRUE)</f>
        <v>0</v>
      </c>
      <c r="W1886" s="17" t="b">
        <v>1</v>
      </c>
      <c r="X1886" s="39"/>
      <c r="Y1886" s="200" t="str">
        <f>IF(LEN('Ch10'!X58)=0,"None",'Ch10'!X58)</f>
        <v>None</v>
      </c>
      <c r="Z1886" s="563"/>
      <c r="AC1886" t="b">
        <f>OR(AD1886:AE1886)</f>
        <v>0</v>
      </c>
      <c r="AD1886" t="b">
        <f>T1886</f>
        <v>0</v>
      </c>
      <c r="AP1886" t="str">
        <f t="shared" ref="AP1886:AP1888" si="647">SUBSTITUTE(SUBSTITUTE(SUBSTITUTE("vch"&amp;$B1886&amp;$C1886&amp;$D1886&amp;$E1886&amp;$F1886,".","_"),"(","_"),")","")</f>
        <v>vch1001_1_23</v>
      </c>
      <c r="AQ1886" t="b">
        <f>W1886</f>
        <v>1</v>
      </c>
      <c r="AR1886" t="str">
        <f t="shared" ref="AR1886:AR1888" si="648">SUBSTITUTE(SUBSTITUTE(SUBSTITUTE("vnt"&amp;$B1886&amp;$C1886&amp;$D1886&amp;$E1886&amp;$F1886,".","_"),"(","_"),")","")</f>
        <v>vnt1001_1_23</v>
      </c>
      <c r="AS1886">
        <f>X1886</f>
        <v>0</v>
      </c>
      <c r="AX1886" s="6" t="str">
        <f>'Overview (Verification)'!A55</f>
        <v>Composting Toilet:</v>
      </c>
      <c r="AY1886">
        <f>IF(LEN('Overview (Verification)'!P55)=0,0,'Overview (Verification)'!P55)</f>
        <v>0</v>
      </c>
      <c r="BJ1886" s="573" t="s">
        <v>4670</v>
      </c>
    </row>
    <row r="1887" spans="1:62" ht="15" thickBot="1" x14ac:dyDescent="0.4">
      <c r="A1887" s="403">
        <v>10</v>
      </c>
      <c r="B1887" s="609">
        <v>1001.1</v>
      </c>
      <c r="C1887" s="604"/>
      <c r="D1887" s="604"/>
      <c r="E1887" s="604" t="s">
        <v>3531</v>
      </c>
      <c r="F1887" s="604"/>
      <c r="G1887" s="403" t="str">
        <f t="shared" si="634"/>
        <v>P</v>
      </c>
      <c r="H1887" s="403" t="s">
        <v>4325</v>
      </c>
      <c r="I1887" s="183"/>
      <c r="J1887" s="133" t="s">
        <v>3531</v>
      </c>
      <c r="K1887" s="183"/>
      <c r="L1887" s="223" t="s">
        <v>3532</v>
      </c>
      <c r="M1887" s="184"/>
      <c r="N1887" s="183"/>
      <c r="O1887" s="184"/>
      <c r="P1887" t="b">
        <v>0</v>
      </c>
      <c r="Q1887" t="b">
        <v>1</v>
      </c>
      <c r="R1887" s="58" t="b">
        <v>0</v>
      </c>
      <c r="S1887" s="58" t="b">
        <f>IF(AY1847=INDEX(ddSingleOrMulti,1),TRUE,FALSE)</f>
        <v>1</v>
      </c>
      <c r="T1887" s="58" t="b">
        <f>AND(NOT(S1887),W1887=TRUE)</f>
        <v>0</v>
      </c>
      <c r="U1887" s="58"/>
      <c r="V1887" s="58"/>
      <c r="W1887" s="59"/>
      <c r="X1887" s="113"/>
      <c r="Y1887" s="201" t="str">
        <f>IF(LEN('Ch10'!X59)=0,"None",'Ch10'!X59)</f>
        <v>None</v>
      </c>
      <c r="Z1887" s="567"/>
      <c r="AC1887" t="b">
        <f>OR(AD1887:AE1887)</f>
        <v>0</v>
      </c>
      <c r="AD1887" t="b">
        <f>T1887</f>
        <v>0</v>
      </c>
      <c r="AP1887" t="str">
        <f t="shared" si="647"/>
        <v>vch1001_1_24</v>
      </c>
      <c r="AQ1887">
        <f>W1887</f>
        <v>0</v>
      </c>
      <c r="AR1887" t="str">
        <f t="shared" si="648"/>
        <v>vnt1001_1_24</v>
      </c>
      <c r="AS1887">
        <f>X1887</f>
        <v>0</v>
      </c>
      <c r="AX1887" s="6"/>
      <c r="BJ1887" s="573" t="s">
        <v>4670</v>
      </c>
    </row>
    <row r="1888" spans="1:62" ht="15" thickTop="1" x14ac:dyDescent="0.35">
      <c r="A1888" s="403">
        <v>10</v>
      </c>
      <c r="B1888" s="609">
        <v>1001.2</v>
      </c>
      <c r="C1888" s="604"/>
      <c r="D1888" s="604"/>
      <c r="E1888" s="604"/>
      <c r="F1888" s="604"/>
      <c r="G1888" s="403" t="str">
        <f>IF(M1888="Mandatory","P","")</f>
        <v>P</v>
      </c>
      <c r="H1888" s="403" t="s">
        <v>4325</v>
      </c>
      <c r="I1888" s="32">
        <v>1001.2</v>
      </c>
      <c r="J1888" s="4"/>
      <c r="K1888" s="4"/>
      <c r="L1888" s="706" t="s">
        <v>3533</v>
      </c>
      <c r="M1888" s="740" t="str">
        <f>IF(R1888,"Mandatory","N/A")</f>
        <v>Mandatory</v>
      </c>
      <c r="N1888" s="4"/>
      <c r="O1888" s="85"/>
      <c r="P1888" t="b">
        <v>0</v>
      </c>
      <c r="Q1888" t="b">
        <v>1</v>
      </c>
      <c r="R1888" t="b">
        <f>S1888</f>
        <v>1</v>
      </c>
      <c r="S1888" t="b">
        <f>IF(AY1847=INDEX(ddSingleOrMulti,1),TRUE,FALSE)</f>
        <v>1</v>
      </c>
      <c r="T1888" t="b">
        <f>AND(NOT(S1888),W1888=TRUE)</f>
        <v>0</v>
      </c>
      <c r="W1888" s="77" t="b">
        <v>1</v>
      </c>
      <c r="X1888" s="700"/>
      <c r="Y1888" s="904" t="str">
        <f>IF(LEN('Ch10'!X60)=0,"None",'Ch10'!X60)</f>
        <v>None</v>
      </c>
      <c r="Z1888" s="896"/>
      <c r="AC1888" t="b">
        <f>OR(AD1888:AE1888)</f>
        <v>0</v>
      </c>
      <c r="AD1888" t="b">
        <f>T1888</f>
        <v>0</v>
      </c>
      <c r="AE1888" t="b">
        <f>AND(R1888,NOT(W1888=TRUE))</f>
        <v>0</v>
      </c>
      <c r="AF1888" t="b">
        <f>AND(AE1888,NOT(Q1888))</f>
        <v>0</v>
      </c>
      <c r="AL1888" t="str">
        <f t="shared" ref="AL1888" si="649">SUBSTITUTE(SUBSTITUTE(SUBSTITUTE("vpa"&amp;$B1888&amp;$C1888&amp;$D1888&amp;$E1888&amp;$F1888,".","_"),"(","_"),")","")</f>
        <v>vpa1001_2</v>
      </c>
      <c r="AM1888" t="str">
        <f>M1888</f>
        <v>Mandatory</v>
      </c>
      <c r="AP1888" t="str">
        <f t="shared" si="647"/>
        <v>vch1001_2</v>
      </c>
      <c r="AQ1888" t="b">
        <f>W1888</f>
        <v>1</v>
      </c>
      <c r="AR1888" t="str">
        <f t="shared" si="648"/>
        <v>vnt1001_2</v>
      </c>
      <c r="AS1888">
        <f>X1888</f>
        <v>0</v>
      </c>
      <c r="AX1888" s="6" t="str">
        <f>'Overview (Verification)'!A57</f>
        <v>Local Energy Code:</v>
      </c>
      <c r="AY1888">
        <f>IF(LEN('Overview (Verification)'!P57)=0,0,'Overview (Verification)'!P57)</f>
        <v>0</v>
      </c>
      <c r="BJ1888" s="573" t="s">
        <v>4670</v>
      </c>
    </row>
    <row r="1889" spans="1:62" x14ac:dyDescent="0.35">
      <c r="A1889" s="403">
        <v>10</v>
      </c>
      <c r="B1889" s="609">
        <v>1001.2</v>
      </c>
      <c r="C1889" s="604"/>
      <c r="D1889" s="604"/>
      <c r="E1889" s="604"/>
      <c r="F1889" s="604"/>
      <c r="G1889" s="403" t="str">
        <f t="shared" ref="G1889:G1898" si="650">G1888</f>
        <v>P</v>
      </c>
      <c r="H1889" s="403" t="s">
        <v>4325</v>
      </c>
      <c r="I1889" s="4"/>
      <c r="J1889" s="4"/>
      <c r="K1889" s="4"/>
      <c r="L1889" s="706"/>
      <c r="M1889" s="740" t="str">
        <f>IF(R1889,"Mandatory","N/A")</f>
        <v>N/A</v>
      </c>
      <c r="N1889" s="4"/>
      <c r="O1889" s="85"/>
      <c r="X1889" s="688"/>
      <c r="Y1889" s="891"/>
      <c r="Z1889" s="892"/>
      <c r="AX1889" s="6" t="str">
        <f>'Overview (Verification)'!A58</f>
        <v>Local Building Code:</v>
      </c>
      <c r="AY1889">
        <f>IF(LEN('Overview (Verification)'!P58)=0,0,'Overview (Verification)'!P58)</f>
        <v>0</v>
      </c>
      <c r="BJ1889" s="573" t="s">
        <v>4670</v>
      </c>
    </row>
    <row r="1890" spans="1:62" x14ac:dyDescent="0.35">
      <c r="A1890" s="403">
        <v>10</v>
      </c>
      <c r="B1890" s="609">
        <v>1001.2</v>
      </c>
      <c r="C1890" s="604"/>
      <c r="D1890" s="604"/>
      <c r="E1890" s="604"/>
      <c r="F1890" s="604"/>
      <c r="G1890" s="403" t="str">
        <f t="shared" si="650"/>
        <v>P</v>
      </c>
      <c r="H1890" s="403" t="s">
        <v>4325</v>
      </c>
      <c r="I1890" s="4"/>
      <c r="J1890" s="4"/>
      <c r="K1890" s="4"/>
      <c r="L1890" s="706"/>
      <c r="M1890" s="740" t="str">
        <f>IF(R1890,"Mandatory","N/A")</f>
        <v>N/A</v>
      </c>
      <c r="N1890" s="4"/>
      <c r="O1890" s="85"/>
      <c r="X1890" s="688"/>
      <c r="Y1890" s="891"/>
      <c r="Z1890" s="892"/>
      <c r="BJ1890" s="573" t="s">
        <v>4670</v>
      </c>
    </row>
    <row r="1891" spans="1:62" x14ac:dyDescent="0.35">
      <c r="A1891" s="403">
        <v>10</v>
      </c>
      <c r="B1891" s="609">
        <v>1001.2</v>
      </c>
      <c r="C1891" s="604"/>
      <c r="D1891" s="604"/>
      <c r="E1891" s="604"/>
      <c r="F1891" s="604"/>
      <c r="G1891" s="403" t="str">
        <f t="shared" si="650"/>
        <v>P</v>
      </c>
      <c r="H1891" s="403" t="s">
        <v>4325</v>
      </c>
      <c r="I1891" s="4"/>
      <c r="J1891" s="4"/>
      <c r="K1891" s="4"/>
      <c r="L1891" s="706"/>
      <c r="M1891" s="740" t="str">
        <f>IF(R1891,"Mandatory","N/A")</f>
        <v>N/A</v>
      </c>
      <c r="N1891" s="4"/>
      <c r="O1891" s="85"/>
      <c r="X1891" s="688"/>
      <c r="Y1891" s="891"/>
      <c r="Z1891" s="892"/>
      <c r="BJ1891" s="573" t="s">
        <v>4670</v>
      </c>
    </row>
    <row r="1892" spans="1:62" x14ac:dyDescent="0.35">
      <c r="A1892" s="403">
        <v>10</v>
      </c>
      <c r="B1892" s="609">
        <v>1001.2</v>
      </c>
      <c r="C1892" s="604"/>
      <c r="D1892" s="604"/>
      <c r="E1892" s="604" t="s">
        <v>270</v>
      </c>
      <c r="F1892" s="604"/>
      <c r="G1892" s="403" t="str">
        <f t="shared" si="650"/>
        <v>P</v>
      </c>
      <c r="H1892" s="403" t="s">
        <v>4325</v>
      </c>
      <c r="I1892" s="4"/>
      <c r="J1892" s="19" t="s">
        <v>270</v>
      </c>
      <c r="K1892" s="4"/>
      <c r="L1892" s="169" t="s">
        <v>3534</v>
      </c>
      <c r="M1892" s="85"/>
      <c r="N1892" s="4"/>
      <c r="O1892" s="85"/>
      <c r="X1892" s="688"/>
      <c r="Y1892" s="891"/>
      <c r="Z1892" s="892"/>
      <c r="BJ1892" s="573" t="s">
        <v>4670</v>
      </c>
    </row>
    <row r="1893" spans="1:62" x14ac:dyDescent="0.35">
      <c r="A1893" s="403">
        <v>10</v>
      </c>
      <c r="B1893" s="609">
        <v>1001.2</v>
      </c>
      <c r="C1893" s="604"/>
      <c r="D1893" s="604"/>
      <c r="E1893" s="604" t="s">
        <v>272</v>
      </c>
      <c r="F1893" s="604"/>
      <c r="G1893" s="403" t="str">
        <f t="shared" si="650"/>
        <v>P</v>
      </c>
      <c r="H1893" s="403" t="s">
        <v>4325</v>
      </c>
      <c r="I1893" s="4"/>
      <c r="J1893" s="19" t="s">
        <v>272</v>
      </c>
      <c r="K1893" s="4"/>
      <c r="L1893" s="169" t="s">
        <v>3535</v>
      </c>
      <c r="M1893" s="85"/>
      <c r="N1893" s="4"/>
      <c r="O1893" s="85"/>
      <c r="X1893" s="688"/>
      <c r="Y1893" s="891"/>
      <c r="Z1893" s="892"/>
      <c r="BJ1893" s="573" t="s">
        <v>4670</v>
      </c>
    </row>
    <row r="1894" spans="1:62" x14ac:dyDescent="0.35">
      <c r="A1894" s="403">
        <v>10</v>
      </c>
      <c r="B1894" s="609">
        <v>1001.2</v>
      </c>
      <c r="C1894" s="604"/>
      <c r="D1894" s="604"/>
      <c r="E1894" s="604" t="s">
        <v>274</v>
      </c>
      <c r="F1894" s="604"/>
      <c r="G1894" s="403" t="str">
        <f t="shared" si="650"/>
        <v>P</v>
      </c>
      <c r="H1894" s="403" t="s">
        <v>4325</v>
      </c>
      <c r="I1894" s="4"/>
      <c r="J1894" s="19" t="s">
        <v>274</v>
      </c>
      <c r="K1894" s="4"/>
      <c r="L1894" s="169" t="s">
        <v>3536</v>
      </c>
      <c r="M1894" s="85"/>
      <c r="N1894" s="4"/>
      <c r="O1894" s="85"/>
      <c r="X1894" s="688"/>
      <c r="Y1894" s="891"/>
      <c r="Z1894" s="892"/>
      <c r="BJ1894" s="573" t="s">
        <v>4670</v>
      </c>
    </row>
    <row r="1895" spans="1:62" x14ac:dyDescent="0.35">
      <c r="A1895" s="403">
        <v>10</v>
      </c>
      <c r="B1895" s="609">
        <v>1001.2</v>
      </c>
      <c r="C1895" s="604"/>
      <c r="D1895" s="604"/>
      <c r="E1895" s="604" t="s">
        <v>283</v>
      </c>
      <c r="F1895" s="604"/>
      <c r="G1895" s="403" t="str">
        <f t="shared" si="650"/>
        <v>P</v>
      </c>
      <c r="H1895" s="403" t="s">
        <v>4325</v>
      </c>
      <c r="I1895" s="4"/>
      <c r="J1895" s="19" t="s">
        <v>283</v>
      </c>
      <c r="K1895" s="4"/>
      <c r="L1895" s="169" t="s">
        <v>3537</v>
      </c>
      <c r="M1895" s="85"/>
      <c r="N1895" s="4"/>
      <c r="O1895" s="85"/>
      <c r="X1895" s="688"/>
      <c r="Y1895" s="891"/>
      <c r="Z1895" s="892"/>
      <c r="BJ1895" s="573" t="s">
        <v>4670</v>
      </c>
    </row>
    <row r="1896" spans="1:62" x14ac:dyDescent="0.35">
      <c r="A1896" s="403">
        <v>10</v>
      </c>
      <c r="B1896" s="609">
        <v>1001.2</v>
      </c>
      <c r="C1896" s="604"/>
      <c r="D1896" s="604"/>
      <c r="E1896" s="604" t="s">
        <v>289</v>
      </c>
      <c r="F1896" s="604"/>
      <c r="G1896" s="403" t="str">
        <f t="shared" si="650"/>
        <v>P</v>
      </c>
      <c r="H1896" s="403" t="s">
        <v>4325</v>
      </c>
      <c r="I1896" s="4"/>
      <c r="J1896" s="19" t="s">
        <v>289</v>
      </c>
      <c r="K1896" s="4"/>
      <c r="L1896" s="169" t="s">
        <v>3538</v>
      </c>
      <c r="M1896" s="85"/>
      <c r="N1896" s="4"/>
      <c r="O1896" s="85"/>
      <c r="X1896" s="688"/>
      <c r="Y1896" s="891"/>
      <c r="Z1896" s="892"/>
      <c r="BJ1896" s="573" t="s">
        <v>4670</v>
      </c>
    </row>
    <row r="1897" spans="1:62" x14ac:dyDescent="0.35">
      <c r="A1897" s="403">
        <v>10</v>
      </c>
      <c r="B1897" s="609">
        <v>1001.2</v>
      </c>
      <c r="C1897" s="604"/>
      <c r="D1897" s="604"/>
      <c r="E1897" s="604" t="s">
        <v>291</v>
      </c>
      <c r="F1897" s="604"/>
      <c r="G1897" s="403" t="str">
        <f t="shared" si="650"/>
        <v>P</v>
      </c>
      <c r="H1897" s="403" t="s">
        <v>4325</v>
      </c>
      <c r="I1897" s="4"/>
      <c r="J1897" s="19" t="s">
        <v>291</v>
      </c>
      <c r="K1897" s="4"/>
      <c r="L1897" s="169" t="s">
        <v>3539</v>
      </c>
      <c r="M1897" s="85"/>
      <c r="N1897" s="4"/>
      <c r="O1897" s="85"/>
      <c r="X1897" s="688"/>
      <c r="Y1897" s="891"/>
      <c r="Z1897" s="892"/>
      <c r="BJ1897" s="573" t="s">
        <v>4670</v>
      </c>
    </row>
    <row r="1898" spans="1:62" x14ac:dyDescent="0.35">
      <c r="A1898" s="403">
        <v>10</v>
      </c>
      <c r="B1898" s="609">
        <v>1001.2</v>
      </c>
      <c r="C1898" s="604"/>
      <c r="D1898" s="604"/>
      <c r="E1898" s="604" t="s">
        <v>403</v>
      </c>
      <c r="F1898" s="604"/>
      <c r="G1898" s="403" t="str">
        <f t="shared" si="650"/>
        <v>P</v>
      </c>
      <c r="H1898" s="403" t="s">
        <v>4325</v>
      </c>
      <c r="I1898" s="4"/>
      <c r="J1898" s="19" t="s">
        <v>403</v>
      </c>
      <c r="K1898" s="4"/>
      <c r="L1898" s="169" t="s">
        <v>3540</v>
      </c>
      <c r="M1898" s="85"/>
      <c r="N1898" s="4"/>
      <c r="O1898" s="85"/>
      <c r="X1898" s="688"/>
      <c r="Y1898" s="891"/>
      <c r="Z1898" s="892"/>
      <c r="BJ1898" s="573" t="s">
        <v>4670</v>
      </c>
    </row>
    <row r="1899" spans="1:62" ht="18.5" x14ac:dyDescent="0.45">
      <c r="A1899" s="403">
        <v>10</v>
      </c>
      <c r="B1899" s="609">
        <v>1002</v>
      </c>
      <c r="C1899" s="604"/>
      <c r="D1899" s="604"/>
      <c r="E1899" s="604"/>
      <c r="F1899" s="604"/>
      <c r="G1899" s="403" t="s">
        <v>4326</v>
      </c>
      <c r="H1899" s="403" t="s">
        <v>4323</v>
      </c>
      <c r="I1899" s="10" t="s">
        <v>3541</v>
      </c>
      <c r="J1899" s="15"/>
      <c r="K1899" s="15"/>
      <c r="L1899" s="173"/>
      <c r="M1899" s="340"/>
      <c r="N1899" s="344"/>
      <c r="O1899" s="340"/>
      <c r="P1899" s="15"/>
      <c r="Q1899" s="15"/>
      <c r="R1899" s="15"/>
      <c r="S1899" s="15"/>
      <c r="T1899" s="15"/>
      <c r="U1899" s="15"/>
      <c r="V1899" s="15"/>
      <c r="W1899" s="15"/>
      <c r="X1899" s="15"/>
      <c r="Y1899" s="15"/>
      <c r="Z1899" s="562"/>
      <c r="BJ1899" s="573" t="s">
        <v>4670</v>
      </c>
    </row>
    <row r="1900" spans="1:62" x14ac:dyDescent="0.35">
      <c r="A1900" s="403">
        <v>10</v>
      </c>
      <c r="B1900" s="609" t="s">
        <v>4577</v>
      </c>
      <c r="C1900" s="604"/>
      <c r="D1900" s="604"/>
      <c r="E1900" s="604"/>
      <c r="F1900" s="604"/>
      <c r="I1900" s="166">
        <v>1002</v>
      </c>
      <c r="J1900" s="4"/>
      <c r="K1900" s="4"/>
      <c r="L1900" s="706" t="s">
        <v>3542</v>
      </c>
      <c r="M1900" s="85"/>
      <c r="N1900" s="4"/>
      <c r="O1900" s="85"/>
      <c r="Z1900" s="543"/>
      <c r="BJ1900" s="573" t="s">
        <v>4670</v>
      </c>
    </row>
    <row r="1901" spans="1:62" x14ac:dyDescent="0.35">
      <c r="A1901" s="403">
        <v>10</v>
      </c>
      <c r="B1901" s="609" t="s">
        <v>4577</v>
      </c>
      <c r="C1901" s="604"/>
      <c r="D1901" s="604"/>
      <c r="E1901" s="604"/>
      <c r="F1901" s="604"/>
      <c r="I1901" s="4"/>
      <c r="J1901" s="4"/>
      <c r="K1901" s="4"/>
      <c r="L1901" s="706"/>
      <c r="M1901" s="85"/>
      <c r="N1901" s="4"/>
      <c r="O1901" s="85"/>
      <c r="Z1901" s="543"/>
      <c r="BJ1901" s="573" t="s">
        <v>4670</v>
      </c>
    </row>
    <row r="1902" spans="1:62" x14ac:dyDescent="0.35">
      <c r="A1902" s="403">
        <v>10</v>
      </c>
      <c r="B1902" s="609" t="s">
        <v>4577</v>
      </c>
      <c r="C1902" s="604"/>
      <c r="D1902" s="604"/>
      <c r="E1902" s="604"/>
      <c r="F1902" s="604"/>
      <c r="I1902" s="4"/>
      <c r="J1902" s="4"/>
      <c r="K1902" s="4"/>
      <c r="L1902" s="706"/>
      <c r="M1902" s="85"/>
      <c r="N1902" s="4"/>
      <c r="O1902" s="85"/>
      <c r="Z1902" s="543"/>
      <c r="BJ1902" s="573" t="s">
        <v>4670</v>
      </c>
    </row>
    <row r="1903" spans="1:62" x14ac:dyDescent="0.35">
      <c r="A1903" s="403">
        <v>10</v>
      </c>
      <c r="B1903" s="609" t="s">
        <v>4577</v>
      </c>
      <c r="C1903" s="604"/>
      <c r="D1903" s="604"/>
      <c r="E1903" s="604"/>
      <c r="F1903" s="604"/>
      <c r="I1903" s="4"/>
      <c r="J1903" s="4"/>
      <c r="K1903" s="4"/>
      <c r="L1903" s="706"/>
      <c r="M1903" s="85"/>
      <c r="N1903" s="4"/>
      <c r="O1903" s="85"/>
      <c r="Z1903" s="543"/>
      <c r="BJ1903" s="573" t="s">
        <v>4670</v>
      </c>
    </row>
    <row r="1904" spans="1:62" x14ac:dyDescent="0.35">
      <c r="A1904" s="403">
        <v>10</v>
      </c>
      <c r="B1904" s="609" t="s">
        <v>4577</v>
      </c>
      <c r="C1904" s="604"/>
      <c r="D1904" s="604"/>
      <c r="E1904" s="604"/>
      <c r="F1904" s="604"/>
      <c r="I1904" s="4"/>
      <c r="J1904" s="4"/>
      <c r="K1904" s="4"/>
      <c r="L1904" s="706"/>
      <c r="M1904" s="85"/>
      <c r="N1904" s="4"/>
      <c r="O1904" s="85"/>
      <c r="Z1904" s="543"/>
      <c r="BJ1904" s="573" t="s">
        <v>4670</v>
      </c>
    </row>
    <row r="1905" spans="1:62" ht="15" thickBot="1" x14ac:dyDescent="0.4">
      <c r="A1905" s="403">
        <v>10</v>
      </c>
      <c r="B1905" s="609" t="s">
        <v>4577</v>
      </c>
      <c r="C1905" s="604"/>
      <c r="D1905" s="604"/>
      <c r="E1905" s="604"/>
      <c r="F1905" s="604"/>
      <c r="I1905" s="183"/>
      <c r="J1905" s="183"/>
      <c r="K1905" s="183"/>
      <c r="L1905" s="710"/>
      <c r="M1905" s="184"/>
      <c r="N1905" s="183"/>
      <c r="O1905" s="184"/>
      <c r="P1905" s="58"/>
      <c r="Q1905" s="58"/>
      <c r="R1905" s="58"/>
      <c r="S1905" s="58"/>
      <c r="T1905" s="58"/>
      <c r="U1905" s="58"/>
      <c r="V1905" s="58"/>
      <c r="W1905" s="58"/>
      <c r="X1905" s="58"/>
      <c r="Y1905" s="58"/>
      <c r="Z1905" s="566"/>
      <c r="BJ1905" s="573" t="s">
        <v>4670</v>
      </c>
    </row>
    <row r="1906" spans="1:62" ht="15" thickTop="1" x14ac:dyDescent="0.35">
      <c r="A1906" s="403">
        <v>10</v>
      </c>
      <c r="B1906" s="609">
        <v>1002.1</v>
      </c>
      <c r="C1906" s="604"/>
      <c r="D1906" s="604"/>
      <c r="E1906" s="604"/>
      <c r="F1906" s="604"/>
      <c r="G1906" s="403" t="str">
        <f>IF(N1906&gt;0,"P","")</f>
        <v/>
      </c>
      <c r="H1906" s="403" t="s">
        <v>4325</v>
      </c>
      <c r="I1906" s="32">
        <v>1002.1</v>
      </c>
      <c r="J1906" s="4"/>
      <c r="K1906" s="4"/>
      <c r="L1906" s="706" t="s">
        <v>3590</v>
      </c>
      <c r="M1906" s="690">
        <v>1</v>
      </c>
      <c r="N1906" s="694">
        <f>'Ch10'!O78</f>
        <v>0</v>
      </c>
      <c r="O1906" s="802">
        <f>IF(AND(COUNTIF(W1909:W1915,TRUE)=3,COUNTIF(W1917:W1922,TRUE)&gt;1,S1909),ROUNDDOWN(COUNTIF(W1917:W1922,TRUE)/2,0),0)</f>
        <v>0</v>
      </c>
      <c r="Z1906" s="543"/>
      <c r="AL1906" t="str">
        <f t="shared" ref="AL1906" si="651">SUBSTITUTE(SUBSTITUTE(SUBSTITUTE("vpa"&amp;$B1906&amp;$C1906&amp;$D1906&amp;$E1906&amp;$F1906,".","_"),"(","_"),")","")</f>
        <v>vpa1002_1</v>
      </c>
      <c r="AM1906">
        <f>M1906</f>
        <v>1</v>
      </c>
      <c r="AN1906" t="str">
        <f>SUBSTITUTE(SUBSTITUTE(SUBSTITUTE("vpc"&amp;$B1906&amp;$C1906&amp;$D1906&amp;$E1906&amp;$F1906,".","_"),"(","_"),")","")</f>
        <v>vpc1002_1</v>
      </c>
      <c r="AO1906">
        <f>O1906</f>
        <v>0</v>
      </c>
      <c r="BJ1906" s="573" t="s">
        <v>4670</v>
      </c>
    </row>
    <row r="1907" spans="1:62" x14ac:dyDescent="0.35">
      <c r="A1907" s="403">
        <v>10</v>
      </c>
      <c r="B1907" s="609">
        <v>1002.1</v>
      </c>
      <c r="C1907" s="604"/>
      <c r="D1907" s="604"/>
      <c r="E1907" s="604"/>
      <c r="F1907" s="604"/>
      <c r="G1907" s="403" t="str">
        <f t="shared" ref="G1907:G1923" si="652">G1906</f>
        <v/>
      </c>
      <c r="H1907" s="403" t="s">
        <v>4325</v>
      </c>
      <c r="I1907" s="4"/>
      <c r="J1907" s="4"/>
      <c r="K1907" s="4"/>
      <c r="L1907" s="706"/>
      <c r="M1907" s="690"/>
      <c r="N1907" s="696"/>
      <c r="O1907" s="802"/>
      <c r="Z1907" s="543"/>
      <c r="BJ1907" s="573" t="s">
        <v>4670</v>
      </c>
    </row>
    <row r="1908" spans="1:62" x14ac:dyDescent="0.35">
      <c r="A1908" s="403">
        <v>10</v>
      </c>
      <c r="B1908" s="609">
        <v>1002.1</v>
      </c>
      <c r="C1908" s="604"/>
      <c r="D1908" s="604"/>
      <c r="E1908" s="604"/>
      <c r="F1908" s="604"/>
      <c r="G1908" s="403" t="str">
        <f t="shared" si="652"/>
        <v/>
      </c>
      <c r="H1908" s="403" t="s">
        <v>4325</v>
      </c>
      <c r="I1908" s="4"/>
      <c r="J1908" s="4"/>
      <c r="K1908" s="4"/>
      <c r="L1908" s="170" t="s">
        <v>3588</v>
      </c>
      <c r="M1908" s="690"/>
      <c r="N1908" s="696"/>
      <c r="O1908" s="802"/>
      <c r="Z1908" s="543"/>
      <c r="BJ1908" s="573" t="s">
        <v>4670</v>
      </c>
    </row>
    <row r="1909" spans="1:62" x14ac:dyDescent="0.35">
      <c r="A1909" s="403">
        <v>10</v>
      </c>
      <c r="B1909" s="609">
        <v>1002.1</v>
      </c>
      <c r="C1909" s="604"/>
      <c r="D1909" s="604"/>
      <c r="E1909" s="604" t="s">
        <v>270</v>
      </c>
      <c r="F1909" s="604"/>
      <c r="G1909" s="403" t="str">
        <f t="shared" si="652"/>
        <v/>
      </c>
      <c r="H1909" s="403" t="s">
        <v>4325</v>
      </c>
      <c r="I1909" s="4"/>
      <c r="J1909" s="19" t="s">
        <v>270</v>
      </c>
      <c r="K1909" s="4"/>
      <c r="L1909" s="707" t="s">
        <v>3543</v>
      </c>
      <c r="M1909" s="740" t="str">
        <f t="shared" ref="M1909:M1916" si="653">IF(R1909,"Mandatory","N/A")</f>
        <v>N/A</v>
      </c>
      <c r="N1909" s="4"/>
      <c r="O1909" s="85"/>
      <c r="P1909" t="b">
        <v>0</v>
      </c>
      <c r="Q1909" t="b">
        <v>1</v>
      </c>
      <c r="R1909" t="b">
        <f>S1909</f>
        <v>0</v>
      </c>
      <c r="S1909" t="b">
        <f>IF(AY1847=INDEX(ddSingleOrMulti,2),TRUE,FALSE)</f>
        <v>0</v>
      </c>
      <c r="T1909" t="b">
        <f>AND(NOT(S1909),W1909=TRUE)</f>
        <v>0</v>
      </c>
      <c r="W1909" s="17"/>
      <c r="X1909" s="688"/>
      <c r="Y1909" s="891" t="str">
        <f>IF(LEN('Ch10'!X81)=0,"None",'Ch10'!X81)</f>
        <v>None</v>
      </c>
      <c r="Z1909" s="892"/>
      <c r="AC1909" t="b">
        <f>OR(AD1909:AE1909)</f>
        <v>0</v>
      </c>
      <c r="AD1909" t="b">
        <f>T1909</f>
        <v>0</v>
      </c>
      <c r="AE1909" t="b">
        <f>AND(R1909,O1906&lt;1)</f>
        <v>0</v>
      </c>
      <c r="AF1909" t="b">
        <f>AND(AE1909,NOT(Q1909))</f>
        <v>0</v>
      </c>
      <c r="AL1909" t="str">
        <f t="shared" ref="AL1909" si="654">SUBSTITUTE(SUBSTITUTE(SUBSTITUTE("vpa"&amp;$B1909&amp;$C1909&amp;$D1909&amp;$E1909&amp;$F1909,".","_"),"(","_"),")","")</f>
        <v>vpa1002_1_1</v>
      </c>
      <c r="AM1909" t="str">
        <f>M1909</f>
        <v>N/A</v>
      </c>
      <c r="AP1909" t="str">
        <f>SUBSTITUTE(SUBSTITUTE(SUBSTITUTE("vch"&amp;$B1909&amp;$C1909&amp;$D1909&amp;$E1909&amp;$F1909,".","_"),"(","_"),")","")</f>
        <v>vch1002_1_1</v>
      </c>
      <c r="AQ1909">
        <f>W1909</f>
        <v>0</v>
      </c>
      <c r="AR1909" t="str">
        <f>SUBSTITUTE(SUBSTITUTE(SUBSTITUTE("vnt"&amp;$B1909&amp;$C1909&amp;$D1909&amp;$E1909&amp;$F1909,".","_"),"(","_"),")","")</f>
        <v>vnt1002_1_1</v>
      </c>
      <c r="AS1909">
        <f>X1909</f>
        <v>0</v>
      </c>
      <c r="BJ1909" s="573" t="s">
        <v>4670</v>
      </c>
    </row>
    <row r="1910" spans="1:62" x14ac:dyDescent="0.35">
      <c r="A1910" s="403">
        <v>10</v>
      </c>
      <c r="B1910" s="609">
        <v>1002.1</v>
      </c>
      <c r="C1910" s="604"/>
      <c r="D1910" s="604"/>
      <c r="E1910" s="604" t="s">
        <v>270</v>
      </c>
      <c r="F1910" s="604"/>
      <c r="G1910" s="403" t="str">
        <f t="shared" si="652"/>
        <v/>
      </c>
      <c r="H1910" s="403" t="s">
        <v>4325</v>
      </c>
      <c r="I1910" s="4"/>
      <c r="J1910" s="19"/>
      <c r="K1910" s="4"/>
      <c r="L1910" s="707"/>
      <c r="M1910" s="740" t="str">
        <f t="shared" si="653"/>
        <v>N/A</v>
      </c>
      <c r="N1910" s="4"/>
      <c r="O1910" s="85"/>
      <c r="X1910" s="688"/>
      <c r="Y1910" s="891"/>
      <c r="Z1910" s="892"/>
      <c r="BJ1910" s="573" t="s">
        <v>4670</v>
      </c>
    </row>
    <row r="1911" spans="1:62" x14ac:dyDescent="0.35">
      <c r="A1911" s="403">
        <v>10</v>
      </c>
      <c r="B1911" s="609">
        <v>1002.1</v>
      </c>
      <c r="C1911" s="604"/>
      <c r="D1911" s="604"/>
      <c r="E1911" s="604" t="s">
        <v>270</v>
      </c>
      <c r="F1911" s="604"/>
      <c r="G1911" s="403" t="str">
        <f t="shared" si="652"/>
        <v/>
      </c>
      <c r="H1911" s="403" t="s">
        <v>4325</v>
      </c>
      <c r="I1911" s="4"/>
      <c r="J1911" s="19"/>
      <c r="K1911" s="4"/>
      <c r="L1911" s="707"/>
      <c r="M1911" s="740" t="str">
        <f t="shared" si="653"/>
        <v>N/A</v>
      </c>
      <c r="N1911" s="4"/>
      <c r="O1911" s="85"/>
      <c r="X1911" s="688"/>
      <c r="Y1911" s="891"/>
      <c r="Z1911" s="892"/>
      <c r="BJ1911" s="573" t="s">
        <v>4670</v>
      </c>
    </row>
    <row r="1912" spans="1:62" x14ac:dyDescent="0.35">
      <c r="A1912" s="403">
        <v>10</v>
      </c>
      <c r="B1912" s="609">
        <v>1002.1</v>
      </c>
      <c r="C1912" s="604"/>
      <c r="D1912" s="604"/>
      <c r="E1912" s="604" t="s">
        <v>272</v>
      </c>
      <c r="F1912" s="604"/>
      <c r="G1912" s="403" t="str">
        <f t="shared" si="652"/>
        <v/>
      </c>
      <c r="H1912" s="403" t="s">
        <v>4325</v>
      </c>
      <c r="I1912" s="4"/>
      <c r="J1912" s="154" t="s">
        <v>272</v>
      </c>
      <c r="K1912" s="136"/>
      <c r="L1912" s="742" t="s">
        <v>3544</v>
      </c>
      <c r="M1912" s="769" t="str">
        <f t="shared" si="653"/>
        <v>N/A</v>
      </c>
      <c r="N1912" s="4"/>
      <c r="O1912" s="85"/>
      <c r="P1912" t="b">
        <v>0</v>
      </c>
      <c r="Q1912" t="b">
        <v>1</v>
      </c>
      <c r="R1912" t="b">
        <f>S1912</f>
        <v>0</v>
      </c>
      <c r="S1912" t="b">
        <f>IF(AY1847=INDEX(ddSingleOrMulti,2),TRUE,FALSE)</f>
        <v>0</v>
      </c>
      <c r="T1912" t="b">
        <f>AND(NOT(S1912),W1912=TRUE)</f>
        <v>0</v>
      </c>
      <c r="W1912" s="17"/>
      <c r="X1912" s="688"/>
      <c r="Y1912" s="891" t="str">
        <f>IF(LEN('Ch10'!X84)=0,"None",'Ch10'!X84)</f>
        <v>None</v>
      </c>
      <c r="Z1912" s="892"/>
      <c r="AC1912" t="b">
        <f>OR(AD1912:AE1912)</f>
        <v>0</v>
      </c>
      <c r="AD1912" t="b">
        <f>T1912</f>
        <v>0</v>
      </c>
      <c r="AE1912" t="b">
        <f>AND(R1912,NOT(W1912=TRUE))</f>
        <v>0</v>
      </c>
      <c r="AF1912" t="b">
        <f>AND(AE1912,NOT(Q1912))</f>
        <v>0</v>
      </c>
      <c r="AL1912" t="str">
        <f t="shared" ref="AL1912" si="655">SUBSTITUTE(SUBSTITUTE(SUBSTITUTE("vpa"&amp;$B1912&amp;$C1912&amp;$D1912&amp;$E1912&amp;$F1912,".","_"),"(","_"),")","")</f>
        <v>vpa1002_1_2</v>
      </c>
      <c r="AM1912" t="str">
        <f>M1912</f>
        <v>N/A</v>
      </c>
      <c r="AP1912" t="str">
        <f>SUBSTITUTE(SUBSTITUTE(SUBSTITUTE("vch"&amp;$B1912&amp;$C1912&amp;$D1912&amp;$E1912&amp;$F1912,".","_"),"(","_"),")","")</f>
        <v>vch1002_1_2</v>
      </c>
      <c r="AQ1912">
        <f>W1912</f>
        <v>0</v>
      </c>
      <c r="AR1912" t="str">
        <f>SUBSTITUTE(SUBSTITUTE(SUBSTITUTE("vnt"&amp;$B1912&amp;$C1912&amp;$D1912&amp;$E1912&amp;$F1912,".","_"),"(","_"),")","")</f>
        <v>vnt1002_1_2</v>
      </c>
      <c r="AS1912">
        <f>X1912</f>
        <v>0</v>
      </c>
      <c r="BJ1912" s="573" t="s">
        <v>4670</v>
      </c>
    </row>
    <row r="1913" spans="1:62" x14ac:dyDescent="0.35">
      <c r="A1913" s="403">
        <v>10</v>
      </c>
      <c r="B1913" s="609">
        <v>1002.1</v>
      </c>
      <c r="C1913" s="604"/>
      <c r="D1913" s="604"/>
      <c r="E1913" s="604" t="s">
        <v>272</v>
      </c>
      <c r="F1913" s="604"/>
      <c r="G1913" s="403" t="str">
        <f t="shared" si="652"/>
        <v/>
      </c>
      <c r="H1913" s="403" t="s">
        <v>4325</v>
      </c>
      <c r="I1913" s="4"/>
      <c r="J1913" s="19"/>
      <c r="K1913" s="4"/>
      <c r="L1913" s="707"/>
      <c r="M1913" s="740" t="str">
        <f t="shared" si="653"/>
        <v>N/A</v>
      </c>
      <c r="N1913" s="4"/>
      <c r="O1913" s="85"/>
      <c r="X1913" s="688"/>
      <c r="Y1913" s="891"/>
      <c r="Z1913" s="892"/>
      <c r="BJ1913" s="573" t="s">
        <v>4670</v>
      </c>
    </row>
    <row r="1914" spans="1:62" x14ac:dyDescent="0.35">
      <c r="A1914" s="403">
        <v>10</v>
      </c>
      <c r="B1914" s="609">
        <v>1002.1</v>
      </c>
      <c r="C1914" s="604"/>
      <c r="D1914" s="604"/>
      <c r="E1914" s="604" t="s">
        <v>272</v>
      </c>
      <c r="F1914" s="604"/>
      <c r="G1914" s="403" t="str">
        <f t="shared" si="652"/>
        <v/>
      </c>
      <c r="H1914" s="403" t="s">
        <v>4325</v>
      </c>
      <c r="I1914" s="4"/>
      <c r="J1914" s="148"/>
      <c r="K1914" s="155"/>
      <c r="L1914" s="709"/>
      <c r="M1914" s="741" t="str">
        <f t="shared" si="653"/>
        <v>N/A</v>
      </c>
      <c r="N1914" s="4"/>
      <c r="O1914" s="85"/>
      <c r="X1914" s="688"/>
      <c r="Y1914" s="891"/>
      <c r="Z1914" s="892"/>
      <c r="BJ1914" s="573" t="s">
        <v>4670</v>
      </c>
    </row>
    <row r="1915" spans="1:62" x14ac:dyDescent="0.35">
      <c r="A1915" s="403">
        <v>10</v>
      </c>
      <c r="B1915" s="609">
        <v>1002.1</v>
      </c>
      <c r="C1915" s="604"/>
      <c r="D1915" s="604"/>
      <c r="E1915" s="604" t="s">
        <v>274</v>
      </c>
      <c r="F1915" s="604"/>
      <c r="G1915" s="403" t="str">
        <f t="shared" si="652"/>
        <v/>
      </c>
      <c r="H1915" s="403" t="s">
        <v>4325</v>
      </c>
      <c r="I1915" s="4"/>
      <c r="J1915" s="19" t="s">
        <v>274</v>
      </c>
      <c r="K1915" s="4"/>
      <c r="L1915" s="707" t="s">
        <v>3545</v>
      </c>
      <c r="M1915" s="740" t="str">
        <f t="shared" si="653"/>
        <v>N/A</v>
      </c>
      <c r="N1915" s="4"/>
      <c r="O1915" s="85"/>
      <c r="P1915" t="b">
        <v>0</v>
      </c>
      <c r="Q1915" t="b">
        <v>1</v>
      </c>
      <c r="R1915" t="b">
        <f>S1915</f>
        <v>0</v>
      </c>
      <c r="S1915" t="b">
        <f>IF(AY1847=INDEX(ddSingleOrMulti,2),TRUE,FALSE)</f>
        <v>0</v>
      </c>
      <c r="T1915" t="b">
        <f>AND(NOT(S1915),W1915=TRUE)</f>
        <v>0</v>
      </c>
      <c r="W1915" s="17"/>
      <c r="X1915" s="688"/>
      <c r="Y1915" s="891" t="str">
        <f>IF(LEN('Ch10'!X87)=0,"None",'Ch10'!X87)</f>
        <v>None</v>
      </c>
      <c r="Z1915" s="892"/>
      <c r="AC1915" t="b">
        <f>OR(AD1915:AE1915)</f>
        <v>0</v>
      </c>
      <c r="AD1915" t="b">
        <f>T1915</f>
        <v>0</v>
      </c>
      <c r="AE1915" t="b">
        <f>AND(R1915,NOT(W1915=TRUE))</f>
        <v>0</v>
      </c>
      <c r="AF1915" t="b">
        <f>AND(AE1915,NOT(Q1915))</f>
        <v>0</v>
      </c>
      <c r="AL1915" t="str">
        <f t="shared" ref="AL1915" si="656">SUBSTITUTE(SUBSTITUTE(SUBSTITUTE("vpa"&amp;$B1915&amp;$C1915&amp;$D1915&amp;$E1915&amp;$F1915,".","_"),"(","_"),")","")</f>
        <v>vpa1002_1_3</v>
      </c>
      <c r="AM1915" t="str">
        <f>M1915</f>
        <v>N/A</v>
      </c>
      <c r="AP1915" t="str">
        <f>SUBSTITUTE(SUBSTITUTE(SUBSTITUTE("vch"&amp;$B1915&amp;$C1915&amp;$D1915&amp;$E1915&amp;$F1915,".","_"),"(","_"),")","")</f>
        <v>vch1002_1_3</v>
      </c>
      <c r="AQ1915">
        <f>W1915</f>
        <v>0</v>
      </c>
      <c r="AR1915" t="str">
        <f>SUBSTITUTE(SUBSTITUTE(SUBSTITUTE("vnt"&amp;$B1915&amp;$C1915&amp;$D1915&amp;$E1915&amp;$F1915,".","_"),"(","_"),")","")</f>
        <v>vnt1002_1_3</v>
      </c>
      <c r="AS1915">
        <f>X1915</f>
        <v>0</v>
      </c>
      <c r="BJ1915" s="573" t="s">
        <v>4670</v>
      </c>
    </row>
    <row r="1916" spans="1:62" x14ac:dyDescent="0.35">
      <c r="A1916" s="403">
        <v>10</v>
      </c>
      <c r="B1916" s="609">
        <v>1002.1</v>
      </c>
      <c r="C1916" s="604"/>
      <c r="D1916" s="604"/>
      <c r="E1916" s="604" t="s">
        <v>274</v>
      </c>
      <c r="F1916" s="604"/>
      <c r="G1916" s="403" t="str">
        <f t="shared" si="652"/>
        <v/>
      </c>
      <c r="H1916" s="403" t="s">
        <v>4325</v>
      </c>
      <c r="I1916" s="4"/>
      <c r="J1916" s="19"/>
      <c r="K1916" s="4"/>
      <c r="L1916" s="707"/>
      <c r="M1916" s="740" t="str">
        <f t="shared" si="653"/>
        <v>N/A</v>
      </c>
      <c r="N1916" s="4"/>
      <c r="O1916" s="85"/>
      <c r="X1916" s="688"/>
      <c r="Y1916" s="891"/>
      <c r="Z1916" s="892"/>
      <c r="BJ1916" s="573" t="s">
        <v>4670</v>
      </c>
    </row>
    <row r="1917" spans="1:62" x14ac:dyDescent="0.35">
      <c r="A1917" s="403">
        <v>10</v>
      </c>
      <c r="B1917" s="609">
        <v>1002.1</v>
      </c>
      <c r="C1917" s="604"/>
      <c r="D1917" s="604"/>
      <c r="E1917" s="604" t="s">
        <v>283</v>
      </c>
      <c r="F1917" s="604"/>
      <c r="G1917" s="403" t="str">
        <f t="shared" si="652"/>
        <v/>
      </c>
      <c r="H1917" s="403" t="s">
        <v>4325</v>
      </c>
      <c r="I1917" s="4"/>
      <c r="J1917" s="150" t="s">
        <v>283</v>
      </c>
      <c r="K1917" s="187"/>
      <c r="L1917" s="220" t="s">
        <v>3546</v>
      </c>
      <c r="M1917" s="189"/>
      <c r="N1917" s="4"/>
      <c r="O1917" s="85"/>
      <c r="P1917" t="b">
        <v>0</v>
      </c>
      <c r="Q1917" t="b">
        <v>1</v>
      </c>
      <c r="R1917" t="b">
        <v>0</v>
      </c>
      <c r="S1917" t="b">
        <f>IF(AY1847=INDEX(ddSingleOrMulti,2),TRUE,FALSE)</f>
        <v>0</v>
      </c>
      <c r="T1917" t="b">
        <f>AND(NOT(S1917),W1917=TRUE)</f>
        <v>0</v>
      </c>
      <c r="W1917" s="17"/>
      <c r="X1917" s="39"/>
      <c r="Y1917" s="200" t="str">
        <f>IF(LEN('Ch10'!X89)=0,"None",'Ch10'!X89)</f>
        <v>None</v>
      </c>
      <c r="Z1917" s="563"/>
      <c r="AC1917" t="b">
        <f>OR(AD1917:AE1917)</f>
        <v>0</v>
      </c>
      <c r="AD1917" t="b">
        <f>T1917</f>
        <v>0</v>
      </c>
      <c r="AP1917" t="str">
        <f t="shared" ref="AP1917:AP1918" si="657">SUBSTITUTE(SUBSTITUTE(SUBSTITUTE("vch"&amp;$B1917&amp;$C1917&amp;$D1917&amp;$E1917&amp;$F1917,".","_"),"(","_"),")","")</f>
        <v>vch1002_1_4</v>
      </c>
      <c r="AQ1917">
        <f>W1917</f>
        <v>0</v>
      </c>
      <c r="AR1917" t="str">
        <f t="shared" ref="AR1917:AR1918" si="658">SUBSTITUTE(SUBSTITUTE(SUBSTITUTE("vnt"&amp;$B1917&amp;$C1917&amp;$D1917&amp;$E1917&amp;$F1917,".","_"),"(","_"),")","")</f>
        <v>vnt1002_1_4</v>
      </c>
      <c r="AS1917">
        <f>X1917</f>
        <v>0</v>
      </c>
      <c r="BJ1917" s="573" t="s">
        <v>4670</v>
      </c>
    </row>
    <row r="1918" spans="1:62" x14ac:dyDescent="0.35">
      <c r="A1918" s="403">
        <v>10</v>
      </c>
      <c r="B1918" s="609">
        <v>1002.1</v>
      </c>
      <c r="C1918" s="604"/>
      <c r="D1918" s="604"/>
      <c r="E1918" s="604" t="s">
        <v>289</v>
      </c>
      <c r="F1918" s="604"/>
      <c r="G1918" s="403" t="str">
        <f t="shared" si="652"/>
        <v/>
      </c>
      <c r="H1918" s="403" t="s">
        <v>4325</v>
      </c>
      <c r="I1918" s="4"/>
      <c r="J1918" s="19" t="s">
        <v>289</v>
      </c>
      <c r="K1918" s="4"/>
      <c r="L1918" s="707" t="s">
        <v>3547</v>
      </c>
      <c r="M1918" s="85"/>
      <c r="N1918" s="4"/>
      <c r="O1918" s="85"/>
      <c r="P1918" t="b">
        <v>0</v>
      </c>
      <c r="Q1918" t="b">
        <v>1</v>
      </c>
      <c r="R1918" t="b">
        <v>0</v>
      </c>
      <c r="S1918" t="b">
        <f>IF(AY1847=INDEX(ddSingleOrMulti,2),TRUE,FALSE)</f>
        <v>0</v>
      </c>
      <c r="T1918" t="b">
        <f>AND(NOT(S1918),W1918=TRUE)</f>
        <v>0</v>
      </c>
      <c r="W1918" s="17"/>
      <c r="X1918" s="688"/>
      <c r="Y1918" s="891" t="str">
        <f>IF(LEN('Ch10'!X90)=0,"None",'Ch10'!X90)</f>
        <v>None</v>
      </c>
      <c r="Z1918" s="892"/>
      <c r="AC1918" t="b">
        <f>OR(AD1918:AE1918)</f>
        <v>0</v>
      </c>
      <c r="AD1918" t="b">
        <f>T1918</f>
        <v>0</v>
      </c>
      <c r="AP1918" t="str">
        <f t="shared" si="657"/>
        <v>vch1002_1_5</v>
      </c>
      <c r="AQ1918">
        <f>W1918</f>
        <v>0</v>
      </c>
      <c r="AR1918" t="str">
        <f t="shared" si="658"/>
        <v>vnt1002_1_5</v>
      </c>
      <c r="AS1918">
        <f>X1918</f>
        <v>0</v>
      </c>
      <c r="BJ1918" s="573" t="s">
        <v>4670</v>
      </c>
    </row>
    <row r="1919" spans="1:62" x14ac:dyDescent="0.35">
      <c r="A1919" s="403">
        <v>10</v>
      </c>
      <c r="B1919" s="609">
        <v>1002.1</v>
      </c>
      <c r="C1919" s="604"/>
      <c r="D1919" s="604"/>
      <c r="E1919" s="604" t="s">
        <v>289</v>
      </c>
      <c r="F1919" s="604"/>
      <c r="G1919" s="403" t="str">
        <f t="shared" si="652"/>
        <v/>
      </c>
      <c r="H1919" s="403" t="s">
        <v>4325</v>
      </c>
      <c r="I1919" s="4"/>
      <c r="J1919" s="19"/>
      <c r="K1919" s="4"/>
      <c r="L1919" s="707"/>
      <c r="M1919" s="85"/>
      <c r="N1919" s="4"/>
      <c r="O1919" s="85"/>
      <c r="X1919" s="688"/>
      <c r="Y1919" s="891"/>
      <c r="Z1919" s="892"/>
      <c r="BJ1919" s="573" t="s">
        <v>4670</v>
      </c>
    </row>
    <row r="1920" spans="1:62" ht="15" customHeight="1" x14ac:dyDescent="0.35">
      <c r="A1920" s="403">
        <v>10</v>
      </c>
      <c r="B1920" s="609">
        <v>1002.1</v>
      </c>
      <c r="C1920" s="604"/>
      <c r="D1920" s="604"/>
      <c r="E1920" s="604" t="s">
        <v>291</v>
      </c>
      <c r="F1920" s="604"/>
      <c r="G1920" s="403" t="str">
        <f t="shared" si="652"/>
        <v/>
      </c>
      <c r="H1920" s="403" t="s">
        <v>4325</v>
      </c>
      <c r="I1920" s="4"/>
      <c r="J1920" s="150" t="s">
        <v>291</v>
      </c>
      <c r="K1920" s="187"/>
      <c r="L1920" s="220" t="s">
        <v>3504</v>
      </c>
      <c r="M1920" s="85"/>
      <c r="N1920" s="4"/>
      <c r="O1920" s="85"/>
      <c r="P1920" t="b">
        <v>0</v>
      </c>
      <c r="Q1920" t="b">
        <v>1</v>
      </c>
      <c r="R1920" t="b">
        <v>0</v>
      </c>
      <c r="S1920" t="b">
        <f>IF(AY1847=INDEX(ddSingleOrMulti,2),TRUE,FALSE)</f>
        <v>0</v>
      </c>
      <c r="T1920" t="b">
        <f>AND(NOT(S1920),W1920=TRUE)</f>
        <v>0</v>
      </c>
      <c r="W1920" s="17"/>
      <c r="X1920" s="39"/>
      <c r="Y1920" s="200" t="str">
        <f>IF(LEN('Ch10'!X92)=0,"None",'Ch10'!X92)</f>
        <v>None</v>
      </c>
      <c r="Z1920" s="563"/>
      <c r="AC1920" t="b">
        <f>OR(AD1920:AE1920)</f>
        <v>0</v>
      </c>
      <c r="AD1920" t="b">
        <f>T1920</f>
        <v>0</v>
      </c>
      <c r="AP1920" t="str">
        <f t="shared" ref="AP1920:AP1922" si="659">SUBSTITUTE(SUBSTITUTE(SUBSTITUTE("vch"&amp;$B1920&amp;$C1920&amp;$D1920&amp;$E1920&amp;$F1920,".","_"),"(","_"),")","")</f>
        <v>vch1002_1_6</v>
      </c>
      <c r="AQ1920">
        <f>W1920</f>
        <v>0</v>
      </c>
      <c r="AR1920" t="str">
        <f t="shared" ref="AR1920:AR1922" si="660">SUBSTITUTE(SUBSTITUTE(SUBSTITUTE("vnt"&amp;$B1920&amp;$C1920&amp;$D1920&amp;$E1920&amp;$F1920,".","_"),"(","_"),")","")</f>
        <v>vnt1002_1_6</v>
      </c>
      <c r="AS1920">
        <f>X1920</f>
        <v>0</v>
      </c>
      <c r="BJ1920" s="573" t="s">
        <v>4670</v>
      </c>
    </row>
    <row r="1921" spans="1:62" x14ac:dyDescent="0.35">
      <c r="A1921" s="403">
        <v>10</v>
      </c>
      <c r="B1921" s="609">
        <v>1002.1</v>
      </c>
      <c r="C1921" s="604"/>
      <c r="D1921" s="604"/>
      <c r="E1921" s="604" t="s">
        <v>403</v>
      </c>
      <c r="F1921" s="604"/>
      <c r="G1921" s="403" t="str">
        <f t="shared" si="652"/>
        <v/>
      </c>
      <c r="H1921" s="403" t="s">
        <v>4325</v>
      </c>
      <c r="I1921" s="4"/>
      <c r="J1921" s="150" t="s">
        <v>403</v>
      </c>
      <c r="K1921" s="187"/>
      <c r="L1921" s="220" t="s">
        <v>3548</v>
      </c>
      <c r="M1921" s="85"/>
      <c r="N1921" s="4"/>
      <c r="O1921" s="85"/>
      <c r="P1921" t="b">
        <v>0</v>
      </c>
      <c r="Q1921" t="b">
        <v>1</v>
      </c>
      <c r="R1921" t="b">
        <v>0</v>
      </c>
      <c r="S1921" t="b">
        <f>IF(AY1847=INDEX(ddSingleOrMulti,2),TRUE,FALSE)</f>
        <v>0</v>
      </c>
      <c r="T1921" t="b">
        <f>AND(NOT(S1921),W1921=TRUE)</f>
        <v>0</v>
      </c>
      <c r="W1921" s="17"/>
      <c r="X1921" s="39"/>
      <c r="Y1921" s="200" t="str">
        <f>IF(LEN('Ch10'!X93)=0,"None",'Ch10'!X93)</f>
        <v>None</v>
      </c>
      <c r="Z1921" s="563"/>
      <c r="AC1921" t="b">
        <f>OR(AD1921:AE1921)</f>
        <v>0</v>
      </c>
      <c r="AD1921" t="b">
        <f>T1921</f>
        <v>0</v>
      </c>
      <c r="AP1921" t="str">
        <f t="shared" si="659"/>
        <v>vch1002_1_7</v>
      </c>
      <c r="AQ1921">
        <f>W1921</f>
        <v>0</v>
      </c>
      <c r="AR1921" t="str">
        <f t="shared" si="660"/>
        <v>vnt1002_1_7</v>
      </c>
      <c r="AS1921">
        <f>X1921</f>
        <v>0</v>
      </c>
      <c r="BJ1921" s="573" t="s">
        <v>4670</v>
      </c>
    </row>
    <row r="1922" spans="1:62" x14ac:dyDescent="0.35">
      <c r="A1922" s="403">
        <v>10</v>
      </c>
      <c r="B1922" s="609">
        <v>1002.1</v>
      </c>
      <c r="C1922" s="604"/>
      <c r="D1922" s="604"/>
      <c r="E1922" s="604" t="s">
        <v>453</v>
      </c>
      <c r="F1922" s="604"/>
      <c r="G1922" s="403" t="str">
        <f t="shared" si="652"/>
        <v/>
      </c>
      <c r="H1922" s="403" t="s">
        <v>4325</v>
      </c>
      <c r="I1922" s="4"/>
      <c r="J1922" s="19" t="s">
        <v>453</v>
      </c>
      <c r="K1922" s="4"/>
      <c r="L1922" s="707" t="s">
        <v>3549</v>
      </c>
      <c r="M1922" s="85"/>
      <c r="N1922" s="4"/>
      <c r="O1922" s="85"/>
      <c r="P1922" t="b">
        <v>0</v>
      </c>
      <c r="Q1922" t="b">
        <v>1</v>
      </c>
      <c r="R1922" t="b">
        <v>0</v>
      </c>
      <c r="S1922" t="b">
        <f>IF(AY1847=INDEX(ddSingleOrMulti,2),TRUE,FALSE)</f>
        <v>0</v>
      </c>
      <c r="T1922" t="b">
        <f>AND(NOT(S1922),W1922=TRUE)</f>
        <v>0</v>
      </c>
      <c r="W1922" s="17"/>
      <c r="X1922" s="688"/>
      <c r="Y1922" s="891" t="str">
        <f>IF(LEN('Ch10'!X94)=0,"None",'Ch10'!X94)</f>
        <v>None</v>
      </c>
      <c r="Z1922" s="892"/>
      <c r="AC1922" t="b">
        <f>OR(AD1922:AE1922)</f>
        <v>0</v>
      </c>
      <c r="AD1922" t="b">
        <f>T1922</f>
        <v>0</v>
      </c>
      <c r="AP1922" t="str">
        <f t="shared" si="659"/>
        <v>vch1002_1_8</v>
      </c>
      <c r="AQ1922">
        <f>W1922</f>
        <v>0</v>
      </c>
      <c r="AR1922" t="str">
        <f t="shared" si="660"/>
        <v>vnt1002_1_8</v>
      </c>
      <c r="AS1922">
        <f>X1922</f>
        <v>0</v>
      </c>
      <c r="BJ1922" s="573" t="s">
        <v>4670</v>
      </c>
    </row>
    <row r="1923" spans="1:62" ht="15" thickBot="1" x14ac:dyDescent="0.4">
      <c r="A1923" s="403">
        <v>10</v>
      </c>
      <c r="B1923" s="609">
        <v>1002.1</v>
      </c>
      <c r="C1923" s="604"/>
      <c r="D1923" s="604"/>
      <c r="E1923" s="604" t="s">
        <v>453</v>
      </c>
      <c r="F1923" s="604"/>
      <c r="G1923" s="403" t="str">
        <f t="shared" si="652"/>
        <v/>
      </c>
      <c r="H1923" s="403" t="s">
        <v>4325</v>
      </c>
      <c r="I1923" s="183"/>
      <c r="J1923" s="183"/>
      <c r="K1923" s="183"/>
      <c r="L1923" s="708"/>
      <c r="M1923" s="184"/>
      <c r="N1923" s="183"/>
      <c r="O1923" s="184"/>
      <c r="P1923" s="58"/>
      <c r="Q1923" s="58"/>
      <c r="R1923" s="58"/>
      <c r="S1923" s="58"/>
      <c r="T1923" s="58"/>
      <c r="U1923" s="58"/>
      <c r="V1923" s="58"/>
      <c r="W1923" s="58"/>
      <c r="X1923" s="689"/>
      <c r="Y1923" s="905"/>
      <c r="Z1923" s="895"/>
      <c r="BJ1923" s="573" t="s">
        <v>4670</v>
      </c>
    </row>
    <row r="1924" spans="1:62" ht="15" thickTop="1" x14ac:dyDescent="0.35">
      <c r="A1924" s="403">
        <v>10</v>
      </c>
      <c r="B1924" s="609">
        <v>1002.2</v>
      </c>
      <c r="C1924" s="604"/>
      <c r="D1924" s="604"/>
      <c r="E1924" s="604"/>
      <c r="F1924" s="604"/>
      <c r="G1924" s="403" t="str">
        <f>IF(N1924&gt;0,"P","")</f>
        <v/>
      </c>
      <c r="H1924" s="403" t="s">
        <v>4325</v>
      </c>
      <c r="I1924" s="33">
        <v>1002.2</v>
      </c>
      <c r="J1924" s="4"/>
      <c r="K1924" s="4"/>
      <c r="L1924" s="706" t="s">
        <v>3591</v>
      </c>
      <c r="M1924" s="690">
        <v>1</v>
      </c>
      <c r="N1924" s="694">
        <f>'Ch10'!O96</f>
        <v>0</v>
      </c>
      <c r="O1924" s="802">
        <f>IF(AND(COUNTIF(W1928:W1930,TRUE)=2,COUNTIF(W1933:W1949,TRUE)&gt;2,S1928),ROUNDDOWN(COUNTIF(W1933:W1949,TRUE)/2,0),0)</f>
        <v>0</v>
      </c>
      <c r="Z1924" s="543"/>
      <c r="AL1924" t="str">
        <f t="shared" ref="AL1924" si="661">SUBSTITUTE(SUBSTITUTE(SUBSTITUTE("vpa"&amp;$B1924&amp;$C1924&amp;$D1924&amp;$E1924&amp;$F1924,".","_"),"(","_"),")","")</f>
        <v>vpa1002_2</v>
      </c>
      <c r="AM1924">
        <f>M1924</f>
        <v>1</v>
      </c>
      <c r="AN1924" t="str">
        <f>SUBSTITUTE(SUBSTITUTE(SUBSTITUTE("vpc"&amp;$B1924&amp;$C1924&amp;$D1924&amp;$E1924&amp;$F1924,".","_"),"(","_"),")","")</f>
        <v>vpc1002_2</v>
      </c>
      <c r="AO1924">
        <f>O1924</f>
        <v>0</v>
      </c>
      <c r="BJ1924" s="573" t="s">
        <v>4670</v>
      </c>
    </row>
    <row r="1925" spans="1:62" x14ac:dyDescent="0.35">
      <c r="A1925" s="403">
        <v>10</v>
      </c>
      <c r="B1925" s="609">
        <v>1002.2</v>
      </c>
      <c r="C1925" s="604"/>
      <c r="D1925" s="604"/>
      <c r="E1925" s="604"/>
      <c r="F1925" s="604"/>
      <c r="G1925" s="403" t="str">
        <f t="shared" ref="G1925:G1950" si="662">G1924</f>
        <v/>
      </c>
      <c r="H1925" s="403" t="s">
        <v>4325</v>
      </c>
      <c r="I1925" s="4"/>
      <c r="J1925" s="4"/>
      <c r="K1925" s="4"/>
      <c r="L1925" s="706"/>
      <c r="M1925" s="690"/>
      <c r="N1925" s="696"/>
      <c r="O1925" s="802"/>
      <c r="Z1925" s="543"/>
      <c r="BJ1925" s="573" t="s">
        <v>4670</v>
      </c>
    </row>
    <row r="1926" spans="1:62" x14ac:dyDescent="0.35">
      <c r="A1926" s="403">
        <v>10</v>
      </c>
      <c r="B1926" s="609">
        <v>1002.2</v>
      </c>
      <c r="C1926" s="604"/>
      <c r="D1926" s="604"/>
      <c r="E1926" s="604"/>
      <c r="F1926" s="604"/>
      <c r="G1926" s="403" t="str">
        <f t="shared" si="662"/>
        <v/>
      </c>
      <c r="H1926" s="403" t="s">
        <v>4325</v>
      </c>
      <c r="I1926" s="4"/>
      <c r="J1926" s="4"/>
      <c r="K1926" s="4"/>
      <c r="L1926" s="706"/>
      <c r="M1926" s="690"/>
      <c r="N1926" s="696"/>
      <c r="O1926" s="802"/>
      <c r="Z1926" s="543"/>
      <c r="BJ1926" s="573" t="s">
        <v>4670</v>
      </c>
    </row>
    <row r="1927" spans="1:62" x14ac:dyDescent="0.35">
      <c r="A1927" s="403">
        <v>10</v>
      </c>
      <c r="B1927" s="609">
        <v>1002.2</v>
      </c>
      <c r="C1927" s="604"/>
      <c r="D1927" s="604"/>
      <c r="E1927" s="604"/>
      <c r="F1927" s="604"/>
      <c r="G1927" s="403" t="str">
        <f t="shared" si="662"/>
        <v/>
      </c>
      <c r="H1927" s="403" t="s">
        <v>4325</v>
      </c>
      <c r="I1927" s="4"/>
      <c r="J1927" s="4"/>
      <c r="K1927" s="4"/>
      <c r="L1927" s="171" t="s">
        <v>3588</v>
      </c>
      <c r="M1927" s="690"/>
      <c r="N1927" s="696"/>
      <c r="O1927" s="802"/>
      <c r="Z1927" s="543"/>
      <c r="BJ1927" s="573" t="s">
        <v>4670</v>
      </c>
    </row>
    <row r="1928" spans="1:62" x14ac:dyDescent="0.35">
      <c r="A1928" s="403">
        <v>10</v>
      </c>
      <c r="B1928" s="609">
        <v>1002.2</v>
      </c>
      <c r="C1928" s="604"/>
      <c r="D1928" s="604"/>
      <c r="E1928" s="604" t="s">
        <v>270</v>
      </c>
      <c r="F1928" s="604"/>
      <c r="G1928" s="403" t="str">
        <f t="shared" si="662"/>
        <v/>
      </c>
      <c r="H1928" s="403" t="s">
        <v>4325</v>
      </c>
      <c r="I1928" s="4"/>
      <c r="J1928" s="19" t="s">
        <v>270</v>
      </c>
      <c r="K1928" s="4"/>
      <c r="L1928" s="707" t="s">
        <v>3550</v>
      </c>
      <c r="M1928" s="740" t="str">
        <f>IF(R1928,"Mandatory","N/A")</f>
        <v>N/A</v>
      </c>
      <c r="N1928" s="4"/>
      <c r="O1928" s="85"/>
      <c r="P1928" t="b">
        <v>0</v>
      </c>
      <c r="Q1928" t="b">
        <v>1</v>
      </c>
      <c r="R1928" t="b">
        <f>S1928</f>
        <v>0</v>
      </c>
      <c r="S1928" t="b">
        <f>IF(AY1847=INDEX(ddSingleOrMulti,2),TRUE,FALSE)</f>
        <v>0</v>
      </c>
      <c r="T1928" t="b">
        <f>AND(NOT(S1928),W1928=TRUE)</f>
        <v>0</v>
      </c>
      <c r="W1928" s="17"/>
      <c r="X1928" s="688"/>
      <c r="Y1928" s="891" t="str">
        <f>IF(LEN('Ch10'!X100)=0,"None",'Ch10'!X100)</f>
        <v>None</v>
      </c>
      <c r="Z1928" s="892"/>
      <c r="AC1928" t="b">
        <f>OR(AD1928:AE1928)</f>
        <v>0</v>
      </c>
      <c r="AD1928" t="b">
        <f>T1928</f>
        <v>0</v>
      </c>
      <c r="AE1928" t="b">
        <f>AND(R1928,NOT(W1928=TRUE))</f>
        <v>0</v>
      </c>
      <c r="AF1928" t="b">
        <f>AND(AE1928,NOT(Q1928))</f>
        <v>0</v>
      </c>
      <c r="AL1928" t="str">
        <f t="shared" ref="AL1928" si="663">SUBSTITUTE(SUBSTITUTE(SUBSTITUTE("vpa"&amp;$B1928&amp;$C1928&amp;$D1928&amp;$E1928&amp;$F1928,".","_"),"(","_"),")","")</f>
        <v>vpa1002_2_1</v>
      </c>
      <c r="AM1928" t="str">
        <f>M1928</f>
        <v>N/A</v>
      </c>
      <c r="AP1928" t="str">
        <f>SUBSTITUTE(SUBSTITUTE(SUBSTITUTE("vch"&amp;$B1928&amp;$C1928&amp;$D1928&amp;$E1928&amp;$F1928,".","_"),"(","_"),")","")</f>
        <v>vch1002_2_1</v>
      </c>
      <c r="AQ1928">
        <f>W1928</f>
        <v>0</v>
      </c>
      <c r="AR1928" t="str">
        <f>SUBSTITUTE(SUBSTITUTE(SUBSTITUTE("vnt"&amp;$B1928&amp;$C1928&amp;$D1928&amp;$E1928&amp;$F1928,".","_"),"(","_"),")","")</f>
        <v>vnt1002_2_1</v>
      </c>
      <c r="AS1928">
        <f>X1928</f>
        <v>0</v>
      </c>
      <c r="BJ1928" s="573" t="s">
        <v>4670</v>
      </c>
    </row>
    <row r="1929" spans="1:62" x14ac:dyDescent="0.35">
      <c r="A1929" s="403">
        <v>10</v>
      </c>
      <c r="B1929" s="609">
        <v>1002.2</v>
      </c>
      <c r="C1929" s="604"/>
      <c r="D1929" s="604"/>
      <c r="E1929" s="604" t="s">
        <v>270</v>
      </c>
      <c r="F1929" s="604"/>
      <c r="G1929" s="403" t="str">
        <f t="shared" si="662"/>
        <v/>
      </c>
      <c r="H1929" s="403" t="s">
        <v>4325</v>
      </c>
      <c r="I1929" s="4"/>
      <c r="J1929" s="148"/>
      <c r="K1929" s="155"/>
      <c r="L1929" s="709"/>
      <c r="M1929" s="741" t="str">
        <f>IF(R1929,"Mandatory","N/A")</f>
        <v>N/A</v>
      </c>
      <c r="N1929" s="4"/>
      <c r="O1929" s="85"/>
      <c r="X1929" s="688"/>
      <c r="Y1929" s="891"/>
      <c r="Z1929" s="892"/>
      <c r="BJ1929" s="573" t="s">
        <v>4670</v>
      </c>
    </row>
    <row r="1930" spans="1:62" x14ac:dyDescent="0.35">
      <c r="A1930" s="403">
        <v>10</v>
      </c>
      <c r="B1930" s="609">
        <v>1002.2</v>
      </c>
      <c r="C1930" s="604"/>
      <c r="D1930" s="604"/>
      <c r="E1930" s="604" t="s">
        <v>272</v>
      </c>
      <c r="F1930" s="604"/>
      <c r="G1930" s="403" t="str">
        <f t="shared" si="662"/>
        <v/>
      </c>
      <c r="H1930" s="403" t="s">
        <v>4325</v>
      </c>
      <c r="I1930" s="4"/>
      <c r="J1930" s="154" t="s">
        <v>272</v>
      </c>
      <c r="K1930" s="136"/>
      <c r="L1930" s="742" t="s">
        <v>3551</v>
      </c>
      <c r="M1930" s="769" t="str">
        <f>IF(R1930,"Mandatory","N/A")</f>
        <v>N/A</v>
      </c>
      <c r="N1930" s="4"/>
      <c r="O1930" s="85"/>
      <c r="P1930" t="b">
        <v>0</v>
      </c>
      <c r="Q1930" t="b">
        <v>1</v>
      </c>
      <c r="R1930" t="b">
        <f>S1930</f>
        <v>0</v>
      </c>
      <c r="S1930" t="b">
        <f>IF(AY1847=INDEX(ddSingleOrMulti,2),TRUE,FALSE)</f>
        <v>0</v>
      </c>
      <c r="T1930" t="b">
        <f>AND(NOT(S1930),W1930=TRUE)</f>
        <v>0</v>
      </c>
      <c r="W1930" s="17"/>
      <c r="X1930" s="688"/>
      <c r="Y1930" s="891" t="str">
        <f>IF(LEN('Ch10'!X102)=0,"None",'Ch10'!X102)</f>
        <v>None</v>
      </c>
      <c r="Z1930" s="892"/>
      <c r="AC1930" t="b">
        <f>OR(AD1930:AE1930)</f>
        <v>0</v>
      </c>
      <c r="AD1930" t="b">
        <f>T1930</f>
        <v>0</v>
      </c>
      <c r="AE1930" t="b">
        <f>AND(R1930,NOT(W1930=TRUE))</f>
        <v>0</v>
      </c>
      <c r="AF1930" t="b">
        <f>AND(AE1930,NOT(Q1930))</f>
        <v>0</v>
      </c>
      <c r="AL1930" t="str">
        <f t="shared" ref="AL1930" si="664">SUBSTITUTE(SUBSTITUTE(SUBSTITUTE("vpa"&amp;$B1930&amp;$C1930&amp;$D1930&amp;$E1930&amp;$F1930,".","_"),"(","_"),")","")</f>
        <v>vpa1002_2_2</v>
      </c>
      <c r="AM1930" t="str">
        <f>M1930</f>
        <v>N/A</v>
      </c>
      <c r="AP1930" t="str">
        <f>SUBSTITUTE(SUBSTITUTE(SUBSTITUTE("vch"&amp;$B1930&amp;$C1930&amp;$D1930&amp;$E1930&amp;$F1930,".","_"),"(","_"),")","")</f>
        <v>vch1002_2_2</v>
      </c>
      <c r="AQ1930">
        <f>W1930</f>
        <v>0</v>
      </c>
      <c r="AR1930" t="str">
        <f>SUBSTITUTE(SUBSTITUTE(SUBSTITUTE("vnt"&amp;$B1930&amp;$C1930&amp;$D1930&amp;$E1930&amp;$F1930,".","_"),"(","_"),")","")</f>
        <v>vnt1002_2_2</v>
      </c>
      <c r="AS1930">
        <f>X1930</f>
        <v>0</v>
      </c>
      <c r="BJ1930" s="573" t="s">
        <v>4670</v>
      </c>
    </row>
    <row r="1931" spans="1:62" x14ac:dyDescent="0.35">
      <c r="A1931" s="403">
        <v>10</v>
      </c>
      <c r="B1931" s="609">
        <v>1002.2</v>
      </c>
      <c r="C1931" s="604"/>
      <c r="D1931" s="604"/>
      <c r="E1931" s="604" t="s">
        <v>272</v>
      </c>
      <c r="F1931" s="604"/>
      <c r="G1931" s="403" t="str">
        <f t="shared" si="662"/>
        <v/>
      </c>
      <c r="H1931" s="403" t="s">
        <v>4325</v>
      </c>
      <c r="I1931" s="4"/>
      <c r="J1931" s="19"/>
      <c r="K1931" s="4"/>
      <c r="L1931" s="707"/>
      <c r="M1931" s="740" t="str">
        <f>IF(R1931,"Mandatory","N/A")</f>
        <v>N/A</v>
      </c>
      <c r="N1931" s="4"/>
      <c r="O1931" s="85"/>
      <c r="X1931" s="688"/>
      <c r="Y1931" s="891"/>
      <c r="Z1931" s="892"/>
      <c r="BJ1931" s="573" t="s">
        <v>4670</v>
      </c>
    </row>
    <row r="1932" spans="1:62" x14ac:dyDescent="0.35">
      <c r="A1932" s="403">
        <v>10</v>
      </c>
      <c r="B1932" s="609">
        <v>1002.2</v>
      </c>
      <c r="C1932" s="604"/>
      <c r="D1932" s="604"/>
      <c r="E1932" s="604" t="s">
        <v>272</v>
      </c>
      <c r="F1932" s="604"/>
      <c r="G1932" s="403" t="str">
        <f t="shared" si="662"/>
        <v/>
      </c>
      <c r="H1932" s="403" t="s">
        <v>4325</v>
      </c>
      <c r="I1932" s="4"/>
      <c r="J1932" s="148"/>
      <c r="K1932" s="155"/>
      <c r="L1932" s="709"/>
      <c r="M1932" s="741" t="str">
        <f>IF(R1932,"Mandatory","N/A")</f>
        <v>N/A</v>
      </c>
      <c r="N1932" s="4"/>
      <c r="O1932" s="85"/>
      <c r="X1932" s="688"/>
      <c r="Y1932" s="891"/>
      <c r="Z1932" s="892"/>
      <c r="BJ1932" s="573" t="s">
        <v>4670</v>
      </c>
    </row>
    <row r="1933" spans="1:62" x14ac:dyDescent="0.35">
      <c r="A1933" s="403">
        <v>10</v>
      </c>
      <c r="B1933" s="609">
        <v>1002.2</v>
      </c>
      <c r="C1933" s="604"/>
      <c r="D1933" s="604"/>
      <c r="E1933" s="604" t="s">
        <v>274</v>
      </c>
      <c r="F1933" s="604"/>
      <c r="G1933" s="403" t="str">
        <f t="shared" si="662"/>
        <v/>
      </c>
      <c r="H1933" s="403" t="s">
        <v>4325</v>
      </c>
      <c r="I1933" s="4"/>
      <c r="J1933" s="154" t="s">
        <v>274</v>
      </c>
      <c r="K1933" s="136"/>
      <c r="L1933" s="742" t="s">
        <v>3520</v>
      </c>
      <c r="M1933" s="85"/>
      <c r="N1933" s="4"/>
      <c r="O1933" s="85"/>
      <c r="P1933" t="b">
        <v>0</v>
      </c>
      <c r="Q1933" t="b">
        <v>1</v>
      </c>
      <c r="R1933" t="b">
        <v>0</v>
      </c>
      <c r="S1933" t="b">
        <f>IF(AY1847=INDEX(ddSingleOrMulti,2),TRUE,FALSE)</f>
        <v>0</v>
      </c>
      <c r="T1933" t="b">
        <f>AND(NOT(S1933),W1933=TRUE)</f>
        <v>0</v>
      </c>
      <c r="W1933" s="17"/>
      <c r="X1933" s="688"/>
      <c r="Y1933" s="891" t="str">
        <f>IF(LEN('Ch10'!X105)=0,"None",'Ch10'!X105)</f>
        <v>None</v>
      </c>
      <c r="Z1933" s="892"/>
      <c r="AC1933" t="b">
        <f>OR(AD1933:AE1933)</f>
        <v>0</v>
      </c>
      <c r="AD1933" t="b">
        <f>T1933</f>
        <v>0</v>
      </c>
      <c r="AP1933" t="str">
        <f>SUBSTITUTE(SUBSTITUTE(SUBSTITUTE("vch"&amp;$B1933&amp;$C1933&amp;$D1933&amp;$E1933&amp;$F1933,".","_"),"(","_"),")","")</f>
        <v>vch1002_2_3</v>
      </c>
      <c r="AQ1933">
        <f>W1933</f>
        <v>0</v>
      </c>
      <c r="AR1933" t="str">
        <f>SUBSTITUTE(SUBSTITUTE(SUBSTITUTE("vnt"&amp;$B1933&amp;$C1933&amp;$D1933&amp;$E1933&amp;$F1933,".","_"),"(","_"),")","")</f>
        <v>vnt1002_2_3</v>
      </c>
      <c r="AS1933">
        <f>X1933</f>
        <v>0</v>
      </c>
      <c r="BJ1933" s="573" t="s">
        <v>4670</v>
      </c>
    </row>
    <row r="1934" spans="1:62" x14ac:dyDescent="0.35">
      <c r="A1934" s="403">
        <v>10</v>
      </c>
      <c r="B1934" s="609">
        <v>1002.2</v>
      </c>
      <c r="C1934" s="604"/>
      <c r="D1934" s="604"/>
      <c r="E1934" s="604" t="s">
        <v>274</v>
      </c>
      <c r="F1934" s="604"/>
      <c r="G1934" s="403" t="str">
        <f t="shared" si="662"/>
        <v/>
      </c>
      <c r="H1934" s="403" t="s">
        <v>4325</v>
      </c>
      <c r="I1934" s="4"/>
      <c r="J1934" s="155"/>
      <c r="K1934" s="155"/>
      <c r="L1934" s="709"/>
      <c r="M1934" s="85"/>
      <c r="N1934" s="4"/>
      <c r="O1934" s="85"/>
      <c r="X1934" s="688"/>
      <c r="Y1934" s="891"/>
      <c r="Z1934" s="892"/>
      <c r="BJ1934" s="573" t="s">
        <v>4670</v>
      </c>
    </row>
    <row r="1935" spans="1:62" x14ac:dyDescent="0.35">
      <c r="A1935" s="403">
        <v>10</v>
      </c>
      <c r="B1935" s="609">
        <v>1002.2</v>
      </c>
      <c r="C1935" s="604"/>
      <c r="D1935" s="604"/>
      <c r="E1935" s="604" t="s">
        <v>283</v>
      </c>
      <c r="F1935" s="604"/>
      <c r="G1935" s="403" t="str">
        <f t="shared" si="662"/>
        <v/>
      </c>
      <c r="H1935" s="403" t="s">
        <v>4325</v>
      </c>
      <c r="I1935" s="4"/>
      <c r="J1935" s="19" t="s">
        <v>283</v>
      </c>
      <c r="K1935" s="4"/>
      <c r="L1935" s="707" t="s">
        <v>3552</v>
      </c>
      <c r="M1935" s="85"/>
      <c r="N1935" s="4"/>
      <c r="O1935" s="85"/>
      <c r="P1935" t="b">
        <v>0</v>
      </c>
      <c r="Q1935" t="b">
        <v>1</v>
      </c>
      <c r="R1935" t="b">
        <v>0</v>
      </c>
      <c r="S1935" t="b">
        <f>IF(AY1847=INDEX(ddSingleOrMulti,2),TRUE,FALSE)</f>
        <v>0</v>
      </c>
      <c r="T1935" t="b">
        <f>AND(NOT(S1935),W1935=TRUE)</f>
        <v>0</v>
      </c>
      <c r="W1935" s="17"/>
      <c r="X1935" s="688"/>
      <c r="Y1935" s="891" t="str">
        <f>IF(LEN('Ch10'!X107)=0,"None",'Ch10'!X107)</f>
        <v>None</v>
      </c>
      <c r="Z1935" s="892"/>
      <c r="AC1935" t="b">
        <f>OR(AD1935:AE1935)</f>
        <v>0</v>
      </c>
      <c r="AD1935" t="b">
        <f>T1935</f>
        <v>0</v>
      </c>
      <c r="AP1935" t="str">
        <f>SUBSTITUTE(SUBSTITUTE(SUBSTITUTE("vch"&amp;$B1935&amp;$C1935&amp;$D1935&amp;$E1935&amp;$F1935,".","_"),"(","_"),")","")</f>
        <v>vch1002_2_4</v>
      </c>
      <c r="AQ1935">
        <f>W1935</f>
        <v>0</v>
      </c>
      <c r="AR1935" t="str">
        <f>SUBSTITUTE(SUBSTITUTE(SUBSTITUTE("vnt"&amp;$B1935&amp;$C1935&amp;$D1935&amp;$E1935&amp;$F1935,".","_"),"(","_"),")","")</f>
        <v>vnt1002_2_4</v>
      </c>
      <c r="AS1935">
        <f>X1935</f>
        <v>0</v>
      </c>
      <c r="BJ1935" s="573" t="s">
        <v>4670</v>
      </c>
    </row>
    <row r="1936" spans="1:62" x14ac:dyDescent="0.35">
      <c r="A1936" s="403">
        <v>10</v>
      </c>
      <c r="B1936" s="609">
        <v>1002.2</v>
      </c>
      <c r="C1936" s="604"/>
      <c r="D1936" s="604"/>
      <c r="E1936" s="604" t="s">
        <v>283</v>
      </c>
      <c r="F1936" s="604"/>
      <c r="G1936" s="403" t="str">
        <f t="shared" si="662"/>
        <v/>
      </c>
      <c r="H1936" s="403" t="s">
        <v>4325</v>
      </c>
      <c r="I1936" s="4"/>
      <c r="J1936" s="4"/>
      <c r="K1936" s="4"/>
      <c r="L1936" s="707"/>
      <c r="M1936" s="85"/>
      <c r="N1936" s="4"/>
      <c r="O1936" s="85"/>
      <c r="X1936" s="688"/>
      <c r="Y1936" s="891"/>
      <c r="Z1936" s="892"/>
      <c r="BJ1936" s="573" t="s">
        <v>4670</v>
      </c>
    </row>
    <row r="1937" spans="1:62" x14ac:dyDescent="0.35">
      <c r="A1937" s="403">
        <v>10</v>
      </c>
      <c r="B1937" s="609">
        <v>1002.2</v>
      </c>
      <c r="C1937" s="604"/>
      <c r="D1937" s="604"/>
      <c r="E1937" s="604" t="s">
        <v>283</v>
      </c>
      <c r="F1937" s="604"/>
      <c r="G1937" s="403" t="str">
        <f t="shared" si="662"/>
        <v/>
      </c>
      <c r="H1937" s="403" t="s">
        <v>4325</v>
      </c>
      <c r="I1937" s="4"/>
      <c r="J1937" s="4"/>
      <c r="K1937" s="4"/>
      <c r="L1937" s="707"/>
      <c r="M1937" s="85"/>
      <c r="N1937" s="4"/>
      <c r="O1937" s="85"/>
      <c r="X1937" s="688"/>
      <c r="Y1937" s="891"/>
      <c r="Z1937" s="892"/>
      <c r="BJ1937" s="573" t="s">
        <v>4670</v>
      </c>
    </row>
    <row r="1938" spans="1:62" x14ac:dyDescent="0.35">
      <c r="A1938" s="403">
        <v>10</v>
      </c>
      <c r="B1938" s="609">
        <v>1002.2</v>
      </c>
      <c r="C1938" s="604"/>
      <c r="D1938" s="604"/>
      <c r="E1938" s="604" t="s">
        <v>289</v>
      </c>
      <c r="F1938" s="604"/>
      <c r="G1938" s="403" t="str">
        <f t="shared" si="662"/>
        <v/>
      </c>
      <c r="H1938" s="403" t="s">
        <v>4325</v>
      </c>
      <c r="I1938" s="4"/>
      <c r="J1938" s="154" t="s">
        <v>289</v>
      </c>
      <c r="K1938" s="136"/>
      <c r="L1938" s="742" t="s">
        <v>3553</v>
      </c>
      <c r="M1938" s="85"/>
      <c r="N1938" s="4"/>
      <c r="O1938" s="85"/>
      <c r="P1938" t="b">
        <v>0</v>
      </c>
      <c r="Q1938" t="b">
        <v>1</v>
      </c>
      <c r="R1938" t="b">
        <v>0</v>
      </c>
      <c r="S1938" t="b">
        <f>IF(AY1847=INDEX(ddSingleOrMulti,2),TRUE,FALSE)</f>
        <v>0</v>
      </c>
      <c r="T1938" t="b">
        <f>AND(NOT(S1938),W1938=TRUE)</f>
        <v>0</v>
      </c>
      <c r="W1938" s="17"/>
      <c r="X1938" s="688"/>
      <c r="Y1938" s="891" t="str">
        <f>IF(LEN('Ch10'!X110)=0,"None",'Ch10'!X110)</f>
        <v>None</v>
      </c>
      <c r="Z1938" s="892"/>
      <c r="AC1938" t="b">
        <f>OR(AD1938:AE1938)</f>
        <v>0</v>
      </c>
      <c r="AD1938" t="b">
        <f>T1938</f>
        <v>0</v>
      </c>
      <c r="AP1938" t="str">
        <f>SUBSTITUTE(SUBSTITUTE(SUBSTITUTE("vch"&amp;$B1938&amp;$C1938&amp;$D1938&amp;$E1938&amp;$F1938,".","_"),"(","_"),")","")</f>
        <v>vch1002_2_5</v>
      </c>
      <c r="AQ1938">
        <f>W1938</f>
        <v>0</v>
      </c>
      <c r="AR1938" t="str">
        <f>SUBSTITUTE(SUBSTITUTE(SUBSTITUTE("vnt"&amp;$B1938&amp;$C1938&amp;$D1938&amp;$E1938&amp;$F1938,".","_"),"(","_"),")","")</f>
        <v>vnt1002_2_5</v>
      </c>
      <c r="AS1938">
        <f>X1938</f>
        <v>0</v>
      </c>
      <c r="BJ1938" s="573" t="s">
        <v>4670</v>
      </c>
    </row>
    <row r="1939" spans="1:62" x14ac:dyDescent="0.35">
      <c r="A1939" s="403">
        <v>10</v>
      </c>
      <c r="B1939" s="609">
        <v>1002.2</v>
      </c>
      <c r="C1939" s="604"/>
      <c r="D1939" s="604"/>
      <c r="E1939" s="604" t="s">
        <v>289</v>
      </c>
      <c r="F1939" s="604"/>
      <c r="G1939" s="403" t="str">
        <f t="shared" si="662"/>
        <v/>
      </c>
      <c r="H1939" s="403" t="s">
        <v>4325</v>
      </c>
      <c r="I1939" s="4"/>
      <c r="J1939" s="148"/>
      <c r="K1939" s="155"/>
      <c r="L1939" s="709"/>
      <c r="M1939" s="85"/>
      <c r="N1939" s="4"/>
      <c r="O1939" s="85"/>
      <c r="X1939" s="688"/>
      <c r="Y1939" s="891"/>
      <c r="Z1939" s="892"/>
      <c r="BJ1939" s="573" t="s">
        <v>4670</v>
      </c>
    </row>
    <row r="1940" spans="1:62" x14ac:dyDescent="0.35">
      <c r="A1940" s="403">
        <v>10</v>
      </c>
      <c r="B1940" s="609">
        <v>1002.2</v>
      </c>
      <c r="C1940" s="604"/>
      <c r="D1940" s="604"/>
      <c r="E1940" s="604" t="s">
        <v>291</v>
      </c>
      <c r="F1940" s="604"/>
      <c r="G1940" s="403" t="str">
        <f t="shared" si="662"/>
        <v/>
      </c>
      <c r="H1940" s="403" t="s">
        <v>4325</v>
      </c>
      <c r="I1940" s="4"/>
      <c r="J1940" s="19" t="s">
        <v>291</v>
      </c>
      <c r="K1940" s="4"/>
      <c r="L1940" s="104" t="s">
        <v>3503</v>
      </c>
      <c r="M1940" s="85"/>
      <c r="N1940" s="4"/>
      <c r="O1940" s="85"/>
      <c r="P1940" t="b">
        <v>0</v>
      </c>
      <c r="Q1940" t="b">
        <v>1</v>
      </c>
      <c r="R1940" t="b">
        <v>0</v>
      </c>
      <c r="S1940" t="b">
        <f>IF(AY1847=INDEX(ddSingleOrMulti,2),TRUE,FALSE)</f>
        <v>0</v>
      </c>
      <c r="T1940" t="b">
        <f>AND(NOT(S1940),W1940=TRUE)</f>
        <v>0</v>
      </c>
      <c r="W1940" s="17"/>
      <c r="X1940" s="39"/>
      <c r="Y1940" s="200" t="str">
        <f>IF(LEN('Ch10'!X112)=0,"None",'Ch10'!X112)</f>
        <v>None</v>
      </c>
      <c r="Z1940" s="563"/>
      <c r="AC1940" t="b">
        <f>OR(AD1940:AE1940)</f>
        <v>0</v>
      </c>
      <c r="AD1940" t="b">
        <f>T1940</f>
        <v>0</v>
      </c>
      <c r="AP1940" t="str">
        <f>SUBSTITUTE(SUBSTITUTE(SUBSTITUTE("vch"&amp;$B1940&amp;$C1940&amp;$D1940&amp;$E1940&amp;$F1940,".","_"),"(","_"),")","")</f>
        <v>vch1002_2_6</v>
      </c>
      <c r="AQ1940">
        <f>W1940</f>
        <v>0</v>
      </c>
      <c r="AR1940" t="str">
        <f t="shared" ref="AR1940:AR1941" si="665">SUBSTITUTE(SUBSTITUTE(SUBSTITUTE("vnt"&amp;$B1940&amp;$C1940&amp;$D1940&amp;$E1940&amp;$F1940,".","_"),"(","_"),")","")</f>
        <v>vnt1002_2_6</v>
      </c>
      <c r="AS1940">
        <f>X1940</f>
        <v>0</v>
      </c>
      <c r="BJ1940" s="573" t="s">
        <v>4670</v>
      </c>
    </row>
    <row r="1941" spans="1:62" x14ac:dyDescent="0.35">
      <c r="A1941" s="403">
        <v>10</v>
      </c>
      <c r="B1941" s="609">
        <v>1002.2</v>
      </c>
      <c r="C1941" s="604"/>
      <c r="D1941" s="604"/>
      <c r="E1941" s="604" t="s">
        <v>403</v>
      </c>
      <c r="F1941" s="604"/>
      <c r="G1941" s="403" t="str">
        <f t="shared" si="662"/>
        <v/>
      </c>
      <c r="H1941" s="403" t="s">
        <v>4325</v>
      </c>
      <c r="I1941" s="4"/>
      <c r="J1941" s="154" t="s">
        <v>403</v>
      </c>
      <c r="K1941" s="136"/>
      <c r="L1941" s="742" t="s">
        <v>3554</v>
      </c>
      <c r="M1941" s="85"/>
      <c r="N1941" s="4"/>
      <c r="O1941" s="85"/>
      <c r="P1941" t="b">
        <v>0</v>
      </c>
      <c r="Q1941" t="b">
        <v>1</v>
      </c>
      <c r="R1941" t="b">
        <v>0</v>
      </c>
      <c r="S1941" t="b">
        <f>IF(AY1847=INDEX(ddSingleOrMulti,2),TRUE,FALSE)</f>
        <v>0</v>
      </c>
      <c r="T1941" t="b">
        <f>AND(NOT(S1941),W1941=TRUE)</f>
        <v>0</v>
      </c>
      <c r="W1941" s="17"/>
      <c r="X1941" s="688"/>
      <c r="Y1941" s="891" t="str">
        <f>IF(LEN('Ch10'!X113)=0,"None",'Ch10'!X113)</f>
        <v>None</v>
      </c>
      <c r="Z1941" s="892"/>
      <c r="AC1941" t="b">
        <f>OR(AD1941:AE1941)</f>
        <v>0</v>
      </c>
      <c r="AD1941" t="b">
        <f>T1941</f>
        <v>0</v>
      </c>
      <c r="AP1941" t="str">
        <f>SUBSTITUTE(SUBSTITUTE(SUBSTITUTE("vch"&amp;$B1941&amp;$C1941&amp;$D1941&amp;$E1941&amp;$F1941,".","_"),"(","_"),")","")</f>
        <v>vch1002_2_7</v>
      </c>
      <c r="AQ1941">
        <f>W1941</f>
        <v>0</v>
      </c>
      <c r="AR1941" t="str">
        <f t="shared" si="665"/>
        <v>vnt1002_2_7</v>
      </c>
      <c r="AS1941">
        <f>X1941</f>
        <v>0</v>
      </c>
      <c r="BJ1941" s="573" t="s">
        <v>4670</v>
      </c>
    </row>
    <row r="1942" spans="1:62" x14ac:dyDescent="0.35">
      <c r="A1942" s="403">
        <v>10</v>
      </c>
      <c r="B1942" s="609">
        <v>1002.2</v>
      </c>
      <c r="C1942" s="604"/>
      <c r="D1942" s="604"/>
      <c r="E1942" s="604" t="s">
        <v>403</v>
      </c>
      <c r="F1942" s="604"/>
      <c r="G1942" s="403" t="str">
        <f t="shared" si="662"/>
        <v/>
      </c>
      <c r="H1942" s="403" t="s">
        <v>4325</v>
      </c>
      <c r="I1942" s="4"/>
      <c r="J1942" s="155"/>
      <c r="K1942" s="155"/>
      <c r="L1942" s="709"/>
      <c r="M1942" s="85"/>
      <c r="N1942" s="4"/>
      <c r="O1942" s="85"/>
      <c r="X1942" s="688"/>
      <c r="Y1942" s="891"/>
      <c r="Z1942" s="892"/>
      <c r="BJ1942" s="573" t="s">
        <v>4670</v>
      </c>
    </row>
    <row r="1943" spans="1:62" x14ac:dyDescent="0.35">
      <c r="A1943" s="403">
        <v>10</v>
      </c>
      <c r="B1943" s="609">
        <v>1002.2</v>
      </c>
      <c r="C1943" s="604"/>
      <c r="D1943" s="604"/>
      <c r="E1943" s="604" t="s">
        <v>453</v>
      </c>
      <c r="F1943" s="604"/>
      <c r="G1943" s="403" t="str">
        <f t="shared" si="662"/>
        <v/>
      </c>
      <c r="H1943" s="403" t="s">
        <v>4325</v>
      </c>
      <c r="I1943" s="4"/>
      <c r="J1943" s="19" t="s">
        <v>453</v>
      </c>
      <c r="K1943" s="4"/>
      <c r="L1943" s="723" t="s">
        <v>3518</v>
      </c>
      <c r="M1943" s="85"/>
      <c r="N1943" s="4"/>
      <c r="O1943" s="85"/>
      <c r="P1943" t="b">
        <v>0</v>
      </c>
      <c r="Q1943" t="b">
        <v>1</v>
      </c>
      <c r="R1943" t="b">
        <v>0</v>
      </c>
      <c r="S1943" t="b">
        <f>IF(AY1847=INDEX(ddSingleOrMulti,2),TRUE,FALSE)</f>
        <v>0</v>
      </c>
      <c r="T1943" t="b">
        <f>AND(NOT(S1943),W1943=TRUE)</f>
        <v>0</v>
      </c>
      <c r="W1943" s="17"/>
      <c r="X1943" s="688"/>
      <c r="Y1943" s="891" t="str">
        <f>IF(LEN('Ch10'!X115)=0,"None",'Ch10'!X115)</f>
        <v>None</v>
      </c>
      <c r="Z1943" s="892"/>
      <c r="AC1943" t="b">
        <f>OR(AD1943:AE1943)</f>
        <v>0</v>
      </c>
      <c r="AD1943" t="b">
        <f>T1943</f>
        <v>0</v>
      </c>
      <c r="AP1943" t="str">
        <f>SUBSTITUTE(SUBSTITUTE(SUBSTITUTE("vch"&amp;$B1943&amp;$C1943&amp;$D1943&amp;$E1943&amp;$F1943,".","_"),"(","_"),")","")</f>
        <v>vch1002_2_8</v>
      </c>
      <c r="AQ1943">
        <f>W1943</f>
        <v>0</v>
      </c>
      <c r="AR1943" t="str">
        <f>SUBSTITUTE(SUBSTITUTE(SUBSTITUTE("vnt"&amp;$B1943&amp;$C1943&amp;$D1943&amp;$E1943&amp;$F1943,".","_"),"(","_"),")","")</f>
        <v>vnt1002_2_8</v>
      </c>
      <c r="AS1943">
        <f>X1943</f>
        <v>0</v>
      </c>
      <c r="BJ1943" s="573" t="s">
        <v>4670</v>
      </c>
    </row>
    <row r="1944" spans="1:62" x14ac:dyDescent="0.35">
      <c r="A1944" s="403">
        <v>10</v>
      </c>
      <c r="B1944" s="609">
        <v>1002.2</v>
      </c>
      <c r="C1944" s="604"/>
      <c r="D1944" s="604"/>
      <c r="E1944" s="604" t="s">
        <v>453</v>
      </c>
      <c r="F1944" s="604"/>
      <c r="G1944" s="403" t="str">
        <f t="shared" si="662"/>
        <v/>
      </c>
      <c r="H1944" s="403" t="s">
        <v>4325</v>
      </c>
      <c r="I1944" s="4"/>
      <c r="J1944" s="19"/>
      <c r="K1944" s="4"/>
      <c r="L1944" s="723"/>
      <c r="M1944" s="85"/>
      <c r="N1944" s="4"/>
      <c r="O1944" s="85"/>
      <c r="X1944" s="688"/>
      <c r="Y1944" s="891"/>
      <c r="Z1944" s="892"/>
      <c r="BJ1944" s="573" t="s">
        <v>4670</v>
      </c>
    </row>
    <row r="1945" spans="1:62" x14ac:dyDescent="0.35">
      <c r="A1945" s="403">
        <v>10</v>
      </c>
      <c r="B1945" s="609">
        <v>1002.2</v>
      </c>
      <c r="C1945" s="604"/>
      <c r="D1945" s="604"/>
      <c r="E1945" s="604" t="s">
        <v>455</v>
      </c>
      <c r="F1945" s="604"/>
      <c r="G1945" s="403" t="str">
        <f t="shared" si="662"/>
        <v/>
      </c>
      <c r="H1945" s="403" t="s">
        <v>4325</v>
      </c>
      <c r="I1945" s="4"/>
      <c r="J1945" s="154" t="s">
        <v>455</v>
      </c>
      <c r="K1945" s="136"/>
      <c r="L1945" s="320" t="s">
        <v>3555</v>
      </c>
      <c r="M1945" s="85"/>
      <c r="N1945" s="4"/>
      <c r="O1945" s="85"/>
      <c r="P1945" t="b">
        <v>0</v>
      </c>
      <c r="Q1945" t="b">
        <v>1</v>
      </c>
      <c r="R1945" t="b">
        <v>0</v>
      </c>
      <c r="S1945" t="b">
        <f>IF(AY1847=INDEX(ddSingleOrMulti,2),TRUE,FALSE)</f>
        <v>0</v>
      </c>
      <c r="T1945" t="b">
        <f>AND(NOT(S1945),W1945=TRUE)</f>
        <v>0</v>
      </c>
      <c r="W1945" s="17"/>
      <c r="X1945" s="39"/>
      <c r="Y1945" s="200" t="str">
        <f>IF(LEN('Ch10'!X117)=0,"None",'Ch10'!X117)</f>
        <v>None</v>
      </c>
      <c r="Z1945" s="563"/>
      <c r="AC1945" t="b">
        <f>OR(AD1945:AE1945)</f>
        <v>0</v>
      </c>
      <c r="AD1945" t="b">
        <f>T1945</f>
        <v>0</v>
      </c>
      <c r="AP1945" t="str">
        <f>SUBSTITUTE(SUBSTITUTE(SUBSTITUTE("vch"&amp;$B1945&amp;$C1945&amp;$D1945&amp;$E1945&amp;$F1945,".","_"),"(","_"),")","")</f>
        <v>vch1002_2_9</v>
      </c>
      <c r="AQ1945">
        <f>W1945</f>
        <v>0</v>
      </c>
      <c r="AR1945" t="str">
        <f t="shared" ref="AR1945:AR1946" si="666">SUBSTITUTE(SUBSTITUTE(SUBSTITUTE("vnt"&amp;$B1945&amp;$C1945&amp;$D1945&amp;$E1945&amp;$F1945,".","_"),"(","_"),")","")</f>
        <v>vnt1002_2_9</v>
      </c>
      <c r="AS1945">
        <f>X1945</f>
        <v>0</v>
      </c>
      <c r="BJ1945" s="573" t="s">
        <v>4670</v>
      </c>
    </row>
    <row r="1946" spans="1:62" x14ac:dyDescent="0.35">
      <c r="A1946" s="403">
        <v>10</v>
      </c>
      <c r="B1946" s="609">
        <v>1002.2</v>
      </c>
      <c r="C1946" s="604"/>
      <c r="D1946" s="604"/>
      <c r="E1946" s="604" t="s">
        <v>457</v>
      </c>
      <c r="F1946" s="604"/>
      <c r="G1946" s="403" t="str">
        <f t="shared" si="662"/>
        <v/>
      </c>
      <c r="H1946" s="403" t="s">
        <v>4325</v>
      </c>
      <c r="I1946" s="4"/>
      <c r="J1946" s="154" t="s">
        <v>457</v>
      </c>
      <c r="K1946" s="136"/>
      <c r="L1946" s="742" t="s">
        <v>3556</v>
      </c>
      <c r="M1946" s="85"/>
      <c r="N1946" s="4"/>
      <c r="O1946" s="85"/>
      <c r="P1946" t="b">
        <v>0</v>
      </c>
      <c r="Q1946" t="b">
        <v>1</v>
      </c>
      <c r="R1946" t="b">
        <v>0</v>
      </c>
      <c r="S1946" t="b">
        <f>IF(AY1847=INDEX(ddSingleOrMulti,2),TRUE,FALSE)</f>
        <v>0</v>
      </c>
      <c r="T1946" t="b">
        <f>AND(NOT(S1946),W1946=TRUE)</f>
        <v>0</v>
      </c>
      <c r="W1946" s="17"/>
      <c r="X1946" s="688"/>
      <c r="Y1946" s="891" t="str">
        <f>IF(LEN('Ch10'!X118)=0,"None",'Ch10'!X118)</f>
        <v>None</v>
      </c>
      <c r="Z1946" s="892"/>
      <c r="AC1946" t="b">
        <f>OR(AD1946:AE1946)</f>
        <v>0</v>
      </c>
      <c r="AD1946" t="b">
        <f>T1946</f>
        <v>0</v>
      </c>
      <c r="AP1946" t="str">
        <f>SUBSTITUTE(SUBSTITUTE(SUBSTITUTE("vch"&amp;$B1946&amp;$C1946&amp;$D1946&amp;$E1946&amp;$F1946,".","_"),"(","_"),")","")</f>
        <v>vch1002_2_10</v>
      </c>
      <c r="AQ1946">
        <f>W1946</f>
        <v>0</v>
      </c>
      <c r="AR1946" t="str">
        <f t="shared" si="666"/>
        <v>vnt1002_2_10</v>
      </c>
      <c r="AS1946">
        <f>X1946</f>
        <v>0</v>
      </c>
      <c r="BJ1946" s="573" t="s">
        <v>4670</v>
      </c>
    </row>
    <row r="1947" spans="1:62" x14ac:dyDescent="0.35">
      <c r="A1947" s="403">
        <v>10</v>
      </c>
      <c r="B1947" s="609">
        <v>1002.2</v>
      </c>
      <c r="C1947" s="604"/>
      <c r="D1947" s="604"/>
      <c r="E1947" s="604" t="s">
        <v>457</v>
      </c>
      <c r="F1947" s="604"/>
      <c r="G1947" s="403" t="str">
        <f t="shared" si="662"/>
        <v/>
      </c>
      <c r="H1947" s="403" t="s">
        <v>4325</v>
      </c>
      <c r="I1947" s="4"/>
      <c r="J1947" s="19"/>
      <c r="K1947" s="4"/>
      <c r="L1947" s="707"/>
      <c r="M1947" s="85"/>
      <c r="N1947" s="4"/>
      <c r="O1947" s="85"/>
      <c r="X1947" s="688"/>
      <c r="Y1947" s="891"/>
      <c r="Z1947" s="892"/>
      <c r="BJ1947" s="573" t="s">
        <v>4670</v>
      </c>
    </row>
    <row r="1948" spans="1:62" x14ac:dyDescent="0.35">
      <c r="A1948" s="403">
        <v>10</v>
      </c>
      <c r="B1948" s="609">
        <v>1002.2</v>
      </c>
      <c r="C1948" s="604"/>
      <c r="D1948" s="604"/>
      <c r="E1948" s="604" t="s">
        <v>457</v>
      </c>
      <c r="F1948" s="604"/>
      <c r="G1948" s="403" t="str">
        <f t="shared" si="662"/>
        <v/>
      </c>
      <c r="H1948" s="403" t="s">
        <v>4325</v>
      </c>
      <c r="I1948" s="4"/>
      <c r="J1948" s="148"/>
      <c r="K1948" s="155"/>
      <c r="L1948" s="709"/>
      <c r="M1948" s="85"/>
      <c r="N1948" s="4"/>
      <c r="O1948" s="85"/>
      <c r="X1948" s="688"/>
      <c r="Y1948" s="891"/>
      <c r="Z1948" s="892"/>
      <c r="BJ1948" s="573" t="s">
        <v>4670</v>
      </c>
    </row>
    <row r="1949" spans="1:62" x14ac:dyDescent="0.35">
      <c r="A1949" s="403">
        <v>10</v>
      </c>
      <c r="B1949" s="609">
        <v>1002.2</v>
      </c>
      <c r="C1949" s="604"/>
      <c r="D1949" s="604"/>
      <c r="E1949" s="604" t="s">
        <v>459</v>
      </c>
      <c r="F1949" s="604"/>
      <c r="G1949" s="403" t="str">
        <f t="shared" si="662"/>
        <v/>
      </c>
      <c r="H1949" s="403" t="s">
        <v>4325</v>
      </c>
      <c r="I1949" s="4"/>
      <c r="J1949" s="19" t="s">
        <v>459</v>
      </c>
      <c r="K1949" s="4"/>
      <c r="L1949" s="723" t="s">
        <v>3557</v>
      </c>
      <c r="M1949" s="750" t="str">
        <f ca="1">IF(R1949,"Mandatory per 902.2.1","N/A")</f>
        <v>N/A</v>
      </c>
      <c r="N1949" s="4"/>
      <c r="O1949" s="85"/>
      <c r="P1949" t="b">
        <v>0</v>
      </c>
      <c r="Q1949" t="b">
        <v>1</v>
      </c>
      <c r="R1949" s="1" t="b">
        <f ca="1">AND(S1949,OR($O$1768&gt;0,$R$1768))</f>
        <v>0</v>
      </c>
      <c r="S1949" t="b">
        <f>IF(AY1847=INDEX(ddSingleOrMulti,2),TRUE,FALSE)</f>
        <v>0</v>
      </c>
      <c r="T1949" t="b">
        <f>AND(NOT(S1949),W1949=TRUE)</f>
        <v>0</v>
      </c>
      <c r="W1949" s="17"/>
      <c r="X1949" s="688"/>
      <c r="Y1949" s="891" t="str">
        <f>IF(LEN('Ch10'!X121)=0,"None",'Ch10'!X121)</f>
        <v>None</v>
      </c>
      <c r="Z1949" s="892"/>
      <c r="AC1949" t="b">
        <f ca="1">OR(AD1949:AE1949)</f>
        <v>0</v>
      </c>
      <c r="AD1949" t="b">
        <f>T1949</f>
        <v>0</v>
      </c>
      <c r="AE1949" t="b">
        <f ca="1">AND(R1949,NOT(W1949=TRUE))</f>
        <v>0</v>
      </c>
      <c r="AF1949" t="b">
        <f ca="1">AND(AE1949,NOT(Q1949))</f>
        <v>0</v>
      </c>
      <c r="AP1949" t="str">
        <f>SUBSTITUTE(SUBSTITUTE(SUBSTITUTE("vch"&amp;$B1949&amp;$C1949&amp;$D1949&amp;$E1949&amp;$F1949,".","_"),"(","_"),")","")</f>
        <v>vch1002_2_11</v>
      </c>
      <c r="AQ1949">
        <f>W1949</f>
        <v>0</v>
      </c>
      <c r="AR1949" t="str">
        <f>SUBSTITUTE(SUBSTITUTE(SUBSTITUTE("vnt"&amp;$B1949&amp;$C1949&amp;$D1949&amp;$E1949&amp;$F1949,".","_"),"(","_"),")","")</f>
        <v>vnt1002_2_11</v>
      </c>
      <c r="AS1949">
        <f>X1949</f>
        <v>0</v>
      </c>
      <c r="BJ1949" s="573" t="s">
        <v>4670</v>
      </c>
    </row>
    <row r="1950" spans="1:62" ht="15" thickBot="1" x14ac:dyDescent="0.4">
      <c r="A1950" s="403">
        <v>10</v>
      </c>
      <c r="B1950" s="609">
        <v>1002.2</v>
      </c>
      <c r="C1950" s="604"/>
      <c r="D1950" s="604"/>
      <c r="E1950" s="604" t="s">
        <v>459</v>
      </c>
      <c r="F1950" s="604"/>
      <c r="G1950" s="403" t="str">
        <f t="shared" si="662"/>
        <v/>
      </c>
      <c r="H1950" s="403" t="s">
        <v>4325</v>
      </c>
      <c r="I1950" s="183"/>
      <c r="J1950" s="133"/>
      <c r="K1950" s="183"/>
      <c r="L1950" s="762"/>
      <c r="M1950" s="803"/>
      <c r="N1950" s="183"/>
      <c r="O1950" s="184"/>
      <c r="P1950" s="58"/>
      <c r="Q1950" s="58"/>
      <c r="R1950" s="58"/>
      <c r="S1950" s="58"/>
      <c r="T1950" s="58"/>
      <c r="U1950" s="58"/>
      <c r="V1950" s="58"/>
      <c r="W1950" s="58"/>
      <c r="X1950" s="689"/>
      <c r="Y1950" s="905"/>
      <c r="Z1950" s="895"/>
      <c r="BJ1950" s="573" t="s">
        <v>4670</v>
      </c>
    </row>
    <row r="1951" spans="1:62" ht="15" thickTop="1" x14ac:dyDescent="0.35">
      <c r="A1951" s="403">
        <v>10</v>
      </c>
      <c r="B1951" s="609">
        <v>1002.3</v>
      </c>
      <c r="C1951" s="604"/>
      <c r="D1951" s="604"/>
      <c r="E1951" s="604"/>
      <c r="F1951" s="604"/>
      <c r="G1951" s="403" t="str">
        <f>IF(N1951&gt;0,"P","")</f>
        <v/>
      </c>
      <c r="H1951" s="403" t="s">
        <v>4325</v>
      </c>
      <c r="I1951" s="33">
        <v>1002.3</v>
      </c>
      <c r="J1951" s="4"/>
      <c r="K1951" s="4"/>
      <c r="L1951" s="706" t="s">
        <v>3592</v>
      </c>
      <c r="M1951" s="690">
        <v>1</v>
      </c>
      <c r="N1951" s="694">
        <f>'Ch10'!O123</f>
        <v>0</v>
      </c>
      <c r="O1951" s="802">
        <f>IF(AND(W1955=TRUE,COUNTIF(W1957:W1976,TRUE)&gt;3,S1955),ROUNDDOWN(COUNTIF(W1957:W1976,TRUE)/2,0),0)</f>
        <v>0</v>
      </c>
      <c r="Z1951" s="543"/>
      <c r="AL1951" t="str">
        <f t="shared" ref="AL1951" si="667">SUBSTITUTE(SUBSTITUTE(SUBSTITUTE("vpa"&amp;$B1951&amp;$C1951&amp;$D1951&amp;$E1951&amp;$F1951,".","_"),"(","_"),")","")</f>
        <v>vpa1002_3</v>
      </c>
      <c r="AM1951">
        <f>M1951</f>
        <v>1</v>
      </c>
      <c r="AN1951" t="str">
        <f>SUBSTITUTE(SUBSTITUTE(SUBSTITUTE("vpc"&amp;$B1951&amp;$C1951&amp;$D1951&amp;$E1951&amp;$F1951,".","_"),"(","_"),")","")</f>
        <v>vpc1002_3</v>
      </c>
      <c r="AO1951">
        <f>O1951</f>
        <v>0</v>
      </c>
      <c r="BJ1951" s="573" t="s">
        <v>4670</v>
      </c>
    </row>
    <row r="1952" spans="1:62" x14ac:dyDescent="0.35">
      <c r="A1952" s="403">
        <v>10</v>
      </c>
      <c r="B1952" s="609">
        <v>1002.3</v>
      </c>
      <c r="C1952" s="604"/>
      <c r="D1952" s="604"/>
      <c r="E1952" s="604"/>
      <c r="F1952" s="604"/>
      <c r="G1952" s="403" t="str">
        <f t="shared" ref="G1952:G1976" si="668">G1951</f>
        <v/>
      </c>
      <c r="H1952" s="403" t="s">
        <v>4325</v>
      </c>
      <c r="I1952" s="4"/>
      <c r="J1952" s="4"/>
      <c r="K1952" s="4"/>
      <c r="L1952" s="706"/>
      <c r="M1952" s="690"/>
      <c r="N1952" s="696"/>
      <c r="O1952" s="802"/>
      <c r="Z1952" s="543"/>
      <c r="BJ1952" s="573" t="s">
        <v>4670</v>
      </c>
    </row>
    <row r="1953" spans="1:62" x14ac:dyDescent="0.35">
      <c r="A1953" s="403">
        <v>10</v>
      </c>
      <c r="B1953" s="609">
        <v>1002.3</v>
      </c>
      <c r="C1953" s="604"/>
      <c r="D1953" s="604"/>
      <c r="E1953" s="604"/>
      <c r="F1953" s="604"/>
      <c r="G1953" s="403" t="str">
        <f t="shared" si="668"/>
        <v/>
      </c>
      <c r="H1953" s="403" t="s">
        <v>4325</v>
      </c>
      <c r="I1953" s="4"/>
      <c r="J1953" s="4"/>
      <c r="K1953" s="4"/>
      <c r="L1953" s="706"/>
      <c r="M1953" s="690"/>
      <c r="N1953" s="696"/>
      <c r="O1953" s="802"/>
      <c r="Z1953" s="543"/>
      <c r="BJ1953" s="573" t="s">
        <v>4670</v>
      </c>
    </row>
    <row r="1954" spans="1:62" x14ac:dyDescent="0.35">
      <c r="A1954" s="403">
        <v>10</v>
      </c>
      <c r="B1954" s="609">
        <v>1002.3</v>
      </c>
      <c r="C1954" s="604"/>
      <c r="D1954" s="604"/>
      <c r="E1954" s="604"/>
      <c r="F1954" s="604"/>
      <c r="G1954" s="403" t="str">
        <f t="shared" si="668"/>
        <v/>
      </c>
      <c r="H1954" s="403" t="s">
        <v>4325</v>
      </c>
      <c r="I1954" s="4"/>
      <c r="J1954" s="4"/>
      <c r="K1954" s="4"/>
      <c r="L1954" s="171" t="s">
        <v>3588</v>
      </c>
      <c r="M1954" s="690"/>
      <c r="N1954" s="696"/>
      <c r="O1954" s="802"/>
      <c r="Z1954" s="543"/>
      <c r="BJ1954" s="573" t="s">
        <v>4670</v>
      </c>
    </row>
    <row r="1955" spans="1:62" x14ac:dyDescent="0.35">
      <c r="A1955" s="403">
        <v>10</v>
      </c>
      <c r="B1955" s="609">
        <v>1002.3</v>
      </c>
      <c r="C1955" s="604"/>
      <c r="D1955" s="604"/>
      <c r="E1955" s="604" t="s">
        <v>270</v>
      </c>
      <c r="F1955" s="604"/>
      <c r="G1955" s="403" t="str">
        <f t="shared" si="668"/>
        <v/>
      </c>
      <c r="H1955" s="403" t="s">
        <v>4325</v>
      </c>
      <c r="I1955" s="4"/>
      <c r="J1955" s="19" t="s">
        <v>270</v>
      </c>
      <c r="K1955" s="4"/>
      <c r="L1955" s="707" t="s">
        <v>3558</v>
      </c>
      <c r="M1955" s="740" t="str">
        <f>IF(R1955,"Mandatory","N/A")</f>
        <v>N/A</v>
      </c>
      <c r="N1955" s="4"/>
      <c r="O1955" s="85"/>
      <c r="P1955" t="b">
        <v>0</v>
      </c>
      <c r="Q1955" t="b">
        <v>1</v>
      </c>
      <c r="R1955" t="b">
        <f>S1955</f>
        <v>0</v>
      </c>
      <c r="S1955" t="b">
        <f>IF(AY1847=INDEX(ddSingleOrMulti,2),TRUE,FALSE)</f>
        <v>0</v>
      </c>
      <c r="T1955" t="b">
        <f>AND(NOT(S1955),W1955=TRUE)</f>
        <v>0</v>
      </c>
      <c r="W1955" s="17"/>
      <c r="X1955" s="688"/>
      <c r="Y1955" s="891" t="str">
        <f>IF(LEN('Ch10'!X127)=0,"None",'Ch10'!X127)</f>
        <v>None</v>
      </c>
      <c r="Z1955" s="892"/>
      <c r="AC1955" t="b">
        <f>OR(AD1955:AE1955)</f>
        <v>0</v>
      </c>
      <c r="AD1955" t="b">
        <f>T1955</f>
        <v>0</v>
      </c>
      <c r="AE1955" t="b">
        <f>AND(R1955,O1951&lt;1)</f>
        <v>0</v>
      </c>
      <c r="AF1955" t="b">
        <f>AND(AE1955,NOT(Q1955))</f>
        <v>0</v>
      </c>
      <c r="AL1955" t="str">
        <f t="shared" ref="AL1955" si="669">SUBSTITUTE(SUBSTITUTE(SUBSTITUTE("vpa"&amp;$B1955&amp;$C1955&amp;$D1955&amp;$E1955&amp;$F1955,".","_"),"(","_"),")","")</f>
        <v>vpa1002_3_1</v>
      </c>
      <c r="AM1955" t="str">
        <f>M1955</f>
        <v>N/A</v>
      </c>
      <c r="AP1955" t="str">
        <f>SUBSTITUTE(SUBSTITUTE(SUBSTITUTE("vch"&amp;$B1955&amp;$C1955&amp;$D1955&amp;$E1955&amp;$F1955,".","_"),"(","_"),")","")</f>
        <v>vch1002_3_1</v>
      </c>
      <c r="AQ1955">
        <f>W1955</f>
        <v>0</v>
      </c>
      <c r="AR1955" t="str">
        <f>SUBSTITUTE(SUBSTITUTE(SUBSTITUTE("vnt"&amp;$B1955&amp;$C1955&amp;$D1955&amp;$E1955&amp;$F1955,".","_"),"(","_"),")","")</f>
        <v>vnt1002_3_1</v>
      </c>
      <c r="AS1955">
        <f>X1955</f>
        <v>0</v>
      </c>
      <c r="BJ1955" s="573" t="s">
        <v>4670</v>
      </c>
    </row>
    <row r="1956" spans="1:62" x14ac:dyDescent="0.35">
      <c r="A1956" s="403">
        <v>10</v>
      </c>
      <c r="B1956" s="609">
        <v>1002.3</v>
      </c>
      <c r="C1956" s="604"/>
      <c r="D1956" s="604"/>
      <c r="E1956" s="604" t="s">
        <v>270</v>
      </c>
      <c r="F1956" s="604"/>
      <c r="G1956" s="403" t="str">
        <f t="shared" si="668"/>
        <v/>
      </c>
      <c r="H1956" s="403" t="s">
        <v>4325</v>
      </c>
      <c r="I1956" s="4"/>
      <c r="J1956" s="148"/>
      <c r="K1956" s="155"/>
      <c r="L1956" s="709"/>
      <c r="M1956" s="741" t="str">
        <f>IF(R1956,"Mandatory","N/A")</f>
        <v>N/A</v>
      </c>
      <c r="N1956" s="4"/>
      <c r="O1956" s="85"/>
      <c r="X1956" s="688"/>
      <c r="Y1956" s="891"/>
      <c r="Z1956" s="892"/>
      <c r="BJ1956" s="573" t="s">
        <v>4670</v>
      </c>
    </row>
    <row r="1957" spans="1:62" x14ac:dyDescent="0.35">
      <c r="A1957" s="403">
        <v>10</v>
      </c>
      <c r="B1957" s="609">
        <v>1002.3</v>
      </c>
      <c r="C1957" s="604"/>
      <c r="D1957" s="604"/>
      <c r="E1957" s="604" t="s">
        <v>272</v>
      </c>
      <c r="F1957" s="604"/>
      <c r="G1957" s="403" t="str">
        <f t="shared" si="668"/>
        <v/>
      </c>
      <c r="H1957" s="403" t="s">
        <v>4325</v>
      </c>
      <c r="I1957" s="4"/>
      <c r="J1957" s="154" t="s">
        <v>272</v>
      </c>
      <c r="K1957" s="136"/>
      <c r="L1957" s="742" t="s">
        <v>3510</v>
      </c>
      <c r="M1957" s="85"/>
      <c r="N1957" s="4"/>
      <c r="O1957" s="85"/>
      <c r="P1957" t="b">
        <v>0</v>
      </c>
      <c r="Q1957" t="b">
        <v>1</v>
      </c>
      <c r="R1957" t="b">
        <v>0</v>
      </c>
      <c r="S1957" t="b">
        <f>IF(AY1847=INDEX(ddSingleOrMulti,2),TRUE,FALSE)</f>
        <v>0</v>
      </c>
      <c r="T1957" t="b">
        <f>AND(NOT(S1957),W1957=TRUE)</f>
        <v>0</v>
      </c>
      <c r="W1957" s="17"/>
      <c r="X1957" s="688"/>
      <c r="Y1957" s="891" t="str">
        <f>IF(LEN('Ch10'!X129)=0,"None",'Ch10'!X129)</f>
        <v>None</v>
      </c>
      <c r="Z1957" s="892"/>
      <c r="AC1957" t="b">
        <f>OR(AD1957:AE1957)</f>
        <v>0</v>
      </c>
      <c r="AD1957" t="b">
        <f>T1957</f>
        <v>0</v>
      </c>
      <c r="AP1957" t="str">
        <f>SUBSTITUTE(SUBSTITUTE(SUBSTITUTE("vch"&amp;$B1957&amp;$C1957&amp;$D1957&amp;$E1957&amp;$F1957,".","_"),"(","_"),")","")</f>
        <v>vch1002_3_2</v>
      </c>
      <c r="AQ1957">
        <f>W1957</f>
        <v>0</v>
      </c>
      <c r="AR1957" t="str">
        <f>SUBSTITUTE(SUBSTITUTE(SUBSTITUTE("vnt"&amp;$B1957&amp;$C1957&amp;$D1957&amp;$E1957&amp;$F1957,".","_"),"(","_"),")","")</f>
        <v>vnt1002_3_2</v>
      </c>
      <c r="AS1957">
        <f>X1957</f>
        <v>0</v>
      </c>
      <c r="BJ1957" s="573" t="s">
        <v>4670</v>
      </c>
    </row>
    <row r="1958" spans="1:62" x14ac:dyDescent="0.35">
      <c r="A1958" s="403">
        <v>10</v>
      </c>
      <c r="B1958" s="609">
        <v>1002.3</v>
      </c>
      <c r="C1958" s="604"/>
      <c r="D1958" s="604"/>
      <c r="E1958" s="604" t="s">
        <v>272</v>
      </c>
      <c r="F1958" s="604"/>
      <c r="G1958" s="403" t="str">
        <f t="shared" si="668"/>
        <v/>
      </c>
      <c r="H1958" s="403" t="s">
        <v>4325</v>
      </c>
      <c r="I1958" s="4"/>
      <c r="J1958" s="4"/>
      <c r="K1958" s="4"/>
      <c r="L1958" s="707"/>
      <c r="M1958" s="85"/>
      <c r="N1958" s="4"/>
      <c r="O1958" s="85"/>
      <c r="X1958" s="688"/>
      <c r="Y1958" s="891"/>
      <c r="Z1958" s="892"/>
      <c r="BJ1958" s="573" t="s">
        <v>4670</v>
      </c>
    </row>
    <row r="1959" spans="1:62" x14ac:dyDescent="0.35">
      <c r="A1959" s="403">
        <v>10</v>
      </c>
      <c r="B1959" s="609">
        <v>1002.3</v>
      </c>
      <c r="C1959" s="604"/>
      <c r="D1959" s="604"/>
      <c r="E1959" s="604" t="s">
        <v>272</v>
      </c>
      <c r="F1959" s="604"/>
      <c r="G1959" s="403" t="str">
        <f t="shared" si="668"/>
        <v/>
      </c>
      <c r="H1959" s="403" t="s">
        <v>4325</v>
      </c>
      <c r="I1959" s="4"/>
      <c r="J1959" s="4"/>
      <c r="K1959" s="4"/>
      <c r="L1959" s="707"/>
      <c r="M1959" s="85"/>
      <c r="N1959" s="4"/>
      <c r="O1959" s="85"/>
      <c r="X1959" s="688"/>
      <c r="Y1959" s="891"/>
      <c r="Z1959" s="892"/>
      <c r="BJ1959" s="573" t="s">
        <v>4670</v>
      </c>
    </row>
    <row r="1960" spans="1:62" x14ac:dyDescent="0.35">
      <c r="A1960" s="403">
        <v>10</v>
      </c>
      <c r="B1960" s="609">
        <v>1002.3</v>
      </c>
      <c r="C1960" s="604"/>
      <c r="D1960" s="604"/>
      <c r="E1960" s="604" t="s">
        <v>272</v>
      </c>
      <c r="F1960" s="604"/>
      <c r="G1960" s="403" t="str">
        <f t="shared" si="668"/>
        <v/>
      </c>
      <c r="H1960" s="403" t="s">
        <v>4325</v>
      </c>
      <c r="I1960" s="4"/>
      <c r="J1960" s="155"/>
      <c r="K1960" s="155"/>
      <c r="L1960" s="709"/>
      <c r="M1960" s="85"/>
      <c r="N1960" s="4"/>
      <c r="O1960" s="85"/>
      <c r="X1960" s="688"/>
      <c r="Y1960" s="891"/>
      <c r="Z1960" s="892"/>
      <c r="BJ1960" s="573" t="s">
        <v>4670</v>
      </c>
    </row>
    <row r="1961" spans="1:62" x14ac:dyDescent="0.35">
      <c r="A1961" s="403">
        <v>10</v>
      </c>
      <c r="B1961" s="609">
        <v>1002.3</v>
      </c>
      <c r="C1961" s="604"/>
      <c r="D1961" s="604"/>
      <c r="E1961" s="604" t="s">
        <v>274</v>
      </c>
      <c r="F1961" s="604"/>
      <c r="G1961" s="403" t="str">
        <f t="shared" si="668"/>
        <v/>
      </c>
      <c r="H1961" s="403" t="s">
        <v>4325</v>
      </c>
      <c r="I1961" s="4"/>
      <c r="J1961" s="154" t="s">
        <v>274</v>
      </c>
      <c r="K1961" s="136"/>
      <c r="L1961" s="190" t="s">
        <v>3559</v>
      </c>
      <c r="M1961" s="85"/>
      <c r="N1961" s="4"/>
      <c r="O1961" s="85"/>
      <c r="P1961" t="b">
        <v>0</v>
      </c>
      <c r="Q1961" t="b">
        <v>1</v>
      </c>
      <c r="R1961" t="b">
        <v>0</v>
      </c>
      <c r="S1961" t="b">
        <f>IF(AY1847=INDEX(ddSingleOrMulti,2),TRUE,FALSE)</f>
        <v>0</v>
      </c>
      <c r="T1961" t="b">
        <f>AND(NOT(S1961),W1961=TRUE)</f>
        <v>0</v>
      </c>
      <c r="W1961" s="17"/>
      <c r="X1961" s="688"/>
      <c r="Y1961" s="891" t="str">
        <f>IF(LEN('Ch10'!X133)=0,"None",'Ch10'!X133)</f>
        <v>None</v>
      </c>
      <c r="Z1961" s="892"/>
      <c r="AC1961" t="b">
        <f>OR(AD1961:AE1961)</f>
        <v>0</v>
      </c>
      <c r="AD1961" t="b">
        <f>T1961</f>
        <v>0</v>
      </c>
      <c r="AP1961" t="str">
        <f>SUBSTITUTE(SUBSTITUTE(SUBSTITUTE("vch"&amp;$B1961&amp;$C1961&amp;$D1961&amp;$E1961&amp;$F1961,".","_"),"(","_"),")","")</f>
        <v>vch1002_3_3</v>
      </c>
      <c r="AQ1961">
        <f>W1961</f>
        <v>0</v>
      </c>
      <c r="AR1961" t="str">
        <f>SUBSTITUTE(SUBSTITUTE(SUBSTITUTE("vnt"&amp;$B1961&amp;$C1961&amp;$D1961&amp;$E1961&amp;$F1961,".","_"),"(","_"),")","")</f>
        <v>vnt1002_3_3</v>
      </c>
      <c r="AS1961">
        <f>X1961</f>
        <v>0</v>
      </c>
      <c r="BJ1961" s="573" t="s">
        <v>4670</v>
      </c>
    </row>
    <row r="1962" spans="1:62" x14ac:dyDescent="0.35">
      <c r="A1962" s="403">
        <v>10</v>
      </c>
      <c r="B1962" s="609">
        <v>1002.3</v>
      </c>
      <c r="C1962" s="604"/>
      <c r="D1962" s="604"/>
      <c r="E1962" s="604" t="s">
        <v>274</v>
      </c>
      <c r="F1962" s="604" t="s">
        <v>121</v>
      </c>
      <c r="G1962" s="403" t="str">
        <f t="shared" si="668"/>
        <v/>
      </c>
      <c r="H1962" s="605" t="s">
        <v>4325</v>
      </c>
      <c r="I1962" s="4"/>
      <c r="J1962" s="4"/>
      <c r="K1962" s="19" t="s">
        <v>121</v>
      </c>
      <c r="L1962" s="169" t="s">
        <v>3560</v>
      </c>
      <c r="M1962" s="85"/>
      <c r="N1962" s="4"/>
      <c r="O1962" s="85"/>
      <c r="X1962" s="688"/>
      <c r="Y1962" s="891"/>
      <c r="Z1962" s="892"/>
      <c r="BJ1962" s="573" t="s">
        <v>4670</v>
      </c>
    </row>
    <row r="1963" spans="1:62" x14ac:dyDescent="0.35">
      <c r="A1963" s="403">
        <v>10</v>
      </c>
      <c r="B1963" s="609">
        <v>1002.3</v>
      </c>
      <c r="C1963" s="604"/>
      <c r="D1963" s="604"/>
      <c r="E1963" s="604" t="s">
        <v>274</v>
      </c>
      <c r="F1963" s="604" t="s">
        <v>122</v>
      </c>
      <c r="G1963" s="403" t="str">
        <f t="shared" si="668"/>
        <v/>
      </c>
      <c r="H1963" s="605" t="s">
        <v>4325</v>
      </c>
      <c r="I1963" s="4"/>
      <c r="J1963" s="4"/>
      <c r="K1963" s="19" t="s">
        <v>122</v>
      </c>
      <c r="L1963" s="169" t="s">
        <v>3561</v>
      </c>
      <c r="M1963" s="85"/>
      <c r="N1963" s="4"/>
      <c r="O1963" s="85"/>
      <c r="X1963" s="688"/>
      <c r="Y1963" s="891"/>
      <c r="Z1963" s="892"/>
      <c r="BJ1963" s="573" t="s">
        <v>4670</v>
      </c>
    </row>
    <row r="1964" spans="1:62" x14ac:dyDescent="0.35">
      <c r="A1964" s="403">
        <v>10</v>
      </c>
      <c r="B1964" s="609">
        <v>1002.3</v>
      </c>
      <c r="C1964" s="604"/>
      <c r="D1964" s="604"/>
      <c r="E1964" s="604" t="s">
        <v>274</v>
      </c>
      <c r="F1964" s="604" t="s">
        <v>123</v>
      </c>
      <c r="G1964" s="403" t="str">
        <f t="shared" si="668"/>
        <v/>
      </c>
      <c r="H1964" s="605" t="s">
        <v>4325</v>
      </c>
      <c r="I1964" s="4"/>
      <c r="J1964" s="4"/>
      <c r="K1964" s="19" t="s">
        <v>123</v>
      </c>
      <c r="L1964" s="169" t="s">
        <v>3562</v>
      </c>
      <c r="M1964" s="85"/>
      <c r="N1964" s="4"/>
      <c r="O1964" s="85"/>
      <c r="X1964" s="688"/>
      <c r="Y1964" s="891"/>
      <c r="Z1964" s="892"/>
      <c r="BJ1964" s="573" t="s">
        <v>4670</v>
      </c>
    </row>
    <row r="1965" spans="1:62" x14ac:dyDescent="0.35">
      <c r="A1965" s="403">
        <v>10</v>
      </c>
      <c r="B1965" s="609">
        <v>1002.3</v>
      </c>
      <c r="C1965" s="604"/>
      <c r="D1965" s="604"/>
      <c r="E1965" s="604" t="s">
        <v>274</v>
      </c>
      <c r="F1965" s="604" t="s">
        <v>420</v>
      </c>
      <c r="G1965" s="403" t="str">
        <f t="shared" si="668"/>
        <v/>
      </c>
      <c r="H1965" s="605" t="s">
        <v>4325</v>
      </c>
      <c r="I1965" s="4"/>
      <c r="J1965" s="4"/>
      <c r="K1965" s="19" t="s">
        <v>420</v>
      </c>
      <c r="L1965" s="169" t="s">
        <v>3563</v>
      </c>
      <c r="M1965" s="85"/>
      <c r="N1965" s="4"/>
      <c r="O1965" s="85"/>
      <c r="X1965" s="688"/>
      <c r="Y1965" s="891"/>
      <c r="Z1965" s="892"/>
      <c r="BJ1965" s="573" t="s">
        <v>4670</v>
      </c>
    </row>
    <row r="1966" spans="1:62" x14ac:dyDescent="0.35">
      <c r="A1966" s="403">
        <v>10</v>
      </c>
      <c r="B1966" s="609">
        <v>1002.3</v>
      </c>
      <c r="C1966" s="604"/>
      <c r="D1966" s="604"/>
      <c r="E1966" s="604" t="s">
        <v>274</v>
      </c>
      <c r="F1966" s="604" t="s">
        <v>575</v>
      </c>
      <c r="G1966" s="403" t="str">
        <f t="shared" si="668"/>
        <v/>
      </c>
      <c r="H1966" s="605" t="s">
        <v>4325</v>
      </c>
      <c r="I1966" s="4"/>
      <c r="J1966" s="4"/>
      <c r="K1966" s="19" t="s">
        <v>575</v>
      </c>
      <c r="L1966" s="169" t="s">
        <v>3564</v>
      </c>
      <c r="M1966" s="85"/>
      <c r="N1966" s="4"/>
      <c r="O1966" s="85"/>
      <c r="X1966" s="688"/>
      <c r="Y1966" s="891"/>
      <c r="Z1966" s="892"/>
      <c r="BJ1966" s="573" t="s">
        <v>4670</v>
      </c>
    </row>
    <row r="1967" spans="1:62" x14ac:dyDescent="0.35">
      <c r="A1967" s="403">
        <v>10</v>
      </c>
      <c r="B1967" s="609">
        <v>1002.3</v>
      </c>
      <c r="C1967" s="604"/>
      <c r="D1967" s="604"/>
      <c r="E1967" s="604" t="s">
        <v>274</v>
      </c>
      <c r="F1967" s="604" t="s">
        <v>642</v>
      </c>
      <c r="G1967" s="403" t="str">
        <f t="shared" si="668"/>
        <v/>
      </c>
      <c r="H1967" s="605" t="s">
        <v>4325</v>
      </c>
      <c r="I1967" s="4"/>
      <c r="J1967" s="155"/>
      <c r="K1967" s="148" t="s">
        <v>642</v>
      </c>
      <c r="L1967" s="186" t="s">
        <v>3565</v>
      </c>
      <c r="M1967" s="85"/>
      <c r="N1967" s="4"/>
      <c r="O1967" s="85"/>
      <c r="X1967" s="688"/>
      <c r="Y1967" s="891"/>
      <c r="Z1967" s="892"/>
      <c r="BJ1967" s="573" t="s">
        <v>4670</v>
      </c>
    </row>
    <row r="1968" spans="1:62" x14ac:dyDescent="0.35">
      <c r="A1968" s="403">
        <v>10</v>
      </c>
      <c r="B1968" s="609">
        <v>1002.3</v>
      </c>
      <c r="C1968" s="604"/>
      <c r="D1968" s="604"/>
      <c r="E1968" s="604" t="s">
        <v>283</v>
      </c>
      <c r="F1968" s="604"/>
      <c r="G1968" s="403" t="str">
        <f t="shared" si="668"/>
        <v/>
      </c>
      <c r="H1968" s="403" t="s">
        <v>4325</v>
      </c>
      <c r="I1968" s="4"/>
      <c r="J1968" s="19" t="s">
        <v>283</v>
      </c>
      <c r="K1968" s="4"/>
      <c r="L1968" s="707" t="s">
        <v>3514</v>
      </c>
      <c r="M1968" s="85"/>
      <c r="N1968" s="4"/>
      <c r="O1968" s="85"/>
      <c r="P1968" t="b">
        <v>0</v>
      </c>
      <c r="Q1968" t="b">
        <v>1</v>
      </c>
      <c r="R1968" t="b">
        <v>0</v>
      </c>
      <c r="S1968" t="b">
        <f>IF(AY1847=INDEX(ddSingleOrMulti,2),TRUE,FALSE)</f>
        <v>0</v>
      </c>
      <c r="T1968" t="b">
        <f>AND(NOT(S1968),W1968=TRUE)</f>
        <v>0</v>
      </c>
      <c r="W1968" s="17"/>
      <c r="X1968" s="688"/>
      <c r="Y1968" s="891" t="str">
        <f>IF(LEN('Ch10'!X140)=0,"None",'Ch10'!X140)</f>
        <v>None</v>
      </c>
      <c r="Z1968" s="892"/>
      <c r="AC1968" t="b">
        <f>OR(AD1968:AE1968)</f>
        <v>0</v>
      </c>
      <c r="AD1968" t="b">
        <f>T1968</f>
        <v>0</v>
      </c>
      <c r="AP1968" t="str">
        <f>SUBSTITUTE(SUBSTITUTE(SUBSTITUTE("vch"&amp;$B1968&amp;$C1968&amp;$D1968&amp;$E1968&amp;$F1968,".","_"),"(","_"),")","")</f>
        <v>vch1002_3_4</v>
      </c>
      <c r="AQ1968">
        <f>W1968</f>
        <v>0</v>
      </c>
      <c r="AR1968" t="str">
        <f>SUBSTITUTE(SUBSTITUTE(SUBSTITUTE("vnt"&amp;$B1968&amp;$C1968&amp;$D1968&amp;$E1968&amp;$F1968,".","_"),"(","_"),")","")</f>
        <v>vnt1002_3_4</v>
      </c>
      <c r="AS1968">
        <f>X1968</f>
        <v>0</v>
      </c>
      <c r="BJ1968" s="573" t="s">
        <v>4670</v>
      </c>
    </row>
    <row r="1969" spans="1:62" x14ac:dyDescent="0.35">
      <c r="A1969" s="403">
        <v>10</v>
      </c>
      <c r="B1969" s="609">
        <v>1002.3</v>
      </c>
      <c r="C1969" s="604"/>
      <c r="D1969" s="604"/>
      <c r="E1969" s="604" t="s">
        <v>283</v>
      </c>
      <c r="F1969" s="604"/>
      <c r="G1969" s="403" t="str">
        <f t="shared" si="668"/>
        <v/>
      </c>
      <c r="H1969" s="403" t="s">
        <v>4325</v>
      </c>
      <c r="I1969" s="4"/>
      <c r="J1969" s="4"/>
      <c r="K1969" s="4"/>
      <c r="L1969" s="707"/>
      <c r="M1969" s="85"/>
      <c r="N1969" s="4"/>
      <c r="O1969" s="85"/>
      <c r="X1969" s="688"/>
      <c r="Y1969" s="891"/>
      <c r="Z1969" s="892"/>
      <c r="BJ1969" s="573" t="s">
        <v>4670</v>
      </c>
    </row>
    <row r="1970" spans="1:62" x14ac:dyDescent="0.35">
      <c r="A1970" s="403">
        <v>10</v>
      </c>
      <c r="B1970" s="609">
        <v>1002.3</v>
      </c>
      <c r="C1970" s="604"/>
      <c r="D1970" s="604"/>
      <c r="E1970" s="604" t="s">
        <v>289</v>
      </c>
      <c r="F1970" s="604"/>
      <c r="G1970" s="403" t="str">
        <f t="shared" si="668"/>
        <v/>
      </c>
      <c r="H1970" s="403" t="s">
        <v>4325</v>
      </c>
      <c r="I1970" s="4"/>
      <c r="J1970" s="150" t="s">
        <v>289</v>
      </c>
      <c r="K1970" s="187"/>
      <c r="L1970" s="188" t="s">
        <v>3516</v>
      </c>
      <c r="M1970" s="85"/>
      <c r="N1970" s="4"/>
      <c r="O1970" s="85"/>
      <c r="P1970" t="b">
        <v>0</v>
      </c>
      <c r="Q1970" t="b">
        <v>1</v>
      </c>
      <c r="R1970" t="b">
        <v>0</v>
      </c>
      <c r="S1970" t="b">
        <f>IF(AY1847=INDEX(ddSingleOrMulti,2),TRUE,FALSE)</f>
        <v>0</v>
      </c>
      <c r="T1970" t="b">
        <f>AND(NOT(S1970),W1970=TRUE)</f>
        <v>0</v>
      </c>
      <c r="W1970" s="17"/>
      <c r="X1970" s="39"/>
      <c r="Y1970" s="200" t="str">
        <f>IF(LEN('Ch10'!X142)=0,"None",'Ch10'!X142)</f>
        <v>None</v>
      </c>
      <c r="Z1970" s="563"/>
      <c r="AC1970" t="b">
        <f>OR(AD1970:AE1970)</f>
        <v>0</v>
      </c>
      <c r="AD1970" t="b">
        <f>T1970</f>
        <v>0</v>
      </c>
      <c r="AP1970" t="str">
        <f t="shared" ref="AP1970:AP1971" si="670">SUBSTITUTE(SUBSTITUTE(SUBSTITUTE("vch"&amp;$B1970&amp;$C1970&amp;$D1970&amp;$E1970&amp;$F1970,".","_"),"(","_"),")","")</f>
        <v>vch1002_3_5</v>
      </c>
      <c r="AQ1970">
        <f>W1970</f>
        <v>0</v>
      </c>
      <c r="AR1970" t="str">
        <f t="shared" ref="AR1970:AR1971" si="671">SUBSTITUTE(SUBSTITUTE(SUBSTITUTE("vnt"&amp;$B1970&amp;$C1970&amp;$D1970&amp;$E1970&amp;$F1970,".","_"),"(","_"),")","")</f>
        <v>vnt1002_3_5</v>
      </c>
      <c r="AS1970">
        <f>X1970</f>
        <v>0</v>
      </c>
      <c r="BJ1970" s="573" t="s">
        <v>4670</v>
      </c>
    </row>
    <row r="1971" spans="1:62" x14ac:dyDescent="0.35">
      <c r="A1971" s="403">
        <v>10</v>
      </c>
      <c r="B1971" s="609">
        <v>1002.3</v>
      </c>
      <c r="C1971" s="604"/>
      <c r="D1971" s="604"/>
      <c r="E1971" s="604" t="s">
        <v>291</v>
      </c>
      <c r="F1971" s="604"/>
      <c r="G1971" s="403" t="str">
        <f t="shared" si="668"/>
        <v/>
      </c>
      <c r="H1971" s="403" t="s">
        <v>4325</v>
      </c>
      <c r="I1971" s="4"/>
      <c r="J1971" s="19" t="s">
        <v>291</v>
      </c>
      <c r="K1971" s="4"/>
      <c r="L1971" s="707" t="s">
        <v>3566</v>
      </c>
      <c r="M1971" s="85"/>
      <c r="N1971" s="4"/>
      <c r="O1971" s="85"/>
      <c r="P1971" t="b">
        <v>0</v>
      </c>
      <c r="Q1971" t="b">
        <v>1</v>
      </c>
      <c r="R1971" t="b">
        <v>0</v>
      </c>
      <c r="S1971" t="b">
        <f>IF(AY1847=INDEX(ddSingleOrMulti,2),TRUE,FALSE)</f>
        <v>0</v>
      </c>
      <c r="T1971" t="b">
        <f>AND(NOT(S1971),W1971=TRUE)</f>
        <v>0</v>
      </c>
      <c r="W1971" s="17"/>
      <c r="X1971" s="688"/>
      <c r="Y1971" s="891" t="str">
        <f>IF(LEN('Ch10'!X143)=0,"None",'Ch10'!X143)</f>
        <v>None</v>
      </c>
      <c r="Z1971" s="892"/>
      <c r="AC1971" t="b">
        <f>OR(AD1971:AE1971)</f>
        <v>0</v>
      </c>
      <c r="AD1971" t="b">
        <f>T1971</f>
        <v>0</v>
      </c>
      <c r="AP1971" t="str">
        <f t="shared" si="670"/>
        <v>vch1002_3_6</v>
      </c>
      <c r="AQ1971">
        <f>W1971</f>
        <v>0</v>
      </c>
      <c r="AR1971" t="str">
        <f t="shared" si="671"/>
        <v>vnt1002_3_6</v>
      </c>
      <c r="AS1971">
        <f>X1971</f>
        <v>0</v>
      </c>
      <c r="BJ1971" s="573" t="s">
        <v>4670</v>
      </c>
    </row>
    <row r="1972" spans="1:62" x14ac:dyDescent="0.35">
      <c r="A1972" s="403">
        <v>10</v>
      </c>
      <c r="B1972" s="609">
        <v>1002.3</v>
      </c>
      <c r="C1972" s="604"/>
      <c r="D1972" s="604"/>
      <c r="E1972" s="604" t="s">
        <v>291</v>
      </c>
      <c r="F1972" s="604"/>
      <c r="G1972" s="403" t="str">
        <f t="shared" si="668"/>
        <v/>
      </c>
      <c r="H1972" s="403" t="s">
        <v>4325</v>
      </c>
      <c r="I1972" s="4"/>
      <c r="J1972" s="19"/>
      <c r="K1972" s="4"/>
      <c r="L1972" s="707"/>
      <c r="M1972" s="85"/>
      <c r="N1972" s="4"/>
      <c r="O1972" s="85"/>
      <c r="X1972" s="688"/>
      <c r="Y1972" s="891"/>
      <c r="Z1972" s="892"/>
      <c r="BJ1972" s="573" t="s">
        <v>4670</v>
      </c>
    </row>
    <row r="1973" spans="1:62" x14ac:dyDescent="0.35">
      <c r="A1973" s="403">
        <v>10</v>
      </c>
      <c r="B1973" s="609">
        <v>1002.3</v>
      </c>
      <c r="C1973" s="604"/>
      <c r="D1973" s="604"/>
      <c r="E1973" s="604" t="s">
        <v>403</v>
      </c>
      <c r="F1973" s="604"/>
      <c r="G1973" s="403" t="str">
        <f t="shared" si="668"/>
        <v/>
      </c>
      <c r="H1973" s="403" t="s">
        <v>4325</v>
      </c>
      <c r="I1973" s="4"/>
      <c r="J1973" s="150" t="s">
        <v>403</v>
      </c>
      <c r="K1973" s="187"/>
      <c r="L1973" s="188" t="s">
        <v>3522</v>
      </c>
      <c r="M1973" s="85"/>
      <c r="N1973" s="4"/>
      <c r="O1973" s="85"/>
      <c r="P1973" t="b">
        <v>0</v>
      </c>
      <c r="Q1973" t="b">
        <v>1</v>
      </c>
      <c r="R1973" t="b">
        <v>0</v>
      </c>
      <c r="S1973" t="b">
        <f>IF(AY1847=INDEX(ddSingleOrMulti,2),TRUE,FALSE)</f>
        <v>0</v>
      </c>
      <c r="T1973" t="b">
        <f>AND(NOT(S1973),W1973=TRUE)</f>
        <v>0</v>
      </c>
      <c r="W1973" s="17"/>
      <c r="X1973" s="39"/>
      <c r="Y1973" s="200" t="str">
        <f>IF(LEN('Ch10'!X145)=0,"None",'Ch10'!X145)</f>
        <v>None</v>
      </c>
      <c r="Z1973" s="563"/>
      <c r="AC1973" t="b">
        <f>OR(AD1973:AE1973)</f>
        <v>0</v>
      </c>
      <c r="AD1973" t="b">
        <f>T1973</f>
        <v>0</v>
      </c>
      <c r="AP1973" t="str">
        <f t="shared" ref="AP1973:AP1977" si="672">SUBSTITUTE(SUBSTITUTE(SUBSTITUTE("vch"&amp;$B1973&amp;$C1973&amp;$D1973&amp;$E1973&amp;$F1973,".","_"),"(","_"),")","")</f>
        <v>vch1002_3_7</v>
      </c>
      <c r="AQ1973">
        <f>W1973</f>
        <v>0</v>
      </c>
      <c r="AR1973" t="str">
        <f t="shared" ref="AR1973:AR1977" si="673">SUBSTITUTE(SUBSTITUTE(SUBSTITUTE("vnt"&amp;$B1973&amp;$C1973&amp;$D1973&amp;$E1973&amp;$F1973,".","_"),"(","_"),")","")</f>
        <v>vnt1002_3_7</v>
      </c>
      <c r="AS1973">
        <f>X1973</f>
        <v>0</v>
      </c>
      <c r="BJ1973" s="573" t="s">
        <v>4670</v>
      </c>
    </row>
    <row r="1974" spans="1:62" x14ac:dyDescent="0.35">
      <c r="A1974" s="403">
        <v>10</v>
      </c>
      <c r="B1974" s="609">
        <v>1002.3</v>
      </c>
      <c r="C1974" s="604"/>
      <c r="D1974" s="604"/>
      <c r="E1974" s="604" t="s">
        <v>453</v>
      </c>
      <c r="F1974" s="604"/>
      <c r="G1974" s="403" t="str">
        <f t="shared" si="668"/>
        <v/>
      </c>
      <c r="H1974" s="403" t="s">
        <v>4325</v>
      </c>
      <c r="I1974" s="4"/>
      <c r="J1974" s="19" t="s">
        <v>453</v>
      </c>
      <c r="K1974" s="4"/>
      <c r="L1974" s="169" t="s">
        <v>3567</v>
      </c>
      <c r="M1974" s="85"/>
      <c r="N1974" s="4"/>
      <c r="O1974" s="85"/>
      <c r="P1974" t="b">
        <v>0</v>
      </c>
      <c r="Q1974" t="b">
        <v>1</v>
      </c>
      <c r="R1974" t="b">
        <v>0</v>
      </c>
      <c r="S1974" t="b">
        <f>IF(AY1847=INDEX(ddSingleOrMulti,2),TRUE,FALSE)</f>
        <v>0</v>
      </c>
      <c r="T1974" t="b">
        <f>AND(NOT(S1974),W1974=TRUE)</f>
        <v>0</v>
      </c>
      <c r="W1974" s="17"/>
      <c r="X1974" s="39"/>
      <c r="Y1974" s="200" t="str">
        <f>IF(LEN('Ch10'!X146)=0,"None",'Ch10'!X146)</f>
        <v>None</v>
      </c>
      <c r="Z1974" s="563"/>
      <c r="AC1974" t="b">
        <f>OR(AD1974:AE1974)</f>
        <v>0</v>
      </c>
      <c r="AD1974" t="b">
        <f>T1974</f>
        <v>0</v>
      </c>
      <c r="AP1974" t="str">
        <f t="shared" si="672"/>
        <v>vch1002_3_8</v>
      </c>
      <c r="AQ1974">
        <f>W1974</f>
        <v>0</v>
      </c>
      <c r="AR1974" t="str">
        <f t="shared" si="673"/>
        <v>vnt1002_3_8</v>
      </c>
      <c r="AS1974">
        <f>X1974</f>
        <v>0</v>
      </c>
      <c r="BJ1974" s="573" t="s">
        <v>4670</v>
      </c>
    </row>
    <row r="1975" spans="1:62" x14ac:dyDescent="0.35">
      <c r="A1975" s="403">
        <v>10</v>
      </c>
      <c r="B1975" s="609">
        <v>1002.3</v>
      </c>
      <c r="C1975" s="604"/>
      <c r="D1975" s="604"/>
      <c r="E1975" s="604" t="s">
        <v>455</v>
      </c>
      <c r="F1975" s="604"/>
      <c r="G1975" s="403" t="str">
        <f t="shared" si="668"/>
        <v/>
      </c>
      <c r="H1975" s="403" t="s">
        <v>4325</v>
      </c>
      <c r="I1975" s="4"/>
      <c r="J1975" s="150" t="s">
        <v>455</v>
      </c>
      <c r="K1975" s="187"/>
      <c r="L1975" s="188" t="s">
        <v>3568</v>
      </c>
      <c r="M1975" s="85"/>
      <c r="N1975" s="4"/>
      <c r="O1975" s="85"/>
      <c r="P1975" t="b">
        <v>0</v>
      </c>
      <c r="Q1975" t="b">
        <v>1</v>
      </c>
      <c r="R1975" t="b">
        <v>0</v>
      </c>
      <c r="S1975" t="b">
        <f>IF(AY1847=INDEX(ddSingleOrMulti,2),TRUE,FALSE)</f>
        <v>0</v>
      </c>
      <c r="T1975" t="b">
        <f>AND(NOT(S1975),W1975=TRUE)</f>
        <v>0</v>
      </c>
      <c r="W1975" s="17"/>
      <c r="X1975" s="39"/>
      <c r="Y1975" s="200" t="str">
        <f>IF(LEN('Ch10'!X147)=0,"None",'Ch10'!X147)</f>
        <v>None</v>
      </c>
      <c r="Z1975" s="563"/>
      <c r="AC1975" t="b">
        <f>OR(AD1975:AE1975)</f>
        <v>0</v>
      </c>
      <c r="AD1975" t="b">
        <f>T1975</f>
        <v>0</v>
      </c>
      <c r="AP1975" t="str">
        <f t="shared" si="672"/>
        <v>vch1002_3_9</v>
      </c>
      <c r="AQ1975">
        <f>W1975</f>
        <v>0</v>
      </c>
      <c r="AR1975" t="str">
        <f t="shared" si="673"/>
        <v>vnt1002_3_9</v>
      </c>
      <c r="AS1975">
        <f>X1975</f>
        <v>0</v>
      </c>
      <c r="BJ1975" s="573" t="s">
        <v>4670</v>
      </c>
    </row>
    <row r="1976" spans="1:62" ht="15" thickBot="1" x14ac:dyDescent="0.4">
      <c r="A1976" s="403">
        <v>10</v>
      </c>
      <c r="B1976" s="609">
        <v>1002.3</v>
      </c>
      <c r="C1976" s="604"/>
      <c r="D1976" s="604"/>
      <c r="E1976" s="604" t="s">
        <v>457</v>
      </c>
      <c r="F1976" s="604"/>
      <c r="G1976" s="403" t="str">
        <f t="shared" si="668"/>
        <v/>
      </c>
      <c r="H1976" s="403" t="s">
        <v>4325</v>
      </c>
      <c r="I1976" s="183"/>
      <c r="J1976" s="133" t="s">
        <v>457</v>
      </c>
      <c r="K1976" s="183"/>
      <c r="L1976" s="185" t="s">
        <v>3569</v>
      </c>
      <c r="M1976" s="184"/>
      <c r="N1976" s="183"/>
      <c r="O1976" s="184"/>
      <c r="P1976" t="b">
        <v>0</v>
      </c>
      <c r="Q1976" t="b">
        <v>1</v>
      </c>
      <c r="R1976" s="58" t="b">
        <v>0</v>
      </c>
      <c r="S1976" s="58" t="b">
        <f>IF(AY1847=INDEX(ddSingleOrMulti,2),TRUE,FALSE)</f>
        <v>0</v>
      </c>
      <c r="T1976" s="58" t="b">
        <f>AND(NOT(S1976),W1976=TRUE)</f>
        <v>0</v>
      </c>
      <c r="U1976" s="58"/>
      <c r="V1976" s="58"/>
      <c r="W1976" s="59"/>
      <c r="X1976" s="113"/>
      <c r="Y1976" s="201" t="str">
        <f>IF(LEN('Ch10'!X148)=0,"None",'Ch10'!X148)</f>
        <v>None</v>
      </c>
      <c r="Z1976" s="567"/>
      <c r="AC1976" t="b">
        <f>OR(AD1976:AE1976)</f>
        <v>0</v>
      </c>
      <c r="AD1976" t="b">
        <f>T1976</f>
        <v>0</v>
      </c>
      <c r="AP1976" t="str">
        <f t="shared" si="672"/>
        <v>vch1002_3_10</v>
      </c>
      <c r="AQ1976">
        <f>W1976</f>
        <v>0</v>
      </c>
      <c r="AR1976" t="str">
        <f t="shared" si="673"/>
        <v>vnt1002_3_10</v>
      </c>
      <c r="AS1976">
        <f>X1976</f>
        <v>0</v>
      </c>
      <c r="BJ1976" s="573" t="s">
        <v>4670</v>
      </c>
    </row>
    <row r="1977" spans="1:62" ht="15" thickTop="1" x14ac:dyDescent="0.35">
      <c r="A1977" s="403">
        <v>10</v>
      </c>
      <c r="B1977" s="609">
        <v>1002.4</v>
      </c>
      <c r="C1977" s="604"/>
      <c r="D1977" s="604"/>
      <c r="E1977" s="604"/>
      <c r="F1977" s="604"/>
      <c r="G1977" s="403" t="str">
        <f>IF(M1977="Mandatory","P","")</f>
        <v/>
      </c>
      <c r="H1977" s="403" t="s">
        <v>4325</v>
      </c>
      <c r="I1977" s="33">
        <v>1002.4</v>
      </c>
      <c r="J1977" s="4"/>
      <c r="K1977" s="4"/>
      <c r="L1977" s="706" t="s">
        <v>3570</v>
      </c>
      <c r="M1977" s="740" t="str">
        <f>IF(R1977,"Mandatory","N/A")</f>
        <v>N/A</v>
      </c>
      <c r="N1977" s="4"/>
      <c r="O1977" s="85"/>
      <c r="P1977" t="b">
        <v>0</v>
      </c>
      <c r="Q1977" t="b">
        <v>1</v>
      </c>
      <c r="R1977" t="b">
        <f>S1977</f>
        <v>0</v>
      </c>
      <c r="S1977" t="b">
        <f>IF(AY1847=INDEX(ddSingleOrMulti,2),TRUE,FALSE)</f>
        <v>0</v>
      </c>
      <c r="T1977" t="b">
        <f>AND(NOT(S1977),W1977=TRUE)</f>
        <v>0</v>
      </c>
      <c r="W1977" s="77"/>
      <c r="X1977" s="700"/>
      <c r="Y1977" s="904" t="str">
        <f>IF(LEN('Ch10'!X149)=0,"None",'Ch10'!X149)</f>
        <v>None</v>
      </c>
      <c r="Z1977" s="896"/>
      <c r="AC1977" t="b">
        <f>OR(AD1977:AE1977)</f>
        <v>0</v>
      </c>
      <c r="AD1977" t="b">
        <f>T1977</f>
        <v>0</v>
      </c>
      <c r="AE1977" t="b">
        <f>AND(R1977,NOT(W1977=TRUE))</f>
        <v>0</v>
      </c>
      <c r="AF1977" t="b">
        <f>AND(AE1977,NOT(Q1977))</f>
        <v>0</v>
      </c>
      <c r="AL1977" t="str">
        <f t="shared" ref="AL1977" si="674">SUBSTITUTE(SUBSTITUTE(SUBSTITUTE("vpa"&amp;$B1977&amp;$C1977&amp;$D1977&amp;$E1977&amp;$F1977,".","_"),"(","_"),")","")</f>
        <v>vpa1002_4</v>
      </c>
      <c r="AM1977" t="str">
        <f>M1977</f>
        <v>N/A</v>
      </c>
      <c r="AP1977" t="str">
        <f t="shared" si="672"/>
        <v>vch1002_4</v>
      </c>
      <c r="AQ1977">
        <f>W1977</f>
        <v>0</v>
      </c>
      <c r="AR1977" t="str">
        <f t="shared" si="673"/>
        <v>vnt1002_4</v>
      </c>
      <c r="AS1977">
        <f>X1977</f>
        <v>0</v>
      </c>
      <c r="BJ1977" s="573" t="s">
        <v>4670</v>
      </c>
    </row>
    <row r="1978" spans="1:62" x14ac:dyDescent="0.35">
      <c r="A1978" s="403">
        <v>10</v>
      </c>
      <c r="B1978" s="609">
        <v>1002.4</v>
      </c>
      <c r="C1978" s="604"/>
      <c r="D1978" s="604"/>
      <c r="E1978" s="604"/>
      <c r="F1978" s="604"/>
      <c r="G1978" s="403" t="str">
        <f t="shared" ref="G1978:G1988" si="675">G1977</f>
        <v/>
      </c>
      <c r="H1978" s="403" t="s">
        <v>4325</v>
      </c>
      <c r="I1978" s="4"/>
      <c r="J1978" s="4"/>
      <c r="K1978" s="4"/>
      <c r="L1978" s="706"/>
      <c r="M1978" s="740" t="str">
        <f>IF(R1978,"Mandatory","N/A")</f>
        <v>N/A</v>
      </c>
      <c r="N1978" s="4"/>
      <c r="O1978" s="85"/>
      <c r="X1978" s="688"/>
      <c r="Y1978" s="891"/>
      <c r="Z1978" s="892"/>
      <c r="BJ1978" s="573" t="s">
        <v>4670</v>
      </c>
    </row>
    <row r="1979" spans="1:62" x14ac:dyDescent="0.35">
      <c r="A1979" s="403">
        <v>10</v>
      </c>
      <c r="B1979" s="609">
        <v>1002.4</v>
      </c>
      <c r="C1979" s="604"/>
      <c r="D1979" s="604"/>
      <c r="E1979" s="604"/>
      <c r="F1979" s="604"/>
      <c r="G1979" s="403" t="str">
        <f t="shared" si="675"/>
        <v/>
      </c>
      <c r="H1979" s="403" t="s">
        <v>4325</v>
      </c>
      <c r="I1979" s="4"/>
      <c r="J1979" s="4"/>
      <c r="K1979" s="4"/>
      <c r="L1979" s="706"/>
      <c r="M1979" s="740" t="str">
        <f>IF(R1979,"Mandatory","N/A")</f>
        <v>N/A</v>
      </c>
      <c r="N1979" s="4"/>
      <c r="O1979" s="85"/>
      <c r="X1979" s="688"/>
      <c r="Y1979" s="891"/>
      <c r="Z1979" s="892"/>
      <c r="BJ1979" s="573" t="s">
        <v>4670</v>
      </c>
    </row>
    <row r="1980" spans="1:62" x14ac:dyDescent="0.35">
      <c r="A1980" s="403">
        <v>10</v>
      </c>
      <c r="B1980" s="609">
        <v>1002.4</v>
      </c>
      <c r="C1980" s="604"/>
      <c r="D1980" s="604"/>
      <c r="E1980" s="604"/>
      <c r="F1980" s="604"/>
      <c r="G1980" s="403" t="str">
        <f t="shared" si="675"/>
        <v/>
      </c>
      <c r="H1980" s="403" t="s">
        <v>4325</v>
      </c>
      <c r="I1980" s="4"/>
      <c r="J1980" s="4"/>
      <c r="K1980" s="4"/>
      <c r="L1980" s="706"/>
      <c r="M1980" s="740" t="str">
        <f>IF(R1980,"Mandatory","N/A")</f>
        <v>N/A</v>
      </c>
      <c r="N1980" s="4"/>
      <c r="O1980" s="85"/>
      <c r="X1980" s="688"/>
      <c r="Y1980" s="891"/>
      <c r="Z1980" s="892"/>
      <c r="BJ1980" s="573" t="s">
        <v>4670</v>
      </c>
    </row>
    <row r="1981" spans="1:62" x14ac:dyDescent="0.35">
      <c r="A1981" s="403">
        <v>10</v>
      </c>
      <c r="B1981" s="609">
        <v>1002.4</v>
      </c>
      <c r="C1981" s="604"/>
      <c r="D1981" s="604"/>
      <c r="E1981" s="604"/>
      <c r="F1981" s="604"/>
      <c r="G1981" s="403" t="str">
        <f t="shared" si="675"/>
        <v/>
      </c>
      <c r="H1981" s="403" t="s">
        <v>4325</v>
      </c>
      <c r="I1981" s="4"/>
      <c r="J1981" s="4"/>
      <c r="K1981" s="4"/>
      <c r="L1981" s="706"/>
      <c r="M1981" s="740" t="str">
        <f>IF(R1981,"Mandatory","N/A")</f>
        <v>N/A</v>
      </c>
      <c r="N1981" s="4"/>
      <c r="O1981" s="85"/>
      <c r="X1981" s="688"/>
      <c r="Y1981" s="891"/>
      <c r="Z1981" s="892"/>
      <c r="BJ1981" s="573" t="s">
        <v>4670</v>
      </c>
    </row>
    <row r="1982" spans="1:62" x14ac:dyDescent="0.35">
      <c r="A1982" s="403">
        <v>10</v>
      </c>
      <c r="B1982" s="609">
        <v>1002.4</v>
      </c>
      <c r="C1982" s="604"/>
      <c r="D1982" s="604"/>
      <c r="E1982" s="604" t="s">
        <v>270</v>
      </c>
      <c r="F1982" s="604"/>
      <c r="G1982" s="403" t="str">
        <f t="shared" si="675"/>
        <v/>
      </c>
      <c r="H1982" s="403" t="s">
        <v>4325</v>
      </c>
      <c r="I1982" s="4"/>
      <c r="J1982" s="19" t="s">
        <v>270</v>
      </c>
      <c r="K1982" s="4"/>
      <c r="L1982" s="169" t="s">
        <v>3560</v>
      </c>
      <c r="M1982" s="85"/>
      <c r="N1982" s="4"/>
      <c r="O1982" s="85"/>
      <c r="X1982" s="688"/>
      <c r="Y1982" s="891"/>
      <c r="Z1982" s="892"/>
      <c r="BJ1982" s="573" t="s">
        <v>4670</v>
      </c>
    </row>
    <row r="1983" spans="1:62" x14ac:dyDescent="0.35">
      <c r="A1983" s="403">
        <v>10</v>
      </c>
      <c r="B1983" s="609">
        <v>1002.4</v>
      </c>
      <c r="C1983" s="604"/>
      <c r="D1983" s="604"/>
      <c r="E1983" s="604" t="s">
        <v>272</v>
      </c>
      <c r="F1983" s="604"/>
      <c r="G1983" s="403" t="str">
        <f t="shared" si="675"/>
        <v/>
      </c>
      <c r="H1983" s="403" t="s">
        <v>4325</v>
      </c>
      <c r="I1983" s="4"/>
      <c r="J1983" s="19" t="s">
        <v>272</v>
      </c>
      <c r="K1983" s="4"/>
      <c r="L1983" s="169" t="s">
        <v>3561</v>
      </c>
      <c r="M1983" s="85"/>
      <c r="N1983" s="4"/>
      <c r="O1983" s="85"/>
      <c r="X1983" s="688"/>
      <c r="Y1983" s="891"/>
      <c r="Z1983" s="892"/>
      <c r="BJ1983" s="573" t="s">
        <v>4670</v>
      </c>
    </row>
    <row r="1984" spans="1:62" x14ac:dyDescent="0.35">
      <c r="A1984" s="403">
        <v>10</v>
      </c>
      <c r="B1984" s="609">
        <v>1002.4</v>
      </c>
      <c r="C1984" s="604"/>
      <c r="D1984" s="604"/>
      <c r="E1984" s="604" t="s">
        <v>274</v>
      </c>
      <c r="F1984" s="604"/>
      <c r="G1984" s="403" t="str">
        <f t="shared" si="675"/>
        <v/>
      </c>
      <c r="H1984" s="403" t="s">
        <v>4325</v>
      </c>
      <c r="I1984" s="4"/>
      <c r="J1984" s="19" t="s">
        <v>274</v>
      </c>
      <c r="K1984" s="4"/>
      <c r="L1984" s="169" t="s">
        <v>3562</v>
      </c>
      <c r="M1984" s="85"/>
      <c r="N1984" s="4"/>
      <c r="O1984" s="85"/>
      <c r="X1984" s="688"/>
      <c r="Y1984" s="891"/>
      <c r="Z1984" s="892"/>
      <c r="BJ1984" s="573" t="s">
        <v>4670</v>
      </c>
    </row>
    <row r="1985" spans="1:62" x14ac:dyDescent="0.35">
      <c r="A1985" s="403">
        <v>10</v>
      </c>
      <c r="B1985" s="609">
        <v>1002.4</v>
      </c>
      <c r="C1985" s="604"/>
      <c r="D1985" s="604"/>
      <c r="E1985" s="604" t="s">
        <v>283</v>
      </c>
      <c r="F1985" s="604"/>
      <c r="G1985" s="403" t="str">
        <f t="shared" si="675"/>
        <v/>
      </c>
      <c r="H1985" s="403" t="s">
        <v>4325</v>
      </c>
      <c r="I1985" s="4"/>
      <c r="J1985" s="19" t="s">
        <v>283</v>
      </c>
      <c r="K1985" s="4"/>
      <c r="L1985" s="169" t="s">
        <v>3571</v>
      </c>
      <c r="M1985" s="85"/>
      <c r="N1985" s="4"/>
      <c r="O1985" s="85"/>
      <c r="X1985" s="688"/>
      <c r="Y1985" s="891"/>
      <c r="Z1985" s="892"/>
      <c r="BJ1985" s="573" t="s">
        <v>4670</v>
      </c>
    </row>
    <row r="1986" spans="1:62" x14ac:dyDescent="0.35">
      <c r="A1986" s="403">
        <v>10</v>
      </c>
      <c r="B1986" s="609">
        <v>1002.4</v>
      </c>
      <c r="C1986" s="604"/>
      <c r="D1986" s="604"/>
      <c r="E1986" s="604" t="s">
        <v>289</v>
      </c>
      <c r="F1986" s="604"/>
      <c r="G1986" s="403" t="str">
        <f t="shared" si="675"/>
        <v/>
      </c>
      <c r="H1986" s="403" t="s">
        <v>4325</v>
      </c>
      <c r="I1986" s="4"/>
      <c r="J1986" s="19" t="s">
        <v>289</v>
      </c>
      <c r="K1986" s="4"/>
      <c r="L1986" s="169" t="s">
        <v>3572</v>
      </c>
      <c r="M1986" s="85"/>
      <c r="N1986" s="4"/>
      <c r="O1986" s="85"/>
      <c r="X1986" s="688"/>
      <c r="Y1986" s="891"/>
      <c r="Z1986" s="892"/>
      <c r="BJ1986" s="573" t="s">
        <v>4670</v>
      </c>
    </row>
    <row r="1987" spans="1:62" x14ac:dyDescent="0.35">
      <c r="A1987" s="403">
        <v>10</v>
      </c>
      <c r="B1987" s="609">
        <v>1002.4</v>
      </c>
      <c r="C1987" s="604"/>
      <c r="D1987" s="604"/>
      <c r="E1987" s="604" t="s">
        <v>291</v>
      </c>
      <c r="F1987" s="604"/>
      <c r="G1987" s="403" t="str">
        <f t="shared" si="675"/>
        <v/>
      </c>
      <c r="H1987" s="403" t="s">
        <v>4325</v>
      </c>
      <c r="I1987" s="4"/>
      <c r="J1987" s="19" t="s">
        <v>291</v>
      </c>
      <c r="K1987" s="4"/>
      <c r="L1987" s="169" t="s">
        <v>3565</v>
      </c>
      <c r="M1987" s="85"/>
      <c r="N1987" s="4"/>
      <c r="O1987" s="85"/>
      <c r="X1987" s="688"/>
      <c r="Y1987" s="891"/>
      <c r="Z1987" s="892"/>
      <c r="BJ1987" s="573" t="s">
        <v>4670</v>
      </c>
    </row>
    <row r="1988" spans="1:62" x14ac:dyDescent="0.35">
      <c r="A1988" s="403">
        <v>10</v>
      </c>
      <c r="B1988" s="609">
        <v>1002.4</v>
      </c>
      <c r="C1988" s="604"/>
      <c r="D1988" s="604"/>
      <c r="E1988" s="604" t="s">
        <v>403</v>
      </c>
      <c r="F1988" s="604"/>
      <c r="G1988" s="403" t="str">
        <f t="shared" si="675"/>
        <v/>
      </c>
      <c r="H1988" s="403" t="s">
        <v>4325</v>
      </c>
      <c r="I1988" s="4"/>
      <c r="J1988" s="19" t="s">
        <v>403</v>
      </c>
      <c r="K1988" s="4"/>
      <c r="L1988" s="169" t="s">
        <v>3573</v>
      </c>
      <c r="M1988" s="85"/>
      <c r="N1988" s="4"/>
      <c r="O1988" s="85"/>
      <c r="X1988" s="688"/>
      <c r="Y1988" s="891"/>
      <c r="Z1988" s="892"/>
      <c r="BJ1988" s="573" t="s">
        <v>4670</v>
      </c>
    </row>
    <row r="1989" spans="1:62" ht="18.5" x14ac:dyDescent="0.45">
      <c r="A1989" s="403">
        <v>10</v>
      </c>
      <c r="B1989" s="609">
        <v>1003</v>
      </c>
      <c r="C1989" s="604"/>
      <c r="D1989" s="604"/>
      <c r="E1989" s="604"/>
      <c r="F1989" s="604"/>
      <c r="G1989" s="403" t="s">
        <v>4326</v>
      </c>
      <c r="H1989" s="403" t="s">
        <v>4323</v>
      </c>
      <c r="I1989" s="38" t="s">
        <v>3574</v>
      </c>
      <c r="J1989" s="15"/>
      <c r="K1989" s="15"/>
      <c r="L1989" s="173"/>
      <c r="M1989" s="340"/>
      <c r="N1989" s="344"/>
      <c r="O1989" s="340"/>
      <c r="P1989" s="15"/>
      <c r="Q1989" s="15"/>
      <c r="R1989" s="15"/>
      <c r="S1989" s="15"/>
      <c r="T1989" s="15"/>
      <c r="U1989" s="15"/>
      <c r="V1989" s="15"/>
      <c r="W1989" s="15"/>
      <c r="X1989" s="15"/>
      <c r="Y1989" s="15"/>
      <c r="Z1989" s="562"/>
      <c r="BJ1989" s="573" t="s">
        <v>4670</v>
      </c>
    </row>
    <row r="1990" spans="1:62" x14ac:dyDescent="0.35">
      <c r="A1990" s="403">
        <v>10</v>
      </c>
      <c r="B1990" s="609" t="s">
        <v>4357</v>
      </c>
      <c r="C1990" s="604"/>
      <c r="D1990" s="604"/>
      <c r="E1990" s="604"/>
      <c r="F1990" s="604"/>
      <c r="I1990" s="441" t="s">
        <v>4357</v>
      </c>
      <c r="J1990" s="4"/>
      <c r="K1990" s="4"/>
      <c r="L1990" s="706" t="s">
        <v>3575</v>
      </c>
      <c r="M1990" s="85"/>
      <c r="N1990" s="4"/>
      <c r="O1990" s="85"/>
      <c r="Z1990" s="543"/>
      <c r="BJ1990" s="573" t="s">
        <v>4670</v>
      </c>
    </row>
    <row r="1991" spans="1:62" x14ac:dyDescent="0.35">
      <c r="A1991" s="403">
        <v>10</v>
      </c>
      <c r="B1991" s="609" t="s">
        <v>4357</v>
      </c>
      <c r="C1991" s="604"/>
      <c r="D1991" s="604"/>
      <c r="E1991" s="604"/>
      <c r="F1991" s="604"/>
      <c r="I1991" s="109"/>
      <c r="J1991" s="4"/>
      <c r="K1991" s="4"/>
      <c r="L1991" s="706"/>
      <c r="M1991" s="85"/>
      <c r="N1991" s="4"/>
      <c r="O1991" s="85"/>
      <c r="Z1991" s="543"/>
      <c r="BJ1991" s="573" t="s">
        <v>4670</v>
      </c>
    </row>
    <row r="1992" spans="1:62" ht="15" thickBot="1" x14ac:dyDescent="0.4">
      <c r="A1992" s="403">
        <v>10</v>
      </c>
      <c r="B1992" s="609" t="s">
        <v>4357</v>
      </c>
      <c r="C1992" s="604"/>
      <c r="D1992" s="604"/>
      <c r="E1992" s="604"/>
      <c r="F1992" s="604"/>
      <c r="I1992" s="436"/>
      <c r="J1992" s="183"/>
      <c r="K1992" s="183"/>
      <c r="L1992" s="710"/>
      <c r="M1992" s="184"/>
      <c r="N1992" s="183"/>
      <c r="O1992" s="184"/>
      <c r="P1992" s="58"/>
      <c r="Q1992" s="58"/>
      <c r="R1992" s="58"/>
      <c r="S1992" s="58"/>
      <c r="T1992" s="58"/>
      <c r="U1992" s="58"/>
      <c r="V1992" s="58"/>
      <c r="W1992" s="58"/>
      <c r="X1992" s="58"/>
      <c r="Y1992" s="58"/>
      <c r="Z1992" s="566"/>
      <c r="BJ1992" s="573" t="s">
        <v>4670</v>
      </c>
    </row>
    <row r="1993" spans="1:62" ht="15" thickTop="1" x14ac:dyDescent="0.35">
      <c r="A1993" s="403">
        <v>10</v>
      </c>
      <c r="B1993" s="609">
        <v>1003.1</v>
      </c>
      <c r="C1993" s="604"/>
      <c r="D1993" s="604"/>
      <c r="E1993" s="604"/>
      <c r="F1993" s="604"/>
      <c r="G1993" s="403" t="str">
        <f>IF(N1993&gt;0,"P","")</f>
        <v>P</v>
      </c>
      <c r="H1993" s="403" t="s">
        <v>4323</v>
      </c>
      <c r="I1993" s="33">
        <v>1003.1</v>
      </c>
      <c r="J1993" s="4"/>
      <c r="K1993" s="4"/>
      <c r="L1993" s="172" t="s">
        <v>3576</v>
      </c>
      <c r="M1993" s="43" t="s">
        <v>3577</v>
      </c>
      <c r="N1993" s="85">
        <f>'Ch10'!O165</f>
        <v>1</v>
      </c>
      <c r="O1993" s="85">
        <f>MIN(2,COUNTIF(W1994:W1999,TRUE))</f>
        <v>0</v>
      </c>
      <c r="Z1993" s="543"/>
      <c r="AL1993" t="str">
        <f t="shared" ref="AL1993:AL1994" si="676">SUBSTITUTE(SUBSTITUTE(SUBSTITUTE("vpa"&amp;$B1993&amp;$C1993&amp;$D1993&amp;$E1993&amp;$F1993,".","_"),"(","_"),")","")</f>
        <v>vpa1003_1</v>
      </c>
      <c r="AM1993" t="str">
        <f>M1993</f>
        <v>2 Max</v>
      </c>
      <c r="AN1993" t="str">
        <f>SUBSTITUTE(SUBSTITUTE(SUBSTITUTE("vpc"&amp;$B1993&amp;$C1993&amp;$D1993&amp;$E1993&amp;$F1993,".","_"),"(","_"),")","")</f>
        <v>vpc1003_1</v>
      </c>
      <c r="AO1993">
        <f>O1993</f>
        <v>0</v>
      </c>
      <c r="BJ1993" s="573" t="s">
        <v>4670</v>
      </c>
    </row>
    <row r="1994" spans="1:62" x14ac:dyDescent="0.35">
      <c r="A1994" s="403">
        <v>10</v>
      </c>
      <c r="B1994" s="609">
        <v>1003.1</v>
      </c>
      <c r="C1994" s="604"/>
      <c r="D1994" s="604"/>
      <c r="E1994" s="604" t="s">
        <v>270</v>
      </c>
      <c r="F1994" s="604"/>
      <c r="G1994" s="403" t="str">
        <f t="shared" ref="G1994:G2001" si="677">G1993</f>
        <v>P</v>
      </c>
      <c r="H1994" s="403" t="s">
        <v>4324</v>
      </c>
      <c r="I1994" s="109"/>
      <c r="J1994" s="19" t="s">
        <v>270</v>
      </c>
      <c r="K1994" s="4"/>
      <c r="L1994" s="706" t="s">
        <v>3578</v>
      </c>
      <c r="M1994" s="690">
        <v>1</v>
      </c>
      <c r="N1994" s="4"/>
      <c r="O1994" s="85"/>
      <c r="P1994" t="b">
        <v>1</v>
      </c>
      <c r="Q1994" t="b">
        <v>0</v>
      </c>
      <c r="R1994" t="b">
        <v>0</v>
      </c>
      <c r="S1994" t="b">
        <v>1</v>
      </c>
      <c r="T1994" t="b">
        <v>0</v>
      </c>
      <c r="W1994" s="17"/>
      <c r="X1994" s="688"/>
      <c r="Y1994" s="891" t="str">
        <f>IF(LEN('Ch10'!X166)=0,"None",'Ch10'!X166)</f>
        <v>None</v>
      </c>
      <c r="Z1994" s="892"/>
      <c r="AL1994" t="str">
        <f t="shared" si="676"/>
        <v>vpa1003_1_1</v>
      </c>
      <c r="AM1994">
        <f>M1994</f>
        <v>1</v>
      </c>
      <c r="AP1994" t="str">
        <f>SUBSTITUTE(SUBSTITUTE(SUBSTITUTE("vch"&amp;$B1994&amp;$C1994&amp;$D1994&amp;$E1994&amp;$F1994,".","_"),"(","_"),")","")</f>
        <v>vch1003_1_1</v>
      </c>
      <c r="AQ1994">
        <f>W1994</f>
        <v>0</v>
      </c>
      <c r="AR1994" t="str">
        <f>SUBSTITUTE(SUBSTITUTE(SUBSTITUTE("vnt"&amp;$B1994&amp;$C1994&amp;$D1994&amp;$E1994&amp;$F1994,".","_"),"(","_"),")","")</f>
        <v>vnt1003_1_1</v>
      </c>
      <c r="AS1994">
        <f>X1994</f>
        <v>0</v>
      </c>
      <c r="BJ1994" s="573" t="s">
        <v>4670</v>
      </c>
    </row>
    <row r="1995" spans="1:62" x14ac:dyDescent="0.35">
      <c r="A1995" s="403">
        <v>10</v>
      </c>
      <c r="B1995" s="609">
        <v>1003.1</v>
      </c>
      <c r="C1995" s="604"/>
      <c r="D1995" s="604"/>
      <c r="E1995" s="604" t="s">
        <v>270</v>
      </c>
      <c r="F1995" s="604"/>
      <c r="G1995" s="403" t="str">
        <f t="shared" si="677"/>
        <v>P</v>
      </c>
      <c r="H1995" s="403" t="s">
        <v>4324</v>
      </c>
      <c r="I1995" s="109"/>
      <c r="J1995" s="148"/>
      <c r="K1995" s="155"/>
      <c r="L1995" s="739"/>
      <c r="M1995" s="691"/>
      <c r="N1995" s="4"/>
      <c r="O1995" s="85"/>
      <c r="X1995" s="688"/>
      <c r="Y1995" s="891"/>
      <c r="Z1995" s="892"/>
      <c r="BJ1995" s="573" t="s">
        <v>4670</v>
      </c>
    </row>
    <row r="1996" spans="1:62" x14ac:dyDescent="0.35">
      <c r="A1996" s="403">
        <v>10</v>
      </c>
      <c r="B1996" s="609">
        <v>1003.1</v>
      </c>
      <c r="C1996" s="604"/>
      <c r="D1996" s="604"/>
      <c r="E1996" s="604" t="s">
        <v>272</v>
      </c>
      <c r="F1996" s="604"/>
      <c r="G1996" s="403" t="str">
        <f t="shared" si="677"/>
        <v>P</v>
      </c>
      <c r="H1996" s="403" t="s">
        <v>4325</v>
      </c>
      <c r="I1996" s="109"/>
      <c r="J1996" s="154" t="s">
        <v>272</v>
      </c>
      <c r="K1996" s="136"/>
      <c r="L1996" s="753" t="s">
        <v>3579</v>
      </c>
      <c r="M1996" s="712">
        <v>1</v>
      </c>
      <c r="N1996" s="4"/>
      <c r="O1996" s="85"/>
      <c r="P1996" t="b">
        <v>0</v>
      </c>
      <c r="Q1996" t="b">
        <v>1</v>
      </c>
      <c r="R1996" t="b">
        <v>0</v>
      </c>
      <c r="S1996" t="b">
        <v>1</v>
      </c>
      <c r="T1996" t="b">
        <v>0</v>
      </c>
      <c r="W1996" s="17"/>
      <c r="X1996" s="688"/>
      <c r="Y1996" s="891" t="str">
        <f>IF(LEN('Ch10'!X168)=0,"None",'Ch10'!X168)</f>
        <v>None</v>
      </c>
      <c r="Z1996" s="892"/>
      <c r="AL1996" t="str">
        <f t="shared" ref="AL1996" si="678">SUBSTITUTE(SUBSTITUTE(SUBSTITUTE("vpa"&amp;$B1996&amp;$C1996&amp;$D1996&amp;$E1996&amp;$F1996,".","_"),"(","_"),")","")</f>
        <v>vpa1003_1_2</v>
      </c>
      <c r="AM1996">
        <f>M1996</f>
        <v>1</v>
      </c>
      <c r="AP1996" t="str">
        <f>SUBSTITUTE(SUBSTITUTE(SUBSTITUTE("vch"&amp;$B1996&amp;$C1996&amp;$D1996&amp;$E1996&amp;$F1996,".","_"),"(","_"),")","")</f>
        <v>vch1003_1_2</v>
      </c>
      <c r="AQ1996">
        <f>W1996</f>
        <v>0</v>
      </c>
      <c r="AR1996" t="str">
        <f>SUBSTITUTE(SUBSTITUTE(SUBSTITUTE("vnt"&amp;$B1996&amp;$C1996&amp;$D1996&amp;$E1996&amp;$F1996,".","_"),"(","_"),")","")</f>
        <v>vnt1003_1_2</v>
      </c>
      <c r="AS1996">
        <f>X1996</f>
        <v>0</v>
      </c>
      <c r="BJ1996" s="573" t="s">
        <v>4670</v>
      </c>
    </row>
    <row r="1997" spans="1:62" x14ac:dyDescent="0.35">
      <c r="A1997" s="403">
        <v>10</v>
      </c>
      <c r="B1997" s="609">
        <v>1003.1</v>
      </c>
      <c r="C1997" s="604"/>
      <c r="D1997" s="604"/>
      <c r="E1997" s="604" t="s">
        <v>272</v>
      </c>
      <c r="F1997" s="604"/>
      <c r="G1997" s="403" t="str">
        <f t="shared" si="677"/>
        <v>P</v>
      </c>
      <c r="H1997" s="403" t="s">
        <v>4325</v>
      </c>
      <c r="I1997" s="109"/>
      <c r="J1997" s="19"/>
      <c r="K1997" s="4"/>
      <c r="L1997" s="706"/>
      <c r="M1997" s="690"/>
      <c r="N1997" s="4"/>
      <c r="O1997" s="85"/>
      <c r="X1997" s="688"/>
      <c r="Y1997" s="891"/>
      <c r="Z1997" s="892"/>
      <c r="BJ1997" s="573" t="s">
        <v>4670</v>
      </c>
    </row>
    <row r="1998" spans="1:62" x14ac:dyDescent="0.35">
      <c r="A1998" s="403">
        <v>10</v>
      </c>
      <c r="B1998" s="609">
        <v>1003.1</v>
      </c>
      <c r="C1998" s="604"/>
      <c r="D1998" s="604"/>
      <c r="E1998" s="604" t="s">
        <v>272</v>
      </c>
      <c r="F1998" s="604"/>
      <c r="G1998" s="403" t="str">
        <f t="shared" si="677"/>
        <v>P</v>
      </c>
      <c r="H1998" s="403" t="s">
        <v>4325</v>
      </c>
      <c r="I1998" s="109"/>
      <c r="J1998" s="148"/>
      <c r="K1998" s="155"/>
      <c r="L1998" s="739"/>
      <c r="M1998" s="691"/>
      <c r="N1998" s="4"/>
      <c r="O1998" s="85"/>
      <c r="X1998" s="688"/>
      <c r="Y1998" s="891"/>
      <c r="Z1998" s="892"/>
      <c r="BJ1998" s="573" t="s">
        <v>4670</v>
      </c>
    </row>
    <row r="1999" spans="1:62" x14ac:dyDescent="0.35">
      <c r="A1999" s="403">
        <v>10</v>
      </c>
      <c r="B1999" s="609">
        <v>1003.1</v>
      </c>
      <c r="C1999" s="604"/>
      <c r="D1999" s="604"/>
      <c r="E1999" s="604" t="s">
        <v>274</v>
      </c>
      <c r="F1999" s="604"/>
      <c r="G1999" s="403" t="str">
        <f t="shared" si="677"/>
        <v>P</v>
      </c>
      <c r="H1999" s="403" t="s">
        <v>4324</v>
      </c>
      <c r="I1999" s="109"/>
      <c r="J1999" s="19" t="s">
        <v>274</v>
      </c>
      <c r="K1999" s="4"/>
      <c r="L1999" s="706" t="s">
        <v>3580</v>
      </c>
      <c r="M1999" s="690">
        <v>1</v>
      </c>
      <c r="N1999" s="4"/>
      <c r="O1999" s="85"/>
      <c r="P1999" t="b">
        <v>1</v>
      </c>
      <c r="Q1999" t="b">
        <v>0</v>
      </c>
      <c r="R1999" t="b">
        <v>0</v>
      </c>
      <c r="S1999" t="b">
        <v>1</v>
      </c>
      <c r="T1999" t="b">
        <v>0</v>
      </c>
      <c r="W1999" s="17"/>
      <c r="X1999" s="688"/>
      <c r="Y1999" s="891" t="str">
        <f>IF(LEN('Ch10'!X171)=0,"None",'Ch10'!X171)</f>
        <v>None</v>
      </c>
      <c r="Z1999" s="892"/>
      <c r="AL1999" t="str">
        <f t="shared" ref="AL1999" si="679">SUBSTITUTE(SUBSTITUTE(SUBSTITUTE("vpa"&amp;$B1999&amp;$C1999&amp;$D1999&amp;$E1999&amp;$F1999,".","_"),"(","_"),")","")</f>
        <v>vpa1003_1_3</v>
      </c>
      <c r="AM1999">
        <f>M1999</f>
        <v>1</v>
      </c>
      <c r="AP1999" t="str">
        <f>SUBSTITUTE(SUBSTITUTE(SUBSTITUTE("vch"&amp;$B1999&amp;$C1999&amp;$D1999&amp;$E1999&amp;$F1999,".","_"),"(","_"),")","")</f>
        <v>vch1003_1_3</v>
      </c>
      <c r="AQ1999">
        <f>W1999</f>
        <v>0</v>
      </c>
      <c r="AR1999" t="str">
        <f>SUBSTITUTE(SUBSTITUTE(SUBSTITUTE("vnt"&amp;$B1999&amp;$C1999&amp;$D1999&amp;$E1999&amp;$F1999,".","_"),"(","_"),")","")</f>
        <v>vnt1003_1_3</v>
      </c>
      <c r="AS1999">
        <f>X1999</f>
        <v>0</v>
      </c>
      <c r="BJ1999" s="573" t="s">
        <v>4670</v>
      </c>
    </row>
    <row r="2000" spans="1:62" x14ac:dyDescent="0.35">
      <c r="A2000" s="403">
        <v>10</v>
      </c>
      <c r="B2000" s="609">
        <v>1003.1</v>
      </c>
      <c r="C2000" s="604"/>
      <c r="D2000" s="604"/>
      <c r="E2000" s="604" t="s">
        <v>274</v>
      </c>
      <c r="F2000" s="604"/>
      <c r="G2000" s="403" t="str">
        <f t="shared" si="677"/>
        <v>P</v>
      </c>
      <c r="H2000" s="403" t="s">
        <v>4324</v>
      </c>
      <c r="I2000" s="109"/>
      <c r="J2000" s="4"/>
      <c r="K2000" s="4"/>
      <c r="L2000" s="706"/>
      <c r="M2000" s="690"/>
      <c r="N2000" s="4"/>
      <c r="O2000" s="85"/>
      <c r="X2000" s="688"/>
      <c r="Y2000" s="891"/>
      <c r="Z2000" s="892"/>
      <c r="BJ2000" s="573" t="s">
        <v>4670</v>
      </c>
    </row>
    <row r="2001" spans="1:62" x14ac:dyDescent="0.35">
      <c r="A2001" s="403">
        <v>10</v>
      </c>
      <c r="B2001" s="609">
        <v>1003.1</v>
      </c>
      <c r="C2001" s="604"/>
      <c r="D2001" s="604"/>
      <c r="E2001" s="604" t="s">
        <v>274</v>
      </c>
      <c r="F2001" s="604"/>
      <c r="G2001" s="403" t="str">
        <f t="shared" si="677"/>
        <v>P</v>
      </c>
      <c r="H2001" s="403" t="s">
        <v>4324</v>
      </c>
      <c r="I2001" s="109"/>
      <c r="J2001" s="4"/>
      <c r="K2001" s="4"/>
      <c r="L2001" s="706"/>
      <c r="M2001" s="690"/>
      <c r="N2001" s="4"/>
      <c r="O2001" s="85"/>
      <c r="X2001" s="688"/>
      <c r="Y2001" s="891"/>
      <c r="Z2001" s="892"/>
      <c r="BJ2001" s="573" t="s">
        <v>4670</v>
      </c>
    </row>
    <row r="2002" spans="1:62" ht="18.5" x14ac:dyDescent="0.45">
      <c r="A2002" s="403">
        <v>10</v>
      </c>
      <c r="B2002" s="609">
        <v>1004</v>
      </c>
      <c r="C2002" s="608"/>
      <c r="D2002" s="608"/>
      <c r="E2002" s="608"/>
      <c r="F2002" s="608"/>
      <c r="G2002" s="403" t="s">
        <v>4326</v>
      </c>
      <c r="H2002" s="403" t="s">
        <v>4323</v>
      </c>
      <c r="I2002" s="38" t="s">
        <v>3581</v>
      </c>
      <c r="J2002" s="15"/>
      <c r="K2002" s="15"/>
      <c r="L2002" s="173"/>
      <c r="M2002" s="340"/>
      <c r="N2002" s="344"/>
      <c r="O2002" s="340"/>
      <c r="P2002" s="15"/>
      <c r="Q2002" s="15"/>
      <c r="R2002" s="15"/>
      <c r="S2002" s="15"/>
      <c r="T2002" s="15"/>
      <c r="U2002" s="15"/>
      <c r="V2002" s="15"/>
      <c r="W2002" s="15"/>
      <c r="X2002" s="15"/>
      <c r="Y2002" s="15"/>
      <c r="Z2002" s="562"/>
      <c r="BJ2002" s="573" t="s">
        <v>4670</v>
      </c>
    </row>
    <row r="2003" spans="1:62" x14ac:dyDescent="0.35">
      <c r="A2003" s="403">
        <v>10</v>
      </c>
      <c r="B2003" s="609" t="s">
        <v>4358</v>
      </c>
      <c r="C2003" s="604"/>
      <c r="D2003" s="604"/>
      <c r="E2003" s="604"/>
      <c r="F2003" s="604"/>
      <c r="I2003" s="441" t="s">
        <v>4358</v>
      </c>
      <c r="J2003" s="4"/>
      <c r="K2003" s="4"/>
      <c r="L2003" s="706" t="s">
        <v>3582</v>
      </c>
      <c r="M2003" s="85"/>
      <c r="N2003" s="4"/>
      <c r="O2003" s="85"/>
      <c r="Z2003" s="543"/>
      <c r="BJ2003" s="573" t="s">
        <v>4670</v>
      </c>
    </row>
    <row r="2004" spans="1:62" x14ac:dyDescent="0.35">
      <c r="A2004" s="403">
        <v>10</v>
      </c>
      <c r="B2004" s="609" t="s">
        <v>4358</v>
      </c>
      <c r="C2004" s="604"/>
      <c r="D2004" s="604"/>
      <c r="E2004" s="604"/>
      <c r="F2004" s="604"/>
      <c r="I2004" s="109"/>
      <c r="J2004" s="4"/>
      <c r="K2004" s="4"/>
      <c r="L2004" s="706"/>
      <c r="M2004" s="85"/>
      <c r="N2004" s="4"/>
      <c r="O2004" s="85"/>
      <c r="Z2004" s="543"/>
      <c r="BJ2004" s="573" t="s">
        <v>4670</v>
      </c>
    </row>
    <row r="2005" spans="1:62" x14ac:dyDescent="0.35">
      <c r="A2005" s="403">
        <v>10</v>
      </c>
      <c r="B2005" s="609" t="s">
        <v>4358</v>
      </c>
      <c r="C2005" s="604"/>
      <c r="D2005" s="604"/>
      <c r="E2005" s="604"/>
      <c r="F2005" s="604"/>
      <c r="I2005" s="109"/>
      <c r="J2005" s="4"/>
      <c r="K2005" s="4"/>
      <c r="L2005" s="706"/>
      <c r="M2005" s="85"/>
      <c r="N2005" s="4"/>
      <c r="O2005" s="85"/>
      <c r="Z2005" s="543"/>
      <c r="BJ2005" s="573" t="s">
        <v>4670</v>
      </c>
    </row>
    <row r="2006" spans="1:62" ht="15" thickBot="1" x14ac:dyDescent="0.4">
      <c r="A2006" s="403">
        <v>10</v>
      </c>
      <c r="B2006" s="609" t="s">
        <v>4358</v>
      </c>
      <c r="C2006" s="604"/>
      <c r="D2006" s="604"/>
      <c r="E2006" s="604"/>
      <c r="F2006" s="604"/>
      <c r="I2006" s="436"/>
      <c r="J2006" s="183"/>
      <c r="K2006" s="183"/>
      <c r="L2006" s="710"/>
      <c r="M2006" s="184"/>
      <c r="N2006" s="183"/>
      <c r="O2006" s="184"/>
      <c r="P2006" s="58"/>
      <c r="Q2006" s="58"/>
      <c r="R2006" s="58"/>
      <c r="S2006" s="58"/>
      <c r="T2006" s="58"/>
      <c r="U2006" s="58"/>
      <c r="V2006" s="58"/>
      <c r="W2006" s="58"/>
      <c r="X2006" s="58"/>
      <c r="Y2006" s="58"/>
      <c r="Z2006" s="566"/>
      <c r="BJ2006" s="573" t="s">
        <v>4670</v>
      </c>
    </row>
    <row r="2007" spans="1:62" ht="15" thickTop="1" x14ac:dyDescent="0.35">
      <c r="A2007" s="403">
        <v>10</v>
      </c>
      <c r="B2007" s="609">
        <v>1004.1</v>
      </c>
      <c r="C2007" s="604"/>
      <c r="D2007" s="604"/>
      <c r="E2007" s="604"/>
      <c r="F2007" s="604"/>
      <c r="G2007" s="600" t="str">
        <f>IF(COUNTIF(G2012:G2014,"P")&gt;0,"P","")</f>
        <v/>
      </c>
      <c r="H2007" s="403" t="s">
        <v>4325</v>
      </c>
      <c r="I2007" s="33">
        <v>1004.1</v>
      </c>
      <c r="J2007" s="4"/>
      <c r="K2007" s="4"/>
      <c r="L2007" s="706" t="s">
        <v>3583</v>
      </c>
      <c r="M2007" s="85"/>
      <c r="N2007" s="4"/>
      <c r="O2007" s="85"/>
      <c r="Z2007" s="543"/>
      <c r="BJ2007" s="573" t="s">
        <v>4670</v>
      </c>
    </row>
    <row r="2008" spans="1:62" x14ac:dyDescent="0.35">
      <c r="A2008" s="403">
        <v>10</v>
      </c>
      <c r="B2008" s="609">
        <v>1004.1</v>
      </c>
      <c r="C2008" s="604"/>
      <c r="D2008" s="604"/>
      <c r="E2008" s="604"/>
      <c r="F2008" s="604"/>
      <c r="G2008" s="403" t="str">
        <f t="shared" ref="G2008:G2011" si="680">G2007</f>
        <v/>
      </c>
      <c r="H2008" s="403" t="s">
        <v>4325</v>
      </c>
      <c r="I2008" s="4"/>
      <c r="J2008" s="4"/>
      <c r="K2008" s="4"/>
      <c r="L2008" s="706"/>
      <c r="M2008" s="85"/>
      <c r="N2008" s="4"/>
      <c r="O2008" s="85"/>
      <c r="Z2008" s="543"/>
      <c r="BJ2008" s="573" t="s">
        <v>4670</v>
      </c>
    </row>
    <row r="2009" spans="1:62" x14ac:dyDescent="0.35">
      <c r="A2009" s="403">
        <v>10</v>
      </c>
      <c r="B2009" s="609">
        <v>1004.1</v>
      </c>
      <c r="C2009" s="604"/>
      <c r="D2009" s="604"/>
      <c r="E2009" s="604"/>
      <c r="F2009" s="604"/>
      <c r="G2009" s="403" t="str">
        <f t="shared" si="680"/>
        <v/>
      </c>
      <c r="H2009" s="403" t="s">
        <v>4325</v>
      </c>
      <c r="I2009" s="4"/>
      <c r="J2009" s="4"/>
      <c r="K2009" s="4"/>
      <c r="L2009" s="706"/>
      <c r="M2009" s="85"/>
      <c r="N2009" s="4"/>
      <c r="O2009" s="85"/>
      <c r="Z2009" s="543"/>
      <c r="BJ2009" s="573" t="s">
        <v>4670</v>
      </c>
    </row>
    <row r="2010" spans="1:62" x14ac:dyDescent="0.35">
      <c r="A2010" s="403">
        <v>10</v>
      </c>
      <c r="B2010" s="609">
        <v>1004.1</v>
      </c>
      <c r="C2010" s="604"/>
      <c r="D2010" s="604"/>
      <c r="E2010" s="604"/>
      <c r="F2010" s="604"/>
      <c r="G2010" s="403" t="str">
        <f t="shared" si="680"/>
        <v/>
      </c>
      <c r="H2010" s="403" t="s">
        <v>4325</v>
      </c>
      <c r="I2010" s="4"/>
      <c r="J2010" s="4"/>
      <c r="K2010" s="4"/>
      <c r="L2010" s="706"/>
      <c r="M2010" s="85"/>
      <c r="N2010" s="4"/>
      <c r="O2010" s="85"/>
      <c r="Z2010" s="543"/>
      <c r="BJ2010" s="573" t="s">
        <v>4670</v>
      </c>
    </row>
    <row r="2011" spans="1:62" x14ac:dyDescent="0.35">
      <c r="A2011" s="403">
        <v>10</v>
      </c>
      <c r="B2011" s="609">
        <v>1004.1</v>
      </c>
      <c r="C2011" s="604"/>
      <c r="D2011" s="604"/>
      <c r="E2011" s="604"/>
      <c r="F2011" s="604"/>
      <c r="G2011" s="403" t="str">
        <f t="shared" si="680"/>
        <v/>
      </c>
      <c r="H2011" s="403" t="s">
        <v>4325</v>
      </c>
      <c r="I2011" s="4"/>
      <c r="J2011" s="4"/>
      <c r="K2011" s="4"/>
      <c r="L2011" s="706"/>
      <c r="M2011" s="85"/>
      <c r="N2011" s="4"/>
      <c r="O2011" s="85"/>
      <c r="Z2011" s="543"/>
      <c r="BJ2011" s="573" t="s">
        <v>4670</v>
      </c>
    </row>
    <row r="2012" spans="1:62" x14ac:dyDescent="0.35">
      <c r="A2012" s="403">
        <v>10</v>
      </c>
      <c r="B2012" s="609">
        <v>1004.1</v>
      </c>
      <c r="C2012" s="604"/>
      <c r="D2012" s="604"/>
      <c r="E2012" s="604" t="s">
        <v>270</v>
      </c>
      <c r="F2012" s="604"/>
      <c r="G2012" s="403" t="str">
        <f>IF(N2012&gt;0,"P","")</f>
        <v/>
      </c>
      <c r="H2012" s="403" t="s">
        <v>4325</v>
      </c>
      <c r="I2012" s="4"/>
      <c r="J2012" s="19" t="s">
        <v>270</v>
      </c>
      <c r="K2012" s="4"/>
      <c r="L2012" s="707" t="s">
        <v>4302</v>
      </c>
      <c r="M2012" s="690">
        <v>1</v>
      </c>
      <c r="N2012" s="696">
        <f>'Ch10'!O184</f>
        <v>0</v>
      </c>
      <c r="O2012" s="696">
        <f>M2012*S2012*W2012</f>
        <v>0</v>
      </c>
      <c r="P2012" t="b">
        <v>0</v>
      </c>
      <c r="Q2012" t="b">
        <v>1</v>
      </c>
      <c r="R2012" t="b">
        <v>0</v>
      </c>
      <c r="S2012" t="b">
        <v>1</v>
      </c>
      <c r="T2012" t="b">
        <v>0</v>
      </c>
      <c r="W2012" s="17"/>
      <c r="X2012" s="688"/>
      <c r="Y2012" s="891" t="str">
        <f>IF(LEN('Ch10'!X184)=0,"None",'Ch10'!X184)</f>
        <v>None</v>
      </c>
      <c r="Z2012" s="892"/>
      <c r="AL2012" t="str">
        <f t="shared" ref="AL2012" si="681">SUBSTITUTE(SUBSTITUTE(SUBSTITUTE("vpa"&amp;$B2012&amp;$C2012&amp;$D2012&amp;$E2012&amp;$F2012,".","_"),"(","_"),")","")</f>
        <v>vpa1004_1_1</v>
      </c>
      <c r="AM2012">
        <f>M2012</f>
        <v>1</v>
      </c>
      <c r="AN2012" t="str">
        <f>SUBSTITUTE(SUBSTITUTE(SUBSTITUTE("vpc"&amp;$B2012&amp;$C2012&amp;$D2012&amp;$E2012&amp;$F2012,".","_"),"(","_"),")","")</f>
        <v>vpc1004_1_1</v>
      </c>
      <c r="AO2012">
        <f>O2012</f>
        <v>0</v>
      </c>
      <c r="AP2012" t="str">
        <f>SUBSTITUTE(SUBSTITUTE(SUBSTITUTE("vch"&amp;$B2012&amp;$C2012&amp;$D2012&amp;$E2012&amp;$F2012,".","_"),"(","_"),")","")</f>
        <v>vch1004_1_1</v>
      </c>
      <c r="AQ2012">
        <f>W2012</f>
        <v>0</v>
      </c>
      <c r="AR2012" t="str">
        <f>SUBSTITUTE(SUBSTITUTE(SUBSTITUTE("vnt"&amp;$B2012&amp;$C2012&amp;$D2012&amp;$E2012&amp;$F2012,".","_"),"(","_"),")","")</f>
        <v>vnt1004_1_1</v>
      </c>
      <c r="AS2012">
        <f>X2012</f>
        <v>0</v>
      </c>
      <c r="BJ2012" s="573" t="s">
        <v>4670</v>
      </c>
    </row>
    <row r="2013" spans="1:62" x14ac:dyDescent="0.35">
      <c r="A2013" s="403">
        <v>10</v>
      </c>
      <c r="B2013" s="609">
        <v>1004.1</v>
      </c>
      <c r="C2013" s="604"/>
      <c r="D2013" s="604"/>
      <c r="E2013" s="604" t="s">
        <v>270</v>
      </c>
      <c r="F2013" s="604"/>
      <c r="G2013" s="403" t="str">
        <f t="shared" ref="G2013" si="682">G2012</f>
        <v/>
      </c>
      <c r="H2013" s="403" t="s">
        <v>4325</v>
      </c>
      <c r="I2013" s="4"/>
      <c r="J2013" s="148"/>
      <c r="K2013" s="155"/>
      <c r="L2013" s="709"/>
      <c r="M2013" s="691"/>
      <c r="N2013" s="697"/>
      <c r="O2013" s="697"/>
      <c r="X2013" s="688"/>
      <c r="Y2013" s="891"/>
      <c r="Z2013" s="892"/>
      <c r="BJ2013" s="573" t="s">
        <v>4670</v>
      </c>
    </row>
    <row r="2014" spans="1:62" x14ac:dyDescent="0.35">
      <c r="A2014" s="403">
        <v>10</v>
      </c>
      <c r="B2014" s="609">
        <v>1004.1</v>
      </c>
      <c r="C2014" s="604"/>
      <c r="D2014" s="604"/>
      <c r="E2014" s="604" t="s">
        <v>272</v>
      </c>
      <c r="F2014" s="604"/>
      <c r="G2014" s="403" t="str">
        <f>IF(N2014&gt;0,"P","")</f>
        <v/>
      </c>
      <c r="H2014" s="403" t="s">
        <v>4325</v>
      </c>
      <c r="I2014" s="4"/>
      <c r="J2014" s="154" t="s">
        <v>272</v>
      </c>
      <c r="K2014" s="136"/>
      <c r="L2014" s="742" t="s">
        <v>3585</v>
      </c>
      <c r="M2014" s="712">
        <v>3</v>
      </c>
      <c r="N2014" s="713">
        <f>'Ch10'!O186</f>
        <v>0</v>
      </c>
      <c r="O2014" s="713">
        <f>M2014*S2014*W2014</f>
        <v>0</v>
      </c>
      <c r="P2014" t="b">
        <v>0</v>
      </c>
      <c r="Q2014" t="b">
        <v>1</v>
      </c>
      <c r="R2014" t="b">
        <v>0</v>
      </c>
      <c r="S2014" t="b">
        <v>1</v>
      </c>
      <c r="T2014" t="b">
        <v>0</v>
      </c>
      <c r="W2014" s="17"/>
      <c r="X2014" s="688"/>
      <c r="Y2014" s="891" t="str">
        <f>IF(LEN('Ch10'!X186)=0,"None",'Ch10'!X186)</f>
        <v>None</v>
      </c>
      <c r="Z2014" s="892"/>
      <c r="AL2014" t="str">
        <f t="shared" ref="AL2014" si="683">SUBSTITUTE(SUBSTITUTE(SUBSTITUTE("vpa"&amp;$B2014&amp;$C2014&amp;$D2014&amp;$E2014&amp;$F2014,".","_"),"(","_"),")","")</f>
        <v>vpa1004_1_2</v>
      </c>
      <c r="AM2014">
        <f>M2014</f>
        <v>3</v>
      </c>
      <c r="AN2014" t="str">
        <f>SUBSTITUTE(SUBSTITUTE(SUBSTITUTE("vpc"&amp;$B2014&amp;$C2014&amp;$D2014&amp;$E2014&amp;$F2014,".","_"),"(","_"),")","")</f>
        <v>vpc1004_1_2</v>
      </c>
      <c r="AO2014">
        <f>O2014</f>
        <v>0</v>
      </c>
      <c r="AP2014" t="str">
        <f>SUBSTITUTE(SUBSTITUTE(SUBSTITUTE("vch"&amp;$B2014&amp;$C2014&amp;$D2014&amp;$E2014&amp;$F2014,".","_"),"(","_"),")","")</f>
        <v>vch1004_1_2</v>
      </c>
      <c r="AQ2014">
        <f>W2014</f>
        <v>0</v>
      </c>
      <c r="AR2014" t="str">
        <f>SUBSTITUTE(SUBSTITUTE(SUBSTITUTE("vnt"&amp;$B2014&amp;$C2014&amp;$D2014&amp;$E2014&amp;$F2014,".","_"),"(","_"),")","")</f>
        <v>vnt1004_1_2</v>
      </c>
      <c r="AS2014">
        <f>X2014</f>
        <v>0</v>
      </c>
      <c r="BJ2014" s="573" t="s">
        <v>4670</v>
      </c>
    </row>
    <row r="2015" spans="1:62" x14ac:dyDescent="0.35">
      <c r="A2015" s="403">
        <v>10</v>
      </c>
      <c r="B2015" s="609">
        <v>1004.1</v>
      </c>
      <c r="C2015" s="604"/>
      <c r="D2015" s="604"/>
      <c r="E2015" s="604" t="s">
        <v>272</v>
      </c>
      <c r="F2015" s="604"/>
      <c r="G2015" s="403" t="str">
        <f t="shared" ref="G2015" si="684">G2014</f>
        <v/>
      </c>
      <c r="H2015" s="403" t="s">
        <v>4325</v>
      </c>
      <c r="I2015" s="4"/>
      <c r="J2015" s="155"/>
      <c r="K2015" s="155"/>
      <c r="L2015" s="709"/>
      <c r="M2015" s="691"/>
      <c r="N2015" s="697"/>
      <c r="O2015" s="697"/>
      <c r="X2015" s="688"/>
      <c r="Y2015" s="891"/>
      <c r="Z2015" s="892"/>
      <c r="BJ2015" s="573" t="s">
        <v>4670</v>
      </c>
    </row>
  </sheetData>
  <sheetProtection algorithmName="SHA-512" hashValue="FOZFjOCHYydvp6X2O81Fpj/ighUpd7zXk5cntO1eLUlrS4RBjhfAYgS5pivHYooyJTBaFVA1vNntQMxMy1DViA==" saltValue="a1DcFZVK4zPp5sNpaauSCg==" spinCount="100000" sheet="1" objects="1" scenarios="1" selectLockedCells="1" autoFilter="0"/>
  <autoFilter ref="A7:H2015" xr:uid="{00000000-0009-0000-0000-00000F000000}"/>
  <mergeCells count="2432">
    <mergeCell ref="Y1295:Y1297"/>
    <mergeCell ref="Z1295:Z1297"/>
    <mergeCell ref="M1295:M1297"/>
    <mergeCell ref="O1295:O1297"/>
    <mergeCell ref="N1295:N1297"/>
    <mergeCell ref="W958:W959"/>
    <mergeCell ref="N2014:N2015"/>
    <mergeCell ref="N2012:N2013"/>
    <mergeCell ref="N1951:N1954"/>
    <mergeCell ref="N1924:N1927"/>
    <mergeCell ref="N1906:N1908"/>
    <mergeCell ref="N1840:N1842"/>
    <mergeCell ref="N1835:N1836"/>
    <mergeCell ref="N1830:N1834"/>
    <mergeCell ref="N1826:N1828"/>
    <mergeCell ref="N1821:N1825"/>
    <mergeCell ref="N1813:N1814"/>
    <mergeCell ref="N1799:N1800"/>
    <mergeCell ref="N1792:N1793"/>
    <mergeCell ref="N1782:N1784"/>
    <mergeCell ref="N1779:N1781"/>
    <mergeCell ref="N1777:N1778"/>
    <mergeCell ref="N1768:N1770"/>
    <mergeCell ref="Y1935:Y1937"/>
    <mergeCell ref="Y1938:Y1939"/>
    <mergeCell ref="Y1941:Y1942"/>
    <mergeCell ref="Y1943:Y1944"/>
    <mergeCell ref="Y1946:Y1948"/>
    <mergeCell ref="Y1949:Y1950"/>
    <mergeCell ref="Y1955:Y1956"/>
    <mergeCell ref="Y1957:Y1960"/>
    <mergeCell ref="Y1961:Y1967"/>
    <mergeCell ref="Y1968:Y1969"/>
    <mergeCell ref="Y1971:Y1972"/>
    <mergeCell ref="Y1977:Y1988"/>
    <mergeCell ref="Y1994:Y1995"/>
    <mergeCell ref="Y1996:Y1998"/>
    <mergeCell ref="Y1999:Y2001"/>
    <mergeCell ref="Y2012:Y2013"/>
    <mergeCell ref="Y2014:Y2015"/>
    <mergeCell ref="Y1866:Y1869"/>
    <mergeCell ref="Y1870:Y1871"/>
    <mergeCell ref="Y1872:Y1873"/>
    <mergeCell ref="Y1875:Y1876"/>
    <mergeCell ref="Y1877:Y1878"/>
    <mergeCell ref="Y1880:Y1881"/>
    <mergeCell ref="Y1882:Y1883"/>
    <mergeCell ref="Y1884:Y1885"/>
    <mergeCell ref="Y1888:Y1898"/>
    <mergeCell ref="Y1909:Y1911"/>
    <mergeCell ref="Y1912:Y1914"/>
    <mergeCell ref="Y1915:Y1916"/>
    <mergeCell ref="Y1918:Y1919"/>
    <mergeCell ref="Y1922:Y1923"/>
    <mergeCell ref="Y1928:Y1929"/>
    <mergeCell ref="Y1930:Y1932"/>
    <mergeCell ref="Y1933:Y1934"/>
    <mergeCell ref="Y1782:Y1784"/>
    <mergeCell ref="Y1785:Y1791"/>
    <mergeCell ref="Y1794:Y1795"/>
    <mergeCell ref="Y1796:Y1798"/>
    <mergeCell ref="Y1799:Y1800"/>
    <mergeCell ref="Y1801:Y1802"/>
    <mergeCell ref="Y1805:Y1808"/>
    <mergeCell ref="Y1809:Y1812"/>
    <mergeCell ref="Y1813:Y1817"/>
    <mergeCell ref="Y1821:Y1825"/>
    <mergeCell ref="Y1826:Y1828"/>
    <mergeCell ref="Y1830:Y1834"/>
    <mergeCell ref="Y1835:Y1836"/>
    <mergeCell ref="Y1845:Y1848"/>
    <mergeCell ref="Y1851:Y1852"/>
    <mergeCell ref="Y1853:Y1854"/>
    <mergeCell ref="Y1860:Y1865"/>
    <mergeCell ref="Y1856:Y1857"/>
    <mergeCell ref="Y1720:Y1721"/>
    <mergeCell ref="Y1722:Y1725"/>
    <mergeCell ref="Y1728:Y1729"/>
    <mergeCell ref="Y1730:Y1731"/>
    <mergeCell ref="Y1736:Y1737"/>
    <mergeCell ref="Y1738:Y1739"/>
    <mergeCell ref="Y1740:Y1741"/>
    <mergeCell ref="Y1742:Y1744"/>
    <mergeCell ref="Y1745:Y1748"/>
    <mergeCell ref="Y1749:Y1752"/>
    <mergeCell ref="Y1753:Y1757"/>
    <mergeCell ref="Y1760:Y1761"/>
    <mergeCell ref="Y1762:Y1763"/>
    <mergeCell ref="Y1764:Y1766"/>
    <mergeCell ref="Y1768:Y1776"/>
    <mergeCell ref="Y1777:Y1778"/>
    <mergeCell ref="Y1779:Y1781"/>
    <mergeCell ref="Y1618:Y1623"/>
    <mergeCell ref="Y1628:Y1632"/>
    <mergeCell ref="Y1633:Y1643"/>
    <mergeCell ref="Y1647:Y1648"/>
    <mergeCell ref="Y1649:Y1651"/>
    <mergeCell ref="Y1652:Y1653"/>
    <mergeCell ref="Y1661:Y1670"/>
    <mergeCell ref="Y1671:Y1674"/>
    <mergeCell ref="Y1675:Y1680"/>
    <mergeCell ref="Y1681:Y1683"/>
    <mergeCell ref="Y1686:Y1687"/>
    <mergeCell ref="Y1689:Y1690"/>
    <mergeCell ref="Y1691:Y1695"/>
    <mergeCell ref="Y1696:Y1701"/>
    <mergeCell ref="Y1705:Y1709"/>
    <mergeCell ref="Y1711:Y1714"/>
    <mergeCell ref="Y1715:Y1719"/>
    <mergeCell ref="Y1558:Y1560"/>
    <mergeCell ref="Y1561:Y1562"/>
    <mergeCell ref="Y1563:Y1565"/>
    <mergeCell ref="Y1569:Y1574"/>
    <mergeCell ref="Y1575:Y1577"/>
    <mergeCell ref="Y1580:Y1582"/>
    <mergeCell ref="Y1583:Y1585"/>
    <mergeCell ref="Y1586:Y1589"/>
    <mergeCell ref="Y1590:Y1592"/>
    <mergeCell ref="Y1593:Y1595"/>
    <mergeCell ref="Y1599:Y1601"/>
    <mergeCell ref="Y1602:Y1603"/>
    <mergeCell ref="Y1604:Y1606"/>
    <mergeCell ref="Y1607:Y1608"/>
    <mergeCell ref="Y1609:Y1610"/>
    <mergeCell ref="Y1614:Y1615"/>
    <mergeCell ref="Y1616:Y1617"/>
    <mergeCell ref="L2012:L2013"/>
    <mergeCell ref="M2012:M2013"/>
    <mergeCell ref="O2012:O2013"/>
    <mergeCell ref="X2012:X2013"/>
    <mergeCell ref="L2014:L2015"/>
    <mergeCell ref="M2014:M2015"/>
    <mergeCell ref="O2014:O2015"/>
    <mergeCell ref="X2014:X2015"/>
    <mergeCell ref="Y1421:Y1431"/>
    <mergeCell ref="Y1432:Y1436"/>
    <mergeCell ref="Y1437:Y1439"/>
    <mergeCell ref="Y1443:Y1448"/>
    <mergeCell ref="Y1450:Y1458"/>
    <mergeCell ref="Y1459:Y1463"/>
    <mergeCell ref="Y1464:Y1465"/>
    <mergeCell ref="Y1469:Y1472"/>
    <mergeCell ref="Y1474:Y1476"/>
    <mergeCell ref="Y1479:Y1480"/>
    <mergeCell ref="Y1481:Y1486"/>
    <mergeCell ref="Y1490:Y1493"/>
    <mergeCell ref="Y1494:Y1495"/>
    <mergeCell ref="Y1498:Y1500"/>
    <mergeCell ref="Y1504:Y1505"/>
    <mergeCell ref="Y1506:Y1508"/>
    <mergeCell ref="Y1512:Y1513"/>
    <mergeCell ref="Y1515:Y1518"/>
    <mergeCell ref="Y1519:Y1520"/>
    <mergeCell ref="Y1523:Y1533"/>
    <mergeCell ref="Y1537:Y1538"/>
    <mergeCell ref="Y1540:Y1541"/>
    <mergeCell ref="Y1547:Y1548"/>
    <mergeCell ref="Y1550:Y1552"/>
    <mergeCell ref="L1971:L1972"/>
    <mergeCell ref="X1971:X1972"/>
    <mergeCell ref="L1977:L1981"/>
    <mergeCell ref="M1977:M1981"/>
    <mergeCell ref="X1977:X1988"/>
    <mergeCell ref="L1990:L1992"/>
    <mergeCell ref="L1994:L1995"/>
    <mergeCell ref="M1994:M1995"/>
    <mergeCell ref="X1994:X1995"/>
    <mergeCell ref="L1996:L1998"/>
    <mergeCell ref="M1996:M1998"/>
    <mergeCell ref="X1996:X1998"/>
    <mergeCell ref="L1999:L2001"/>
    <mergeCell ref="M1999:M2001"/>
    <mergeCell ref="X1999:X2001"/>
    <mergeCell ref="L2003:L2006"/>
    <mergeCell ref="L2007:L2011"/>
    <mergeCell ref="L1943:L1944"/>
    <mergeCell ref="X1943:X1944"/>
    <mergeCell ref="L1946:L1948"/>
    <mergeCell ref="X1946:X1948"/>
    <mergeCell ref="L1949:L1950"/>
    <mergeCell ref="X1949:X1950"/>
    <mergeCell ref="L1951:L1953"/>
    <mergeCell ref="M1951:M1954"/>
    <mergeCell ref="O1951:O1954"/>
    <mergeCell ref="L1955:L1956"/>
    <mergeCell ref="M1955:M1956"/>
    <mergeCell ref="X1955:X1956"/>
    <mergeCell ref="L1957:L1960"/>
    <mergeCell ref="X1957:X1960"/>
    <mergeCell ref="X1961:X1967"/>
    <mergeCell ref="L1968:L1969"/>
    <mergeCell ref="X1968:X1969"/>
    <mergeCell ref="M1949:M1950"/>
    <mergeCell ref="L1924:L1926"/>
    <mergeCell ref="M1924:M1927"/>
    <mergeCell ref="O1924:O1927"/>
    <mergeCell ref="L1928:L1929"/>
    <mergeCell ref="M1928:M1929"/>
    <mergeCell ref="X1928:X1929"/>
    <mergeCell ref="L1930:L1932"/>
    <mergeCell ref="M1930:M1932"/>
    <mergeCell ref="X1930:X1932"/>
    <mergeCell ref="L1933:L1934"/>
    <mergeCell ref="X1933:X1934"/>
    <mergeCell ref="L1935:L1937"/>
    <mergeCell ref="X1935:X1937"/>
    <mergeCell ref="L1938:L1939"/>
    <mergeCell ref="X1938:X1939"/>
    <mergeCell ref="L1941:L1942"/>
    <mergeCell ref="X1941:X1942"/>
    <mergeCell ref="L1900:L1905"/>
    <mergeCell ref="L1906:L1907"/>
    <mergeCell ref="M1906:M1908"/>
    <mergeCell ref="O1906:O1908"/>
    <mergeCell ref="L1909:L1911"/>
    <mergeCell ref="M1909:M1911"/>
    <mergeCell ref="X1909:X1911"/>
    <mergeCell ref="L1912:L1914"/>
    <mergeCell ref="M1912:M1914"/>
    <mergeCell ref="X1912:X1914"/>
    <mergeCell ref="L1915:L1916"/>
    <mergeCell ref="M1915:M1916"/>
    <mergeCell ref="X1915:X1916"/>
    <mergeCell ref="L1918:L1919"/>
    <mergeCell ref="X1918:X1919"/>
    <mergeCell ref="L1922:L1923"/>
    <mergeCell ref="X1922:X1923"/>
    <mergeCell ref="L1866:L1869"/>
    <mergeCell ref="X1866:X1869"/>
    <mergeCell ref="L1870:L1871"/>
    <mergeCell ref="X1870:X1871"/>
    <mergeCell ref="L1872:L1873"/>
    <mergeCell ref="X1872:X1873"/>
    <mergeCell ref="L1875:L1876"/>
    <mergeCell ref="X1875:X1876"/>
    <mergeCell ref="L1877:L1878"/>
    <mergeCell ref="X1877:X1878"/>
    <mergeCell ref="L1880:L1881"/>
    <mergeCell ref="X1880:X1881"/>
    <mergeCell ref="L1882:L1883"/>
    <mergeCell ref="X1882:X1883"/>
    <mergeCell ref="L1884:L1885"/>
    <mergeCell ref="X1884:X1885"/>
    <mergeCell ref="L1888:L1891"/>
    <mergeCell ref="M1888:M1891"/>
    <mergeCell ref="X1888:X1898"/>
    <mergeCell ref="L1835:L1836"/>
    <mergeCell ref="M1835:M1836"/>
    <mergeCell ref="O1835:O1836"/>
    <mergeCell ref="X1835:X1836"/>
    <mergeCell ref="L1838:L1839"/>
    <mergeCell ref="L1840:L1841"/>
    <mergeCell ref="M1840:M1842"/>
    <mergeCell ref="O1840:O1842"/>
    <mergeCell ref="L1845:L1848"/>
    <mergeCell ref="M1845:M1848"/>
    <mergeCell ref="X1845:X1848"/>
    <mergeCell ref="L1851:L1852"/>
    <mergeCell ref="X1851:X1852"/>
    <mergeCell ref="L1853:L1854"/>
    <mergeCell ref="X1853:X1854"/>
    <mergeCell ref="L1860:L1861"/>
    <mergeCell ref="X1860:X1865"/>
    <mergeCell ref="L1864:L1865"/>
    <mergeCell ref="X1856:X1857"/>
    <mergeCell ref="M1856:M1857"/>
    <mergeCell ref="L1856:L1857"/>
    <mergeCell ref="L1813:L1814"/>
    <mergeCell ref="M1813:M1814"/>
    <mergeCell ref="O1813:O1814"/>
    <mergeCell ref="X1813:X1817"/>
    <mergeCell ref="L1816:L1817"/>
    <mergeCell ref="L1819:L1820"/>
    <mergeCell ref="L1821:L1825"/>
    <mergeCell ref="M1821:M1825"/>
    <mergeCell ref="O1821:O1825"/>
    <mergeCell ref="X1821:X1825"/>
    <mergeCell ref="L1826:L1828"/>
    <mergeCell ref="M1826:M1828"/>
    <mergeCell ref="O1826:O1828"/>
    <mergeCell ref="X1826:X1828"/>
    <mergeCell ref="L1830:L1834"/>
    <mergeCell ref="M1830:M1834"/>
    <mergeCell ref="O1830:O1834"/>
    <mergeCell ref="X1830:X1834"/>
    <mergeCell ref="L1794:L1795"/>
    <mergeCell ref="X1794:X1795"/>
    <mergeCell ref="L1796:L1798"/>
    <mergeCell ref="X1796:X1798"/>
    <mergeCell ref="L1799:L1800"/>
    <mergeCell ref="M1799:M1800"/>
    <mergeCell ref="O1799:O1800"/>
    <mergeCell ref="X1799:X1800"/>
    <mergeCell ref="L1801:L1802"/>
    <mergeCell ref="M1801:M1802"/>
    <mergeCell ref="X1801:X1802"/>
    <mergeCell ref="X1805:X1808"/>
    <mergeCell ref="L1806:L1807"/>
    <mergeCell ref="M1806:M1807"/>
    <mergeCell ref="X1809:X1812"/>
    <mergeCell ref="L1811:L1812"/>
    <mergeCell ref="M1811:M1812"/>
    <mergeCell ref="L1777:L1778"/>
    <mergeCell ref="M1777:M1778"/>
    <mergeCell ref="O1777:O1778"/>
    <mergeCell ref="X1777:X1778"/>
    <mergeCell ref="L1779:L1781"/>
    <mergeCell ref="M1779:M1781"/>
    <mergeCell ref="O1779:O1781"/>
    <mergeCell ref="X1779:X1781"/>
    <mergeCell ref="L1782:L1784"/>
    <mergeCell ref="M1782:M1784"/>
    <mergeCell ref="O1782:O1784"/>
    <mergeCell ref="X1782:X1784"/>
    <mergeCell ref="L1785:L1786"/>
    <mergeCell ref="X1785:X1791"/>
    <mergeCell ref="L1792:L1793"/>
    <mergeCell ref="M1792:M1793"/>
    <mergeCell ref="O1792:O1793"/>
    <mergeCell ref="L1758:L1759"/>
    <mergeCell ref="M1758:M1759"/>
    <mergeCell ref="O1758:O1759"/>
    <mergeCell ref="L1760:L1761"/>
    <mergeCell ref="X1760:X1761"/>
    <mergeCell ref="L1762:L1763"/>
    <mergeCell ref="X1762:X1763"/>
    <mergeCell ref="L1764:L1766"/>
    <mergeCell ref="X1764:X1766"/>
    <mergeCell ref="L1768:L1770"/>
    <mergeCell ref="M1768:M1770"/>
    <mergeCell ref="O1768:O1770"/>
    <mergeCell ref="X1768:X1776"/>
    <mergeCell ref="L1771:L1772"/>
    <mergeCell ref="M1771:M1772"/>
    <mergeCell ref="L1773:L1774"/>
    <mergeCell ref="M1773:M1774"/>
    <mergeCell ref="N1758:N1759"/>
    <mergeCell ref="L1740:L1741"/>
    <mergeCell ref="M1740:M1741"/>
    <mergeCell ref="X1740:X1741"/>
    <mergeCell ref="L1742:L1744"/>
    <mergeCell ref="M1742:M1744"/>
    <mergeCell ref="O1742:O1744"/>
    <mergeCell ref="X1742:X1744"/>
    <mergeCell ref="L1745:L1746"/>
    <mergeCell ref="M1745:M1746"/>
    <mergeCell ref="O1745:O1746"/>
    <mergeCell ref="X1745:X1748"/>
    <mergeCell ref="L1749:L1750"/>
    <mergeCell ref="M1749:M1750"/>
    <mergeCell ref="O1749:O1750"/>
    <mergeCell ref="X1749:X1752"/>
    <mergeCell ref="X1753:X1757"/>
    <mergeCell ref="M1754:M1755"/>
    <mergeCell ref="M1756:M1757"/>
    <mergeCell ref="N1749:N1750"/>
    <mergeCell ref="N1745:N1746"/>
    <mergeCell ref="N1742:N1744"/>
    <mergeCell ref="L1722:L1723"/>
    <mergeCell ref="O1722:O1723"/>
    <mergeCell ref="X1722:X1725"/>
    <mergeCell ref="L1726:L1727"/>
    <mergeCell ref="L1728:L1729"/>
    <mergeCell ref="M1728:M1729"/>
    <mergeCell ref="O1728:O1729"/>
    <mergeCell ref="X1728:X1729"/>
    <mergeCell ref="L1730:L1731"/>
    <mergeCell ref="M1730:M1731"/>
    <mergeCell ref="O1730:O1731"/>
    <mergeCell ref="X1730:X1731"/>
    <mergeCell ref="L1736:L1737"/>
    <mergeCell ref="M1736:M1737"/>
    <mergeCell ref="X1736:X1737"/>
    <mergeCell ref="L1738:L1739"/>
    <mergeCell ref="M1738:M1739"/>
    <mergeCell ref="O1738:O1739"/>
    <mergeCell ref="X1738:X1739"/>
    <mergeCell ref="N1738:N1739"/>
    <mergeCell ref="N1730:N1731"/>
    <mergeCell ref="N1728:N1729"/>
    <mergeCell ref="N1722:N1723"/>
    <mergeCell ref="L1696:L1701"/>
    <mergeCell ref="M1696:M1701"/>
    <mergeCell ref="O1696:O1701"/>
    <mergeCell ref="X1696:X1701"/>
    <mergeCell ref="L1702:L1704"/>
    <mergeCell ref="O1702:O1704"/>
    <mergeCell ref="L1705:L1709"/>
    <mergeCell ref="M1705:M1709"/>
    <mergeCell ref="X1705:X1709"/>
    <mergeCell ref="L1711:L1713"/>
    <mergeCell ref="M1711:M1713"/>
    <mergeCell ref="X1711:X1714"/>
    <mergeCell ref="L1715:L1719"/>
    <mergeCell ref="M1715:M1719"/>
    <mergeCell ref="O1715:O1719"/>
    <mergeCell ref="X1715:X1719"/>
    <mergeCell ref="L1720:L1721"/>
    <mergeCell ref="M1720:M1721"/>
    <mergeCell ref="X1720:X1721"/>
    <mergeCell ref="N1715:N1719"/>
    <mergeCell ref="N1702:N1704"/>
    <mergeCell ref="N1696:N1701"/>
    <mergeCell ref="X1671:X1674"/>
    <mergeCell ref="L1673:L1674"/>
    <mergeCell ref="L1675:L1680"/>
    <mergeCell ref="M1675:M1680"/>
    <mergeCell ref="O1675:O1680"/>
    <mergeCell ref="X1675:X1680"/>
    <mergeCell ref="L1681:L1683"/>
    <mergeCell ref="X1681:X1683"/>
    <mergeCell ref="L1684:L1685"/>
    <mergeCell ref="M1684:M1685"/>
    <mergeCell ref="O1684:O1685"/>
    <mergeCell ref="L1686:L1687"/>
    <mergeCell ref="X1686:X1687"/>
    <mergeCell ref="X1689:X1690"/>
    <mergeCell ref="L1691:L1692"/>
    <mergeCell ref="M1691:M1694"/>
    <mergeCell ref="O1691:O1694"/>
    <mergeCell ref="X1691:X1695"/>
    <mergeCell ref="L1693:L1694"/>
    <mergeCell ref="N1691:N1694"/>
    <mergeCell ref="N1684:N1685"/>
    <mergeCell ref="N1675:N1680"/>
    <mergeCell ref="L1644:L1645"/>
    <mergeCell ref="L1647:L1648"/>
    <mergeCell ref="M1647:M1648"/>
    <mergeCell ref="O1647:O1648"/>
    <mergeCell ref="X1647:X1648"/>
    <mergeCell ref="L1649:L1651"/>
    <mergeCell ref="M1649:M1651"/>
    <mergeCell ref="O1649:O1651"/>
    <mergeCell ref="X1649:X1651"/>
    <mergeCell ref="L1652:L1653"/>
    <mergeCell ref="M1652:M1653"/>
    <mergeCell ref="X1652:X1653"/>
    <mergeCell ref="L1654:L1658"/>
    <mergeCell ref="M1654:M1660"/>
    <mergeCell ref="O1654:O1660"/>
    <mergeCell ref="L1659:L1660"/>
    <mergeCell ref="L1661:L1664"/>
    <mergeCell ref="X1661:X1670"/>
    <mergeCell ref="N1654:N1660"/>
    <mergeCell ref="N1649:N1651"/>
    <mergeCell ref="N1647:N1648"/>
    <mergeCell ref="L1614:L1615"/>
    <mergeCell ref="O1614:O1615"/>
    <mergeCell ref="X1614:X1615"/>
    <mergeCell ref="L1616:L1617"/>
    <mergeCell ref="O1616:O1617"/>
    <mergeCell ref="X1616:X1617"/>
    <mergeCell ref="L1618:L1623"/>
    <mergeCell ref="M1618:M1623"/>
    <mergeCell ref="O1618:O1623"/>
    <mergeCell ref="X1618:X1623"/>
    <mergeCell ref="L1625:L1627"/>
    <mergeCell ref="M1625:M1627"/>
    <mergeCell ref="L1628:L1631"/>
    <mergeCell ref="M1628:M1632"/>
    <mergeCell ref="X1628:X1632"/>
    <mergeCell ref="X1633:X1643"/>
    <mergeCell ref="L1637:L1638"/>
    <mergeCell ref="M1637:M1638"/>
    <mergeCell ref="L1641:L1642"/>
    <mergeCell ref="M1641:M1642"/>
    <mergeCell ref="N1618:N1623"/>
    <mergeCell ref="N1616:N1617"/>
    <mergeCell ref="N1614:N1615"/>
    <mergeCell ref="N1625:N1627"/>
    <mergeCell ref="O1625:O1627"/>
    <mergeCell ref="X1593:X1595"/>
    <mergeCell ref="L1597:L1598"/>
    <mergeCell ref="L1599:L1601"/>
    <mergeCell ref="O1599:O1601"/>
    <mergeCell ref="X1599:X1601"/>
    <mergeCell ref="M1600:M1601"/>
    <mergeCell ref="L1602:L1603"/>
    <mergeCell ref="O1602:O1603"/>
    <mergeCell ref="X1602:X1603"/>
    <mergeCell ref="L1604:L1606"/>
    <mergeCell ref="O1604:O1606"/>
    <mergeCell ref="X1604:X1606"/>
    <mergeCell ref="M1605:M1606"/>
    <mergeCell ref="L1607:L1608"/>
    <mergeCell ref="O1607:O1608"/>
    <mergeCell ref="X1607:X1608"/>
    <mergeCell ref="L1609:L1610"/>
    <mergeCell ref="O1609:O1610"/>
    <mergeCell ref="X1609:X1610"/>
    <mergeCell ref="N1609:N1610"/>
    <mergeCell ref="N1607:N1608"/>
    <mergeCell ref="N1604:N1606"/>
    <mergeCell ref="N1602:N1603"/>
    <mergeCell ref="N1599:N1601"/>
    <mergeCell ref="L1569:L1572"/>
    <mergeCell ref="M1569:M1574"/>
    <mergeCell ref="O1569:O1574"/>
    <mergeCell ref="X1569:X1574"/>
    <mergeCell ref="L1573:L1574"/>
    <mergeCell ref="L1575:L1576"/>
    <mergeCell ref="M1575:M1576"/>
    <mergeCell ref="O1575:O1576"/>
    <mergeCell ref="X1575:X1577"/>
    <mergeCell ref="L1578:L1579"/>
    <mergeCell ref="X1580:X1582"/>
    <mergeCell ref="X1583:X1585"/>
    <mergeCell ref="L1586:L1589"/>
    <mergeCell ref="M1586:M1589"/>
    <mergeCell ref="X1586:X1589"/>
    <mergeCell ref="L1590:L1592"/>
    <mergeCell ref="M1590:M1592"/>
    <mergeCell ref="O1590:O1592"/>
    <mergeCell ref="X1590:X1592"/>
    <mergeCell ref="N1590:N1592"/>
    <mergeCell ref="N1575:N1576"/>
    <mergeCell ref="N1569:N1574"/>
    <mergeCell ref="L1550:L1552"/>
    <mergeCell ref="M1550:M1552"/>
    <mergeCell ref="O1550:O1552"/>
    <mergeCell ref="X1550:X1552"/>
    <mergeCell ref="L1553:L1555"/>
    <mergeCell ref="M1553:M1555"/>
    <mergeCell ref="O1553:O1555"/>
    <mergeCell ref="L1558:L1560"/>
    <mergeCell ref="M1558:M1560"/>
    <mergeCell ref="O1558:O1560"/>
    <mergeCell ref="X1558:X1560"/>
    <mergeCell ref="L1561:L1562"/>
    <mergeCell ref="M1561:M1562"/>
    <mergeCell ref="O1561:O1562"/>
    <mergeCell ref="X1561:X1562"/>
    <mergeCell ref="L1563:L1564"/>
    <mergeCell ref="M1563:M1565"/>
    <mergeCell ref="O1563:O1565"/>
    <mergeCell ref="X1563:X1565"/>
    <mergeCell ref="N1563:N1565"/>
    <mergeCell ref="N1561:N1562"/>
    <mergeCell ref="N1558:N1560"/>
    <mergeCell ref="N1553:N1555"/>
    <mergeCell ref="N1550:N1552"/>
    <mergeCell ref="L1521:L1522"/>
    <mergeCell ref="X1523:X1533"/>
    <mergeCell ref="L1525:L1526"/>
    <mergeCell ref="L1529:L1530"/>
    <mergeCell ref="M1529:M1530"/>
    <mergeCell ref="L1531:L1533"/>
    <mergeCell ref="M1531:M1533"/>
    <mergeCell ref="L1534:L1536"/>
    <mergeCell ref="O1534:O1536"/>
    <mergeCell ref="M1537:M1538"/>
    <mergeCell ref="X1537:X1538"/>
    <mergeCell ref="L1540:L1541"/>
    <mergeCell ref="X1540:X1541"/>
    <mergeCell ref="L1543:L1544"/>
    <mergeCell ref="O1543:O1545"/>
    <mergeCell ref="M1547:M1548"/>
    <mergeCell ref="X1547:X1548"/>
    <mergeCell ref="N1543:N1545"/>
    <mergeCell ref="N1534:N1536"/>
    <mergeCell ref="M1540:M1541"/>
    <mergeCell ref="N1540:N1541"/>
    <mergeCell ref="O1540:O1541"/>
    <mergeCell ref="L1506:L1508"/>
    <mergeCell ref="M1506:M1508"/>
    <mergeCell ref="X1506:X1508"/>
    <mergeCell ref="L1509:L1510"/>
    <mergeCell ref="L1512:L1513"/>
    <mergeCell ref="M1512:M1513"/>
    <mergeCell ref="O1512:O1514"/>
    <mergeCell ref="X1512:X1513"/>
    <mergeCell ref="L1515:L1516"/>
    <mergeCell ref="M1515:M1516"/>
    <mergeCell ref="O1515:O1516"/>
    <mergeCell ref="X1515:X1518"/>
    <mergeCell ref="L1517:L1518"/>
    <mergeCell ref="L1519:L1520"/>
    <mergeCell ref="M1519:M1520"/>
    <mergeCell ref="O1519:O1520"/>
    <mergeCell ref="X1519:X1520"/>
    <mergeCell ref="N1519:N1520"/>
    <mergeCell ref="N1515:N1516"/>
    <mergeCell ref="N1512:N1514"/>
    <mergeCell ref="L1488:L1489"/>
    <mergeCell ref="M1490:M1493"/>
    <mergeCell ref="O1490:O1493"/>
    <mergeCell ref="X1490:X1493"/>
    <mergeCell ref="L1491:L1493"/>
    <mergeCell ref="L1494:L1495"/>
    <mergeCell ref="M1494:M1495"/>
    <mergeCell ref="O1494:O1495"/>
    <mergeCell ref="X1494:X1495"/>
    <mergeCell ref="L1498:L1500"/>
    <mergeCell ref="M1498:M1500"/>
    <mergeCell ref="O1498:O1500"/>
    <mergeCell ref="X1498:X1500"/>
    <mergeCell ref="L1504:L1505"/>
    <mergeCell ref="M1504:M1505"/>
    <mergeCell ref="O1504:O1505"/>
    <mergeCell ref="X1504:X1505"/>
    <mergeCell ref="N1504:N1505"/>
    <mergeCell ref="N1498:N1500"/>
    <mergeCell ref="N1494:N1495"/>
    <mergeCell ref="N1490:N1493"/>
    <mergeCell ref="M1464:M1465"/>
    <mergeCell ref="O1464:O1465"/>
    <mergeCell ref="X1464:X1465"/>
    <mergeCell ref="L1467:L1468"/>
    <mergeCell ref="M1469:M1472"/>
    <mergeCell ref="O1469:O1472"/>
    <mergeCell ref="X1469:X1472"/>
    <mergeCell ref="L1470:L1472"/>
    <mergeCell ref="L1474:L1475"/>
    <mergeCell ref="M1474:M1476"/>
    <mergeCell ref="O1474:O1476"/>
    <mergeCell ref="X1474:X1476"/>
    <mergeCell ref="L1477:L1478"/>
    <mergeCell ref="L1479:L1480"/>
    <mergeCell ref="M1479:M1480"/>
    <mergeCell ref="X1479:X1480"/>
    <mergeCell ref="L1481:L1483"/>
    <mergeCell ref="M1481:M1483"/>
    <mergeCell ref="O1481:O1483"/>
    <mergeCell ref="X1481:X1486"/>
    <mergeCell ref="L1484:L1486"/>
    <mergeCell ref="N1481:N1483"/>
    <mergeCell ref="N1474:N1476"/>
    <mergeCell ref="N1469:N1472"/>
    <mergeCell ref="N1464:N1465"/>
    <mergeCell ref="L1437:L1439"/>
    <mergeCell ref="M1437:M1439"/>
    <mergeCell ref="O1437:O1439"/>
    <mergeCell ref="X1437:X1439"/>
    <mergeCell ref="L1440:L1441"/>
    <mergeCell ref="O1443:O1444"/>
    <mergeCell ref="X1443:X1448"/>
    <mergeCell ref="L1445:L1446"/>
    <mergeCell ref="L1447:L1448"/>
    <mergeCell ref="L1450:L1455"/>
    <mergeCell ref="M1450:M1451"/>
    <mergeCell ref="O1450:O1455"/>
    <mergeCell ref="X1450:X1458"/>
    <mergeCell ref="M1452:M1455"/>
    <mergeCell ref="L1456:L1458"/>
    <mergeCell ref="M1456:M1458"/>
    <mergeCell ref="L1459:L1460"/>
    <mergeCell ref="O1459:O1460"/>
    <mergeCell ref="X1459:X1463"/>
    <mergeCell ref="N1459:N1460"/>
    <mergeCell ref="N1450:N1455"/>
    <mergeCell ref="N1443:N1444"/>
    <mergeCell ref="N1437:N1439"/>
    <mergeCell ref="L1407:L1411"/>
    <mergeCell ref="O1407:O1411"/>
    <mergeCell ref="L1412:L1414"/>
    <mergeCell ref="L1415:L1417"/>
    <mergeCell ref="L1421:L1422"/>
    <mergeCell ref="M1421:M1422"/>
    <mergeCell ref="X1421:X1431"/>
    <mergeCell ref="L1423:L1424"/>
    <mergeCell ref="M1423:M1424"/>
    <mergeCell ref="L1425:L1426"/>
    <mergeCell ref="M1425:M1426"/>
    <mergeCell ref="L1427:L1429"/>
    <mergeCell ref="M1427:M1429"/>
    <mergeCell ref="L1430:L1431"/>
    <mergeCell ref="M1430:M1431"/>
    <mergeCell ref="L1432:L1436"/>
    <mergeCell ref="M1432:M1436"/>
    <mergeCell ref="X1432:X1436"/>
    <mergeCell ref="N1407:N1411"/>
    <mergeCell ref="N752:N756"/>
    <mergeCell ref="N727:N728"/>
    <mergeCell ref="N716:N718"/>
    <mergeCell ref="N708:N715"/>
    <mergeCell ref="N665:N668"/>
    <mergeCell ref="N663:N664"/>
    <mergeCell ref="N656:N662"/>
    <mergeCell ref="N647:N655"/>
    <mergeCell ref="N631:N637"/>
    <mergeCell ref="Y689:Y694"/>
    <mergeCell ref="Y695:Y700"/>
    <mergeCell ref="Y701:Y706"/>
    <mergeCell ref="Y708:Y715"/>
    <mergeCell ref="Y725:Y726"/>
    <mergeCell ref="Y656:Y662"/>
    <mergeCell ref="Y663:Y664"/>
    <mergeCell ref="Y669:Y675"/>
    <mergeCell ref="Y676:Y682"/>
    <mergeCell ref="Y683:Y688"/>
    <mergeCell ref="Y748:Y749"/>
    <mergeCell ref="Y750:Y751"/>
    <mergeCell ref="X744:X747"/>
    <mergeCell ref="X647:X655"/>
    <mergeCell ref="Y757:Y765"/>
    <mergeCell ref="Y766:Y772"/>
    <mergeCell ref="Y729:Y733"/>
    <mergeCell ref="Y734:Y737"/>
    <mergeCell ref="Y738:Y739"/>
    <mergeCell ref="Y740:Y741"/>
    <mergeCell ref="Y744:Y747"/>
    <mergeCell ref="Y525:Y526"/>
    <mergeCell ref="Y527:Y528"/>
    <mergeCell ref="Y533:Y547"/>
    <mergeCell ref="Y548:Y556"/>
    <mergeCell ref="Y561:Y567"/>
    <mergeCell ref="Y504:Y509"/>
    <mergeCell ref="Y510:Y516"/>
    <mergeCell ref="Y517:Y519"/>
    <mergeCell ref="Y521:Y522"/>
    <mergeCell ref="Y523:Y524"/>
    <mergeCell ref="Y619:Y620"/>
    <mergeCell ref="Y622:Y629"/>
    <mergeCell ref="Y631:Y633"/>
    <mergeCell ref="Y634:Y637"/>
    <mergeCell ref="Y647:Y655"/>
    <mergeCell ref="Y574:Y589"/>
    <mergeCell ref="Y602:Y603"/>
    <mergeCell ref="Y605:Y606"/>
    <mergeCell ref="Y607:Y612"/>
    <mergeCell ref="Y616:Y617"/>
    <mergeCell ref="Y424:Y433"/>
    <mergeCell ref="Y434:Y436"/>
    <mergeCell ref="Y438:Y441"/>
    <mergeCell ref="Y442:Y447"/>
    <mergeCell ref="Y448:Y449"/>
    <mergeCell ref="Y405:Y407"/>
    <mergeCell ref="Y408:Y409"/>
    <mergeCell ref="Y410:Y411"/>
    <mergeCell ref="Y412:Y415"/>
    <mergeCell ref="Y416:Y418"/>
    <mergeCell ref="Y483:Y484"/>
    <mergeCell ref="Y486:Y488"/>
    <mergeCell ref="Y489:Y491"/>
    <mergeCell ref="Y493:Y497"/>
    <mergeCell ref="Y498:Y499"/>
    <mergeCell ref="Y452:Y463"/>
    <mergeCell ref="Y464:Y465"/>
    <mergeCell ref="Y466:Y468"/>
    <mergeCell ref="Y469:Y472"/>
    <mergeCell ref="Y475:Y476"/>
    <mergeCell ref="Y333:Y340"/>
    <mergeCell ref="Y341:Y346"/>
    <mergeCell ref="Y352:Y354"/>
    <mergeCell ref="Y258:Y263"/>
    <mergeCell ref="Y268:Y281"/>
    <mergeCell ref="Y284:Y286"/>
    <mergeCell ref="Y287:Y289"/>
    <mergeCell ref="Y299:Y301"/>
    <mergeCell ref="Y315:Y332"/>
    <mergeCell ref="Y376:Y377"/>
    <mergeCell ref="Y378:Y379"/>
    <mergeCell ref="Y381:Y386"/>
    <mergeCell ref="Y390:Y400"/>
    <mergeCell ref="Y403:Y404"/>
    <mergeCell ref="Y355:Y356"/>
    <mergeCell ref="Y357:Y360"/>
    <mergeCell ref="Y362:Y363"/>
    <mergeCell ref="Y364:Y365"/>
    <mergeCell ref="Y370:Y371"/>
    <mergeCell ref="Y153:Y154"/>
    <mergeCell ref="Y155:Y156"/>
    <mergeCell ref="Y157:Y163"/>
    <mergeCell ref="Y208:Y215"/>
    <mergeCell ref="Y249:Y254"/>
    <mergeCell ref="Y256:Y257"/>
    <mergeCell ref="Y193:Y194"/>
    <mergeCell ref="Y196:Y197"/>
    <mergeCell ref="Y198:Y199"/>
    <mergeCell ref="Y200:Y203"/>
    <mergeCell ref="Y204:Y206"/>
    <mergeCell ref="Y223:Y224"/>
    <mergeCell ref="Y226:Y229"/>
    <mergeCell ref="Y230:Y234"/>
    <mergeCell ref="Y236:Y245"/>
    <mergeCell ref="Y246:Y248"/>
    <mergeCell ref="Y310:Y314"/>
    <mergeCell ref="L734:L737"/>
    <mergeCell ref="M734:M737"/>
    <mergeCell ref="Y67:Y79"/>
    <mergeCell ref="Y80:Y92"/>
    <mergeCell ref="Y93:Y99"/>
    <mergeCell ref="Y100:Y102"/>
    <mergeCell ref="Y103:Y106"/>
    <mergeCell ref="N59:N60"/>
    <mergeCell ref="N57:N58"/>
    <mergeCell ref="N45:N48"/>
    <mergeCell ref="Y45:Y48"/>
    <mergeCell ref="Y50:Y54"/>
    <mergeCell ref="Y55:Y66"/>
    <mergeCell ref="X67:X79"/>
    <mergeCell ref="Y131:Y132"/>
    <mergeCell ref="Y133:Y134"/>
    <mergeCell ref="Y135:Y139"/>
    <mergeCell ref="Y141:Y145"/>
    <mergeCell ref="Y146:Y147"/>
    <mergeCell ref="Y107:Y113"/>
    <mergeCell ref="Y114:Y118"/>
    <mergeCell ref="Y119:Y122"/>
    <mergeCell ref="Y123:Y128"/>
    <mergeCell ref="Y129:Y130"/>
    <mergeCell ref="Y164:Y169"/>
    <mergeCell ref="Y170:Y174"/>
    <mergeCell ref="Y178:Y182"/>
    <mergeCell ref="Y183:Y189"/>
    <mergeCell ref="Y190:Y192"/>
    <mergeCell ref="Y148:Y150"/>
    <mergeCell ref="Y151:Y152"/>
    <mergeCell ref="X734:X737"/>
    <mergeCell ref="L738:L739"/>
    <mergeCell ref="M738:M739"/>
    <mergeCell ref="X738:X739"/>
    <mergeCell ref="X725:X726"/>
    <mergeCell ref="L727:L728"/>
    <mergeCell ref="M727:M728"/>
    <mergeCell ref="O727:O728"/>
    <mergeCell ref="L729:L733"/>
    <mergeCell ref="M729:M733"/>
    <mergeCell ref="X729:X733"/>
    <mergeCell ref="L766:L771"/>
    <mergeCell ref="W766:W767"/>
    <mergeCell ref="X766:X772"/>
    <mergeCell ref="O258:O263"/>
    <mergeCell ref="N258:N263"/>
    <mergeCell ref="L752:L756"/>
    <mergeCell ref="M752:M756"/>
    <mergeCell ref="O752:O756"/>
    <mergeCell ref="L757:L764"/>
    <mergeCell ref="X757:X765"/>
    <mergeCell ref="L748:L749"/>
    <mergeCell ref="M748:M749"/>
    <mergeCell ref="X748:X749"/>
    <mergeCell ref="L750:L751"/>
    <mergeCell ref="M750:M751"/>
    <mergeCell ref="X750:X751"/>
    <mergeCell ref="L740:L741"/>
    <mergeCell ref="M740:M741"/>
    <mergeCell ref="X740:X741"/>
    <mergeCell ref="L744:L747"/>
    <mergeCell ref="M744:M747"/>
    <mergeCell ref="L683:L690"/>
    <mergeCell ref="M683:M706"/>
    <mergeCell ref="X683:X688"/>
    <mergeCell ref="X689:X694"/>
    <mergeCell ref="L695:L696"/>
    <mergeCell ref="X695:X700"/>
    <mergeCell ref="X701:X706"/>
    <mergeCell ref="L703:L704"/>
    <mergeCell ref="L705:L706"/>
    <mergeCell ref="L716:L718"/>
    <mergeCell ref="M716:M718"/>
    <mergeCell ref="O716:O718"/>
    <mergeCell ref="L725:L726"/>
    <mergeCell ref="M725:M726"/>
    <mergeCell ref="L708:L712"/>
    <mergeCell ref="M708:M715"/>
    <mergeCell ref="O708:O715"/>
    <mergeCell ref="X708:X715"/>
    <mergeCell ref="L714:L715"/>
    <mergeCell ref="L656:L662"/>
    <mergeCell ref="M656:M662"/>
    <mergeCell ref="O656:O662"/>
    <mergeCell ref="X656:X662"/>
    <mergeCell ref="L639:L644"/>
    <mergeCell ref="L645:L646"/>
    <mergeCell ref="L647:L649"/>
    <mergeCell ref="M647:M655"/>
    <mergeCell ref="O647:O655"/>
    <mergeCell ref="L669:L671"/>
    <mergeCell ref="M669:M682"/>
    <mergeCell ref="W669:W670"/>
    <mergeCell ref="X669:X675"/>
    <mergeCell ref="W676:W677"/>
    <mergeCell ref="X676:X682"/>
    <mergeCell ref="L678:L680"/>
    <mergeCell ref="L681:L682"/>
    <mergeCell ref="L663:L664"/>
    <mergeCell ref="M663:M664"/>
    <mergeCell ref="O663:O664"/>
    <mergeCell ref="X663:X664"/>
    <mergeCell ref="L665:L668"/>
    <mergeCell ref="M665:M668"/>
    <mergeCell ref="O665:O668"/>
    <mergeCell ref="L616:L617"/>
    <mergeCell ref="M616:M617"/>
    <mergeCell ref="O616:O617"/>
    <mergeCell ref="X616:X617"/>
    <mergeCell ref="L619:L620"/>
    <mergeCell ref="M619:M620"/>
    <mergeCell ref="O619:O620"/>
    <mergeCell ref="X619:X620"/>
    <mergeCell ref="L607:L610"/>
    <mergeCell ref="M607:M612"/>
    <mergeCell ref="O607:O612"/>
    <mergeCell ref="X607:X612"/>
    <mergeCell ref="L614:L615"/>
    <mergeCell ref="N619:N620"/>
    <mergeCell ref="N616:N617"/>
    <mergeCell ref="N607:N612"/>
    <mergeCell ref="L631:L632"/>
    <mergeCell ref="M631:M637"/>
    <mergeCell ref="O631:O637"/>
    <mergeCell ref="X631:X633"/>
    <mergeCell ref="L633:L635"/>
    <mergeCell ref="X634:X637"/>
    <mergeCell ref="L636:L637"/>
    <mergeCell ref="L622:L624"/>
    <mergeCell ref="M622:M629"/>
    <mergeCell ref="O622:O629"/>
    <mergeCell ref="X622:X629"/>
    <mergeCell ref="L625:L626"/>
    <mergeCell ref="N622:N629"/>
    <mergeCell ref="L557:L558"/>
    <mergeCell ref="M557:M558"/>
    <mergeCell ref="O557:O558"/>
    <mergeCell ref="X561:X567"/>
    <mergeCell ref="O573:O582"/>
    <mergeCell ref="X574:X589"/>
    <mergeCell ref="L581:L582"/>
    <mergeCell ref="L584:L585"/>
    <mergeCell ref="M584:M585"/>
    <mergeCell ref="L586:L587"/>
    <mergeCell ref="M586:M587"/>
    <mergeCell ref="L588:L589"/>
    <mergeCell ref="M588:M589"/>
    <mergeCell ref="N573:N582"/>
    <mergeCell ref="N557:N558"/>
    <mergeCell ref="X602:X603"/>
    <mergeCell ref="L604:L605"/>
    <mergeCell ref="M604:M606"/>
    <mergeCell ref="O604:O606"/>
    <mergeCell ref="X605:X606"/>
    <mergeCell ref="L590:L591"/>
    <mergeCell ref="L593:L594"/>
    <mergeCell ref="L601:L602"/>
    <mergeCell ref="M601:M603"/>
    <mergeCell ref="O601:O603"/>
    <mergeCell ref="N604:N606"/>
    <mergeCell ref="N601:N603"/>
    <mergeCell ref="L517:L518"/>
    <mergeCell ref="M517:M519"/>
    <mergeCell ref="O517:O519"/>
    <mergeCell ref="X517:X519"/>
    <mergeCell ref="L521:L522"/>
    <mergeCell ref="M521:M528"/>
    <mergeCell ref="O521:O528"/>
    <mergeCell ref="X521:X522"/>
    <mergeCell ref="X523:X524"/>
    <mergeCell ref="L525:L526"/>
    <mergeCell ref="X525:X526"/>
    <mergeCell ref="X527:X528"/>
    <mergeCell ref="N521:N528"/>
    <mergeCell ref="N517:N519"/>
    <mergeCell ref="L548:L549"/>
    <mergeCell ref="M548:M549"/>
    <mergeCell ref="O548:O549"/>
    <mergeCell ref="X548:X556"/>
    <mergeCell ref="L550:L552"/>
    <mergeCell ref="L554:L556"/>
    <mergeCell ref="L530:L531"/>
    <mergeCell ref="L533:L538"/>
    <mergeCell ref="M533:M547"/>
    <mergeCell ref="O533:O547"/>
    <mergeCell ref="X533:X547"/>
    <mergeCell ref="L539:L542"/>
    <mergeCell ref="L544:L545"/>
    <mergeCell ref="L546:L547"/>
    <mergeCell ref="N548:N549"/>
    <mergeCell ref="N533:N547"/>
    <mergeCell ref="L498:L499"/>
    <mergeCell ref="M498:M499"/>
    <mergeCell ref="O498:O499"/>
    <mergeCell ref="X498:X499"/>
    <mergeCell ref="L486:L488"/>
    <mergeCell ref="X486:X488"/>
    <mergeCell ref="L489:L491"/>
    <mergeCell ref="M489:M491"/>
    <mergeCell ref="O489:O491"/>
    <mergeCell ref="X489:X491"/>
    <mergeCell ref="N498:N499"/>
    <mergeCell ref="N489:N491"/>
    <mergeCell ref="L510:L512"/>
    <mergeCell ref="M510:M516"/>
    <mergeCell ref="O510:O516"/>
    <mergeCell ref="X510:X516"/>
    <mergeCell ref="L514:L516"/>
    <mergeCell ref="L502:L503"/>
    <mergeCell ref="L504:L505"/>
    <mergeCell ref="M504:M509"/>
    <mergeCell ref="O504:O509"/>
    <mergeCell ref="X504:X509"/>
    <mergeCell ref="L507:L509"/>
    <mergeCell ref="N510:N516"/>
    <mergeCell ref="N504:N509"/>
    <mergeCell ref="L479:L482"/>
    <mergeCell ref="M479:M482"/>
    <mergeCell ref="O479:O482"/>
    <mergeCell ref="L483:L484"/>
    <mergeCell ref="X483:X484"/>
    <mergeCell ref="L469:L472"/>
    <mergeCell ref="M469:M472"/>
    <mergeCell ref="X469:X472"/>
    <mergeCell ref="L473:L474"/>
    <mergeCell ref="L475:L476"/>
    <mergeCell ref="M475:M476"/>
    <mergeCell ref="O475:O476"/>
    <mergeCell ref="X475:X476"/>
    <mergeCell ref="N479:N482"/>
    <mergeCell ref="N475:N476"/>
    <mergeCell ref="L493:L497"/>
    <mergeCell ref="M493:M497"/>
    <mergeCell ref="X493:X497"/>
    <mergeCell ref="X442:X447"/>
    <mergeCell ref="L443:L445"/>
    <mergeCell ref="M443:M445"/>
    <mergeCell ref="L446:L447"/>
    <mergeCell ref="M446:M447"/>
    <mergeCell ref="N438:N441"/>
    <mergeCell ref="L464:L465"/>
    <mergeCell ref="M464:M465"/>
    <mergeCell ref="X464:X465"/>
    <mergeCell ref="L466:L467"/>
    <mergeCell ref="M466:M468"/>
    <mergeCell ref="O466:O468"/>
    <mergeCell ref="X466:X468"/>
    <mergeCell ref="L448:L449"/>
    <mergeCell ref="M448:M449"/>
    <mergeCell ref="O448:O449"/>
    <mergeCell ref="X448:X449"/>
    <mergeCell ref="L451:L456"/>
    <mergeCell ref="M451:M463"/>
    <mergeCell ref="O451:O463"/>
    <mergeCell ref="X452:X463"/>
    <mergeCell ref="L462:L463"/>
    <mergeCell ref="N466:N468"/>
    <mergeCell ref="N451:N463"/>
    <mergeCell ref="N448:N449"/>
    <mergeCell ref="M424:M433"/>
    <mergeCell ref="X424:X433"/>
    <mergeCell ref="L428:L429"/>
    <mergeCell ref="L434:L436"/>
    <mergeCell ref="M434:M436"/>
    <mergeCell ref="O434:O436"/>
    <mergeCell ref="X434:X436"/>
    <mergeCell ref="L412:L415"/>
    <mergeCell ref="M412:M415"/>
    <mergeCell ref="O412:O415"/>
    <mergeCell ref="X412:X415"/>
    <mergeCell ref="L416:L417"/>
    <mergeCell ref="M416:M418"/>
    <mergeCell ref="X416:X418"/>
    <mergeCell ref="N434:N436"/>
    <mergeCell ref="N412:N415"/>
    <mergeCell ref="L438:L441"/>
    <mergeCell ref="M438:M441"/>
    <mergeCell ref="O438:O441"/>
    <mergeCell ref="X438:X441"/>
    <mergeCell ref="L410:L411"/>
    <mergeCell ref="M410:M411"/>
    <mergeCell ref="O410:O411"/>
    <mergeCell ref="X410:X411"/>
    <mergeCell ref="L403:L404"/>
    <mergeCell ref="M403:M404"/>
    <mergeCell ref="O403:O404"/>
    <mergeCell ref="X403:X404"/>
    <mergeCell ref="L405:L406"/>
    <mergeCell ref="M405:M407"/>
    <mergeCell ref="O405:O407"/>
    <mergeCell ref="X405:X407"/>
    <mergeCell ref="N410:N411"/>
    <mergeCell ref="N408:N409"/>
    <mergeCell ref="N405:N407"/>
    <mergeCell ref="N403:N404"/>
    <mergeCell ref="L419:L423"/>
    <mergeCell ref="L387:L388"/>
    <mergeCell ref="L390:L393"/>
    <mergeCell ref="M390:M393"/>
    <mergeCell ref="O390:O393"/>
    <mergeCell ref="X390:X400"/>
    <mergeCell ref="L394:L397"/>
    <mergeCell ref="M394:M397"/>
    <mergeCell ref="O394:O397"/>
    <mergeCell ref="L398:L400"/>
    <mergeCell ref="M398:M400"/>
    <mergeCell ref="O398:O400"/>
    <mergeCell ref="N398:N400"/>
    <mergeCell ref="N394:N397"/>
    <mergeCell ref="N390:N393"/>
    <mergeCell ref="L408:L409"/>
    <mergeCell ref="M408:M409"/>
    <mergeCell ref="O408:O409"/>
    <mergeCell ref="X408:X409"/>
    <mergeCell ref="L370:L371"/>
    <mergeCell ref="M370:M371"/>
    <mergeCell ref="O370:O371"/>
    <mergeCell ref="X370:X371"/>
    <mergeCell ref="L373:L375"/>
    <mergeCell ref="L364:L365"/>
    <mergeCell ref="M364:M365"/>
    <mergeCell ref="O364:O365"/>
    <mergeCell ref="X364:X365"/>
    <mergeCell ref="L367:L369"/>
    <mergeCell ref="N370:N371"/>
    <mergeCell ref="N364:N365"/>
    <mergeCell ref="X381:X386"/>
    <mergeCell ref="L382:L383"/>
    <mergeCell ref="M382:M383"/>
    <mergeCell ref="O382:O383"/>
    <mergeCell ref="L384:L386"/>
    <mergeCell ref="M384:M386"/>
    <mergeCell ref="O384:O386"/>
    <mergeCell ref="L376:L377"/>
    <mergeCell ref="M376:M377"/>
    <mergeCell ref="O376:O377"/>
    <mergeCell ref="X376:X377"/>
    <mergeCell ref="L378:L379"/>
    <mergeCell ref="M378:M379"/>
    <mergeCell ref="X378:X379"/>
    <mergeCell ref="N384:N386"/>
    <mergeCell ref="N382:N383"/>
    <mergeCell ref="N376:N377"/>
    <mergeCell ref="L341:L343"/>
    <mergeCell ref="M341:M346"/>
    <mergeCell ref="O341:O346"/>
    <mergeCell ref="X341:X346"/>
    <mergeCell ref="L344:L346"/>
    <mergeCell ref="L333:L337"/>
    <mergeCell ref="M333:M340"/>
    <mergeCell ref="O333:O340"/>
    <mergeCell ref="X333:X340"/>
    <mergeCell ref="L338:L340"/>
    <mergeCell ref="N341:N346"/>
    <mergeCell ref="N333:N340"/>
    <mergeCell ref="L357:L358"/>
    <mergeCell ref="M357:M360"/>
    <mergeCell ref="O357:O360"/>
    <mergeCell ref="X357:X360"/>
    <mergeCell ref="L362:L363"/>
    <mergeCell ref="M362:M363"/>
    <mergeCell ref="X362:X363"/>
    <mergeCell ref="L348:L349"/>
    <mergeCell ref="L352:L354"/>
    <mergeCell ref="M352:M354"/>
    <mergeCell ref="X352:X354"/>
    <mergeCell ref="L355:L356"/>
    <mergeCell ref="M355:M356"/>
    <mergeCell ref="O355:O356"/>
    <mergeCell ref="X355:X356"/>
    <mergeCell ref="N357:N360"/>
    <mergeCell ref="N355:N356"/>
    <mergeCell ref="L326:L327"/>
    <mergeCell ref="N315:N316"/>
    <mergeCell ref="N310:N312"/>
    <mergeCell ref="X315:X332"/>
    <mergeCell ref="L331:L332"/>
    <mergeCell ref="M329:M330"/>
    <mergeCell ref="L329:L330"/>
    <mergeCell ref="L299:L301"/>
    <mergeCell ref="M299:M301"/>
    <mergeCell ref="O299:O301"/>
    <mergeCell ref="X299:X301"/>
    <mergeCell ref="L302:L304"/>
    <mergeCell ref="M302:M304"/>
    <mergeCell ref="L310:L312"/>
    <mergeCell ref="M310:M312"/>
    <mergeCell ref="O310:O312"/>
    <mergeCell ref="X310:X314"/>
    <mergeCell ref="L315:L316"/>
    <mergeCell ref="M315:M316"/>
    <mergeCell ref="O315:O316"/>
    <mergeCell ref="L320:L321"/>
    <mergeCell ref="L324:L325"/>
    <mergeCell ref="L258:L263"/>
    <mergeCell ref="M258:M263"/>
    <mergeCell ref="X258:X263"/>
    <mergeCell ref="L265:L267"/>
    <mergeCell ref="L268:L271"/>
    <mergeCell ref="O268:O271"/>
    <mergeCell ref="X268:X281"/>
    <mergeCell ref="L278:L279"/>
    <mergeCell ref="L280:L281"/>
    <mergeCell ref="N268:N271"/>
    <mergeCell ref="L287:L289"/>
    <mergeCell ref="M287:M289"/>
    <mergeCell ref="O287:O289"/>
    <mergeCell ref="X287:X289"/>
    <mergeCell ref="L291:L293"/>
    <mergeCell ref="N299:N301"/>
    <mergeCell ref="N287:N289"/>
    <mergeCell ref="L282:L283"/>
    <mergeCell ref="L284:L286"/>
    <mergeCell ref="M284:M286"/>
    <mergeCell ref="O284:O286"/>
    <mergeCell ref="X284:X286"/>
    <mergeCell ref="N284:N286"/>
    <mergeCell ref="X249:X254"/>
    <mergeCell ref="L256:L257"/>
    <mergeCell ref="M256:M257"/>
    <mergeCell ref="O256:O257"/>
    <mergeCell ref="X256:X257"/>
    <mergeCell ref="N256:N257"/>
    <mergeCell ref="L236:L237"/>
    <mergeCell ref="M236:M237"/>
    <mergeCell ref="O236:O237"/>
    <mergeCell ref="L238:L240"/>
    <mergeCell ref="L241:L244"/>
    <mergeCell ref="L246:L248"/>
    <mergeCell ref="M246:M248"/>
    <mergeCell ref="O246:O248"/>
    <mergeCell ref="N246:N248"/>
    <mergeCell ref="N236:N237"/>
    <mergeCell ref="X246:X248"/>
    <mergeCell ref="M208:M215"/>
    <mergeCell ref="O208:O215"/>
    <mergeCell ref="X208:X215"/>
    <mergeCell ref="L218:L220"/>
    <mergeCell ref="L221:L222"/>
    <mergeCell ref="L223:L224"/>
    <mergeCell ref="M223:M224"/>
    <mergeCell ref="O223:O224"/>
    <mergeCell ref="L230:L231"/>
    <mergeCell ref="O230:O231"/>
    <mergeCell ref="N230:N231"/>
    <mergeCell ref="N223:N224"/>
    <mergeCell ref="N208:N215"/>
    <mergeCell ref="X223:X224"/>
    <mergeCell ref="X226:X229"/>
    <mergeCell ref="X230:X234"/>
    <mergeCell ref="X236:X245"/>
    <mergeCell ref="L196:L197"/>
    <mergeCell ref="M196:M197"/>
    <mergeCell ref="O196:O197"/>
    <mergeCell ref="X196:X197"/>
    <mergeCell ref="L198:L199"/>
    <mergeCell ref="M198:M199"/>
    <mergeCell ref="O198:O199"/>
    <mergeCell ref="X198:X199"/>
    <mergeCell ref="N198:N199"/>
    <mergeCell ref="N196:N197"/>
    <mergeCell ref="L200:L203"/>
    <mergeCell ref="M200:M203"/>
    <mergeCell ref="O200:O203"/>
    <mergeCell ref="X200:X203"/>
    <mergeCell ref="L204:L206"/>
    <mergeCell ref="M204:M206"/>
    <mergeCell ref="O204:O206"/>
    <mergeCell ref="X204:X206"/>
    <mergeCell ref="N204:N206"/>
    <mergeCell ref="N200:N203"/>
    <mergeCell ref="L176:L177"/>
    <mergeCell ref="L178:L181"/>
    <mergeCell ref="M178:M182"/>
    <mergeCell ref="O178:O182"/>
    <mergeCell ref="X178:X182"/>
    <mergeCell ref="N178:N182"/>
    <mergeCell ref="L170:L172"/>
    <mergeCell ref="M170:M172"/>
    <mergeCell ref="O170:O172"/>
    <mergeCell ref="X170:X174"/>
    <mergeCell ref="L173:L174"/>
    <mergeCell ref="M173:M174"/>
    <mergeCell ref="N170:N172"/>
    <mergeCell ref="L190:L192"/>
    <mergeCell ref="X190:X192"/>
    <mergeCell ref="L193:L194"/>
    <mergeCell ref="M193:M194"/>
    <mergeCell ref="O193:O194"/>
    <mergeCell ref="X193:X194"/>
    <mergeCell ref="N193:N194"/>
    <mergeCell ref="L183:L184"/>
    <mergeCell ref="X183:X189"/>
    <mergeCell ref="L186:L187"/>
    <mergeCell ref="M186:M187"/>
    <mergeCell ref="O186:O187"/>
    <mergeCell ref="L188:L189"/>
    <mergeCell ref="M188:M189"/>
    <mergeCell ref="O188:O189"/>
    <mergeCell ref="N188:N189"/>
    <mergeCell ref="N186:N187"/>
    <mergeCell ref="L155:L156"/>
    <mergeCell ref="M155:M156"/>
    <mergeCell ref="O155:O156"/>
    <mergeCell ref="X155:X156"/>
    <mergeCell ref="L157:L158"/>
    <mergeCell ref="O157:O158"/>
    <mergeCell ref="X157:X163"/>
    <mergeCell ref="L161:L162"/>
    <mergeCell ref="M161:M162"/>
    <mergeCell ref="N157:N158"/>
    <mergeCell ref="N155:N156"/>
    <mergeCell ref="L164:L165"/>
    <mergeCell ref="X164:X169"/>
    <mergeCell ref="L166:L167"/>
    <mergeCell ref="M166:M167"/>
    <mergeCell ref="L168:L169"/>
    <mergeCell ref="M168:M169"/>
    <mergeCell ref="O164:O165"/>
    <mergeCell ref="N164:N165"/>
    <mergeCell ref="L146:L147"/>
    <mergeCell ref="M146:M147"/>
    <mergeCell ref="O146:O147"/>
    <mergeCell ref="X146:X147"/>
    <mergeCell ref="L148:L150"/>
    <mergeCell ref="X148:X150"/>
    <mergeCell ref="M148:M150"/>
    <mergeCell ref="N148:N150"/>
    <mergeCell ref="O148:O150"/>
    <mergeCell ref="N146:N147"/>
    <mergeCell ref="L151:L152"/>
    <mergeCell ref="M151:M152"/>
    <mergeCell ref="O151:O152"/>
    <mergeCell ref="X151:X152"/>
    <mergeCell ref="L153:L154"/>
    <mergeCell ref="M153:M154"/>
    <mergeCell ref="O153:O154"/>
    <mergeCell ref="X153:X154"/>
    <mergeCell ref="N153:N154"/>
    <mergeCell ref="N151:N152"/>
    <mergeCell ref="L129:L130"/>
    <mergeCell ref="M129:M130"/>
    <mergeCell ref="O129:O130"/>
    <mergeCell ref="X129:X130"/>
    <mergeCell ref="N129:N130"/>
    <mergeCell ref="N123:N124"/>
    <mergeCell ref="X135:X139"/>
    <mergeCell ref="L141:L145"/>
    <mergeCell ref="M141:M145"/>
    <mergeCell ref="O141:O145"/>
    <mergeCell ref="X141:X145"/>
    <mergeCell ref="N141:N145"/>
    <mergeCell ref="L131:L132"/>
    <mergeCell ref="M131:M132"/>
    <mergeCell ref="O131:O132"/>
    <mergeCell ref="X131:X132"/>
    <mergeCell ref="L133:L134"/>
    <mergeCell ref="M133:M134"/>
    <mergeCell ref="O133:O134"/>
    <mergeCell ref="X133:X134"/>
    <mergeCell ref="N133:N134"/>
    <mergeCell ref="N131:N132"/>
    <mergeCell ref="L114:L115"/>
    <mergeCell ref="O114:O115"/>
    <mergeCell ref="X114:X118"/>
    <mergeCell ref="L119:L120"/>
    <mergeCell ref="X119:X122"/>
    <mergeCell ref="L121:L122"/>
    <mergeCell ref="N114:N115"/>
    <mergeCell ref="L103:L106"/>
    <mergeCell ref="M103:M106"/>
    <mergeCell ref="O103:O106"/>
    <mergeCell ref="X103:X106"/>
    <mergeCell ref="L107:L110"/>
    <mergeCell ref="O107:O110"/>
    <mergeCell ref="X107:X113"/>
    <mergeCell ref="N107:N110"/>
    <mergeCell ref="N103:N106"/>
    <mergeCell ref="L123:L124"/>
    <mergeCell ref="O123:O124"/>
    <mergeCell ref="X123:X128"/>
    <mergeCell ref="L72:L73"/>
    <mergeCell ref="O72:O73"/>
    <mergeCell ref="L77:L78"/>
    <mergeCell ref="M77:M78"/>
    <mergeCell ref="O77:O78"/>
    <mergeCell ref="N77:N78"/>
    <mergeCell ref="N72:N73"/>
    <mergeCell ref="N70:N71"/>
    <mergeCell ref="L93:L96"/>
    <mergeCell ref="X93:X99"/>
    <mergeCell ref="L97:L99"/>
    <mergeCell ref="L100:L102"/>
    <mergeCell ref="M100:M102"/>
    <mergeCell ref="O100:O102"/>
    <mergeCell ref="X100:X102"/>
    <mergeCell ref="N100:N102"/>
    <mergeCell ref="L80:L81"/>
    <mergeCell ref="X80:X92"/>
    <mergeCell ref="L83:L84"/>
    <mergeCell ref="M83:M84"/>
    <mergeCell ref="O83:O84"/>
    <mergeCell ref="L85:L86"/>
    <mergeCell ref="M85:M91"/>
    <mergeCell ref="O85:O91"/>
    <mergeCell ref="L88:L89"/>
    <mergeCell ref="N85:N91"/>
    <mergeCell ref="N83:N84"/>
    <mergeCell ref="I55:L55"/>
    <mergeCell ref="X55:X66"/>
    <mergeCell ref="L57:L58"/>
    <mergeCell ref="M57:M58"/>
    <mergeCell ref="O57:O58"/>
    <mergeCell ref="L59:L60"/>
    <mergeCell ref="M59:M60"/>
    <mergeCell ref="O59:O60"/>
    <mergeCell ref="L63:L64"/>
    <mergeCell ref="M63:M64"/>
    <mergeCell ref="O63:O64"/>
    <mergeCell ref="L65:L66"/>
    <mergeCell ref="M65:M66"/>
    <mergeCell ref="O65:O66"/>
    <mergeCell ref="N65:N66"/>
    <mergeCell ref="N63:N64"/>
    <mergeCell ref="L70:L71"/>
    <mergeCell ref="M70:M71"/>
    <mergeCell ref="O70:O71"/>
    <mergeCell ref="L45:L48"/>
    <mergeCell ref="M45:M48"/>
    <mergeCell ref="O45:O48"/>
    <mergeCell ref="X45:X48"/>
    <mergeCell ref="L50:L53"/>
    <mergeCell ref="X50:X54"/>
    <mergeCell ref="I5:K5"/>
    <mergeCell ref="I1:K1"/>
    <mergeCell ref="M1:O5"/>
    <mergeCell ref="I2:L2"/>
    <mergeCell ref="I3:L3"/>
    <mergeCell ref="I4:L4"/>
    <mergeCell ref="L25:L26"/>
    <mergeCell ref="M25:M26"/>
    <mergeCell ref="O25:O26"/>
    <mergeCell ref="X27:X35"/>
    <mergeCell ref="L39:L40"/>
    <mergeCell ref="M39:M40"/>
    <mergeCell ref="O39:O40"/>
    <mergeCell ref="M21:M22"/>
    <mergeCell ref="O21:O22"/>
    <mergeCell ref="L27:L30"/>
    <mergeCell ref="M27:M35"/>
    <mergeCell ref="O27:O35"/>
    <mergeCell ref="N25:N26"/>
    <mergeCell ref="N27:N35"/>
    <mergeCell ref="X25:X26"/>
    <mergeCell ref="W1:W3"/>
    <mergeCell ref="X3:Y3"/>
    <mergeCell ref="Y21:Y22"/>
    <mergeCell ref="L23:L24"/>
    <mergeCell ref="M23:M24"/>
    <mergeCell ref="O23:O24"/>
    <mergeCell ref="Y23:Y24"/>
    <mergeCell ref="N21:N22"/>
    <mergeCell ref="N23:N24"/>
    <mergeCell ref="X21:X22"/>
    <mergeCell ref="X23:X24"/>
    <mergeCell ref="L21:L22"/>
    <mergeCell ref="Y39:Y43"/>
    <mergeCell ref="N36:N38"/>
    <mergeCell ref="N39:N40"/>
    <mergeCell ref="X36:X38"/>
    <mergeCell ref="X39:X43"/>
    <mergeCell ref="L36:L38"/>
    <mergeCell ref="M36:M38"/>
    <mergeCell ref="O36:O38"/>
    <mergeCell ref="Y36:Y38"/>
    <mergeCell ref="Y25:Y26"/>
    <mergeCell ref="Y27:Y35"/>
    <mergeCell ref="X2:Y2"/>
    <mergeCell ref="X1:Y1"/>
    <mergeCell ref="Y6:Y7"/>
    <mergeCell ref="O6:O7"/>
    <mergeCell ref="I6:K7"/>
    <mergeCell ref="L6:L7"/>
    <mergeCell ref="M6:M7"/>
    <mergeCell ref="W6:W7"/>
    <mergeCell ref="X6:X7"/>
    <mergeCell ref="N6:N7"/>
    <mergeCell ref="X4:Y4"/>
    <mergeCell ref="X5:Y5"/>
    <mergeCell ref="Y13:Y18"/>
    <mergeCell ref="L19:L20"/>
    <mergeCell ref="M19:M20"/>
    <mergeCell ref="O19:O20"/>
    <mergeCell ref="Y19:Y20"/>
    <mergeCell ref="X13:X18"/>
    <mergeCell ref="X19:X20"/>
    <mergeCell ref="L9:L11"/>
    <mergeCell ref="L797:L798"/>
    <mergeCell ref="M797:M798"/>
    <mergeCell ref="L799:L800"/>
    <mergeCell ref="X799:X801"/>
    <mergeCell ref="L804:L806"/>
    <mergeCell ref="M804:M806"/>
    <mergeCell ref="X804:X806"/>
    <mergeCell ref="L807:L811"/>
    <mergeCell ref="M807:M811"/>
    <mergeCell ref="X807:X811"/>
    <mergeCell ref="L774:L777"/>
    <mergeCell ref="L781:L782"/>
    <mergeCell ref="M781:M788"/>
    <mergeCell ref="X781:X782"/>
    <mergeCell ref="L783:L785"/>
    <mergeCell ref="X783:X785"/>
    <mergeCell ref="L786:L788"/>
    <mergeCell ref="X786:X788"/>
    <mergeCell ref="L789:L796"/>
    <mergeCell ref="O789:O796"/>
    <mergeCell ref="X789:X796"/>
    <mergeCell ref="N789:N796"/>
    <mergeCell ref="L778:L780"/>
    <mergeCell ref="X778:X780"/>
    <mergeCell ref="L836:L838"/>
    <mergeCell ref="M836:M838"/>
    <mergeCell ref="L839:L843"/>
    <mergeCell ref="L845:L846"/>
    <mergeCell ref="X845:X846"/>
    <mergeCell ref="L848:L849"/>
    <mergeCell ref="X848:X849"/>
    <mergeCell ref="L853:L854"/>
    <mergeCell ref="X853:X854"/>
    <mergeCell ref="L813:L815"/>
    <mergeCell ref="M813:M815"/>
    <mergeCell ref="X813:X815"/>
    <mergeCell ref="L817:L818"/>
    <mergeCell ref="M817:M818"/>
    <mergeCell ref="X817:X818"/>
    <mergeCell ref="L820:L823"/>
    <mergeCell ref="M820:M823"/>
    <mergeCell ref="X820:X823"/>
    <mergeCell ref="X839:X841"/>
    <mergeCell ref="X842:X843"/>
    <mergeCell ref="M839:M854"/>
    <mergeCell ref="L872:L873"/>
    <mergeCell ref="X872:X873"/>
    <mergeCell ref="L876:L878"/>
    <mergeCell ref="X876:X878"/>
    <mergeCell ref="L879:L881"/>
    <mergeCell ref="X879:X881"/>
    <mergeCell ref="L882:L884"/>
    <mergeCell ref="X882:X884"/>
    <mergeCell ref="L885:L890"/>
    <mergeCell ref="M885:M890"/>
    <mergeCell ref="X885:X890"/>
    <mergeCell ref="L855:L856"/>
    <mergeCell ref="X855:X857"/>
    <mergeCell ref="L860:L861"/>
    <mergeCell ref="X860:X861"/>
    <mergeCell ref="L863:L866"/>
    <mergeCell ref="X863:X866"/>
    <mergeCell ref="L867:L868"/>
    <mergeCell ref="X867:X868"/>
    <mergeCell ref="L869:L871"/>
    <mergeCell ref="X869:X871"/>
    <mergeCell ref="L911:L915"/>
    <mergeCell ref="M911:M915"/>
    <mergeCell ref="O911:O915"/>
    <mergeCell ref="W911:W912"/>
    <mergeCell ref="X911:X916"/>
    <mergeCell ref="L917:L919"/>
    <mergeCell ref="X917:X919"/>
    <mergeCell ref="L920:L921"/>
    <mergeCell ref="X920:X921"/>
    <mergeCell ref="L891:L896"/>
    <mergeCell ref="M891:M896"/>
    <mergeCell ref="X891:X896"/>
    <mergeCell ref="L897:L898"/>
    <mergeCell ref="M897:M898"/>
    <mergeCell ref="L899:L900"/>
    <mergeCell ref="X899:X900"/>
    <mergeCell ref="L904:L905"/>
    <mergeCell ref="L907:L910"/>
    <mergeCell ref="M907:M910"/>
    <mergeCell ref="X907:X910"/>
    <mergeCell ref="N911:N915"/>
    <mergeCell ref="L946:L951"/>
    <mergeCell ref="M946:M951"/>
    <mergeCell ref="O946:O951"/>
    <mergeCell ref="X946:X952"/>
    <mergeCell ref="L953:L954"/>
    <mergeCell ref="M953:M954"/>
    <mergeCell ref="O953:O954"/>
    <mergeCell ref="X953:X954"/>
    <mergeCell ref="L955:L957"/>
    <mergeCell ref="M955:M957"/>
    <mergeCell ref="O955:O957"/>
    <mergeCell ref="X955:X957"/>
    <mergeCell ref="L924:L925"/>
    <mergeCell ref="M924:M925"/>
    <mergeCell ref="X924:X936"/>
    <mergeCell ref="L927:L932"/>
    <mergeCell ref="L933:L936"/>
    <mergeCell ref="L937:L938"/>
    <mergeCell ref="M937:M938"/>
    <mergeCell ref="X937:X939"/>
    <mergeCell ref="L940:L944"/>
    <mergeCell ref="M940:M944"/>
    <mergeCell ref="X940:X944"/>
    <mergeCell ref="N955:N957"/>
    <mergeCell ref="N953:N954"/>
    <mergeCell ref="N946:N951"/>
    <mergeCell ref="L977:L981"/>
    <mergeCell ref="M977:M981"/>
    <mergeCell ref="O977:O981"/>
    <mergeCell ref="X977:X984"/>
    <mergeCell ref="L985:L992"/>
    <mergeCell ref="X985:X992"/>
    <mergeCell ref="L994:L1001"/>
    <mergeCell ref="X994:X999"/>
    <mergeCell ref="X1000:X1006"/>
    <mergeCell ref="L1002:L1003"/>
    <mergeCell ref="L958:L960"/>
    <mergeCell ref="M958:M960"/>
    <mergeCell ref="O958:O960"/>
    <mergeCell ref="X958:X960"/>
    <mergeCell ref="L962:L967"/>
    <mergeCell ref="M962:M967"/>
    <mergeCell ref="X962:X968"/>
    <mergeCell ref="L969:L976"/>
    <mergeCell ref="X969:X976"/>
    <mergeCell ref="N977:N981"/>
    <mergeCell ref="N958:N960"/>
    <mergeCell ref="X1033:X1037"/>
    <mergeCell ref="L1040:L1042"/>
    <mergeCell ref="X1043:X1047"/>
    <mergeCell ref="L1048:L1049"/>
    <mergeCell ref="M1048:M1049"/>
    <mergeCell ref="O1048:O1049"/>
    <mergeCell ref="X1048:X1049"/>
    <mergeCell ref="L1051:L1053"/>
    <mergeCell ref="M1051:M1054"/>
    <mergeCell ref="O1051:O1054"/>
    <mergeCell ref="X1051:X1054"/>
    <mergeCell ref="L1007:L1011"/>
    <mergeCell ref="M1007:M1011"/>
    <mergeCell ref="O1007:O1011"/>
    <mergeCell ref="X1007:X1011"/>
    <mergeCell ref="X1013:X1018"/>
    <mergeCell ref="X1019:X1021"/>
    <mergeCell ref="X1022:X1026"/>
    <mergeCell ref="X1027:X1029"/>
    <mergeCell ref="L1030:L1032"/>
    <mergeCell ref="N1051:N1054"/>
    <mergeCell ref="N1048:N1049"/>
    <mergeCell ref="N1007:N1011"/>
    <mergeCell ref="M1074:M1075"/>
    <mergeCell ref="O1074:O1075"/>
    <mergeCell ref="X1074:X1075"/>
    <mergeCell ref="M1076:M1077"/>
    <mergeCell ref="O1076:O1077"/>
    <mergeCell ref="X1076:X1077"/>
    <mergeCell ref="L1080:L1081"/>
    <mergeCell ref="X1080:X1081"/>
    <mergeCell ref="X1082:X1083"/>
    <mergeCell ref="L1055:L1057"/>
    <mergeCell ref="O1055:O1057"/>
    <mergeCell ref="X1055:X1060"/>
    <mergeCell ref="X1061:X1067"/>
    <mergeCell ref="L1063:L1066"/>
    <mergeCell ref="L1068:L1069"/>
    <mergeCell ref="M1068:M1069"/>
    <mergeCell ref="O1068:O1069"/>
    <mergeCell ref="X1068:X1072"/>
    <mergeCell ref="L1071:L1072"/>
    <mergeCell ref="N1076:N1077"/>
    <mergeCell ref="N1074:N1075"/>
    <mergeCell ref="N1068:N1069"/>
    <mergeCell ref="N1055:N1057"/>
    <mergeCell ref="X1114:X1115"/>
    <mergeCell ref="L1117:L1119"/>
    <mergeCell ref="O1117:O1119"/>
    <mergeCell ref="X1117:X1124"/>
    <mergeCell ref="L1126:L1127"/>
    <mergeCell ref="L1128:L1129"/>
    <mergeCell ref="M1128:M1129"/>
    <mergeCell ref="O1128:O1129"/>
    <mergeCell ref="X1128:X1129"/>
    <mergeCell ref="L1084:L1088"/>
    <mergeCell ref="O1084:O1088"/>
    <mergeCell ref="X1084:X1092"/>
    <mergeCell ref="X1094:X1111"/>
    <mergeCell ref="L1100:L1101"/>
    <mergeCell ref="O1100:O1101"/>
    <mergeCell ref="L1112:L1113"/>
    <mergeCell ref="M1112:M1113"/>
    <mergeCell ref="O1112:O1113"/>
    <mergeCell ref="X1112:X1113"/>
    <mergeCell ref="N1128:N1129"/>
    <mergeCell ref="N1117:N1119"/>
    <mergeCell ref="N1112:N1113"/>
    <mergeCell ref="N1100:N1101"/>
    <mergeCell ref="N1084:N1088"/>
    <mergeCell ref="L1140:L1141"/>
    <mergeCell ref="M1140:M1141"/>
    <mergeCell ref="O1140:O1141"/>
    <mergeCell ref="L1142:L1143"/>
    <mergeCell ref="X1142:X1143"/>
    <mergeCell ref="L1144:L1145"/>
    <mergeCell ref="X1144:X1145"/>
    <mergeCell ref="L1146:L1147"/>
    <mergeCell ref="X1146:X1147"/>
    <mergeCell ref="L1130:L1131"/>
    <mergeCell ref="M1130:M1131"/>
    <mergeCell ref="O1130:O1131"/>
    <mergeCell ref="X1130:X1131"/>
    <mergeCell ref="L1132:L1133"/>
    <mergeCell ref="M1132:M1133"/>
    <mergeCell ref="O1132:O1133"/>
    <mergeCell ref="X1132:X1133"/>
    <mergeCell ref="X1137:X1138"/>
    <mergeCell ref="N1140:N1141"/>
    <mergeCell ref="N1132:N1133"/>
    <mergeCell ref="N1130:N1131"/>
    <mergeCell ref="L1163:L1167"/>
    <mergeCell ref="X1163:X1167"/>
    <mergeCell ref="L1168:L1169"/>
    <mergeCell ref="M1168:M1169"/>
    <mergeCell ref="O1168:O1169"/>
    <mergeCell ref="X1168:X1169"/>
    <mergeCell ref="L1170:L1171"/>
    <mergeCell ref="O1170:O1171"/>
    <mergeCell ref="L1174:L1175"/>
    <mergeCell ref="L1148:L1149"/>
    <mergeCell ref="X1148:X1149"/>
    <mergeCell ref="L1150:L1151"/>
    <mergeCell ref="X1150:X1151"/>
    <mergeCell ref="L1153:L1154"/>
    <mergeCell ref="X1153:X1154"/>
    <mergeCell ref="L1156:L1157"/>
    <mergeCell ref="X1156:X1157"/>
    <mergeCell ref="L1158:L1159"/>
    <mergeCell ref="X1158:X1160"/>
    <mergeCell ref="N1170:N1171"/>
    <mergeCell ref="N1168:N1169"/>
    <mergeCell ref="L1191:L1192"/>
    <mergeCell ref="X1191:X1192"/>
    <mergeCell ref="L1193:L1194"/>
    <mergeCell ref="X1193:X1194"/>
    <mergeCell ref="L1195:L1196"/>
    <mergeCell ref="X1195:X1196"/>
    <mergeCell ref="L1197:L1198"/>
    <mergeCell ref="M1197:M1198"/>
    <mergeCell ref="O1197:O1198"/>
    <mergeCell ref="L1176:L1177"/>
    <mergeCell ref="X1176:X1177"/>
    <mergeCell ref="L1180:L1181"/>
    <mergeCell ref="X1180:X1181"/>
    <mergeCell ref="L1182:L1183"/>
    <mergeCell ref="X1182:X1184"/>
    <mergeCell ref="L1186:L1187"/>
    <mergeCell ref="X1186:X1187"/>
    <mergeCell ref="L1188:L1190"/>
    <mergeCell ref="N1197:N1198"/>
    <mergeCell ref="L1215:L1217"/>
    <mergeCell ref="X1215:X1217"/>
    <mergeCell ref="L1218:L1219"/>
    <mergeCell ref="X1218:X1219"/>
    <mergeCell ref="L1221:L1224"/>
    <mergeCell ref="O1221:O1228"/>
    <mergeCell ref="X1221:X1228"/>
    <mergeCell ref="W1223:W1224"/>
    <mergeCell ref="L1225:L1227"/>
    <mergeCell ref="L1200:L1201"/>
    <mergeCell ref="X1200:X1201"/>
    <mergeCell ref="L1202:L1203"/>
    <mergeCell ref="L1204:L1206"/>
    <mergeCell ref="X1204:X1206"/>
    <mergeCell ref="L1207:L1208"/>
    <mergeCell ref="X1207:X1214"/>
    <mergeCell ref="L1209:L1210"/>
    <mergeCell ref="L1211:L1212"/>
    <mergeCell ref="L1213:L1214"/>
    <mergeCell ref="N1221:N1228"/>
    <mergeCell ref="L1245:L1247"/>
    <mergeCell ref="O1245:O1247"/>
    <mergeCell ref="X1245:X1249"/>
    <mergeCell ref="L1250:L1252"/>
    <mergeCell ref="O1250:O1252"/>
    <mergeCell ref="X1250:X1254"/>
    <mergeCell ref="L1255:L1256"/>
    <mergeCell ref="M1255:M1256"/>
    <mergeCell ref="O1255:O1256"/>
    <mergeCell ref="X1255:X1257"/>
    <mergeCell ref="L1232:L1233"/>
    <mergeCell ref="L1234:L1235"/>
    <mergeCell ref="O1234:O1235"/>
    <mergeCell ref="X1234:X1237"/>
    <mergeCell ref="L1238:L1239"/>
    <mergeCell ref="M1238:M1239"/>
    <mergeCell ref="O1238:O1239"/>
    <mergeCell ref="X1238:X1239"/>
    <mergeCell ref="L1241:L1242"/>
    <mergeCell ref="O1241:O1242"/>
    <mergeCell ref="X1241:X1244"/>
    <mergeCell ref="N1255:N1256"/>
    <mergeCell ref="N1250:N1252"/>
    <mergeCell ref="N1245:N1247"/>
    <mergeCell ref="N1241:N1242"/>
    <mergeCell ref="N1238:N1239"/>
    <mergeCell ref="N1234:N1235"/>
    <mergeCell ref="L1268:L1272"/>
    <mergeCell ref="M1268:M1272"/>
    <mergeCell ref="O1268:O1272"/>
    <mergeCell ref="X1268:X1272"/>
    <mergeCell ref="L1273:L1274"/>
    <mergeCell ref="M1273:M1274"/>
    <mergeCell ref="O1273:O1274"/>
    <mergeCell ref="X1273:X1274"/>
    <mergeCell ref="L1282:L1287"/>
    <mergeCell ref="M1282:M1287"/>
    <mergeCell ref="O1282:O1287"/>
    <mergeCell ref="W1282:W1287"/>
    <mergeCell ref="X1282:X1287"/>
    <mergeCell ref="L1258:L1259"/>
    <mergeCell ref="M1258:M1259"/>
    <mergeCell ref="O1258:O1259"/>
    <mergeCell ref="X1258:X1259"/>
    <mergeCell ref="L1260:L1262"/>
    <mergeCell ref="M1260:M1262"/>
    <mergeCell ref="O1260:O1262"/>
    <mergeCell ref="X1260:X1262"/>
    <mergeCell ref="L1264:L1266"/>
    <mergeCell ref="M1264:M1266"/>
    <mergeCell ref="O1264:O1266"/>
    <mergeCell ref="X1264:X1266"/>
    <mergeCell ref="N1273:N1274"/>
    <mergeCell ref="N1268:N1272"/>
    <mergeCell ref="N1264:N1266"/>
    <mergeCell ref="N1260:N1262"/>
    <mergeCell ref="N1258:N1259"/>
    <mergeCell ref="N1282:N1287"/>
    <mergeCell ref="O1309:O1311"/>
    <mergeCell ref="X1309:X1314"/>
    <mergeCell ref="L1313:L1314"/>
    <mergeCell ref="M1313:M1314"/>
    <mergeCell ref="L1315:L1316"/>
    <mergeCell ref="M1315:M1316"/>
    <mergeCell ref="O1315:O1316"/>
    <mergeCell ref="L1324:L1325"/>
    <mergeCell ref="X1324:X1325"/>
    <mergeCell ref="L1289:L1291"/>
    <mergeCell ref="L1292:L1293"/>
    <mergeCell ref="X1298:X1300"/>
    <mergeCell ref="L1299:L1300"/>
    <mergeCell ref="L1301:L1303"/>
    <mergeCell ref="M1301:M1303"/>
    <mergeCell ref="O1301:O1303"/>
    <mergeCell ref="X1301:X1308"/>
    <mergeCell ref="L1304:L1305"/>
    <mergeCell ref="L1307:L1308"/>
    <mergeCell ref="N1315:N1316"/>
    <mergeCell ref="N1309:N1311"/>
    <mergeCell ref="N1301:N1303"/>
    <mergeCell ref="X1295:X1297"/>
    <mergeCell ref="L1336:L1337"/>
    <mergeCell ref="M1336:M1337"/>
    <mergeCell ref="O1336:O1337"/>
    <mergeCell ref="L1341:L1342"/>
    <mergeCell ref="M1341:M1342"/>
    <mergeCell ref="X1341:X1342"/>
    <mergeCell ref="L1344:L1345"/>
    <mergeCell ref="L1346:L1348"/>
    <mergeCell ref="X1346:X1348"/>
    <mergeCell ref="L1327:L1328"/>
    <mergeCell ref="M1327:M1328"/>
    <mergeCell ref="O1327:O1328"/>
    <mergeCell ref="X1327:X1328"/>
    <mergeCell ref="L1329:L1330"/>
    <mergeCell ref="M1329:M1330"/>
    <mergeCell ref="O1329:O1330"/>
    <mergeCell ref="X1329:X1330"/>
    <mergeCell ref="L1331:L1334"/>
    <mergeCell ref="M1331:M1334"/>
    <mergeCell ref="O1331:O1334"/>
    <mergeCell ref="X1331:X1334"/>
    <mergeCell ref="N1336:N1337"/>
    <mergeCell ref="N1331:N1334"/>
    <mergeCell ref="N1329:N1330"/>
    <mergeCell ref="N1327:N1328"/>
    <mergeCell ref="M1346:M1348"/>
    <mergeCell ref="N1346:N1348"/>
    <mergeCell ref="O1346:O1348"/>
    <mergeCell ref="L1374:L1375"/>
    <mergeCell ref="M1374:M1375"/>
    <mergeCell ref="O1374:O1375"/>
    <mergeCell ref="X1374:X1375"/>
    <mergeCell ref="L1376:L1377"/>
    <mergeCell ref="M1376:M1377"/>
    <mergeCell ref="O1376:O1377"/>
    <mergeCell ref="X1376:X1377"/>
    <mergeCell ref="L1378:L1379"/>
    <mergeCell ref="M1378:M1379"/>
    <mergeCell ref="O1378:O1379"/>
    <mergeCell ref="X1378:X1379"/>
    <mergeCell ref="L1349:L1351"/>
    <mergeCell ref="O1349:O1351"/>
    <mergeCell ref="X1349:X1355"/>
    <mergeCell ref="L1352:L1353"/>
    <mergeCell ref="M1352:M1353"/>
    <mergeCell ref="L1354:L1355"/>
    <mergeCell ref="M1354:M1355"/>
    <mergeCell ref="L1356:L1357"/>
    <mergeCell ref="O1356:O1357"/>
    <mergeCell ref="X1356:X1363"/>
    <mergeCell ref="L1360:L1361"/>
    <mergeCell ref="L1362:L1363"/>
    <mergeCell ref="N1378:N1379"/>
    <mergeCell ref="N1376:N1377"/>
    <mergeCell ref="N1374:N1375"/>
    <mergeCell ref="N1356:N1357"/>
    <mergeCell ref="N1349:N1351"/>
    <mergeCell ref="L1391:L1392"/>
    <mergeCell ref="X1394:X1396"/>
    <mergeCell ref="L1395:L1396"/>
    <mergeCell ref="L1397:L1399"/>
    <mergeCell ref="M1397:M1399"/>
    <mergeCell ref="O1397:O1399"/>
    <mergeCell ref="X1397:X1399"/>
    <mergeCell ref="L1400:L1402"/>
    <mergeCell ref="M1400:M1402"/>
    <mergeCell ref="O1400:O1402"/>
    <mergeCell ref="X1400:X1404"/>
    <mergeCell ref="L1403:L1404"/>
    <mergeCell ref="L1380:L1383"/>
    <mergeCell ref="M1380:M1383"/>
    <mergeCell ref="O1380:O1383"/>
    <mergeCell ref="X1380:X1388"/>
    <mergeCell ref="L1384:L1386"/>
    <mergeCell ref="L1387:L1388"/>
    <mergeCell ref="L1389:L1390"/>
    <mergeCell ref="M1389:M1390"/>
    <mergeCell ref="O1389:O1390"/>
    <mergeCell ref="X1389:X1390"/>
    <mergeCell ref="N1400:N1402"/>
    <mergeCell ref="N1397:N1399"/>
    <mergeCell ref="N1389:N1390"/>
    <mergeCell ref="N1380:N1383"/>
    <mergeCell ref="Y820:Y823"/>
    <mergeCell ref="Y845:Y846"/>
    <mergeCell ref="Y848:Y849"/>
    <mergeCell ref="Y853:Y854"/>
    <mergeCell ref="Y855:Y857"/>
    <mergeCell ref="Y860:Y861"/>
    <mergeCell ref="Y863:Y866"/>
    <mergeCell ref="Y867:Y868"/>
    <mergeCell ref="Y781:Y782"/>
    <mergeCell ref="Y783:Y785"/>
    <mergeCell ref="Y786:Y788"/>
    <mergeCell ref="Y789:Y796"/>
    <mergeCell ref="Y799:Y801"/>
    <mergeCell ref="Y804:Y806"/>
    <mergeCell ref="Y807:Y811"/>
    <mergeCell ref="Y813:Y815"/>
    <mergeCell ref="Y817:Y818"/>
    <mergeCell ref="Y839:Y841"/>
    <mergeCell ref="Y842:Y843"/>
    <mergeCell ref="Y911:Y916"/>
    <mergeCell ref="Y917:Y919"/>
    <mergeCell ref="Y920:Y921"/>
    <mergeCell ref="Y924:Y936"/>
    <mergeCell ref="Y937:Y939"/>
    <mergeCell ref="Y940:Y944"/>
    <mergeCell ref="Y946:Y952"/>
    <mergeCell ref="Y953:Y954"/>
    <mergeCell ref="Y955:Y957"/>
    <mergeCell ref="Y869:Y871"/>
    <mergeCell ref="Y872:Y873"/>
    <mergeCell ref="Y876:Y878"/>
    <mergeCell ref="Y879:Y881"/>
    <mergeCell ref="Y882:Y884"/>
    <mergeCell ref="Y885:Y890"/>
    <mergeCell ref="Y891:Y896"/>
    <mergeCell ref="Y899:Y900"/>
    <mergeCell ref="Y907:Y910"/>
    <mergeCell ref="Y1019:Y1021"/>
    <mergeCell ref="Y1022:Y1026"/>
    <mergeCell ref="Y1027:Y1029"/>
    <mergeCell ref="Y1033:Y1037"/>
    <mergeCell ref="Y1043:Y1047"/>
    <mergeCell ref="Y1048:Y1049"/>
    <mergeCell ref="Y1051:Y1054"/>
    <mergeCell ref="Y1055:Y1060"/>
    <mergeCell ref="Y1061:Y1067"/>
    <mergeCell ref="Y958:Y960"/>
    <mergeCell ref="Y962:Y968"/>
    <mergeCell ref="Y969:Y976"/>
    <mergeCell ref="Y977:Y984"/>
    <mergeCell ref="Y985:Y992"/>
    <mergeCell ref="Y994:Y999"/>
    <mergeCell ref="Y1000:Y1006"/>
    <mergeCell ref="Y1007:Y1011"/>
    <mergeCell ref="Y1013:Y1018"/>
    <mergeCell ref="Y1117:Y1124"/>
    <mergeCell ref="Y1128:Y1129"/>
    <mergeCell ref="Y1130:Y1131"/>
    <mergeCell ref="Y1132:Y1133"/>
    <mergeCell ref="Y1137:Y1138"/>
    <mergeCell ref="Y1142:Y1143"/>
    <mergeCell ref="Y1144:Y1145"/>
    <mergeCell ref="Y1146:Y1147"/>
    <mergeCell ref="Y1148:Y1149"/>
    <mergeCell ref="Y1068:Y1072"/>
    <mergeCell ref="Y1074:Y1075"/>
    <mergeCell ref="Y1076:Y1077"/>
    <mergeCell ref="Y1080:Y1081"/>
    <mergeCell ref="Y1082:Y1083"/>
    <mergeCell ref="Y1084:Y1092"/>
    <mergeCell ref="Y1094:Y1111"/>
    <mergeCell ref="Y1112:Y1113"/>
    <mergeCell ref="Y1114:Y1115"/>
    <mergeCell ref="Y1250:Y1254"/>
    <mergeCell ref="Y1255:Y1257"/>
    <mergeCell ref="Y1258:Y1259"/>
    <mergeCell ref="Y1260:Y1262"/>
    <mergeCell ref="Y1186:Y1187"/>
    <mergeCell ref="Y1191:Y1192"/>
    <mergeCell ref="Y1193:Y1194"/>
    <mergeCell ref="Y1195:Y1196"/>
    <mergeCell ref="Y1200:Y1201"/>
    <mergeCell ref="Y1204:Y1206"/>
    <mergeCell ref="Y1207:Y1214"/>
    <mergeCell ref="Y1215:Y1217"/>
    <mergeCell ref="Y1218:Y1219"/>
    <mergeCell ref="Y1150:Y1151"/>
    <mergeCell ref="Y1153:Y1154"/>
    <mergeCell ref="Y1156:Y1157"/>
    <mergeCell ref="Y1158:Y1160"/>
    <mergeCell ref="Y1163:Y1167"/>
    <mergeCell ref="Y1168:Y1169"/>
    <mergeCell ref="Y1176:Y1177"/>
    <mergeCell ref="Y1180:Y1181"/>
    <mergeCell ref="Y1182:Y1184"/>
    <mergeCell ref="A1:H3"/>
    <mergeCell ref="A4:A6"/>
    <mergeCell ref="G4:G6"/>
    <mergeCell ref="H4:H6"/>
    <mergeCell ref="Y1380:Y1388"/>
    <mergeCell ref="Y1389:Y1390"/>
    <mergeCell ref="Y1394:Y1396"/>
    <mergeCell ref="Y1397:Y1399"/>
    <mergeCell ref="Y1400:Y1404"/>
    <mergeCell ref="Y1329:Y1330"/>
    <mergeCell ref="Y1331:Y1334"/>
    <mergeCell ref="Y1341:Y1342"/>
    <mergeCell ref="Y1346:Y1348"/>
    <mergeCell ref="Y1349:Y1355"/>
    <mergeCell ref="Y1356:Y1363"/>
    <mergeCell ref="Y1374:Y1375"/>
    <mergeCell ref="Y1376:Y1377"/>
    <mergeCell ref="Y1378:Y1379"/>
    <mergeCell ref="Y1264:Y1266"/>
    <mergeCell ref="Y1268:Y1272"/>
    <mergeCell ref="Y1273:Y1274"/>
    <mergeCell ref="Y1282:Y1287"/>
    <mergeCell ref="Y1298:Y1300"/>
    <mergeCell ref="Y1301:Y1308"/>
    <mergeCell ref="Y1309:Y1314"/>
    <mergeCell ref="Y1324:Y1325"/>
    <mergeCell ref="Y1327:Y1328"/>
    <mergeCell ref="Y1221:Y1228"/>
    <mergeCell ref="Y1234:Y1237"/>
    <mergeCell ref="Y1238:Y1239"/>
    <mergeCell ref="Y1241:Y1244"/>
    <mergeCell ref="Y1245:Y1249"/>
    <mergeCell ref="Z13:Z18"/>
    <mergeCell ref="Z19:Z20"/>
    <mergeCell ref="Z21:Z22"/>
    <mergeCell ref="Z23:Z24"/>
    <mergeCell ref="Z25:Z26"/>
    <mergeCell ref="Z27:Z35"/>
    <mergeCell ref="Z36:Z38"/>
    <mergeCell ref="Z39:Z43"/>
    <mergeCell ref="Z45:Z48"/>
    <mergeCell ref="Z50:Z54"/>
    <mergeCell ref="Z55:Z66"/>
    <mergeCell ref="Z67:Z79"/>
    <mergeCell ref="Z80:Z92"/>
    <mergeCell ref="Z93:Z99"/>
    <mergeCell ref="Z100:Z102"/>
    <mergeCell ref="Z103:Z106"/>
    <mergeCell ref="Z107:Z113"/>
    <mergeCell ref="Z114:Z118"/>
    <mergeCell ref="Z119:Z122"/>
    <mergeCell ref="Z123:Z128"/>
    <mergeCell ref="Z129:Z130"/>
    <mergeCell ref="Z131:Z132"/>
    <mergeCell ref="Z133:Z134"/>
    <mergeCell ref="Z135:Z139"/>
    <mergeCell ref="Z141:Z145"/>
    <mergeCell ref="Z146:Z147"/>
    <mergeCell ref="Z148:Z150"/>
    <mergeCell ref="Z151:Z152"/>
    <mergeCell ref="Z153:Z154"/>
    <mergeCell ref="Z155:Z156"/>
    <mergeCell ref="Z157:Z163"/>
    <mergeCell ref="Z164:Z169"/>
    <mergeCell ref="Z170:Z174"/>
    <mergeCell ref="Z178:Z182"/>
    <mergeCell ref="Z183:Z189"/>
    <mergeCell ref="Z190:Z192"/>
    <mergeCell ref="Z193:Z194"/>
    <mergeCell ref="Z196:Z197"/>
    <mergeCell ref="Z198:Z199"/>
    <mergeCell ref="Z200:Z203"/>
    <mergeCell ref="Z204:Z206"/>
    <mergeCell ref="Z208:Z215"/>
    <mergeCell ref="Z223:Z224"/>
    <mergeCell ref="Z226:Z229"/>
    <mergeCell ref="Z230:Z234"/>
    <mergeCell ref="Z236:Z245"/>
    <mergeCell ref="Z246:Z248"/>
    <mergeCell ref="Z249:Z254"/>
    <mergeCell ref="Z256:Z257"/>
    <mergeCell ref="Z258:Z263"/>
    <mergeCell ref="Z268:Z281"/>
    <mergeCell ref="Z284:Z286"/>
    <mergeCell ref="Z287:Z289"/>
    <mergeCell ref="Z299:Z301"/>
    <mergeCell ref="Z310:Z314"/>
    <mergeCell ref="Z315:Z332"/>
    <mergeCell ref="Z333:Z340"/>
    <mergeCell ref="Z341:Z346"/>
    <mergeCell ref="Z352:Z354"/>
    <mergeCell ref="Z355:Z356"/>
    <mergeCell ref="Z357:Z360"/>
    <mergeCell ref="Z362:Z363"/>
    <mergeCell ref="Z364:Z365"/>
    <mergeCell ref="Z370:Z371"/>
    <mergeCell ref="Z376:Z377"/>
    <mergeCell ref="Z378:Z379"/>
    <mergeCell ref="Z381:Z386"/>
    <mergeCell ref="Z390:Z400"/>
    <mergeCell ref="Z403:Z404"/>
    <mergeCell ref="Z405:Z407"/>
    <mergeCell ref="Z408:Z409"/>
    <mergeCell ref="Z410:Z411"/>
    <mergeCell ref="Z412:Z415"/>
    <mergeCell ref="Z416:Z418"/>
    <mergeCell ref="Z424:Z433"/>
    <mergeCell ref="Z434:Z436"/>
    <mergeCell ref="Z438:Z441"/>
    <mergeCell ref="Z442:Z447"/>
    <mergeCell ref="Z448:Z449"/>
    <mergeCell ref="Z452:Z463"/>
    <mergeCell ref="Z464:Z465"/>
    <mergeCell ref="Z466:Z468"/>
    <mergeCell ref="Z469:Z472"/>
    <mergeCell ref="Z475:Z476"/>
    <mergeCell ref="Z483:Z484"/>
    <mergeCell ref="Z486:Z488"/>
    <mergeCell ref="Z489:Z491"/>
    <mergeCell ref="Z493:Z497"/>
    <mergeCell ref="Z498:Z499"/>
    <mergeCell ref="Z504:Z509"/>
    <mergeCell ref="Z510:Z516"/>
    <mergeCell ref="Z517:Z519"/>
    <mergeCell ref="Z521:Z522"/>
    <mergeCell ref="Z523:Z524"/>
    <mergeCell ref="Z525:Z526"/>
    <mergeCell ref="Z527:Z528"/>
    <mergeCell ref="Z533:Z547"/>
    <mergeCell ref="Z548:Z556"/>
    <mergeCell ref="Z561:Z567"/>
    <mergeCell ref="Z574:Z589"/>
    <mergeCell ref="Z602:Z603"/>
    <mergeCell ref="Z605:Z606"/>
    <mergeCell ref="Z607:Z612"/>
    <mergeCell ref="Z616:Z617"/>
    <mergeCell ref="Z619:Z620"/>
    <mergeCell ref="Z622:Z629"/>
    <mergeCell ref="Z631:Z633"/>
    <mergeCell ref="Z634:Z637"/>
    <mergeCell ref="Z647:Z655"/>
    <mergeCell ref="Z656:Z662"/>
    <mergeCell ref="Z663:Z664"/>
    <mergeCell ref="Z669:Z675"/>
    <mergeCell ref="Z676:Z682"/>
    <mergeCell ref="Z683:Z688"/>
    <mergeCell ref="Z689:Z694"/>
    <mergeCell ref="Z695:Z700"/>
    <mergeCell ref="Z701:Z706"/>
    <mergeCell ref="Z708:Z715"/>
    <mergeCell ref="Z725:Z726"/>
    <mergeCell ref="Z729:Z733"/>
    <mergeCell ref="Z734:Z737"/>
    <mergeCell ref="Z738:Z739"/>
    <mergeCell ref="Z740:Z741"/>
    <mergeCell ref="Z744:Z747"/>
    <mergeCell ref="Z748:Z749"/>
    <mergeCell ref="Z750:Z751"/>
    <mergeCell ref="Z757:Z765"/>
    <mergeCell ref="Z766:Z772"/>
    <mergeCell ref="Z781:Z782"/>
    <mergeCell ref="Z783:Z785"/>
    <mergeCell ref="Z786:Z788"/>
    <mergeCell ref="Z789:Z796"/>
    <mergeCell ref="Z799:Z801"/>
    <mergeCell ref="Z804:Z806"/>
    <mergeCell ref="Z807:Z811"/>
    <mergeCell ref="Z813:Z815"/>
    <mergeCell ref="Z817:Z818"/>
    <mergeCell ref="Z820:Z823"/>
    <mergeCell ref="Z839:Z841"/>
    <mergeCell ref="Z842:Z843"/>
    <mergeCell ref="Z845:Z846"/>
    <mergeCell ref="Z848:Z849"/>
    <mergeCell ref="Z853:Z854"/>
    <mergeCell ref="Z855:Z857"/>
    <mergeCell ref="Z860:Z861"/>
    <mergeCell ref="Z863:Z866"/>
    <mergeCell ref="Z867:Z868"/>
    <mergeCell ref="Z869:Z871"/>
    <mergeCell ref="Z872:Z873"/>
    <mergeCell ref="Z876:Z878"/>
    <mergeCell ref="Z879:Z881"/>
    <mergeCell ref="Z882:Z884"/>
    <mergeCell ref="Z885:Z890"/>
    <mergeCell ref="Z891:Z896"/>
    <mergeCell ref="Z899:Z900"/>
    <mergeCell ref="Z907:Z910"/>
    <mergeCell ref="Z911:Z916"/>
    <mergeCell ref="Z917:Z919"/>
    <mergeCell ref="Z920:Z921"/>
    <mergeCell ref="Z924:Z936"/>
    <mergeCell ref="Z937:Z939"/>
    <mergeCell ref="Z940:Z944"/>
    <mergeCell ref="Z946:Z952"/>
    <mergeCell ref="Z953:Z954"/>
    <mergeCell ref="Z955:Z957"/>
    <mergeCell ref="Z958:Z960"/>
    <mergeCell ref="Z962:Z968"/>
    <mergeCell ref="Z969:Z976"/>
    <mergeCell ref="Z977:Z984"/>
    <mergeCell ref="Z985:Z992"/>
    <mergeCell ref="Z994:Z999"/>
    <mergeCell ref="Z1000:Z1006"/>
    <mergeCell ref="Z1007:Z1011"/>
    <mergeCell ref="Z1013:Z1018"/>
    <mergeCell ref="Z1019:Z1021"/>
    <mergeCell ref="Z1022:Z1026"/>
    <mergeCell ref="Z1027:Z1029"/>
    <mergeCell ref="Z1033:Z1037"/>
    <mergeCell ref="Z1043:Z1047"/>
    <mergeCell ref="Z1048:Z1049"/>
    <mergeCell ref="Z1051:Z1054"/>
    <mergeCell ref="Z1055:Z1060"/>
    <mergeCell ref="Z1061:Z1067"/>
    <mergeCell ref="Z1068:Z1072"/>
    <mergeCell ref="Z1074:Z1075"/>
    <mergeCell ref="Z1076:Z1077"/>
    <mergeCell ref="Z1080:Z1081"/>
    <mergeCell ref="Z1082:Z1083"/>
    <mergeCell ref="Z1084:Z1092"/>
    <mergeCell ref="Z1094:Z1111"/>
    <mergeCell ref="Z1112:Z1113"/>
    <mergeCell ref="Z1114:Z1115"/>
    <mergeCell ref="Z1117:Z1124"/>
    <mergeCell ref="Z1128:Z1129"/>
    <mergeCell ref="Z1130:Z1131"/>
    <mergeCell ref="Z1132:Z1133"/>
    <mergeCell ref="Z1137:Z1138"/>
    <mergeCell ref="Z1142:Z1143"/>
    <mergeCell ref="Z1144:Z1145"/>
    <mergeCell ref="Z1146:Z1147"/>
    <mergeCell ref="Z1148:Z1149"/>
    <mergeCell ref="Z1150:Z1151"/>
    <mergeCell ref="Z1153:Z1154"/>
    <mergeCell ref="Z1156:Z1157"/>
    <mergeCell ref="Z1158:Z1160"/>
    <mergeCell ref="Z1163:Z1167"/>
    <mergeCell ref="Z1168:Z1169"/>
    <mergeCell ref="Z1176:Z1177"/>
    <mergeCell ref="Z1180:Z1181"/>
    <mergeCell ref="Z1182:Z1184"/>
    <mergeCell ref="Z1186:Z1187"/>
    <mergeCell ref="Z1191:Z1192"/>
    <mergeCell ref="Z1193:Z1194"/>
    <mergeCell ref="Z1195:Z1196"/>
    <mergeCell ref="Z1200:Z1201"/>
    <mergeCell ref="Z1204:Z1206"/>
    <mergeCell ref="Z1207:Z1214"/>
    <mergeCell ref="Z1215:Z1217"/>
    <mergeCell ref="Z1218:Z1219"/>
    <mergeCell ref="Z1221:Z1228"/>
    <mergeCell ref="Z1234:Z1237"/>
    <mergeCell ref="Z1238:Z1239"/>
    <mergeCell ref="Z1241:Z1244"/>
    <mergeCell ref="Z1245:Z1249"/>
    <mergeCell ref="Z1250:Z1254"/>
    <mergeCell ref="Z1255:Z1257"/>
    <mergeCell ref="Z1258:Z1259"/>
    <mergeCell ref="Z1260:Z1262"/>
    <mergeCell ref="Z1264:Z1266"/>
    <mergeCell ref="Z1268:Z1272"/>
    <mergeCell ref="Z1273:Z1274"/>
    <mergeCell ref="Z1282:Z1287"/>
    <mergeCell ref="Z1298:Z1300"/>
    <mergeCell ref="Z1301:Z1308"/>
    <mergeCell ref="Z1309:Z1314"/>
    <mergeCell ref="Z1324:Z1325"/>
    <mergeCell ref="Z1327:Z1328"/>
    <mergeCell ref="Z1329:Z1330"/>
    <mergeCell ref="Z1331:Z1334"/>
    <mergeCell ref="Z1341:Z1342"/>
    <mergeCell ref="Z1346:Z1348"/>
    <mergeCell ref="Z1349:Z1355"/>
    <mergeCell ref="Z1356:Z1363"/>
    <mergeCell ref="Z1374:Z1375"/>
    <mergeCell ref="Z1376:Z1377"/>
    <mergeCell ref="Z1378:Z1379"/>
    <mergeCell ref="Z1380:Z1388"/>
    <mergeCell ref="Z1389:Z1390"/>
    <mergeCell ref="Z1394:Z1396"/>
    <mergeCell ref="Z1397:Z1399"/>
    <mergeCell ref="Z1400:Z1404"/>
    <mergeCell ref="Z1421:Z1431"/>
    <mergeCell ref="Z1432:Z1436"/>
    <mergeCell ref="Z1437:Z1439"/>
    <mergeCell ref="Z1443:Z1448"/>
    <mergeCell ref="Z1450:Z1458"/>
    <mergeCell ref="Z1459:Z1463"/>
    <mergeCell ref="Z1464:Z1465"/>
    <mergeCell ref="Z1469:Z1472"/>
    <mergeCell ref="Z1474:Z1476"/>
    <mergeCell ref="Z1479:Z1480"/>
    <mergeCell ref="Z1481:Z1486"/>
    <mergeCell ref="Z1490:Z1493"/>
    <mergeCell ref="Z1494:Z1495"/>
    <mergeCell ref="Z1498:Z1500"/>
    <mergeCell ref="Z1504:Z1505"/>
    <mergeCell ref="Z1506:Z1508"/>
    <mergeCell ref="Z1512:Z1513"/>
    <mergeCell ref="Z1515:Z1518"/>
    <mergeCell ref="Z1519:Z1520"/>
    <mergeCell ref="Z1523:Z1533"/>
    <mergeCell ref="Z1537:Z1538"/>
    <mergeCell ref="Z1540:Z1541"/>
    <mergeCell ref="Z1547:Z1548"/>
    <mergeCell ref="Z1550:Z1552"/>
    <mergeCell ref="Z1558:Z1560"/>
    <mergeCell ref="Z1561:Z1562"/>
    <mergeCell ref="Z1563:Z1565"/>
    <mergeCell ref="Z1569:Z1574"/>
    <mergeCell ref="Z1575:Z1577"/>
    <mergeCell ref="Z1580:Z1582"/>
    <mergeCell ref="Z1583:Z1585"/>
    <mergeCell ref="Z1586:Z1589"/>
    <mergeCell ref="Z1590:Z1592"/>
    <mergeCell ref="Z1593:Z1595"/>
    <mergeCell ref="Z1599:Z1601"/>
    <mergeCell ref="Z1602:Z1603"/>
    <mergeCell ref="Z1604:Z1606"/>
    <mergeCell ref="Z1607:Z1608"/>
    <mergeCell ref="Z1609:Z1610"/>
    <mergeCell ref="Z1614:Z1615"/>
    <mergeCell ref="Z1616:Z1617"/>
    <mergeCell ref="Z1618:Z1623"/>
    <mergeCell ref="Z1628:Z1632"/>
    <mergeCell ref="Z1633:Z1643"/>
    <mergeCell ref="Z1647:Z1648"/>
    <mergeCell ref="Z1649:Z1651"/>
    <mergeCell ref="Z1652:Z1653"/>
    <mergeCell ref="Z1661:Z1670"/>
    <mergeCell ref="Z1671:Z1674"/>
    <mergeCell ref="Z1675:Z1680"/>
    <mergeCell ref="Z1681:Z1683"/>
    <mergeCell ref="Z1686:Z1687"/>
    <mergeCell ref="Z1689:Z1690"/>
    <mergeCell ref="Z1691:Z1695"/>
    <mergeCell ref="Z1696:Z1701"/>
    <mergeCell ref="Z1705:Z1709"/>
    <mergeCell ref="Z1711:Z1714"/>
    <mergeCell ref="Z1715:Z1719"/>
    <mergeCell ref="Z1720:Z1721"/>
    <mergeCell ref="Z1722:Z1725"/>
    <mergeCell ref="Z1728:Z1729"/>
    <mergeCell ref="Z1730:Z1731"/>
    <mergeCell ref="Z1736:Z1737"/>
    <mergeCell ref="Z1738:Z1739"/>
    <mergeCell ref="Z1740:Z1741"/>
    <mergeCell ref="Z1742:Z1744"/>
    <mergeCell ref="Z1745:Z1748"/>
    <mergeCell ref="Z1749:Z1752"/>
    <mergeCell ref="Z1753:Z1757"/>
    <mergeCell ref="Z1760:Z1761"/>
    <mergeCell ref="Z1762:Z1763"/>
    <mergeCell ref="Z1764:Z1766"/>
    <mergeCell ref="Z1877:Z1878"/>
    <mergeCell ref="Z1880:Z1881"/>
    <mergeCell ref="Z1882:Z1883"/>
    <mergeCell ref="Z1884:Z1885"/>
    <mergeCell ref="Z1888:Z1898"/>
    <mergeCell ref="Z1909:Z1911"/>
    <mergeCell ref="Z1912:Z1914"/>
    <mergeCell ref="Z1915:Z1916"/>
    <mergeCell ref="Z1918:Z1919"/>
    <mergeCell ref="Z1768:Z1776"/>
    <mergeCell ref="Z1777:Z1778"/>
    <mergeCell ref="Z1779:Z1781"/>
    <mergeCell ref="Z1782:Z1784"/>
    <mergeCell ref="Z1785:Z1791"/>
    <mergeCell ref="Z1794:Z1795"/>
    <mergeCell ref="Z1796:Z1798"/>
    <mergeCell ref="Z1799:Z1800"/>
    <mergeCell ref="Z1801:Z1802"/>
    <mergeCell ref="Z1805:Z1808"/>
    <mergeCell ref="Z1809:Z1812"/>
    <mergeCell ref="Z1813:Z1817"/>
    <mergeCell ref="Z1821:Z1825"/>
    <mergeCell ref="Z1826:Z1828"/>
    <mergeCell ref="Z1830:Z1834"/>
    <mergeCell ref="Z1835:Z1836"/>
    <mergeCell ref="Z1845:Z1848"/>
    <mergeCell ref="Y778:Y780"/>
    <mergeCell ref="Z778:Z780"/>
    <mergeCell ref="Z1996:Z1998"/>
    <mergeCell ref="Z1999:Z2001"/>
    <mergeCell ref="Z2012:Z2013"/>
    <mergeCell ref="Z2014:Z2015"/>
    <mergeCell ref="Z6:Z7"/>
    <mergeCell ref="Z1922:Z1923"/>
    <mergeCell ref="Z1928:Z1929"/>
    <mergeCell ref="Z1930:Z1932"/>
    <mergeCell ref="Z1933:Z1934"/>
    <mergeCell ref="Z1935:Z1937"/>
    <mergeCell ref="Z1938:Z1939"/>
    <mergeCell ref="Z1941:Z1942"/>
    <mergeCell ref="Z1943:Z1944"/>
    <mergeCell ref="Z1946:Z1948"/>
    <mergeCell ref="Z1949:Z1950"/>
    <mergeCell ref="Z1955:Z1956"/>
    <mergeCell ref="Z1957:Z1960"/>
    <mergeCell ref="Z1961:Z1967"/>
    <mergeCell ref="Z1968:Z1969"/>
    <mergeCell ref="Z1971:Z1972"/>
    <mergeCell ref="Z1977:Z1988"/>
    <mergeCell ref="Z1994:Z1995"/>
    <mergeCell ref="Z1851:Z1852"/>
    <mergeCell ref="Z1853:Z1854"/>
    <mergeCell ref="Z1856:Z1857"/>
    <mergeCell ref="Z1860:Z1865"/>
    <mergeCell ref="Z1866:Z1869"/>
    <mergeCell ref="Z1870:Z1871"/>
    <mergeCell ref="Z1872:Z1873"/>
    <mergeCell ref="Z1875:Z1876"/>
  </mergeCells>
  <conditionalFormatting sqref="X2">
    <cfRule type="expression" dxfId="2193" priority="4799">
      <formula>$AG$3</formula>
    </cfRule>
  </conditionalFormatting>
  <conditionalFormatting sqref="X3">
    <cfRule type="expression" dxfId="2192" priority="4800">
      <formula>$AI$3</formula>
    </cfRule>
  </conditionalFormatting>
  <conditionalFormatting sqref="I2">
    <cfRule type="expression" dxfId="2191" priority="4772">
      <formula>$AM$2="Gold"</formula>
    </cfRule>
    <cfRule type="expression" dxfId="2190" priority="4773">
      <formula>$AM$2="Silver"</formula>
    </cfRule>
    <cfRule type="expression" dxfId="2189" priority="4774">
      <formula>$AM$2="Bronze"</formula>
    </cfRule>
    <cfRule type="expression" dxfId="2188" priority="4775">
      <formula>$AM$2="Emerald"</formula>
    </cfRule>
  </conditionalFormatting>
  <conditionalFormatting sqref="L5">
    <cfRule type="notContainsBlanks" dxfId="2187" priority="4771">
      <formula>LEN(TRIM(L5))&gt;0</formula>
    </cfRule>
  </conditionalFormatting>
  <conditionalFormatting sqref="L1">
    <cfRule type="notContainsBlanks" dxfId="2186" priority="4730">
      <formula>LEN(TRIM(L1))&gt;0</formula>
    </cfRule>
  </conditionalFormatting>
  <conditionalFormatting sqref="W68">
    <cfRule type="notContainsBlanks" dxfId="2185" priority="4729">
      <formula>LEN(TRIM(W68))&gt;0</formula>
    </cfRule>
  </conditionalFormatting>
  <conditionalFormatting sqref="X27:X35">
    <cfRule type="expression" dxfId="2184" priority="4420">
      <formula>$W$27=TRUE</formula>
    </cfRule>
  </conditionalFormatting>
  <conditionalFormatting sqref="X208:X215">
    <cfRule type="expression" dxfId="2183" priority="4419">
      <formula>$W$214=TRUE</formula>
    </cfRule>
  </conditionalFormatting>
  <conditionalFormatting sqref="L278:L279">
    <cfRule type="expression" dxfId="2182" priority="4394">
      <formula>AY278&gt;4099</formula>
    </cfRule>
  </conditionalFormatting>
  <conditionalFormatting sqref="X574:X589">
    <cfRule type="expression" dxfId="2181" priority="4260">
      <formula>NOT(ISBLANK(W581))</formula>
    </cfRule>
  </conditionalFormatting>
  <conditionalFormatting sqref="X333">
    <cfRule type="expression" dxfId="2180" priority="4143">
      <formula>W333=TRUE</formula>
    </cfRule>
  </conditionalFormatting>
  <conditionalFormatting sqref="X341">
    <cfRule type="expression" dxfId="2179" priority="4138">
      <formula>W341=TRUE</formula>
    </cfRule>
  </conditionalFormatting>
  <conditionalFormatting sqref="X405:X407">
    <cfRule type="expression" dxfId="2178" priority="4061">
      <formula>W405="N/A"</formula>
    </cfRule>
  </conditionalFormatting>
  <conditionalFormatting sqref="X416">
    <cfRule type="expression" dxfId="2177" priority="4060">
      <formula>W416="N/A"</formula>
    </cfRule>
  </conditionalFormatting>
  <conditionalFormatting sqref="X517:X519">
    <cfRule type="expression" dxfId="2176" priority="4035">
      <formula>W517</formula>
    </cfRule>
  </conditionalFormatting>
  <conditionalFormatting sqref="W504">
    <cfRule type="expression" dxfId="2175" priority="4034">
      <formula>AND($R$504,$S$504)</formula>
    </cfRule>
  </conditionalFormatting>
  <conditionalFormatting sqref="W504">
    <cfRule type="expression" dxfId="2174" priority="4033">
      <formula>AND(IF($R$504,$W$504,TRUE),LEN(TRIM($W$504))&gt;0)</formula>
    </cfRule>
  </conditionalFormatting>
  <conditionalFormatting sqref="W504">
    <cfRule type="expression" dxfId="2173" priority="4032">
      <formula>OR($S$504 = FALSE, AND($P$504 = FALSE, ReportType &lt;&gt; "Final"), AND($Q$504 = FALSE, ReportType &lt;&gt; "Rough"))</formula>
    </cfRule>
  </conditionalFormatting>
  <conditionalFormatting sqref="W504">
    <cfRule type="expression" dxfId="2172" priority="4031">
      <formula>OR($T$504 = TRUE, AND($W$504 = TRUE, $S$504 = FALSE))</formula>
    </cfRule>
  </conditionalFormatting>
  <conditionalFormatting sqref="X504 X510:X516">
    <cfRule type="expression" dxfId="2171" priority="4030">
      <formula>W504&gt;0</formula>
    </cfRule>
  </conditionalFormatting>
  <conditionalFormatting sqref="W510">
    <cfRule type="expression" dxfId="2170" priority="4029">
      <formula>AND(R510,S510)</formula>
    </cfRule>
  </conditionalFormatting>
  <conditionalFormatting sqref="W510">
    <cfRule type="expression" dxfId="2169" priority="4028">
      <formula>AND(IF(R510,W510,TRUE),LEN(TRIM(W510))&gt;0)</formula>
    </cfRule>
  </conditionalFormatting>
  <conditionalFormatting sqref="W510">
    <cfRule type="expression" dxfId="2168" priority="4027">
      <formula>OR(S510 = FALSE, AND($P$510 = FALSE, ReportType &lt;&gt; "Final"), AND($Q$510 = FALSE, ReportType &lt;&gt; "Rough"))</formula>
    </cfRule>
  </conditionalFormatting>
  <conditionalFormatting sqref="W510">
    <cfRule type="expression" dxfId="2167" priority="4026">
      <formula>OR(T510 = TRUE, AND(W510 = TRUE, S510 = FALSE))</formula>
    </cfRule>
  </conditionalFormatting>
  <conditionalFormatting sqref="W522">
    <cfRule type="expression" dxfId="2166" priority="4025">
      <formula>AND(R522,S522)</formula>
    </cfRule>
  </conditionalFormatting>
  <conditionalFormatting sqref="W522">
    <cfRule type="expression" dxfId="2165" priority="4024">
      <formula>AND(IF(R522,W522,TRUE),LEN(TRIM(W522))&gt;0)</formula>
    </cfRule>
  </conditionalFormatting>
  <conditionalFormatting sqref="W522">
    <cfRule type="expression" dxfId="2164" priority="4023">
      <formula>OR(S522 = FALSE, AND($P$522 = FALSE, ReportType &lt;&gt; "Final"), AND($Q$522 = FALSE, ReportType &lt;&gt; "Rough"))</formula>
    </cfRule>
  </conditionalFormatting>
  <conditionalFormatting sqref="W522">
    <cfRule type="expression" dxfId="2163" priority="4022">
      <formula>OR(T522 = TRUE, AND(W522 = TRUE, S522 = FALSE))</formula>
    </cfRule>
  </conditionalFormatting>
  <conditionalFormatting sqref="W524">
    <cfRule type="expression" dxfId="2162" priority="4021">
      <formula>AND(R524,S524)</formula>
    </cfRule>
  </conditionalFormatting>
  <conditionalFormatting sqref="W524">
    <cfRule type="expression" dxfId="2161" priority="4020">
      <formula>AND(IF(R524,W524,TRUE),LEN(TRIM(W524))&gt;0)</formula>
    </cfRule>
  </conditionalFormatting>
  <conditionalFormatting sqref="W524">
    <cfRule type="expression" dxfId="2160" priority="4019">
      <formula>OR(S524 = FALSE, AND($P$524 = FALSE, ReportType &lt;&gt; "Final"), AND($Q$524 = FALSE, ReportType &lt;&gt; "Rough"))</formula>
    </cfRule>
  </conditionalFormatting>
  <conditionalFormatting sqref="W524">
    <cfRule type="expression" dxfId="2159" priority="4018">
      <formula>OR(T524 = TRUE, AND(W524 = TRUE, S524 = FALSE))</formula>
    </cfRule>
  </conditionalFormatting>
  <conditionalFormatting sqref="W526">
    <cfRule type="expression" dxfId="2158" priority="4017">
      <formula>AND(R526,S526)</formula>
    </cfRule>
  </conditionalFormatting>
  <conditionalFormatting sqref="W526">
    <cfRule type="expression" dxfId="2157" priority="4016">
      <formula>AND(IF(R526,W526,TRUE),LEN(TRIM(W526))&gt;0)</formula>
    </cfRule>
  </conditionalFormatting>
  <conditionalFormatting sqref="W526">
    <cfRule type="expression" dxfId="2156" priority="4015">
      <formula>OR(S526 = FALSE, AND($P$526 = FALSE, ReportType &lt;&gt; "Final"), AND($Q$526 = FALSE, ReportType &lt;&gt; "Rough"))</formula>
    </cfRule>
  </conditionalFormatting>
  <conditionalFormatting sqref="W526">
    <cfRule type="expression" dxfId="2155" priority="4014">
      <formula>OR(T526 = TRUE, AND(W526 = TRUE, S526 = FALSE))</formula>
    </cfRule>
  </conditionalFormatting>
  <conditionalFormatting sqref="W528">
    <cfRule type="expression" dxfId="2154" priority="4013">
      <formula>AND(R528,S528)</formula>
    </cfRule>
  </conditionalFormatting>
  <conditionalFormatting sqref="W528">
    <cfRule type="expression" dxfId="2153" priority="4012">
      <formula>AND(IF(R528,W528,TRUE),LEN(TRIM(W528))&gt;0)</formula>
    </cfRule>
  </conditionalFormatting>
  <conditionalFormatting sqref="W528">
    <cfRule type="expression" dxfId="2152" priority="4011">
      <formula>OR(S528 = FALSE, AND($P$528 = FALSE, ReportType &lt;&gt; "Final"), AND($Q$528 = FALSE, ReportType &lt;&gt; "Rough"))</formula>
    </cfRule>
  </conditionalFormatting>
  <conditionalFormatting sqref="W528">
    <cfRule type="expression" dxfId="2151" priority="4010">
      <formula>OR(T528 = TRUE, AND(W528 = TRUE, S528 = FALSE))</formula>
    </cfRule>
  </conditionalFormatting>
  <conditionalFormatting sqref="X521 X523 X525 X527">
    <cfRule type="expression" dxfId="2150" priority="4009">
      <formula>W522&gt;0</formula>
    </cfRule>
  </conditionalFormatting>
  <conditionalFormatting sqref="X568">
    <cfRule type="expression" dxfId="2149" priority="3960">
      <formula>W568</formula>
    </cfRule>
  </conditionalFormatting>
  <conditionalFormatting sqref="X569">
    <cfRule type="expression" dxfId="2148" priority="3959">
      <formula>W569</formula>
    </cfRule>
  </conditionalFormatting>
  <conditionalFormatting sqref="X601:X602 X604:X605">
    <cfRule type="expression" dxfId="2147" priority="3910">
      <formula>NOT(ISBLANK(W601))</formula>
    </cfRule>
  </conditionalFormatting>
  <conditionalFormatting sqref="X607:X612">
    <cfRule type="expression" dxfId="2146" priority="3905">
      <formula>NOT(ISBLANK(W607))</formula>
    </cfRule>
  </conditionalFormatting>
  <conditionalFormatting sqref="X622:X629">
    <cfRule type="expression" dxfId="2145" priority="3900">
      <formula>NOT(ISBLANK(W622))</formula>
    </cfRule>
  </conditionalFormatting>
  <conditionalFormatting sqref="X631:X633">
    <cfRule type="expression" dxfId="2144" priority="3891">
      <formula>NOT(ISBLANK(W632))</formula>
    </cfRule>
  </conditionalFormatting>
  <conditionalFormatting sqref="X634:X637">
    <cfRule type="expression" dxfId="2143" priority="3890">
      <formula>NOT(ISBLANK(W635))</formula>
    </cfRule>
  </conditionalFormatting>
  <conditionalFormatting sqref="X669:X675">
    <cfRule type="expression" dxfId="2142" priority="3881">
      <formula>NOT(ISBLANK(W671))</formula>
    </cfRule>
  </conditionalFormatting>
  <conditionalFormatting sqref="X676:X682">
    <cfRule type="expression" dxfId="2141" priority="3880">
      <formula>NOT(ISBLANK(W678))</formula>
    </cfRule>
  </conditionalFormatting>
  <conditionalFormatting sqref="X683:X688">
    <cfRule type="expression" dxfId="2140" priority="3863">
      <formula>NOT(ISBLANK(W684))</formula>
    </cfRule>
  </conditionalFormatting>
  <conditionalFormatting sqref="X689:X694">
    <cfRule type="expression" dxfId="2139" priority="3862">
      <formula>NOT(ISBLANK(W690))</formula>
    </cfRule>
  </conditionalFormatting>
  <conditionalFormatting sqref="X695:X700">
    <cfRule type="expression" dxfId="2138" priority="3861">
      <formula>NOT(ISBLANK(W696))</formula>
    </cfRule>
  </conditionalFormatting>
  <conditionalFormatting sqref="X701:X706">
    <cfRule type="expression" dxfId="2137" priority="3860">
      <formula>NOT(ISBLANK(W702))</formula>
    </cfRule>
  </conditionalFormatting>
  <conditionalFormatting sqref="X708:X715">
    <cfRule type="expression" dxfId="2136" priority="3855">
      <formula>NOT(ISBLANK(W708))</formula>
    </cfRule>
  </conditionalFormatting>
  <conditionalFormatting sqref="W758">
    <cfRule type="expression" dxfId="2135" priority="3854">
      <formula>AND(R758,S758)</formula>
    </cfRule>
  </conditionalFormatting>
  <conditionalFormatting sqref="W758">
    <cfRule type="expression" dxfId="2134" priority="3853">
      <formula>AND(IF(R758,W758,TRUE),LEN(TRIM(W758))&gt;0)</formula>
    </cfRule>
  </conditionalFormatting>
  <conditionalFormatting sqref="W758">
    <cfRule type="expression" dxfId="2133" priority="3852">
      <formula>OR(S758 = FALSE, AND($P$758 = FALSE, ReportType &lt;&gt; "Final"), AND($Q$758 = FALSE, ReportType &lt;&gt; "Rough"))</formula>
    </cfRule>
  </conditionalFormatting>
  <conditionalFormatting sqref="W758">
    <cfRule type="expression" dxfId="2132" priority="3851">
      <formula>OR(T758 = TRUE, AND(W758 = TRUE, S758 = FALSE))</formula>
    </cfRule>
  </conditionalFormatting>
  <conditionalFormatting sqref="W768">
    <cfRule type="expression" dxfId="2131" priority="3850">
      <formula>AND(R768,S768)</formula>
    </cfRule>
  </conditionalFormatting>
  <conditionalFormatting sqref="W768">
    <cfRule type="expression" dxfId="2130" priority="3849">
      <formula>AND(IF(R768,W768,TRUE),LEN(TRIM(W768))&gt;0)</formula>
    </cfRule>
  </conditionalFormatting>
  <conditionalFormatting sqref="W768">
    <cfRule type="expression" dxfId="2129" priority="3848">
      <formula>OR(S768 = FALSE, AND($P$768 = FALSE, ReportType &lt;&gt; "Final"), AND($Q$768 = FALSE, ReportType &lt;&gt; "Rough"))</formula>
    </cfRule>
  </conditionalFormatting>
  <conditionalFormatting sqref="W768">
    <cfRule type="expression" dxfId="2128" priority="3847">
      <formula>OR(T768 = TRUE, AND(W768 = TRUE, S768 = FALSE))</formula>
    </cfRule>
  </conditionalFormatting>
  <conditionalFormatting sqref="X757:X765">
    <cfRule type="expression" dxfId="2127" priority="3846">
      <formula>W758&gt;0</formula>
    </cfRule>
  </conditionalFormatting>
  <conditionalFormatting sqref="X766:X772">
    <cfRule type="expression" dxfId="2126" priority="3845">
      <formula>W768&gt;0</formula>
    </cfRule>
  </conditionalFormatting>
  <conditionalFormatting sqref="W39">
    <cfRule type="expression" dxfId="2125" priority="3808">
      <formula>AND($R$39,$S$39)</formula>
    </cfRule>
  </conditionalFormatting>
  <conditionalFormatting sqref="W39">
    <cfRule type="expression" dxfId="2124" priority="3807">
      <formula>AND(IF($R$39,$W$39,TRUE),LEN(TRIM($W$39))&gt;0)</formula>
    </cfRule>
  </conditionalFormatting>
  <conditionalFormatting sqref="W39">
    <cfRule type="expression" dxfId="2123" priority="3806">
      <formula>OR($S$39 = FALSE, AND($P$39 = FALSE, ReportType &lt;&gt; "Final"), AND($Q$39 = FALSE, ReportType &lt;&gt; "Rough"))</formula>
    </cfRule>
  </conditionalFormatting>
  <conditionalFormatting sqref="W39">
    <cfRule type="expression" dxfId="2122" priority="3805">
      <formula>OR($T$39 = TRUE, AND(LEN(TRIM($W$39))&gt;0, $S$39 = FALSE))</formula>
    </cfRule>
  </conditionalFormatting>
  <conditionalFormatting sqref="W72">
    <cfRule type="expression" dxfId="2121" priority="3764">
      <formula>AND($R$72,$S$72)</formula>
    </cfRule>
  </conditionalFormatting>
  <conditionalFormatting sqref="W72">
    <cfRule type="expression" dxfId="2120" priority="3763">
      <formula>AND(IF($R$72,$W$72,TRUE),LEN(TRIM($W$72))&gt;0)</formula>
    </cfRule>
  </conditionalFormatting>
  <conditionalFormatting sqref="W72">
    <cfRule type="expression" dxfId="2119" priority="3762">
      <formula>OR($S$72 = FALSE, AND($P$72 = FALSE, ReportType &lt;&gt; "Final"), AND($Q$72 = FALSE, ReportType &lt;&gt; "Rough"))</formula>
    </cfRule>
  </conditionalFormatting>
  <conditionalFormatting sqref="W72">
    <cfRule type="expression" dxfId="2118" priority="3761">
      <formula>OR($T$72 = TRUE, AND(LEN(TRIM($W$72))&gt;0, $S$72 = FALSE))</formula>
    </cfRule>
  </conditionalFormatting>
  <conditionalFormatting sqref="W107">
    <cfRule type="expression" dxfId="2117" priority="3720">
      <formula>AND($R$107,$S$107)</formula>
    </cfRule>
  </conditionalFormatting>
  <conditionalFormatting sqref="W107">
    <cfRule type="expression" dxfId="2116" priority="3719">
      <formula>AND(IF($R$107,$W$107,TRUE),LEN(TRIM($W$107))&gt;0)</formula>
    </cfRule>
  </conditionalFormatting>
  <conditionalFormatting sqref="W107">
    <cfRule type="expression" dxfId="2115" priority="3718">
      <formula>OR($S$107 = FALSE, AND($P$107 = FALSE, ReportType &lt;&gt; "Final"), AND($Q$107 = FALSE, ReportType &lt;&gt; "Rough"))</formula>
    </cfRule>
  </conditionalFormatting>
  <conditionalFormatting sqref="W107">
    <cfRule type="expression" dxfId="2114" priority="3717">
      <formula>OR($T$107 = TRUE, AND(LEN(TRIM($W$107))&gt;0, $S$107 = FALSE))</formula>
    </cfRule>
  </conditionalFormatting>
  <conditionalFormatting sqref="W114">
    <cfRule type="expression" dxfId="2113" priority="3716">
      <formula>AND($R$114,$S$114)</formula>
    </cfRule>
  </conditionalFormatting>
  <conditionalFormatting sqref="W114">
    <cfRule type="expression" dxfId="2112" priority="3715">
      <formula>AND(IF($R$114,$W$114,TRUE),LEN(TRIM($W$114))&gt;0)</formula>
    </cfRule>
  </conditionalFormatting>
  <conditionalFormatting sqref="W114">
    <cfRule type="expression" dxfId="2111" priority="3714">
      <formula>OR($S$114 = FALSE, AND($P$114 = FALSE, ReportType &lt;&gt; "Final"), AND($Q$114 = FALSE, ReportType &lt;&gt; "Rough"))</formula>
    </cfRule>
  </conditionalFormatting>
  <conditionalFormatting sqref="W114">
    <cfRule type="expression" dxfId="2110" priority="3713">
      <formula>OR($T$114 = TRUE, AND(LEN(TRIM($W$114))&gt;0, $S$114 = FALSE))</formula>
    </cfRule>
  </conditionalFormatting>
  <conditionalFormatting sqref="W121">
    <cfRule type="expression" dxfId="2109" priority="3712">
      <formula>AND($R$121,$S$121)</formula>
    </cfRule>
  </conditionalFormatting>
  <conditionalFormatting sqref="W121">
    <cfRule type="expression" dxfId="2108" priority="3711">
      <formula>AND(IF($R$121,$W$121,TRUE),LEN(TRIM($W$121))&gt;0)</formula>
    </cfRule>
  </conditionalFormatting>
  <conditionalFormatting sqref="W121">
    <cfRule type="expression" dxfId="2107" priority="3710">
      <formula>OR($S$121 = FALSE, AND($P$121 = FALSE, ReportType &lt;&gt; "Final"), AND($Q$121 = FALSE, ReportType &lt;&gt; "Rough"))</formula>
    </cfRule>
  </conditionalFormatting>
  <conditionalFormatting sqref="W121">
    <cfRule type="expression" dxfId="2106" priority="3709">
      <formula>OR($T$121 = TRUE, AND(LEN(TRIM($W$121))&gt;0, $S$121 = FALSE))</formula>
    </cfRule>
  </conditionalFormatting>
  <conditionalFormatting sqref="W123">
    <cfRule type="expression" dxfId="2105" priority="3708">
      <formula>AND($R$123,$S$123)</formula>
    </cfRule>
  </conditionalFormatting>
  <conditionalFormatting sqref="W123">
    <cfRule type="expression" dxfId="2104" priority="3707">
      <formula>AND(IF($R$123,$W$123,TRUE),LEN(TRIM($W$123))&gt;0)</formula>
    </cfRule>
  </conditionalFormatting>
  <conditionalFormatting sqref="W123">
    <cfRule type="expression" dxfId="2103" priority="3706">
      <formula>OR($S$123 = FALSE, AND($P$123 = FALSE, ReportType &lt;&gt; "Final"), AND($Q$123 = FALSE, ReportType &lt;&gt; "Rough"))</formula>
    </cfRule>
  </conditionalFormatting>
  <conditionalFormatting sqref="W123">
    <cfRule type="expression" dxfId="2102" priority="3705">
      <formula>OR($T$123 = TRUE, AND(LEN(TRIM($W$123))&gt;0, $S$123 = FALSE))</formula>
    </cfRule>
  </conditionalFormatting>
  <conditionalFormatting sqref="W135">
    <cfRule type="expression" dxfId="2101" priority="3704">
      <formula>AND($R$135,$S$135)</formula>
    </cfRule>
  </conditionalFormatting>
  <conditionalFormatting sqref="W135">
    <cfRule type="expression" dxfId="2100" priority="3703">
      <formula>AND(IF($R$135,$W$135,TRUE),LEN(TRIM($W$135))&gt;0)</formula>
    </cfRule>
  </conditionalFormatting>
  <conditionalFormatting sqref="W135">
    <cfRule type="expression" dxfId="2099" priority="3702">
      <formula>OR($S$135 = FALSE, AND($P$135 = FALSE, ReportType &lt;&gt; "Final"), AND($Q$135 = FALSE, ReportType &lt;&gt; "Rough"))</formula>
    </cfRule>
  </conditionalFormatting>
  <conditionalFormatting sqref="W135">
    <cfRule type="expression" dxfId="2098" priority="3701">
      <formula>OR($T$135 = TRUE, AND(LEN(TRIM($W$135))&gt;0, $S$135 = FALSE))</formula>
    </cfRule>
  </conditionalFormatting>
  <conditionalFormatting sqref="W171">
    <cfRule type="expression" dxfId="2097" priority="3636">
      <formula>AND($R$171,$S$171)</formula>
    </cfRule>
  </conditionalFormatting>
  <conditionalFormatting sqref="W171">
    <cfRule type="expression" dxfId="2096" priority="3635">
      <formula>AND(IF($R$171,$W$171,TRUE),LEN(TRIM($W$171))&gt;0)</formula>
    </cfRule>
  </conditionalFormatting>
  <conditionalFormatting sqref="W171">
    <cfRule type="expression" dxfId="2095" priority="3634">
      <formula>OR($S$171 = FALSE, AND($P$171 = FALSE, ReportType &lt;&gt; "Final"), AND($Q$171 = FALSE, ReportType &lt;&gt; "Rough"))</formula>
    </cfRule>
  </conditionalFormatting>
  <conditionalFormatting sqref="W171">
    <cfRule type="expression" dxfId="2094" priority="3633">
      <formula>OR($T$171 = TRUE, AND(LEN(TRIM($W$171))&gt;0, $S$171 = FALSE))</formula>
    </cfRule>
  </conditionalFormatting>
  <conditionalFormatting sqref="W226">
    <cfRule type="expression" dxfId="2093" priority="3548">
      <formula>AND($R$226,$S$226)</formula>
    </cfRule>
  </conditionalFormatting>
  <conditionalFormatting sqref="W226">
    <cfRule type="expression" dxfId="2092" priority="3547">
      <formula>AND(IF($R$226,$W$226,TRUE),LEN(TRIM($W$226))&gt;0)</formula>
    </cfRule>
  </conditionalFormatting>
  <conditionalFormatting sqref="W226">
    <cfRule type="expression" dxfId="2091" priority="3546">
      <formula>OR($S$226 = FALSE, AND($P$226 = FALSE, ReportType &lt;&gt; "Final"), AND($Q$226 = FALSE, ReportType &lt;&gt; "Rough"))</formula>
    </cfRule>
  </conditionalFormatting>
  <conditionalFormatting sqref="W226">
    <cfRule type="expression" dxfId="2090" priority="3545">
      <formula>OR($T$226 = TRUE, AND(LEN(TRIM($W$226))&gt;0, $S$226 = FALSE))</formula>
    </cfRule>
  </conditionalFormatting>
  <conditionalFormatting sqref="W230">
    <cfRule type="expression" dxfId="2089" priority="3544">
      <formula>AND($R$230,$S$230)</formula>
    </cfRule>
  </conditionalFormatting>
  <conditionalFormatting sqref="W230">
    <cfRule type="expression" dxfId="2088" priority="3543">
      <formula>AND(IF($R$230,$W$230,TRUE),LEN(TRIM($W$230))&gt;0)</formula>
    </cfRule>
  </conditionalFormatting>
  <conditionalFormatting sqref="W230">
    <cfRule type="expression" dxfId="2087" priority="3542">
      <formula>OR($S$230 = FALSE, AND($P$230 = FALSE, ReportType &lt;&gt; "Final"), AND($Q$230 = FALSE, ReportType &lt;&gt; "Rough"))</formula>
    </cfRule>
  </conditionalFormatting>
  <conditionalFormatting sqref="W230">
    <cfRule type="expression" dxfId="2086" priority="3541">
      <formula>OR($T$230 = TRUE, AND(LEN(TRIM($W$230))&gt;0, $S$230 = FALSE))</formula>
    </cfRule>
  </conditionalFormatting>
  <conditionalFormatting sqref="W249">
    <cfRule type="expression" dxfId="2085" priority="3524">
      <formula>AND($R$249,$S$249)</formula>
    </cfRule>
  </conditionalFormatting>
  <conditionalFormatting sqref="W249">
    <cfRule type="expression" dxfId="2084" priority="3523">
      <formula>AND(IF($R$249,$W$249,TRUE),LEN(TRIM($W$249))&gt;0)</formula>
    </cfRule>
  </conditionalFormatting>
  <conditionalFormatting sqref="W249">
    <cfRule type="expression" dxfId="2083" priority="3522">
      <formula>OR($S$249 = FALSE, AND($P$249 = FALSE, ReportType &lt;&gt; "Final"), AND($Q$249 = FALSE, ReportType &lt;&gt; "Rough"))</formula>
    </cfRule>
  </conditionalFormatting>
  <conditionalFormatting sqref="W249">
    <cfRule type="expression" dxfId="2082" priority="3521">
      <formula>OR($T$249 = TRUE, AND(LEN(TRIM($W$249))&gt;0, $S$249 = FALSE))</formula>
    </cfRule>
  </conditionalFormatting>
  <conditionalFormatting sqref="W311">
    <cfRule type="expression" dxfId="2081" priority="3452">
      <formula>AND($R$311,$S$311)</formula>
    </cfRule>
  </conditionalFormatting>
  <conditionalFormatting sqref="W311">
    <cfRule type="expression" dxfId="2080" priority="3451">
      <formula>AND(IF($R$311,$W$311,TRUE),LEN(TRIM($W$311))&gt;0)</formula>
    </cfRule>
  </conditionalFormatting>
  <conditionalFormatting sqref="W311">
    <cfRule type="expression" dxfId="2079" priority="3450">
      <formula>OR($S$311 = FALSE, AND($P$311 = FALSE, ReportType &lt;&gt; "Final"), AND($Q$311 = FALSE, ReportType &lt;&gt; "Rough"))</formula>
    </cfRule>
  </conditionalFormatting>
  <conditionalFormatting sqref="W311">
    <cfRule type="expression" dxfId="2078" priority="3449">
      <formula>OR($T$311 = TRUE, AND(LEN(TRIM($W$311))&gt;0, $S$311 = FALSE))</formula>
    </cfRule>
  </conditionalFormatting>
  <conditionalFormatting sqref="W318">
    <cfRule type="expression" dxfId="2077" priority="3448">
      <formula>AND($R$318,$S$318)</formula>
    </cfRule>
  </conditionalFormatting>
  <conditionalFormatting sqref="W318">
    <cfRule type="expression" dxfId="2076" priority="3447">
      <formula>AND(IF($R$318,$W$318,TRUE),LEN(TRIM($W$318))&gt;0)</formula>
    </cfRule>
  </conditionalFormatting>
  <conditionalFormatting sqref="W318">
    <cfRule type="expression" dxfId="2075" priority="3446">
      <formula>OR($S$318 = FALSE, AND($P$318 = FALSE, ReportType &lt;&gt; "Final"), AND($Q$318 = FALSE, ReportType &lt;&gt; "Rough"))</formula>
    </cfRule>
  </conditionalFormatting>
  <conditionalFormatting sqref="W318">
    <cfRule type="expression" dxfId="2074" priority="3445">
      <formula>OR($T$318 = TRUE, AND(LEN(TRIM($W$318))&gt;0, $S$318 = FALSE))</formula>
    </cfRule>
  </conditionalFormatting>
  <conditionalFormatting sqref="W319">
    <cfRule type="expression" dxfId="2073" priority="3444">
      <formula>AND($R$319,$S$319)</formula>
    </cfRule>
  </conditionalFormatting>
  <conditionalFormatting sqref="W319">
    <cfRule type="expression" dxfId="2072" priority="3443">
      <formula>AND(IF($R$319,$W$319,TRUE),LEN(TRIM($W$319))&gt;0)</formula>
    </cfRule>
  </conditionalFormatting>
  <conditionalFormatting sqref="W319">
    <cfRule type="expression" dxfId="2071" priority="3442">
      <formula>OR($S$319 = FALSE, AND($P$319 = FALSE, ReportType &lt;&gt; "Final"), AND($Q$319 = FALSE, ReportType &lt;&gt; "Rough"))</formula>
    </cfRule>
  </conditionalFormatting>
  <conditionalFormatting sqref="W319">
    <cfRule type="expression" dxfId="2070" priority="3441">
      <formula>OR($T$319 = TRUE, AND(LEN(TRIM($W$319))&gt;0, $S$319 = FALSE))</formula>
    </cfRule>
  </conditionalFormatting>
  <conditionalFormatting sqref="W320">
    <cfRule type="expression" dxfId="2069" priority="3440">
      <formula>AND($R$320,$S$320)</formula>
    </cfRule>
  </conditionalFormatting>
  <conditionalFormatting sqref="W320">
    <cfRule type="expression" dxfId="2068" priority="3439">
      <formula>AND(IF($R$320,$W$320,TRUE),LEN(TRIM($W$320))&gt;0)</formula>
    </cfRule>
  </conditionalFormatting>
  <conditionalFormatting sqref="W320">
    <cfRule type="expression" dxfId="2067" priority="3438">
      <formula>OR($S$320 = FALSE, AND($P$320 = FALSE, ReportType &lt;&gt; "Final"), AND($Q$320 = FALSE, ReportType &lt;&gt; "Rough"))</formula>
    </cfRule>
  </conditionalFormatting>
  <conditionalFormatting sqref="W320">
    <cfRule type="expression" dxfId="2066" priority="3437">
      <formula>OR($T$320 = TRUE, AND(LEN(TRIM($W$320))&gt;0, $S$320 = FALSE))</formula>
    </cfRule>
  </conditionalFormatting>
  <conditionalFormatting sqref="W324">
    <cfRule type="expression" dxfId="2065" priority="3436">
      <formula>AND($R$324,$S$324)</formula>
    </cfRule>
  </conditionalFormatting>
  <conditionalFormatting sqref="W324">
    <cfRule type="expression" dxfId="2064" priority="3435">
      <formula>AND(IF($R$324,$W$324,TRUE),LEN(TRIM($W$324))&gt;0)</formula>
    </cfRule>
  </conditionalFormatting>
  <conditionalFormatting sqref="W324">
    <cfRule type="expression" dxfId="2063" priority="3434">
      <formula>OR($S$324 = FALSE, AND($P$324 = FALSE, ReportType &lt;&gt; "Final"), AND($Q$324 = FALSE, ReportType &lt;&gt; "Rough"))</formula>
    </cfRule>
  </conditionalFormatting>
  <conditionalFormatting sqref="W324">
    <cfRule type="expression" dxfId="2062" priority="3433">
      <formula>OR($T$324 = TRUE, AND(LEN(TRIM($W$324))&gt;0, $S$324 = FALSE))</formula>
    </cfRule>
  </conditionalFormatting>
  <conditionalFormatting sqref="W326">
    <cfRule type="expression" dxfId="2061" priority="3432">
      <formula>AND($R$326,$S$326)</formula>
    </cfRule>
  </conditionalFormatting>
  <conditionalFormatting sqref="W326">
    <cfRule type="expression" dxfId="2060" priority="3431">
      <formula>AND(IF($R$326,$W$326,TRUE),LEN(TRIM($W$326))&gt;0)</formula>
    </cfRule>
  </conditionalFormatting>
  <conditionalFormatting sqref="W326">
    <cfRule type="expression" dxfId="2059" priority="3430">
      <formula>OR($S$326 = FALSE, AND($P$326 = FALSE, ReportType &lt;&gt; "Final"), AND($Q$326 = FALSE, ReportType &lt;&gt; "Rough"))</formula>
    </cfRule>
  </conditionalFormatting>
  <conditionalFormatting sqref="W326">
    <cfRule type="expression" dxfId="2058" priority="3429">
      <formula>OR($T$326 = TRUE, AND(LEN(TRIM($W$326))&gt;0, $S$326 = FALSE))</formula>
    </cfRule>
  </conditionalFormatting>
  <conditionalFormatting sqref="W381">
    <cfRule type="expression" dxfId="2057" priority="3380">
      <formula>AND($R$381,$S$381)</formula>
    </cfRule>
  </conditionalFormatting>
  <conditionalFormatting sqref="W381">
    <cfRule type="expression" dxfId="2056" priority="3379">
      <formula>AND(IF($R$381,$W$381,TRUE),LEN(TRIM($W$381))&gt;0)</formula>
    </cfRule>
  </conditionalFormatting>
  <conditionalFormatting sqref="W381">
    <cfRule type="expression" dxfId="2055" priority="3378">
      <formula>OR($S$381 = FALSE, AND($P$381 = FALSE, ReportType &lt;&gt; "Final"), AND($Q$381 = FALSE, ReportType &lt;&gt; "Rough"))</formula>
    </cfRule>
  </conditionalFormatting>
  <conditionalFormatting sqref="W381">
    <cfRule type="expression" dxfId="2054" priority="3377">
      <formula>OR($T$381 = TRUE, AND(LEN(TRIM($W$381))&gt;0, $S$381 = FALSE))</formula>
    </cfRule>
  </conditionalFormatting>
  <conditionalFormatting sqref="W442">
    <cfRule type="expression" dxfId="2053" priority="3316">
      <formula>AND($R$442,$S$442)</formula>
    </cfRule>
  </conditionalFormatting>
  <conditionalFormatting sqref="W442">
    <cfRule type="expression" dxfId="2052" priority="3315">
      <formula>AND(IF($R$442,$W$442,TRUE),LEN(TRIM($W$442))&gt;0)</formula>
    </cfRule>
  </conditionalFormatting>
  <conditionalFormatting sqref="W442">
    <cfRule type="expression" dxfId="2051" priority="3314">
      <formula>OR($S$442 = FALSE, AND($P$442 = FALSE, ReportType &lt;&gt; "Final"), AND($Q$442 = FALSE, ReportType &lt;&gt; "Rough"))</formula>
    </cfRule>
  </conditionalFormatting>
  <conditionalFormatting sqref="W442">
    <cfRule type="expression" dxfId="2050" priority="3313">
      <formula>OR($T$442 = TRUE, AND(LEN(TRIM($W$442))&gt;0, $S$442 = FALSE))</formula>
    </cfRule>
  </conditionalFormatting>
  <conditionalFormatting sqref="W452">
    <cfRule type="expression" dxfId="2049" priority="3304">
      <formula>AND($R$452,$S$452)</formula>
    </cfRule>
  </conditionalFormatting>
  <conditionalFormatting sqref="W452">
    <cfRule type="expression" dxfId="2048" priority="3303">
      <formula>AND(IF($R$452,$W$452,TRUE),LEN(TRIM($W$452))&gt;0)</formula>
    </cfRule>
  </conditionalFormatting>
  <conditionalFormatting sqref="W452">
    <cfRule type="expression" dxfId="2047" priority="3302">
      <formula>OR($S$452 = FALSE, AND($P$452 = FALSE, ReportType &lt;&gt; "Final"), AND($Q$452 = FALSE, ReportType &lt;&gt; "Rough"))</formula>
    </cfRule>
  </conditionalFormatting>
  <conditionalFormatting sqref="W452">
    <cfRule type="expression" dxfId="2046" priority="3301">
      <formula>OR($T$452 = TRUE, AND(LEN(TRIM($W$452))&gt;0, $S$452 = FALSE))</formula>
    </cfRule>
  </conditionalFormatting>
  <conditionalFormatting sqref="W574">
    <cfRule type="expression" dxfId="2045" priority="3196">
      <formula>AND($R$574,$S$574)</formula>
    </cfRule>
  </conditionalFormatting>
  <conditionalFormatting sqref="W574">
    <cfRule type="expression" dxfId="2044" priority="3195">
      <formula>AND(IF($R$574,$W$574,TRUE),LEN(TRIM($W$574))&gt;0)</formula>
    </cfRule>
  </conditionalFormatting>
  <conditionalFormatting sqref="W574">
    <cfRule type="expression" dxfId="2043" priority="3194">
      <formula>OR($S$574 = FALSE, AND($P$574 = FALSE, ReportType &lt;&gt; "Final"), AND($Q$574 = FALSE, ReportType &lt;&gt; "Rough"))</formula>
    </cfRule>
  </conditionalFormatting>
  <conditionalFormatting sqref="W574">
    <cfRule type="expression" dxfId="2042" priority="3193">
      <formula>OR($T$574 = TRUE, AND(LEN(TRIM($W$574))&gt;0, $S$574 = FALSE))</formula>
    </cfRule>
  </conditionalFormatting>
  <conditionalFormatting sqref="W575">
    <cfRule type="expression" dxfId="2041" priority="3192">
      <formula>AND($R$575,$S$575)</formula>
    </cfRule>
  </conditionalFormatting>
  <conditionalFormatting sqref="W575">
    <cfRule type="expression" dxfId="2040" priority="3191">
      <formula>AND(IF($R$575,$W$575,TRUE),LEN(TRIM($W$575))&gt;0)</formula>
    </cfRule>
  </conditionalFormatting>
  <conditionalFormatting sqref="W575">
    <cfRule type="expression" dxfId="2039" priority="3190">
      <formula>OR($S$575 = FALSE, AND($P$575 = FALSE, ReportType &lt;&gt; "Final"), AND($Q$575 = FALSE, ReportType &lt;&gt; "Rough"))</formula>
    </cfRule>
  </conditionalFormatting>
  <conditionalFormatting sqref="W575">
    <cfRule type="expression" dxfId="2038" priority="3189">
      <formula>OR($T$575 = TRUE, AND(LEN(TRIM($W$575))&gt;0, $S$575 = FALSE))</formula>
    </cfRule>
  </conditionalFormatting>
  <conditionalFormatting sqref="W576">
    <cfRule type="expression" dxfId="2037" priority="3188">
      <formula>AND($R$576,$S$576)</formula>
    </cfRule>
  </conditionalFormatting>
  <conditionalFormatting sqref="W576">
    <cfRule type="expression" dxfId="2036" priority="3187">
      <formula>AND(IF($R$576,$W$576,TRUE),LEN(TRIM($W$576))&gt;0)</formula>
    </cfRule>
  </conditionalFormatting>
  <conditionalFormatting sqref="W576">
    <cfRule type="expression" dxfId="2035" priority="3186">
      <formula>OR($S$576 = FALSE, AND($P$576 = FALSE, ReportType &lt;&gt; "Final"), AND($Q$576 = FALSE, ReportType &lt;&gt; "Rough"))</formula>
    </cfRule>
  </conditionalFormatting>
  <conditionalFormatting sqref="W576">
    <cfRule type="expression" dxfId="2034" priority="3185">
      <formula>OR($T$576 = TRUE, AND(LEN(TRIM($W$576))&gt;0, $S$576 = FALSE))</formula>
    </cfRule>
  </conditionalFormatting>
  <conditionalFormatting sqref="W577">
    <cfRule type="expression" dxfId="2033" priority="3184">
      <formula>AND($R$577,$S$577)</formula>
    </cfRule>
  </conditionalFormatting>
  <conditionalFormatting sqref="W577">
    <cfRule type="expression" dxfId="2032" priority="3183">
      <formula>AND(IF($R$577,$W$577,TRUE),LEN(TRIM($W$577))&gt;0)</formula>
    </cfRule>
  </conditionalFormatting>
  <conditionalFormatting sqref="W577">
    <cfRule type="expression" dxfId="2031" priority="3182">
      <formula>OR($S$577 = FALSE, AND($P$577 = FALSE, ReportType &lt;&gt; "Final"), AND($Q$577 = FALSE, ReportType &lt;&gt; "Rough"))</formula>
    </cfRule>
  </conditionalFormatting>
  <conditionalFormatting sqref="W577">
    <cfRule type="expression" dxfId="2030" priority="3181">
      <formula>OR($T$577 = TRUE, AND(LEN(TRIM($W$577))&gt;0, $S$577 = FALSE))</formula>
    </cfRule>
  </conditionalFormatting>
  <conditionalFormatting sqref="W578">
    <cfRule type="expression" dxfId="2029" priority="3180">
      <formula>AND($R$578,$S$578)</formula>
    </cfRule>
  </conditionalFormatting>
  <conditionalFormatting sqref="W578">
    <cfRule type="expression" dxfId="2028" priority="3179">
      <formula>AND(IF($R$578,$W$578,TRUE),LEN(TRIM($W$578))&gt;0)</formula>
    </cfRule>
  </conditionalFormatting>
  <conditionalFormatting sqref="W578">
    <cfRule type="expression" dxfId="2027" priority="3178">
      <formula>OR($S$578 = FALSE, AND($P$578 = FALSE, ReportType &lt;&gt; "Final"), AND($Q$578 = FALSE, ReportType &lt;&gt; "Rough"))</formula>
    </cfRule>
  </conditionalFormatting>
  <conditionalFormatting sqref="W578">
    <cfRule type="expression" dxfId="2026" priority="3177">
      <formula>OR($T$578 = TRUE, AND(LEN(TRIM($W$578))&gt;0, $S$578 = FALSE))</formula>
    </cfRule>
  </conditionalFormatting>
  <conditionalFormatting sqref="W579">
    <cfRule type="expression" dxfId="2025" priority="3176">
      <formula>AND($R$579,$S$579)</formula>
    </cfRule>
  </conditionalFormatting>
  <conditionalFormatting sqref="W579">
    <cfRule type="expression" dxfId="2024" priority="3175">
      <formula>AND(IF($R$579,$W$579,TRUE),LEN(TRIM($W$579))&gt;0)</formula>
    </cfRule>
  </conditionalFormatting>
  <conditionalFormatting sqref="W579">
    <cfRule type="expression" dxfId="2023" priority="3174">
      <formula>OR($S$579 = FALSE, AND($P$579 = FALSE, ReportType &lt;&gt; "Final"), AND($Q$579 = FALSE, ReportType &lt;&gt; "Rough"))</formula>
    </cfRule>
  </conditionalFormatting>
  <conditionalFormatting sqref="W579">
    <cfRule type="expression" dxfId="2022" priority="3173">
      <formula>OR($T$579 = TRUE, AND(LEN(TRIM($W$579))&gt;0, $S$579 = FALSE))</formula>
    </cfRule>
  </conditionalFormatting>
  <conditionalFormatting sqref="W580">
    <cfRule type="expression" dxfId="2021" priority="3172">
      <formula>AND($R$580,$S$580)</formula>
    </cfRule>
  </conditionalFormatting>
  <conditionalFormatting sqref="W580">
    <cfRule type="expression" dxfId="2020" priority="3171">
      <formula>AND(IF($R$580,$W$580,TRUE),LEN(TRIM($W$580))&gt;0)</formula>
    </cfRule>
  </conditionalFormatting>
  <conditionalFormatting sqref="W580">
    <cfRule type="expression" dxfId="2019" priority="3170">
      <formula>OR($S$580 = FALSE, AND($P$580 = FALSE, ReportType &lt;&gt; "Final"), AND($Q$580 = FALSE, ReportType &lt;&gt; "Rough"))</formula>
    </cfRule>
  </conditionalFormatting>
  <conditionalFormatting sqref="W580">
    <cfRule type="expression" dxfId="2018" priority="3169">
      <formula>OR($T$580 = TRUE, AND(LEN(TRIM($W$580))&gt;0, $S$580 = FALSE))</formula>
    </cfRule>
  </conditionalFormatting>
  <conditionalFormatting sqref="W581">
    <cfRule type="expression" dxfId="2017" priority="3168">
      <formula>AND($R$581,$S$581)</formula>
    </cfRule>
  </conditionalFormatting>
  <conditionalFormatting sqref="W581">
    <cfRule type="expression" dxfId="2016" priority="3167">
      <formula>AND(IF($R$581,$W$581,TRUE),LEN(TRIM($W$581))&gt;0)</formula>
    </cfRule>
  </conditionalFormatting>
  <conditionalFormatting sqref="W581">
    <cfRule type="expression" dxfId="2015" priority="3166">
      <formula>OR($S$581 = FALSE, AND($P$581 = FALSE, ReportType &lt;&gt; "Final"), AND($Q$581 = FALSE, ReportType &lt;&gt; "Rough"))</formula>
    </cfRule>
  </conditionalFormatting>
  <conditionalFormatting sqref="W581">
    <cfRule type="expression" dxfId="2014" priority="3165">
      <formula>OR($T$581 = TRUE, AND(LEN(TRIM($W$581))&gt;0, $S$581 = FALSE))</formula>
    </cfRule>
  </conditionalFormatting>
  <conditionalFormatting sqref="W601">
    <cfRule type="expression" dxfId="2013" priority="3164">
      <formula>AND($R$601,$S$601)</formula>
    </cfRule>
  </conditionalFormatting>
  <conditionalFormatting sqref="W601">
    <cfRule type="expression" dxfId="2012" priority="3163">
      <formula>AND(IF($R$601,$W$601,TRUE),LEN(TRIM($W$601))&gt;0)</formula>
    </cfRule>
  </conditionalFormatting>
  <conditionalFormatting sqref="W601">
    <cfRule type="expression" dxfId="2011" priority="3162">
      <formula>OR($S$601 = FALSE, AND($P$601 = FALSE, ReportType &lt;&gt; "Final"), AND($Q$601 = FALSE, ReportType &lt;&gt; "Rough"))</formula>
    </cfRule>
  </conditionalFormatting>
  <conditionalFormatting sqref="W601">
    <cfRule type="expression" dxfId="2010" priority="3161">
      <formula>OR($T$601 = TRUE, AND(LEN(TRIM($W$601))&gt;0, $S$601 = FALSE))</formula>
    </cfRule>
  </conditionalFormatting>
  <conditionalFormatting sqref="W602">
    <cfRule type="expression" dxfId="2009" priority="3160">
      <formula>AND($R$602,$S$602)</formula>
    </cfRule>
  </conditionalFormatting>
  <conditionalFormatting sqref="W602">
    <cfRule type="expression" dxfId="2008" priority="3159">
      <formula>AND(IF($R$602,$W$602,TRUE),LEN(TRIM($W$602))&gt;0)</formula>
    </cfRule>
  </conditionalFormatting>
  <conditionalFormatting sqref="W602">
    <cfRule type="expression" dxfId="2007" priority="3158">
      <formula>OR($S$602 = FALSE, AND($P$602 = FALSE, ReportType &lt;&gt; "Final"), AND($Q$602 = FALSE, ReportType &lt;&gt; "Rough"))</formula>
    </cfRule>
  </conditionalFormatting>
  <conditionalFormatting sqref="W602">
    <cfRule type="expression" dxfId="2006" priority="3157">
      <formula>OR($T$602 = TRUE, AND(LEN(TRIM($W$602))&gt;0, $S$602 = FALSE))</formula>
    </cfRule>
  </conditionalFormatting>
  <conditionalFormatting sqref="W604">
    <cfRule type="expression" dxfId="2005" priority="3156">
      <formula>AND($R$604,$S$604)</formula>
    </cfRule>
  </conditionalFormatting>
  <conditionalFormatting sqref="W604">
    <cfRule type="expression" dxfId="2004" priority="3155">
      <formula>AND(IF($R$604,$W$604,TRUE),LEN(TRIM($W$604))&gt;0)</formula>
    </cfRule>
  </conditionalFormatting>
  <conditionalFormatting sqref="W604">
    <cfRule type="expression" dxfId="2003" priority="3154">
      <formula>OR($S$604 = FALSE, AND($P$604 = FALSE, ReportType &lt;&gt; "Final"), AND($Q$604 = FALSE, ReportType &lt;&gt; "Rough"))</formula>
    </cfRule>
  </conditionalFormatting>
  <conditionalFormatting sqref="W604">
    <cfRule type="expression" dxfId="2002" priority="3153">
      <formula>OR($T$604 = TRUE, AND(LEN(TRIM($W$604))&gt;0, $S$604 = FALSE))</formula>
    </cfRule>
  </conditionalFormatting>
  <conditionalFormatting sqref="W605">
    <cfRule type="expression" dxfId="2001" priority="3152">
      <formula>AND($R$605,$S$605)</formula>
    </cfRule>
  </conditionalFormatting>
  <conditionalFormatting sqref="W605">
    <cfRule type="expression" dxfId="2000" priority="3151">
      <formula>AND(IF($R$605,$W$605,TRUE),LEN(TRIM($W$605))&gt;0)</formula>
    </cfRule>
  </conditionalFormatting>
  <conditionalFormatting sqref="W605">
    <cfRule type="expression" dxfId="1999" priority="3150">
      <formula>OR($S$605 = FALSE, AND($P$605 = FALSE, ReportType &lt;&gt; "Final"), AND($Q$605 = FALSE, ReportType &lt;&gt; "Rough"))</formula>
    </cfRule>
  </conditionalFormatting>
  <conditionalFormatting sqref="W605">
    <cfRule type="expression" dxfId="1998" priority="3149">
      <formula>OR($T$605 = TRUE, AND(LEN(TRIM($W$605))&gt;0, $S$605 = FALSE))</formula>
    </cfRule>
  </conditionalFormatting>
  <conditionalFormatting sqref="W607">
    <cfRule type="expression" dxfId="1997" priority="3148">
      <formula>AND($R$607,$S$607)</formula>
    </cfRule>
  </conditionalFormatting>
  <conditionalFormatting sqref="W607">
    <cfRule type="expression" dxfId="1996" priority="3147">
      <formula>AND(IF($R$607,$W$607,TRUE),LEN(TRIM($W$607))&gt;0)</formula>
    </cfRule>
  </conditionalFormatting>
  <conditionalFormatting sqref="W607">
    <cfRule type="expression" dxfId="1995" priority="3146">
      <formula>OR($S$607 = FALSE, AND($P$607 = FALSE, ReportType &lt;&gt; "Final"), AND($Q$607 = FALSE, ReportType &lt;&gt; "Rough"))</formula>
    </cfRule>
  </conditionalFormatting>
  <conditionalFormatting sqref="W607">
    <cfRule type="expression" dxfId="1994" priority="3145">
      <formula>OR($T$607 = TRUE, AND(LEN(TRIM($W$607))&gt;0, $S$607 = FALSE))</formula>
    </cfRule>
  </conditionalFormatting>
  <conditionalFormatting sqref="W622">
    <cfRule type="expression" dxfId="1993" priority="3132">
      <formula>AND($R$622,$S$622)</formula>
    </cfRule>
  </conditionalFormatting>
  <conditionalFormatting sqref="W622">
    <cfRule type="expression" dxfId="1992" priority="3131">
      <formula>AND(IF($R$622,$W$622,TRUE),LEN(TRIM($W$622))&gt;0)</formula>
    </cfRule>
  </conditionalFormatting>
  <conditionalFormatting sqref="W622">
    <cfRule type="expression" dxfId="1991" priority="3130">
      <formula>OR($S$622 = FALSE, AND($P$622 = FALSE, ReportType &lt;&gt; "Final"), AND($Q$622 = FALSE, ReportType &lt;&gt; "Rough"))</formula>
    </cfRule>
  </conditionalFormatting>
  <conditionalFormatting sqref="W622">
    <cfRule type="expression" dxfId="1990" priority="3129">
      <formula>OR($T$622 = TRUE, AND(LEN(TRIM($W$622))&gt;0, $S$622 = FALSE))</formula>
    </cfRule>
  </conditionalFormatting>
  <conditionalFormatting sqref="W632">
    <cfRule type="expression" dxfId="1989" priority="3128">
      <formula>AND($R$632,$S$632)</formula>
    </cfRule>
  </conditionalFormatting>
  <conditionalFormatting sqref="W632">
    <cfRule type="expression" dxfId="1988" priority="3127">
      <formula>AND(IF($R$632,$W$632,TRUE),LEN(TRIM($W$632))&gt;0)</formula>
    </cfRule>
  </conditionalFormatting>
  <conditionalFormatting sqref="W632">
    <cfRule type="expression" dxfId="1987" priority="3126">
      <formula>OR($S$632 = FALSE, AND($P$632 = FALSE, ReportType &lt;&gt; "Final"), AND($Q$632 = FALSE, ReportType &lt;&gt; "Rough"))</formula>
    </cfRule>
  </conditionalFormatting>
  <conditionalFormatting sqref="W632">
    <cfRule type="expression" dxfId="1986" priority="3125">
      <formula>OR($T$632 = TRUE, AND(LEN(TRIM($W$632))&gt;0, $S$632 = FALSE))</formula>
    </cfRule>
  </conditionalFormatting>
  <conditionalFormatting sqref="W635">
    <cfRule type="expression" dxfId="1985" priority="3124">
      <formula>AND($R$635,$S$635)</formula>
    </cfRule>
  </conditionalFormatting>
  <conditionalFormatting sqref="W635">
    <cfRule type="expression" dxfId="1984" priority="3123">
      <formula>AND(IF($R$635,$W$635,TRUE),LEN(TRIM($W$635))&gt;0)</formula>
    </cfRule>
  </conditionalFormatting>
  <conditionalFormatting sqref="W635">
    <cfRule type="expression" dxfId="1983" priority="3122">
      <formula>OR($S$635 = FALSE, AND($P$635 = FALSE, ReportType &lt;&gt; "Final"), AND($Q$635 = FALSE, ReportType &lt;&gt; "Rough"))</formula>
    </cfRule>
  </conditionalFormatting>
  <conditionalFormatting sqref="W635">
    <cfRule type="expression" dxfId="1982" priority="3121">
      <formula>OR($T$635 = TRUE, AND(LEN(TRIM($W$635))&gt;0, $S$635 = FALSE))</formula>
    </cfRule>
  </conditionalFormatting>
  <conditionalFormatting sqref="W671">
    <cfRule type="expression" dxfId="1981" priority="3108">
      <formula>AND($R$671,$S$671)</formula>
    </cfRule>
  </conditionalFormatting>
  <conditionalFormatting sqref="W671">
    <cfRule type="expression" dxfId="1980" priority="3107">
      <formula>AND(IF($R$671,$W$671,TRUE),LEN(TRIM($W$671))&gt;0)</formula>
    </cfRule>
  </conditionalFormatting>
  <conditionalFormatting sqref="W671">
    <cfRule type="expression" dxfId="1979" priority="3106">
      <formula>OR($S$671 = FALSE, AND($P$671 = FALSE, ReportType &lt;&gt; "Final"), AND($Q$671 = FALSE, ReportType &lt;&gt; "Rough"))</formula>
    </cfRule>
  </conditionalFormatting>
  <conditionalFormatting sqref="W671">
    <cfRule type="expression" dxfId="1978" priority="3105">
      <formula>OR($T$671 = TRUE, AND(LEN(TRIM($W$671))&gt;0, $S$671 = FALSE))</formula>
    </cfRule>
  </conditionalFormatting>
  <conditionalFormatting sqref="W678">
    <cfRule type="expression" dxfId="1977" priority="3104">
      <formula>AND($R$678,$S$678)</formula>
    </cfRule>
  </conditionalFormatting>
  <conditionalFormatting sqref="W678">
    <cfRule type="expression" dxfId="1976" priority="3103">
      <formula>AND(IF($R$678,$W$678,TRUE),LEN(TRIM($W$678))&gt;0)</formula>
    </cfRule>
  </conditionalFormatting>
  <conditionalFormatting sqref="W678">
    <cfRule type="expression" dxfId="1975" priority="3102">
      <formula>OR($S$678 = FALSE, AND($P$678 = FALSE, ReportType &lt;&gt; "Final"), AND($Q$678 = FALSE, ReportType &lt;&gt; "Rough"))</formula>
    </cfRule>
  </conditionalFormatting>
  <conditionalFormatting sqref="W678">
    <cfRule type="expression" dxfId="1974" priority="3101">
      <formula>OR($T$678 = TRUE, AND(LEN(TRIM($W$678))&gt;0, $S$678 = FALSE))</formula>
    </cfRule>
  </conditionalFormatting>
  <conditionalFormatting sqref="W684">
    <cfRule type="expression" dxfId="1973" priority="3100">
      <formula>AND($R$684,$S$684)</formula>
    </cfRule>
  </conditionalFormatting>
  <conditionalFormatting sqref="W684">
    <cfRule type="expression" dxfId="1972" priority="3099">
      <formula>AND(IF($R$684,$W$684,TRUE),LEN(TRIM($W$684))&gt;0)</formula>
    </cfRule>
  </conditionalFormatting>
  <conditionalFormatting sqref="W684">
    <cfRule type="expression" dxfId="1971" priority="3098">
      <formula>OR($S$684 = FALSE, AND($P$684 = FALSE, ReportType &lt;&gt; "Final"), AND($Q$684 = FALSE, ReportType &lt;&gt; "Rough"))</formula>
    </cfRule>
  </conditionalFormatting>
  <conditionalFormatting sqref="W684">
    <cfRule type="expression" dxfId="1970" priority="3097">
      <formula>OR($T$684 = TRUE, AND(LEN(TRIM($W$684))&gt;0, $S$684 = FALSE))</formula>
    </cfRule>
  </conditionalFormatting>
  <conditionalFormatting sqref="W690">
    <cfRule type="expression" dxfId="1969" priority="3096">
      <formula>AND($R$690,$S$690)</formula>
    </cfRule>
  </conditionalFormatting>
  <conditionalFormatting sqref="W690">
    <cfRule type="expression" dxfId="1968" priority="3095">
      <formula>AND(IF($R$690,$W$690,TRUE),LEN(TRIM($W$690))&gt;0)</formula>
    </cfRule>
  </conditionalFormatting>
  <conditionalFormatting sqref="W690">
    <cfRule type="expression" dxfId="1967" priority="3094">
      <formula>OR($S$690 = FALSE, AND($P$690 = FALSE, ReportType &lt;&gt; "Final"), AND($Q$690 = FALSE, ReportType &lt;&gt; "Rough"))</formula>
    </cfRule>
  </conditionalFormatting>
  <conditionalFormatting sqref="W690">
    <cfRule type="expression" dxfId="1966" priority="3093">
      <formula>OR($T$690 = TRUE, AND(LEN(TRIM($W$690))&gt;0, $S$690 = FALSE))</formula>
    </cfRule>
  </conditionalFormatting>
  <conditionalFormatting sqref="W696">
    <cfRule type="expression" dxfId="1965" priority="3092">
      <formula>AND($R$696,$S$696)</formula>
    </cfRule>
  </conditionalFormatting>
  <conditionalFormatting sqref="W696">
    <cfRule type="expression" dxfId="1964" priority="3091">
      <formula>AND(IF($R$696,$W$696,TRUE),LEN(TRIM($W$696))&gt;0)</formula>
    </cfRule>
  </conditionalFormatting>
  <conditionalFormatting sqref="W696">
    <cfRule type="expression" dxfId="1963" priority="3090">
      <formula>OR($S$696 = FALSE, AND($P$696 = FALSE, ReportType &lt;&gt; "Final"), AND($Q$696 = FALSE, ReportType &lt;&gt; "Rough"))</formula>
    </cfRule>
  </conditionalFormatting>
  <conditionalFormatting sqref="W696">
    <cfRule type="expression" dxfId="1962" priority="3089">
      <formula>OR($T$696 = TRUE, AND(LEN(TRIM($W$696))&gt;0, $S$696 = FALSE))</formula>
    </cfRule>
  </conditionalFormatting>
  <conditionalFormatting sqref="W702">
    <cfRule type="expression" dxfId="1961" priority="3088">
      <formula>AND($R$702,$S$702)</formula>
    </cfRule>
  </conditionalFormatting>
  <conditionalFormatting sqref="W702">
    <cfRule type="expression" dxfId="1960" priority="3087">
      <formula>AND(IF($R$702,$W$702,TRUE),LEN(TRIM($W$702))&gt;0)</formula>
    </cfRule>
  </conditionalFormatting>
  <conditionalFormatting sqref="W702">
    <cfRule type="expression" dxfId="1959" priority="3086">
      <formula>OR($S$702 = FALSE, AND($P$702 = FALSE, ReportType &lt;&gt; "Final"), AND($Q$702 = FALSE, ReportType &lt;&gt; "Rough"))</formula>
    </cfRule>
  </conditionalFormatting>
  <conditionalFormatting sqref="W702">
    <cfRule type="expression" dxfId="1958" priority="3085">
      <formula>OR($T$702 = TRUE, AND(LEN(TRIM($W$702))&gt;0, $S$702 = FALSE))</formula>
    </cfRule>
  </conditionalFormatting>
  <conditionalFormatting sqref="W708">
    <cfRule type="expression" dxfId="1957" priority="3084">
      <formula>AND($R$708,$S$708)</formula>
    </cfRule>
  </conditionalFormatting>
  <conditionalFormatting sqref="W708">
    <cfRule type="expression" dxfId="1956" priority="3083">
      <formula>AND(IF($R$708,$W$708,TRUE),LEN(TRIM($W$708))&gt;0)</formula>
    </cfRule>
  </conditionalFormatting>
  <conditionalFormatting sqref="W708">
    <cfRule type="expression" dxfId="1955" priority="3082">
      <formula>OR($S$708 = FALSE, AND($P$708 = FALSE, ReportType &lt;&gt; "Final"), AND($Q$708 = FALSE, ReportType &lt;&gt; "Rough"))</formula>
    </cfRule>
  </conditionalFormatting>
  <conditionalFormatting sqref="W708">
    <cfRule type="expression" dxfId="1954" priority="3081">
      <formula>OR($T$708 = TRUE, AND(LEN(TRIM($W$708))&gt;0, $S$708 = FALSE))</formula>
    </cfRule>
  </conditionalFormatting>
  <conditionalFormatting sqref="W372">
    <cfRule type="expression" dxfId="1953" priority="3016">
      <formula>AND($R$372,$S$372)</formula>
    </cfRule>
  </conditionalFormatting>
  <conditionalFormatting sqref="W372">
    <cfRule type="expression" dxfId="1952" priority="3015">
      <formula>AND($W$372&lt;&gt;"Not Met",LEN(TRIM($W$372))&gt;0)</formula>
    </cfRule>
  </conditionalFormatting>
  <conditionalFormatting sqref="W372">
    <cfRule type="expression" dxfId="1951" priority="3014">
      <formula>OR($S$372 = FALSE, AND($P$372 = FALSE, ReportType &lt;&gt; "Final"), AND($Q$372 = FALSE, ReportType &lt;&gt; "Rough"))</formula>
    </cfRule>
  </conditionalFormatting>
  <conditionalFormatting sqref="W372">
    <cfRule type="expression" dxfId="1950" priority="3013">
      <formula>OR($T$372 = TRUE, AND(LEN(TRIM($W$372))&gt;0, $S$372 = FALSE))</formula>
    </cfRule>
  </conditionalFormatting>
  <conditionalFormatting sqref="W378">
    <cfRule type="expression" dxfId="1949" priority="3012">
      <formula>AND($R$378,$S$378)</formula>
    </cfRule>
  </conditionalFormatting>
  <conditionalFormatting sqref="W378">
    <cfRule type="expression" dxfId="1948" priority="3011">
      <formula>AND($W$378&lt;&gt;"Not Met",LEN(TRIM($W$378))&gt;0)</formula>
    </cfRule>
  </conditionalFormatting>
  <conditionalFormatting sqref="W378">
    <cfRule type="expression" dxfId="1947" priority="3010">
      <formula>OR($S$378 = FALSE, AND($P$378 = FALSE, ReportType &lt;&gt; "Final"), AND($Q$378 = FALSE, ReportType &lt;&gt; "Rough"))</formula>
    </cfRule>
  </conditionalFormatting>
  <conditionalFormatting sqref="W378">
    <cfRule type="expression" dxfId="1946" priority="3009">
      <formula>OR($T$378 = TRUE, AND(LEN(TRIM($W$378))&gt;0, $S$378 = FALSE))</formula>
    </cfRule>
  </conditionalFormatting>
  <conditionalFormatting sqref="W405">
    <cfRule type="expression" dxfId="1945" priority="3008">
      <formula>AND($R$405,$S$405)</formula>
    </cfRule>
  </conditionalFormatting>
  <conditionalFormatting sqref="W405">
    <cfRule type="expression" dxfId="1944" priority="3007">
      <formula>AND($W$405&lt;&gt;"Not Met",LEN(TRIM($W$405))&gt;0)</formula>
    </cfRule>
  </conditionalFormatting>
  <conditionalFormatting sqref="W405">
    <cfRule type="expression" dxfId="1943" priority="3006">
      <formula>OR($S$405 = FALSE, AND($P$405 = FALSE, ReportType &lt;&gt; "Final"), AND($Q$405 = FALSE, ReportType &lt;&gt; "Rough"))</formula>
    </cfRule>
  </conditionalFormatting>
  <conditionalFormatting sqref="W405">
    <cfRule type="expression" dxfId="1942" priority="3005">
      <formula>OR($T$405 = TRUE, AND(LEN(TRIM($W$405))&gt;0, $S$405 = FALSE))</formula>
    </cfRule>
  </conditionalFormatting>
  <conditionalFormatting sqref="W416">
    <cfRule type="expression" dxfId="1941" priority="3004">
      <formula>AND($R$416,$S$416)</formula>
    </cfRule>
  </conditionalFormatting>
  <conditionalFormatting sqref="W416">
    <cfRule type="expression" dxfId="1940" priority="3003">
      <formula>AND($W$416&lt;&gt;"Not Met",LEN(TRIM($W$416))&gt;0)</formula>
    </cfRule>
  </conditionalFormatting>
  <conditionalFormatting sqref="W416">
    <cfRule type="expression" dxfId="1939" priority="3002">
      <formula>OR($S$416 = FALSE, AND($P$416 = FALSE, ReportType &lt;&gt; "Final"), AND($Q$416 = FALSE, ReportType &lt;&gt; "Rough"))</formula>
    </cfRule>
  </conditionalFormatting>
  <conditionalFormatting sqref="W416">
    <cfRule type="expression" dxfId="1938" priority="3001">
      <formula>OR($T$416 = TRUE, AND(LEN(TRIM($W$416))&gt;0, $S$416 = FALSE))</formula>
    </cfRule>
  </conditionalFormatting>
  <conditionalFormatting sqref="W464">
    <cfRule type="expression" dxfId="1937" priority="3000">
      <formula>AND($R$464,$S$464)</formula>
    </cfRule>
  </conditionalFormatting>
  <conditionalFormatting sqref="W464">
    <cfRule type="expression" dxfId="1936" priority="2999">
      <formula>AND($W$464&lt;&gt;"Not Met",LEN(TRIM($W$464))&gt;0)</formula>
    </cfRule>
  </conditionalFormatting>
  <conditionalFormatting sqref="W464">
    <cfRule type="expression" dxfId="1935" priority="2998">
      <formula>OR($S$464 = FALSE, AND($P$464 = FALSE, ReportType &lt;&gt; "Final"), AND($Q$464 = FALSE, ReportType &lt;&gt; "Rough"))</formula>
    </cfRule>
  </conditionalFormatting>
  <conditionalFormatting sqref="W464">
    <cfRule type="expression" dxfId="1934" priority="2997">
      <formula>OR($T$464 = TRUE, AND(LEN(TRIM($W$464))&gt;0, $S$464 = FALSE))</formula>
    </cfRule>
  </conditionalFormatting>
  <conditionalFormatting sqref="W469">
    <cfRule type="expression" dxfId="1933" priority="2996">
      <formula>AND($R$469,$S$469)</formula>
    </cfRule>
  </conditionalFormatting>
  <conditionalFormatting sqref="W469">
    <cfRule type="expression" dxfId="1932" priority="2995">
      <formula>AND($W$469&lt;&gt;"Not Met",LEN(TRIM($W$469))&gt;0)</formula>
    </cfRule>
  </conditionalFormatting>
  <conditionalFormatting sqref="W469">
    <cfRule type="expression" dxfId="1931" priority="2994">
      <formula>OR($S$469 = FALSE, AND($P$469 = FALSE, ReportType &lt;&gt; "Final"), AND($Q$469 = FALSE, ReportType &lt;&gt; "Rough"))</formula>
    </cfRule>
  </conditionalFormatting>
  <conditionalFormatting sqref="W469">
    <cfRule type="expression" dxfId="1930" priority="2993">
      <formula>OR($T$469 = TRUE, AND(LEN(TRIM($W$469))&gt;0, $S$469 = FALSE))</formula>
    </cfRule>
  </conditionalFormatting>
  <conditionalFormatting sqref="W475">
    <cfRule type="expression" dxfId="1929" priority="2992">
      <formula>AND($R$475,$S$475)</formula>
    </cfRule>
  </conditionalFormatting>
  <conditionalFormatting sqref="W475">
    <cfRule type="expression" dxfId="1928" priority="2991">
      <formula>AND($W$475&lt;&gt;"Not Met",LEN(TRIM($W$475))&gt;0)</formula>
    </cfRule>
  </conditionalFormatting>
  <conditionalFormatting sqref="W475">
    <cfRule type="expression" dxfId="1927" priority="2990">
      <formula>OR($S$475 = FALSE, AND($P$475 = FALSE, ReportType &lt;&gt; "Final"), AND($Q$475 = FALSE, ReportType &lt;&gt; "Rough"))</formula>
    </cfRule>
  </conditionalFormatting>
  <conditionalFormatting sqref="W475">
    <cfRule type="expression" dxfId="1926" priority="2989">
      <formula>OR($T$475 = TRUE, AND(LEN(TRIM($W$475))&gt;0, $S$475 = FALSE))</formula>
    </cfRule>
  </conditionalFormatting>
  <conditionalFormatting sqref="W14">
    <cfRule type="expression" dxfId="1925" priority="2985">
      <formula>OR($T$14 = TRUE, AND($W$14 = TRUE, $S$14 = FALSE))</formula>
    </cfRule>
    <cfRule type="expression" dxfId="1924" priority="2986">
      <formula>OR($S$14 = FALSE, AND($P$14 = FALSE, ReportType &lt;&gt; "Final"), AND($Q$14 = FALSE, ReportType &lt;&gt; "Rough"))</formula>
    </cfRule>
    <cfRule type="expression" dxfId="1923" priority="2987">
      <formula>AND(IF($R$14,$W$14,TRUE),LEN(TRIM($W$14))&gt;0)</formula>
    </cfRule>
    <cfRule type="expression" dxfId="1922" priority="2988">
      <formula>AND($R$14,$S$14)</formula>
    </cfRule>
  </conditionalFormatting>
  <conditionalFormatting sqref="W16">
    <cfRule type="expression" dxfId="1921" priority="2981">
      <formula>OR($T$16 = TRUE, AND($W$16 = TRUE, $S$16 = FALSE))</formula>
    </cfRule>
    <cfRule type="expression" dxfId="1920" priority="2982">
      <formula>OR($S$16 = FALSE, AND($P$16 = FALSE, ReportType &lt;&gt; "Final"), AND($Q$16 = FALSE, ReportType &lt;&gt; "Rough"))</formula>
    </cfRule>
    <cfRule type="expression" dxfId="1919" priority="2983">
      <formula>AND(IF($R$16,$W$16,TRUE),LEN(TRIM($W$16))&gt;0)</formula>
    </cfRule>
    <cfRule type="expression" dxfId="1918" priority="2984">
      <formula>AND($R$16,$S$16)</formula>
    </cfRule>
  </conditionalFormatting>
  <conditionalFormatting sqref="W17">
    <cfRule type="expression" dxfId="1917" priority="2977">
      <formula>OR($T$17 = TRUE, AND($W$17 = TRUE, $S$17 = FALSE))</formula>
    </cfRule>
    <cfRule type="expression" dxfId="1916" priority="2978">
      <formula>OR($S$17 = FALSE, AND($P$17 = FALSE, ReportType &lt;&gt; "Final"), AND($Q$17 = FALSE, ReportType &lt;&gt; "Rough"))</formula>
    </cfRule>
    <cfRule type="expression" dxfId="1915" priority="2979">
      <formula>AND(IF($R$17,$W$17,TRUE),LEN(TRIM($W$17))&gt;0)</formula>
    </cfRule>
    <cfRule type="expression" dxfId="1914" priority="2980">
      <formula>AND($R$17,$S$17)</formula>
    </cfRule>
  </conditionalFormatting>
  <conditionalFormatting sqref="W18">
    <cfRule type="expression" dxfId="1913" priority="2976">
      <formula>AND($R$18,$S$18)</formula>
    </cfRule>
  </conditionalFormatting>
  <conditionalFormatting sqref="W18">
    <cfRule type="expression" dxfId="1912" priority="2975">
      <formula>AND(IF($R$18,$W$18,TRUE),LEN(TRIM($W$18))&gt;0)</formula>
    </cfRule>
  </conditionalFormatting>
  <conditionalFormatting sqref="W18">
    <cfRule type="expression" dxfId="1911" priority="2974">
      <formula>OR($S$18 = FALSE, AND($P$18 = FALSE, ReportType &lt;&gt; "Final"), AND($Q$18 = FALSE, ReportType &lt;&gt; "Rough"))</formula>
    </cfRule>
  </conditionalFormatting>
  <conditionalFormatting sqref="W18">
    <cfRule type="expression" dxfId="1910" priority="2973">
      <formula>OR($T$18 = TRUE, AND($W$18 = TRUE, $S$18 = FALSE))</formula>
    </cfRule>
  </conditionalFormatting>
  <conditionalFormatting sqref="W21">
    <cfRule type="expression" dxfId="1909" priority="2969">
      <formula>OR($T$21 = TRUE, AND($W$21 = TRUE, $S$21 = FALSE))</formula>
    </cfRule>
    <cfRule type="expression" dxfId="1908" priority="2970">
      <formula>OR($S$21 = FALSE, AND($P$21 = FALSE, ReportType &lt;&gt; "Final"), AND($Q$21 = FALSE, ReportType &lt;&gt; "Rough"))</formula>
    </cfRule>
    <cfRule type="expression" dxfId="1907" priority="2971">
      <formula>AND(IF($R$21,$W$21,TRUE),LEN(TRIM($W$21))&gt;0)</formula>
    </cfRule>
    <cfRule type="expression" dxfId="1906" priority="2972">
      <formula>AND($R$21,$S$21)</formula>
    </cfRule>
  </conditionalFormatting>
  <conditionalFormatting sqref="W23">
    <cfRule type="expression" dxfId="1905" priority="2968">
      <formula>AND($R$23,$S$23)</formula>
    </cfRule>
  </conditionalFormatting>
  <conditionalFormatting sqref="W23">
    <cfRule type="expression" dxfId="1904" priority="2967">
      <formula>AND(IF($R$23,$W$23,TRUE),LEN(TRIM($W$23))&gt;0)</formula>
    </cfRule>
  </conditionalFormatting>
  <conditionalFormatting sqref="W23">
    <cfRule type="expression" dxfId="1903" priority="2966">
      <formula>OR($S$23 = FALSE, AND($P$23 = FALSE, ReportType &lt;&gt; "Final"), AND($Q$23 = FALSE, ReportType &lt;&gt; "Rough"))</formula>
    </cfRule>
  </conditionalFormatting>
  <conditionalFormatting sqref="W23">
    <cfRule type="expression" dxfId="1902" priority="2965">
      <formula>OR($T$23 = TRUE, AND($W$23 = TRUE, $S$23 = FALSE))</formula>
    </cfRule>
  </conditionalFormatting>
  <conditionalFormatting sqref="W25">
    <cfRule type="expression" dxfId="1901" priority="2964">
      <formula>AND($R$25,$S$25)</formula>
    </cfRule>
  </conditionalFormatting>
  <conditionalFormatting sqref="W25">
    <cfRule type="expression" dxfId="1900" priority="2963">
      <formula>AND(IF($R$25,$W$25,TRUE),LEN(TRIM($W$25))&gt;0)</formula>
    </cfRule>
  </conditionalFormatting>
  <conditionalFormatting sqref="W25">
    <cfRule type="expression" dxfId="1899" priority="2962">
      <formula>OR($S$25 = FALSE, AND($P$25 = FALSE, ReportType &lt;&gt; "Final"), AND($Q$25 = FALSE, ReportType &lt;&gt; "Rough"))</formula>
    </cfRule>
  </conditionalFormatting>
  <conditionalFormatting sqref="W25">
    <cfRule type="expression" dxfId="1898" priority="2961">
      <formula>OR($T$25 = TRUE, AND($W$25 = TRUE, $S$25 = FALSE))</formula>
    </cfRule>
  </conditionalFormatting>
  <conditionalFormatting sqref="W27">
    <cfRule type="expression" dxfId="1897" priority="2960">
      <formula>AND($R$27,$S$27)</formula>
    </cfRule>
  </conditionalFormatting>
  <conditionalFormatting sqref="W27">
    <cfRule type="expression" dxfId="1896" priority="2959">
      <formula>AND(IF($R$27,$W$27,TRUE),LEN(TRIM($W$27))&gt;0)</formula>
    </cfRule>
  </conditionalFormatting>
  <conditionalFormatting sqref="W27">
    <cfRule type="expression" dxfId="1895" priority="2958">
      <formula>OR($S$27 = FALSE, AND($P$27 = FALSE, ReportType &lt;&gt; "Final"), AND($Q$27 = FALSE, ReportType &lt;&gt; "Rough"))</formula>
    </cfRule>
  </conditionalFormatting>
  <conditionalFormatting sqref="W27">
    <cfRule type="expression" dxfId="1894" priority="2957">
      <formula>OR($T$27 = TRUE, AND($W$27 = TRUE, $S$27 = FALSE))</formula>
    </cfRule>
  </conditionalFormatting>
  <conditionalFormatting sqref="W36">
    <cfRule type="expression" dxfId="1893" priority="2956">
      <formula>AND($R$36,$S$36)</formula>
    </cfRule>
  </conditionalFormatting>
  <conditionalFormatting sqref="W36">
    <cfRule type="expression" dxfId="1892" priority="2955">
      <formula>AND(IF($R$36,$W$36,TRUE),LEN(TRIM($W$36))&gt;0)</formula>
    </cfRule>
  </conditionalFormatting>
  <conditionalFormatting sqref="W36">
    <cfRule type="expression" dxfId="1891" priority="2954">
      <formula>OR($S$36 = FALSE, AND($P$36 = FALSE, ReportType &lt;&gt; "Final"), AND($Q$36 = FALSE, ReportType &lt;&gt; "Rough"))</formula>
    </cfRule>
  </conditionalFormatting>
  <conditionalFormatting sqref="W36">
    <cfRule type="expression" dxfId="1890" priority="2953">
      <formula>OR($T$36 = TRUE, AND($W$36 = TRUE, $S$36 = FALSE))</formula>
    </cfRule>
  </conditionalFormatting>
  <conditionalFormatting sqref="W45">
    <cfRule type="expression" dxfId="1889" priority="2952">
      <formula>AND($R$45,$S$45)</formula>
    </cfRule>
  </conditionalFormatting>
  <conditionalFormatting sqref="W45">
    <cfRule type="expression" dxfId="1888" priority="2951">
      <formula>AND(IF($R$45,$W$45,TRUE),LEN(TRIM($W$45))&gt;0)</formula>
    </cfRule>
  </conditionalFormatting>
  <conditionalFormatting sqref="W45">
    <cfRule type="expression" dxfId="1887" priority="2950">
      <formula>OR($S$45 = FALSE, AND($P$45 = FALSE, ReportType &lt;&gt; "Final"), AND($Q$45 = FALSE, ReportType &lt;&gt; "Rough"))</formula>
    </cfRule>
  </conditionalFormatting>
  <conditionalFormatting sqref="W45">
    <cfRule type="expression" dxfId="1886" priority="2949">
      <formula>OR($T$45 = TRUE, AND($W$45 = TRUE, $S$45 = FALSE))</formula>
    </cfRule>
  </conditionalFormatting>
  <conditionalFormatting sqref="W56">
    <cfRule type="expression" dxfId="1885" priority="2948">
      <formula>AND($R$56,$S$56)</formula>
    </cfRule>
  </conditionalFormatting>
  <conditionalFormatting sqref="W56">
    <cfRule type="expression" dxfId="1884" priority="2947">
      <formula>AND(IF($R$56,$W$56,TRUE),LEN(TRIM($W$56))&gt;0)</formula>
    </cfRule>
  </conditionalFormatting>
  <conditionalFormatting sqref="W56">
    <cfRule type="expression" dxfId="1883" priority="2946">
      <formula>OR($S$56 = FALSE, AND($P$56 = FALSE, ReportType &lt;&gt; "Final"), AND($Q$56 = FALSE, ReportType &lt;&gt; "Rough"))</formula>
    </cfRule>
  </conditionalFormatting>
  <conditionalFormatting sqref="W56">
    <cfRule type="expression" dxfId="1882" priority="2945">
      <formula>OR($T$56 = TRUE, AND($W$56 = TRUE, $S$56 = FALSE))</formula>
    </cfRule>
  </conditionalFormatting>
  <conditionalFormatting sqref="W57">
    <cfRule type="expression" dxfId="1881" priority="2944">
      <formula>AND($R$57,$S$57)</formula>
    </cfRule>
  </conditionalFormatting>
  <conditionalFormatting sqref="W57">
    <cfRule type="expression" dxfId="1880" priority="2943">
      <formula>AND(IF($R$57,$W$57,TRUE),LEN(TRIM($W$57))&gt;0)</formula>
    </cfRule>
  </conditionalFormatting>
  <conditionalFormatting sqref="W57">
    <cfRule type="expression" dxfId="1879" priority="2942">
      <formula>OR($S$57 = FALSE, AND($P$57 = FALSE, ReportType &lt;&gt; "Final"), AND($Q$57 = FALSE, ReportType &lt;&gt; "Rough"))</formula>
    </cfRule>
  </conditionalFormatting>
  <conditionalFormatting sqref="W57">
    <cfRule type="expression" dxfId="1878" priority="2941">
      <formula>OR($T$57 = TRUE, AND($W$57 = TRUE, $S$57 = FALSE))</formula>
    </cfRule>
  </conditionalFormatting>
  <conditionalFormatting sqref="W59">
    <cfRule type="expression" dxfId="1877" priority="2940">
      <formula>AND($R$59,$S$59)</formula>
    </cfRule>
  </conditionalFormatting>
  <conditionalFormatting sqref="W59">
    <cfRule type="expression" dxfId="1876" priority="2939">
      <formula>AND(IF($R$59,$W$59,TRUE),LEN(TRIM($W$59))&gt;0)</formula>
    </cfRule>
  </conditionalFormatting>
  <conditionalFormatting sqref="W59">
    <cfRule type="expression" dxfId="1875" priority="2938">
      <formula>OR($S$59 = FALSE, AND($P$59 = FALSE, ReportType &lt;&gt; "Final"), AND($Q$59 = FALSE, ReportType &lt;&gt; "Rough"))</formula>
    </cfRule>
  </conditionalFormatting>
  <conditionalFormatting sqref="W59">
    <cfRule type="expression" dxfId="1874" priority="2937">
      <formula>OR($T$59 = TRUE, AND($W$59 = TRUE, $S$59 = FALSE))</formula>
    </cfRule>
  </conditionalFormatting>
  <conditionalFormatting sqref="W61">
    <cfRule type="expression" dxfId="1873" priority="2936">
      <formula>AND($R$61,$S$61)</formula>
    </cfRule>
  </conditionalFormatting>
  <conditionalFormatting sqref="W61">
    <cfRule type="expression" dxfId="1872" priority="2935">
      <formula>AND(IF($R$61,$W$61,TRUE),LEN(TRIM($W$61))&gt;0)</formula>
    </cfRule>
  </conditionalFormatting>
  <conditionalFormatting sqref="W61">
    <cfRule type="expression" dxfId="1871" priority="2934">
      <formula>OR($S$61 = FALSE, AND($P$61 = FALSE, ReportType &lt;&gt; "Final"), AND($Q$61 = FALSE, ReportType &lt;&gt; "Rough"))</formula>
    </cfRule>
  </conditionalFormatting>
  <conditionalFormatting sqref="W61">
    <cfRule type="expression" dxfId="1870" priority="2933">
      <formula>OR($T$61 = TRUE, AND($W$61 = TRUE, $S$61 = FALSE))</formula>
    </cfRule>
  </conditionalFormatting>
  <conditionalFormatting sqref="W62">
    <cfRule type="expression" dxfId="1869" priority="2932">
      <formula>AND($R$62,$S$62)</formula>
    </cfRule>
  </conditionalFormatting>
  <conditionalFormatting sqref="W62">
    <cfRule type="expression" dxfId="1868" priority="2931">
      <formula>AND(IF($R$62,$W$62,TRUE),LEN(TRIM($W$62))&gt;0)</formula>
    </cfRule>
  </conditionalFormatting>
  <conditionalFormatting sqref="W62">
    <cfRule type="expression" dxfId="1867" priority="2930">
      <formula>OR($S$62 = FALSE, AND($P$62 = FALSE, ReportType &lt;&gt; "Final"), AND($Q$62 = FALSE, ReportType &lt;&gt; "Rough"))</formula>
    </cfRule>
  </conditionalFormatting>
  <conditionalFormatting sqref="W62">
    <cfRule type="expression" dxfId="1866" priority="2929">
      <formula>OR($T$62 = TRUE, AND($W$62 = TRUE, $S$62 = FALSE))</formula>
    </cfRule>
  </conditionalFormatting>
  <conditionalFormatting sqref="W63">
    <cfRule type="expression" dxfId="1865" priority="2928">
      <formula>AND($R$63,$S$63)</formula>
    </cfRule>
  </conditionalFormatting>
  <conditionalFormatting sqref="W63">
    <cfRule type="expression" dxfId="1864" priority="2927">
      <formula>AND(IF($R$63,$W$63,TRUE),LEN(TRIM($W$63))&gt;0)</formula>
    </cfRule>
  </conditionalFormatting>
  <conditionalFormatting sqref="W63">
    <cfRule type="expression" dxfId="1863" priority="2926">
      <formula>OR($S$63 = FALSE, AND($P$63 = FALSE, ReportType &lt;&gt; "Final"), AND($Q$63 = FALSE, ReportType &lt;&gt; "Rough"))</formula>
    </cfRule>
  </conditionalFormatting>
  <conditionalFormatting sqref="W63">
    <cfRule type="expression" dxfId="1862" priority="2925">
      <formula>OR($T$63 = TRUE, AND($W$63 = TRUE, $S$63 = FALSE))</formula>
    </cfRule>
  </conditionalFormatting>
  <conditionalFormatting sqref="W65">
    <cfRule type="expression" dxfId="1861" priority="2924">
      <formula>AND($R$65,$S$65)</formula>
    </cfRule>
  </conditionalFormatting>
  <conditionalFormatting sqref="W65">
    <cfRule type="expression" dxfId="1860" priority="2923">
      <formula>AND(IF($R$65,$W$65,TRUE),LEN(TRIM($W$65))&gt;0)</formula>
    </cfRule>
  </conditionalFormatting>
  <conditionalFormatting sqref="W65">
    <cfRule type="expression" dxfId="1859" priority="2922">
      <formula>OR($S$65 = FALSE, AND($P$65 = FALSE, ReportType &lt;&gt; "Final"), AND($Q$65 = FALSE, ReportType &lt;&gt; "Rough"))</formula>
    </cfRule>
  </conditionalFormatting>
  <conditionalFormatting sqref="W65">
    <cfRule type="expression" dxfId="1858" priority="2921">
      <formula>OR($T$65 = TRUE, AND($W$65 = TRUE, $S$65 = FALSE))</formula>
    </cfRule>
  </conditionalFormatting>
  <conditionalFormatting sqref="W69">
    <cfRule type="expression" dxfId="1857" priority="2920">
      <formula>AND($R$69,$S$69)</formula>
    </cfRule>
  </conditionalFormatting>
  <conditionalFormatting sqref="W69">
    <cfRule type="expression" dxfId="1856" priority="2919">
      <formula>AND(IF($R$69,$W$69,TRUE),LEN(TRIM($W$69))&gt;0)</formula>
    </cfRule>
  </conditionalFormatting>
  <conditionalFormatting sqref="W69">
    <cfRule type="expression" dxfId="1855" priority="2918">
      <formula>OR($S$69 = FALSE, AND($P$69 = FALSE, ReportType &lt;&gt; "Final"), AND($Q$69 = FALSE, ReportType &lt;&gt; "Rough"))</formula>
    </cfRule>
  </conditionalFormatting>
  <conditionalFormatting sqref="W69">
    <cfRule type="expression" dxfId="1854" priority="2917">
      <formula>OR($T$69 = TRUE, AND($W$69 = TRUE, $S$69 = FALSE))</formula>
    </cfRule>
  </conditionalFormatting>
  <conditionalFormatting sqref="W70">
    <cfRule type="expression" dxfId="1853" priority="2916">
      <formula>AND($R$70,$S$70)</formula>
    </cfRule>
  </conditionalFormatting>
  <conditionalFormatting sqref="W70">
    <cfRule type="expression" dxfId="1852" priority="2915">
      <formula>AND(IF($R$70,$W$70,TRUE),LEN(TRIM($W$70))&gt;0)</formula>
    </cfRule>
  </conditionalFormatting>
  <conditionalFormatting sqref="W70">
    <cfRule type="expression" dxfId="1851" priority="2914">
      <formula>OR($S$70 = FALSE, AND($P$70 = FALSE, ReportType &lt;&gt; "Final"), AND($Q$70 = FALSE, ReportType &lt;&gt; "Rough"))</formula>
    </cfRule>
  </conditionalFormatting>
  <conditionalFormatting sqref="W70">
    <cfRule type="expression" dxfId="1850" priority="2913">
      <formula>OR($T$70 = TRUE, AND($W$70 = TRUE, $S$70 = FALSE))</formula>
    </cfRule>
  </conditionalFormatting>
  <conditionalFormatting sqref="W77">
    <cfRule type="expression" dxfId="1849" priority="2912">
      <formula>AND($R$77,$S$77)</formula>
    </cfRule>
  </conditionalFormatting>
  <conditionalFormatting sqref="W77">
    <cfRule type="expression" dxfId="1848" priority="2911">
      <formula>AND(IF($R$77,$W$77,TRUE),LEN(TRIM($W$77))&gt;0)</formula>
    </cfRule>
  </conditionalFormatting>
  <conditionalFormatting sqref="W77">
    <cfRule type="expression" dxfId="1847" priority="2910">
      <formula>OR($S$77 = FALSE, AND($P$77 = FALSE, ReportType &lt;&gt; "Final"), AND($Q$77 = FALSE, ReportType &lt;&gt; "Rough"))</formula>
    </cfRule>
  </conditionalFormatting>
  <conditionalFormatting sqref="W77">
    <cfRule type="expression" dxfId="1846" priority="2909">
      <formula>OR($T$77 = TRUE, AND($W$77 = TRUE, $S$77 = FALSE))</formula>
    </cfRule>
  </conditionalFormatting>
  <conditionalFormatting sqref="W79">
    <cfRule type="expression" dxfId="1845" priority="2908">
      <formula>AND($R$79,$S$79)</formula>
    </cfRule>
  </conditionalFormatting>
  <conditionalFormatting sqref="W79">
    <cfRule type="expression" dxfId="1844" priority="2907">
      <formula>AND(IF($R$79,$W$79,TRUE),LEN(TRIM($W$79))&gt;0)</formula>
    </cfRule>
  </conditionalFormatting>
  <conditionalFormatting sqref="W79">
    <cfRule type="expression" dxfId="1843" priority="2906">
      <formula>OR($S$79 = FALSE, AND($P$79 = FALSE, ReportType &lt;&gt; "Final"), AND($Q$79 = FALSE, ReportType &lt;&gt; "Rough"))</formula>
    </cfRule>
  </conditionalFormatting>
  <conditionalFormatting sqref="W79">
    <cfRule type="expression" dxfId="1842" priority="2905">
      <formula>OR($T$79 = TRUE, AND($W$79 = TRUE, $S$79 = FALSE))</formula>
    </cfRule>
  </conditionalFormatting>
  <conditionalFormatting sqref="W83">
    <cfRule type="expression" dxfId="1841" priority="2904">
      <formula>AND($R$83,$S$83)</formula>
    </cfRule>
  </conditionalFormatting>
  <conditionalFormatting sqref="W83">
    <cfRule type="expression" dxfId="1840" priority="2903">
      <formula>AND(IF($R$83,$W$83,TRUE),LEN(TRIM($W$83))&gt;0)</formula>
    </cfRule>
  </conditionalFormatting>
  <conditionalFormatting sqref="W83">
    <cfRule type="expression" dxfId="1839" priority="2902">
      <formula>OR($S$83 = FALSE, AND($P$83 = FALSE, ReportType &lt;&gt; "Final"), AND($Q$83 = FALSE, ReportType &lt;&gt; "Rough"))</formula>
    </cfRule>
  </conditionalFormatting>
  <conditionalFormatting sqref="W83">
    <cfRule type="expression" dxfId="1838" priority="2901">
      <formula>OR($T$83 = TRUE, AND($W$83 = TRUE, $S$83 = FALSE))</formula>
    </cfRule>
  </conditionalFormatting>
  <conditionalFormatting sqref="W87">
    <cfRule type="expression" dxfId="1837" priority="2900">
      <formula>AND($R$87,$S$87)</formula>
    </cfRule>
  </conditionalFormatting>
  <conditionalFormatting sqref="W87">
    <cfRule type="expression" dxfId="1836" priority="2899">
      <formula>AND(IF($R$87,$W$87,TRUE),LEN(TRIM($W$87))&gt;0)</formula>
    </cfRule>
  </conditionalFormatting>
  <conditionalFormatting sqref="W87">
    <cfRule type="expression" dxfId="1835" priority="2898">
      <formula>OR($S$87 = FALSE, AND($P$87 = FALSE, ReportType &lt;&gt; "Final"), AND($Q$87 = FALSE, ReportType &lt;&gt; "Rough"))</formula>
    </cfRule>
  </conditionalFormatting>
  <conditionalFormatting sqref="W87">
    <cfRule type="expression" dxfId="1834" priority="2897">
      <formula>OR($T$87 = TRUE, AND($W$87 = TRUE, $S$87 = FALSE))</formula>
    </cfRule>
  </conditionalFormatting>
  <conditionalFormatting sqref="W88">
    <cfRule type="expression" dxfId="1833" priority="2896">
      <formula>AND($R$88,$S$88)</formula>
    </cfRule>
  </conditionalFormatting>
  <conditionalFormatting sqref="W88">
    <cfRule type="expression" dxfId="1832" priority="2895">
      <formula>AND(IF($R$88,$W$88,TRUE),LEN(TRIM($W$88))&gt;0)</formula>
    </cfRule>
  </conditionalFormatting>
  <conditionalFormatting sqref="W88">
    <cfRule type="expression" dxfId="1831" priority="2894">
      <formula>OR($S$88 = FALSE, AND($P$88 = FALSE, ReportType &lt;&gt; "Final"), AND($Q$88 = FALSE, ReportType &lt;&gt; "Rough"))</formula>
    </cfRule>
  </conditionalFormatting>
  <conditionalFormatting sqref="W88">
    <cfRule type="expression" dxfId="1830" priority="2893">
      <formula>OR($T$88 = TRUE, AND($W$88 = TRUE, $S$88 = FALSE))</formula>
    </cfRule>
  </conditionalFormatting>
  <conditionalFormatting sqref="W90">
    <cfRule type="expression" dxfId="1829" priority="2892">
      <formula>AND($R$90,$S$90)</formula>
    </cfRule>
  </conditionalFormatting>
  <conditionalFormatting sqref="W90">
    <cfRule type="expression" dxfId="1828" priority="2891">
      <formula>AND(IF($R$90,$W$90,TRUE),LEN(TRIM($W$90))&gt;0)</formula>
    </cfRule>
  </conditionalFormatting>
  <conditionalFormatting sqref="W90">
    <cfRule type="expression" dxfId="1827" priority="2890">
      <formula>OR($S$90 = FALSE, AND($P$90 = FALSE, ReportType &lt;&gt; "Final"), AND($Q$90 = FALSE, ReportType &lt;&gt; "Rough"))</formula>
    </cfRule>
  </conditionalFormatting>
  <conditionalFormatting sqref="W90">
    <cfRule type="expression" dxfId="1826" priority="2889">
      <formula>OR($T$90 = TRUE, AND($W$90 = TRUE, $S$90 = FALSE))</formula>
    </cfRule>
  </conditionalFormatting>
  <conditionalFormatting sqref="W91">
    <cfRule type="expression" dxfId="1825" priority="2888">
      <formula>AND($R$91,$S$91)</formula>
    </cfRule>
  </conditionalFormatting>
  <conditionalFormatting sqref="W91">
    <cfRule type="expression" dxfId="1824" priority="2887">
      <formula>AND(IF($R$91,$W$91,TRUE),LEN(TRIM($W$91))&gt;0)</formula>
    </cfRule>
  </conditionalFormatting>
  <conditionalFormatting sqref="W91">
    <cfRule type="expression" dxfId="1823" priority="2886">
      <formula>OR($S$91 = FALSE, AND($P$91 = FALSE, ReportType &lt;&gt; "Final"), AND($Q$91 = FALSE, ReportType &lt;&gt; "Rough"))</formula>
    </cfRule>
  </conditionalFormatting>
  <conditionalFormatting sqref="W91">
    <cfRule type="expression" dxfId="1822" priority="2885">
      <formula>OR($T$91 = TRUE, AND($W$91 = TRUE, $S$91 = FALSE))</formula>
    </cfRule>
  </conditionalFormatting>
  <conditionalFormatting sqref="W92">
    <cfRule type="expression" dxfId="1821" priority="2884">
      <formula>AND($R$92,$S$92)</formula>
    </cfRule>
  </conditionalFormatting>
  <conditionalFormatting sqref="W92">
    <cfRule type="expression" dxfId="1820" priority="2883">
      <formula>AND(IF($R$92,$W$92,TRUE),LEN(TRIM($W$92))&gt;0)</formula>
    </cfRule>
  </conditionalFormatting>
  <conditionalFormatting sqref="W92">
    <cfRule type="expression" dxfId="1819" priority="2882">
      <formula>OR($S$92 = FALSE, AND($P$92 = FALSE, ReportType &lt;&gt; "Final"), AND($Q$92 = FALSE, ReportType &lt;&gt; "Rough"))</formula>
    </cfRule>
  </conditionalFormatting>
  <conditionalFormatting sqref="W92">
    <cfRule type="expression" dxfId="1818" priority="2881">
      <formula>OR($T$92 = TRUE, AND($W$92 = TRUE, $S$92 = FALSE))</formula>
    </cfRule>
  </conditionalFormatting>
  <conditionalFormatting sqref="W100">
    <cfRule type="expression" dxfId="1817" priority="2880">
      <formula>AND($R$100,$S$100)</formula>
    </cfRule>
  </conditionalFormatting>
  <conditionalFormatting sqref="W100">
    <cfRule type="expression" dxfId="1816" priority="2879">
      <formula>AND(IF($R$100,$W$100,TRUE),LEN(TRIM($W$100))&gt;0)</formula>
    </cfRule>
  </conditionalFormatting>
  <conditionalFormatting sqref="W100">
    <cfRule type="expression" dxfId="1815" priority="2878">
      <formula>OR($S$100 = FALSE, AND($P$100 = FALSE, ReportType &lt;&gt; "Final"), AND($Q$100 = FALSE, ReportType &lt;&gt; "Rough"))</formula>
    </cfRule>
  </conditionalFormatting>
  <conditionalFormatting sqref="W100">
    <cfRule type="expression" dxfId="1814" priority="2877">
      <formula>OR($T$100 = TRUE, AND($W$100 = TRUE, $S$100 = FALSE))</formula>
    </cfRule>
  </conditionalFormatting>
  <conditionalFormatting sqref="W103">
    <cfRule type="expression" dxfId="1813" priority="2876">
      <formula>AND($R$103,$S$103)</formula>
    </cfRule>
  </conditionalFormatting>
  <conditionalFormatting sqref="W103">
    <cfRule type="expression" dxfId="1812" priority="2875">
      <formula>AND(IF($R$103,$W$103,TRUE),LEN(TRIM($W$103))&gt;0)</formula>
    </cfRule>
  </conditionalFormatting>
  <conditionalFormatting sqref="W103">
    <cfRule type="expression" dxfId="1811" priority="2874">
      <formula>OR($S$103 = FALSE, AND($P$103 = FALSE, ReportType &lt;&gt; "Final"), AND($Q$103 = FALSE, ReportType &lt;&gt; "Rough"))</formula>
    </cfRule>
  </conditionalFormatting>
  <conditionalFormatting sqref="W103">
    <cfRule type="expression" dxfId="1810" priority="2873">
      <formula>OR($T$103 = TRUE, AND($W$103 = TRUE, $S$103 = FALSE))</formula>
    </cfRule>
  </conditionalFormatting>
  <conditionalFormatting sqref="W129">
    <cfRule type="expression" dxfId="1809" priority="2872">
      <formula>AND($R$129,$S$129)</formula>
    </cfRule>
  </conditionalFormatting>
  <conditionalFormatting sqref="W129">
    <cfRule type="expression" dxfId="1808" priority="2871">
      <formula>AND(IF($R$129,$W$129,TRUE),LEN(TRIM($W$129))&gt;0)</formula>
    </cfRule>
  </conditionalFormatting>
  <conditionalFormatting sqref="W129">
    <cfRule type="expression" dxfId="1807" priority="2870">
      <formula>OR($S$129 = FALSE, AND($P$129 = FALSE, ReportType &lt;&gt; "Final"), AND($Q$129 = FALSE, ReportType &lt;&gt; "Rough"))</formula>
    </cfRule>
  </conditionalFormatting>
  <conditionalFormatting sqref="W129">
    <cfRule type="expression" dxfId="1806" priority="2869">
      <formula>OR($T$129 = TRUE, AND($W$129 = TRUE, $S$129 = FALSE))</formula>
    </cfRule>
  </conditionalFormatting>
  <conditionalFormatting sqref="W131">
    <cfRule type="expression" dxfId="1805" priority="2868">
      <formula>AND($R$131,$S$131)</formula>
    </cfRule>
  </conditionalFormatting>
  <conditionalFormatting sqref="W131">
    <cfRule type="expression" dxfId="1804" priority="2867">
      <formula>AND(IF($R$131,$W$131,TRUE),LEN(TRIM($W$131))&gt;0)</formula>
    </cfRule>
  </conditionalFormatting>
  <conditionalFormatting sqref="W131">
    <cfRule type="expression" dxfId="1803" priority="2866">
      <formula>OR($S$131 = FALSE, AND($P$131 = FALSE, ReportType &lt;&gt; "Final"), AND($Q$131 = FALSE, ReportType &lt;&gt; "Rough"))</formula>
    </cfRule>
  </conditionalFormatting>
  <conditionalFormatting sqref="W131">
    <cfRule type="expression" dxfId="1802" priority="2865">
      <formula>OR($T$131 = TRUE, AND($W$131 = TRUE, $S$131 = FALSE))</formula>
    </cfRule>
  </conditionalFormatting>
  <conditionalFormatting sqref="W133">
    <cfRule type="expression" dxfId="1801" priority="2864">
      <formula>AND($R$133,$S$133)</formula>
    </cfRule>
  </conditionalFormatting>
  <conditionalFormatting sqref="W133">
    <cfRule type="expression" dxfId="1800" priority="2863">
      <formula>AND(IF($R$133,$W$133,TRUE),LEN(TRIM($W$133))&gt;0)</formula>
    </cfRule>
  </conditionalFormatting>
  <conditionalFormatting sqref="W133">
    <cfRule type="expression" dxfId="1799" priority="2862">
      <formula>OR($S$133 = FALSE, AND($P$133 = FALSE, ReportType &lt;&gt; "Final"), AND($Q$133 = FALSE, ReportType &lt;&gt; "Rough"))</formula>
    </cfRule>
  </conditionalFormatting>
  <conditionalFormatting sqref="W133">
    <cfRule type="expression" dxfId="1798" priority="2861">
      <formula>OR($T$133 = TRUE, AND($W$133 = TRUE, $S$133 = FALSE))</formula>
    </cfRule>
  </conditionalFormatting>
  <conditionalFormatting sqref="W140">
    <cfRule type="expression" dxfId="1797" priority="2860">
      <formula>AND($R$140,$S$140)</formula>
    </cfRule>
  </conditionalFormatting>
  <conditionalFormatting sqref="W140">
    <cfRule type="expression" dxfId="1796" priority="2859">
      <formula>AND(IF($R$140,$W$140,TRUE),LEN(TRIM($W$140))&gt;0)</formula>
    </cfRule>
  </conditionalFormatting>
  <conditionalFormatting sqref="W140">
    <cfRule type="expression" dxfId="1795" priority="2858">
      <formula>OR($S$140 = FALSE, AND($P$140 = FALSE, ReportType &lt;&gt; "Final"), AND($Q$140 = FALSE, ReportType &lt;&gt; "Rough"))</formula>
    </cfRule>
  </conditionalFormatting>
  <conditionalFormatting sqref="W140">
    <cfRule type="expression" dxfId="1794" priority="2857">
      <formula>OR($T$140 = TRUE, AND($W$140 = TRUE, $S$140 = FALSE))</formula>
    </cfRule>
  </conditionalFormatting>
  <conditionalFormatting sqref="W141">
    <cfRule type="expression" dxfId="1793" priority="2856">
      <formula>AND($R$141,$S$141)</formula>
    </cfRule>
  </conditionalFormatting>
  <conditionalFormatting sqref="W141">
    <cfRule type="expression" dxfId="1792" priority="2855">
      <formula>AND(IF($R$141,$W$141,TRUE),LEN(TRIM($W$141))&gt;0)</formula>
    </cfRule>
  </conditionalFormatting>
  <conditionalFormatting sqref="W141">
    <cfRule type="expression" dxfId="1791" priority="2854">
      <formula>OR($S$141 = FALSE, AND($P$141 = FALSE, ReportType &lt;&gt; "Final"), AND($Q$141 = FALSE, ReportType &lt;&gt; "Rough"))</formula>
    </cfRule>
  </conditionalFormatting>
  <conditionalFormatting sqref="W141">
    <cfRule type="expression" dxfId="1790" priority="2853">
      <formula>OR($T$141 = TRUE, AND($W$141 = TRUE, $S$141 = FALSE))</formula>
    </cfRule>
  </conditionalFormatting>
  <conditionalFormatting sqref="W146">
    <cfRule type="expression" dxfId="1789" priority="2852">
      <formula>AND($R$146,$S$146)</formula>
    </cfRule>
  </conditionalFormatting>
  <conditionalFormatting sqref="W146">
    <cfRule type="expression" dxfId="1788" priority="2851">
      <formula>AND(IF($R$146,$W$146,TRUE),LEN(TRIM($W$146))&gt;0)</formula>
    </cfRule>
  </conditionalFormatting>
  <conditionalFormatting sqref="W146">
    <cfRule type="expression" dxfId="1787" priority="2850">
      <formula>OR($S$146 = FALSE, AND($P$146 = FALSE, ReportType &lt;&gt; "Final"), AND($Q$146 = FALSE, ReportType &lt;&gt; "Rough"))</formula>
    </cfRule>
  </conditionalFormatting>
  <conditionalFormatting sqref="W146">
    <cfRule type="expression" dxfId="1786" priority="2849">
      <formula>OR($T$146 = TRUE, AND($W$146 = TRUE, $S$146 = FALSE))</formula>
    </cfRule>
  </conditionalFormatting>
  <conditionalFormatting sqref="W148">
    <cfRule type="expression" dxfId="1785" priority="2848">
      <formula>AND($R$148,$S$148)</formula>
    </cfRule>
  </conditionalFormatting>
  <conditionalFormatting sqref="W148">
    <cfRule type="expression" dxfId="1784" priority="2847">
      <formula>AND(IF($R$148,$W$148,TRUE),LEN(TRIM($W$148))&gt;0)</formula>
    </cfRule>
  </conditionalFormatting>
  <conditionalFormatting sqref="W148">
    <cfRule type="expression" dxfId="1783" priority="2846">
      <formula>OR($S$148 = FALSE, AND($P$148 = FALSE, ReportType &lt;&gt; "Final"), AND($Q$148 = FALSE, ReportType &lt;&gt; "Rough"))</formula>
    </cfRule>
  </conditionalFormatting>
  <conditionalFormatting sqref="W148">
    <cfRule type="expression" dxfId="1782" priority="2845">
      <formula>OR($T$148 = TRUE, AND($W$148 = TRUE, $S$148 = FALSE))</formula>
    </cfRule>
  </conditionalFormatting>
  <conditionalFormatting sqref="W151">
    <cfRule type="expression" dxfId="1781" priority="2844">
      <formula>AND($R$151,$S$151)</formula>
    </cfRule>
  </conditionalFormatting>
  <conditionalFormatting sqref="W151">
    <cfRule type="expression" dxfId="1780" priority="2843">
      <formula>AND(IF($R$151,$W$151,TRUE),LEN(TRIM($W$151))&gt;0)</formula>
    </cfRule>
  </conditionalFormatting>
  <conditionalFormatting sqref="W151">
    <cfRule type="expression" dxfId="1779" priority="2842">
      <formula>OR($S$151 = FALSE, AND($P$151 = FALSE, ReportType &lt;&gt; "Final"), AND($Q$151 = FALSE, ReportType &lt;&gt; "Rough"))</formula>
    </cfRule>
  </conditionalFormatting>
  <conditionalFormatting sqref="W151">
    <cfRule type="expression" dxfId="1778" priority="2841">
      <formula>OR($T$151 = TRUE, AND($W$151 = TRUE, $S$151 = FALSE))</formula>
    </cfRule>
  </conditionalFormatting>
  <conditionalFormatting sqref="W153">
    <cfRule type="expression" dxfId="1777" priority="2840">
      <formula>AND($R$153,$S$153)</formula>
    </cfRule>
  </conditionalFormatting>
  <conditionalFormatting sqref="W153">
    <cfRule type="expression" dxfId="1776" priority="2839">
      <formula>AND(IF($R$153,$W$153,TRUE),LEN(TRIM($W$153))&gt;0)</formula>
    </cfRule>
  </conditionalFormatting>
  <conditionalFormatting sqref="W153">
    <cfRule type="expression" dxfId="1775" priority="2838">
      <formula>OR($S$153 = FALSE, AND($P$153 = FALSE, ReportType &lt;&gt; "Final"), AND($Q$153 = FALSE, ReportType &lt;&gt; "Rough"))</formula>
    </cfRule>
  </conditionalFormatting>
  <conditionalFormatting sqref="W153">
    <cfRule type="expression" dxfId="1774" priority="2837">
      <formula>OR($T$153 = TRUE, AND($W$153 = TRUE, $S$153 = FALSE))</formula>
    </cfRule>
  </conditionalFormatting>
  <conditionalFormatting sqref="W155">
    <cfRule type="expression" dxfId="1773" priority="2836">
      <formula>AND($R$155,$S$155)</formula>
    </cfRule>
  </conditionalFormatting>
  <conditionalFormatting sqref="W155">
    <cfRule type="expression" dxfId="1772" priority="2835">
      <formula>AND(IF($R$155,$W$155,TRUE),LEN(TRIM($W$155))&gt;0)</formula>
    </cfRule>
  </conditionalFormatting>
  <conditionalFormatting sqref="W155">
    <cfRule type="expression" dxfId="1771" priority="2834">
      <formula>OR($S$155 = FALSE, AND($P$155 = FALSE, ReportType &lt;&gt; "Final"), AND($Q$155 = FALSE, ReportType &lt;&gt; "Rough"))</formula>
    </cfRule>
  </conditionalFormatting>
  <conditionalFormatting sqref="W155">
    <cfRule type="expression" dxfId="1770" priority="2833">
      <formula>OR($T$155 = TRUE, AND($W$155 = TRUE, $S$155 = FALSE))</formula>
    </cfRule>
  </conditionalFormatting>
  <conditionalFormatting sqref="W159">
    <cfRule type="expression" dxfId="1769" priority="2832">
      <formula>AND($R$159,$S$159)</formula>
    </cfRule>
  </conditionalFormatting>
  <conditionalFormatting sqref="W159">
    <cfRule type="expression" dxfId="1768" priority="2831">
      <formula>AND(IF($R$159,$W$159,TRUE),LEN(TRIM($W$159))&gt;0)</formula>
    </cfRule>
  </conditionalFormatting>
  <conditionalFormatting sqref="W159">
    <cfRule type="expression" dxfId="1767" priority="2830">
      <formula>OR($S$159 = FALSE, AND($P$159 = FALSE, ReportType &lt;&gt; "Final"), AND($Q$159 = FALSE, ReportType &lt;&gt; "Rough"))</formula>
    </cfRule>
  </conditionalFormatting>
  <conditionalFormatting sqref="W159">
    <cfRule type="expression" dxfId="1766" priority="2829">
      <formula>OR($T$159 = TRUE, AND($W$159 = TRUE, $S$159 = FALSE))</formula>
    </cfRule>
  </conditionalFormatting>
  <conditionalFormatting sqref="W160">
    <cfRule type="expression" dxfId="1765" priority="2828">
      <formula>AND($R$160,$S$160)</formula>
    </cfRule>
  </conditionalFormatting>
  <conditionalFormatting sqref="W160">
    <cfRule type="expression" dxfId="1764" priority="2827">
      <formula>AND(IF($R$160,$W$160,TRUE),LEN(TRIM($W$160))&gt;0)</formula>
    </cfRule>
  </conditionalFormatting>
  <conditionalFormatting sqref="W160">
    <cfRule type="expression" dxfId="1763" priority="2826">
      <formula>OR($S$160 = FALSE, AND($P$160 = FALSE, ReportType &lt;&gt; "Final"), AND($Q$160 = FALSE, ReportType &lt;&gt; "Rough"))</formula>
    </cfRule>
  </conditionalFormatting>
  <conditionalFormatting sqref="W160">
    <cfRule type="expression" dxfId="1762" priority="2825">
      <formula>OR($T$160 = TRUE, AND($W$160 = TRUE, $S$160 = FALSE))</formula>
    </cfRule>
  </conditionalFormatting>
  <conditionalFormatting sqref="W161">
    <cfRule type="expression" dxfId="1761" priority="2824">
      <formula>AND($R$161,$S$161)</formula>
    </cfRule>
  </conditionalFormatting>
  <conditionalFormatting sqref="W161">
    <cfRule type="expression" dxfId="1760" priority="2823">
      <formula>AND(IF($R$161,$W$161,TRUE),LEN(TRIM($W$161))&gt;0)</formula>
    </cfRule>
  </conditionalFormatting>
  <conditionalFormatting sqref="W161">
    <cfRule type="expression" dxfId="1759" priority="2822">
      <formula>OR($S$161 = FALSE, AND($P$161 = FALSE, ReportType &lt;&gt; "Final"), AND($Q$161 = FALSE, ReportType &lt;&gt; "Rough"))</formula>
    </cfRule>
  </conditionalFormatting>
  <conditionalFormatting sqref="W161">
    <cfRule type="expression" dxfId="1758" priority="2821">
      <formula>OR($T$161 = TRUE, AND($W$161 = TRUE, $S$161 = FALSE))</formula>
    </cfRule>
  </conditionalFormatting>
  <conditionalFormatting sqref="W163">
    <cfRule type="expression" dxfId="1757" priority="2820">
      <formula>AND($R$163,$S$163)</formula>
    </cfRule>
  </conditionalFormatting>
  <conditionalFormatting sqref="W163">
    <cfRule type="expression" dxfId="1756" priority="2819">
      <formula>AND(IF($R$163,$W$163,TRUE),LEN(TRIM($W$163))&gt;0)</formula>
    </cfRule>
  </conditionalFormatting>
  <conditionalFormatting sqref="W163">
    <cfRule type="expression" dxfId="1755" priority="2818">
      <formula>OR($S$163 = FALSE, AND($P$163 = FALSE, ReportType &lt;&gt; "Final"), AND($Q$163 = FALSE, ReportType &lt;&gt; "Rough"))</formula>
    </cfRule>
  </conditionalFormatting>
  <conditionalFormatting sqref="W163">
    <cfRule type="expression" dxfId="1754" priority="2817">
      <formula>OR($T$163 = TRUE, AND($W$163 = TRUE, $S$163 = FALSE))</formula>
    </cfRule>
  </conditionalFormatting>
  <conditionalFormatting sqref="W178">
    <cfRule type="expression" dxfId="1753" priority="2808">
      <formula>AND($R$178,$S$178)</formula>
    </cfRule>
  </conditionalFormatting>
  <conditionalFormatting sqref="W178">
    <cfRule type="expression" dxfId="1752" priority="2807">
      <formula>AND(IF($R$178,$W$178,TRUE),LEN(TRIM($W$178))&gt;0)</formula>
    </cfRule>
  </conditionalFormatting>
  <conditionalFormatting sqref="W178">
    <cfRule type="expression" dxfId="1751" priority="2806">
      <formula>OR($S$178 = FALSE, AND($P$178 = FALSE, ReportType &lt;&gt; "Final"), AND($Q$178 = FALSE, ReportType &lt;&gt; "Rough"))</formula>
    </cfRule>
  </conditionalFormatting>
  <conditionalFormatting sqref="W178">
    <cfRule type="expression" dxfId="1750" priority="2805">
      <formula>OR($T$178 = TRUE, AND($W$178 = TRUE, $S$178 = FALSE))</formula>
    </cfRule>
  </conditionalFormatting>
  <conditionalFormatting sqref="W185">
    <cfRule type="expression" dxfId="1749" priority="2804">
      <formula>AND($R$185,$S$185)</formula>
    </cfRule>
  </conditionalFormatting>
  <conditionalFormatting sqref="W185">
    <cfRule type="expression" dxfId="1748" priority="2803">
      <formula>AND(IF($R$185,$W$185,TRUE),LEN(TRIM($W$185))&gt;0)</formula>
    </cfRule>
  </conditionalFormatting>
  <conditionalFormatting sqref="W185">
    <cfRule type="expression" dxfId="1747" priority="2802">
      <formula>OR($S$185 = FALSE, AND($P$185 = FALSE, ReportType &lt;&gt; "Final"), AND($Q$185 = FALSE, ReportType &lt;&gt; "Rough"))</formula>
    </cfRule>
  </conditionalFormatting>
  <conditionalFormatting sqref="W185">
    <cfRule type="expression" dxfId="1746" priority="2801">
      <formula>OR($T$185 = TRUE, AND($W$185 = TRUE, $S$185 = FALSE))</formula>
    </cfRule>
  </conditionalFormatting>
  <conditionalFormatting sqref="W186">
    <cfRule type="expression" dxfId="1745" priority="2800">
      <formula>AND($R$186,$S$186)</formula>
    </cfRule>
  </conditionalFormatting>
  <conditionalFormatting sqref="W186">
    <cfRule type="expression" dxfId="1744" priority="2799">
      <formula>AND(IF($R$186,$W$186,TRUE),LEN(TRIM($W$186))&gt;0)</formula>
    </cfRule>
  </conditionalFormatting>
  <conditionalFormatting sqref="W186">
    <cfRule type="expression" dxfId="1743" priority="2798">
      <formula>OR($S$186 = FALSE, AND($P$186 = FALSE, ReportType &lt;&gt; "Final"), AND($Q$186 = FALSE, ReportType &lt;&gt; "Rough"))</formula>
    </cfRule>
  </conditionalFormatting>
  <conditionalFormatting sqref="W186">
    <cfRule type="expression" dxfId="1742" priority="2797">
      <formula>OR($T$186 = TRUE, AND($W$186 = TRUE, $S$186 = FALSE))</formula>
    </cfRule>
  </conditionalFormatting>
  <conditionalFormatting sqref="W188">
    <cfRule type="expression" dxfId="1741" priority="2796">
      <formula>AND($R$188,$S$188)</formula>
    </cfRule>
  </conditionalFormatting>
  <conditionalFormatting sqref="W188">
    <cfRule type="expression" dxfId="1740" priority="2795">
      <formula>AND(IF($R$188,$W$188,TRUE),LEN(TRIM($W$188))&gt;0)</formula>
    </cfRule>
  </conditionalFormatting>
  <conditionalFormatting sqref="W188">
    <cfRule type="expression" dxfId="1739" priority="2794">
      <formula>OR($S$188 = FALSE, AND($P$188 = FALSE, ReportType &lt;&gt; "Final"), AND($Q$188 = FALSE, ReportType &lt;&gt; "Rough"))</formula>
    </cfRule>
  </conditionalFormatting>
  <conditionalFormatting sqref="W188">
    <cfRule type="expression" dxfId="1738" priority="2793">
      <formula>OR($T$188 = TRUE, AND($W$188 = TRUE, $S$188 = FALSE))</formula>
    </cfRule>
  </conditionalFormatting>
  <conditionalFormatting sqref="W193">
    <cfRule type="expression" dxfId="1737" priority="2792">
      <formula>AND($R$193,$S$193)</formula>
    </cfRule>
  </conditionalFormatting>
  <conditionalFormatting sqref="W193">
    <cfRule type="expression" dxfId="1736" priority="2791">
      <formula>AND(IF($R$193,$W$193,TRUE),LEN(TRIM($W$193))&gt;0)</formula>
    </cfRule>
  </conditionalFormatting>
  <conditionalFormatting sqref="W193">
    <cfRule type="expression" dxfId="1735" priority="2790">
      <formula>OR($S$193 = FALSE, AND($P$193 = FALSE, ReportType &lt;&gt; "Final"), AND($Q$193 = FALSE, ReportType &lt;&gt; "Rough"))</formula>
    </cfRule>
  </conditionalFormatting>
  <conditionalFormatting sqref="W193">
    <cfRule type="expression" dxfId="1734" priority="2789">
      <formula>OR($T$193 = TRUE, AND($W$193 = TRUE, $S$193 = FALSE))</formula>
    </cfRule>
  </conditionalFormatting>
  <conditionalFormatting sqref="W195">
    <cfRule type="expression" dxfId="1733" priority="2788">
      <formula>AND($R$195,$S$195)</formula>
    </cfRule>
  </conditionalFormatting>
  <conditionalFormatting sqref="W195">
    <cfRule type="expression" dxfId="1732" priority="2787">
      <formula>AND(IF($R$195,$W$195,TRUE),LEN(TRIM($W$195))&gt;0)</formula>
    </cfRule>
  </conditionalFormatting>
  <conditionalFormatting sqref="W195">
    <cfRule type="expression" dxfId="1731" priority="2786">
      <formula>OR($S$195 = FALSE, AND($P$195 = FALSE, ReportType &lt;&gt; "Final"), AND($Q$195 = FALSE, ReportType &lt;&gt; "Rough"))</formula>
    </cfRule>
  </conditionalFormatting>
  <conditionalFormatting sqref="W195">
    <cfRule type="expression" dxfId="1730" priority="2785">
      <formula>OR($T$195 = TRUE, AND($W$195 = TRUE, $S$195 = FALSE))</formula>
    </cfRule>
  </conditionalFormatting>
  <conditionalFormatting sqref="W196">
    <cfRule type="expression" dxfId="1729" priority="2784">
      <formula>AND($R$196,$S$196)</formula>
    </cfRule>
  </conditionalFormatting>
  <conditionalFormatting sqref="W196">
    <cfRule type="expression" dxfId="1728" priority="2783">
      <formula>AND(IF($R$196,$W$196,TRUE),LEN(TRIM($W$196))&gt;0)</formula>
    </cfRule>
  </conditionalFormatting>
  <conditionalFormatting sqref="W196">
    <cfRule type="expression" dxfId="1727" priority="2782">
      <formula>OR($S$196 = FALSE, AND($P$196 = FALSE, ReportType &lt;&gt; "Final"), AND($Q$196 = FALSE, ReportType &lt;&gt; "Rough"))</formula>
    </cfRule>
  </conditionalFormatting>
  <conditionalFormatting sqref="W196">
    <cfRule type="expression" dxfId="1726" priority="2781">
      <formula>OR($T$196 = TRUE, AND($W$196 = TRUE, $S$196 = FALSE))</formula>
    </cfRule>
  </conditionalFormatting>
  <conditionalFormatting sqref="W198">
    <cfRule type="expression" dxfId="1725" priority="2780">
      <formula>AND($R$198,$S$198)</formula>
    </cfRule>
  </conditionalFormatting>
  <conditionalFormatting sqref="W198">
    <cfRule type="expression" dxfId="1724" priority="2779">
      <formula>AND(IF($R$198,$W$198,TRUE),LEN(TRIM($W$198))&gt;0)</formula>
    </cfRule>
  </conditionalFormatting>
  <conditionalFormatting sqref="W198">
    <cfRule type="expression" dxfId="1723" priority="2778">
      <formula>OR($S$198 = FALSE, AND($P$198 = FALSE, ReportType &lt;&gt; "Final"), AND($Q$198 = FALSE, ReportType &lt;&gt; "Rough"))</formula>
    </cfRule>
  </conditionalFormatting>
  <conditionalFormatting sqref="W198">
    <cfRule type="expression" dxfId="1722" priority="2777">
      <formula>OR($T$198 = TRUE, AND($W$198 = TRUE, $S$198 = FALSE))</formula>
    </cfRule>
  </conditionalFormatting>
  <conditionalFormatting sqref="W200">
    <cfRule type="expression" dxfId="1721" priority="2776">
      <formula>AND($R$200,$S$200)</formula>
    </cfRule>
  </conditionalFormatting>
  <conditionalFormatting sqref="W200">
    <cfRule type="expression" dxfId="1720" priority="2775">
      <formula>AND(IF($R$200,$W$200,TRUE),LEN(TRIM($W$200))&gt;0)</formula>
    </cfRule>
  </conditionalFormatting>
  <conditionalFormatting sqref="W200">
    <cfRule type="expression" dxfId="1719" priority="2774">
      <formula>OR($S$200 = FALSE, AND($P$200 = FALSE, ReportType &lt;&gt; "Final"), AND($Q$200 = FALSE, ReportType &lt;&gt; "Rough"))</formula>
    </cfRule>
  </conditionalFormatting>
  <conditionalFormatting sqref="W200">
    <cfRule type="expression" dxfId="1718" priority="2773">
      <formula>OR($T$200 = TRUE, AND($W$200 = TRUE, $S$200 = FALSE))</formula>
    </cfRule>
  </conditionalFormatting>
  <conditionalFormatting sqref="W204">
    <cfRule type="expression" dxfId="1717" priority="2772">
      <formula>AND($R$204,$S$204)</formula>
    </cfRule>
  </conditionalFormatting>
  <conditionalFormatting sqref="W204">
    <cfRule type="expression" dxfId="1716" priority="2771">
      <formula>AND(IF($R$204,$W$204,TRUE),LEN(TRIM($W$204))&gt;0)</formula>
    </cfRule>
  </conditionalFormatting>
  <conditionalFormatting sqref="W204">
    <cfRule type="expression" dxfId="1715" priority="2770">
      <formula>OR($S$204 = FALSE, AND($P$204 = FALSE, ReportType &lt;&gt; "Final"), AND($Q$204 = FALSE, ReportType &lt;&gt; "Rough"))</formula>
    </cfRule>
  </conditionalFormatting>
  <conditionalFormatting sqref="W204">
    <cfRule type="expression" dxfId="1714" priority="2769">
      <formula>OR($T$204 = TRUE, AND($W$204 = TRUE, $S$204 = FALSE))</formula>
    </cfRule>
  </conditionalFormatting>
  <conditionalFormatting sqref="W207">
    <cfRule type="expression" dxfId="1713" priority="2768">
      <formula>AND($R$207,$S$207)</formula>
    </cfRule>
  </conditionalFormatting>
  <conditionalFormatting sqref="W207">
    <cfRule type="expression" dxfId="1712" priority="2767">
      <formula>AND(IF($R$207,$W$207,TRUE),LEN(TRIM($W$207))&gt;0)</formula>
    </cfRule>
  </conditionalFormatting>
  <conditionalFormatting sqref="W207">
    <cfRule type="expression" dxfId="1711" priority="2766">
      <formula>OR($S$207 = FALSE, AND($P$207 = FALSE, ReportType &lt;&gt; "Final"), AND($Q$207 = FALSE, ReportType &lt;&gt; "Rough"))</formula>
    </cfRule>
  </conditionalFormatting>
  <conditionalFormatting sqref="W207">
    <cfRule type="expression" dxfId="1710" priority="2765">
      <formula>OR($T$207 = TRUE, AND($W$207 = TRUE, $S$207 = FALSE))</formula>
    </cfRule>
  </conditionalFormatting>
  <conditionalFormatting sqref="W209">
    <cfRule type="expression" dxfId="1709" priority="2764">
      <formula>AND($R$209,$S$209)</formula>
    </cfRule>
  </conditionalFormatting>
  <conditionalFormatting sqref="W209">
    <cfRule type="expression" dxfId="1708" priority="2763">
      <formula>AND(IF($R$209,$W$209,TRUE),LEN(TRIM($W$209))&gt;0)</formula>
    </cfRule>
  </conditionalFormatting>
  <conditionalFormatting sqref="W209">
    <cfRule type="expression" dxfId="1707" priority="2762">
      <formula>OR($S$209 = FALSE, AND($P$209 = FALSE, ReportType &lt;&gt; "Final"), AND($Q$209 = FALSE, ReportType &lt;&gt; "Rough"))</formula>
    </cfRule>
  </conditionalFormatting>
  <conditionalFormatting sqref="W209">
    <cfRule type="expression" dxfId="1706" priority="2761">
      <formula>OR($T$209 = TRUE, AND($W$209 = TRUE, $S$209 = FALSE))</formula>
    </cfRule>
  </conditionalFormatting>
  <conditionalFormatting sqref="W210">
    <cfRule type="expression" dxfId="1705" priority="2760">
      <formula>AND($R$210,$S$210)</formula>
    </cfRule>
  </conditionalFormatting>
  <conditionalFormatting sqref="W210">
    <cfRule type="expression" dxfId="1704" priority="2759">
      <formula>AND(IF($R$210,$W$210,TRUE),LEN(TRIM($W$210))&gt;0)</formula>
    </cfRule>
  </conditionalFormatting>
  <conditionalFormatting sqref="W210">
    <cfRule type="expression" dxfId="1703" priority="2758">
      <formula>OR($S$210 = FALSE, AND($P$210 = FALSE, ReportType &lt;&gt; "Final"), AND($Q$210 = FALSE, ReportType &lt;&gt; "Rough"))</formula>
    </cfRule>
  </conditionalFormatting>
  <conditionalFormatting sqref="W210">
    <cfRule type="expression" dxfId="1702" priority="2757">
      <formula>OR($T$210 = TRUE, AND($W$210 = TRUE, $S$210 = FALSE))</formula>
    </cfRule>
  </conditionalFormatting>
  <conditionalFormatting sqref="W211">
    <cfRule type="expression" dxfId="1701" priority="2756">
      <formula>AND($R$211,$S$211)</formula>
    </cfRule>
  </conditionalFormatting>
  <conditionalFormatting sqref="W211">
    <cfRule type="expression" dxfId="1700" priority="2755">
      <formula>AND(IF($R$211,$W$211,TRUE),LEN(TRIM($W$211))&gt;0)</formula>
    </cfRule>
  </conditionalFormatting>
  <conditionalFormatting sqref="W211">
    <cfRule type="expression" dxfId="1699" priority="2754">
      <formula>OR($S$211 = FALSE, AND($P$211 = FALSE, ReportType &lt;&gt; "Final"), AND($Q$211 = FALSE, ReportType &lt;&gt; "Rough"))</formula>
    </cfRule>
  </conditionalFormatting>
  <conditionalFormatting sqref="W211">
    <cfRule type="expression" dxfId="1698" priority="2753">
      <formula>OR($T$211 = TRUE, AND($W$211 = TRUE, $S$211 = FALSE))</formula>
    </cfRule>
  </conditionalFormatting>
  <conditionalFormatting sqref="W212">
    <cfRule type="expression" dxfId="1697" priority="2752">
      <formula>AND($R$212,$S$212)</formula>
    </cfRule>
  </conditionalFormatting>
  <conditionalFormatting sqref="W212">
    <cfRule type="expression" dxfId="1696" priority="2751">
      <formula>AND(IF($R$212,$W$212,TRUE),LEN(TRIM($W$212))&gt;0)</formula>
    </cfRule>
  </conditionalFormatting>
  <conditionalFormatting sqref="W212">
    <cfRule type="expression" dxfId="1695" priority="2750">
      <formula>OR($S$212 = FALSE, AND($P$212 = FALSE, ReportType &lt;&gt; "Final"), AND($Q$212 = FALSE, ReportType &lt;&gt; "Rough"))</formula>
    </cfRule>
  </conditionalFormatting>
  <conditionalFormatting sqref="W212">
    <cfRule type="expression" dxfId="1694" priority="2749">
      <formula>OR($T$212 = TRUE, AND($W$212 = TRUE, $S$212 = FALSE))</formula>
    </cfRule>
  </conditionalFormatting>
  <conditionalFormatting sqref="W213">
    <cfRule type="expression" dxfId="1693" priority="2748">
      <formula>AND($R$213,$S$213)</formula>
    </cfRule>
  </conditionalFormatting>
  <conditionalFormatting sqref="W213">
    <cfRule type="expression" dxfId="1692" priority="2747">
      <formula>AND(IF($R$213,$W$213,TRUE),LEN(TRIM($W$213))&gt;0)</formula>
    </cfRule>
  </conditionalFormatting>
  <conditionalFormatting sqref="W213">
    <cfRule type="expression" dxfId="1691" priority="2746">
      <formula>OR($S$213 = FALSE, AND($P$213 = FALSE, ReportType &lt;&gt; "Final"), AND($Q$213 = FALSE, ReportType &lt;&gt; "Rough"))</formula>
    </cfRule>
  </conditionalFormatting>
  <conditionalFormatting sqref="W213">
    <cfRule type="expression" dxfId="1690" priority="2745">
      <formula>OR($T$213 = TRUE, AND($W$213 = TRUE, $S$213 = FALSE))</formula>
    </cfRule>
  </conditionalFormatting>
  <conditionalFormatting sqref="W214">
    <cfRule type="expression" dxfId="1689" priority="2744">
      <formula>AND($R$214,$S$214)</formula>
    </cfRule>
  </conditionalFormatting>
  <conditionalFormatting sqref="W214">
    <cfRule type="expression" dxfId="1688" priority="2743">
      <formula>AND(IF($R$214,$W$214,TRUE),LEN(TRIM($W$214))&gt;0)</formula>
    </cfRule>
  </conditionalFormatting>
  <conditionalFormatting sqref="W214">
    <cfRule type="expression" dxfId="1687" priority="2742">
      <formula>OR($S$214 = FALSE, AND($P$214 = FALSE, ReportType &lt;&gt; "Final"), AND($Q$214 = FALSE, ReportType &lt;&gt; "Rough"))</formula>
    </cfRule>
  </conditionalFormatting>
  <conditionalFormatting sqref="W214">
    <cfRule type="expression" dxfId="1686" priority="2741">
      <formula>OR($T$214 = TRUE, AND($W$214 = TRUE, $S$214 = FALSE))</formula>
    </cfRule>
  </conditionalFormatting>
  <conditionalFormatting sqref="W216">
    <cfRule type="expression" dxfId="1685" priority="2740">
      <formula>AND($R$216,$S$216)</formula>
    </cfRule>
  </conditionalFormatting>
  <conditionalFormatting sqref="W216">
    <cfRule type="expression" dxfId="1684" priority="2739">
      <formula>AND(IF($R$216,$W$216,TRUE),LEN(TRIM($W$216))&gt;0)</formula>
    </cfRule>
  </conditionalFormatting>
  <conditionalFormatting sqref="W216">
    <cfRule type="expression" dxfId="1683" priority="2738">
      <formula>OR($S$216 = FALSE, AND($P$216 = FALSE, ReportType &lt;&gt; "Final"), AND($Q$216 = FALSE, ReportType &lt;&gt; "Rough"))</formula>
    </cfRule>
  </conditionalFormatting>
  <conditionalFormatting sqref="W216">
    <cfRule type="expression" dxfId="1682" priority="2737">
      <formula>OR($T$216 = TRUE, AND($W$216 = TRUE, $S$216 = FALSE))</formula>
    </cfRule>
  </conditionalFormatting>
  <conditionalFormatting sqref="W223">
    <cfRule type="expression" dxfId="1681" priority="2736">
      <formula>AND($R$223,$S$223)</formula>
    </cfRule>
  </conditionalFormatting>
  <conditionalFormatting sqref="W223">
    <cfRule type="expression" dxfId="1680" priority="2735">
      <formula>AND(IF($R$223,$W$223,TRUE),LEN(TRIM($W$223))&gt;0)</formula>
    </cfRule>
  </conditionalFormatting>
  <conditionalFormatting sqref="W223">
    <cfRule type="expression" dxfId="1679" priority="2734">
      <formula>OR($S$223 = FALSE, AND($P$223 = FALSE, ReportType &lt;&gt; "Final"), AND($Q$223 = FALSE, ReportType &lt;&gt; "Rough"))</formula>
    </cfRule>
  </conditionalFormatting>
  <conditionalFormatting sqref="W223">
    <cfRule type="expression" dxfId="1678" priority="2733">
      <formula>OR($T$223 = TRUE, AND($W$223 = TRUE, $S$223 = FALSE))</formula>
    </cfRule>
  </conditionalFormatting>
  <conditionalFormatting sqref="W225">
    <cfRule type="expression" dxfId="1677" priority="2732">
      <formula>AND($R$225,$S$225)</formula>
    </cfRule>
  </conditionalFormatting>
  <conditionalFormatting sqref="W225">
    <cfRule type="expression" dxfId="1676" priority="2731">
      <formula>AND(IF($R$225,$W$225,TRUE),LEN(TRIM($W$225))&gt;0)</formula>
    </cfRule>
  </conditionalFormatting>
  <conditionalFormatting sqref="W225">
    <cfRule type="expression" dxfId="1675" priority="2730">
      <formula>OR($S$225 = FALSE, AND($P$225 = FALSE, ReportType &lt;&gt; "Final"), AND($Q$225 = FALSE, ReportType &lt;&gt; "Rough"))</formula>
    </cfRule>
  </conditionalFormatting>
  <conditionalFormatting sqref="W225">
    <cfRule type="expression" dxfId="1674" priority="2729">
      <formula>OR($T$225 = TRUE, AND($W$225 = TRUE, $S$225 = FALSE))</formula>
    </cfRule>
  </conditionalFormatting>
  <conditionalFormatting sqref="W238">
    <cfRule type="expression" dxfId="1673" priority="2728">
      <formula>AND($R$238,$S$238)</formula>
    </cfRule>
  </conditionalFormatting>
  <conditionalFormatting sqref="W238">
    <cfRule type="expression" dxfId="1672" priority="2727">
      <formula>AND(IF($R$238,$W$238,TRUE),LEN(TRIM($W$238))&gt;0)</formula>
    </cfRule>
  </conditionalFormatting>
  <conditionalFormatting sqref="W238">
    <cfRule type="expression" dxfId="1671" priority="2726">
      <formula>OR($S$238 = FALSE, AND($P$238 = FALSE, ReportType &lt;&gt; "Final"), AND($Q$238 = FALSE, ReportType &lt;&gt; "Rough"))</formula>
    </cfRule>
  </conditionalFormatting>
  <conditionalFormatting sqref="W238">
    <cfRule type="expression" dxfId="1670" priority="2725">
      <formula>OR($T$238 = TRUE, AND($W$238 = TRUE, $S$238 = FALSE))</formula>
    </cfRule>
  </conditionalFormatting>
  <conditionalFormatting sqref="W241">
    <cfRule type="expression" dxfId="1669" priority="2724">
      <formula>AND($R$241,$S$241)</formula>
    </cfRule>
  </conditionalFormatting>
  <conditionalFormatting sqref="W241">
    <cfRule type="expression" dxfId="1668" priority="2723">
      <formula>AND(IF($R$241,$W$241,TRUE),LEN(TRIM($W$241))&gt;0)</formula>
    </cfRule>
  </conditionalFormatting>
  <conditionalFormatting sqref="W241">
    <cfRule type="expression" dxfId="1667" priority="2722">
      <formula>OR($S$241 = FALSE, AND($P$241 = FALSE, ReportType &lt;&gt; "Final"), AND($Q$241 = FALSE, ReportType &lt;&gt; "Rough"))</formula>
    </cfRule>
  </conditionalFormatting>
  <conditionalFormatting sqref="W241">
    <cfRule type="expression" dxfId="1666" priority="2721">
      <formula>OR($T$241 = TRUE, AND($W$241 = TRUE, $S$241 = FALSE))</formula>
    </cfRule>
  </conditionalFormatting>
  <conditionalFormatting sqref="W245">
    <cfRule type="expression" dxfId="1665" priority="2720">
      <formula>AND($R$245,$S$245)</formula>
    </cfRule>
  </conditionalFormatting>
  <conditionalFormatting sqref="W245">
    <cfRule type="expression" dxfId="1664" priority="2719">
      <formula>AND(IF($R$245,$W$245,TRUE),LEN(TRIM($W$245))&gt;0)</formula>
    </cfRule>
  </conditionalFormatting>
  <conditionalFormatting sqref="W245">
    <cfRule type="expression" dxfId="1663" priority="2718">
      <formula>OR($S$245 = FALSE, AND($P$245 = FALSE, ReportType &lt;&gt; "Final"), AND($Q$245 = FALSE, ReportType &lt;&gt; "Rough"))</formula>
    </cfRule>
  </conditionalFormatting>
  <conditionalFormatting sqref="W245">
    <cfRule type="expression" dxfId="1662" priority="2717">
      <formula>OR($T$245 = TRUE, AND($W$245 = TRUE, $S$245 = FALSE))</formula>
    </cfRule>
  </conditionalFormatting>
  <conditionalFormatting sqref="W246">
    <cfRule type="expression" dxfId="1661" priority="2716">
      <formula>AND($R$246,$S$246)</formula>
    </cfRule>
  </conditionalFormatting>
  <conditionalFormatting sqref="W246">
    <cfRule type="expression" dxfId="1660" priority="2715">
      <formula>AND(IF($R$246,$W$246,TRUE),LEN(TRIM($W$246))&gt;0)</formula>
    </cfRule>
  </conditionalFormatting>
  <conditionalFormatting sqref="W246">
    <cfRule type="expression" dxfId="1659" priority="2714">
      <formula>OR($S$246 = FALSE, AND($P$246 = FALSE, ReportType &lt;&gt; "Final"), AND($Q$246 = FALSE, ReportType &lt;&gt; "Rough"))</formula>
    </cfRule>
  </conditionalFormatting>
  <conditionalFormatting sqref="W246">
    <cfRule type="expression" dxfId="1658" priority="2713">
      <formula>OR($T$246 = TRUE, AND($W$246 = TRUE, $S$246 = FALSE))</formula>
    </cfRule>
  </conditionalFormatting>
  <conditionalFormatting sqref="W255">
    <cfRule type="expression" dxfId="1657" priority="2712">
      <formula>AND($R$255,$S$255)</formula>
    </cfRule>
  </conditionalFormatting>
  <conditionalFormatting sqref="W255">
    <cfRule type="expression" dxfId="1656" priority="2711">
      <formula>AND(IF($R$255,$W$255,TRUE),LEN(TRIM($W$255))&gt;0)</formula>
    </cfRule>
  </conditionalFormatting>
  <conditionalFormatting sqref="W255">
    <cfRule type="expression" dxfId="1655" priority="2710">
      <formula>OR($S$255 = FALSE, AND($P$255 = FALSE, ReportType &lt;&gt; "Final"), AND($Q$255 = FALSE, ReportType &lt;&gt; "Rough"))</formula>
    </cfRule>
  </conditionalFormatting>
  <conditionalFormatting sqref="W255">
    <cfRule type="expression" dxfId="1654" priority="2709">
      <formula>OR($T$255 = TRUE, AND($W$255 = TRUE, $S$255 = FALSE))</formula>
    </cfRule>
  </conditionalFormatting>
  <conditionalFormatting sqref="W256">
    <cfRule type="expression" dxfId="1653" priority="2708">
      <formula>AND($R$256,$S$256)</formula>
    </cfRule>
  </conditionalFormatting>
  <conditionalFormatting sqref="W256">
    <cfRule type="expression" dxfId="1652" priority="2707">
      <formula>AND(IF($R$256,$W$256,TRUE),LEN(TRIM($W$256))&gt;0)</formula>
    </cfRule>
  </conditionalFormatting>
  <conditionalFormatting sqref="W256">
    <cfRule type="expression" dxfId="1651" priority="2706">
      <formula>OR($S$256 = FALSE, AND($P$256 = FALSE, ReportType &lt;&gt; "Final"), AND($Q$256 = FALSE, ReportType &lt;&gt; "Rough"))</formula>
    </cfRule>
  </conditionalFormatting>
  <conditionalFormatting sqref="W256">
    <cfRule type="expression" dxfId="1650" priority="2705">
      <formula>OR($T$256 = TRUE, AND($W$256 = TRUE, $S$256 = FALSE))</formula>
    </cfRule>
  </conditionalFormatting>
  <conditionalFormatting sqref="W258">
    <cfRule type="expression" dxfId="1649" priority="2704">
      <formula>AND($R$258,$S$258)</formula>
    </cfRule>
  </conditionalFormatting>
  <conditionalFormatting sqref="W258">
    <cfRule type="expression" dxfId="1648" priority="2703">
      <formula>AND(IF($R$258,$W$258,TRUE),LEN(TRIM($W$258))&gt;0)</formula>
    </cfRule>
  </conditionalFormatting>
  <conditionalFormatting sqref="W258">
    <cfRule type="expression" dxfId="1647" priority="2702">
      <formula>OR($S$258 = FALSE, AND($P$258 = FALSE, ReportType &lt;&gt; "Final"), AND($Q$258 = FALSE, ReportType &lt;&gt; "Rough"))</formula>
    </cfRule>
  </conditionalFormatting>
  <conditionalFormatting sqref="W258">
    <cfRule type="expression" dxfId="1646" priority="2701">
      <formula>OR($T$258 = TRUE, AND($W$258 = TRUE, $S$258 = FALSE))</formula>
    </cfRule>
  </conditionalFormatting>
  <conditionalFormatting sqref="W284">
    <cfRule type="expression" dxfId="1645" priority="2700">
      <formula>AND($R$284,$S$284)</formula>
    </cfRule>
  </conditionalFormatting>
  <conditionalFormatting sqref="W284">
    <cfRule type="expression" dxfId="1644" priority="2699">
      <formula>AND(IF($R$284,$W$284,TRUE),LEN(TRIM($W$284))&gt;0)</formula>
    </cfRule>
  </conditionalFormatting>
  <conditionalFormatting sqref="W284">
    <cfRule type="expression" dxfId="1643" priority="2698">
      <formula>OR($S$284 = FALSE, AND($P$284 = FALSE, ReportType &lt;&gt; "Final"), AND($Q$284 = FALSE, ReportType &lt;&gt; "Rough"))</formula>
    </cfRule>
  </conditionalFormatting>
  <conditionalFormatting sqref="W284">
    <cfRule type="expression" dxfId="1642" priority="2697">
      <formula>OR($T$284 = TRUE, AND($W$284 = TRUE, $S$284 = FALSE))</formula>
    </cfRule>
  </conditionalFormatting>
  <conditionalFormatting sqref="W287">
    <cfRule type="expression" dxfId="1641" priority="2696">
      <formula>AND($R$287,$S$287)</formula>
    </cfRule>
  </conditionalFormatting>
  <conditionalFormatting sqref="W287">
    <cfRule type="expression" dxfId="1640" priority="2695">
      <formula>AND(IF($R$287,$W$287,TRUE),LEN(TRIM($W$287))&gt;0)</formula>
    </cfRule>
  </conditionalFormatting>
  <conditionalFormatting sqref="W287">
    <cfRule type="expression" dxfId="1639" priority="2694">
      <formula>OR($S$287 = FALSE, AND($P$287 = FALSE, ReportType &lt;&gt; "Final"), AND($Q$287 = FALSE, ReportType &lt;&gt; "Rough"))</formula>
    </cfRule>
  </conditionalFormatting>
  <conditionalFormatting sqref="W287">
    <cfRule type="expression" dxfId="1638" priority="2693">
      <formula>OR($T$287 = TRUE, AND($W$287 = TRUE, $S$287 = FALSE))</formula>
    </cfRule>
  </conditionalFormatting>
  <conditionalFormatting sqref="W290">
    <cfRule type="expression" dxfId="1637" priority="2692">
      <formula>AND($R$290,$S$290)</formula>
    </cfRule>
  </conditionalFormatting>
  <conditionalFormatting sqref="W290">
    <cfRule type="expression" dxfId="1636" priority="2691">
      <formula>AND(IF($R$290,$W$290,TRUE),LEN(TRIM($W$290))&gt;0)</formula>
    </cfRule>
  </conditionalFormatting>
  <conditionalFormatting sqref="W290">
    <cfRule type="expression" dxfId="1635" priority="2690">
      <formula>OR($S$290 = FALSE, AND($P$290 = FALSE, ReportType &lt;&gt; "Final"), AND($Q$290 = FALSE, ReportType &lt;&gt; "Rough"))</formula>
    </cfRule>
  </conditionalFormatting>
  <conditionalFormatting sqref="W290">
    <cfRule type="expression" dxfId="1634" priority="2689">
      <formula>OR($T$290 = TRUE, AND($W$290 = TRUE, $S$290 = FALSE))</formula>
    </cfRule>
  </conditionalFormatting>
  <conditionalFormatting sqref="W294">
    <cfRule type="expression" dxfId="1633" priority="2688">
      <formula>AND($R$294,$S$294)</formula>
    </cfRule>
  </conditionalFormatting>
  <conditionalFormatting sqref="W294">
    <cfRule type="expression" dxfId="1632" priority="2687">
      <formula>AND(IF($R$294,$W$294,TRUE),LEN(TRIM($W$294))&gt;0)</formula>
    </cfRule>
  </conditionalFormatting>
  <conditionalFormatting sqref="W294">
    <cfRule type="expression" dxfId="1631" priority="2686">
      <formula>OR($S$294 = FALSE, AND($P$294 = FALSE, ReportType &lt;&gt; "Final"), AND($Q$294 = FALSE, ReportType &lt;&gt; "Rough"))</formula>
    </cfRule>
  </conditionalFormatting>
  <conditionalFormatting sqref="W294">
    <cfRule type="expression" dxfId="1630" priority="2685">
      <formula>OR($T$294 = TRUE, AND($W$294 = TRUE, $S$294 = FALSE))</formula>
    </cfRule>
  </conditionalFormatting>
  <conditionalFormatting sqref="W295">
    <cfRule type="expression" dxfId="1629" priority="2684">
      <formula>AND($R$295,$S$295)</formula>
    </cfRule>
  </conditionalFormatting>
  <conditionalFormatting sqref="W295">
    <cfRule type="expression" dxfId="1628" priority="2683">
      <formula>AND(IF($R$295,$W$295,TRUE),LEN(TRIM($W$295))&gt;0)</formula>
    </cfRule>
  </conditionalFormatting>
  <conditionalFormatting sqref="W295">
    <cfRule type="expression" dxfId="1627" priority="2682">
      <formula>OR($S$295 = FALSE, AND($P$295 = FALSE, ReportType &lt;&gt; "Final"), AND($Q$295 = FALSE, ReportType &lt;&gt; "Rough"))</formula>
    </cfRule>
  </conditionalFormatting>
  <conditionalFormatting sqref="W295">
    <cfRule type="expression" dxfId="1626" priority="2681">
      <formula>OR($T$295 = TRUE, AND($W$295 = TRUE, $S$295 = FALSE))</formula>
    </cfRule>
  </conditionalFormatting>
  <conditionalFormatting sqref="W296">
    <cfRule type="expression" dxfId="1625" priority="2680">
      <formula>AND($R$296,$S$296)</formula>
    </cfRule>
  </conditionalFormatting>
  <conditionalFormatting sqref="W296">
    <cfRule type="expression" dxfId="1624" priority="2679">
      <formula>AND(IF($R$296,$W$296,TRUE),LEN(TRIM($W$296))&gt;0)</formula>
    </cfRule>
  </conditionalFormatting>
  <conditionalFormatting sqref="W296">
    <cfRule type="expression" dxfId="1623" priority="2678">
      <formula>OR($S$296 = FALSE, AND($P$296 = FALSE, ReportType &lt;&gt; "Final"), AND($Q$296 = FALSE, ReportType &lt;&gt; "Rough"))</formula>
    </cfRule>
  </conditionalFormatting>
  <conditionalFormatting sqref="W296">
    <cfRule type="expression" dxfId="1622" priority="2677">
      <formula>OR($T$296 = TRUE, AND($W$296 = TRUE, $S$296 = FALSE))</formula>
    </cfRule>
  </conditionalFormatting>
  <conditionalFormatting sqref="W297">
    <cfRule type="expression" dxfId="1621" priority="2676">
      <formula>AND($R$297,$S$297)</formula>
    </cfRule>
  </conditionalFormatting>
  <conditionalFormatting sqref="W297">
    <cfRule type="expression" dxfId="1620" priority="2675">
      <formula>AND(IF($R$297,$W$297,TRUE),LEN(TRIM($W$297))&gt;0)</formula>
    </cfRule>
  </conditionalFormatting>
  <conditionalFormatting sqref="W297">
    <cfRule type="expression" dxfId="1619" priority="2674">
      <formula>OR($S$297 = FALSE, AND($P$297 = FALSE, ReportType &lt;&gt; "Final"), AND($Q$297 = FALSE, ReportType &lt;&gt; "Rough"))</formula>
    </cfRule>
  </conditionalFormatting>
  <conditionalFormatting sqref="W297">
    <cfRule type="expression" dxfId="1618" priority="2673">
      <formula>OR($T$297 = TRUE, AND($W$297 = TRUE, $S$297 = FALSE))</formula>
    </cfRule>
  </conditionalFormatting>
  <conditionalFormatting sqref="W298">
    <cfRule type="expression" dxfId="1617" priority="2672">
      <formula>AND($R$298,$S$298)</formula>
    </cfRule>
  </conditionalFormatting>
  <conditionalFormatting sqref="W298">
    <cfRule type="expression" dxfId="1616" priority="2671">
      <formula>AND(IF($R$298,$W$298,TRUE),LEN(TRIM($W$298))&gt;0)</formula>
    </cfRule>
  </conditionalFormatting>
  <conditionalFormatting sqref="W298">
    <cfRule type="expression" dxfId="1615" priority="2670">
      <formula>OR($S$298 = FALSE, AND($P$298 = FALSE, ReportType &lt;&gt; "Final"), AND($Q$298 = FALSE, ReportType &lt;&gt; "Rough"))</formula>
    </cfRule>
  </conditionalFormatting>
  <conditionalFormatting sqref="W298">
    <cfRule type="expression" dxfId="1614" priority="2669">
      <formula>OR($T$298 = TRUE, AND($W$298 = TRUE, $S$298 = FALSE))</formula>
    </cfRule>
  </conditionalFormatting>
  <conditionalFormatting sqref="W299">
    <cfRule type="expression" dxfId="1613" priority="2668">
      <formula>AND($R$299,$S$299)</formula>
    </cfRule>
  </conditionalFormatting>
  <conditionalFormatting sqref="W299">
    <cfRule type="expression" dxfId="1612" priority="2667">
      <formula>AND(IF($R$299,$W$299,TRUE),LEN(TRIM($W$299))&gt;0)</formula>
    </cfRule>
  </conditionalFormatting>
  <conditionalFormatting sqref="W299">
    <cfRule type="expression" dxfId="1611" priority="2666">
      <formula>OR($S$299 = FALSE, AND($P$299 = FALSE, ReportType &lt;&gt; "Final"), AND($Q$299 = FALSE, ReportType &lt;&gt; "Rough"))</formula>
    </cfRule>
  </conditionalFormatting>
  <conditionalFormatting sqref="W299">
    <cfRule type="expression" dxfId="1610" priority="2665">
      <formula>OR($T$299 = TRUE, AND($W$299 = TRUE, $S$299 = FALSE))</formula>
    </cfRule>
  </conditionalFormatting>
  <conditionalFormatting sqref="W305">
    <cfRule type="expression" dxfId="1609" priority="2664">
      <formula>AND($R$305,$S$305)</formula>
    </cfRule>
  </conditionalFormatting>
  <conditionalFormatting sqref="W305">
    <cfRule type="expression" dxfId="1608" priority="2663">
      <formula>AND(IF($R$305,$W$305,TRUE),LEN(TRIM($W$305))&gt;0)</formula>
    </cfRule>
  </conditionalFormatting>
  <conditionalFormatting sqref="W305">
    <cfRule type="expression" dxfId="1607" priority="2662">
      <formula>OR($S$305 = FALSE, AND($P$305 = FALSE, ReportType &lt;&gt; "Final"), AND($Q$305 = FALSE, ReportType &lt;&gt; "Rough"))</formula>
    </cfRule>
  </conditionalFormatting>
  <conditionalFormatting sqref="W305">
    <cfRule type="expression" dxfId="1606" priority="2661">
      <formula>OR($T$305 = TRUE, AND($W$305 = TRUE, $S$305 = FALSE))</formula>
    </cfRule>
  </conditionalFormatting>
  <conditionalFormatting sqref="W306">
    <cfRule type="expression" dxfId="1605" priority="2660">
      <formula>AND($R$306,$S$306)</formula>
    </cfRule>
  </conditionalFormatting>
  <conditionalFormatting sqref="W306">
    <cfRule type="expression" dxfId="1604" priority="2659">
      <formula>AND(IF($R$306,$W$306,TRUE),LEN(TRIM($W$306))&gt;0)</formula>
    </cfRule>
  </conditionalFormatting>
  <conditionalFormatting sqref="W306">
    <cfRule type="expression" dxfId="1603" priority="2658">
      <formula>OR($S$306 = FALSE, AND($P$306 = FALSE, ReportType &lt;&gt; "Final"), AND($Q$306 = FALSE, ReportType &lt;&gt; "Rough"))</formula>
    </cfRule>
  </conditionalFormatting>
  <conditionalFormatting sqref="W306">
    <cfRule type="expression" dxfId="1602" priority="2657">
      <formula>OR($T$306 = TRUE, AND($W$306 = TRUE, $S$306 = FALSE))</formula>
    </cfRule>
  </conditionalFormatting>
  <conditionalFormatting sqref="W307">
    <cfRule type="expression" dxfId="1601" priority="2656">
      <formula>AND($R$307,$S$307)</formula>
    </cfRule>
  </conditionalFormatting>
  <conditionalFormatting sqref="W307">
    <cfRule type="expression" dxfId="1600" priority="2655">
      <formula>AND(IF($R$307,$W$307,TRUE),LEN(TRIM($W$307))&gt;0)</formula>
    </cfRule>
  </conditionalFormatting>
  <conditionalFormatting sqref="W307">
    <cfRule type="expression" dxfId="1599" priority="2654">
      <formula>OR($S$307 = FALSE, AND($P$307 = FALSE, ReportType &lt;&gt; "Final"), AND($Q$307 = FALSE, ReportType &lt;&gt; "Rough"))</formula>
    </cfRule>
  </conditionalFormatting>
  <conditionalFormatting sqref="W307">
    <cfRule type="expression" dxfId="1598" priority="2653">
      <formula>OR($T$307 = TRUE, AND($W$307 = TRUE, $S$307 = FALSE))</formula>
    </cfRule>
  </conditionalFormatting>
  <conditionalFormatting sqref="W308">
    <cfRule type="expression" dxfId="1597" priority="2652">
      <formula>AND($R$308,$S$308)</formula>
    </cfRule>
  </conditionalFormatting>
  <conditionalFormatting sqref="W308">
    <cfRule type="expression" dxfId="1596" priority="2651">
      <formula>AND(IF($R$308,$W$308,TRUE),LEN(TRIM($W$308))&gt;0)</formula>
    </cfRule>
  </conditionalFormatting>
  <conditionalFormatting sqref="W308">
    <cfRule type="expression" dxfId="1595" priority="2650">
      <formula>OR($S$308 = FALSE, AND($P$308 = FALSE, ReportType &lt;&gt; "Final"), AND($Q$308 = FALSE, ReportType &lt;&gt; "Rough"))</formula>
    </cfRule>
  </conditionalFormatting>
  <conditionalFormatting sqref="W308">
    <cfRule type="expression" dxfId="1594" priority="2649">
      <formula>OR($T$308 = TRUE, AND($W$308 = TRUE, $S$308 = FALSE))</formula>
    </cfRule>
  </conditionalFormatting>
  <conditionalFormatting sqref="W309">
    <cfRule type="expression" dxfId="1593" priority="2648">
      <formula>AND($R$309,$S$309)</formula>
    </cfRule>
  </conditionalFormatting>
  <conditionalFormatting sqref="W309">
    <cfRule type="expression" dxfId="1592" priority="2647">
      <formula>AND(IF($R$309,$W$309,TRUE),LEN(TRIM($W$309))&gt;0)</formula>
    </cfRule>
  </conditionalFormatting>
  <conditionalFormatting sqref="W309">
    <cfRule type="expression" dxfId="1591" priority="2646">
      <formula>OR($S$309 = FALSE, AND($P$309 = FALSE, ReportType &lt;&gt; "Final"), AND($Q$309 = FALSE, ReportType &lt;&gt; "Rough"))</formula>
    </cfRule>
  </conditionalFormatting>
  <conditionalFormatting sqref="W309">
    <cfRule type="expression" dxfId="1590" priority="2645">
      <formula>OR($T$309 = TRUE, AND($W$309 = TRUE, $S$309 = FALSE))</formula>
    </cfRule>
  </conditionalFormatting>
  <conditionalFormatting sqref="W333">
    <cfRule type="expression" dxfId="1589" priority="2644">
      <formula>AND($R$333,$S$333)</formula>
    </cfRule>
  </conditionalFormatting>
  <conditionalFormatting sqref="W333">
    <cfRule type="expression" dxfId="1588" priority="2643">
      <formula>AND(IF($R$333,$W$333,TRUE),LEN(TRIM($W$333))&gt;0)</formula>
    </cfRule>
  </conditionalFormatting>
  <conditionalFormatting sqref="W333">
    <cfRule type="expression" dxfId="1587" priority="2642">
      <formula>OR($S$333 = FALSE, AND($P$333 = FALSE, ReportType &lt;&gt; "Final"), AND($Q$333 = FALSE, ReportType &lt;&gt; "Rough"))</formula>
    </cfRule>
  </conditionalFormatting>
  <conditionalFormatting sqref="W333">
    <cfRule type="expression" dxfId="1586" priority="2641">
      <formula>OR($T$333 = TRUE, AND($W$333 = TRUE, $S$333 = FALSE))</formula>
    </cfRule>
  </conditionalFormatting>
  <conditionalFormatting sqref="W341">
    <cfRule type="expression" dxfId="1585" priority="2640">
      <formula>AND($R$341,$S$341)</formula>
    </cfRule>
  </conditionalFormatting>
  <conditionalFormatting sqref="W341">
    <cfRule type="expression" dxfId="1584" priority="2639">
      <formula>AND(IF($R$341,$W$341,TRUE),LEN(TRIM($W$341))&gt;0)</formula>
    </cfRule>
  </conditionalFormatting>
  <conditionalFormatting sqref="W341">
    <cfRule type="expression" dxfId="1583" priority="2638">
      <formula>OR($S$341 = FALSE, AND($P$341 = FALSE, ReportType &lt;&gt; "Final"), AND($Q$341 = FALSE, ReportType &lt;&gt; "Rough"))</formula>
    </cfRule>
  </conditionalFormatting>
  <conditionalFormatting sqref="W341">
    <cfRule type="expression" dxfId="1582" priority="2637">
      <formula>OR($T$341 = TRUE, AND($W$341 = TRUE, $S$341 = FALSE))</formula>
    </cfRule>
  </conditionalFormatting>
  <conditionalFormatting sqref="W355">
    <cfRule type="expression" dxfId="1581" priority="2632">
      <formula>AND($R$355,$S$355)</formula>
    </cfRule>
  </conditionalFormatting>
  <conditionalFormatting sqref="W355">
    <cfRule type="expression" dxfId="1580" priority="2631">
      <formula>AND(IF($R$355,$W$355,TRUE),LEN(TRIM($W$355))&gt;0)</formula>
    </cfRule>
  </conditionalFormatting>
  <conditionalFormatting sqref="W355">
    <cfRule type="expression" dxfId="1579" priority="2630">
      <formula>OR($S$355 = FALSE, AND($P$355 = FALSE, ReportType &lt;&gt; "Final"), AND($Q$355 = FALSE, ReportType &lt;&gt; "Rough"))</formula>
    </cfRule>
  </conditionalFormatting>
  <conditionalFormatting sqref="W355">
    <cfRule type="expression" dxfId="1578" priority="2629">
      <formula>OR($T$355 = TRUE, AND($W$355 = TRUE, $S$355 = FALSE))</formula>
    </cfRule>
  </conditionalFormatting>
  <conditionalFormatting sqref="W359">
    <cfRule type="expression" dxfId="1577" priority="2628">
      <formula>AND($R$359,$S$359)</formula>
    </cfRule>
  </conditionalFormatting>
  <conditionalFormatting sqref="W359">
    <cfRule type="expression" dxfId="1576" priority="2627">
      <formula>AND(IF($R$359,$W$359,TRUE),LEN(TRIM($W$359))&gt;0)</formula>
    </cfRule>
  </conditionalFormatting>
  <conditionalFormatting sqref="W359">
    <cfRule type="expression" dxfId="1575" priority="2626">
      <formula>OR($S$359 = FALSE, AND($P$359 = FALSE, ReportType &lt;&gt; "Final"), AND($Q$359 = FALSE, ReportType &lt;&gt; "Rough"))</formula>
    </cfRule>
  </conditionalFormatting>
  <conditionalFormatting sqref="W359">
    <cfRule type="expression" dxfId="1574" priority="2625">
      <formula>OR($T$359 = TRUE, AND($W$359 = TRUE, $S$359 = FALSE))</formula>
    </cfRule>
  </conditionalFormatting>
  <conditionalFormatting sqref="W360">
    <cfRule type="expression" dxfId="1573" priority="2624">
      <formula>AND($R$360,$S$360)</formula>
    </cfRule>
  </conditionalFormatting>
  <conditionalFormatting sqref="W360">
    <cfRule type="expression" dxfId="1572" priority="2623">
      <formula>AND(IF($R$360,$W$360,TRUE),LEN(TRIM($W$360))&gt;0)</formula>
    </cfRule>
  </conditionalFormatting>
  <conditionalFormatting sqref="W360">
    <cfRule type="expression" dxfId="1571" priority="2622">
      <formula>OR($S$360 = FALSE, AND($P$360 = FALSE, ReportType &lt;&gt; "Final"), AND($Q$360 = FALSE, ReportType &lt;&gt; "Rough"))</formula>
    </cfRule>
  </conditionalFormatting>
  <conditionalFormatting sqref="W360">
    <cfRule type="expression" dxfId="1570" priority="2621">
      <formula>OR($T$360 = TRUE, AND($W$360 = TRUE, $S$360 = FALSE))</formula>
    </cfRule>
  </conditionalFormatting>
  <conditionalFormatting sqref="W362">
    <cfRule type="expression" dxfId="1569" priority="2620">
      <formula>AND($R$362,$S$362)</formula>
    </cfRule>
  </conditionalFormatting>
  <conditionalFormatting sqref="W362">
    <cfRule type="expression" dxfId="1568" priority="2619">
      <formula>AND(IF($R$362,$W$362,TRUE),LEN(TRIM($W$362))&gt;0)</formula>
    </cfRule>
  </conditionalFormatting>
  <conditionalFormatting sqref="W362">
    <cfRule type="expression" dxfId="1567" priority="2618">
      <formula>OR($S$362 = FALSE, AND($P$362 = FALSE, ReportType &lt;&gt; "Final"), AND($Q$362 = FALSE, ReportType &lt;&gt; "Rough"))</formula>
    </cfRule>
  </conditionalFormatting>
  <conditionalFormatting sqref="W362">
    <cfRule type="expression" dxfId="1566" priority="2617">
      <formula>OR($T$362 = TRUE, AND($W$362 = TRUE, $S$362 = FALSE))</formula>
    </cfRule>
  </conditionalFormatting>
  <conditionalFormatting sqref="W364">
    <cfRule type="expression" dxfId="1565" priority="2616">
      <formula>AND($R$364,$S$364)</formula>
    </cfRule>
  </conditionalFormatting>
  <conditionalFormatting sqref="W364">
    <cfRule type="expression" dxfId="1564" priority="2615">
      <formula>AND(IF($R$364,$W$364,TRUE),LEN(TRIM($W$364))&gt;0)</formula>
    </cfRule>
  </conditionalFormatting>
  <conditionalFormatting sqref="W364">
    <cfRule type="expression" dxfId="1563" priority="2614">
      <formula>OR($S$364 = FALSE, AND($P$364 = FALSE, ReportType &lt;&gt; "Final"), AND($Q$364 = FALSE, ReportType &lt;&gt; "Rough"))</formula>
    </cfRule>
  </conditionalFormatting>
  <conditionalFormatting sqref="W364">
    <cfRule type="expression" dxfId="1562" priority="2613">
      <formula>OR($T$364 = TRUE, AND($W$364 = TRUE, $S$364 = FALSE))</formula>
    </cfRule>
  </conditionalFormatting>
  <conditionalFormatting sqref="W370">
    <cfRule type="expression" dxfId="1561" priority="2612">
      <formula>AND($R$370,$S$370)</formula>
    </cfRule>
  </conditionalFormatting>
  <conditionalFormatting sqref="W370">
    <cfRule type="expression" dxfId="1560" priority="2611">
      <formula>AND(IF($R$370,$W$370,TRUE),LEN(TRIM($W$370))&gt;0)</formula>
    </cfRule>
  </conditionalFormatting>
  <conditionalFormatting sqref="W370">
    <cfRule type="expression" dxfId="1559" priority="2610">
      <formula>OR($S$370 = FALSE, AND($P$370 = FALSE, ReportType &lt;&gt; "Final"), AND($Q$370 = FALSE, ReportType &lt;&gt; "Rough"))</formula>
    </cfRule>
  </conditionalFormatting>
  <conditionalFormatting sqref="W370">
    <cfRule type="expression" dxfId="1558" priority="2609">
      <formula>OR($T$370 = TRUE, AND($W$370 = TRUE, $S$370 = FALSE))</formula>
    </cfRule>
  </conditionalFormatting>
  <conditionalFormatting sqref="W376">
    <cfRule type="expression" dxfId="1557" priority="2608">
      <formula>AND($R$376,$S$376)</formula>
    </cfRule>
  </conditionalFormatting>
  <conditionalFormatting sqref="W376">
    <cfRule type="expression" dxfId="1556" priority="2607">
      <formula>AND(IF($R$376,$W$376,TRUE),LEN(TRIM($W$376))&gt;0)</formula>
    </cfRule>
  </conditionalFormatting>
  <conditionalFormatting sqref="W376">
    <cfRule type="expression" dxfId="1555" priority="2606">
      <formula>OR($S$376 = FALSE, AND($P$376 = FALSE, ReportType &lt;&gt; "Final"), AND($Q$376 = FALSE, ReportType &lt;&gt; "Rough"))</formula>
    </cfRule>
  </conditionalFormatting>
  <conditionalFormatting sqref="W376">
    <cfRule type="expression" dxfId="1554" priority="2605">
      <formula>OR($T$376 = TRUE, AND($W$376 = TRUE, $S$376 = FALSE))</formula>
    </cfRule>
  </conditionalFormatting>
  <conditionalFormatting sqref="W382">
    <cfRule type="expression" dxfId="1553" priority="2604">
      <formula>AND($R$382,$S$382)</formula>
    </cfRule>
  </conditionalFormatting>
  <conditionalFormatting sqref="W382">
    <cfRule type="expression" dxfId="1552" priority="2603">
      <formula>AND(IF($R$382,$W$382,TRUE),LEN(TRIM($W$382))&gt;0)</formula>
    </cfRule>
  </conditionalFormatting>
  <conditionalFormatting sqref="W382">
    <cfRule type="expression" dxfId="1551" priority="2602">
      <formula>OR($S$382 = FALSE, AND($P$382 = FALSE, ReportType &lt;&gt; "Final"), AND($Q$382 = FALSE, ReportType &lt;&gt; "Rough"))</formula>
    </cfRule>
  </conditionalFormatting>
  <conditionalFormatting sqref="W382">
    <cfRule type="expression" dxfId="1550" priority="2601">
      <formula>OR($T$382 = TRUE, AND($W$382 = TRUE, $S$382 = FALSE))</formula>
    </cfRule>
  </conditionalFormatting>
  <conditionalFormatting sqref="W384">
    <cfRule type="expression" dxfId="1549" priority="2600">
      <formula>AND($R$384,$S$384)</formula>
    </cfRule>
  </conditionalFormatting>
  <conditionalFormatting sqref="W384">
    <cfRule type="expression" dxfId="1548" priority="2599">
      <formula>AND(IF($R$384,$W$384,TRUE),LEN(TRIM($W$384))&gt;0)</formula>
    </cfRule>
  </conditionalFormatting>
  <conditionalFormatting sqref="W384">
    <cfRule type="expression" dxfId="1547" priority="2598">
      <formula>OR($S$384 = FALSE, AND($P$384 = FALSE, ReportType &lt;&gt; "Final"), AND($Q$384 = FALSE, ReportType &lt;&gt; "Rough"))</formula>
    </cfRule>
  </conditionalFormatting>
  <conditionalFormatting sqref="W384">
    <cfRule type="expression" dxfId="1546" priority="2597">
      <formula>OR($T$384 = TRUE, AND($W$384 = TRUE, $S$384 = FALSE))</formula>
    </cfRule>
  </conditionalFormatting>
  <conditionalFormatting sqref="W390">
    <cfRule type="expression" dxfId="1545" priority="2596">
      <formula>AND($R$390,$S$390)</formula>
    </cfRule>
  </conditionalFormatting>
  <conditionalFormatting sqref="W390">
    <cfRule type="expression" dxfId="1544" priority="2595">
      <formula>AND(IF($R$390,$W$390,TRUE),LEN(TRIM($W$390))&gt;0)</formula>
    </cfRule>
  </conditionalFormatting>
  <conditionalFormatting sqref="W390">
    <cfRule type="expression" dxfId="1543" priority="2594">
      <formula>OR($S$390 = FALSE, AND($P$390 = FALSE, ReportType &lt;&gt; "Final"), AND($Q$390 = FALSE, ReportType &lt;&gt; "Rough"))</formula>
    </cfRule>
  </conditionalFormatting>
  <conditionalFormatting sqref="W390">
    <cfRule type="expression" dxfId="1542" priority="2593">
      <formula>OR($T$390 = TRUE, AND($W$390 = TRUE, $S$390 = FALSE))</formula>
    </cfRule>
  </conditionalFormatting>
  <conditionalFormatting sqref="W394">
    <cfRule type="expression" dxfId="1541" priority="2592">
      <formula>AND($R$394,$S$394)</formula>
    </cfRule>
  </conditionalFormatting>
  <conditionalFormatting sqref="W394">
    <cfRule type="expression" dxfId="1540" priority="2591">
      <formula>AND(IF($R$394,$W$394,TRUE),LEN(TRIM($W$394))&gt;0)</formula>
    </cfRule>
  </conditionalFormatting>
  <conditionalFormatting sqref="W394">
    <cfRule type="expression" dxfId="1539" priority="2590">
      <formula>OR($S$394 = FALSE, AND($P$394 = FALSE, ReportType &lt;&gt; "Final"), AND($Q$394 = FALSE, ReportType &lt;&gt; "Rough"))</formula>
    </cfRule>
  </conditionalFormatting>
  <conditionalFormatting sqref="W394">
    <cfRule type="expression" dxfId="1538" priority="2589">
      <formula>OR($T$394 = TRUE, AND($W$394 = TRUE, $S$394 = FALSE))</formula>
    </cfRule>
  </conditionalFormatting>
  <conditionalFormatting sqref="W398">
    <cfRule type="expression" dxfId="1537" priority="2588">
      <formula>AND($R$398,$S$398)</formula>
    </cfRule>
  </conditionalFormatting>
  <conditionalFormatting sqref="W398">
    <cfRule type="expression" dxfId="1536" priority="2587">
      <formula>AND(IF($R$398,$W$398,TRUE),LEN(TRIM($W$398))&gt;0)</formula>
    </cfRule>
  </conditionalFormatting>
  <conditionalFormatting sqref="W398">
    <cfRule type="expression" dxfId="1535" priority="2586">
      <formula>OR($S$398 = FALSE, AND($P$398 = FALSE, ReportType &lt;&gt; "Final"), AND($Q$398 = FALSE, ReportType &lt;&gt; "Rough"))</formula>
    </cfRule>
  </conditionalFormatting>
  <conditionalFormatting sqref="W398">
    <cfRule type="expression" dxfId="1534" priority="2585">
      <formula>OR($T$398 = TRUE, AND($W$398 = TRUE, $S$398 = FALSE))</formula>
    </cfRule>
  </conditionalFormatting>
  <conditionalFormatting sqref="W403">
    <cfRule type="expression" dxfId="1533" priority="2584">
      <formula>AND($R$403,$S$403)</formula>
    </cfRule>
  </conditionalFormatting>
  <conditionalFormatting sqref="W403">
    <cfRule type="expression" dxfId="1532" priority="2583">
      <formula>AND(IF($R$403,$W$403,TRUE),LEN(TRIM($W$403))&gt;0)</formula>
    </cfRule>
  </conditionalFormatting>
  <conditionalFormatting sqref="W403">
    <cfRule type="expression" dxfId="1531" priority="2582">
      <formula>OR($S$403 = FALSE, AND($P$403 = FALSE, ReportType &lt;&gt; "Final"), AND($Q$403 = FALSE, ReportType &lt;&gt; "Rough"))</formula>
    </cfRule>
  </conditionalFormatting>
  <conditionalFormatting sqref="W403">
    <cfRule type="expression" dxfId="1530" priority="2581">
      <formula>OR($T$403 = TRUE, AND($W$403 = TRUE, $S$403 = FALSE))</formula>
    </cfRule>
  </conditionalFormatting>
  <conditionalFormatting sqref="W408">
    <cfRule type="expression" dxfId="1529" priority="2580">
      <formula>AND($R$408,$S$408)</formula>
    </cfRule>
  </conditionalFormatting>
  <conditionalFormatting sqref="W408">
    <cfRule type="expression" dxfId="1528" priority="2579">
      <formula>AND(IF($R$408,$W$408,TRUE),LEN(TRIM($W$408))&gt;0)</formula>
    </cfRule>
  </conditionalFormatting>
  <conditionalFormatting sqref="W408">
    <cfRule type="expression" dxfId="1527" priority="2578">
      <formula>OR($S$408 = FALSE, AND($P$408 = FALSE, ReportType &lt;&gt; "Final"), AND($Q$408 = FALSE, ReportType &lt;&gt; "Rough"))</formula>
    </cfRule>
  </conditionalFormatting>
  <conditionalFormatting sqref="W408">
    <cfRule type="expression" dxfId="1526" priority="2577">
      <formula>OR($T$408 = TRUE, AND($W$408 = TRUE, $S$408 = FALSE))</formula>
    </cfRule>
  </conditionalFormatting>
  <conditionalFormatting sqref="W410">
    <cfRule type="expression" dxfId="1525" priority="2576">
      <formula>AND($R$410,$S$410)</formula>
    </cfRule>
  </conditionalFormatting>
  <conditionalFormatting sqref="W410">
    <cfRule type="expression" dxfId="1524" priority="2575">
      <formula>AND(IF($R$410,$W$410,TRUE),LEN(TRIM($W$410))&gt;0)</formula>
    </cfRule>
  </conditionalFormatting>
  <conditionalFormatting sqref="W410">
    <cfRule type="expression" dxfId="1523" priority="2574">
      <formula>OR($S$410 = FALSE, AND($P$410 = FALSE, ReportType &lt;&gt; "Final"), AND($Q$410 = FALSE, ReportType &lt;&gt; "Rough"))</formula>
    </cfRule>
  </conditionalFormatting>
  <conditionalFormatting sqref="W410">
    <cfRule type="expression" dxfId="1522" priority="2573">
      <formula>OR($T$410 = TRUE, AND($W$410 = TRUE, $S$410 = FALSE))</formula>
    </cfRule>
  </conditionalFormatting>
  <conditionalFormatting sqref="W412">
    <cfRule type="expression" dxfId="1521" priority="2572">
      <formula>AND($R$412,$S$412)</formula>
    </cfRule>
  </conditionalFormatting>
  <conditionalFormatting sqref="W412">
    <cfRule type="expression" dxfId="1520" priority="2571">
      <formula>AND(IF($R$412,$W$412,TRUE),LEN(TRIM($W$412))&gt;0)</formula>
    </cfRule>
  </conditionalFormatting>
  <conditionalFormatting sqref="W412">
    <cfRule type="expression" dxfId="1519" priority="2570">
      <formula>OR($S$412 = FALSE, AND($P$412 = FALSE, ReportType &lt;&gt; "Final"), AND($Q$412 = FALSE, ReportType &lt;&gt; "Rough"))</formula>
    </cfRule>
  </conditionalFormatting>
  <conditionalFormatting sqref="W412">
    <cfRule type="expression" dxfId="1518" priority="2569">
      <formula>OR($T$412 = TRUE, AND($W$412 = TRUE, $S$412 = FALSE))</formula>
    </cfRule>
  </conditionalFormatting>
  <conditionalFormatting sqref="W424">
    <cfRule type="expression" dxfId="1517" priority="2568">
      <formula>AND($R$424,$S$424)</formula>
    </cfRule>
  </conditionalFormatting>
  <conditionalFormatting sqref="W424">
    <cfRule type="expression" dxfId="1516" priority="2567">
      <formula>AND(IF($R$424,$W$424,TRUE),LEN(TRIM($W$424))&gt;0)</formula>
    </cfRule>
  </conditionalFormatting>
  <conditionalFormatting sqref="W424">
    <cfRule type="expression" dxfId="1515" priority="2566">
      <formula>OR($S$424 = FALSE, AND($P$424 = FALSE, ReportType &lt;&gt; "Final"), AND($Q$424 = FALSE, ReportType &lt;&gt; "Rough"))</formula>
    </cfRule>
  </conditionalFormatting>
  <conditionalFormatting sqref="W424">
    <cfRule type="expression" dxfId="1514" priority="2565">
      <formula>OR($T$424 = TRUE, AND($W$424 = TRUE, $S$424 = FALSE))</formula>
    </cfRule>
  </conditionalFormatting>
  <conditionalFormatting sqref="W434">
    <cfRule type="expression" dxfId="1513" priority="2564">
      <formula>AND($R$434,$S$434)</formula>
    </cfRule>
  </conditionalFormatting>
  <conditionalFormatting sqref="W434">
    <cfRule type="expression" dxfId="1512" priority="2563">
      <formula>AND(IF($R$434,$W$434,TRUE),LEN(TRIM($W$434))&gt;0)</formula>
    </cfRule>
  </conditionalFormatting>
  <conditionalFormatting sqref="W434">
    <cfRule type="expression" dxfId="1511" priority="2562">
      <formula>OR($S$434 = FALSE, AND($P$434 = FALSE, ReportType &lt;&gt; "Final"), AND($Q$434 = FALSE, ReportType &lt;&gt; "Rough"))</formula>
    </cfRule>
  </conditionalFormatting>
  <conditionalFormatting sqref="W434">
    <cfRule type="expression" dxfId="1510" priority="2561">
      <formula>OR($T$434 = TRUE, AND($W$434 = TRUE, $S$434 = FALSE))</formula>
    </cfRule>
  </conditionalFormatting>
  <conditionalFormatting sqref="W437">
    <cfRule type="expression" dxfId="1509" priority="2560">
      <formula>AND($R$437,$S$437)</formula>
    </cfRule>
  </conditionalFormatting>
  <conditionalFormatting sqref="W437">
    <cfRule type="expression" dxfId="1508" priority="2559">
      <formula>AND(IF($R$437,$W$437,TRUE),LEN(TRIM($W$437))&gt;0)</formula>
    </cfRule>
  </conditionalFormatting>
  <conditionalFormatting sqref="W437">
    <cfRule type="expression" dxfId="1507" priority="2558">
      <formula>OR($S$437 = FALSE, AND($P$437 = FALSE, ReportType &lt;&gt; "Final"), AND($Q$437 = FALSE, ReportType &lt;&gt; "Rough"))</formula>
    </cfRule>
  </conditionalFormatting>
  <conditionalFormatting sqref="W437">
    <cfRule type="expression" dxfId="1506" priority="2557">
      <formula>OR($T$437 = TRUE, AND($W$437 = TRUE, $S$437 = FALSE))</formula>
    </cfRule>
  </conditionalFormatting>
  <conditionalFormatting sqref="W438">
    <cfRule type="expression" dxfId="1505" priority="2556">
      <formula>AND($R$438,$S$438)</formula>
    </cfRule>
  </conditionalFormatting>
  <conditionalFormatting sqref="W438">
    <cfRule type="expression" dxfId="1504" priority="2555">
      <formula>AND(IF($R$438,$W$438,TRUE),LEN(TRIM($W$438))&gt;0)</formula>
    </cfRule>
  </conditionalFormatting>
  <conditionalFormatting sqref="W438">
    <cfRule type="expression" dxfId="1503" priority="2554">
      <formula>OR($S$438 = FALSE, AND($P$438 = FALSE, ReportType &lt;&gt; "Final"), AND($Q$438 = FALSE, ReportType &lt;&gt; "Rough"))</formula>
    </cfRule>
  </conditionalFormatting>
  <conditionalFormatting sqref="W438">
    <cfRule type="expression" dxfId="1502" priority="2553">
      <formula>OR($T$438 = TRUE, AND($W$438 = TRUE, $S$438 = FALSE))</formula>
    </cfRule>
  </conditionalFormatting>
  <conditionalFormatting sqref="W448">
    <cfRule type="expression" dxfId="1501" priority="2552">
      <formula>AND($R$448,$S$448)</formula>
    </cfRule>
  </conditionalFormatting>
  <conditionalFormatting sqref="W448">
    <cfRule type="expression" dxfId="1500" priority="2551">
      <formula>AND(IF($R$448,$W$448,TRUE),LEN(TRIM($W$448))&gt;0)</formula>
    </cfRule>
  </conditionalFormatting>
  <conditionalFormatting sqref="W448">
    <cfRule type="expression" dxfId="1499" priority="2550">
      <formula>OR($S$448 = FALSE, AND($P$448 = FALSE, ReportType &lt;&gt; "Final"), AND($Q$448 = FALSE, ReportType &lt;&gt; "Rough"))</formula>
    </cfRule>
  </conditionalFormatting>
  <conditionalFormatting sqref="W448">
    <cfRule type="expression" dxfId="1498" priority="2549">
      <formula>OR($T$448 = TRUE, AND($W$448 = TRUE, $S$448 = FALSE))</formula>
    </cfRule>
  </conditionalFormatting>
  <conditionalFormatting sqref="W450">
    <cfRule type="expression" dxfId="1497" priority="2548">
      <formula>AND($R$450,$S$450)</formula>
    </cfRule>
  </conditionalFormatting>
  <conditionalFormatting sqref="W450">
    <cfRule type="expression" dxfId="1496" priority="2547">
      <formula>AND(IF($R$450,$W$450,TRUE),LEN(TRIM($W$450))&gt;0)</formula>
    </cfRule>
  </conditionalFormatting>
  <conditionalFormatting sqref="W450">
    <cfRule type="expression" dxfId="1495" priority="2546">
      <formula>OR($S$450 = FALSE, AND($P$450 = FALSE, ReportType &lt;&gt; "Final"), AND($Q$450 = FALSE, ReportType &lt;&gt; "Rough"))</formula>
    </cfRule>
  </conditionalFormatting>
  <conditionalFormatting sqref="W450">
    <cfRule type="expression" dxfId="1494" priority="2545">
      <formula>OR($T$450 = TRUE, AND($W$450 = TRUE, $S$450 = FALSE))</formula>
    </cfRule>
  </conditionalFormatting>
  <conditionalFormatting sqref="W466">
    <cfRule type="expression" dxfId="1493" priority="2544">
      <formula>AND($R$466,$S$466)</formula>
    </cfRule>
  </conditionalFormatting>
  <conditionalFormatting sqref="W466">
    <cfRule type="expression" dxfId="1492" priority="2543">
      <formula>AND(IF($R$466,$W$466,TRUE),LEN(TRIM($W$466))&gt;0)</formula>
    </cfRule>
  </conditionalFormatting>
  <conditionalFormatting sqref="W466">
    <cfRule type="expression" dxfId="1491" priority="2542">
      <formula>OR($S$466 = FALSE, AND($P$466 = FALSE, ReportType &lt;&gt; "Final"), AND($Q$466 = FALSE, ReportType &lt;&gt; "Rough"))</formula>
    </cfRule>
  </conditionalFormatting>
  <conditionalFormatting sqref="W466">
    <cfRule type="expression" dxfId="1490" priority="2541">
      <formula>OR($T$466 = TRUE, AND($W$466 = TRUE, $S$466 = FALSE))</formula>
    </cfRule>
  </conditionalFormatting>
  <conditionalFormatting sqref="W477">
    <cfRule type="expression" dxfId="1489" priority="2540">
      <formula>AND($R$477,$S$477)</formula>
    </cfRule>
  </conditionalFormatting>
  <conditionalFormatting sqref="W477">
    <cfRule type="expression" dxfId="1488" priority="2539">
      <formula>AND(IF($R$477,$W$477,TRUE),LEN(TRIM($W$477))&gt;0)</formula>
    </cfRule>
  </conditionalFormatting>
  <conditionalFormatting sqref="W477">
    <cfRule type="expression" dxfId="1487" priority="2538">
      <formula>OR($S$477 = FALSE, AND($P$477 = FALSE, ReportType &lt;&gt; "Final"), AND($Q$477 = FALSE, ReportType &lt;&gt; "Rough"))</formula>
    </cfRule>
  </conditionalFormatting>
  <conditionalFormatting sqref="W477">
    <cfRule type="expression" dxfId="1486" priority="2537">
      <formula>OR($T$477 = TRUE, AND($W$477 = TRUE, $S$477 = FALSE))</formula>
    </cfRule>
  </conditionalFormatting>
  <conditionalFormatting sqref="W478">
    <cfRule type="expression" dxfId="1485" priority="2536">
      <formula>AND($R$478,$S$478)</formula>
    </cfRule>
  </conditionalFormatting>
  <conditionalFormatting sqref="W478">
    <cfRule type="expression" dxfId="1484" priority="2535">
      <formula>AND(IF($R$478,$W$478,TRUE),LEN(TRIM($W$478))&gt;0)</formula>
    </cfRule>
  </conditionalFormatting>
  <conditionalFormatting sqref="W478">
    <cfRule type="expression" dxfId="1483" priority="2534">
      <formula>OR($S$478 = FALSE, AND($P$478 = FALSE, ReportType &lt;&gt; "Final"), AND($Q$478 = FALSE, ReportType &lt;&gt; "Rough"))</formula>
    </cfRule>
  </conditionalFormatting>
  <conditionalFormatting sqref="W478">
    <cfRule type="expression" dxfId="1482" priority="2533">
      <formula>OR($T$478 = TRUE, AND($W$478 = TRUE, $S$478 = FALSE))</formula>
    </cfRule>
  </conditionalFormatting>
  <conditionalFormatting sqref="W483">
    <cfRule type="expression" dxfId="1481" priority="2532">
      <formula>AND($R$483,$S$483)</formula>
    </cfRule>
  </conditionalFormatting>
  <conditionalFormatting sqref="W483">
    <cfRule type="expression" dxfId="1480" priority="2531">
      <formula>AND(IF($R$483,$W$483,TRUE),LEN(TRIM($W$483))&gt;0)</formula>
    </cfRule>
  </conditionalFormatting>
  <conditionalFormatting sqref="W483">
    <cfRule type="expression" dxfId="1479" priority="2530">
      <formula>OR($S$483 = FALSE, AND($P$483 = FALSE, ReportType &lt;&gt; "Final"), AND($Q$483 = FALSE, ReportType &lt;&gt; "Rough"))</formula>
    </cfRule>
  </conditionalFormatting>
  <conditionalFormatting sqref="W483">
    <cfRule type="expression" dxfId="1478" priority="2529">
      <formula>OR($T$483 = TRUE, AND($W$483 = TRUE, $S$483 = FALSE))</formula>
    </cfRule>
  </conditionalFormatting>
  <conditionalFormatting sqref="W485">
    <cfRule type="expression" dxfId="1477" priority="2528">
      <formula>AND($R$485,$S$485)</formula>
    </cfRule>
  </conditionalFormatting>
  <conditionalFormatting sqref="W485">
    <cfRule type="expression" dxfId="1476" priority="2527">
      <formula>AND(IF($R$485,$W$485,TRUE),LEN(TRIM($W$485))&gt;0)</formula>
    </cfRule>
  </conditionalFormatting>
  <conditionalFormatting sqref="W485">
    <cfRule type="expression" dxfId="1475" priority="2526">
      <formula>OR($S$485 = FALSE, AND($P$485 = FALSE, ReportType &lt;&gt; "Final"), AND($Q$485 = FALSE, ReportType &lt;&gt; "Rough"))</formula>
    </cfRule>
  </conditionalFormatting>
  <conditionalFormatting sqref="W485">
    <cfRule type="expression" dxfId="1474" priority="2525">
      <formula>OR($T$485 = TRUE, AND($W$485 = TRUE, $S$485 = FALSE))</formula>
    </cfRule>
  </conditionalFormatting>
  <conditionalFormatting sqref="W486">
    <cfRule type="expression" dxfId="1473" priority="2524">
      <formula>AND($R$486,$S$486)</formula>
    </cfRule>
  </conditionalFormatting>
  <conditionalFormatting sqref="W486">
    <cfRule type="expression" dxfId="1472" priority="2523">
      <formula>AND(IF($R$486,$W$486,TRUE),LEN(TRIM($W$486))&gt;0)</formula>
    </cfRule>
  </conditionalFormatting>
  <conditionalFormatting sqref="W486">
    <cfRule type="expression" dxfId="1471" priority="2522">
      <formula>OR($S$486 = FALSE, AND($P$486 = FALSE, ReportType &lt;&gt; "Final"), AND($Q$486 = FALSE, ReportType &lt;&gt; "Rough"))</formula>
    </cfRule>
  </conditionalFormatting>
  <conditionalFormatting sqref="W486">
    <cfRule type="expression" dxfId="1470" priority="2521">
      <formula>OR($T$486 = TRUE, AND($W$486 = TRUE, $S$486 = FALSE))</formula>
    </cfRule>
  </conditionalFormatting>
  <conditionalFormatting sqref="W489">
    <cfRule type="expression" dxfId="1469" priority="2520">
      <formula>AND($R$489,$S$489)</formula>
    </cfRule>
  </conditionalFormatting>
  <conditionalFormatting sqref="W489">
    <cfRule type="expression" dxfId="1468" priority="2519">
      <formula>AND(IF($R$489,$W$489,TRUE),LEN(TRIM($W$489))&gt;0)</formula>
    </cfRule>
  </conditionalFormatting>
  <conditionalFormatting sqref="W489">
    <cfRule type="expression" dxfId="1467" priority="2518">
      <formula>OR($S$489 = FALSE, AND($P$489 = FALSE, ReportType &lt;&gt; "Final"), AND($Q$489 = FALSE, ReportType &lt;&gt; "Rough"))</formula>
    </cfRule>
  </conditionalFormatting>
  <conditionalFormatting sqref="W489">
    <cfRule type="expression" dxfId="1466" priority="2517">
      <formula>OR($T$489 = TRUE, AND($W$489 = TRUE, $S$489 = FALSE))</formula>
    </cfRule>
  </conditionalFormatting>
  <conditionalFormatting sqref="W493">
    <cfRule type="expression" dxfId="1465" priority="2516">
      <formula>AND($R$493,$S$493)</formula>
    </cfRule>
  </conditionalFormatting>
  <conditionalFormatting sqref="W493">
    <cfRule type="expression" dxfId="1464" priority="2515">
      <formula>AND(IF($R$493,$W$493,TRUE),LEN(TRIM($W$493))&gt;0)</formula>
    </cfRule>
  </conditionalFormatting>
  <conditionalFormatting sqref="W493">
    <cfRule type="expression" dxfId="1463" priority="2514">
      <formula>OR($S$493 = FALSE, AND($P$493 = FALSE, ReportType &lt;&gt; "Final"), AND($Q$493 = FALSE, ReportType &lt;&gt; "Rough"))</formula>
    </cfRule>
  </conditionalFormatting>
  <conditionalFormatting sqref="W493">
    <cfRule type="expression" dxfId="1462" priority="2513">
      <formula>OR($T$493 = TRUE, AND($W$493 = TRUE, $S$493 = FALSE))</formula>
    </cfRule>
  </conditionalFormatting>
  <conditionalFormatting sqref="W498">
    <cfRule type="expression" dxfId="1461" priority="2512">
      <formula>AND($R$498,$S$498)</formula>
    </cfRule>
  </conditionalFormatting>
  <conditionalFormatting sqref="W498">
    <cfRule type="expression" dxfId="1460" priority="2511">
      <formula>AND(IF($R$498,$W$498,TRUE),LEN(TRIM($W$498))&gt;0)</formula>
    </cfRule>
  </conditionalFormatting>
  <conditionalFormatting sqref="W498">
    <cfRule type="expression" dxfId="1459" priority="2510">
      <formula>OR($S$498 = FALSE, AND($P$498 = FALSE, ReportType &lt;&gt; "Final"), AND($Q$498 = FALSE, ReportType &lt;&gt; "Rough"))</formula>
    </cfRule>
  </conditionalFormatting>
  <conditionalFormatting sqref="W498">
    <cfRule type="expression" dxfId="1458" priority="2509">
      <formula>OR($T$498 = TRUE, AND($W$498 = TRUE, $S$498 = FALSE))</formula>
    </cfRule>
  </conditionalFormatting>
  <conditionalFormatting sqref="W500">
    <cfRule type="expression" dxfId="1457" priority="2508">
      <formula>AND($R$500,$S$500)</formula>
    </cfRule>
  </conditionalFormatting>
  <conditionalFormatting sqref="W500">
    <cfRule type="expression" dxfId="1456" priority="2507">
      <formula>AND(IF($R$500,$W$500,TRUE),LEN(TRIM($W$500))&gt;0)</formula>
    </cfRule>
  </conditionalFormatting>
  <conditionalFormatting sqref="W500">
    <cfRule type="expression" dxfId="1455" priority="2506">
      <formula>OR($S$500 = FALSE, AND($P$500 = FALSE, ReportType &lt;&gt; "Final"), AND($Q$500 = FALSE, ReportType &lt;&gt; "Rough"))</formula>
    </cfRule>
  </conditionalFormatting>
  <conditionalFormatting sqref="W500">
    <cfRule type="expression" dxfId="1454" priority="2505">
      <formula>OR($T$500 = TRUE, AND($W$500 = TRUE, $S$500 = FALSE))</formula>
    </cfRule>
  </conditionalFormatting>
  <conditionalFormatting sqref="W517">
    <cfRule type="expression" dxfId="1453" priority="2504">
      <formula>AND($R$517,$S$517)</formula>
    </cfRule>
  </conditionalFormatting>
  <conditionalFormatting sqref="W517">
    <cfRule type="expression" dxfId="1452" priority="2503">
      <formula>AND(IF($R$517,$W$517,TRUE),LEN(TRIM($W$517))&gt;0)</formula>
    </cfRule>
  </conditionalFormatting>
  <conditionalFormatting sqref="W517">
    <cfRule type="expression" dxfId="1451" priority="2502">
      <formula>OR($S$517 = FALSE, AND($P$517 = FALSE, ReportType &lt;&gt; "Final"), AND($Q$517 = FALSE, ReportType &lt;&gt; "Rough"))</formula>
    </cfRule>
  </conditionalFormatting>
  <conditionalFormatting sqref="W517">
    <cfRule type="expression" dxfId="1450" priority="2501">
      <formula>OR($T$517 = TRUE, AND($W$517 = TRUE, $S$517 = FALSE))</formula>
    </cfRule>
  </conditionalFormatting>
  <conditionalFormatting sqref="W533">
    <cfRule type="expression" dxfId="1449" priority="2500">
      <formula>AND($R$533,$S$533)</formula>
    </cfRule>
  </conditionalFormatting>
  <conditionalFormatting sqref="W533">
    <cfRule type="expression" dxfId="1448" priority="2499">
      <formula>AND(IF($R$533,$W$533,TRUE),LEN(TRIM($W$533))&gt;0)</formula>
    </cfRule>
  </conditionalFormatting>
  <conditionalFormatting sqref="W533">
    <cfRule type="expression" dxfId="1447" priority="2498">
      <formula>OR($S$533 = FALSE, AND($P$533 = FALSE, ReportType &lt;&gt; "Final"), AND($Q$533 = FALSE, ReportType &lt;&gt; "Rough"))</formula>
    </cfRule>
  </conditionalFormatting>
  <conditionalFormatting sqref="W533">
    <cfRule type="expression" dxfId="1446" priority="2497">
      <formula>OR($T$533 = TRUE, AND($W$533 = TRUE, $S$533 = FALSE))</formula>
    </cfRule>
  </conditionalFormatting>
  <conditionalFormatting sqref="W546">
    <cfRule type="expression" dxfId="1445" priority="2496">
      <formula>AND($R$546,$S$546)</formula>
    </cfRule>
  </conditionalFormatting>
  <conditionalFormatting sqref="W546">
    <cfRule type="expression" dxfId="1444" priority="2495">
      <formula>AND(IF($R$546,$W$546,TRUE),LEN(TRIM($W$546))&gt;0)</formula>
    </cfRule>
  </conditionalFormatting>
  <conditionalFormatting sqref="W546">
    <cfRule type="expression" dxfId="1443" priority="2494">
      <formula>OR($S$546 = FALSE, AND($P$546 = FALSE, ReportType &lt;&gt; "Final"), AND($Q$546 = FALSE, ReportType &lt;&gt; "Rough"))</formula>
    </cfRule>
  </conditionalFormatting>
  <conditionalFormatting sqref="W546">
    <cfRule type="expression" dxfId="1442" priority="2493">
      <formula>OR($T$546 = TRUE, AND($W$546 = TRUE, $S$546 = FALSE))</formula>
    </cfRule>
  </conditionalFormatting>
  <conditionalFormatting sqref="W548">
    <cfRule type="expression" dxfId="1441" priority="2492">
      <formula>AND($R$548,$S$548)</formula>
    </cfRule>
  </conditionalFormatting>
  <conditionalFormatting sqref="W548">
    <cfRule type="expression" dxfId="1440" priority="2491">
      <formula>AND(IF($R$548,$W$548,TRUE),LEN(TRIM($W$548))&gt;0)</formula>
    </cfRule>
  </conditionalFormatting>
  <conditionalFormatting sqref="W548">
    <cfRule type="expression" dxfId="1439" priority="2490">
      <formula>OR($S$548 = FALSE, AND($P$548 = FALSE, ReportType &lt;&gt; "Final"), AND($Q$548 = FALSE, ReportType &lt;&gt; "Rough"))</formula>
    </cfRule>
  </conditionalFormatting>
  <conditionalFormatting sqref="W548">
    <cfRule type="expression" dxfId="1438" priority="2489">
      <formula>OR($T$548 = TRUE, AND($W$548 = TRUE, $S$548 = FALSE))</formula>
    </cfRule>
  </conditionalFormatting>
  <conditionalFormatting sqref="W561">
    <cfRule type="expression" dxfId="1437" priority="2488">
      <formula>AND($R$561,$S$561)</formula>
    </cfRule>
  </conditionalFormatting>
  <conditionalFormatting sqref="W561">
    <cfRule type="expression" dxfId="1436" priority="2487">
      <formula>AND(IF($R$561,$W$561,TRUE),LEN(TRIM($W$561))&gt;0)</formula>
    </cfRule>
  </conditionalFormatting>
  <conditionalFormatting sqref="W561">
    <cfRule type="expression" dxfId="1435" priority="2486">
      <formula>OR($S$561 = FALSE, AND($P$561 = FALSE, ReportType &lt;&gt; "Final"), AND($Q$561 = FALSE, ReportType &lt;&gt; "Rough"))</formula>
    </cfRule>
  </conditionalFormatting>
  <conditionalFormatting sqref="W561">
    <cfRule type="expression" dxfId="1434" priority="2485">
      <formula>OR($T$561 = TRUE, AND($W$561 = TRUE, $S$561 = FALSE))</formula>
    </cfRule>
  </conditionalFormatting>
  <conditionalFormatting sqref="W562">
    <cfRule type="expression" dxfId="1433" priority="2484">
      <formula>AND($R$562,$S$562)</formula>
    </cfRule>
  </conditionalFormatting>
  <conditionalFormatting sqref="W562">
    <cfRule type="expression" dxfId="1432" priority="2483">
      <formula>AND(IF($R$562,$W$562,TRUE),LEN(TRIM($W$562))&gt;0)</formula>
    </cfRule>
  </conditionalFormatting>
  <conditionalFormatting sqref="W562">
    <cfRule type="expression" dxfId="1431" priority="2482">
      <formula>OR($S$562 = FALSE, AND($P$562 = FALSE, ReportType &lt;&gt; "Final"), AND($Q$562 = FALSE, ReportType &lt;&gt; "Rough"))</formula>
    </cfRule>
  </conditionalFormatting>
  <conditionalFormatting sqref="W562">
    <cfRule type="expression" dxfId="1430" priority="2481">
      <formula>OR($T$562 = TRUE, AND($W$562 = TRUE, $S$562 = FALSE))</formula>
    </cfRule>
  </conditionalFormatting>
  <conditionalFormatting sqref="W563">
    <cfRule type="expression" dxfId="1429" priority="2480">
      <formula>AND($R$563,$S$563)</formula>
    </cfRule>
  </conditionalFormatting>
  <conditionalFormatting sqref="W563">
    <cfRule type="expression" dxfId="1428" priority="2479">
      <formula>AND(IF($R$563,$W$563,TRUE),LEN(TRIM($W$563))&gt;0)</formula>
    </cfRule>
  </conditionalFormatting>
  <conditionalFormatting sqref="W563">
    <cfRule type="expression" dxfId="1427" priority="2478">
      <formula>OR($S$563 = FALSE, AND($P$563 = FALSE, ReportType &lt;&gt; "Final"), AND($Q$563 = FALSE, ReportType &lt;&gt; "Rough"))</formula>
    </cfRule>
  </conditionalFormatting>
  <conditionalFormatting sqref="W563">
    <cfRule type="expression" dxfId="1426" priority="2477">
      <formula>OR($T$563 = TRUE, AND($W$563 = TRUE, $S$563 = FALSE))</formula>
    </cfRule>
  </conditionalFormatting>
  <conditionalFormatting sqref="W564">
    <cfRule type="expression" dxfId="1425" priority="2476">
      <formula>AND($R$564,$S$564)</formula>
    </cfRule>
  </conditionalFormatting>
  <conditionalFormatting sqref="W564">
    <cfRule type="expression" dxfId="1424" priority="2475">
      <formula>AND(IF($R$564,$W$564,TRUE),LEN(TRIM($W$564))&gt;0)</formula>
    </cfRule>
  </conditionalFormatting>
  <conditionalFormatting sqref="W564">
    <cfRule type="expression" dxfId="1423" priority="2474">
      <formula>OR($S$564 = FALSE, AND($P$564 = FALSE, ReportType &lt;&gt; "Final"), AND($Q$564 = FALSE, ReportType &lt;&gt; "Rough"))</formula>
    </cfRule>
  </conditionalFormatting>
  <conditionalFormatting sqref="W564">
    <cfRule type="expression" dxfId="1422" priority="2473">
      <formula>OR($T$564 = TRUE, AND($W$564 = TRUE, $S$564 = FALSE))</formula>
    </cfRule>
  </conditionalFormatting>
  <conditionalFormatting sqref="W565">
    <cfRule type="expression" dxfId="1421" priority="2472">
      <formula>AND($R$565,$S$565)</formula>
    </cfRule>
  </conditionalFormatting>
  <conditionalFormatting sqref="W565">
    <cfRule type="expression" dxfId="1420" priority="2471">
      <formula>AND(IF($R$565,$W$565,TRUE),LEN(TRIM($W$565))&gt;0)</formula>
    </cfRule>
  </conditionalFormatting>
  <conditionalFormatting sqref="W565">
    <cfRule type="expression" dxfId="1419" priority="2470">
      <formula>OR($S$565 = FALSE, AND($P$565 = FALSE, ReportType &lt;&gt; "Final"), AND($Q$565 = FALSE, ReportType &lt;&gt; "Rough"))</formula>
    </cfRule>
  </conditionalFormatting>
  <conditionalFormatting sqref="W565">
    <cfRule type="expression" dxfId="1418" priority="2469">
      <formula>OR($T$565 = TRUE, AND($W$565 = TRUE, $S$565 = FALSE))</formula>
    </cfRule>
  </conditionalFormatting>
  <conditionalFormatting sqref="W566">
    <cfRule type="expression" dxfId="1417" priority="2468">
      <formula>AND($R$566,$S$566)</formula>
    </cfRule>
  </conditionalFormatting>
  <conditionalFormatting sqref="W566">
    <cfRule type="expression" dxfId="1416" priority="2467">
      <formula>AND(IF($R$566,$W$566,TRUE),LEN(TRIM($W$566))&gt;0)</formula>
    </cfRule>
  </conditionalFormatting>
  <conditionalFormatting sqref="W566">
    <cfRule type="expression" dxfId="1415" priority="2466">
      <formula>OR($S$566 = FALSE, AND($P$566 = FALSE, ReportType &lt;&gt; "Final"), AND($Q$566 = FALSE, ReportType &lt;&gt; "Rough"))</formula>
    </cfRule>
  </conditionalFormatting>
  <conditionalFormatting sqref="W566">
    <cfRule type="expression" dxfId="1414" priority="2465">
      <formula>OR($T$566 = TRUE, AND($W$566 = TRUE, $S$566 = FALSE))</formula>
    </cfRule>
  </conditionalFormatting>
  <conditionalFormatting sqref="W567">
    <cfRule type="expression" dxfId="1413" priority="2464">
      <formula>AND($R$567,$S$567)</formula>
    </cfRule>
  </conditionalFormatting>
  <conditionalFormatting sqref="W567">
    <cfRule type="expression" dxfId="1412" priority="2463">
      <formula>AND(IF($R$567,$W$567,TRUE),LEN(TRIM($W$567))&gt;0)</formula>
    </cfRule>
  </conditionalFormatting>
  <conditionalFormatting sqref="W567">
    <cfRule type="expression" dxfId="1411" priority="2462">
      <formula>OR($S$567 = FALSE, AND($P$567 = FALSE, ReportType &lt;&gt; "Final"), AND($Q$567 = FALSE, ReportType &lt;&gt; "Rough"))</formula>
    </cfRule>
  </conditionalFormatting>
  <conditionalFormatting sqref="W567">
    <cfRule type="expression" dxfId="1410" priority="2461">
      <formula>OR($T$567 = TRUE, AND($W$567 = TRUE, $S$567 = FALSE))</formula>
    </cfRule>
  </conditionalFormatting>
  <conditionalFormatting sqref="W568">
    <cfRule type="expression" dxfId="1409" priority="2460">
      <formula>AND($R$568,$S$568)</formula>
    </cfRule>
  </conditionalFormatting>
  <conditionalFormatting sqref="W568">
    <cfRule type="expression" dxfId="1408" priority="2459">
      <formula>AND(IF($R$568,$W$568,TRUE),LEN(TRIM($W$568))&gt;0)</formula>
    </cfRule>
  </conditionalFormatting>
  <conditionalFormatting sqref="W568">
    <cfRule type="expression" dxfId="1407" priority="2458">
      <formula>OR($S$568 = FALSE, AND($P$568 = FALSE, ReportType &lt;&gt; "Final"), AND($Q$568 = FALSE, ReportType &lt;&gt; "Rough"))</formula>
    </cfRule>
  </conditionalFormatting>
  <conditionalFormatting sqref="W568">
    <cfRule type="expression" dxfId="1406" priority="2457">
      <formula>OR($T$568 = TRUE, AND($W$568 = TRUE, $S$568 = FALSE))</formula>
    </cfRule>
  </conditionalFormatting>
  <conditionalFormatting sqref="W569">
    <cfRule type="expression" dxfId="1405" priority="2456">
      <formula>AND($R$569,$S$569)</formula>
    </cfRule>
  </conditionalFormatting>
  <conditionalFormatting sqref="W569">
    <cfRule type="expression" dxfId="1404" priority="2455">
      <formula>AND(IF($R$569,$W$569,TRUE),LEN(TRIM($W$569))&gt;0)</formula>
    </cfRule>
  </conditionalFormatting>
  <conditionalFormatting sqref="W569">
    <cfRule type="expression" dxfId="1403" priority="2454">
      <formula>OR($S$569 = FALSE, AND($P$569 = FALSE, ReportType &lt;&gt; "Final"), AND($Q$569 = FALSE, ReportType &lt;&gt; "Rough"))</formula>
    </cfRule>
  </conditionalFormatting>
  <conditionalFormatting sqref="W569">
    <cfRule type="expression" dxfId="1402" priority="2453">
      <formula>OR($T$569 = TRUE, AND($W$569 = TRUE, $S$569 = FALSE))</formula>
    </cfRule>
  </conditionalFormatting>
  <conditionalFormatting sqref="W616">
    <cfRule type="expression" dxfId="1401" priority="2452">
      <formula>AND($R$616,$S$616)</formula>
    </cfRule>
  </conditionalFormatting>
  <conditionalFormatting sqref="W616">
    <cfRule type="expression" dxfId="1400" priority="2451">
      <formula>AND(IF($R$616,$W$616,TRUE),LEN(TRIM($W$616))&gt;0)</formula>
    </cfRule>
  </conditionalFormatting>
  <conditionalFormatting sqref="W616">
    <cfRule type="expression" dxfId="1399" priority="2450">
      <formula>OR($S$616 = FALSE, AND($P$616 = FALSE, ReportType &lt;&gt; "Final"), AND($Q$616 = FALSE, ReportType &lt;&gt; "Rough"))</formula>
    </cfRule>
  </conditionalFormatting>
  <conditionalFormatting sqref="W616">
    <cfRule type="expression" dxfId="1398" priority="2449">
      <formula>OR($T$616 = TRUE, AND($W$616 = TRUE, $S$616 = FALSE))</formula>
    </cfRule>
  </conditionalFormatting>
  <conditionalFormatting sqref="W618">
    <cfRule type="expression" dxfId="1397" priority="2448">
      <formula>AND($R$618,$S$618)</formula>
    </cfRule>
  </conditionalFormatting>
  <conditionalFormatting sqref="W618">
    <cfRule type="expression" dxfId="1396" priority="2447">
      <formula>AND(IF($R$618,$W$618,TRUE),LEN(TRIM($W$618))&gt;0)</formula>
    </cfRule>
  </conditionalFormatting>
  <conditionalFormatting sqref="W618">
    <cfRule type="expression" dxfId="1395" priority="2446">
      <formula>OR($S$618 = FALSE, AND($P$618 = FALSE, ReportType &lt;&gt; "Final"), AND($Q$618 = FALSE, ReportType &lt;&gt; "Rough"))</formula>
    </cfRule>
  </conditionalFormatting>
  <conditionalFormatting sqref="W618">
    <cfRule type="expression" dxfId="1394" priority="2445">
      <formula>OR($T$618 = TRUE, AND($W$618 = TRUE, $S$618 = FALSE))</formula>
    </cfRule>
  </conditionalFormatting>
  <conditionalFormatting sqref="W619">
    <cfRule type="expression" dxfId="1393" priority="2444">
      <formula>AND($R$619,$S$619)</formula>
    </cfRule>
  </conditionalFormatting>
  <conditionalFormatting sqref="W619">
    <cfRule type="expression" dxfId="1392" priority="2443">
      <formula>AND(IF($R$619,$W$619,TRUE),LEN(TRIM($W$619))&gt;0)</formula>
    </cfRule>
  </conditionalFormatting>
  <conditionalFormatting sqref="W619">
    <cfRule type="expression" dxfId="1391" priority="2442">
      <formula>OR($S$619 = FALSE, AND($P$619 = FALSE, ReportType &lt;&gt; "Final"), AND($Q$619 = FALSE, ReportType &lt;&gt; "Rough"))</formula>
    </cfRule>
  </conditionalFormatting>
  <conditionalFormatting sqref="W619">
    <cfRule type="expression" dxfId="1390" priority="2441">
      <formula>OR($T$619 = TRUE, AND($W$619 = TRUE, $S$619 = FALSE))</formula>
    </cfRule>
  </conditionalFormatting>
  <conditionalFormatting sqref="W647">
    <cfRule type="expression" dxfId="1389" priority="2440">
      <formula>AND($R$647,$S$647)</formula>
    </cfRule>
  </conditionalFormatting>
  <conditionalFormatting sqref="W647">
    <cfRule type="expression" dxfId="1388" priority="2439">
      <formula>AND(IF($R$647,$W$647,TRUE),LEN(TRIM($W$647))&gt;0)</formula>
    </cfRule>
  </conditionalFormatting>
  <conditionalFormatting sqref="W647">
    <cfRule type="expression" dxfId="1387" priority="2438">
      <formula>OR($S$647 = FALSE, AND($P$647 = FALSE, ReportType &lt;&gt; "Final"), AND($Q$647 = FALSE, ReportType &lt;&gt; "Rough"))</formula>
    </cfRule>
  </conditionalFormatting>
  <conditionalFormatting sqref="W647">
    <cfRule type="expression" dxfId="1386" priority="2437">
      <formula>OR($T$647 = TRUE, AND($W$647 = TRUE, $S$647 = FALSE))</formula>
    </cfRule>
  </conditionalFormatting>
  <conditionalFormatting sqref="W656">
    <cfRule type="expression" dxfId="1385" priority="2436">
      <formula>AND($R$656,$S$656)</formula>
    </cfRule>
  </conditionalFormatting>
  <conditionalFormatting sqref="W656">
    <cfRule type="expression" dxfId="1384" priority="2435">
      <formula>AND(IF($R$656,$W$656,TRUE),LEN(TRIM($W$656))&gt;0)</formula>
    </cfRule>
  </conditionalFormatting>
  <conditionalFormatting sqref="W656">
    <cfRule type="expression" dxfId="1383" priority="2434">
      <formula>OR($S$656 = FALSE, AND($P$656 = FALSE, ReportType &lt;&gt; "Final"), AND($Q$656 = FALSE, ReportType &lt;&gt; "Rough"))</formula>
    </cfRule>
  </conditionalFormatting>
  <conditionalFormatting sqref="W656">
    <cfRule type="expression" dxfId="1382" priority="2433">
      <formula>OR($T$656 = TRUE, AND($W$656 = TRUE, $S$656 = FALSE))</formula>
    </cfRule>
  </conditionalFormatting>
  <conditionalFormatting sqref="W663">
    <cfRule type="expression" dxfId="1381" priority="2432">
      <formula>AND($R$663,$S$663)</formula>
    </cfRule>
  </conditionalFormatting>
  <conditionalFormatting sqref="W663">
    <cfRule type="expression" dxfId="1380" priority="2431">
      <formula>AND(IF($R$663,$W$663,TRUE),LEN(TRIM($W$663))&gt;0)</formula>
    </cfRule>
  </conditionalFormatting>
  <conditionalFormatting sqref="W663">
    <cfRule type="expression" dxfId="1379" priority="2430">
      <formula>OR($S$663 = FALSE, AND($P$663 = FALSE, ReportType &lt;&gt; "Final"), AND($Q$663 = FALSE, ReportType &lt;&gt; "Rough"))</formula>
    </cfRule>
  </conditionalFormatting>
  <conditionalFormatting sqref="W663">
    <cfRule type="expression" dxfId="1378" priority="2429">
      <formula>OR($T$663 = TRUE, AND($W$663 = TRUE, $S$663 = FALSE))</formula>
    </cfRule>
  </conditionalFormatting>
  <conditionalFormatting sqref="W719">
    <cfRule type="expression" dxfId="1377" priority="2428">
      <formula>AND($R$719,$S$719)</formula>
    </cfRule>
  </conditionalFormatting>
  <conditionalFormatting sqref="W719">
    <cfRule type="expression" dxfId="1376" priority="2427">
      <formula>AND(IF($R$719,$W$719,TRUE),LEN(TRIM($W$719))&gt;0)</formula>
    </cfRule>
  </conditionalFormatting>
  <conditionalFormatting sqref="W719">
    <cfRule type="expression" dxfId="1375" priority="2426">
      <formula>OR($S$719 = FALSE, AND($P$719 = FALSE, ReportType &lt;&gt; "Final"), AND($Q$719 = FALSE, ReportType &lt;&gt; "Rough"))</formula>
    </cfRule>
  </conditionalFormatting>
  <conditionalFormatting sqref="W719">
    <cfRule type="expression" dxfId="1374" priority="2425">
      <formula>OR($T$719 = TRUE, AND($W$719 = TRUE, $S$719 = FALSE))</formula>
    </cfRule>
  </conditionalFormatting>
  <conditionalFormatting sqref="W720">
    <cfRule type="expression" dxfId="1373" priority="2424">
      <formula>AND($R$720,$S$720)</formula>
    </cfRule>
  </conditionalFormatting>
  <conditionalFormatting sqref="W720">
    <cfRule type="expression" dxfId="1372" priority="2423">
      <formula>AND(IF($R$720,$W$720,TRUE),LEN(TRIM($W$720))&gt;0)</formula>
    </cfRule>
  </conditionalFormatting>
  <conditionalFormatting sqref="W720">
    <cfRule type="expression" dxfId="1371" priority="2422">
      <formula>OR($S$720 = FALSE, AND($P$720 = FALSE, ReportType &lt;&gt; "Final"), AND($Q$720 = FALSE, ReportType &lt;&gt; "Rough"))</formula>
    </cfRule>
  </conditionalFormatting>
  <conditionalFormatting sqref="W720">
    <cfRule type="expression" dxfId="1370" priority="2421">
      <formula>OR($T$720 = TRUE, AND($W$720 = TRUE, $S$720 = FALSE))</formula>
    </cfRule>
  </conditionalFormatting>
  <conditionalFormatting sqref="W722">
    <cfRule type="expression" dxfId="1369" priority="2420">
      <formula>AND($R$722,$S$722)</formula>
    </cfRule>
  </conditionalFormatting>
  <conditionalFormatting sqref="W722">
    <cfRule type="expression" dxfId="1368" priority="2419">
      <formula>AND(IF($R$722,$W$722,TRUE),LEN(TRIM($W$722))&gt;0)</formula>
    </cfRule>
  </conditionalFormatting>
  <conditionalFormatting sqref="W722">
    <cfRule type="expression" dxfId="1367" priority="2418">
      <formula>OR($S$722 = FALSE, AND($P$722 = FALSE, ReportType &lt;&gt; "Final"), AND($Q$722 = FALSE, ReportType &lt;&gt; "Rough"))</formula>
    </cfRule>
  </conditionalFormatting>
  <conditionalFormatting sqref="W722">
    <cfRule type="expression" dxfId="1366" priority="2417">
      <formula>OR($T$722 = TRUE, AND($W$722 = TRUE, $S$722 = FALSE))</formula>
    </cfRule>
  </conditionalFormatting>
  <conditionalFormatting sqref="W721">
    <cfRule type="expression" dxfId="1365" priority="2416">
      <formula>AND($R$721,$S$721)</formula>
    </cfRule>
  </conditionalFormatting>
  <conditionalFormatting sqref="W721">
    <cfRule type="expression" dxfId="1364" priority="2415">
      <formula>AND(IF($R$721,$W$721,TRUE),LEN(TRIM($W$721))&gt;0)</formula>
    </cfRule>
  </conditionalFormatting>
  <conditionalFormatting sqref="W721">
    <cfRule type="expression" dxfId="1363" priority="2414">
      <formula>OR($S$721 = FALSE, AND($P$721 = FALSE, ReportType &lt;&gt; "Final"), AND($Q$721 = FALSE, ReportType &lt;&gt; "Rough"))</formula>
    </cfRule>
  </conditionalFormatting>
  <conditionalFormatting sqref="W721">
    <cfRule type="expression" dxfId="1362" priority="2413">
      <formula>OR($T$721 = TRUE, AND($W$721 = TRUE, $S$721 = FALSE))</formula>
    </cfRule>
  </conditionalFormatting>
  <conditionalFormatting sqref="W723">
    <cfRule type="expression" dxfId="1361" priority="2412">
      <formula>AND($R$723,$S$723)</formula>
    </cfRule>
  </conditionalFormatting>
  <conditionalFormatting sqref="W723">
    <cfRule type="expression" dxfId="1360" priority="2411">
      <formula>AND(IF($R$723,$W$723,TRUE),LEN(TRIM($W$723))&gt;0)</formula>
    </cfRule>
  </conditionalFormatting>
  <conditionalFormatting sqref="W723">
    <cfRule type="expression" dxfId="1359" priority="2410">
      <formula>OR($S$723 = FALSE, AND($P$723 = FALSE, ReportType &lt;&gt; "Final"), AND($Q$723 = FALSE, ReportType &lt;&gt; "Rough"))</formula>
    </cfRule>
  </conditionalFormatting>
  <conditionalFormatting sqref="W723">
    <cfRule type="expression" dxfId="1358" priority="2409">
      <formula>OR($T$723 = TRUE, AND($W$723 = TRUE, $S$723 = FALSE))</formula>
    </cfRule>
  </conditionalFormatting>
  <conditionalFormatting sqref="W724">
    <cfRule type="expression" dxfId="1357" priority="2408">
      <formula>AND($R$724,$S$724)</formula>
    </cfRule>
  </conditionalFormatting>
  <conditionalFormatting sqref="W724">
    <cfRule type="expression" dxfId="1356" priority="2407">
      <formula>AND(IF($R$724,$W$724,TRUE),LEN(TRIM($W$724))&gt;0)</formula>
    </cfRule>
  </conditionalFormatting>
  <conditionalFormatting sqref="W724">
    <cfRule type="expression" dxfId="1355" priority="2406">
      <formula>OR($S$724 = FALSE, AND($P$724 = FALSE, ReportType &lt;&gt; "Final"), AND($Q$724 = FALSE, ReportType &lt;&gt; "Rough"))</formula>
    </cfRule>
  </conditionalFormatting>
  <conditionalFormatting sqref="W724">
    <cfRule type="expression" dxfId="1354" priority="2405">
      <formula>OR($T$724 = TRUE, AND($W$724 = TRUE, $S$724 = FALSE))</formula>
    </cfRule>
  </conditionalFormatting>
  <conditionalFormatting sqref="W725">
    <cfRule type="expression" dxfId="1353" priority="2404">
      <formula>AND($R$725,$S$725)</formula>
    </cfRule>
  </conditionalFormatting>
  <conditionalFormatting sqref="W725">
    <cfRule type="expression" dxfId="1352" priority="2403">
      <formula>AND(IF($R$725,$W$725,TRUE),LEN(TRIM($W$725))&gt;0)</formula>
    </cfRule>
  </conditionalFormatting>
  <conditionalFormatting sqref="W725">
    <cfRule type="expression" dxfId="1351" priority="2402">
      <formula>OR($S$725 = FALSE, AND($P$725 = FALSE, ReportType &lt;&gt; "Final"), AND($Q$725 = FALSE, ReportType &lt;&gt; "Rough"))</formula>
    </cfRule>
  </conditionalFormatting>
  <conditionalFormatting sqref="W725">
    <cfRule type="expression" dxfId="1350" priority="2401">
      <formula>OR($T$725 = TRUE, AND($W$725 = TRUE, $S$725 = FALSE))</formula>
    </cfRule>
  </conditionalFormatting>
  <conditionalFormatting sqref="W729">
    <cfRule type="expression" dxfId="1349" priority="2400">
      <formula>AND($R$729,$S$729)</formula>
    </cfRule>
  </conditionalFormatting>
  <conditionalFormatting sqref="W729">
    <cfRule type="expression" dxfId="1348" priority="2399">
      <formula>AND(IF($R$729,$W$729,TRUE),LEN(TRIM($W$729))&gt;0)</formula>
    </cfRule>
  </conditionalFormatting>
  <conditionalFormatting sqref="W729">
    <cfRule type="expression" dxfId="1347" priority="2398">
      <formula>OR($S$729 = FALSE, AND($P$729 = FALSE, ReportType &lt;&gt; "Final"), AND($Q$729 = FALSE, ReportType &lt;&gt; "Rough"))</formula>
    </cfRule>
  </conditionalFormatting>
  <conditionalFormatting sqref="W729">
    <cfRule type="expression" dxfId="1346" priority="2397">
      <formula>OR($T$729 = TRUE, AND($W$729 = TRUE, $S$729 = FALSE))</formula>
    </cfRule>
  </conditionalFormatting>
  <conditionalFormatting sqref="W734">
    <cfRule type="expression" dxfId="1345" priority="2396">
      <formula>AND($R$734,$S$734)</formula>
    </cfRule>
  </conditionalFormatting>
  <conditionalFormatting sqref="W734">
    <cfRule type="expression" dxfId="1344" priority="2395">
      <formula>AND(IF($R$734,$W$734,TRUE),LEN(TRIM($W$734))&gt;0)</formula>
    </cfRule>
  </conditionalFormatting>
  <conditionalFormatting sqref="W734">
    <cfRule type="expression" dxfId="1343" priority="2394">
      <formula>OR($S$734 = FALSE, AND($P$734 = FALSE, ReportType &lt;&gt; "Final"), AND($Q$734 = FALSE, ReportType &lt;&gt; "Rough"))</formula>
    </cfRule>
  </conditionalFormatting>
  <conditionalFormatting sqref="W734">
    <cfRule type="expression" dxfId="1342" priority="2393">
      <formula>OR($T$734 = TRUE, AND($W$734 = TRUE, $S$734 = FALSE))</formula>
    </cfRule>
  </conditionalFormatting>
  <conditionalFormatting sqref="W738">
    <cfRule type="expression" dxfId="1341" priority="2392">
      <formula>AND($R$738,$S$738)</formula>
    </cfRule>
  </conditionalFormatting>
  <conditionalFormatting sqref="W738">
    <cfRule type="expression" dxfId="1340" priority="2391">
      <formula>AND(IF($R$738,$W$738,TRUE),LEN(TRIM($W$738))&gt;0)</formula>
    </cfRule>
  </conditionalFormatting>
  <conditionalFormatting sqref="W738">
    <cfRule type="expression" dxfId="1339" priority="2390">
      <formula>OR($S$738 = FALSE, AND($P$738 = FALSE, ReportType &lt;&gt; "Final"), AND($Q$738 = FALSE, ReportType &lt;&gt; "Rough"))</formula>
    </cfRule>
  </conditionalFormatting>
  <conditionalFormatting sqref="W738">
    <cfRule type="expression" dxfId="1338" priority="2389">
      <formula>OR($T$738 = TRUE, AND($W$738 = TRUE, $S$738 = FALSE))</formula>
    </cfRule>
  </conditionalFormatting>
  <conditionalFormatting sqref="W740">
    <cfRule type="expression" dxfId="1337" priority="2388">
      <formula>AND($R$740,$S$740)</formula>
    </cfRule>
  </conditionalFormatting>
  <conditionalFormatting sqref="W740">
    <cfRule type="expression" dxfId="1336" priority="2387">
      <formula>AND(IF($R$740,$W$740,TRUE),LEN(TRIM($W$740))&gt;0)</formula>
    </cfRule>
  </conditionalFormatting>
  <conditionalFormatting sqref="W740">
    <cfRule type="expression" dxfId="1335" priority="2386">
      <formula>OR($S$740 = FALSE, AND($P$740 = FALSE, ReportType &lt;&gt; "Final"), AND($Q$740 = FALSE, ReportType &lt;&gt; "Rough"))</formula>
    </cfRule>
  </conditionalFormatting>
  <conditionalFormatting sqref="W740">
    <cfRule type="expression" dxfId="1334" priority="2385">
      <formula>OR($T$740 = TRUE, AND($W$740 = TRUE, $S$740 = FALSE))</formula>
    </cfRule>
  </conditionalFormatting>
  <conditionalFormatting sqref="W742">
    <cfRule type="expression" dxfId="1333" priority="2384">
      <formula>AND($R$742,$S$742)</formula>
    </cfRule>
  </conditionalFormatting>
  <conditionalFormatting sqref="W742">
    <cfRule type="expression" dxfId="1332" priority="2383">
      <formula>AND(IF($R$742,$W$742,TRUE),LEN(TRIM($W$742))&gt;0)</formula>
    </cfRule>
  </conditionalFormatting>
  <conditionalFormatting sqref="W742">
    <cfRule type="expression" dxfId="1331" priority="2382">
      <formula>OR($S$742 = FALSE, AND($P$742 = FALSE, ReportType &lt;&gt; "Final"), AND($Q$742 = FALSE, ReportType &lt;&gt; "Rough"))</formula>
    </cfRule>
  </conditionalFormatting>
  <conditionalFormatting sqref="W742">
    <cfRule type="expression" dxfId="1330" priority="2381">
      <formula>OR($T$742 = TRUE, AND($W$742 = TRUE, $S$742 = FALSE))</formula>
    </cfRule>
  </conditionalFormatting>
  <conditionalFormatting sqref="W743">
    <cfRule type="expression" dxfId="1329" priority="2380">
      <formula>AND($R$743,$S$743)</formula>
    </cfRule>
  </conditionalFormatting>
  <conditionalFormatting sqref="W743">
    <cfRule type="expression" dxfId="1328" priority="2379">
      <formula>AND(IF($R$743,$W$743,TRUE),LEN(TRIM($W$743))&gt;0)</formula>
    </cfRule>
  </conditionalFormatting>
  <conditionalFormatting sqref="W743">
    <cfRule type="expression" dxfId="1327" priority="2378">
      <formula>OR($S$743 = FALSE, AND($P$743 = FALSE, ReportType &lt;&gt; "Final"), AND($Q$743 = FALSE, ReportType &lt;&gt; "Rough"))</formula>
    </cfRule>
  </conditionalFormatting>
  <conditionalFormatting sqref="W743">
    <cfRule type="expression" dxfId="1326" priority="2377">
      <formula>OR($T$743 = TRUE, AND($W$743 = TRUE, $S$743 = FALSE))</formula>
    </cfRule>
  </conditionalFormatting>
  <conditionalFormatting sqref="W744">
    <cfRule type="expression" dxfId="1325" priority="2376">
      <formula>AND($R$744,$S$744)</formula>
    </cfRule>
  </conditionalFormatting>
  <conditionalFormatting sqref="W744">
    <cfRule type="expression" dxfId="1324" priority="2375">
      <formula>AND(IF($R$744,$W$744,TRUE),LEN(TRIM($W$744))&gt;0)</formula>
    </cfRule>
  </conditionalFormatting>
  <conditionalFormatting sqref="W744">
    <cfRule type="expression" dxfId="1323" priority="2374">
      <formula>OR($S$744 = FALSE, AND($P$744 = FALSE, ReportType &lt;&gt; "Final"), AND($Q$744 = FALSE, ReportType &lt;&gt; "Rough"))</formula>
    </cfRule>
  </conditionalFormatting>
  <conditionalFormatting sqref="W744">
    <cfRule type="expression" dxfId="1322" priority="2373">
      <formula>OR($T$744 = TRUE, AND($W$744 = TRUE, $S$744 = FALSE))</formula>
    </cfRule>
  </conditionalFormatting>
  <conditionalFormatting sqref="W748">
    <cfRule type="expression" dxfId="1321" priority="2372">
      <formula>AND($R$748,$S$748)</formula>
    </cfRule>
  </conditionalFormatting>
  <conditionalFormatting sqref="W748">
    <cfRule type="expression" dxfId="1320" priority="2371">
      <formula>AND(IF($R$748,$W$748,TRUE),LEN(TRIM($W$748))&gt;0)</formula>
    </cfRule>
  </conditionalFormatting>
  <conditionalFormatting sqref="W748">
    <cfRule type="expression" dxfId="1319" priority="2370">
      <formula>OR($S$748 = FALSE, AND($P$748 = FALSE, ReportType &lt;&gt; "Final"), AND($Q$748 = FALSE, ReportType &lt;&gt; "Rough"))</formula>
    </cfRule>
  </conditionalFormatting>
  <conditionalFormatting sqref="W748">
    <cfRule type="expression" dxfId="1318" priority="2369">
      <formula>OR($T$748 = TRUE, AND($W$748 = TRUE, $S$748 = FALSE))</formula>
    </cfRule>
  </conditionalFormatting>
  <conditionalFormatting sqref="W750">
    <cfRule type="expression" dxfId="1317" priority="2368">
      <formula>AND($R$750,$S$750)</formula>
    </cfRule>
  </conditionalFormatting>
  <conditionalFormatting sqref="W750">
    <cfRule type="expression" dxfId="1316" priority="2367">
      <formula>AND(IF($R$750,$W$750,TRUE),LEN(TRIM($W$750))&gt;0)</formula>
    </cfRule>
  </conditionalFormatting>
  <conditionalFormatting sqref="W750">
    <cfRule type="expression" dxfId="1315" priority="2366">
      <formula>OR($S$750 = FALSE, AND($P$750 = FALSE, ReportType &lt;&gt; "Final"), AND($Q$750 = FALSE, ReportType &lt;&gt; "Rough"))</formula>
    </cfRule>
  </conditionalFormatting>
  <conditionalFormatting sqref="W750">
    <cfRule type="expression" dxfId="1314" priority="2365">
      <formula>OR($T$750 = TRUE, AND($W$750 = TRUE, $S$750 = FALSE))</formula>
    </cfRule>
  </conditionalFormatting>
  <conditionalFormatting sqref="M781">
    <cfRule type="expression" dxfId="1313" priority="2358">
      <formula>NOT(AE781)</formula>
    </cfRule>
  </conditionalFormatting>
  <conditionalFormatting sqref="M797">
    <cfRule type="expression" dxfId="1312" priority="2359">
      <formula>S777=1</formula>
    </cfRule>
  </conditionalFormatting>
  <conditionalFormatting sqref="X799:X801">
    <cfRule type="expression" dxfId="1311" priority="2345">
      <formula>W799</formula>
    </cfRule>
  </conditionalFormatting>
  <conditionalFormatting sqref="W913">
    <cfRule type="expression" dxfId="1310" priority="2312">
      <formula>AND(R913,S913)</formula>
    </cfRule>
  </conditionalFormatting>
  <conditionalFormatting sqref="W913">
    <cfRule type="expression" dxfId="1309" priority="2311">
      <formula>NOT(ISBLANK(W913))</formula>
    </cfRule>
  </conditionalFormatting>
  <conditionalFormatting sqref="W913">
    <cfRule type="expression" dxfId="1308" priority="2310">
      <formula>OR(S913 = FALSE, AND(P913 = FALSE, ReportType &lt;&gt; "Final"), AND(Q913 = FALSE, ReportType &lt;&gt; "Rough"))</formula>
    </cfRule>
  </conditionalFormatting>
  <conditionalFormatting sqref="W913">
    <cfRule type="expression" dxfId="1307" priority="2309">
      <formula>OR(T913 = TRUE, AND(W913 = TRUE, S913 = FALSE))</formula>
    </cfRule>
  </conditionalFormatting>
  <conditionalFormatting sqref="W948">
    <cfRule type="expression" dxfId="1306" priority="2264">
      <formula>AND(R948,S948)</formula>
    </cfRule>
  </conditionalFormatting>
  <conditionalFormatting sqref="W948">
    <cfRule type="expression" dxfId="1305" priority="2263">
      <formula>NOT(ISBLANK(W948))</formula>
    </cfRule>
  </conditionalFormatting>
  <conditionalFormatting sqref="W948">
    <cfRule type="expression" dxfId="1304" priority="2262">
      <formula>OR(S948 = FALSE, AND(P948 = FALSE, ReportType &lt;&gt; "Final"), AND(Q948 = FALSE, ReportType &lt;&gt; "Rough"))</formula>
    </cfRule>
  </conditionalFormatting>
  <conditionalFormatting sqref="W948">
    <cfRule type="expression" dxfId="1303" priority="2261">
      <formula>OR(T948 = TRUE, AND(W948 = TRUE, S948 = FALSE))</formula>
    </cfRule>
  </conditionalFormatting>
  <conditionalFormatting sqref="W954">
    <cfRule type="expression" dxfId="1302" priority="2260">
      <formula>AND(R954,S954)</formula>
    </cfRule>
  </conditionalFormatting>
  <conditionalFormatting sqref="W954">
    <cfRule type="expression" dxfId="1301" priority="2259">
      <formula>NOT(ISBLANK(W954))</formula>
    </cfRule>
  </conditionalFormatting>
  <conditionalFormatting sqref="W954">
    <cfRule type="expression" dxfId="1300" priority="2258">
      <formula>OR(S954 = FALSE, AND(P954 = FALSE, ReportType &lt;&gt; "Final"), AND(Q954 = FALSE, ReportType &lt;&gt; "Rough"))</formula>
    </cfRule>
  </conditionalFormatting>
  <conditionalFormatting sqref="W954">
    <cfRule type="expression" dxfId="1299" priority="2257">
      <formula>OR(T954 = TRUE, AND(W954 = TRUE, S954 = FALSE))</formula>
    </cfRule>
  </conditionalFormatting>
  <conditionalFormatting sqref="W1381">
    <cfRule type="expression" dxfId="1298" priority="2180">
      <formula>AND(R1381,S1381)</formula>
    </cfRule>
  </conditionalFormatting>
  <conditionalFormatting sqref="W1381">
    <cfRule type="expression" dxfId="1297" priority="2179">
      <formula>AND(S1381,LEN(TRIM(W1381))&gt;0)</formula>
    </cfRule>
  </conditionalFormatting>
  <conditionalFormatting sqref="W1381">
    <cfRule type="expression" dxfId="1296" priority="2178">
      <formula>OR(S1381 = FALSE, AND(P1381 = FALSE, ReportType &lt;&gt; "Final"), AND(Q1381 = FALSE, ReportType &lt;&gt; "Rough"))</formula>
    </cfRule>
  </conditionalFormatting>
  <conditionalFormatting sqref="W1381">
    <cfRule type="expression" dxfId="1295" priority="2177">
      <formula>OR(T1381 = TRUE, AND(W1381 &gt; 0, S1381 = FALSE))</formula>
    </cfRule>
  </conditionalFormatting>
  <conditionalFormatting sqref="W1225">
    <cfRule type="expression" dxfId="1294" priority="2156">
      <formula>AND(R1225,S1225)</formula>
    </cfRule>
  </conditionalFormatting>
  <conditionalFormatting sqref="W1225">
    <cfRule type="expression" dxfId="1293" priority="2155">
      <formula>AND(IF(S1225,W1225,TRUE),LEN(TRIM(W1225))&gt;0)</formula>
    </cfRule>
  </conditionalFormatting>
  <conditionalFormatting sqref="W1225">
    <cfRule type="expression" dxfId="1292" priority="2154">
      <formula>OR(S1225 = FALSE, AND(P1225 = FALSE, ReportType &lt;&gt; "Final"), AND(Q1225 = FALSE, ReportType &lt;&gt; "Rough"))</formula>
    </cfRule>
  </conditionalFormatting>
  <conditionalFormatting sqref="W1225">
    <cfRule type="expression" dxfId="1291" priority="2153">
      <formula>OR(T1225 = TRUE, AND(W1225 = TRUE, S1225 = FALSE))</formula>
    </cfRule>
  </conditionalFormatting>
  <conditionalFormatting sqref="X1298">
    <cfRule type="expression" dxfId="1290" priority="2104">
      <formula>W1298=TRUE</formula>
    </cfRule>
  </conditionalFormatting>
  <conditionalFormatting sqref="X1301">
    <cfRule type="expression" dxfId="1289" priority="2099">
      <formula>W1301=TRUE</formula>
    </cfRule>
  </conditionalFormatting>
  <conditionalFormatting sqref="W1261">
    <cfRule type="expression" dxfId="1288" priority="2006">
      <formula>AND(R1261,S1261)</formula>
    </cfRule>
  </conditionalFormatting>
  <conditionalFormatting sqref="W1261">
    <cfRule type="expression" dxfId="1287" priority="2005">
      <formula>AND(S1261,LEN(TRIM(W1261))&gt;0)</formula>
    </cfRule>
  </conditionalFormatting>
  <conditionalFormatting sqref="W1261">
    <cfRule type="expression" dxfId="1286" priority="2004">
      <formula>OR(S1261 = FALSE, AND(P1261 = FALSE, ReportType &lt;&gt; "Final"), AND(Q1261 = FALSE, ReportType &lt;&gt; "Rough"))</formula>
    </cfRule>
  </conditionalFormatting>
  <conditionalFormatting sqref="W1261">
    <cfRule type="expression" dxfId="1285" priority="2003">
      <formula>OR(T1261 = TRUE, AND(W1261 &gt; 0, S1261 = FALSE))</formula>
    </cfRule>
  </conditionalFormatting>
  <conditionalFormatting sqref="W1118">
    <cfRule type="expression" dxfId="1284" priority="1998">
      <formula>AND(R1118,S1118)</formula>
    </cfRule>
  </conditionalFormatting>
  <conditionalFormatting sqref="W1118">
    <cfRule type="expression" dxfId="1283" priority="1997">
      <formula>AND(R1118,LEN(TRIM(W1118))&gt;0)</formula>
    </cfRule>
  </conditionalFormatting>
  <conditionalFormatting sqref="W1118">
    <cfRule type="expression" dxfId="1282" priority="1996">
      <formula>OR(S1118 = FALSE, AND(P1118 = FALSE, ReportType &lt;&gt; "Final"), AND(Q1118 = FALSE, ReportType &lt;&gt; "Rough"))</formula>
    </cfRule>
  </conditionalFormatting>
  <conditionalFormatting sqref="W1118">
    <cfRule type="expression" dxfId="1281" priority="1995">
      <formula>OR(T1118 = TRUE, AND(W1118 &gt; 0, S1118 = FALSE))</formula>
    </cfRule>
  </conditionalFormatting>
  <conditionalFormatting sqref="W1097">
    <cfRule type="expression" dxfId="1280" priority="1978">
      <formula>AND(R1097,S1097)</formula>
    </cfRule>
  </conditionalFormatting>
  <conditionalFormatting sqref="W1097">
    <cfRule type="expression" dxfId="1279" priority="1977">
      <formula>AND(S1097,LEN(TRIM(W1097))&gt;0)</formula>
    </cfRule>
  </conditionalFormatting>
  <conditionalFormatting sqref="W1097">
    <cfRule type="expression" dxfId="1278" priority="1976">
      <formula>OR(S1097 = FALSE, AND(P1097 = FALSE, ReportType &lt;&gt; "Final"), AND(Q1097 = FALSE, ReportType &lt;&gt; "Rough"))</formula>
    </cfRule>
  </conditionalFormatting>
  <conditionalFormatting sqref="W1097">
    <cfRule type="expression" dxfId="1277" priority="1975">
      <formula>OR(T1097 = TRUE, AND(W1097 &gt; 0, S1097 = FALSE))</formula>
    </cfRule>
  </conditionalFormatting>
  <conditionalFormatting sqref="W839">
    <cfRule type="expression" dxfId="1276" priority="1950">
      <formula>AND(R839,S839)</formula>
    </cfRule>
  </conditionalFormatting>
  <conditionalFormatting sqref="W839">
    <cfRule type="expression" dxfId="1275" priority="1949">
      <formula>NOT(ISBLANK(W839))</formula>
    </cfRule>
  </conditionalFormatting>
  <conditionalFormatting sqref="W839">
    <cfRule type="expression" dxfId="1274" priority="1948">
      <formula>OR(S839 = FALSE, AND(P839 = FALSE, ReportType &lt;&gt; "Final"), AND(Q839 = FALSE, ReportType &lt;&gt; "Rough"))</formula>
    </cfRule>
  </conditionalFormatting>
  <conditionalFormatting sqref="W839">
    <cfRule type="expression" dxfId="1273" priority="1947">
      <formula>OR(T839 = TRUE, AND(W839 = TRUE, S839 = FALSE))</formula>
    </cfRule>
  </conditionalFormatting>
  <conditionalFormatting sqref="W1295">
    <cfRule type="expression" dxfId="1272" priority="1946">
      <formula>AND(R1295,S1295)</formula>
    </cfRule>
  </conditionalFormatting>
  <conditionalFormatting sqref="W1295">
    <cfRule type="expression" dxfId="1271" priority="1945">
      <formula>NOT(ISBLANK(W1295))</formula>
    </cfRule>
  </conditionalFormatting>
  <conditionalFormatting sqref="W1295">
    <cfRule type="expression" dxfId="1270" priority="1944">
      <formula>OR(S1295 = FALSE, AND(P1295 = FALSE, ReportType &lt;&gt; "Final"), AND(Q1295 = FALSE, ReportType &lt;&gt; "Rough"))</formula>
    </cfRule>
  </conditionalFormatting>
  <conditionalFormatting sqref="W1295">
    <cfRule type="expression" dxfId="1269" priority="1943">
      <formula>OR(T1295 = TRUE, AND(W1295 = TRUE, S1295 = FALSE))</formula>
    </cfRule>
  </conditionalFormatting>
  <conditionalFormatting sqref="W1014">
    <cfRule type="expression" dxfId="1268" priority="1913">
      <formula>AND(R1014,S1014)</formula>
    </cfRule>
  </conditionalFormatting>
  <conditionalFormatting sqref="W1014">
    <cfRule type="expression" dxfId="1267" priority="1912">
      <formula>NOT(ISBLANK(W1014))</formula>
    </cfRule>
  </conditionalFormatting>
  <conditionalFormatting sqref="W1014">
    <cfRule type="expression" dxfId="1266" priority="1911">
      <formula>OR(S1014 = FALSE, AND(P1014 = FALSE, ReportType &lt;&gt; "Final"), AND(Q1014 = FALSE, ReportType &lt;&gt; "Rough"))</formula>
    </cfRule>
  </conditionalFormatting>
  <conditionalFormatting sqref="W1014">
    <cfRule type="expression" dxfId="1265" priority="1910">
      <formula>OR(T1014 = TRUE, AND(W1014 = TRUE, S1014 = FALSE))</formula>
    </cfRule>
  </conditionalFormatting>
  <conditionalFormatting sqref="W1020">
    <cfRule type="expression" dxfId="1264" priority="1909">
      <formula>AND(R1020,S1020)</formula>
    </cfRule>
  </conditionalFormatting>
  <conditionalFormatting sqref="W1020">
    <cfRule type="expression" dxfId="1263" priority="1908">
      <formula>NOT(ISBLANK(W1020))</formula>
    </cfRule>
  </conditionalFormatting>
  <conditionalFormatting sqref="W1020">
    <cfRule type="expression" dxfId="1262" priority="1907">
      <formula>OR(S1020 = FALSE, AND(P1020 = FALSE, ReportType &lt;&gt; "Final"), AND(Q1020 = FALSE, ReportType &lt;&gt; "Rough"))</formula>
    </cfRule>
  </conditionalFormatting>
  <conditionalFormatting sqref="W1020">
    <cfRule type="expression" dxfId="1261" priority="1906">
      <formula>OR(T1020 = TRUE, AND(W1020 = TRUE, S1020 = FALSE))</formula>
    </cfRule>
  </conditionalFormatting>
  <conditionalFormatting sqref="W1023">
    <cfRule type="expression" dxfId="1260" priority="1905">
      <formula>AND(R1023,S1023)</formula>
    </cfRule>
  </conditionalFormatting>
  <conditionalFormatting sqref="W1023">
    <cfRule type="expression" dxfId="1259" priority="1904">
      <formula>NOT(ISBLANK(W1023))</formula>
    </cfRule>
  </conditionalFormatting>
  <conditionalFormatting sqref="W1023">
    <cfRule type="expression" dxfId="1258" priority="1903">
      <formula>OR(S1023 = FALSE, AND(P1023 = FALSE, ReportType &lt;&gt; "Final"), AND(Q1023 = FALSE, ReportType &lt;&gt; "Rough"))</formula>
    </cfRule>
  </conditionalFormatting>
  <conditionalFormatting sqref="W1023">
    <cfRule type="expression" dxfId="1257" priority="1902">
      <formula>OR(T1023 = TRUE, AND(W1023 = TRUE, S1023 = FALSE))</formula>
    </cfRule>
  </conditionalFormatting>
  <conditionalFormatting sqref="W1028">
    <cfRule type="expression" dxfId="1256" priority="1901">
      <formula>AND(R1028,S1028)</formula>
    </cfRule>
  </conditionalFormatting>
  <conditionalFormatting sqref="W1028">
    <cfRule type="expression" dxfId="1255" priority="1900">
      <formula>NOT(ISBLANK(W1028))</formula>
    </cfRule>
  </conditionalFormatting>
  <conditionalFormatting sqref="W1028">
    <cfRule type="expression" dxfId="1254" priority="1899">
      <formula>OR(S1028 = FALSE, AND(P1028 = FALSE, ReportType &lt;&gt; "Final"), AND(Q1028 = FALSE, ReportType &lt;&gt; "Rough"))</formula>
    </cfRule>
  </conditionalFormatting>
  <conditionalFormatting sqref="W1028">
    <cfRule type="expression" dxfId="1253" priority="1898">
      <formula>OR(T1028 = TRUE, AND(W1028 = TRUE, S1028 = FALSE))</formula>
    </cfRule>
  </conditionalFormatting>
  <conditionalFormatting sqref="W1034">
    <cfRule type="expression" dxfId="1252" priority="1897">
      <formula>AND(R1034,S1034)</formula>
    </cfRule>
  </conditionalFormatting>
  <conditionalFormatting sqref="W1034">
    <cfRule type="expression" dxfId="1251" priority="1896">
      <formula>NOT(ISBLANK(W1034))</formula>
    </cfRule>
  </conditionalFormatting>
  <conditionalFormatting sqref="W1034">
    <cfRule type="expression" dxfId="1250" priority="1895">
      <formula>OR(S1034 = FALSE, AND(P1034 = FALSE, ReportType &lt;&gt; "Final"), AND(Q1034 = FALSE, ReportType &lt;&gt; "Rough"))</formula>
    </cfRule>
  </conditionalFormatting>
  <conditionalFormatting sqref="W1034">
    <cfRule type="expression" dxfId="1249" priority="1894">
      <formula>OR(T1034 = TRUE, AND(W1034 = TRUE, S1034 = FALSE))</formula>
    </cfRule>
  </conditionalFormatting>
  <conditionalFormatting sqref="W1039">
    <cfRule type="expression" dxfId="1248" priority="1893">
      <formula>AND(R1039,S1039)</formula>
    </cfRule>
  </conditionalFormatting>
  <conditionalFormatting sqref="W1039">
    <cfRule type="expression" dxfId="1247" priority="1892">
      <formula>NOT(ISBLANK(W1039))</formula>
    </cfRule>
  </conditionalFormatting>
  <conditionalFormatting sqref="W1039">
    <cfRule type="expression" dxfId="1246" priority="1891">
      <formula>OR(S1039 = FALSE, AND(P1039 = FALSE, ReportType &lt;&gt; "Final"), AND(Q1039 = FALSE, ReportType &lt;&gt; "Rough"))</formula>
    </cfRule>
  </conditionalFormatting>
  <conditionalFormatting sqref="W1039">
    <cfRule type="expression" dxfId="1245" priority="1890">
      <formula>OR(T1039 = TRUE, AND(W1039 = TRUE, S1039 = FALSE))</formula>
    </cfRule>
  </conditionalFormatting>
  <conditionalFormatting sqref="W1044">
    <cfRule type="expression" dxfId="1244" priority="1889">
      <formula>AND(R1044,S1044)</formula>
    </cfRule>
  </conditionalFormatting>
  <conditionalFormatting sqref="W1044">
    <cfRule type="expression" dxfId="1243" priority="1888">
      <formula>NOT(ISBLANK(W1044))</formula>
    </cfRule>
  </conditionalFormatting>
  <conditionalFormatting sqref="W1044">
    <cfRule type="expression" dxfId="1242" priority="1887">
      <formula>OR(S1044 = FALSE, AND(P1044 = FALSE, ReportType &lt;&gt; "Final"), AND(Q1044 = FALSE, ReportType &lt;&gt; "Rough"))</formula>
    </cfRule>
  </conditionalFormatting>
  <conditionalFormatting sqref="W1044">
    <cfRule type="expression" dxfId="1241" priority="1886">
      <formula>OR(T1044 = TRUE, AND(W1044 = TRUE, S1044 = FALSE))</formula>
    </cfRule>
  </conditionalFormatting>
  <conditionalFormatting sqref="W1050">
    <cfRule type="expression" dxfId="1240" priority="1885">
      <formula>AND(R1050,S1050)</formula>
    </cfRule>
  </conditionalFormatting>
  <conditionalFormatting sqref="W1050">
    <cfRule type="expression" dxfId="1239" priority="1884">
      <formula>NOT(ISBLANK(W1050))</formula>
    </cfRule>
  </conditionalFormatting>
  <conditionalFormatting sqref="W1050">
    <cfRule type="expression" dxfId="1238" priority="1883">
      <formula>OR(S1050 = FALSE, AND(P1050 = FALSE, ReportType &lt;&gt; "Final"), AND(Q1050 = FALSE, ReportType &lt;&gt; "Rough"))</formula>
    </cfRule>
  </conditionalFormatting>
  <conditionalFormatting sqref="W1050">
    <cfRule type="expression" dxfId="1237" priority="1882">
      <formula>OR(T1050 = TRUE, AND(W1050 = TRUE, S1050 = FALSE))</formula>
    </cfRule>
  </conditionalFormatting>
  <conditionalFormatting sqref="W1056">
    <cfRule type="expression" dxfId="1236" priority="1873">
      <formula>AND(R1056,S1056)</formula>
    </cfRule>
  </conditionalFormatting>
  <conditionalFormatting sqref="W1056">
    <cfRule type="expression" dxfId="1235" priority="1872">
      <formula>NOT(ISBLANK(W1056))</formula>
    </cfRule>
  </conditionalFormatting>
  <conditionalFormatting sqref="W1056">
    <cfRule type="expression" dxfId="1234" priority="1871">
      <formula>OR(S1056 = FALSE, AND(P1056 = FALSE, ReportType &lt;&gt; "Final"), AND(Q1056 = FALSE, ReportType &lt;&gt; "Rough"))</formula>
    </cfRule>
  </conditionalFormatting>
  <conditionalFormatting sqref="W1056">
    <cfRule type="expression" dxfId="1233" priority="1870">
      <formula>OR(T1056 = TRUE, AND(W1056 = TRUE, S1056 = FALSE))</formula>
    </cfRule>
  </conditionalFormatting>
  <conditionalFormatting sqref="W1063">
    <cfRule type="expression" dxfId="1232" priority="1865">
      <formula>AND(R1063,S1063)</formula>
    </cfRule>
  </conditionalFormatting>
  <conditionalFormatting sqref="W1063">
    <cfRule type="expression" dxfId="1231" priority="1864">
      <formula>NOT(ISBLANK(W1063))</formula>
    </cfRule>
  </conditionalFormatting>
  <conditionalFormatting sqref="W1063">
    <cfRule type="expression" dxfId="1230" priority="1863">
      <formula>OR(S1063 = FALSE, AND(P1063 = FALSE, ReportType &lt;&gt; "Final"), AND(Q1063 = FALSE, ReportType &lt;&gt; "Rough"))</formula>
    </cfRule>
  </conditionalFormatting>
  <conditionalFormatting sqref="W1063">
    <cfRule type="expression" dxfId="1229" priority="1862">
      <formula>OR(T1063 = TRUE, AND(W1063 = TRUE, S1063 = FALSE))</formula>
    </cfRule>
  </conditionalFormatting>
  <conditionalFormatting sqref="X994:X999">
    <cfRule type="expression" dxfId="1228" priority="1861">
      <formula>W995=INDEX(INDIRECT(U995),1)</formula>
    </cfRule>
  </conditionalFormatting>
  <conditionalFormatting sqref="X1000:X1006">
    <cfRule type="expression" dxfId="1227" priority="1860">
      <formula>W1001=INDEX(INDIRECT(U1001),1)</formula>
    </cfRule>
  </conditionalFormatting>
  <conditionalFormatting sqref="W776">
    <cfRule type="expression" dxfId="1226" priority="1859">
      <formula>AND($R$776,$S$776)</formula>
    </cfRule>
  </conditionalFormatting>
  <conditionalFormatting sqref="W776">
    <cfRule type="expression" dxfId="1225" priority="1858">
      <formula>AND($W$776&lt;&gt;"Not Met",LEN(TRIM($W$776))&gt;0)</formula>
    </cfRule>
  </conditionalFormatting>
  <conditionalFormatting sqref="W776">
    <cfRule type="expression" dxfId="1224" priority="1857">
      <formula>OR($S$776 = FALSE, AND($P$776 = FALSE, ReportType &lt;&gt; "Final"), AND($Q$776 = FALSE, ReportType &lt;&gt; "Rough"))</formula>
    </cfRule>
  </conditionalFormatting>
  <conditionalFormatting sqref="W776">
    <cfRule type="expression" dxfId="1223" priority="1856">
      <formula>OR($T$776 = TRUE, AND(LEN(TRIM($W$776))&gt;0, $S$776 = FALSE))</formula>
    </cfRule>
  </conditionalFormatting>
  <conditionalFormatting sqref="W790">
    <cfRule type="expression" dxfId="1222" priority="1855">
      <formula>AND($R$790,$S$790)</formula>
    </cfRule>
  </conditionalFormatting>
  <conditionalFormatting sqref="W790">
    <cfRule type="expression" dxfId="1221" priority="1854">
      <formula>AND($W$790&lt;&gt;"Not Met",LEN(TRIM($W$790))&gt;0)</formula>
    </cfRule>
  </conditionalFormatting>
  <conditionalFormatting sqref="W790">
    <cfRule type="expression" dxfId="1220" priority="1853">
      <formula>OR($S$790 = FALSE, AND($P$790 = FALSE, ReportType &lt;&gt; "Final"), AND($Q$790 = FALSE, ReportType &lt;&gt; "Rough"))</formula>
    </cfRule>
  </conditionalFormatting>
  <conditionalFormatting sqref="W790">
    <cfRule type="expression" dxfId="1219" priority="1852">
      <formula>OR($T$790 = TRUE, AND(LEN(TRIM($W$790))&gt;0, $S$790 = FALSE))</formula>
    </cfRule>
  </conditionalFormatting>
  <conditionalFormatting sqref="W799">
    <cfRule type="expression" dxfId="1218" priority="1851">
      <formula>AND($R$799,$S$799)</formula>
    </cfRule>
  </conditionalFormatting>
  <conditionalFormatting sqref="W799">
    <cfRule type="expression" dxfId="1217" priority="1850">
      <formula>AND(IF($R$799,$W$799,TRUE),LEN(TRIM($W$799))&gt;0)</formula>
    </cfRule>
  </conditionalFormatting>
  <conditionalFormatting sqref="W799">
    <cfRule type="expression" dxfId="1216" priority="1849">
      <formula>OR($S$799 = FALSE, AND($P$799 = FALSE, ReportType &lt;&gt; "Final"), AND($Q$799 = FALSE, ReportType &lt;&gt; "Rough"))</formula>
    </cfRule>
  </conditionalFormatting>
  <conditionalFormatting sqref="W799">
    <cfRule type="expression" dxfId="1215" priority="1848">
      <formula>OR($T$799 = TRUE, AND($W$799 = TRUE, $S$799 = FALSE))</formula>
    </cfRule>
  </conditionalFormatting>
  <conditionalFormatting sqref="W804">
    <cfRule type="expression" dxfId="1214" priority="1847">
      <formula>AND($R$804,$S$804)</formula>
    </cfRule>
  </conditionalFormatting>
  <conditionalFormatting sqref="W804">
    <cfRule type="expression" dxfId="1213" priority="1846">
      <formula>AND(IF($R$804,$W$804,TRUE),LEN(TRIM($W$804))&gt;0)</formula>
    </cfRule>
  </conditionalFormatting>
  <conditionalFormatting sqref="W804">
    <cfRule type="expression" dxfId="1212" priority="1845">
      <formula>OR($S$804 = FALSE, AND($P$804 = FALSE, ReportType &lt;&gt; "Final"), AND($Q$804 = FALSE, ReportType &lt;&gt; "Rough"))</formula>
    </cfRule>
  </conditionalFormatting>
  <conditionalFormatting sqref="W804">
    <cfRule type="expression" dxfId="1211" priority="1844">
      <formula>OR($T$804 = TRUE, AND($W$804 = TRUE, $S$804 = FALSE))</formula>
    </cfRule>
  </conditionalFormatting>
  <conditionalFormatting sqref="W807">
    <cfRule type="expression" dxfId="1210" priority="1843">
      <formula>AND($R$807,$S$807)</formula>
    </cfRule>
  </conditionalFormatting>
  <conditionalFormatting sqref="W807">
    <cfRule type="expression" dxfId="1209" priority="1842">
      <formula>AND($W$807&lt;&gt;"Not Met",LEN(TRIM($W$807))&gt;0)</formula>
    </cfRule>
  </conditionalFormatting>
  <conditionalFormatting sqref="W807">
    <cfRule type="expression" dxfId="1208" priority="1841">
      <formula>OR($S$807 = FALSE, AND($P$807 = FALSE, ReportType &lt;&gt; "Final"), AND($Q$807 = FALSE, ReportType &lt;&gt; "Rough"))</formula>
    </cfRule>
  </conditionalFormatting>
  <conditionalFormatting sqref="W807">
    <cfRule type="expression" dxfId="1207" priority="1840">
      <formula>OR($T$807 = TRUE, AND(LEN(TRIM($W$807))&gt;0, $S$807 = FALSE))</formula>
    </cfRule>
  </conditionalFormatting>
  <conditionalFormatting sqref="W813">
    <cfRule type="expression" dxfId="1206" priority="1839">
      <formula>AND($R$813,$S$813)</formula>
    </cfRule>
  </conditionalFormatting>
  <conditionalFormatting sqref="W813">
    <cfRule type="expression" dxfId="1205" priority="1838">
      <formula>AND(IF($R$813,$W$813,TRUE),LEN(TRIM($W$813))&gt;0)</formula>
    </cfRule>
  </conditionalFormatting>
  <conditionalFormatting sqref="W813">
    <cfRule type="expression" dxfId="1204" priority="1837">
      <formula>OR($S$813 = FALSE, AND($P$813 = FALSE, ReportType &lt;&gt; "Final"), AND($Q$813 = FALSE, ReportType &lt;&gt; "Rough"))</formula>
    </cfRule>
  </conditionalFormatting>
  <conditionalFormatting sqref="W813">
    <cfRule type="expression" dxfId="1203" priority="1836">
      <formula>OR($T$813 = TRUE, AND($W$813 = TRUE, $S$813 = FALSE))</formula>
    </cfRule>
  </conditionalFormatting>
  <conditionalFormatting sqref="W816">
    <cfRule type="expression" dxfId="1202" priority="1835">
      <formula>AND($R$816,$S$816)</formula>
    </cfRule>
  </conditionalFormatting>
  <conditionalFormatting sqref="W816">
    <cfRule type="expression" dxfId="1201" priority="1834">
      <formula>AND(IF($R$816,$W$816,TRUE),LEN(TRIM($W$816))&gt;0)</formula>
    </cfRule>
  </conditionalFormatting>
  <conditionalFormatting sqref="W816">
    <cfRule type="expression" dxfId="1200" priority="1833">
      <formula>OR($S$816 = FALSE, AND($P$816 = FALSE, ReportType &lt;&gt; "Final"), AND($Q$816 = FALSE, ReportType &lt;&gt; "Rough"))</formula>
    </cfRule>
  </conditionalFormatting>
  <conditionalFormatting sqref="W816">
    <cfRule type="expression" dxfId="1199" priority="1832">
      <formula>OR($T$816 = TRUE, AND($W$816 = TRUE, $S$816 = FALSE))</formula>
    </cfRule>
  </conditionalFormatting>
  <conditionalFormatting sqref="W817">
    <cfRule type="expression" dxfId="1198" priority="1831">
      <formula>AND($R$817,$S$817)</formula>
    </cfRule>
  </conditionalFormatting>
  <conditionalFormatting sqref="W817">
    <cfRule type="expression" dxfId="1197" priority="1830">
      <formula>AND(IF($R$817,$W$817,TRUE),LEN(TRIM($W$817))&gt;0)</formula>
    </cfRule>
  </conditionalFormatting>
  <conditionalFormatting sqref="W817">
    <cfRule type="expression" dxfId="1196" priority="1829">
      <formula>OR($S$817 = FALSE, AND($P$817 = FALSE, ReportType &lt;&gt; "Final"), AND($Q$817 = FALSE, ReportType &lt;&gt; "Rough"))</formula>
    </cfRule>
  </conditionalFormatting>
  <conditionalFormatting sqref="W817">
    <cfRule type="expression" dxfId="1195" priority="1828">
      <formula>OR($T$817 = TRUE, AND($W$817 = TRUE, $S$817 = FALSE))</formula>
    </cfRule>
  </conditionalFormatting>
  <conditionalFormatting sqref="W821">
    <cfRule type="expression" dxfId="1194" priority="1827">
      <formula>AND($R$821,$S$821)</formula>
    </cfRule>
  </conditionalFormatting>
  <conditionalFormatting sqref="W821">
    <cfRule type="expression" dxfId="1193" priority="1826">
      <formula>AND(IF($R$821,$W$821,TRUE),LEN(TRIM($W$821))&gt;0)</formula>
    </cfRule>
  </conditionalFormatting>
  <conditionalFormatting sqref="W821">
    <cfRule type="expression" dxfId="1192" priority="1825">
      <formula>OR($S$821 = FALSE, AND($P$821 = FALSE, ReportType &lt;&gt; "Final"), AND($Q$821 = FALSE, ReportType &lt;&gt; "Rough"))</formula>
    </cfRule>
  </conditionalFormatting>
  <conditionalFormatting sqref="W821">
    <cfRule type="expression" dxfId="1191" priority="1824">
      <formula>OR($T$821 = TRUE, AND($W$821 = TRUE, $S$821 = FALSE))</formula>
    </cfRule>
  </conditionalFormatting>
  <conditionalFormatting sqref="W823">
    <cfRule type="expression" dxfId="1190" priority="1823">
      <formula>AND($R$823,$S$823)</formula>
    </cfRule>
  </conditionalFormatting>
  <conditionalFormatting sqref="W823">
    <cfRule type="expression" dxfId="1189" priority="1822">
      <formula>AND(IF($R$823,$W$823,TRUE),LEN(TRIM($W$823))&gt;0)</formula>
    </cfRule>
  </conditionalFormatting>
  <conditionalFormatting sqref="W823">
    <cfRule type="expression" dxfId="1188" priority="1821">
      <formula>OR($S$823 = FALSE, AND($P$823 = FALSE, ReportType &lt;&gt; "Final"), AND($Q$823 = FALSE, ReportType &lt;&gt; "Rough"))</formula>
    </cfRule>
  </conditionalFormatting>
  <conditionalFormatting sqref="W823">
    <cfRule type="expression" dxfId="1187" priority="1820">
      <formula>OR($T$823 = TRUE, AND($W$823 = TRUE, $S$823 = FALSE))</formula>
    </cfRule>
  </conditionalFormatting>
  <conditionalFormatting sqref="W855">
    <cfRule type="expression" dxfId="1186" priority="1819">
      <formula>AND($R$855,$S$855)</formula>
    </cfRule>
  </conditionalFormatting>
  <conditionalFormatting sqref="W855">
    <cfRule type="expression" dxfId="1185" priority="1818">
      <formula>AND(IF($R$855,$W$855,TRUE),LEN(TRIM($W$855))&gt;0)</formula>
    </cfRule>
  </conditionalFormatting>
  <conditionalFormatting sqref="W855">
    <cfRule type="expression" dxfId="1184" priority="1817">
      <formula>OR($S$855 = FALSE, AND($P$855 = FALSE, ReportType &lt;&gt; "Final"), AND($Q$855 = FALSE, ReportType &lt;&gt; "Rough"))</formula>
    </cfRule>
  </conditionalFormatting>
  <conditionalFormatting sqref="W855">
    <cfRule type="expression" dxfId="1183" priority="1816">
      <formula>OR($T$855 = TRUE, AND($W$855 = TRUE, $S$855 = FALSE))</formula>
    </cfRule>
  </conditionalFormatting>
  <conditionalFormatting sqref="W858">
    <cfRule type="expression" dxfId="1182" priority="1815">
      <formula>AND($R$858,$S$858)</formula>
    </cfRule>
  </conditionalFormatting>
  <conditionalFormatting sqref="W858">
    <cfRule type="expression" dxfId="1181" priority="1814">
      <formula>AND(IF($R$858,$W$858,TRUE),LEN(TRIM($W$858))&gt;0)</formula>
    </cfRule>
  </conditionalFormatting>
  <conditionalFormatting sqref="W858">
    <cfRule type="expression" dxfId="1180" priority="1813">
      <formula>OR($S$858 = FALSE, AND($P$858 = FALSE, ReportType &lt;&gt; "Final"), AND($Q$858 = FALSE, ReportType &lt;&gt; "Rough"))</formula>
    </cfRule>
  </conditionalFormatting>
  <conditionalFormatting sqref="W858">
    <cfRule type="expression" dxfId="1179" priority="1812">
      <formula>OR($T$858 = TRUE, AND($W$858 = TRUE, $S$858 = FALSE))</formula>
    </cfRule>
  </conditionalFormatting>
  <conditionalFormatting sqref="W885">
    <cfRule type="expression" dxfId="1178" priority="1811">
      <formula>AND($R$885,$S$885)</formula>
    </cfRule>
  </conditionalFormatting>
  <conditionalFormatting sqref="W885">
    <cfRule type="expression" dxfId="1177" priority="1810">
      <formula>AND(IF($R$885,$W$885,TRUE),LEN(TRIM($W$885))&gt;0)</formula>
    </cfRule>
  </conditionalFormatting>
  <conditionalFormatting sqref="W885">
    <cfRule type="expression" dxfId="1176" priority="1809">
      <formula>OR($S$885 = FALSE, AND($P$885 = FALSE, ReportType &lt;&gt; "Final"), AND($Q$885 = FALSE, ReportType &lt;&gt; "Rough"))</formula>
    </cfRule>
  </conditionalFormatting>
  <conditionalFormatting sqref="W885">
    <cfRule type="expression" dxfId="1175" priority="1808">
      <formula>OR($T$885 = TRUE, AND($W$885 = TRUE, $S$885 = FALSE))</formula>
    </cfRule>
  </conditionalFormatting>
  <conditionalFormatting sqref="W891">
    <cfRule type="expression" dxfId="1174" priority="1807">
      <formula>AND($R$891,$S$891)</formula>
    </cfRule>
  </conditionalFormatting>
  <conditionalFormatting sqref="W891">
    <cfRule type="expression" dxfId="1173" priority="1806">
      <formula>AND($W$891&lt;&gt;"Not Met",LEN(TRIM($W$891))&gt;0)</formula>
    </cfRule>
  </conditionalFormatting>
  <conditionalFormatting sqref="W891">
    <cfRule type="expression" dxfId="1172" priority="1805">
      <formula>OR($S$891 = FALSE, AND($P$891 = FALSE, ReportType &lt;&gt; "Final"), AND($Q$891 = FALSE, ReportType &lt;&gt; "Rough"))</formula>
    </cfRule>
  </conditionalFormatting>
  <conditionalFormatting sqref="W891">
    <cfRule type="expression" dxfId="1171" priority="1804">
      <formula>OR($T$891 = TRUE, AND(LEN(TRIM($W$891))&gt;0, $S$891 = FALSE))</formula>
    </cfRule>
  </conditionalFormatting>
  <conditionalFormatting sqref="W899">
    <cfRule type="expression" dxfId="1170" priority="1803">
      <formula>AND($R$899,$S$899)</formula>
    </cfRule>
  </conditionalFormatting>
  <conditionalFormatting sqref="W899">
    <cfRule type="expression" dxfId="1169" priority="1802">
      <formula>AND(IF($R$899,$W$899,TRUE),LEN(TRIM($W$899))&gt;0)</formula>
    </cfRule>
  </conditionalFormatting>
  <conditionalFormatting sqref="W899">
    <cfRule type="expression" dxfId="1168" priority="1801">
      <formula>OR($S$899 = FALSE, AND($P$899 = FALSE, ReportType &lt;&gt; "Final"), AND($Q$899 = FALSE, ReportType &lt;&gt; "Rough"))</formula>
    </cfRule>
  </conditionalFormatting>
  <conditionalFormatting sqref="W899">
    <cfRule type="expression" dxfId="1167" priority="1800">
      <formula>OR($T$899 = TRUE, AND($W$899 = TRUE, $S$899 = FALSE))</formula>
    </cfRule>
  </conditionalFormatting>
  <conditionalFormatting sqref="W901">
    <cfRule type="expression" dxfId="1166" priority="1799">
      <formula>AND($R$901,$S$901)</formula>
    </cfRule>
  </conditionalFormatting>
  <conditionalFormatting sqref="W901">
    <cfRule type="expression" dxfId="1165" priority="1798">
      <formula>AND(IF($R$901,$W$901,TRUE),LEN(TRIM($W$901))&gt;0)</formula>
    </cfRule>
  </conditionalFormatting>
  <conditionalFormatting sqref="W901">
    <cfRule type="expression" dxfId="1164" priority="1797">
      <formula>OR($S$901 = FALSE, AND($P$901 = FALSE, ReportType &lt;&gt; "Final"), AND($Q$901 = FALSE, ReportType &lt;&gt; "Rough"))</formula>
    </cfRule>
  </conditionalFormatting>
  <conditionalFormatting sqref="W901">
    <cfRule type="expression" dxfId="1163" priority="1796">
      <formula>OR($T$901 = TRUE, AND($W$901 = TRUE, $S$901 = FALSE))</formula>
    </cfRule>
  </conditionalFormatting>
  <conditionalFormatting sqref="W902">
    <cfRule type="expression" dxfId="1162" priority="1795">
      <formula>AND($R$902,$S$902)</formula>
    </cfRule>
  </conditionalFormatting>
  <conditionalFormatting sqref="W902">
    <cfRule type="expression" dxfId="1161" priority="1794">
      <formula>AND(IF($R$902,$W$902,TRUE),LEN(TRIM($W$902))&gt;0)</formula>
    </cfRule>
  </conditionalFormatting>
  <conditionalFormatting sqref="W902">
    <cfRule type="expression" dxfId="1160" priority="1793">
      <formula>OR($S$902 = FALSE, AND($P$902 = FALSE, ReportType &lt;&gt; "Final"), AND($Q$902 = FALSE, ReportType &lt;&gt; "Rough"))</formula>
    </cfRule>
  </conditionalFormatting>
  <conditionalFormatting sqref="W902">
    <cfRule type="expression" dxfId="1159" priority="1792">
      <formula>OR($T$902 = TRUE, AND($W$902 = TRUE, $S$902 = FALSE))</formula>
    </cfRule>
  </conditionalFormatting>
  <conditionalFormatting sqref="W907">
    <cfRule type="expression" dxfId="1158" priority="1791">
      <formula>AND($R$907,$S$907)</formula>
    </cfRule>
  </conditionalFormatting>
  <conditionalFormatting sqref="W907">
    <cfRule type="expression" dxfId="1157" priority="1790">
      <formula>AND(IF($R$907,$W$907,TRUE),LEN(TRIM($W$907))&gt;0)</formula>
    </cfRule>
  </conditionalFormatting>
  <conditionalFormatting sqref="W907">
    <cfRule type="expression" dxfId="1156" priority="1789">
      <formula>OR($S$907 = FALSE, AND($P$907 = FALSE, ReportType &lt;&gt; "Final"), AND($Q$907 = FALSE, ReportType &lt;&gt; "Rough"))</formula>
    </cfRule>
  </conditionalFormatting>
  <conditionalFormatting sqref="W907">
    <cfRule type="expression" dxfId="1155" priority="1788">
      <formula>OR($T$907 = TRUE, AND($W$907 = TRUE, $S$907 = FALSE))</formula>
    </cfRule>
  </conditionalFormatting>
  <conditionalFormatting sqref="W924">
    <cfRule type="expression" dxfId="1154" priority="1787">
      <formula>AND($R$924,$S$924)</formula>
    </cfRule>
  </conditionalFormatting>
  <conditionalFormatting sqref="W924">
    <cfRule type="expression" dxfId="1153" priority="1786">
      <formula>AND(IF($R$924,$W$924,TRUE),LEN(TRIM($W$924))&gt;0)</formula>
    </cfRule>
  </conditionalFormatting>
  <conditionalFormatting sqref="W924">
    <cfRule type="expression" dxfId="1152" priority="1785">
      <formula>OR($S$924 = FALSE, AND($P$924 = FALSE, ReportType &lt;&gt; "Final"), AND($Q$924 = FALSE, ReportType &lt;&gt; "Rough"))</formula>
    </cfRule>
  </conditionalFormatting>
  <conditionalFormatting sqref="W924">
    <cfRule type="expression" dxfId="1151" priority="1784">
      <formula>OR($T$924 = TRUE, AND($W$924 = TRUE, $S$924 = FALSE))</formula>
    </cfRule>
  </conditionalFormatting>
  <conditionalFormatting sqref="W937">
    <cfRule type="expression" dxfId="1150" priority="1783">
      <formula>AND($R$937,$S$937)</formula>
    </cfRule>
  </conditionalFormatting>
  <conditionalFormatting sqref="W937">
    <cfRule type="expression" dxfId="1149" priority="1782">
      <formula>AND(IF($R$937,$W$937,TRUE),LEN(TRIM($W$937))&gt;0)</formula>
    </cfRule>
  </conditionalFormatting>
  <conditionalFormatting sqref="W937">
    <cfRule type="expression" dxfId="1148" priority="1781">
      <formula>OR($S$937 = FALSE, AND($P$937 = FALSE, ReportType &lt;&gt; "Final"), AND($Q$937 = FALSE, ReportType &lt;&gt; "Rough"))</formula>
    </cfRule>
  </conditionalFormatting>
  <conditionalFormatting sqref="W937">
    <cfRule type="expression" dxfId="1147" priority="1780">
      <formula>OR($T$937 = TRUE, AND($W$937 = TRUE, $S$937 = FALSE))</formula>
    </cfRule>
  </conditionalFormatting>
  <conditionalFormatting sqref="W946">
    <cfRule type="expression" dxfId="1146" priority="1775">
      <formula>AND($R$946,$S$946)</formula>
    </cfRule>
  </conditionalFormatting>
  <conditionalFormatting sqref="W946">
    <cfRule type="expression" dxfId="1145" priority="1774">
      <formula>AND(IF($R$946,$W$946,TRUE),LEN(TRIM($W$946))&gt;0)</formula>
    </cfRule>
  </conditionalFormatting>
  <conditionalFormatting sqref="W946">
    <cfRule type="expression" dxfId="1144" priority="1773">
      <formula>OR($S$946 = FALSE, AND($P$946 = FALSE, ReportType &lt;&gt; "Final"), AND($Q$946 = FALSE, ReportType &lt;&gt; "Rough"))</formula>
    </cfRule>
  </conditionalFormatting>
  <conditionalFormatting sqref="W946">
    <cfRule type="expression" dxfId="1143" priority="1772">
      <formula>OR($T$946 = TRUE, AND($W$946 = TRUE, $S$946 = FALSE))</formula>
    </cfRule>
  </conditionalFormatting>
  <conditionalFormatting sqref="W955">
    <cfRule type="expression" dxfId="1142" priority="1771">
      <formula>AND($R$955,$S$955)</formula>
    </cfRule>
  </conditionalFormatting>
  <conditionalFormatting sqref="W955">
    <cfRule type="expression" dxfId="1141" priority="1770">
      <formula>AND(IF($R$955,$W$955,TRUE),LEN(TRIM($W$955))&gt;0)</formula>
    </cfRule>
  </conditionalFormatting>
  <conditionalFormatting sqref="W955">
    <cfRule type="expression" dxfId="1140" priority="1769">
      <formula>OR($S$955 = FALSE, AND($P$955 = FALSE, ReportType &lt;&gt; "Final"), AND($Q$955 = FALSE, ReportType &lt;&gt; "Rough"))</formula>
    </cfRule>
  </conditionalFormatting>
  <conditionalFormatting sqref="W955">
    <cfRule type="expression" dxfId="1139" priority="1768">
      <formula>OR($T$955 = TRUE, AND($W$955 = TRUE, $S$955 = FALSE))</formula>
    </cfRule>
  </conditionalFormatting>
  <conditionalFormatting sqref="W969">
    <cfRule type="expression" dxfId="1138" priority="1763">
      <formula>AND($R$969,$S$969)</formula>
    </cfRule>
  </conditionalFormatting>
  <conditionalFormatting sqref="W969">
    <cfRule type="expression" dxfId="1137" priority="1762">
      <formula>AND($W$969&lt;&gt;"Not Met",LEN(TRIM($W$969))&gt;0)</formula>
    </cfRule>
  </conditionalFormatting>
  <conditionalFormatting sqref="W969">
    <cfRule type="expression" dxfId="1136" priority="1761">
      <formula>OR($S$969 = FALSE, AND($P$969 = FALSE, ReportType &lt;&gt; "Final"), AND($Q$969 = FALSE, ReportType &lt;&gt; "Rough"))</formula>
    </cfRule>
  </conditionalFormatting>
  <conditionalFormatting sqref="W969">
    <cfRule type="expression" dxfId="1135" priority="1760">
      <formula>OR($T$969 = TRUE, AND(LEN(TRIM($W$969))&gt;0, $S$969 = FALSE))</formula>
    </cfRule>
  </conditionalFormatting>
  <conditionalFormatting sqref="W977">
    <cfRule type="expression" dxfId="1134" priority="1759">
      <formula>AND($R$977,$S$977)</formula>
    </cfRule>
  </conditionalFormatting>
  <conditionalFormatting sqref="W977">
    <cfRule type="expression" dxfId="1133" priority="1758">
      <formula>AND($W$977&lt;&gt;"Not Met",LEN(TRIM($W$977))&gt;0)</formula>
    </cfRule>
  </conditionalFormatting>
  <conditionalFormatting sqref="W977">
    <cfRule type="expression" dxfId="1132" priority="1757">
      <formula>OR($S$977 = FALSE, AND($P$977 = FALSE, ReportType &lt;&gt; "Final"), AND($Q$977 = FALSE, ReportType &lt;&gt; "Rough"))</formula>
    </cfRule>
  </conditionalFormatting>
  <conditionalFormatting sqref="W977">
    <cfRule type="expression" dxfId="1131" priority="1756">
      <formula>OR($T$977 = TRUE, AND(LEN(TRIM($W$977))&gt;0, $S$977 = FALSE))</formula>
    </cfRule>
  </conditionalFormatting>
  <conditionalFormatting sqref="W985">
    <cfRule type="expression" dxfId="1130" priority="1755">
      <formula>AND($R$985,$S$985)</formula>
    </cfRule>
  </conditionalFormatting>
  <conditionalFormatting sqref="W985">
    <cfRule type="expression" dxfId="1129" priority="1754">
      <formula>AND($W$985&lt;&gt;"Not Met",LEN(TRIM($W$985))&gt;0)</formula>
    </cfRule>
  </conditionalFormatting>
  <conditionalFormatting sqref="W985">
    <cfRule type="expression" dxfId="1128" priority="1753">
      <formula>OR($S$985 = FALSE, AND($P$985 = FALSE, ReportType &lt;&gt; "Final"), AND($Q$985 = FALSE, ReportType &lt;&gt; "Rough"))</formula>
    </cfRule>
  </conditionalFormatting>
  <conditionalFormatting sqref="W985">
    <cfRule type="expression" dxfId="1127" priority="1752">
      <formula>OR($T$985 = TRUE, AND(LEN(TRIM($W$985))&gt;0, $S$985 = FALSE))</formula>
    </cfRule>
  </conditionalFormatting>
  <conditionalFormatting sqref="W995">
    <cfRule type="expression" dxfId="1126" priority="1751">
      <formula>AND($R$995,$S$995)</formula>
    </cfRule>
  </conditionalFormatting>
  <conditionalFormatting sqref="W995">
    <cfRule type="expression" dxfId="1125" priority="1750">
      <formula>AND($W$995&lt;&gt;"Not Met",LEN(TRIM($W$995))&gt;0)</formula>
    </cfRule>
  </conditionalFormatting>
  <conditionalFormatting sqref="W995">
    <cfRule type="expression" dxfId="1124" priority="1749">
      <formula>OR($S$995 = FALSE, AND($P$995 = FALSE, ReportType &lt;&gt; "Final"), AND($Q$995 = FALSE, ReportType &lt;&gt; "Rough"))</formula>
    </cfRule>
  </conditionalFormatting>
  <conditionalFormatting sqref="W995">
    <cfRule type="expression" dxfId="1123" priority="1748">
      <formula>OR($T$995 = TRUE, AND(LEN(TRIM($W$995))&gt;0, $S$995 = FALSE))</formula>
    </cfRule>
  </conditionalFormatting>
  <conditionalFormatting sqref="W1001">
    <cfRule type="expression" dxfId="1122" priority="1747">
      <formula>AND($R$1001,$S$1001)</formula>
    </cfRule>
  </conditionalFormatting>
  <conditionalFormatting sqref="W1001">
    <cfRule type="expression" dxfId="1121" priority="1746">
      <formula>AND($W$1001&lt;&gt;"Not Met",LEN(TRIM($W$1001))&gt;0)</formula>
    </cfRule>
  </conditionalFormatting>
  <conditionalFormatting sqref="W1001">
    <cfRule type="expression" dxfId="1120" priority="1745">
      <formula>OR($S$1001 = FALSE, AND($P$1001 = FALSE, ReportType &lt;&gt; "Final"), AND($Q$1001 = FALSE, ReportType &lt;&gt; "Rough"))</formula>
    </cfRule>
  </conditionalFormatting>
  <conditionalFormatting sqref="W1001">
    <cfRule type="expression" dxfId="1119" priority="1744">
      <formula>OR($T$1001 = TRUE, AND(LEN(TRIM($W$1001))&gt;0, $S$1001 = FALSE))</formula>
    </cfRule>
  </conditionalFormatting>
  <conditionalFormatting sqref="W1007">
    <cfRule type="expression" dxfId="1118" priority="1743">
      <formula>AND($R$1007,$S$1007)</formula>
    </cfRule>
  </conditionalFormatting>
  <conditionalFormatting sqref="W1007">
    <cfRule type="expression" dxfId="1117" priority="1742">
      <formula>AND(IF($R$1007,$W$1007,TRUE),LEN(TRIM($W$1007))&gt;0)</formula>
    </cfRule>
  </conditionalFormatting>
  <conditionalFormatting sqref="W1007">
    <cfRule type="expression" dxfId="1116" priority="1741">
      <formula>OR($S$1007 = FALSE, AND($P$1007 = FALSE, ReportType &lt;&gt; "Final"), AND($Q$1007 = FALSE, ReportType &lt;&gt; "Rough"))</formula>
    </cfRule>
  </conditionalFormatting>
  <conditionalFormatting sqref="W1007">
    <cfRule type="expression" dxfId="1115" priority="1740">
      <formula>OR($T$1007 = TRUE, AND($W$1007 = TRUE, $S$1007 = FALSE))</formula>
    </cfRule>
  </conditionalFormatting>
  <conditionalFormatting sqref="W1048">
    <cfRule type="expression" dxfId="1114" priority="1739">
      <formula>AND($R$1048,$S$1048)</formula>
    </cfRule>
  </conditionalFormatting>
  <conditionalFormatting sqref="W1048">
    <cfRule type="expression" dxfId="1113" priority="1738">
      <formula>AND(IF($R$1048,$W$1048,TRUE),LEN(TRIM($W$1048))&gt;0)</formula>
    </cfRule>
  </conditionalFormatting>
  <conditionalFormatting sqref="W1048">
    <cfRule type="expression" dxfId="1112" priority="1737">
      <formula>OR($S$1048 = FALSE, AND($P$1048 = FALSE, ReportType &lt;&gt; "Final"), AND($Q$1048 = FALSE, ReportType &lt;&gt; "Rough"))</formula>
    </cfRule>
  </conditionalFormatting>
  <conditionalFormatting sqref="W1048">
    <cfRule type="expression" dxfId="1111" priority="1736">
      <formula>OR($T$1048 = TRUE, AND($W$1048 = TRUE, $S$1048 = FALSE))</formula>
    </cfRule>
  </conditionalFormatting>
  <conditionalFormatting sqref="W1051">
    <cfRule type="expression" dxfId="1110" priority="1735">
      <formula>AND($R$1051,$S$1051)</formula>
    </cfRule>
  </conditionalFormatting>
  <conditionalFormatting sqref="W1051">
    <cfRule type="expression" dxfId="1109" priority="1734">
      <formula>AND(IF($R$1051,$W$1051,TRUE),LEN(TRIM($W$1051))&gt;0)</formula>
    </cfRule>
  </conditionalFormatting>
  <conditionalFormatting sqref="W1051">
    <cfRule type="expression" dxfId="1108" priority="1733">
      <formula>OR($S$1051 = FALSE, AND($P$1051 = FALSE, ReportType &lt;&gt; "Final"), AND($Q$1051 = FALSE, ReportType &lt;&gt; "Rough"))</formula>
    </cfRule>
  </conditionalFormatting>
  <conditionalFormatting sqref="W1051">
    <cfRule type="expression" dxfId="1107" priority="1732">
      <formula>OR($T$1051 = TRUE, AND($W$1051 = TRUE, $S$1051 = FALSE))</formula>
    </cfRule>
  </conditionalFormatting>
  <conditionalFormatting sqref="W1061">
    <cfRule type="expression" dxfId="1106" priority="1731">
      <formula>AND($R$1061,$S$1061)</formula>
    </cfRule>
  </conditionalFormatting>
  <conditionalFormatting sqref="W1061">
    <cfRule type="expression" dxfId="1105" priority="1730">
      <formula>AND(IF($R$1061,$W$1061,TRUE),LEN(TRIM($W$1061))&gt;0)</formula>
    </cfRule>
  </conditionalFormatting>
  <conditionalFormatting sqref="W1061">
    <cfRule type="expression" dxfId="1104" priority="1729">
      <formula>OR($S$1061 = FALSE, AND($P$1061 = FALSE, ReportType &lt;&gt; "Final"), AND($Q$1061 = FALSE, ReportType &lt;&gt; "Rough"))</formula>
    </cfRule>
  </conditionalFormatting>
  <conditionalFormatting sqref="W1061">
    <cfRule type="expression" dxfId="1103" priority="1728">
      <formula>OR($T$1061 = TRUE, AND($W$1061 = TRUE, $S$1061 = FALSE))</formula>
    </cfRule>
  </conditionalFormatting>
  <conditionalFormatting sqref="W1068">
    <cfRule type="expression" dxfId="1102" priority="1727">
      <formula>AND($R$1068,$S$1068)</formula>
    </cfRule>
  </conditionalFormatting>
  <conditionalFormatting sqref="W1068">
    <cfRule type="expression" dxfId="1101" priority="1726">
      <formula>AND(IF($R$1068,$W$1068,TRUE),LEN(TRIM($W$1068))&gt;0)</formula>
    </cfRule>
  </conditionalFormatting>
  <conditionalFormatting sqref="W1068">
    <cfRule type="expression" dxfId="1100" priority="1725">
      <formula>OR($S$1068 = FALSE, AND($P$1068 = FALSE, ReportType &lt;&gt; "Final"), AND($Q$1068 = FALSE, ReportType &lt;&gt; "Rough"))</formula>
    </cfRule>
  </conditionalFormatting>
  <conditionalFormatting sqref="W1068">
    <cfRule type="expression" dxfId="1099" priority="1724">
      <formula>OR($T$1068 = TRUE, AND($W$1068 = TRUE, $S$1068 = FALSE))</formula>
    </cfRule>
  </conditionalFormatting>
  <conditionalFormatting sqref="W1074">
    <cfRule type="expression" dxfId="1098" priority="1723">
      <formula>AND($R$1074,$S$1074)</formula>
    </cfRule>
  </conditionalFormatting>
  <conditionalFormatting sqref="W1074">
    <cfRule type="expression" dxfId="1097" priority="1722">
      <formula>AND(IF($R$1074,$W$1074,TRUE),LEN(TRIM($W$1074))&gt;0)</formula>
    </cfRule>
  </conditionalFormatting>
  <conditionalFormatting sqref="W1074">
    <cfRule type="expression" dxfId="1096" priority="1721">
      <formula>OR($S$1074 = FALSE, AND($P$1074 = FALSE, ReportType &lt;&gt; "Final"), AND($Q$1074 = FALSE, ReportType &lt;&gt; "Rough"))</formula>
    </cfRule>
  </conditionalFormatting>
  <conditionalFormatting sqref="W1074">
    <cfRule type="expression" dxfId="1095" priority="1720">
      <formula>OR($T$1074 = TRUE, AND($W$1074 = TRUE, $S$1074 = FALSE))</formula>
    </cfRule>
  </conditionalFormatting>
  <conditionalFormatting sqref="W1076">
    <cfRule type="expression" dxfId="1094" priority="1719">
      <formula>AND($R$1076,$S$1076)</formula>
    </cfRule>
  </conditionalFormatting>
  <conditionalFormatting sqref="W1076">
    <cfRule type="expression" dxfId="1093" priority="1718">
      <formula>AND(IF($R$1076,$W$1076,TRUE),LEN(TRIM($W$1076))&gt;0)</formula>
    </cfRule>
  </conditionalFormatting>
  <conditionalFormatting sqref="W1076">
    <cfRule type="expression" dxfId="1092" priority="1717">
      <formula>OR($S$1076 = FALSE, AND($P$1076 = FALSE, ReportType &lt;&gt; "Final"), AND($Q$1076 = FALSE, ReportType &lt;&gt; "Rough"))</formula>
    </cfRule>
  </conditionalFormatting>
  <conditionalFormatting sqref="W1076">
    <cfRule type="expression" dxfId="1091" priority="1716">
      <formula>OR($T$1076 = TRUE, AND($W$1076 = TRUE, $S$1076 = FALSE))</formula>
    </cfRule>
  </conditionalFormatting>
  <conditionalFormatting sqref="W1079">
    <cfRule type="expression" dxfId="1090" priority="1715">
      <formula>AND($R$1079,$S$1079)</formula>
    </cfRule>
  </conditionalFormatting>
  <conditionalFormatting sqref="W1079">
    <cfRule type="expression" dxfId="1089" priority="1714">
      <formula>AND(IF($R$1079,$W$1079,TRUE),LEN(TRIM($W$1079))&gt;0)</formula>
    </cfRule>
  </conditionalFormatting>
  <conditionalFormatting sqref="W1079">
    <cfRule type="expression" dxfId="1088" priority="1713">
      <formula>OR($S$1079 = FALSE, AND($P$1079 = FALSE, ReportType &lt;&gt; "Final"), AND($Q$1079 = FALSE, ReportType &lt;&gt; "Rough"))</formula>
    </cfRule>
  </conditionalFormatting>
  <conditionalFormatting sqref="W1079">
    <cfRule type="expression" dxfId="1087" priority="1712">
      <formula>OR($T$1079 = TRUE, AND($W$1079 = TRUE, $S$1079 = FALSE))</formula>
    </cfRule>
  </conditionalFormatting>
  <conditionalFormatting sqref="W1080">
    <cfRule type="expression" dxfId="1086" priority="1711">
      <formula>AND($R$1080,$S$1080)</formula>
    </cfRule>
  </conditionalFormatting>
  <conditionalFormatting sqref="W1080">
    <cfRule type="expression" dxfId="1085" priority="1710">
      <formula>AND(IF($R$1080,$W$1080,TRUE),LEN(TRIM($W$1080))&gt;0)</formula>
    </cfRule>
  </conditionalFormatting>
  <conditionalFormatting sqref="W1080">
    <cfRule type="expression" dxfId="1084" priority="1709">
      <formula>OR($S$1080 = FALSE, AND($P$1080 = FALSE, ReportType &lt;&gt; "Final"), AND($Q$1080 = FALSE, ReportType &lt;&gt; "Rough"))</formula>
    </cfRule>
  </conditionalFormatting>
  <conditionalFormatting sqref="W1080">
    <cfRule type="expression" dxfId="1083" priority="1708">
      <formula>OR($T$1080 = TRUE, AND($W$1080 = TRUE, $S$1080 = FALSE))</formula>
    </cfRule>
  </conditionalFormatting>
  <conditionalFormatting sqref="W1082">
    <cfRule type="expression" dxfId="1082" priority="1707">
      <formula>AND($R$1082,$S$1082)</formula>
    </cfRule>
  </conditionalFormatting>
  <conditionalFormatting sqref="W1082">
    <cfRule type="expression" dxfId="1081" priority="1706">
      <formula>AND(IF($R$1082,$W$1082,TRUE),LEN(TRIM($W$1082))&gt;0)</formula>
    </cfRule>
  </conditionalFormatting>
  <conditionalFormatting sqref="W1082">
    <cfRule type="expression" dxfId="1080" priority="1705">
      <formula>OR($S$1082 = FALSE, AND($P$1082 = FALSE, ReportType &lt;&gt; "Final"), AND($Q$1082 = FALSE, ReportType &lt;&gt; "Rough"))</formula>
    </cfRule>
  </conditionalFormatting>
  <conditionalFormatting sqref="W1082">
    <cfRule type="expression" dxfId="1079" priority="1704">
      <formula>OR($T$1082 = TRUE, AND($W$1082 = TRUE, $S$1082 = FALSE))</formula>
    </cfRule>
  </conditionalFormatting>
  <conditionalFormatting sqref="W1084">
    <cfRule type="expression" dxfId="1078" priority="1703">
      <formula>AND($R$1084,$S$1084)</formula>
    </cfRule>
  </conditionalFormatting>
  <conditionalFormatting sqref="W1084">
    <cfRule type="expression" dxfId="1077" priority="1702">
      <formula>AND($W$1084&lt;&gt;"Not Met",LEN(TRIM($W$1084))&gt;0)</formula>
    </cfRule>
  </conditionalFormatting>
  <conditionalFormatting sqref="W1084">
    <cfRule type="expression" dxfId="1076" priority="1701">
      <formula>OR($S$1084 = FALSE, AND($P$1084 = FALSE, ReportType &lt;&gt; "Final"), AND($Q$1084 = FALSE, ReportType &lt;&gt; "Rough"))</formula>
    </cfRule>
  </conditionalFormatting>
  <conditionalFormatting sqref="W1084">
    <cfRule type="expression" dxfId="1075" priority="1700">
      <formula>OR($T$1084 = TRUE, AND(LEN(TRIM($W$1084))&gt;0, $S$1084 = FALSE))</formula>
    </cfRule>
  </conditionalFormatting>
  <conditionalFormatting sqref="W1095">
    <cfRule type="expression" dxfId="1074" priority="1699">
      <formula>AND($R$1095,$S$1095)</formula>
    </cfRule>
  </conditionalFormatting>
  <conditionalFormatting sqref="W1095">
    <cfRule type="expression" dxfId="1073" priority="1698">
      <formula>AND($W$1095&lt;&gt;"Not Met",LEN(TRIM($W$1095))&gt;0)</formula>
    </cfRule>
  </conditionalFormatting>
  <conditionalFormatting sqref="W1095">
    <cfRule type="expression" dxfId="1072" priority="1697">
      <formula>OR($S$1095 = FALSE, AND($P$1095 = FALSE, ReportType &lt;&gt; "Final"), AND($Q$1095 = FALSE, ReportType &lt;&gt; "Rough"))</formula>
    </cfRule>
  </conditionalFormatting>
  <conditionalFormatting sqref="W1095">
    <cfRule type="expression" dxfId="1071" priority="1696">
      <formula>OR($T$1095 = TRUE, AND(LEN(TRIM($W$1095))&gt;0, $S$1095 = FALSE))</formula>
    </cfRule>
  </conditionalFormatting>
  <conditionalFormatting sqref="W1112">
    <cfRule type="expression" dxfId="1070" priority="1695">
      <formula>AND($R$1112,$S$1112)</formula>
    </cfRule>
  </conditionalFormatting>
  <conditionalFormatting sqref="W1112">
    <cfRule type="expression" dxfId="1069" priority="1694">
      <formula>AND(IF($R$1112,$W$1112,TRUE),LEN(TRIM($W$1112))&gt;0)</formula>
    </cfRule>
  </conditionalFormatting>
  <conditionalFormatting sqref="W1112">
    <cfRule type="expression" dxfId="1068" priority="1693">
      <formula>OR($S$1112 = FALSE, AND($P$1112 = FALSE, ReportType &lt;&gt; "Final"), AND($Q$1112 = FALSE, ReportType &lt;&gt; "Rough"))</formula>
    </cfRule>
  </conditionalFormatting>
  <conditionalFormatting sqref="W1112">
    <cfRule type="expression" dxfId="1067" priority="1692">
      <formula>OR($T$1112 = TRUE, AND($W$1112 = TRUE, $S$1112 = FALSE))</formula>
    </cfRule>
  </conditionalFormatting>
  <conditionalFormatting sqref="W1114">
    <cfRule type="expression" dxfId="1066" priority="1691">
      <formula>AND($R$1114,$S$1114)</formula>
    </cfRule>
  </conditionalFormatting>
  <conditionalFormatting sqref="W1114">
    <cfRule type="expression" dxfId="1065" priority="1690">
      <formula>AND(IF($R$1114,$W$1114,TRUE),LEN(TRIM($W$1114))&gt;0)</formula>
    </cfRule>
  </conditionalFormatting>
  <conditionalFormatting sqref="W1114">
    <cfRule type="expression" dxfId="1064" priority="1689">
      <formula>OR($S$1114 = FALSE, AND($P$1114 = FALSE, ReportType &lt;&gt; "Final"), AND($Q$1114 = FALSE, ReportType &lt;&gt; "Rough"))</formula>
    </cfRule>
  </conditionalFormatting>
  <conditionalFormatting sqref="W1114">
    <cfRule type="expression" dxfId="1063" priority="1688">
      <formula>OR($T$1114 = TRUE, AND($W$1114 = TRUE, $S$1114 = FALSE))</formula>
    </cfRule>
  </conditionalFormatting>
  <conditionalFormatting sqref="W1116">
    <cfRule type="expression" dxfId="1062" priority="1687">
      <formula>AND($R$1116,$S$1116)</formula>
    </cfRule>
  </conditionalFormatting>
  <conditionalFormatting sqref="W1116">
    <cfRule type="expression" dxfId="1061" priority="1686">
      <formula>AND(IF($R$1116,$W$1116,TRUE),LEN(TRIM($W$1116))&gt;0)</formula>
    </cfRule>
  </conditionalFormatting>
  <conditionalFormatting sqref="W1116">
    <cfRule type="expression" dxfId="1060" priority="1685">
      <formula>OR($S$1116 = FALSE, AND($P$1116 = FALSE, ReportType &lt;&gt; "Final"), AND($Q$1116 = FALSE, ReportType &lt;&gt; "Rough"))</formula>
    </cfRule>
  </conditionalFormatting>
  <conditionalFormatting sqref="W1116">
    <cfRule type="expression" dxfId="1059" priority="1684">
      <formula>OR($T$1116 = TRUE, AND($W$1116 = TRUE, $S$1116 = FALSE))</formula>
    </cfRule>
  </conditionalFormatting>
  <conditionalFormatting sqref="W1128">
    <cfRule type="expression" dxfId="1058" priority="1683">
      <formula>AND($R$1128,$S$1128)</formula>
    </cfRule>
  </conditionalFormatting>
  <conditionalFormatting sqref="W1128">
    <cfRule type="expression" dxfId="1057" priority="1682">
      <formula>AND(IF($R$1128,$W$1128,TRUE),LEN(TRIM($W$1128))&gt;0)</formula>
    </cfRule>
  </conditionalFormatting>
  <conditionalFormatting sqref="W1128">
    <cfRule type="expression" dxfId="1056" priority="1681">
      <formula>OR($S$1128 = FALSE, AND($P$1128 = FALSE, ReportType &lt;&gt; "Final"), AND($Q$1128 = FALSE, ReportType &lt;&gt; "Rough"))</formula>
    </cfRule>
  </conditionalFormatting>
  <conditionalFormatting sqref="W1128">
    <cfRule type="expression" dxfId="1055" priority="1680">
      <formula>OR($T$1128 = TRUE, AND($W$1128 = TRUE, $S$1128 = FALSE))</formula>
    </cfRule>
  </conditionalFormatting>
  <conditionalFormatting sqref="W1130">
    <cfRule type="expression" dxfId="1054" priority="1679">
      <formula>AND($R$1130,$S$1130)</formula>
    </cfRule>
  </conditionalFormatting>
  <conditionalFormatting sqref="W1130">
    <cfRule type="expression" dxfId="1053" priority="1678">
      <formula>AND(IF($R$1130,$W$1130,TRUE),LEN(TRIM($W$1130))&gt;0)</formula>
    </cfRule>
  </conditionalFormatting>
  <conditionalFormatting sqref="W1130">
    <cfRule type="expression" dxfId="1052" priority="1677">
      <formula>OR($S$1130 = FALSE, AND($P$1130 = FALSE, ReportType &lt;&gt; "Final"), AND($Q$1130 = FALSE, ReportType &lt;&gt; "Rough"))</formula>
    </cfRule>
  </conditionalFormatting>
  <conditionalFormatting sqref="W1130">
    <cfRule type="expression" dxfId="1051" priority="1676">
      <formula>OR($T$1130 = TRUE, AND($W$1130 = TRUE, $S$1130 = FALSE))</formula>
    </cfRule>
  </conditionalFormatting>
  <conditionalFormatting sqref="W1132">
    <cfRule type="expression" dxfId="1050" priority="1675">
      <formula>AND($R$1132,$S$1132)</formula>
    </cfRule>
  </conditionalFormatting>
  <conditionalFormatting sqref="W1132">
    <cfRule type="expression" dxfId="1049" priority="1674">
      <formula>AND(IF($R$1132,$W$1132,TRUE),LEN(TRIM($W$1132))&gt;0)</formula>
    </cfRule>
  </conditionalFormatting>
  <conditionalFormatting sqref="W1132">
    <cfRule type="expression" dxfId="1048" priority="1673">
      <formula>OR($S$1132 = FALSE, AND($P$1132 = FALSE, ReportType &lt;&gt; "Final"), AND($Q$1132 = FALSE, ReportType &lt;&gt; "Rough"))</formula>
    </cfRule>
  </conditionalFormatting>
  <conditionalFormatting sqref="W1132">
    <cfRule type="expression" dxfId="1047" priority="1672">
      <formula>OR($T$1132 = TRUE, AND($W$1132 = TRUE, $S$1132 = FALSE))</formula>
    </cfRule>
  </conditionalFormatting>
  <conditionalFormatting sqref="W1135">
    <cfRule type="expression" dxfId="1046" priority="1671">
      <formula>AND($R$1135,$S$1135)</formula>
    </cfRule>
  </conditionalFormatting>
  <conditionalFormatting sqref="W1135">
    <cfRule type="expression" dxfId="1045" priority="1670">
      <formula>AND(IF($R$1135,$W$1135,TRUE),LEN(TRIM($W$1135))&gt;0)</formula>
    </cfRule>
  </conditionalFormatting>
  <conditionalFormatting sqref="W1135">
    <cfRule type="expression" dxfId="1044" priority="1669">
      <formula>OR($S$1135 = FALSE, AND($P$1135 = FALSE, ReportType &lt;&gt; "Final"), AND($Q$1135 = FALSE, ReportType &lt;&gt; "Rough"))</formula>
    </cfRule>
  </conditionalFormatting>
  <conditionalFormatting sqref="W1135">
    <cfRule type="expression" dxfId="1043" priority="1668">
      <formula>OR($T$1135 = TRUE, AND($W$1135 = TRUE, $S$1135 = FALSE))</formula>
    </cfRule>
  </conditionalFormatting>
  <conditionalFormatting sqref="W1136">
    <cfRule type="expression" dxfId="1042" priority="1667">
      <formula>AND($R$1136,$S$1136)</formula>
    </cfRule>
  </conditionalFormatting>
  <conditionalFormatting sqref="W1136">
    <cfRule type="expression" dxfId="1041" priority="1666">
      <formula>AND(IF($R$1136,$W$1136,TRUE),LEN(TRIM($W$1136))&gt;0)</formula>
    </cfRule>
  </conditionalFormatting>
  <conditionalFormatting sqref="W1136">
    <cfRule type="expression" dxfId="1040" priority="1665">
      <formula>OR($S$1136 = FALSE, AND($P$1136 = FALSE, ReportType &lt;&gt; "Final"), AND($Q$1136 = FALSE, ReportType &lt;&gt; "Rough"))</formula>
    </cfRule>
  </conditionalFormatting>
  <conditionalFormatting sqref="W1136">
    <cfRule type="expression" dxfId="1039" priority="1664">
      <formula>OR($T$1136 = TRUE, AND($W$1136 = TRUE, $S$1136 = FALSE))</formula>
    </cfRule>
  </conditionalFormatting>
  <conditionalFormatting sqref="W1137">
    <cfRule type="expression" dxfId="1038" priority="1663">
      <formula>AND($R$1137,$S$1137)</formula>
    </cfRule>
  </conditionalFormatting>
  <conditionalFormatting sqref="W1137">
    <cfRule type="expression" dxfId="1037" priority="1662">
      <formula>AND(IF($R$1137,$W$1137,TRUE),LEN(TRIM($W$1137))&gt;0)</formula>
    </cfRule>
  </conditionalFormatting>
  <conditionalFormatting sqref="W1137">
    <cfRule type="expression" dxfId="1036" priority="1661">
      <formula>OR($S$1137 = FALSE, AND($P$1137 = FALSE, ReportType &lt;&gt; "Final"), AND($Q$1137 = FALSE, ReportType &lt;&gt; "Rough"))</formula>
    </cfRule>
  </conditionalFormatting>
  <conditionalFormatting sqref="W1137">
    <cfRule type="expression" dxfId="1035" priority="1660">
      <formula>OR($T$1137 = TRUE, AND($W$1137 = TRUE, $S$1137 = FALSE))</formula>
    </cfRule>
  </conditionalFormatting>
  <conditionalFormatting sqref="W1140">
    <cfRule type="expression" dxfId="1034" priority="1659">
      <formula>AND($R$1140,$S$1140)</formula>
    </cfRule>
  </conditionalFormatting>
  <conditionalFormatting sqref="W1140">
    <cfRule type="expression" dxfId="1033" priority="1658">
      <formula>AND(IF($R$1140,$W$1140,TRUE),LEN(TRIM($W$1140))&gt;0)</formula>
    </cfRule>
  </conditionalFormatting>
  <conditionalFormatting sqref="W1140">
    <cfRule type="expression" dxfId="1032" priority="1657">
      <formula>OR($S$1140 = FALSE, AND($P$1140 = FALSE, ReportType &lt;&gt; "Final"), AND($Q$1140 = FALSE, ReportType &lt;&gt; "Rough"))</formula>
    </cfRule>
  </conditionalFormatting>
  <conditionalFormatting sqref="W1140">
    <cfRule type="expression" dxfId="1031" priority="1656">
      <formula>OR($T$1140 = TRUE, AND($W$1140 = TRUE, $S$1140 = FALSE))</formula>
    </cfRule>
  </conditionalFormatting>
  <conditionalFormatting sqref="W1168">
    <cfRule type="expression" dxfId="1030" priority="1655">
      <formula>AND($R$1168,$S$1168)</formula>
    </cfRule>
  </conditionalFormatting>
  <conditionalFormatting sqref="W1168">
    <cfRule type="expression" dxfId="1029" priority="1654">
      <formula>AND(IF($R$1168,$W$1168,TRUE),LEN(TRIM($W$1168))&gt;0)</formula>
    </cfRule>
  </conditionalFormatting>
  <conditionalFormatting sqref="W1168">
    <cfRule type="expression" dxfId="1028" priority="1653">
      <formula>OR($S$1168 = FALSE, AND($P$1168 = FALSE, ReportType &lt;&gt; "Final"), AND($Q$1168 = FALSE, ReportType &lt;&gt; "Rough"))</formula>
    </cfRule>
  </conditionalFormatting>
  <conditionalFormatting sqref="W1168">
    <cfRule type="expression" dxfId="1027" priority="1652">
      <formula>OR($T$1168 = TRUE, AND($W$1168 = TRUE, $S$1168 = FALSE))</formula>
    </cfRule>
  </conditionalFormatting>
  <conditionalFormatting sqref="W1176">
    <cfRule type="expression" dxfId="1026" priority="1651">
      <formula>AND($R$1176,$S$1176)</formula>
    </cfRule>
  </conditionalFormatting>
  <conditionalFormatting sqref="W1176">
    <cfRule type="expression" dxfId="1025" priority="1650">
      <formula>AND(IF($R$1176,$W$1176,TRUE),LEN(TRIM($W$1176))&gt;0)</formula>
    </cfRule>
  </conditionalFormatting>
  <conditionalFormatting sqref="W1176">
    <cfRule type="expression" dxfId="1024" priority="1649">
      <formula>OR($S$1176 = FALSE, AND($P$1176 = FALSE, ReportType &lt;&gt; "Final"), AND($Q$1176 = FALSE, ReportType &lt;&gt; "Rough"))</formula>
    </cfRule>
  </conditionalFormatting>
  <conditionalFormatting sqref="W1176">
    <cfRule type="expression" dxfId="1023" priority="1648">
      <formula>OR($T$1176 = TRUE, AND($W$1176 = TRUE, $S$1176 = FALSE))</formula>
    </cfRule>
  </conditionalFormatting>
  <conditionalFormatting sqref="W1178">
    <cfRule type="expression" dxfId="1022" priority="1647">
      <formula>AND($R$1178,$S$1178)</formula>
    </cfRule>
  </conditionalFormatting>
  <conditionalFormatting sqref="W1178">
    <cfRule type="expression" dxfId="1021" priority="1646">
      <formula>AND(IF($R$1178,$W$1178,TRUE),LEN(TRIM($W$1178))&gt;0)</formula>
    </cfRule>
  </conditionalFormatting>
  <conditionalFormatting sqref="W1178">
    <cfRule type="expression" dxfId="1020" priority="1645">
      <formula>OR($S$1178 = FALSE, AND($P$1178 = FALSE, ReportType &lt;&gt; "Final"), AND($Q$1178 = FALSE, ReportType &lt;&gt; "Rough"))</formula>
    </cfRule>
  </conditionalFormatting>
  <conditionalFormatting sqref="W1178">
    <cfRule type="expression" dxfId="1019" priority="1644">
      <formula>OR($T$1178 = TRUE, AND($W$1178 = TRUE, $S$1178 = FALSE))</formula>
    </cfRule>
  </conditionalFormatting>
  <conditionalFormatting sqref="W1179">
    <cfRule type="expression" dxfId="1018" priority="1643">
      <formula>AND($R$1179,$S$1179)</formula>
    </cfRule>
  </conditionalFormatting>
  <conditionalFormatting sqref="W1179">
    <cfRule type="expression" dxfId="1017" priority="1642">
      <formula>AND(IF($R$1179,$W$1179,TRUE),LEN(TRIM($W$1179))&gt;0)</formula>
    </cfRule>
  </conditionalFormatting>
  <conditionalFormatting sqref="W1179">
    <cfRule type="expression" dxfId="1016" priority="1641">
      <formula>OR($S$1179 = FALSE, AND($P$1179 = FALSE, ReportType &lt;&gt; "Final"), AND($Q$1179 = FALSE, ReportType &lt;&gt; "Rough"))</formula>
    </cfRule>
  </conditionalFormatting>
  <conditionalFormatting sqref="W1179">
    <cfRule type="expression" dxfId="1015" priority="1640">
      <formula>OR($T$1179 = TRUE, AND($W$1179 = TRUE, $S$1179 = FALSE))</formula>
    </cfRule>
  </conditionalFormatting>
  <conditionalFormatting sqref="W1180">
    <cfRule type="expression" dxfId="1014" priority="1639">
      <formula>AND($R$1180,$S$1180)</formula>
    </cfRule>
  </conditionalFormatting>
  <conditionalFormatting sqref="W1180">
    <cfRule type="expression" dxfId="1013" priority="1638">
      <formula>AND(IF($R$1180,$W$1180,TRUE),LEN(TRIM($W$1180))&gt;0)</formula>
    </cfRule>
  </conditionalFormatting>
  <conditionalFormatting sqref="W1180">
    <cfRule type="expression" dxfId="1012" priority="1637">
      <formula>OR($S$1180 = FALSE, AND($P$1180 = FALSE, ReportType &lt;&gt; "Final"), AND($Q$1180 = FALSE, ReportType &lt;&gt; "Rough"))</formula>
    </cfRule>
  </conditionalFormatting>
  <conditionalFormatting sqref="W1180">
    <cfRule type="expression" dxfId="1011" priority="1636">
      <formula>OR($T$1180 = TRUE, AND($W$1180 = TRUE, $S$1180 = FALSE))</formula>
    </cfRule>
  </conditionalFormatting>
  <conditionalFormatting sqref="W1182">
    <cfRule type="expression" dxfId="1010" priority="1635">
      <formula>AND($R$1182,$S$1182)</formula>
    </cfRule>
  </conditionalFormatting>
  <conditionalFormatting sqref="W1182">
    <cfRule type="expression" dxfId="1009" priority="1634">
      <formula>AND(IF($R$1182,$W$1182,TRUE),LEN(TRIM($W$1182))&gt;0)</formula>
    </cfRule>
  </conditionalFormatting>
  <conditionalFormatting sqref="W1182">
    <cfRule type="expression" dxfId="1008" priority="1633">
      <formula>OR($S$1182 = FALSE, AND($P$1182 = FALSE, ReportType &lt;&gt; "Final"), AND($Q$1182 = FALSE, ReportType &lt;&gt; "Rough"))</formula>
    </cfRule>
  </conditionalFormatting>
  <conditionalFormatting sqref="W1182">
    <cfRule type="expression" dxfId="1007" priority="1632">
      <formula>OR($T$1182 = TRUE, AND($W$1182 = TRUE, $S$1182 = FALSE))</formula>
    </cfRule>
  </conditionalFormatting>
  <conditionalFormatting sqref="W1185">
    <cfRule type="expression" dxfId="1006" priority="1631">
      <formula>AND($R$1185,$S$1185)</formula>
    </cfRule>
  </conditionalFormatting>
  <conditionalFormatting sqref="W1185">
    <cfRule type="expression" dxfId="1005" priority="1630">
      <formula>AND(IF($R$1185,$W$1185,TRUE),LEN(TRIM($W$1185))&gt;0)</formula>
    </cfRule>
  </conditionalFormatting>
  <conditionalFormatting sqref="W1185">
    <cfRule type="expression" dxfId="1004" priority="1629">
      <formula>OR($S$1185 = FALSE, AND($P$1185 = FALSE, ReportType &lt;&gt; "Final"), AND($Q$1185 = FALSE, ReportType &lt;&gt; "Rough"))</formula>
    </cfRule>
  </conditionalFormatting>
  <conditionalFormatting sqref="W1185">
    <cfRule type="expression" dxfId="1003" priority="1628">
      <formula>OR($T$1185 = TRUE, AND($W$1185 = TRUE, $S$1185 = FALSE))</formula>
    </cfRule>
  </conditionalFormatting>
  <conditionalFormatting sqref="W1186">
    <cfRule type="expression" dxfId="1002" priority="1627">
      <formula>AND($R$1186,$S$1186)</formula>
    </cfRule>
  </conditionalFormatting>
  <conditionalFormatting sqref="W1186">
    <cfRule type="expression" dxfId="1001" priority="1626">
      <formula>AND(IF($R$1186,$W$1186,TRUE),LEN(TRIM($W$1186))&gt;0)</formula>
    </cfRule>
  </conditionalFormatting>
  <conditionalFormatting sqref="W1186">
    <cfRule type="expression" dxfId="1000" priority="1625">
      <formula>OR($S$1186 = FALSE, AND($P$1186 = FALSE, ReportType &lt;&gt; "Final"), AND($Q$1186 = FALSE, ReportType &lt;&gt; "Rough"))</formula>
    </cfRule>
  </conditionalFormatting>
  <conditionalFormatting sqref="W1186">
    <cfRule type="expression" dxfId="999" priority="1624">
      <formula>OR($T$1186 = TRUE, AND($W$1186 = TRUE, $S$1186 = FALSE))</formula>
    </cfRule>
  </conditionalFormatting>
  <conditionalFormatting sqref="W1191">
    <cfRule type="expression" dxfId="998" priority="1623">
      <formula>AND($R$1191,$S$1191)</formula>
    </cfRule>
  </conditionalFormatting>
  <conditionalFormatting sqref="W1191">
    <cfRule type="expression" dxfId="997" priority="1622">
      <formula>AND(IF($R$1191,$W$1191,TRUE),LEN(TRIM($W$1191))&gt;0)</formula>
    </cfRule>
  </conditionalFormatting>
  <conditionalFormatting sqref="W1191">
    <cfRule type="expression" dxfId="996" priority="1621">
      <formula>OR($S$1191 = FALSE, AND($P$1191 = FALSE, ReportType &lt;&gt; "Final"), AND($Q$1191 = FALSE, ReportType &lt;&gt; "Rough"))</formula>
    </cfRule>
  </conditionalFormatting>
  <conditionalFormatting sqref="W1191">
    <cfRule type="expression" dxfId="995" priority="1620">
      <formula>OR($T$1191 = TRUE, AND($W$1191 = TRUE, $S$1191 = FALSE))</formula>
    </cfRule>
  </conditionalFormatting>
  <conditionalFormatting sqref="W1193">
    <cfRule type="expression" dxfId="994" priority="1619">
      <formula>AND($R$1193,$S$1193)</formula>
    </cfRule>
  </conditionalFormatting>
  <conditionalFormatting sqref="W1193">
    <cfRule type="expression" dxfId="993" priority="1618">
      <formula>AND(IF($R$1193,$W$1193,TRUE),LEN(TRIM($W$1193))&gt;0)</formula>
    </cfRule>
  </conditionalFormatting>
  <conditionalFormatting sqref="W1193">
    <cfRule type="expression" dxfId="992" priority="1617">
      <formula>OR($S$1193 = FALSE, AND($P$1193 = FALSE, ReportType &lt;&gt; "Final"), AND($Q$1193 = FALSE, ReportType &lt;&gt; "Rough"))</formula>
    </cfRule>
  </conditionalFormatting>
  <conditionalFormatting sqref="W1193">
    <cfRule type="expression" dxfId="991" priority="1616">
      <formula>OR($T$1193 = TRUE, AND($W$1193 = TRUE, $S$1193 = FALSE))</formula>
    </cfRule>
  </conditionalFormatting>
  <conditionalFormatting sqref="W1195">
    <cfRule type="expression" dxfId="990" priority="1615">
      <formula>AND($R$1195,$S$1195)</formula>
    </cfRule>
  </conditionalFormatting>
  <conditionalFormatting sqref="W1195">
    <cfRule type="expression" dxfId="989" priority="1614">
      <formula>AND(IF($R$1195,$W$1195,TRUE),LEN(TRIM($W$1195))&gt;0)</formula>
    </cfRule>
  </conditionalFormatting>
  <conditionalFormatting sqref="W1195">
    <cfRule type="expression" dxfId="988" priority="1613">
      <formula>OR($S$1195 = FALSE, AND($P$1195 = FALSE, ReportType &lt;&gt; "Final"), AND($Q$1195 = FALSE, ReportType &lt;&gt; "Rough"))</formula>
    </cfRule>
  </conditionalFormatting>
  <conditionalFormatting sqref="W1195">
    <cfRule type="expression" dxfId="987" priority="1612">
      <formula>OR($T$1195 = TRUE, AND($W$1195 = TRUE, $S$1195 = FALSE))</formula>
    </cfRule>
  </conditionalFormatting>
  <conditionalFormatting sqref="W1197">
    <cfRule type="expression" dxfId="986" priority="1611">
      <formula>AND($R$1197,$S$1197)</formula>
    </cfRule>
  </conditionalFormatting>
  <conditionalFormatting sqref="W1197">
    <cfRule type="expression" dxfId="985" priority="1610">
      <formula>AND(IF($R$1197,$W$1197,TRUE),LEN(TRIM($W$1197))&gt;0)</formula>
    </cfRule>
  </conditionalFormatting>
  <conditionalFormatting sqref="W1197">
    <cfRule type="expression" dxfId="984" priority="1609">
      <formula>OR($S$1197 = FALSE, AND($P$1197 = FALSE, ReportType &lt;&gt; "Final"), AND($Q$1197 = FALSE, ReportType &lt;&gt; "Rough"))</formula>
    </cfRule>
  </conditionalFormatting>
  <conditionalFormatting sqref="W1197">
    <cfRule type="expression" dxfId="983" priority="1608">
      <formula>OR($T$1197 = TRUE, AND($W$1197 = TRUE, $S$1197 = FALSE))</formula>
    </cfRule>
  </conditionalFormatting>
  <conditionalFormatting sqref="W1234">
    <cfRule type="expression" dxfId="982" priority="1607">
      <formula>AND($R$1234,$S$1234)</formula>
    </cfRule>
  </conditionalFormatting>
  <conditionalFormatting sqref="W1234">
    <cfRule type="expression" dxfId="981" priority="1606">
      <formula>AND($W$1234&lt;&gt;"Not Met",LEN(TRIM($W$1234))&gt;0)</formula>
    </cfRule>
  </conditionalFormatting>
  <conditionalFormatting sqref="W1234">
    <cfRule type="expression" dxfId="980" priority="1605">
      <formula>OR($S$1234 = FALSE, AND($P$1234 = FALSE, ReportType &lt;&gt; "Final"), AND($Q$1234 = FALSE, ReportType &lt;&gt; "Rough"))</formula>
    </cfRule>
  </conditionalFormatting>
  <conditionalFormatting sqref="W1234">
    <cfRule type="expression" dxfId="979" priority="1604">
      <formula>OR($T$1234 = TRUE, AND(LEN(TRIM($W$1234))&gt;0, $S$1234 = FALSE))</formula>
    </cfRule>
  </conditionalFormatting>
  <conditionalFormatting sqref="W1241">
    <cfRule type="expression" dxfId="978" priority="1603">
      <formula>AND($R$1241,$S$1241)</formula>
    </cfRule>
  </conditionalFormatting>
  <conditionalFormatting sqref="W1241">
    <cfRule type="expression" dxfId="977" priority="1602">
      <formula>AND($W$1241&lt;&gt;"Not Met",LEN(TRIM($W$1241))&gt;0)</formula>
    </cfRule>
  </conditionalFormatting>
  <conditionalFormatting sqref="W1241">
    <cfRule type="expression" dxfId="976" priority="1601">
      <formula>OR($S$1241 = FALSE, AND($P$1241 = FALSE, ReportType &lt;&gt; "Final"), AND($Q$1241 = FALSE, ReportType &lt;&gt; "Rough"))</formula>
    </cfRule>
  </conditionalFormatting>
  <conditionalFormatting sqref="W1241">
    <cfRule type="expression" dxfId="975" priority="1600">
      <formula>OR($T$1241 = TRUE, AND(LEN(TRIM($W$1241))&gt;0, $S$1241 = FALSE))</formula>
    </cfRule>
  </conditionalFormatting>
  <conditionalFormatting sqref="W1245">
    <cfRule type="expression" dxfId="974" priority="1599">
      <formula>AND($R$1245,$S$1245)</formula>
    </cfRule>
  </conditionalFormatting>
  <conditionalFormatting sqref="W1245">
    <cfRule type="expression" dxfId="973" priority="1598">
      <formula>AND($W$1245&lt;&gt;"Not Met",LEN(TRIM($W$1245))&gt;0)</formula>
    </cfRule>
  </conditionalFormatting>
  <conditionalFormatting sqref="W1245">
    <cfRule type="expression" dxfId="972" priority="1597">
      <formula>OR($S$1245 = FALSE, AND($P$1245 = FALSE, ReportType &lt;&gt; "Final"), AND($Q$1245 = FALSE, ReportType &lt;&gt; "Rough"))</formula>
    </cfRule>
  </conditionalFormatting>
  <conditionalFormatting sqref="W1245">
    <cfRule type="expression" dxfId="971" priority="1596">
      <formula>OR($T$1245 = TRUE, AND(LEN(TRIM($W$1245))&gt;0, $S$1245 = FALSE))</formula>
    </cfRule>
  </conditionalFormatting>
  <conditionalFormatting sqref="W1238">
    <cfRule type="expression" dxfId="970" priority="1591">
      <formula>AND($R$1238,$S$1238)</formula>
    </cfRule>
  </conditionalFormatting>
  <conditionalFormatting sqref="W1238">
    <cfRule type="expression" dxfId="969" priority="1590">
      <formula>AND(IF($R$1238,$W$1238,TRUE),LEN(TRIM($W$1238))&gt;0)</formula>
    </cfRule>
  </conditionalFormatting>
  <conditionalFormatting sqref="W1238">
    <cfRule type="expression" dxfId="968" priority="1589">
      <formula>OR($S$1238 = FALSE, AND($P$1238 = FALSE, ReportType &lt;&gt; "Final"), AND($Q$1238 = FALSE, ReportType &lt;&gt; "Rough"))</formula>
    </cfRule>
  </conditionalFormatting>
  <conditionalFormatting sqref="W1238">
    <cfRule type="expression" dxfId="967" priority="1588">
      <formula>OR($T$1238 = TRUE, AND($W$1238 = TRUE, $S$1238 = FALSE))</formula>
    </cfRule>
  </conditionalFormatting>
  <conditionalFormatting sqref="W1250">
    <cfRule type="expression" dxfId="966" priority="1587">
      <formula>AND($R$1250,$S$1250)</formula>
    </cfRule>
  </conditionalFormatting>
  <conditionalFormatting sqref="W1250">
    <cfRule type="expression" dxfId="965" priority="1586">
      <formula>AND($W$1250&lt;&gt;"Not Met",LEN(TRIM($W$1250))&gt;0)</formula>
    </cfRule>
  </conditionalFormatting>
  <conditionalFormatting sqref="W1250">
    <cfRule type="expression" dxfId="964" priority="1585">
      <formula>OR($S$1250 = FALSE, AND($P$1250 = FALSE, ReportType &lt;&gt; "Final"), AND($Q$1250 = FALSE, ReportType &lt;&gt; "Rough"))</formula>
    </cfRule>
  </conditionalFormatting>
  <conditionalFormatting sqref="W1250">
    <cfRule type="expression" dxfId="963" priority="1584">
      <formula>OR($T$1250 = TRUE, AND(LEN(TRIM($W$1250))&gt;0, $S$1250 = FALSE))</formula>
    </cfRule>
  </conditionalFormatting>
  <conditionalFormatting sqref="W1255">
    <cfRule type="expression" dxfId="962" priority="1583">
      <formula>AND($R$1255,$S$1255)</formula>
    </cfRule>
  </conditionalFormatting>
  <conditionalFormatting sqref="W1255">
    <cfRule type="expression" dxfId="961" priority="1582">
      <formula>AND(IF($R$1255,$W$1255,TRUE),LEN(TRIM($W$1255))&gt;0)</formula>
    </cfRule>
  </conditionalFormatting>
  <conditionalFormatting sqref="W1255">
    <cfRule type="expression" dxfId="960" priority="1581">
      <formula>OR($S$1255 = FALSE, AND($P$1255 = FALSE, ReportType &lt;&gt; "Final"), AND($Q$1255 = FALSE, ReportType &lt;&gt; "Rough"))</formula>
    </cfRule>
  </conditionalFormatting>
  <conditionalFormatting sqref="W1255">
    <cfRule type="expression" dxfId="959" priority="1580">
      <formula>OR($T$1255 = TRUE, AND($W$1255 = TRUE, $S$1255 = FALSE))</formula>
    </cfRule>
  </conditionalFormatting>
  <conditionalFormatting sqref="W1258">
    <cfRule type="expression" dxfId="958" priority="1579">
      <formula>AND($R$1258,$S$1258)</formula>
    </cfRule>
  </conditionalFormatting>
  <conditionalFormatting sqref="W1258">
    <cfRule type="expression" dxfId="957" priority="1578">
      <formula>AND(IF($R$1258,$W$1258,TRUE),LEN(TRIM($W$1258))&gt;0)</formula>
    </cfRule>
  </conditionalFormatting>
  <conditionalFormatting sqref="W1258">
    <cfRule type="expression" dxfId="956" priority="1577">
      <formula>OR($S$1258 = FALSE, AND($P$1258 = FALSE, ReportType &lt;&gt; "Final"), AND($Q$1258 = FALSE, ReportType &lt;&gt; "Rough"))</formula>
    </cfRule>
  </conditionalFormatting>
  <conditionalFormatting sqref="W1258">
    <cfRule type="expression" dxfId="955" priority="1576">
      <formula>OR($T$1258 = TRUE, AND($W$1258 = TRUE, $S$1258 = FALSE))</formula>
    </cfRule>
  </conditionalFormatting>
  <conditionalFormatting sqref="W1263">
    <cfRule type="expression" dxfId="954" priority="1575">
      <formula>AND($R$1263,$S$1263)</formula>
    </cfRule>
  </conditionalFormatting>
  <conditionalFormatting sqref="W1263">
    <cfRule type="expression" dxfId="953" priority="1574">
      <formula>AND(IF($R$1263,$W$1263,TRUE),LEN(TRIM($W$1263))&gt;0)</formula>
    </cfRule>
  </conditionalFormatting>
  <conditionalFormatting sqref="W1263">
    <cfRule type="expression" dxfId="952" priority="1573">
      <formula>OR($S$1263 = FALSE, AND($P$1263 = FALSE, ReportType &lt;&gt; "Final"), AND($Q$1263 = FALSE, ReportType &lt;&gt; "Rough"))</formula>
    </cfRule>
  </conditionalFormatting>
  <conditionalFormatting sqref="W1263">
    <cfRule type="expression" dxfId="951" priority="1572">
      <formula>OR($T$1263 = TRUE, AND($W$1263 = TRUE, $S$1263 = FALSE))</formula>
    </cfRule>
  </conditionalFormatting>
  <conditionalFormatting sqref="W1264">
    <cfRule type="expression" dxfId="950" priority="1571">
      <formula>AND($R$1264,$S$1264)</formula>
    </cfRule>
  </conditionalFormatting>
  <conditionalFormatting sqref="W1264">
    <cfRule type="expression" dxfId="949" priority="1570">
      <formula>AND(IF($R$1264,$W$1264,TRUE),LEN(TRIM($W$1264))&gt;0)</formula>
    </cfRule>
  </conditionalFormatting>
  <conditionalFormatting sqref="W1264">
    <cfRule type="expression" dxfId="948" priority="1569">
      <formula>OR($S$1264 = FALSE, AND($P$1264 = FALSE, ReportType &lt;&gt; "Final"), AND($Q$1264 = FALSE, ReportType &lt;&gt; "Rough"))</formula>
    </cfRule>
  </conditionalFormatting>
  <conditionalFormatting sqref="W1264">
    <cfRule type="expression" dxfId="947" priority="1568">
      <formula>OR($T$1264 = TRUE, AND($W$1264 = TRUE, $S$1264 = FALSE))</formula>
    </cfRule>
  </conditionalFormatting>
  <conditionalFormatting sqref="W1268">
    <cfRule type="expression" dxfId="946" priority="1567">
      <formula>AND($R$1268,$S$1268)</formula>
    </cfRule>
  </conditionalFormatting>
  <conditionalFormatting sqref="W1268">
    <cfRule type="expression" dxfId="945" priority="1566">
      <formula>AND(IF($R$1268,$W$1268,TRUE),LEN(TRIM($W$1268))&gt;0)</formula>
    </cfRule>
  </conditionalFormatting>
  <conditionalFormatting sqref="W1268">
    <cfRule type="expression" dxfId="944" priority="1565">
      <formula>OR($S$1268 = FALSE, AND($P$1268 = FALSE, ReportType &lt;&gt; "Final"), AND($Q$1268 = FALSE, ReportType &lt;&gt; "Rough"))</formula>
    </cfRule>
  </conditionalFormatting>
  <conditionalFormatting sqref="W1268">
    <cfRule type="expression" dxfId="943" priority="1564">
      <formula>OR($T$1268 = TRUE, AND($W$1268 = TRUE, $S$1268 = FALSE))</formula>
    </cfRule>
  </conditionalFormatting>
  <conditionalFormatting sqref="W1273">
    <cfRule type="expression" dxfId="942" priority="1563">
      <formula>AND($R$1273,$S$1273)</formula>
    </cfRule>
  </conditionalFormatting>
  <conditionalFormatting sqref="W1273">
    <cfRule type="expression" dxfId="941" priority="1562">
      <formula>AND(IF($R$1273,$W$1273,TRUE),LEN(TRIM($W$1273))&gt;0)</formula>
    </cfRule>
  </conditionalFormatting>
  <conditionalFormatting sqref="W1273">
    <cfRule type="expression" dxfId="940" priority="1561">
      <formula>OR($S$1273 = FALSE, AND($P$1273 = FALSE, ReportType &lt;&gt; "Final"), AND($Q$1273 = FALSE, ReportType &lt;&gt; "Rough"))</formula>
    </cfRule>
  </conditionalFormatting>
  <conditionalFormatting sqref="W1273">
    <cfRule type="expression" dxfId="939" priority="1560">
      <formula>OR($T$1273 = TRUE, AND($W$1273 = TRUE, $S$1273 = FALSE))</formula>
    </cfRule>
  </conditionalFormatting>
  <conditionalFormatting sqref="W1298">
    <cfRule type="expression" dxfId="938" priority="1559">
      <formula>AND($R$1298,$S$1298)</formula>
    </cfRule>
  </conditionalFormatting>
  <conditionalFormatting sqref="W1298">
    <cfRule type="expression" dxfId="937" priority="1558">
      <formula>AND(IF($R$1298,$W$1298,TRUE),LEN(TRIM($W$1298))&gt;0)</formula>
    </cfRule>
  </conditionalFormatting>
  <conditionalFormatting sqref="W1298">
    <cfRule type="expression" dxfId="936" priority="1557">
      <formula>OR($S$1298 = FALSE, AND($P$1298 = FALSE, ReportType &lt;&gt; "Final"), AND($Q$1298 = FALSE, ReportType &lt;&gt; "Rough"))</formula>
    </cfRule>
  </conditionalFormatting>
  <conditionalFormatting sqref="W1298">
    <cfRule type="expression" dxfId="935" priority="1556">
      <formula>OR($T$1298 = TRUE, AND($W$1298 = TRUE, $S$1298 = FALSE))</formula>
    </cfRule>
  </conditionalFormatting>
  <conditionalFormatting sqref="W1301">
    <cfRule type="expression" dxfId="934" priority="1555">
      <formula>AND($R$1301,$S$1301)</formula>
    </cfRule>
  </conditionalFormatting>
  <conditionalFormatting sqref="W1301">
    <cfRule type="expression" dxfId="933" priority="1554">
      <formula>AND(IF($R$1301,$W$1301,TRUE),LEN(TRIM($W$1301))&gt;0)</formula>
    </cfRule>
  </conditionalFormatting>
  <conditionalFormatting sqref="W1301">
    <cfRule type="expression" dxfId="932" priority="1553">
      <formula>OR($S$1301 = FALSE, AND($P$1301 = FALSE, ReportType &lt;&gt; "Final"), AND($Q$1301 = FALSE, ReportType &lt;&gt; "Rough"))</formula>
    </cfRule>
  </conditionalFormatting>
  <conditionalFormatting sqref="W1301">
    <cfRule type="expression" dxfId="931" priority="1552">
      <formula>OR($T$1301 = TRUE, AND($W$1301 = TRUE, $S$1301 = FALSE))</formula>
    </cfRule>
  </conditionalFormatting>
  <conditionalFormatting sqref="W1309">
    <cfRule type="expression" dxfId="930" priority="1551">
      <formula>AND($R$1309,$S$1309)</formula>
    </cfRule>
  </conditionalFormatting>
  <conditionalFormatting sqref="W1309">
    <cfRule type="expression" dxfId="929" priority="1550">
      <formula>AND($W$1309&lt;&gt;"Not Met",LEN(TRIM($W$1309))&gt;0)</formula>
    </cfRule>
  </conditionalFormatting>
  <conditionalFormatting sqref="W1309">
    <cfRule type="expression" dxfId="928" priority="1549">
      <formula>OR($S$1309 = FALSE, AND($P$1309 = FALSE, ReportType &lt;&gt; "Final"), AND($Q$1309 = FALSE, ReportType &lt;&gt; "Rough"))</formula>
    </cfRule>
  </conditionalFormatting>
  <conditionalFormatting sqref="W1309">
    <cfRule type="expression" dxfId="927" priority="1548">
      <formula>OR($T$1309 = TRUE, AND(LEN(TRIM($W$1309))&gt;0, $S$1309 = FALSE))</formula>
    </cfRule>
  </conditionalFormatting>
  <conditionalFormatting sqref="W1315">
    <cfRule type="expression" dxfId="926" priority="1547">
      <formula>AND($R$1315,$S$1315)</formula>
    </cfRule>
  </conditionalFormatting>
  <conditionalFormatting sqref="W1315">
    <cfRule type="expression" dxfId="925" priority="1546">
      <formula>AND(IF($R$1315,$W$1315,TRUE),LEN(TRIM($W$1315))&gt;0)</formula>
    </cfRule>
  </conditionalFormatting>
  <conditionalFormatting sqref="W1315">
    <cfRule type="expression" dxfId="924" priority="1545">
      <formula>OR($S$1315 = FALSE, AND($P$1315 = FALSE, ReportType &lt;&gt; "Final"), AND($Q$1315 = FALSE, ReportType &lt;&gt; "Rough"))</formula>
    </cfRule>
  </conditionalFormatting>
  <conditionalFormatting sqref="W1315">
    <cfRule type="expression" dxfId="923" priority="1544">
      <formula>OR($T$1315 = TRUE, AND($W$1315 = TRUE, $S$1315 = FALSE))</formula>
    </cfRule>
  </conditionalFormatting>
  <conditionalFormatting sqref="W1327">
    <cfRule type="expression" dxfId="922" priority="1543">
      <formula>AND($R$1327,$S$1327)</formula>
    </cfRule>
  </conditionalFormatting>
  <conditionalFormatting sqref="W1327">
    <cfRule type="expression" dxfId="921" priority="1542">
      <formula>AND(IF($R$1327,$W$1327,TRUE),LEN(TRIM($W$1327))&gt;0)</formula>
    </cfRule>
  </conditionalFormatting>
  <conditionalFormatting sqref="W1327">
    <cfRule type="expression" dxfId="920" priority="1541">
      <formula>OR($S$1327 = FALSE, AND($P$1327 = FALSE, ReportType &lt;&gt; "Final"), AND($Q$1327 = FALSE, ReportType &lt;&gt; "Rough"))</formula>
    </cfRule>
  </conditionalFormatting>
  <conditionalFormatting sqref="W1327">
    <cfRule type="expression" dxfId="919" priority="1540">
      <formula>OR($T$1327 = TRUE, AND($W$1327 = TRUE, $S$1327 = FALSE))</formula>
    </cfRule>
  </conditionalFormatting>
  <conditionalFormatting sqref="W1329">
    <cfRule type="expression" dxfId="918" priority="1539">
      <formula>AND($R$1329,$S$1329)</formula>
    </cfRule>
  </conditionalFormatting>
  <conditionalFormatting sqref="W1329">
    <cfRule type="expression" dxfId="917" priority="1538">
      <formula>AND(IF($R$1329,$W$1329,TRUE),LEN(TRIM($W$1329))&gt;0)</formula>
    </cfRule>
  </conditionalFormatting>
  <conditionalFormatting sqref="W1329">
    <cfRule type="expression" dxfId="916" priority="1537">
      <formula>OR($S$1329 = FALSE, AND($P$1329 = FALSE, ReportType &lt;&gt; "Final"), AND($Q$1329 = FALSE, ReportType &lt;&gt; "Rough"))</formula>
    </cfRule>
  </conditionalFormatting>
  <conditionalFormatting sqref="W1329">
    <cfRule type="expression" dxfId="915" priority="1536">
      <formula>OR($T$1329 = TRUE, AND($W$1329 = TRUE, $S$1329 = FALSE))</formula>
    </cfRule>
  </conditionalFormatting>
  <conditionalFormatting sqref="W1331">
    <cfRule type="expression" dxfId="914" priority="1535">
      <formula>AND($R$1331,$S$1331)</formula>
    </cfRule>
  </conditionalFormatting>
  <conditionalFormatting sqref="W1331">
    <cfRule type="expression" dxfId="913" priority="1534">
      <formula>AND(IF($R$1331,$W$1331,TRUE),LEN(TRIM($W$1331))&gt;0)</formula>
    </cfRule>
  </conditionalFormatting>
  <conditionalFormatting sqref="W1331">
    <cfRule type="expression" dxfId="912" priority="1533">
      <formula>OR($S$1331 = FALSE, AND($P$1331 = FALSE, ReportType &lt;&gt; "Final"), AND($Q$1331 = FALSE, ReportType &lt;&gt; "Rough"))</formula>
    </cfRule>
  </conditionalFormatting>
  <conditionalFormatting sqref="W1331">
    <cfRule type="expression" dxfId="911" priority="1532">
      <formula>OR($T$1331 = TRUE, AND($W$1331 = TRUE, $S$1331 = FALSE))</formula>
    </cfRule>
  </conditionalFormatting>
  <conditionalFormatting sqref="W1338">
    <cfRule type="expression" dxfId="910" priority="1531">
      <formula>AND($R$1338,$S$1338)</formula>
    </cfRule>
  </conditionalFormatting>
  <conditionalFormatting sqref="W1338">
    <cfRule type="expression" dxfId="909" priority="1530">
      <formula>AND(IF($R$1338,$W$1338,TRUE),LEN(TRIM($W$1338))&gt;0)</formula>
    </cfRule>
  </conditionalFormatting>
  <conditionalFormatting sqref="W1338">
    <cfRule type="expression" dxfId="908" priority="1529">
      <formula>OR($S$1338 = FALSE, AND($P$1338 = FALSE, ReportType &lt;&gt; "Final"), AND($Q$1338 = FALSE, ReportType &lt;&gt; "Rough"))</formula>
    </cfRule>
  </conditionalFormatting>
  <conditionalFormatting sqref="W1338">
    <cfRule type="expression" dxfId="907" priority="1528">
      <formula>OR($T$1338 = TRUE, AND($W$1338 = TRUE, $S$1338 = FALSE))</formula>
    </cfRule>
  </conditionalFormatting>
  <conditionalFormatting sqref="W1339">
    <cfRule type="expression" dxfId="906" priority="1527">
      <formula>AND($R$1339,$S$1339)</formula>
    </cfRule>
  </conditionalFormatting>
  <conditionalFormatting sqref="W1339">
    <cfRule type="expression" dxfId="905" priority="1526">
      <formula>AND(IF($R$1339,$W$1339,TRUE),LEN(TRIM($W$1339))&gt;0)</formula>
    </cfRule>
  </conditionalFormatting>
  <conditionalFormatting sqref="W1339">
    <cfRule type="expression" dxfId="904" priority="1525">
      <formula>OR($S$1339 = FALSE, AND($P$1339 = FALSE, ReportType &lt;&gt; "Final"), AND($Q$1339 = FALSE, ReportType &lt;&gt; "Rough"))</formula>
    </cfRule>
  </conditionalFormatting>
  <conditionalFormatting sqref="W1339">
    <cfRule type="expression" dxfId="903" priority="1524">
      <formula>OR($T$1339 = TRUE, AND($W$1339 = TRUE, $S$1339 = FALSE))</formula>
    </cfRule>
  </conditionalFormatting>
  <conditionalFormatting sqref="W1340">
    <cfRule type="expression" dxfId="902" priority="1523">
      <formula>AND($R$1340,$S$1340)</formula>
    </cfRule>
  </conditionalFormatting>
  <conditionalFormatting sqref="W1340">
    <cfRule type="expression" dxfId="901" priority="1522">
      <formula>AND(IF($R$1340,$W$1340,TRUE),LEN(TRIM($W$1340))&gt;0)</formula>
    </cfRule>
  </conditionalFormatting>
  <conditionalFormatting sqref="W1340">
    <cfRule type="expression" dxfId="900" priority="1521">
      <formula>OR($S$1340 = FALSE, AND($P$1340 = FALSE, ReportType &lt;&gt; "Final"), AND($Q$1340 = FALSE, ReportType &lt;&gt; "Rough"))</formula>
    </cfRule>
  </conditionalFormatting>
  <conditionalFormatting sqref="W1340">
    <cfRule type="expression" dxfId="899" priority="1520">
      <formula>OR($T$1340 = TRUE, AND($W$1340 = TRUE, $S$1340 = FALSE))</formula>
    </cfRule>
  </conditionalFormatting>
  <conditionalFormatting sqref="W1341">
    <cfRule type="expression" dxfId="898" priority="1519">
      <formula>AND($R$1341,$S$1341)</formula>
    </cfRule>
  </conditionalFormatting>
  <conditionalFormatting sqref="W1341">
    <cfRule type="expression" dxfId="897" priority="1518">
      <formula>AND(IF($R$1341,$W$1341,TRUE),LEN(TRIM($W$1341))&gt;0)</formula>
    </cfRule>
  </conditionalFormatting>
  <conditionalFormatting sqref="W1341">
    <cfRule type="expression" dxfId="896" priority="1517">
      <formula>OR($S$1341 = FALSE, AND($P$1341 = FALSE, ReportType &lt;&gt; "Final"), AND($Q$1341 = FALSE, ReportType &lt;&gt; "Rough"))</formula>
    </cfRule>
  </conditionalFormatting>
  <conditionalFormatting sqref="W1341">
    <cfRule type="expression" dxfId="895" priority="1516">
      <formula>OR($T$1341 = TRUE, AND($W$1341 = TRUE, $S$1341 = FALSE))</formula>
    </cfRule>
  </conditionalFormatting>
  <conditionalFormatting sqref="W1343">
    <cfRule type="expression" dxfId="894" priority="1515">
      <formula>AND($R$1343,$S$1343)</formula>
    </cfRule>
  </conditionalFormatting>
  <conditionalFormatting sqref="W1343">
    <cfRule type="expression" dxfId="893" priority="1514">
      <formula>AND(IF($R$1343,$W$1343,TRUE),LEN(TRIM($W$1343))&gt;0)</formula>
    </cfRule>
  </conditionalFormatting>
  <conditionalFormatting sqref="W1343">
    <cfRule type="expression" dxfId="892" priority="1513">
      <formula>OR($S$1343 = FALSE, AND($P$1343 = FALSE, ReportType &lt;&gt; "Final"), AND($Q$1343 = FALSE, ReportType &lt;&gt; "Rough"))</formula>
    </cfRule>
  </conditionalFormatting>
  <conditionalFormatting sqref="W1343">
    <cfRule type="expression" dxfId="891" priority="1512">
      <formula>OR($T$1343 = TRUE, AND($W$1343 = TRUE, $S$1343 = FALSE))</formula>
    </cfRule>
  </conditionalFormatting>
  <conditionalFormatting sqref="W1346">
    <cfRule type="expression" dxfId="890" priority="1511">
      <formula>AND($R$1346,$S$1346)</formula>
    </cfRule>
  </conditionalFormatting>
  <conditionalFormatting sqref="W1346">
    <cfRule type="expression" dxfId="889" priority="1510">
      <formula>AND(IF($R$1346,$W$1346,TRUE),LEN(TRIM($W$1346))&gt;0)</formula>
    </cfRule>
  </conditionalFormatting>
  <conditionalFormatting sqref="W1346">
    <cfRule type="expression" dxfId="888" priority="1509">
      <formula>OR($S$1346 = FALSE, AND($P$1346 = FALSE, ReportType &lt;&gt; "Final"), AND($Q$1346 = FALSE, ReportType &lt;&gt; "Rough"))</formula>
    </cfRule>
  </conditionalFormatting>
  <conditionalFormatting sqref="W1346">
    <cfRule type="expression" dxfId="887" priority="1508">
      <formula>OR($T$1346 = TRUE, AND($W$1346 = TRUE, $S$1346 = FALSE))</formula>
    </cfRule>
  </conditionalFormatting>
  <conditionalFormatting sqref="W1349">
    <cfRule type="expression" dxfId="886" priority="1507">
      <formula>AND($R$1349,$S$1349)</formula>
    </cfRule>
  </conditionalFormatting>
  <conditionalFormatting sqref="W1349">
    <cfRule type="expression" dxfId="885" priority="1506">
      <formula>AND($W$1349&lt;&gt;"Not Met",LEN(TRIM($W$1349))&gt;0)</formula>
    </cfRule>
  </conditionalFormatting>
  <conditionalFormatting sqref="W1349">
    <cfRule type="expression" dxfId="884" priority="1505">
      <formula>OR($S$1349 = FALSE, AND($P$1349 = FALSE, ReportType &lt;&gt; "Final"), AND($Q$1349 = FALSE, ReportType &lt;&gt; "Rough"))</formula>
    </cfRule>
  </conditionalFormatting>
  <conditionalFormatting sqref="W1349">
    <cfRule type="expression" dxfId="883" priority="1504">
      <formula>OR($T$1349 = TRUE, AND(LEN(TRIM($W$1349))&gt;0, $S$1349 = FALSE))</formula>
    </cfRule>
  </conditionalFormatting>
  <conditionalFormatting sqref="W1364">
    <cfRule type="expression" dxfId="882" priority="1503">
      <formula>AND($R$1364,$S$1364)</formula>
    </cfRule>
  </conditionalFormatting>
  <conditionalFormatting sqref="W1364">
    <cfRule type="expression" dxfId="881" priority="1502">
      <formula>AND(IF($R$1364,$W$1364,TRUE),LEN(TRIM($W$1364))&gt;0)</formula>
    </cfRule>
  </conditionalFormatting>
  <conditionalFormatting sqref="W1364">
    <cfRule type="expression" dxfId="880" priority="1501">
      <formula>OR($S$1364 = FALSE, AND($P$1364 = FALSE, ReportType &lt;&gt; "Final"), AND($Q$1364 = FALSE, ReportType &lt;&gt; "Rough"))</formula>
    </cfRule>
  </conditionalFormatting>
  <conditionalFormatting sqref="W1364">
    <cfRule type="expression" dxfId="879" priority="1500">
      <formula>OR($T$1364 = TRUE, AND($W$1364 = TRUE, $S$1364 = FALSE))</formula>
    </cfRule>
  </conditionalFormatting>
  <conditionalFormatting sqref="W1365">
    <cfRule type="expression" dxfId="878" priority="1499">
      <formula>AND($R$1365,$S$1365)</formula>
    </cfRule>
  </conditionalFormatting>
  <conditionalFormatting sqref="W1365">
    <cfRule type="expression" dxfId="877" priority="1498">
      <formula>AND(IF($R$1365,$W$1365,TRUE),LEN(TRIM($W$1365))&gt;0)</formula>
    </cfRule>
  </conditionalFormatting>
  <conditionalFormatting sqref="W1365">
    <cfRule type="expression" dxfId="876" priority="1497">
      <formula>OR($S$1365 = FALSE, AND($P$1365 = FALSE, ReportType &lt;&gt; "Final"), AND($Q$1365 = FALSE, ReportType &lt;&gt; "Rough"))</formula>
    </cfRule>
  </conditionalFormatting>
  <conditionalFormatting sqref="W1365">
    <cfRule type="expression" dxfId="875" priority="1496">
      <formula>OR($T$1365 = TRUE, AND($W$1365 = TRUE, $S$1365 = FALSE))</formula>
    </cfRule>
  </conditionalFormatting>
  <conditionalFormatting sqref="W1366">
    <cfRule type="expression" dxfId="874" priority="1495">
      <formula>AND($R$1366,$S$1366)</formula>
    </cfRule>
  </conditionalFormatting>
  <conditionalFormatting sqref="W1366">
    <cfRule type="expression" dxfId="873" priority="1494">
      <formula>AND(IF($R$1366,$W$1366,TRUE),LEN(TRIM($W$1366))&gt;0)</formula>
    </cfRule>
  </conditionalFormatting>
  <conditionalFormatting sqref="W1366">
    <cfRule type="expression" dxfId="872" priority="1493">
      <formula>OR($S$1366 = FALSE, AND($P$1366 = FALSE, ReportType &lt;&gt; "Final"), AND($Q$1366 = FALSE, ReportType &lt;&gt; "Rough"))</formula>
    </cfRule>
  </conditionalFormatting>
  <conditionalFormatting sqref="W1366">
    <cfRule type="expression" dxfId="871" priority="1492">
      <formula>OR($T$1366 = TRUE, AND($W$1366 = TRUE, $S$1366 = FALSE))</formula>
    </cfRule>
  </conditionalFormatting>
  <conditionalFormatting sqref="W1367">
    <cfRule type="expression" dxfId="870" priority="1491">
      <formula>AND($R$1367,$S$1367)</formula>
    </cfRule>
  </conditionalFormatting>
  <conditionalFormatting sqref="W1367">
    <cfRule type="expression" dxfId="869" priority="1490">
      <formula>AND(IF($R$1367,$W$1367,TRUE),LEN(TRIM($W$1367))&gt;0)</formula>
    </cfRule>
  </conditionalFormatting>
  <conditionalFormatting sqref="W1367">
    <cfRule type="expression" dxfId="868" priority="1489">
      <formula>OR($S$1367 = FALSE, AND($P$1367 = FALSE, ReportType &lt;&gt; "Final"), AND($Q$1367 = FALSE, ReportType &lt;&gt; "Rough"))</formula>
    </cfRule>
  </conditionalFormatting>
  <conditionalFormatting sqref="W1367">
    <cfRule type="expression" dxfId="867" priority="1488">
      <formula>OR($T$1367 = TRUE, AND($W$1367 = TRUE, $S$1367 = FALSE))</formula>
    </cfRule>
  </conditionalFormatting>
  <conditionalFormatting sqref="W1368">
    <cfRule type="expression" dxfId="866" priority="1487">
      <formula>AND($R$1368,$S$1368)</formula>
    </cfRule>
  </conditionalFormatting>
  <conditionalFormatting sqref="W1368">
    <cfRule type="expression" dxfId="865" priority="1486">
      <formula>AND(IF($R$1368,$W$1368,TRUE),LEN(TRIM($W$1368))&gt;0)</formula>
    </cfRule>
  </conditionalFormatting>
  <conditionalFormatting sqref="W1368">
    <cfRule type="expression" dxfId="864" priority="1485">
      <formula>OR($S$1368 = FALSE, AND($P$1368 = FALSE, ReportType &lt;&gt; "Final"), AND($Q$1368 = FALSE, ReportType &lt;&gt; "Rough"))</formula>
    </cfRule>
  </conditionalFormatting>
  <conditionalFormatting sqref="W1368">
    <cfRule type="expression" dxfId="863" priority="1484">
      <formula>OR($T$1368 = TRUE, AND($W$1368 = TRUE, $S$1368 = FALSE))</formula>
    </cfRule>
  </conditionalFormatting>
  <conditionalFormatting sqref="W1369">
    <cfRule type="expression" dxfId="862" priority="1483">
      <formula>AND($R$1369,$S$1369)</formula>
    </cfRule>
  </conditionalFormatting>
  <conditionalFormatting sqref="W1369">
    <cfRule type="expression" dxfId="861" priority="1482">
      <formula>AND(IF($R$1369,$W$1369,TRUE),LEN(TRIM($W$1369))&gt;0)</formula>
    </cfRule>
  </conditionalFormatting>
  <conditionalFormatting sqref="W1369">
    <cfRule type="expression" dxfId="860" priority="1481">
      <formula>OR($S$1369 = FALSE, AND($P$1369 = FALSE, ReportType &lt;&gt; "Final"), AND($Q$1369 = FALSE, ReportType &lt;&gt; "Rough"))</formula>
    </cfRule>
  </conditionalFormatting>
  <conditionalFormatting sqref="W1369">
    <cfRule type="expression" dxfId="859" priority="1480">
      <formula>OR($T$1369 = TRUE, AND($W$1369 = TRUE, $S$1369 = FALSE))</formula>
    </cfRule>
  </conditionalFormatting>
  <conditionalFormatting sqref="W1370">
    <cfRule type="expression" dxfId="858" priority="1479">
      <formula>AND($R$1370,$S$1370)</formula>
    </cfRule>
  </conditionalFormatting>
  <conditionalFormatting sqref="W1370">
    <cfRule type="expression" dxfId="857" priority="1478">
      <formula>AND(IF($R$1370,$W$1370,TRUE),LEN(TRIM($W$1370))&gt;0)</formula>
    </cfRule>
  </conditionalFormatting>
  <conditionalFormatting sqref="W1370">
    <cfRule type="expression" dxfId="856" priority="1477">
      <formula>OR($S$1370 = FALSE, AND($P$1370 = FALSE, ReportType &lt;&gt; "Final"), AND($Q$1370 = FALSE, ReportType &lt;&gt; "Rough"))</formula>
    </cfRule>
  </conditionalFormatting>
  <conditionalFormatting sqref="W1370">
    <cfRule type="expression" dxfId="855" priority="1476">
      <formula>OR($T$1370 = TRUE, AND($W$1370 = TRUE, $S$1370 = FALSE))</formula>
    </cfRule>
  </conditionalFormatting>
  <conditionalFormatting sqref="W1371">
    <cfRule type="expression" dxfId="854" priority="1475">
      <formula>AND($R$1371,$S$1371)</formula>
    </cfRule>
  </conditionalFormatting>
  <conditionalFormatting sqref="W1371">
    <cfRule type="expression" dxfId="853" priority="1474">
      <formula>AND(IF($R$1371,$W$1371,TRUE),LEN(TRIM($W$1371))&gt;0)</formula>
    </cfRule>
  </conditionalFormatting>
  <conditionalFormatting sqref="W1371">
    <cfRule type="expression" dxfId="852" priority="1473">
      <formula>OR($S$1371 = FALSE, AND($P$1371 = FALSE, ReportType &lt;&gt; "Final"), AND($Q$1371 = FALSE, ReportType &lt;&gt; "Rough"))</formula>
    </cfRule>
  </conditionalFormatting>
  <conditionalFormatting sqref="W1371">
    <cfRule type="expression" dxfId="851" priority="1472">
      <formula>OR($T$1371 = TRUE, AND($W$1371 = TRUE, $S$1371 = FALSE))</formula>
    </cfRule>
  </conditionalFormatting>
  <conditionalFormatting sqref="W1374">
    <cfRule type="expression" dxfId="850" priority="1471">
      <formula>AND($R$1374,$S$1374)</formula>
    </cfRule>
  </conditionalFormatting>
  <conditionalFormatting sqref="W1374">
    <cfRule type="expression" dxfId="849" priority="1470">
      <formula>AND(IF($R$1374,$W$1374,TRUE),LEN(TRIM($W$1374))&gt;0)</formula>
    </cfRule>
  </conditionalFormatting>
  <conditionalFormatting sqref="W1374">
    <cfRule type="expression" dxfId="848" priority="1469">
      <formula>OR($S$1374 = FALSE, AND($P$1374 = FALSE, ReportType &lt;&gt; "Final"), AND($Q$1374 = FALSE, ReportType &lt;&gt; "Rough"))</formula>
    </cfRule>
  </conditionalFormatting>
  <conditionalFormatting sqref="W1374">
    <cfRule type="expression" dxfId="847" priority="1468">
      <formula>OR($T$1374 = TRUE, AND($W$1374 = TRUE, $S$1374 = FALSE))</formula>
    </cfRule>
  </conditionalFormatting>
  <conditionalFormatting sqref="W1376">
    <cfRule type="expression" dxfId="846" priority="1467">
      <formula>AND($R$1376,$S$1376)</formula>
    </cfRule>
  </conditionalFormatting>
  <conditionalFormatting sqref="W1376">
    <cfRule type="expression" dxfId="845" priority="1466">
      <formula>AND(IF($R$1376,$W$1376,TRUE),LEN(TRIM($W$1376))&gt;0)</formula>
    </cfRule>
  </conditionalFormatting>
  <conditionalFormatting sqref="W1376">
    <cfRule type="expression" dxfId="844" priority="1465">
      <formula>OR($S$1376 = FALSE, AND($P$1376 = FALSE, ReportType &lt;&gt; "Final"), AND($Q$1376 = FALSE, ReportType &lt;&gt; "Rough"))</formula>
    </cfRule>
  </conditionalFormatting>
  <conditionalFormatting sqref="W1376">
    <cfRule type="expression" dxfId="843" priority="1464">
      <formula>OR($T$1376 = TRUE, AND($W$1376 = TRUE, $S$1376 = FALSE))</formula>
    </cfRule>
  </conditionalFormatting>
  <conditionalFormatting sqref="W1378">
    <cfRule type="expression" dxfId="842" priority="1463">
      <formula>AND($R$1378,$S$1378)</formula>
    </cfRule>
  </conditionalFormatting>
  <conditionalFormatting sqref="W1378">
    <cfRule type="expression" dxfId="841" priority="1462">
      <formula>AND(IF($R$1378,$W$1378,TRUE),LEN(TRIM($W$1378))&gt;0)</formula>
    </cfRule>
  </conditionalFormatting>
  <conditionalFormatting sqref="W1378">
    <cfRule type="expression" dxfId="840" priority="1461">
      <formula>OR($S$1378 = FALSE, AND($P$1378 = FALSE, ReportType &lt;&gt; "Final"), AND($Q$1378 = FALSE, ReportType &lt;&gt; "Rough"))</formula>
    </cfRule>
  </conditionalFormatting>
  <conditionalFormatting sqref="W1378">
    <cfRule type="expression" dxfId="839" priority="1460">
      <formula>OR($T$1378 = TRUE, AND($W$1378 = TRUE, $S$1378 = FALSE))</formula>
    </cfRule>
  </conditionalFormatting>
  <conditionalFormatting sqref="W1389">
    <cfRule type="expression" dxfId="838" priority="1459">
      <formula>AND($R$1389,$S$1389)</formula>
    </cfRule>
  </conditionalFormatting>
  <conditionalFormatting sqref="W1389">
    <cfRule type="expression" dxfId="837" priority="1458">
      <formula>AND(IF($R$1389,$W$1389,TRUE),LEN(TRIM($W$1389))&gt;0)</formula>
    </cfRule>
  </conditionalFormatting>
  <conditionalFormatting sqref="W1389">
    <cfRule type="expression" dxfId="836" priority="1457">
      <formula>OR($S$1389 = FALSE, AND($P$1389 = FALSE, ReportType &lt;&gt; "Final"), AND($Q$1389 = FALSE, ReportType &lt;&gt; "Rough"))</formula>
    </cfRule>
  </conditionalFormatting>
  <conditionalFormatting sqref="W1389">
    <cfRule type="expression" dxfId="835" priority="1456">
      <formula>OR($T$1389 = TRUE, AND($W$1389 = TRUE, $S$1389 = FALSE))</formula>
    </cfRule>
  </conditionalFormatting>
  <conditionalFormatting sqref="W1393">
    <cfRule type="expression" dxfId="834" priority="1455">
      <formula>AND($R$1393,$S$1393)</formula>
    </cfRule>
  </conditionalFormatting>
  <conditionalFormatting sqref="W1393">
    <cfRule type="expression" dxfId="833" priority="1454">
      <formula>AND(IF($R$1393,$W$1393,TRUE),LEN(TRIM($W$1393))&gt;0)</formula>
    </cfRule>
  </conditionalFormatting>
  <conditionalFormatting sqref="W1393">
    <cfRule type="expression" dxfId="832" priority="1453">
      <formula>OR($S$1393 = FALSE, AND($P$1393 = FALSE, ReportType &lt;&gt; "Final"), AND($Q$1393 = FALSE, ReportType &lt;&gt; "Rough"))</formula>
    </cfRule>
  </conditionalFormatting>
  <conditionalFormatting sqref="W1393">
    <cfRule type="expression" dxfId="831" priority="1452">
      <formula>OR($T$1393 = TRUE, AND($W$1393 = TRUE, $S$1393 = FALSE))</formula>
    </cfRule>
  </conditionalFormatting>
  <conditionalFormatting sqref="W1394">
    <cfRule type="expression" dxfId="830" priority="1451">
      <formula>AND($R$1394,$S$1394)</formula>
    </cfRule>
  </conditionalFormatting>
  <conditionalFormatting sqref="W1394">
    <cfRule type="expression" dxfId="829" priority="1450">
      <formula>AND(IF($R$1394,$W$1394,TRUE),LEN(TRIM($W$1394))&gt;0)</formula>
    </cfRule>
  </conditionalFormatting>
  <conditionalFormatting sqref="W1394">
    <cfRule type="expression" dxfId="828" priority="1449">
      <formula>OR($S$1394 = FALSE, AND($P$1394 = FALSE, ReportType &lt;&gt; "Final"), AND($Q$1394 = FALSE, ReportType &lt;&gt; "Rough"))</formula>
    </cfRule>
  </conditionalFormatting>
  <conditionalFormatting sqref="W1394">
    <cfRule type="expression" dxfId="827" priority="1448">
      <formula>OR($T$1394 = TRUE, AND($W$1394 = TRUE, $S$1394 = FALSE))</formula>
    </cfRule>
  </conditionalFormatting>
  <conditionalFormatting sqref="W1397">
    <cfRule type="expression" dxfId="826" priority="1447">
      <formula>AND($R$1397,$S$1397)</formula>
    </cfRule>
  </conditionalFormatting>
  <conditionalFormatting sqref="W1397">
    <cfRule type="expression" dxfId="825" priority="1446">
      <formula>AND(IF($R$1397,$W$1397,TRUE),LEN(TRIM($W$1397))&gt;0)</formula>
    </cfRule>
  </conditionalFormatting>
  <conditionalFormatting sqref="W1397">
    <cfRule type="expression" dxfId="824" priority="1445">
      <formula>OR($S$1397 = FALSE, AND($P$1397 = FALSE, ReportType &lt;&gt; "Final"), AND($Q$1397 = FALSE, ReportType &lt;&gt; "Rough"))</formula>
    </cfRule>
  </conditionalFormatting>
  <conditionalFormatting sqref="W1397">
    <cfRule type="expression" dxfId="823" priority="1444">
      <formula>OR($T$1397 = TRUE, AND($W$1397 = TRUE, $S$1397 = FALSE))</formula>
    </cfRule>
  </conditionalFormatting>
  <conditionalFormatting sqref="W1400">
    <cfRule type="expression" dxfId="822" priority="1443">
      <formula>AND($R$1400,$S$1400)</formula>
    </cfRule>
  </conditionalFormatting>
  <conditionalFormatting sqref="W1400">
    <cfRule type="expression" dxfId="821" priority="1442">
      <formula>AND(IF($R$1400,$W$1400,TRUE),LEN(TRIM($W$1400))&gt;0)</formula>
    </cfRule>
  </conditionalFormatting>
  <conditionalFormatting sqref="W1400">
    <cfRule type="expression" dxfId="820" priority="1441">
      <formula>OR($S$1400 = FALSE, AND($P$1400 = FALSE, ReportType &lt;&gt; "Final"), AND($Q$1400 = FALSE, ReportType &lt;&gt; "Rough"))</formula>
    </cfRule>
  </conditionalFormatting>
  <conditionalFormatting sqref="W1400">
    <cfRule type="expression" dxfId="819" priority="1440">
      <formula>OR($T$1400 = TRUE, AND($W$1400 = TRUE, $S$1400 = FALSE))</formula>
    </cfRule>
  </conditionalFormatting>
  <conditionalFormatting sqref="M1479:M1480">
    <cfRule type="expression" dxfId="818" priority="1387">
      <formula>NOT(O1487&gt;0)</formula>
    </cfRule>
  </conditionalFormatting>
  <conditionalFormatting sqref="W1551">
    <cfRule type="expression" dxfId="817" priority="1302">
      <formula>AND(R1551,S1551)</formula>
    </cfRule>
  </conditionalFormatting>
  <conditionalFormatting sqref="W1551">
    <cfRule type="expression" dxfId="816" priority="1301">
      <formula>AND(R1551,LEN(TRIM(W1551))&gt;0)</formula>
    </cfRule>
  </conditionalFormatting>
  <conditionalFormatting sqref="W1551">
    <cfRule type="expression" dxfId="815" priority="1300">
      <formula>OR(S1551 = FALSE, AND(P1551 = FALSE, ReportType &lt;&gt; "Final"), AND(Q1551 = FALSE, ReportType &lt;&gt; "Rough"))</formula>
    </cfRule>
  </conditionalFormatting>
  <conditionalFormatting sqref="W1551">
    <cfRule type="expression" dxfId="814" priority="1299">
      <formula>OR(T1551 = TRUE, AND(W1551 &gt; 0, S1551 = FALSE))</formula>
    </cfRule>
  </conditionalFormatting>
  <conditionalFormatting sqref="W1408">
    <cfRule type="expression" dxfId="813" priority="1294">
      <formula>AND($R$1408,$S$1408)</formula>
    </cfRule>
  </conditionalFormatting>
  <conditionalFormatting sqref="W1408">
    <cfRule type="expression" dxfId="812" priority="1293">
      <formula>AND($W$1408&lt;&gt;"Not Met",LEN(TRIM($W$1408))&gt;0)</formula>
    </cfRule>
  </conditionalFormatting>
  <conditionalFormatting sqref="W1408">
    <cfRule type="expression" dxfId="811" priority="1292">
      <formula>OR($S$1408 = FALSE, AND($P$1408 = FALSE, ReportType &lt;&gt; "Final"), AND($Q$1408 = FALSE, ReportType &lt;&gt; "Rough"))</formula>
    </cfRule>
  </conditionalFormatting>
  <conditionalFormatting sqref="W1408">
    <cfRule type="expression" dxfId="810" priority="1291">
      <formula>OR($T$1408 = TRUE, AND(LEN(TRIM($W$1408))&gt;0, $S$1408 = FALSE))</formula>
    </cfRule>
  </conditionalFormatting>
  <conditionalFormatting sqref="W1437">
    <cfRule type="expression" dxfId="809" priority="1290">
      <formula>AND($R$1437,$S$1437)</formula>
    </cfRule>
  </conditionalFormatting>
  <conditionalFormatting sqref="W1437">
    <cfRule type="expression" dxfId="808" priority="1289">
      <formula>AND(IF($R$1437,$W$1437,TRUE),LEN(TRIM($W$1437))&gt;0)</formula>
    </cfRule>
  </conditionalFormatting>
  <conditionalFormatting sqref="W1437">
    <cfRule type="expression" dxfId="807" priority="1288">
      <formula>OR($S$1437 = FALSE, AND($P$1437 = FALSE, ReportType &lt;&gt; "Final"), AND($Q$1437 = FALSE, ReportType &lt;&gt; "Rough"))</formula>
    </cfRule>
  </conditionalFormatting>
  <conditionalFormatting sqref="W1437">
    <cfRule type="expression" dxfId="806" priority="1287">
      <formula>OR($T$1437 = TRUE, AND($W$1437 = TRUE, $S$1437 = FALSE))</formula>
    </cfRule>
  </conditionalFormatting>
  <conditionalFormatting sqref="W1442">
    <cfRule type="expression" dxfId="805" priority="1286">
      <formula>AND($R$1442,$S$1442)</formula>
    </cfRule>
  </conditionalFormatting>
  <conditionalFormatting sqref="W1442">
    <cfRule type="expression" dxfId="804" priority="1285">
      <formula>AND(IF($R$1442,$W$1442,TRUE),LEN(TRIM($W$1442))&gt;0)</formula>
    </cfRule>
  </conditionalFormatting>
  <conditionalFormatting sqref="W1442">
    <cfRule type="expression" dxfId="803" priority="1284">
      <formula>OR($S$1442 = FALSE, AND($P$1442 = FALSE, ReportType &lt;&gt; "Final"), AND($Q$1442 = FALSE, ReportType &lt;&gt; "Rough"))</formula>
    </cfRule>
  </conditionalFormatting>
  <conditionalFormatting sqref="W1442">
    <cfRule type="expression" dxfId="802" priority="1283">
      <formula>OR($T$1442 = TRUE, AND($W$1442 = TRUE, $S$1442 = FALSE))</formula>
    </cfRule>
  </conditionalFormatting>
  <conditionalFormatting sqref="W1443">
    <cfRule type="expression" dxfId="801" priority="1282">
      <formula>AND($R$1443,$S$1443)</formula>
    </cfRule>
  </conditionalFormatting>
  <conditionalFormatting sqref="W1443">
    <cfRule type="expression" dxfId="800" priority="1281">
      <formula>AND($W$1443&lt;&gt;"Not Met",LEN(TRIM($W$1443))&gt;0)</formula>
    </cfRule>
  </conditionalFormatting>
  <conditionalFormatting sqref="W1443">
    <cfRule type="expression" dxfId="799" priority="1280">
      <formula>OR($S$1443 = FALSE, AND($P$1443 = FALSE, ReportType &lt;&gt; "Final"), AND($Q$1443 = FALSE, ReportType &lt;&gt; "Rough"))</formula>
    </cfRule>
  </conditionalFormatting>
  <conditionalFormatting sqref="W1443">
    <cfRule type="expression" dxfId="798" priority="1279">
      <formula>OR($T$1443 = TRUE, AND(LEN(TRIM($W$1443))&gt;0, $S$1443 = FALSE))</formula>
    </cfRule>
  </conditionalFormatting>
  <conditionalFormatting sqref="W1450">
    <cfRule type="expression" dxfId="797" priority="1278">
      <formula>AND($R$1450,$S$1450)</formula>
    </cfRule>
  </conditionalFormatting>
  <conditionalFormatting sqref="W1450">
    <cfRule type="expression" dxfId="796" priority="1277">
      <formula>AND($W$1450&lt;&gt;"Not Met",LEN(TRIM($W$1450))&gt;0)</formula>
    </cfRule>
  </conditionalFormatting>
  <conditionalFormatting sqref="W1450">
    <cfRule type="expression" dxfId="795" priority="1276">
      <formula>OR($S$1450 = FALSE, AND($P$1450 = FALSE, ReportType &lt;&gt; "Final"), AND($Q$1450 = FALSE, ReportType &lt;&gt; "Rough"))</formula>
    </cfRule>
  </conditionalFormatting>
  <conditionalFormatting sqref="W1450">
    <cfRule type="expression" dxfId="794" priority="1275">
      <formula>OR($T$1450 = TRUE, AND(LEN(TRIM($W$1450))&gt;0, $S$1450 = FALSE))</formula>
    </cfRule>
  </conditionalFormatting>
  <conditionalFormatting sqref="W1459">
    <cfRule type="expression" dxfId="793" priority="1274">
      <formula>AND($R$1459,$S$1459)</formula>
    </cfRule>
  </conditionalFormatting>
  <conditionalFormatting sqref="W1459">
    <cfRule type="expression" dxfId="792" priority="1273">
      <formula>AND($W$1459&lt;&gt;"Not Met",LEN(TRIM($W$1459))&gt;0)</formula>
    </cfRule>
  </conditionalFormatting>
  <conditionalFormatting sqref="W1459">
    <cfRule type="expression" dxfId="791" priority="1272">
      <formula>OR($S$1459 = FALSE, AND($P$1459 = FALSE, ReportType &lt;&gt; "Final"), AND($Q$1459 = FALSE, ReportType &lt;&gt; "Rough"))</formula>
    </cfRule>
  </conditionalFormatting>
  <conditionalFormatting sqref="W1459">
    <cfRule type="expression" dxfId="790" priority="1271">
      <formula>OR($T$1459 = TRUE, AND(LEN(TRIM($W$1459))&gt;0, $S$1459 = FALSE))</formula>
    </cfRule>
  </conditionalFormatting>
  <conditionalFormatting sqref="W1464">
    <cfRule type="expression" dxfId="789" priority="1270">
      <formula>AND($R$1464,$S$1464)</formula>
    </cfRule>
  </conditionalFormatting>
  <conditionalFormatting sqref="W1464">
    <cfRule type="expression" dxfId="788" priority="1269">
      <formula>AND($W$1464&lt;&gt;"Not Met",LEN(TRIM($W$1464))&gt;0)</formula>
    </cfRule>
  </conditionalFormatting>
  <conditionalFormatting sqref="W1464">
    <cfRule type="expression" dxfId="787" priority="1268">
      <formula>OR($S$1464 = FALSE, AND($P$1464 = FALSE, ReportType &lt;&gt; "Final"), AND($Q$1464 = FALSE, ReportType &lt;&gt; "Rough"))</formula>
    </cfRule>
  </conditionalFormatting>
  <conditionalFormatting sqref="W1464">
    <cfRule type="expression" dxfId="786" priority="1267">
      <formula>OR($T$1464 = TRUE, AND(LEN(TRIM($W$1464))&gt;0, $S$1464 = FALSE))</formula>
    </cfRule>
  </conditionalFormatting>
  <conditionalFormatting sqref="W1469">
    <cfRule type="expression" dxfId="785" priority="1266">
      <formula>AND($R$1469,$S$1469)</formula>
    </cfRule>
  </conditionalFormatting>
  <conditionalFormatting sqref="W1469">
    <cfRule type="expression" dxfId="784" priority="1265">
      <formula>AND($W$1469&lt;&gt;"Not Met",LEN(TRIM($W$1469))&gt;0)</formula>
    </cfRule>
  </conditionalFormatting>
  <conditionalFormatting sqref="W1469">
    <cfRule type="expression" dxfId="783" priority="1264">
      <formula>OR($S$1469 = FALSE, AND($P$1469 = FALSE, ReportType &lt;&gt; "Final"), AND($Q$1469 = FALSE, ReportType &lt;&gt; "Rough"))</formula>
    </cfRule>
  </conditionalFormatting>
  <conditionalFormatting sqref="W1469">
    <cfRule type="expression" dxfId="782" priority="1263">
      <formula>OR($T$1469 = TRUE, AND(LEN(TRIM($W$1469))&gt;0, $S$1469 = FALSE))</formula>
    </cfRule>
  </conditionalFormatting>
  <conditionalFormatting sqref="W1474">
    <cfRule type="expression" dxfId="781" priority="1262">
      <formula>AND($R$1474,$S$1474)</formula>
    </cfRule>
  </conditionalFormatting>
  <conditionalFormatting sqref="W1474">
    <cfRule type="expression" dxfId="780" priority="1261">
      <formula>AND($W$1474&lt;&gt;"Not Met",LEN(TRIM($W$1474))&gt;0)</formula>
    </cfRule>
  </conditionalFormatting>
  <conditionalFormatting sqref="W1474">
    <cfRule type="expression" dxfId="779" priority="1260">
      <formula>OR($S$1474 = FALSE, AND($P$1474 = FALSE, ReportType &lt;&gt; "Final"), AND($Q$1474 = FALSE, ReportType &lt;&gt; "Rough"))</formula>
    </cfRule>
  </conditionalFormatting>
  <conditionalFormatting sqref="W1474">
    <cfRule type="expression" dxfId="778" priority="1259">
      <formula>OR($T$1474 = TRUE, AND(LEN(TRIM($W$1474))&gt;0, $S$1474 = FALSE))</formula>
    </cfRule>
  </conditionalFormatting>
  <conditionalFormatting sqref="W1473">
    <cfRule type="expression" dxfId="777" priority="1258">
      <formula>AND($R$1473,$S$1473)</formula>
    </cfRule>
  </conditionalFormatting>
  <conditionalFormatting sqref="W1473">
    <cfRule type="expression" dxfId="776" priority="1257">
      <formula>AND(IF($R$1473,$W$1473,TRUE),LEN(TRIM($W$1473))&gt;0)</formula>
    </cfRule>
  </conditionalFormatting>
  <conditionalFormatting sqref="W1473">
    <cfRule type="expression" dxfId="775" priority="1256">
      <formula>OR($S$1473 = FALSE, AND($P$1473 = FALSE, ReportType &lt;&gt; "Final"), AND($Q$1473 = FALSE, ReportType &lt;&gt; "Rough"))</formula>
    </cfRule>
  </conditionalFormatting>
  <conditionalFormatting sqref="W1473">
    <cfRule type="expression" dxfId="774" priority="1255">
      <formula>OR($T$1473 = TRUE, AND($W$1473 = TRUE, $S$1473 = FALSE))</formula>
    </cfRule>
  </conditionalFormatting>
  <conditionalFormatting sqref="W1481">
    <cfRule type="expression" dxfId="773" priority="1254">
      <formula>AND($R$1481,$S$1481)</formula>
    </cfRule>
  </conditionalFormatting>
  <conditionalFormatting sqref="W1481">
    <cfRule type="expression" dxfId="772" priority="1253">
      <formula>AND($W$1481&lt;&gt;"Not Met",LEN(TRIM($W$1481))&gt;0)</formula>
    </cfRule>
  </conditionalFormatting>
  <conditionalFormatting sqref="W1481">
    <cfRule type="expression" dxfId="771" priority="1252">
      <formula>OR($S$1481 = FALSE, AND($P$1481 = FALSE, ReportType &lt;&gt; "Final"), AND($Q$1481 = FALSE, ReportType &lt;&gt; "Rough"))</formula>
    </cfRule>
  </conditionalFormatting>
  <conditionalFormatting sqref="W1481">
    <cfRule type="expression" dxfId="770" priority="1251">
      <formula>OR($T$1481 = TRUE, AND(LEN(TRIM($W$1481))&gt;0, $S$1481 = FALSE))</formula>
    </cfRule>
  </conditionalFormatting>
  <conditionalFormatting sqref="W1487">
    <cfRule type="expression" dxfId="769" priority="1250">
      <formula>AND($R$1487,$S$1487)</formula>
    </cfRule>
  </conditionalFormatting>
  <conditionalFormatting sqref="W1487">
    <cfRule type="expression" dxfId="768" priority="1249">
      <formula>AND(IF($R$1487,$W$1487,TRUE),LEN(TRIM($W$1487))&gt;0)</formula>
    </cfRule>
  </conditionalFormatting>
  <conditionalFormatting sqref="W1487">
    <cfRule type="expression" dxfId="767" priority="1248">
      <formula>OR($S$1487 = FALSE, AND($P$1487 = FALSE, ReportType &lt;&gt; "Final"), AND($Q$1487 = FALSE, ReportType &lt;&gt; "Rough"))</formula>
    </cfRule>
  </conditionalFormatting>
  <conditionalFormatting sqref="W1487">
    <cfRule type="expression" dxfId="766" priority="1247">
      <formula>OR($T$1487 = TRUE, AND($W$1487 = TRUE, $S$1487 = FALSE))</formula>
    </cfRule>
  </conditionalFormatting>
  <conditionalFormatting sqref="W1490">
    <cfRule type="expression" dxfId="765" priority="1246">
      <formula>AND($R$1490,$S$1490)</formula>
    </cfRule>
  </conditionalFormatting>
  <conditionalFormatting sqref="W1490">
    <cfRule type="expression" dxfId="764" priority="1245">
      <formula>AND($W$1490&lt;&gt;"Not Met",LEN(TRIM($W$1490))&gt;0)</formula>
    </cfRule>
  </conditionalFormatting>
  <conditionalFormatting sqref="W1490">
    <cfRule type="expression" dxfId="763" priority="1244">
      <formula>OR($S$1490 = FALSE, AND($P$1490 = FALSE, ReportType &lt;&gt; "Final"), AND($Q$1490 = FALSE, ReportType &lt;&gt; "Rough"))</formula>
    </cfRule>
  </conditionalFormatting>
  <conditionalFormatting sqref="W1490">
    <cfRule type="expression" dxfId="762" priority="1243">
      <formula>OR($T$1490 = TRUE, AND(LEN(TRIM($W$1490))&gt;0, $S$1490 = FALSE))</formula>
    </cfRule>
  </conditionalFormatting>
  <conditionalFormatting sqref="W1494">
    <cfRule type="expression" dxfId="761" priority="1242">
      <formula>AND($R$1494,$S$1494)</formula>
    </cfRule>
  </conditionalFormatting>
  <conditionalFormatting sqref="W1494">
    <cfRule type="expression" dxfId="760" priority="1241">
      <formula>AND(IF($R$1494,$W$1494,TRUE),LEN(TRIM($W$1494))&gt;0)</formula>
    </cfRule>
  </conditionalFormatting>
  <conditionalFormatting sqref="W1494">
    <cfRule type="expression" dxfId="759" priority="1240">
      <formula>OR($S$1494 = FALSE, AND($P$1494 = FALSE, ReportType &lt;&gt; "Final"), AND($Q$1494 = FALSE, ReportType &lt;&gt; "Rough"))</formula>
    </cfRule>
  </conditionalFormatting>
  <conditionalFormatting sqref="W1494">
    <cfRule type="expression" dxfId="758" priority="1239">
      <formula>OR($T$1494 = TRUE, AND($W$1494 = TRUE, $S$1494 = FALSE))</formula>
    </cfRule>
  </conditionalFormatting>
  <conditionalFormatting sqref="W1496">
    <cfRule type="expression" dxfId="757" priority="1238">
      <formula>AND($R$1496,$S$1496)</formula>
    </cfRule>
  </conditionalFormatting>
  <conditionalFormatting sqref="W1496">
    <cfRule type="expression" dxfId="756" priority="1237">
      <formula>AND(IF($R$1496,$W$1496,TRUE),LEN(TRIM($W$1496))&gt;0)</formula>
    </cfRule>
  </conditionalFormatting>
  <conditionalFormatting sqref="W1496">
    <cfRule type="expression" dxfId="755" priority="1236">
      <formula>OR($S$1496 = FALSE, AND($P$1496 = FALSE, ReportType &lt;&gt; "Final"), AND($Q$1496 = FALSE, ReportType &lt;&gt; "Rough"))</formula>
    </cfRule>
  </conditionalFormatting>
  <conditionalFormatting sqref="W1496">
    <cfRule type="expression" dxfId="754" priority="1235">
      <formula>OR($T$1496 = TRUE, AND($W$1496 = TRUE, $S$1496 = FALSE))</formula>
    </cfRule>
  </conditionalFormatting>
  <conditionalFormatting sqref="W1498">
    <cfRule type="expression" dxfId="753" priority="1234">
      <formula>AND($R$1498,$S$1498)</formula>
    </cfRule>
  </conditionalFormatting>
  <conditionalFormatting sqref="W1498">
    <cfRule type="expression" dxfId="752" priority="1233">
      <formula>AND(IF($R$1498,$W$1498,TRUE),LEN(TRIM($W$1498))&gt;0)</formula>
    </cfRule>
  </conditionalFormatting>
  <conditionalFormatting sqref="W1498">
    <cfRule type="expression" dxfId="751" priority="1232">
      <formula>OR($S$1498 = FALSE, AND($P$1498 = FALSE, ReportType &lt;&gt; "Final"), AND($Q$1498 = FALSE, ReportType &lt;&gt; "Rough"))</formula>
    </cfRule>
  </conditionalFormatting>
  <conditionalFormatting sqref="W1498">
    <cfRule type="expression" dxfId="750" priority="1231">
      <formula>OR($T$1498 = TRUE, AND($W$1498 = TRUE, $S$1498 = FALSE))</formula>
    </cfRule>
  </conditionalFormatting>
  <conditionalFormatting sqref="W1502">
    <cfRule type="expression" dxfId="749" priority="1230">
      <formula>AND($R$1502,$S$1502)</formula>
    </cfRule>
  </conditionalFormatting>
  <conditionalFormatting sqref="W1502">
    <cfRule type="expression" dxfId="748" priority="1229">
      <formula>AND(IF($R$1502,$W$1502,TRUE),LEN(TRIM($W$1502))&gt;0)</formula>
    </cfRule>
  </conditionalFormatting>
  <conditionalFormatting sqref="W1502">
    <cfRule type="expression" dxfId="747" priority="1228">
      <formula>OR($S$1502 = FALSE, AND($P$1502 = FALSE, ReportType &lt;&gt; "Final"), AND($Q$1502 = FALSE, ReportType &lt;&gt; "Rough"))</formula>
    </cfRule>
  </conditionalFormatting>
  <conditionalFormatting sqref="W1502">
    <cfRule type="expression" dxfId="746" priority="1227">
      <formula>OR($T$1502 = TRUE, AND($W$1502 = TRUE, $S$1502 = FALSE))</formula>
    </cfRule>
  </conditionalFormatting>
  <conditionalFormatting sqref="W1503">
    <cfRule type="expression" dxfId="745" priority="1226">
      <formula>AND($R$1503,$S$1503)</formula>
    </cfRule>
  </conditionalFormatting>
  <conditionalFormatting sqref="W1503">
    <cfRule type="expression" dxfId="744" priority="1225">
      <formula>AND(IF($R$1503,$W$1503,TRUE),LEN(TRIM($W$1503))&gt;0)</formula>
    </cfRule>
  </conditionalFormatting>
  <conditionalFormatting sqref="W1503">
    <cfRule type="expression" dxfId="743" priority="1224">
      <formula>OR($S$1503 = FALSE, AND($P$1503 = FALSE, ReportType &lt;&gt; "Final"), AND($Q$1503 = FALSE, ReportType &lt;&gt; "Rough"))</formula>
    </cfRule>
  </conditionalFormatting>
  <conditionalFormatting sqref="W1503">
    <cfRule type="expression" dxfId="742" priority="1223">
      <formula>OR($T$1503 = TRUE, AND($W$1503 = TRUE, $S$1503 = FALSE))</formula>
    </cfRule>
  </conditionalFormatting>
  <conditionalFormatting sqref="W1504">
    <cfRule type="expression" dxfId="741" priority="1222">
      <formula>AND($R$1504,$S$1504)</formula>
    </cfRule>
  </conditionalFormatting>
  <conditionalFormatting sqref="W1504">
    <cfRule type="expression" dxfId="740" priority="1221">
      <formula>AND(IF($R$1504,$W$1504,TRUE),LEN(TRIM($W$1504))&gt;0)</formula>
    </cfRule>
  </conditionalFormatting>
  <conditionalFormatting sqref="W1504">
    <cfRule type="expression" dxfId="739" priority="1220">
      <formula>OR($S$1504 = FALSE, AND($P$1504 = FALSE, ReportType &lt;&gt; "Final"), AND($Q$1504 = FALSE, ReportType &lt;&gt; "Rough"))</formula>
    </cfRule>
  </conditionalFormatting>
  <conditionalFormatting sqref="W1504">
    <cfRule type="expression" dxfId="738" priority="1219">
      <formula>OR($T$1504 = TRUE, AND($W$1504 = TRUE, $S$1504 = FALSE))</formula>
    </cfRule>
  </conditionalFormatting>
  <conditionalFormatting sqref="W1512">
    <cfRule type="expression" dxfId="737" priority="1214">
      <formula>AND($R$1512,$S$1512)</formula>
    </cfRule>
  </conditionalFormatting>
  <conditionalFormatting sqref="W1512">
    <cfRule type="expression" dxfId="736" priority="1213">
      <formula>AND(IF($R$1512,$W$1512,TRUE),LEN(TRIM($W$1512))&gt;0)</formula>
    </cfRule>
  </conditionalFormatting>
  <conditionalFormatting sqref="W1512">
    <cfRule type="expression" dxfId="735" priority="1212">
      <formula>OR($S$1512 = FALSE, AND($P$1512 = FALSE, ReportType &lt;&gt; "Final"), AND($Q$1512 = FALSE, ReportType &lt;&gt; "Rough"))</formula>
    </cfRule>
  </conditionalFormatting>
  <conditionalFormatting sqref="W1512">
    <cfRule type="expression" dxfId="734" priority="1211">
      <formula>OR($T$1512 = TRUE, AND($W$1512 = TRUE, $S$1512 = FALSE))</formula>
    </cfRule>
  </conditionalFormatting>
  <conditionalFormatting sqref="W1514">
    <cfRule type="expression" dxfId="733" priority="1210">
      <formula>AND($R$1514,$S$1514)</formula>
    </cfRule>
  </conditionalFormatting>
  <conditionalFormatting sqref="W1514">
    <cfRule type="expression" dxfId="732" priority="1209">
      <formula>AND(IF($R$1514,$W$1514,TRUE),LEN(TRIM($W$1514))&gt;0)</formula>
    </cfRule>
  </conditionalFormatting>
  <conditionalFormatting sqref="W1514">
    <cfRule type="expression" dxfId="731" priority="1208">
      <formula>OR($S$1514 = FALSE, AND($P$1514 = FALSE, ReportType &lt;&gt; "Final"), AND($Q$1514 = FALSE, ReportType &lt;&gt; "Rough"))</formula>
    </cfRule>
  </conditionalFormatting>
  <conditionalFormatting sqref="W1514">
    <cfRule type="expression" dxfId="730" priority="1207">
      <formula>OR($T$1514 = TRUE, AND($W$1514 = TRUE, $S$1514 = FALSE))</formula>
    </cfRule>
  </conditionalFormatting>
  <conditionalFormatting sqref="W1515">
    <cfRule type="expression" dxfId="729" priority="1206">
      <formula>AND($R$1515,$S$1515)</formula>
    </cfRule>
  </conditionalFormatting>
  <conditionalFormatting sqref="W1515">
    <cfRule type="expression" dxfId="728" priority="1205">
      <formula>AND(IF($R$1515,$W$1515,TRUE),LEN(TRIM($W$1515))&gt;0)</formula>
    </cfRule>
  </conditionalFormatting>
  <conditionalFormatting sqref="W1515">
    <cfRule type="expression" dxfId="727" priority="1204">
      <formula>OR($S$1515 = FALSE, AND($P$1515 = FALSE, ReportType &lt;&gt; "Final"), AND($Q$1515 = FALSE, ReportType &lt;&gt; "Rough"))</formula>
    </cfRule>
  </conditionalFormatting>
  <conditionalFormatting sqref="W1515">
    <cfRule type="expression" dxfId="726" priority="1203">
      <formula>OR($T$1515 = TRUE, AND($W$1515 = TRUE, $S$1515 = FALSE))</formula>
    </cfRule>
  </conditionalFormatting>
  <conditionalFormatting sqref="W1519">
    <cfRule type="expression" dxfId="725" priority="1202">
      <formula>AND($R$1519,$S$1519)</formula>
    </cfRule>
  </conditionalFormatting>
  <conditionalFormatting sqref="W1519">
    <cfRule type="expression" dxfId="724" priority="1201">
      <formula>AND(IF($R$1519,$W$1519,TRUE),LEN(TRIM($W$1519))&gt;0)</formula>
    </cfRule>
  </conditionalFormatting>
  <conditionalFormatting sqref="W1519">
    <cfRule type="expression" dxfId="723" priority="1200">
      <formula>OR($S$1519 = FALSE, AND($P$1519 = FALSE, ReportType &lt;&gt; "Final"), AND($Q$1519 = FALSE, ReportType &lt;&gt; "Rough"))</formula>
    </cfRule>
  </conditionalFormatting>
  <conditionalFormatting sqref="W1519">
    <cfRule type="expression" dxfId="722" priority="1199">
      <formula>OR($T$1519 = TRUE, AND($W$1519 = TRUE, $S$1519 = FALSE))</formula>
    </cfRule>
  </conditionalFormatting>
  <conditionalFormatting sqref="W1523">
    <cfRule type="expression" dxfId="721" priority="1198">
      <formula>AND($R$1523,$S$1523)</formula>
    </cfRule>
  </conditionalFormatting>
  <conditionalFormatting sqref="W1523">
    <cfRule type="expression" dxfId="720" priority="1197">
      <formula>AND($W$1523&lt;&gt;"Not Met",LEN(TRIM($W$1523))&gt;0)</formula>
    </cfRule>
  </conditionalFormatting>
  <conditionalFormatting sqref="W1523">
    <cfRule type="expression" dxfId="719" priority="1196">
      <formula>OR($S$1523 = FALSE, AND($P$1523 = FALSE, ReportType &lt;&gt; "Final"), AND($Q$1523 = FALSE, ReportType &lt;&gt; "Rough"))</formula>
    </cfRule>
  </conditionalFormatting>
  <conditionalFormatting sqref="W1523">
    <cfRule type="expression" dxfId="718" priority="1195">
      <formula>OR($T$1523 = TRUE, AND(LEN(TRIM($W$1523))&gt;0, $S$1523 = FALSE))</formula>
    </cfRule>
  </conditionalFormatting>
  <conditionalFormatting sqref="W1537">
    <cfRule type="expression" dxfId="717" priority="1194">
      <formula>AND($R$1537,$S$1537)</formula>
    </cfRule>
  </conditionalFormatting>
  <conditionalFormatting sqref="W1537">
    <cfRule type="expression" dxfId="716" priority="1193">
      <formula>AND($W$1537&lt;&gt;"Not Met",LEN(TRIM($W$1537))&gt;0)</formula>
    </cfRule>
  </conditionalFormatting>
  <conditionalFormatting sqref="W1537">
    <cfRule type="expression" dxfId="715" priority="1192">
      <formula>OR($S$1537 = FALSE, AND($P$1537 = FALSE, ReportType &lt;&gt; "Final"), AND($Q$1537 = FALSE, ReportType &lt;&gt; "Rough"))</formula>
    </cfRule>
  </conditionalFormatting>
  <conditionalFormatting sqref="W1537">
    <cfRule type="expression" dxfId="714" priority="1191">
      <formula>OR($T$1537 = TRUE, AND(LEN(TRIM($W$1537))&gt;0, $S$1537 = FALSE))</formula>
    </cfRule>
  </conditionalFormatting>
  <conditionalFormatting sqref="W1539">
    <cfRule type="expression" dxfId="713" priority="1190">
      <formula>AND($R$1539,$S$1539)</formula>
    </cfRule>
  </conditionalFormatting>
  <conditionalFormatting sqref="W1539">
    <cfRule type="expression" dxfId="712" priority="1189">
      <formula>AND(IF($R$1539,$W$1539,TRUE),LEN(TRIM($W$1539))&gt;0)</formula>
    </cfRule>
  </conditionalFormatting>
  <conditionalFormatting sqref="W1539">
    <cfRule type="expression" dxfId="711" priority="1188">
      <formula>OR($S$1539 = FALSE, AND($P$1539 = FALSE, ReportType &lt;&gt; "Final"), AND($Q$1539 = FALSE, ReportType &lt;&gt; "Rough"))</formula>
    </cfRule>
  </conditionalFormatting>
  <conditionalFormatting sqref="W1539">
    <cfRule type="expression" dxfId="710" priority="1187">
      <formula>OR($T$1539 = TRUE, AND($W$1539 = TRUE, $S$1539 = FALSE))</formula>
    </cfRule>
  </conditionalFormatting>
  <conditionalFormatting sqref="W1540">
    <cfRule type="expression" dxfId="709" priority="1186">
      <formula>AND($R$1540,$S$1540)</formula>
    </cfRule>
  </conditionalFormatting>
  <conditionalFormatting sqref="W1540">
    <cfRule type="expression" dxfId="708" priority="1185">
      <formula>AND(IF($R$1540,$W$1540,TRUE),LEN(TRIM($W$1540))&gt;0)</formula>
    </cfRule>
  </conditionalFormatting>
  <conditionalFormatting sqref="W1540">
    <cfRule type="expression" dxfId="707" priority="1184">
      <formula>OR($S$1540 = FALSE, AND($P$1540 = FALSE, ReportType &lt;&gt; "Final"), AND($Q$1540 = FALSE, ReportType &lt;&gt; "Rough"))</formula>
    </cfRule>
  </conditionalFormatting>
  <conditionalFormatting sqref="W1540">
    <cfRule type="expression" dxfId="706" priority="1183">
      <formula>OR($T$1540 = TRUE, AND($W$1540 = TRUE, $S$1540 = FALSE))</formula>
    </cfRule>
  </conditionalFormatting>
  <conditionalFormatting sqref="W1547">
    <cfRule type="expression" dxfId="705" priority="1182">
      <formula>AND($R$1547,$S$1547)</formula>
    </cfRule>
  </conditionalFormatting>
  <conditionalFormatting sqref="W1547">
    <cfRule type="expression" dxfId="704" priority="1181">
      <formula>AND($W$1547&lt;&gt;"Not Met",LEN(TRIM($W$1547))&gt;0)</formula>
    </cfRule>
  </conditionalFormatting>
  <conditionalFormatting sqref="W1547">
    <cfRule type="expression" dxfId="703" priority="1180">
      <formula>OR($S$1547 = FALSE, AND($P$1547 = FALSE, ReportType &lt;&gt; "Final"), AND($Q$1547 = FALSE, ReportType &lt;&gt; "Rough"))</formula>
    </cfRule>
  </conditionalFormatting>
  <conditionalFormatting sqref="W1547">
    <cfRule type="expression" dxfId="702" priority="1179">
      <formula>OR($T$1547 = TRUE, AND(LEN(TRIM($W$1547))&gt;0, $S$1547 = FALSE))</formula>
    </cfRule>
  </conditionalFormatting>
  <conditionalFormatting sqref="W1549">
    <cfRule type="expression" dxfId="701" priority="1178">
      <formula>AND($R$1549,$S$1549)</formula>
    </cfRule>
  </conditionalFormatting>
  <conditionalFormatting sqref="W1549">
    <cfRule type="expression" dxfId="700" priority="1177">
      <formula>AND(IF($R$1549,$W$1549,TRUE),LEN(TRIM($W$1549))&gt;0)</formula>
    </cfRule>
  </conditionalFormatting>
  <conditionalFormatting sqref="W1549">
    <cfRule type="expression" dxfId="699" priority="1176">
      <formula>OR($S$1549 = FALSE, AND($P$1549 = FALSE, ReportType &lt;&gt; "Final"), AND($Q$1549 = FALSE, ReportType &lt;&gt; "Rough"))</formula>
    </cfRule>
  </conditionalFormatting>
  <conditionalFormatting sqref="W1549">
    <cfRule type="expression" dxfId="698" priority="1175">
      <formula>OR($T$1549 = TRUE, AND($W$1549 = TRUE, $S$1549 = FALSE))</formula>
    </cfRule>
  </conditionalFormatting>
  <conditionalFormatting sqref="W1556">
    <cfRule type="expression" dxfId="697" priority="1174">
      <formula>AND($R$1556,$S$1556)</formula>
    </cfRule>
  </conditionalFormatting>
  <conditionalFormatting sqref="W1556">
    <cfRule type="expression" dxfId="696" priority="1173">
      <formula>AND(IF($R$1556,$W$1556,TRUE),LEN(TRIM($W$1556))&gt;0)</formula>
    </cfRule>
  </conditionalFormatting>
  <conditionalFormatting sqref="W1556">
    <cfRule type="expression" dxfId="695" priority="1172">
      <formula>OR($S$1556 = FALSE, AND($P$1556 = FALSE, ReportType &lt;&gt; "Final"), AND($Q$1556 = FALSE, ReportType &lt;&gt; "Rough"))</formula>
    </cfRule>
  </conditionalFormatting>
  <conditionalFormatting sqref="W1556">
    <cfRule type="expression" dxfId="694" priority="1171">
      <formula>OR($T$1556 = TRUE, AND($W$1556 = TRUE, $S$1556 = FALSE))</formula>
    </cfRule>
  </conditionalFormatting>
  <conditionalFormatting sqref="W1557">
    <cfRule type="expression" dxfId="693" priority="1170">
      <formula>AND($R$1557,$S$1557)</formula>
    </cfRule>
  </conditionalFormatting>
  <conditionalFormatting sqref="W1557">
    <cfRule type="expression" dxfId="692" priority="1169">
      <formula>AND(IF($R$1557,$W$1557,TRUE),LEN(TRIM($W$1557))&gt;0)</formula>
    </cfRule>
  </conditionalFormatting>
  <conditionalFormatting sqref="W1557">
    <cfRule type="expression" dxfId="691" priority="1168">
      <formula>OR($S$1557 = FALSE, AND($P$1557 = FALSE, ReportType &lt;&gt; "Final"), AND($Q$1557 = FALSE, ReportType &lt;&gt; "Rough"))</formula>
    </cfRule>
  </conditionalFormatting>
  <conditionalFormatting sqref="W1557">
    <cfRule type="expression" dxfId="690" priority="1167">
      <formula>OR($T$1557 = TRUE, AND($W$1557 = TRUE, $S$1557 = FALSE))</formula>
    </cfRule>
  </conditionalFormatting>
  <conditionalFormatting sqref="W1558">
    <cfRule type="expression" dxfId="689" priority="1166">
      <formula>AND($R$1558,$S$1558)</formula>
    </cfRule>
  </conditionalFormatting>
  <conditionalFormatting sqref="W1558">
    <cfRule type="expression" dxfId="688" priority="1165">
      <formula>AND(IF($R$1558,$W$1558,TRUE),LEN(TRIM($W$1558))&gt;0)</formula>
    </cfRule>
  </conditionalFormatting>
  <conditionalFormatting sqref="W1558">
    <cfRule type="expression" dxfId="687" priority="1164">
      <formula>OR($S$1558 = FALSE, AND($P$1558 = FALSE, ReportType &lt;&gt; "Final"), AND($Q$1558 = FALSE, ReportType &lt;&gt; "Rough"))</formula>
    </cfRule>
  </conditionalFormatting>
  <conditionalFormatting sqref="W1558">
    <cfRule type="expression" dxfId="686" priority="1163">
      <formula>OR($T$1558 = TRUE, AND($W$1558 = TRUE, $S$1558 = FALSE))</formula>
    </cfRule>
  </conditionalFormatting>
  <conditionalFormatting sqref="W1561">
    <cfRule type="expression" dxfId="685" priority="1162">
      <formula>AND($R$1561,$S$1561)</formula>
    </cfRule>
  </conditionalFormatting>
  <conditionalFormatting sqref="W1561">
    <cfRule type="expression" dxfId="684" priority="1161">
      <formula>AND(IF($R$1561,$W$1561,TRUE),LEN(TRIM($W$1561))&gt;0)</formula>
    </cfRule>
  </conditionalFormatting>
  <conditionalFormatting sqref="W1561">
    <cfRule type="expression" dxfId="683" priority="1160">
      <formula>OR($S$1561 = FALSE, AND($P$1561 = FALSE, ReportType &lt;&gt; "Final"), AND($Q$1561 = FALSE, ReportType &lt;&gt; "Rough"))</formula>
    </cfRule>
  </conditionalFormatting>
  <conditionalFormatting sqref="W1561">
    <cfRule type="expression" dxfId="682" priority="1159">
      <formula>OR($T$1561 = TRUE, AND($W$1561 = TRUE, $S$1561 = FALSE))</formula>
    </cfRule>
  </conditionalFormatting>
  <conditionalFormatting sqref="W1563">
    <cfRule type="expression" dxfId="681" priority="1158">
      <formula>AND($R$1563,$S$1563)</formula>
    </cfRule>
  </conditionalFormatting>
  <conditionalFormatting sqref="W1563">
    <cfRule type="expression" dxfId="680" priority="1157">
      <formula>AND(IF($R$1563,$W$1563,TRUE),LEN(TRIM($W$1563))&gt;0)</formula>
    </cfRule>
  </conditionalFormatting>
  <conditionalFormatting sqref="W1563">
    <cfRule type="expression" dxfId="679" priority="1156">
      <formula>OR($S$1563 = FALSE, AND($P$1563 = FALSE, ReportType &lt;&gt; "Final"), AND($Q$1563 = FALSE, ReportType &lt;&gt; "Rough"))</formula>
    </cfRule>
  </conditionalFormatting>
  <conditionalFormatting sqref="W1563">
    <cfRule type="expression" dxfId="678" priority="1155">
      <formula>OR($T$1563 = TRUE, AND($W$1563 = TRUE, $S$1563 = FALSE))</formula>
    </cfRule>
  </conditionalFormatting>
  <conditionalFormatting sqref="W1746">
    <cfRule type="expression" dxfId="677" priority="888">
      <formula>AND(R1746,S1746)</formula>
    </cfRule>
  </conditionalFormatting>
  <conditionalFormatting sqref="W1746">
    <cfRule type="expression" dxfId="676" priority="887">
      <formula>AND(IF(R1746,W1746,TRUE),LEN(TRIM(W1746))&gt;0)</formula>
    </cfRule>
  </conditionalFormatting>
  <conditionalFormatting sqref="W1746">
    <cfRule type="expression" dxfId="675" priority="886">
      <formula>OR(S1746 = FALSE, AND(P1746 = FALSE, ReportType &lt;&gt; "Final"), AND(Q1746 = FALSE, ReportType &lt;&gt; "Rough"))</formula>
    </cfRule>
  </conditionalFormatting>
  <conditionalFormatting sqref="W1746">
    <cfRule type="expression" dxfId="674" priority="885">
      <formula>OR(T1746 = TRUE, AND(W1746 = TRUE, S1746 = FALSE))</formula>
    </cfRule>
  </conditionalFormatting>
  <conditionalFormatting sqref="W1748">
    <cfRule type="expression" dxfId="673" priority="884">
      <formula>AND(R1748,S1748)</formula>
    </cfRule>
  </conditionalFormatting>
  <conditionalFormatting sqref="W1748">
    <cfRule type="expression" dxfId="672" priority="883">
      <formula>AND(IF(R1748,W1748,TRUE),LEN(TRIM(W1748))&gt;0)</formula>
    </cfRule>
  </conditionalFormatting>
  <conditionalFormatting sqref="W1748">
    <cfRule type="expression" dxfId="671" priority="882">
      <formula>OR(S1748 = FALSE, AND(P1748 = FALSE, ReportType &lt;&gt; "Final"), AND(Q1748 = FALSE, ReportType &lt;&gt; "Rough"))</formula>
    </cfRule>
  </conditionalFormatting>
  <conditionalFormatting sqref="W1748">
    <cfRule type="expression" dxfId="670" priority="881">
      <formula>OR(T1748 = TRUE, AND(W1748 = TRUE, S1748 = FALSE))</formula>
    </cfRule>
  </conditionalFormatting>
  <conditionalFormatting sqref="W1755">
    <cfRule type="expression" dxfId="669" priority="880">
      <formula>AND(R1755,S1755)</formula>
    </cfRule>
  </conditionalFormatting>
  <conditionalFormatting sqref="W1755">
    <cfRule type="expression" dxfId="668" priority="879">
      <formula>AND(IF(R1755,W1755,TRUE),LEN(TRIM(W1755))&gt;0)</formula>
    </cfRule>
  </conditionalFormatting>
  <conditionalFormatting sqref="W1755">
    <cfRule type="expression" dxfId="667" priority="878">
      <formula>OR(S1755 = FALSE, AND(P1755 = FALSE, ReportType &lt;&gt; "Final"), AND(Q1755 = FALSE, ReportType &lt;&gt; "Rough"))</formula>
    </cfRule>
  </conditionalFormatting>
  <conditionalFormatting sqref="W1755">
    <cfRule type="expression" dxfId="666" priority="877">
      <formula>OR(T1755 = TRUE, AND(W1755 = TRUE, S1755 = FALSE))</formula>
    </cfRule>
  </conditionalFormatting>
  <conditionalFormatting sqref="W1757">
    <cfRule type="expression" dxfId="665" priority="876">
      <formula>AND(R1757,S1757)</formula>
    </cfRule>
  </conditionalFormatting>
  <conditionalFormatting sqref="W1757">
    <cfRule type="expression" dxfId="664" priority="875">
      <formula>AND(IF(R1757,W1757,TRUE),LEN(TRIM(W1757))&gt;0)</formula>
    </cfRule>
  </conditionalFormatting>
  <conditionalFormatting sqref="W1757">
    <cfRule type="expression" dxfId="663" priority="874">
      <formula>OR(S1757 = FALSE, AND(P1757 = FALSE, ReportType &lt;&gt; "Final"), AND(Q1757 = FALSE, ReportType &lt;&gt; "Rough"))</formula>
    </cfRule>
  </conditionalFormatting>
  <conditionalFormatting sqref="W1757">
    <cfRule type="expression" dxfId="662" priority="873">
      <formula>OR(T1757 = TRUE, AND(W1757 = TRUE, S1757 = FALSE))</formula>
    </cfRule>
  </conditionalFormatting>
  <conditionalFormatting sqref="X1628:X1632">
    <cfRule type="expression" dxfId="661" priority="872">
      <formula>W1628="N/A"</formula>
    </cfRule>
  </conditionalFormatting>
  <conditionalFormatting sqref="W1569">
    <cfRule type="expression" dxfId="660" priority="867">
      <formula>AND($R$1569,$S$1569)</formula>
    </cfRule>
  </conditionalFormatting>
  <conditionalFormatting sqref="W1569">
    <cfRule type="expression" dxfId="659" priority="866">
      <formula>AND(IF($R$1569,$W$1569,TRUE),LEN(TRIM($W$1569))&gt;0)</formula>
    </cfRule>
  </conditionalFormatting>
  <conditionalFormatting sqref="W1569">
    <cfRule type="expression" dxfId="658" priority="865">
      <formula>OR($S$1569 = FALSE, AND($P$1569 = FALSE, ReportType &lt;&gt; "Final"), AND($Q$1569 = FALSE, ReportType &lt;&gt; "Rough"))</formula>
    </cfRule>
  </conditionalFormatting>
  <conditionalFormatting sqref="W1569">
    <cfRule type="expression" dxfId="657" priority="864">
      <formula>OR($T$1569 = TRUE, AND($W$1569 = TRUE, $S$1569 = FALSE))</formula>
    </cfRule>
  </conditionalFormatting>
  <conditionalFormatting sqref="W1575">
    <cfRule type="expression" dxfId="656" priority="863">
      <formula>AND($R$1575,$S$1575)</formula>
    </cfRule>
  </conditionalFormatting>
  <conditionalFormatting sqref="W1575">
    <cfRule type="expression" dxfId="655" priority="862">
      <formula>AND(IF($R$1575,$W$1575,TRUE),LEN(TRIM($W$1575))&gt;0)</formula>
    </cfRule>
  </conditionalFormatting>
  <conditionalFormatting sqref="W1575">
    <cfRule type="expression" dxfId="654" priority="861">
      <formula>OR($S$1575 = FALSE, AND($P$1575 = FALSE, ReportType &lt;&gt; "Final"), AND($Q$1575 = FALSE, ReportType &lt;&gt; "Rough"))</formula>
    </cfRule>
  </conditionalFormatting>
  <conditionalFormatting sqref="W1575">
    <cfRule type="expression" dxfId="653" priority="860">
      <formula>OR($T$1575 = TRUE, AND($W$1575 = TRUE, $S$1575 = FALSE))</formula>
    </cfRule>
  </conditionalFormatting>
  <conditionalFormatting sqref="W1580">
    <cfRule type="expression" dxfId="652" priority="859">
      <formula>AND($R$1580,$S$1580)</formula>
    </cfRule>
  </conditionalFormatting>
  <conditionalFormatting sqref="W1580">
    <cfRule type="expression" dxfId="651" priority="858">
      <formula>AND($W$1580&lt;&gt;"Not Met",LEN(TRIM($W$1580))&gt;0)</formula>
    </cfRule>
  </conditionalFormatting>
  <conditionalFormatting sqref="W1580">
    <cfRule type="expression" dxfId="650" priority="857">
      <formula>OR($S$1580 = FALSE, AND($P$1580 = FALSE, ReportType &lt;&gt; "Final"), AND($Q$1580 = FALSE, ReportType &lt;&gt; "Rough"))</formula>
    </cfRule>
  </conditionalFormatting>
  <conditionalFormatting sqref="W1580">
    <cfRule type="expression" dxfId="649" priority="856">
      <formula>OR($T$1580 = TRUE, AND(LEN(TRIM($W$1580))&gt;0, $S$1580 = FALSE))</formula>
    </cfRule>
  </conditionalFormatting>
  <conditionalFormatting sqref="W1583">
    <cfRule type="expression" dxfId="648" priority="855">
      <formula>AND($R$1583,$S$1583)</formula>
    </cfRule>
  </conditionalFormatting>
  <conditionalFormatting sqref="W1583">
    <cfRule type="expression" dxfId="647" priority="854">
      <formula>AND($W$1583&lt;&gt;"Not Met",LEN(TRIM($W$1583))&gt;0)</formula>
    </cfRule>
  </conditionalFormatting>
  <conditionalFormatting sqref="W1583">
    <cfRule type="expression" dxfId="646" priority="853">
      <formula>OR($S$1583 = FALSE, AND($P$1583 = FALSE, ReportType &lt;&gt; "Final"), AND($Q$1583 = FALSE, ReportType &lt;&gt; "Rough"))</formula>
    </cfRule>
  </conditionalFormatting>
  <conditionalFormatting sqref="W1583">
    <cfRule type="expression" dxfId="645" priority="852">
      <formula>OR($T$1583 = TRUE, AND(LEN(TRIM($W$1583))&gt;0, $S$1583 = FALSE))</formula>
    </cfRule>
  </conditionalFormatting>
  <conditionalFormatting sqref="W1586">
    <cfRule type="expression" dxfId="644" priority="851">
      <formula>AND($R$1586,$S$1586)</formula>
    </cfRule>
  </conditionalFormatting>
  <conditionalFormatting sqref="W1586">
    <cfRule type="expression" dxfId="643" priority="850">
      <formula>AND($W$1586&lt;&gt;"Not Met",LEN(TRIM($W$1586))&gt;0)</formula>
    </cfRule>
  </conditionalFormatting>
  <conditionalFormatting sqref="W1586">
    <cfRule type="expression" dxfId="642" priority="849">
      <formula>OR($S$1586 = FALSE, AND($P$1586 = FALSE, ReportType &lt;&gt; "Final"), AND($Q$1586 = FALSE, ReportType &lt;&gt; "Rough"))</formula>
    </cfRule>
  </conditionalFormatting>
  <conditionalFormatting sqref="W1586">
    <cfRule type="expression" dxfId="641" priority="848">
      <formula>OR($T$1586 = TRUE, AND(LEN(TRIM($W$1586))&gt;0, $S$1586 = FALSE))</formula>
    </cfRule>
  </conditionalFormatting>
  <conditionalFormatting sqref="W1590">
    <cfRule type="expression" dxfId="640" priority="847">
      <formula>AND($R$1590,$S$1590)</formula>
    </cfRule>
  </conditionalFormatting>
  <conditionalFormatting sqref="W1590">
    <cfRule type="expression" dxfId="639" priority="846">
      <formula>AND(IF($R$1590,$W$1590,TRUE),LEN(TRIM($W$1590))&gt;0)</formula>
    </cfRule>
  </conditionalFormatting>
  <conditionalFormatting sqref="W1590">
    <cfRule type="expression" dxfId="638" priority="845">
      <formula>OR($S$1590 = FALSE, AND($P$1590 = FALSE, ReportType &lt;&gt; "Final"), AND($Q$1590 = FALSE, ReportType &lt;&gt; "Rough"))</formula>
    </cfRule>
  </conditionalFormatting>
  <conditionalFormatting sqref="W1590">
    <cfRule type="expression" dxfId="637" priority="844">
      <formula>OR($T$1590 = TRUE, AND($W$1590 = TRUE, $S$1590 = FALSE))</formula>
    </cfRule>
  </conditionalFormatting>
  <conditionalFormatting sqref="W1593">
    <cfRule type="expression" dxfId="636" priority="843">
      <formula>AND($R$1593,$S$1593)</formula>
    </cfRule>
  </conditionalFormatting>
  <conditionalFormatting sqref="W1593">
    <cfRule type="expression" dxfId="635" priority="842">
      <formula>AND($W$1593&lt;&gt;"Not Met",LEN(TRIM($W$1593))&gt;0)</formula>
    </cfRule>
  </conditionalFormatting>
  <conditionalFormatting sqref="W1593">
    <cfRule type="expression" dxfId="634" priority="841">
      <formula>OR($S$1593 = FALSE, AND($P$1593 = FALSE, ReportType &lt;&gt; "Final"), AND($Q$1593 = FALSE, ReportType &lt;&gt; "Rough"))</formula>
    </cfRule>
  </conditionalFormatting>
  <conditionalFormatting sqref="W1593">
    <cfRule type="expression" dxfId="633" priority="840">
      <formula>OR($T$1593 = TRUE, AND(LEN(TRIM($W$1593))&gt;0, $S$1593 = FALSE))</formula>
    </cfRule>
  </conditionalFormatting>
  <conditionalFormatting sqref="W1599">
    <cfRule type="expression" dxfId="632" priority="839">
      <formula>AND($R$1599,$S$1599)</formula>
    </cfRule>
  </conditionalFormatting>
  <conditionalFormatting sqref="W1599">
    <cfRule type="expression" dxfId="631" priority="838">
      <formula>AND($W$1599&lt;&gt;"Not Met",LEN(TRIM($W$1599))&gt;0)</formula>
    </cfRule>
  </conditionalFormatting>
  <conditionalFormatting sqref="W1599">
    <cfRule type="expression" dxfId="630" priority="837">
      <formula>OR($S$1599 = FALSE, AND($P$1599 = FALSE, ReportType &lt;&gt; "Final"), AND($Q$1599 = FALSE, ReportType &lt;&gt; "Rough"))</formula>
    </cfRule>
  </conditionalFormatting>
  <conditionalFormatting sqref="W1599">
    <cfRule type="expression" dxfId="629" priority="836">
      <formula>OR($T$1599 = TRUE, AND(LEN(TRIM($W$1599))&gt;0, $S$1599 = FALSE,W1599&lt;&gt;"N/A"))</formula>
    </cfRule>
  </conditionalFormatting>
  <conditionalFormatting sqref="W1602">
    <cfRule type="expression" dxfId="628" priority="835">
      <formula>AND($R$1602,$S$1602)</formula>
    </cfRule>
  </conditionalFormatting>
  <conditionalFormatting sqref="W1602">
    <cfRule type="expression" dxfId="627" priority="834">
      <formula>AND($W$1602&lt;&gt;"Not Met",LEN(TRIM($W$1602))&gt;0)</formula>
    </cfRule>
  </conditionalFormatting>
  <conditionalFormatting sqref="W1602">
    <cfRule type="expression" dxfId="626" priority="833">
      <formula>OR($S$1602 = FALSE, AND($P$1602 = FALSE, ReportType &lt;&gt; "Final"), AND($Q$1602 = FALSE, ReportType &lt;&gt; "Rough"))</formula>
    </cfRule>
  </conditionalFormatting>
  <conditionalFormatting sqref="W1602">
    <cfRule type="expression" dxfId="625" priority="832">
      <formula>OR($T$1602 = TRUE, AND(LEN(TRIM($W$1602))&gt;0, $S$1602 = FALSE,W1602&lt;&gt;"N/A"))</formula>
    </cfRule>
  </conditionalFormatting>
  <conditionalFormatting sqref="W1604">
    <cfRule type="expression" dxfId="624" priority="831">
      <formula>AND($R$1604,$S$1604)</formula>
    </cfRule>
  </conditionalFormatting>
  <conditionalFormatting sqref="W1604">
    <cfRule type="expression" dxfId="623" priority="830">
      <formula>AND($W$1604&lt;&gt;"Not Met",LEN(TRIM($W$1604))&gt;0)</formula>
    </cfRule>
  </conditionalFormatting>
  <conditionalFormatting sqref="W1604">
    <cfRule type="expression" dxfId="622" priority="829">
      <formula>OR($S$1604 = FALSE, AND($P$1604 = FALSE, ReportType &lt;&gt; "Final"), AND($Q$1604 = FALSE, ReportType &lt;&gt; "Rough"))</formula>
    </cfRule>
  </conditionalFormatting>
  <conditionalFormatting sqref="W1604">
    <cfRule type="expression" dxfId="621" priority="828">
      <formula>OR($T$1604 = TRUE, AND(LEN(TRIM($W$1604))&gt;0, $S$1604 = FALSE,W1604&lt;&gt;"N/A"))</formula>
    </cfRule>
  </conditionalFormatting>
  <conditionalFormatting sqref="W1607">
    <cfRule type="expression" dxfId="620" priority="827">
      <formula>AND($R$1607,$S$1607)</formula>
    </cfRule>
  </conditionalFormatting>
  <conditionalFormatting sqref="W1607">
    <cfRule type="expression" dxfId="619" priority="826">
      <formula>AND($W$1607&lt;&gt;"Not Met",LEN(TRIM($W$1607))&gt;0)</formula>
    </cfRule>
  </conditionalFormatting>
  <conditionalFormatting sqref="W1607">
    <cfRule type="expression" dxfId="618" priority="825">
      <formula>OR($S$1607 = FALSE, AND($P$1607 = FALSE, ReportType &lt;&gt; "Final"), AND($Q$1607 = FALSE, ReportType &lt;&gt; "Rough"))</formula>
    </cfRule>
  </conditionalFormatting>
  <conditionalFormatting sqref="W1607">
    <cfRule type="expression" dxfId="617" priority="824">
      <formula>OR($T$1607 = TRUE, AND(LEN(TRIM($W$1607))&gt;0, $S$1607 = FALSE,W1607&lt;&gt;"N/A"))</formula>
    </cfRule>
  </conditionalFormatting>
  <conditionalFormatting sqref="W1609">
    <cfRule type="expression" dxfId="616" priority="823">
      <formula>AND($R$1609,$S$1609)</formula>
    </cfRule>
  </conditionalFormatting>
  <conditionalFormatting sqref="W1609">
    <cfRule type="expression" dxfId="615" priority="822">
      <formula>AND($W$1609&lt;&gt;"Not Met",LEN(TRIM($W$1609))&gt;0)</formula>
    </cfRule>
  </conditionalFormatting>
  <conditionalFormatting sqref="W1609">
    <cfRule type="expression" dxfId="614" priority="821">
      <formula>OR($S$1609 = FALSE, AND($P$1609 = FALSE, ReportType &lt;&gt; "Final"), AND($Q$1609 = FALSE, ReportType &lt;&gt; "Rough"))</formula>
    </cfRule>
  </conditionalFormatting>
  <conditionalFormatting sqref="W1609">
    <cfRule type="expression" dxfId="613" priority="820">
      <formula>OR($T$1609 = TRUE, AND(LEN(TRIM($W$1609))&gt;0, $S$1609 = FALSE,W1609&lt;&gt;"N/A"))</formula>
    </cfRule>
  </conditionalFormatting>
  <conditionalFormatting sqref="W1618">
    <cfRule type="expression" dxfId="612" priority="819">
      <formula>AND($R$1618,$S$1618)</formula>
    </cfRule>
  </conditionalFormatting>
  <conditionalFormatting sqref="W1618">
    <cfRule type="expression" dxfId="611" priority="818">
      <formula>AND(IF($R$1618,$W$1618,TRUE),LEN(TRIM($W$1618))&gt;0)</formula>
    </cfRule>
  </conditionalFormatting>
  <conditionalFormatting sqref="W1618">
    <cfRule type="expression" dxfId="610" priority="817">
      <formula>OR($S$1618 = FALSE, AND($P$1618 = FALSE, ReportType &lt;&gt; "Final"), AND($Q$1618 = FALSE, ReportType &lt;&gt; "Rough"))</formula>
    </cfRule>
  </conditionalFormatting>
  <conditionalFormatting sqref="W1618">
    <cfRule type="expression" dxfId="609" priority="816">
      <formula>OR($T$1618 = TRUE, AND($W$1618 = TRUE, $S$1618 = FALSE))</formula>
    </cfRule>
  </conditionalFormatting>
  <conditionalFormatting sqref="W1624">
    <cfRule type="expression" dxfId="608" priority="815">
      <formula>AND($R$1624,$S$1624)</formula>
    </cfRule>
  </conditionalFormatting>
  <conditionalFormatting sqref="W1624">
    <cfRule type="expression" dxfId="607" priority="814">
      <formula>AND(IF($R$1624,$W$1624,TRUE),LEN(TRIM($W$1624))&gt;0)</formula>
    </cfRule>
  </conditionalFormatting>
  <conditionalFormatting sqref="W1624">
    <cfRule type="expression" dxfId="606" priority="813">
      <formula>OR($S$1624 = FALSE, AND($P$1624 = FALSE, ReportType &lt;&gt; "Final"), AND($Q$1624 = FALSE, ReportType &lt;&gt; "Rough"))</formula>
    </cfRule>
  </conditionalFormatting>
  <conditionalFormatting sqref="W1624">
    <cfRule type="expression" dxfId="605" priority="812">
      <formula>OR($T$1624 = TRUE, AND($W$1624 = TRUE, $S$1624 = FALSE))</formula>
    </cfRule>
  </conditionalFormatting>
  <conditionalFormatting sqref="W1628">
    <cfRule type="expression" dxfId="604" priority="811">
      <formula>AND($R$1628,$S$1628)</formula>
    </cfRule>
  </conditionalFormatting>
  <conditionalFormatting sqref="W1628">
    <cfRule type="expression" dxfId="603" priority="810">
      <formula>AND($W$1628&lt;&gt;"Not Met",LEN(TRIM($W$1628))&gt;0)</formula>
    </cfRule>
  </conditionalFormatting>
  <conditionalFormatting sqref="W1628">
    <cfRule type="expression" dxfId="602" priority="809">
      <formula>OR($S$1628 = FALSE, AND($P$1628 = FALSE, ReportType &lt;&gt; "Final"), AND($Q$1628 = FALSE, ReportType &lt;&gt; "Rough"))</formula>
    </cfRule>
  </conditionalFormatting>
  <conditionalFormatting sqref="W1628">
    <cfRule type="expression" dxfId="601" priority="808">
      <formula>OR($T$1628 = TRUE, AND(LEN(TRIM($W$1628))&gt;0, $S$1628 = FALSE))</formula>
    </cfRule>
  </conditionalFormatting>
  <conditionalFormatting sqref="W1633">
    <cfRule type="expression" dxfId="600" priority="807">
      <formula>AND($R$1633,$S$1633)</formula>
    </cfRule>
  </conditionalFormatting>
  <conditionalFormatting sqref="W1633">
    <cfRule type="expression" dxfId="599" priority="806">
      <formula>AND($W$1633&lt;&gt;"Not Met",LEN(TRIM($W$1633))&gt;0)</formula>
    </cfRule>
  </conditionalFormatting>
  <conditionalFormatting sqref="W1633">
    <cfRule type="expression" dxfId="598" priority="805">
      <formula>OR($S$1633 = FALSE, AND($P$1633 = FALSE, ReportType &lt;&gt; "Final"), AND($Q$1633 = FALSE, ReportType &lt;&gt; "Rough"))</formula>
    </cfRule>
  </conditionalFormatting>
  <conditionalFormatting sqref="W1633">
    <cfRule type="expression" dxfId="597" priority="804">
      <formula>OR($T$1633 = TRUE, AND(LEN(TRIM($W$1633))&gt;0, $S$1633 = FALSE))</formula>
    </cfRule>
  </conditionalFormatting>
  <conditionalFormatting sqref="W1634">
    <cfRule type="expression" dxfId="596" priority="803">
      <formula>AND($R$1634,$S$1634)</formula>
    </cfRule>
  </conditionalFormatting>
  <conditionalFormatting sqref="W1634">
    <cfRule type="expression" dxfId="595" priority="802">
      <formula>AND($W$1634&lt;&gt;"Not Met",LEN(TRIM($W$1634))&gt;0)</formula>
    </cfRule>
  </conditionalFormatting>
  <conditionalFormatting sqref="W1634">
    <cfRule type="expression" dxfId="594" priority="801">
      <formula>OR($S$1634 = FALSE, AND($P$1634 = FALSE, ReportType &lt;&gt; "Final"), AND($Q$1634 = FALSE, ReportType &lt;&gt; "Rough"))</formula>
    </cfRule>
  </conditionalFormatting>
  <conditionalFormatting sqref="W1634">
    <cfRule type="expression" dxfId="593" priority="800">
      <formula>OR($T$1634 = TRUE, AND(LEN(TRIM($W$1634))&gt;0, $S$1634 = FALSE))</formula>
    </cfRule>
  </conditionalFormatting>
  <conditionalFormatting sqref="W1635">
    <cfRule type="expression" dxfId="592" priority="799">
      <formula>AND($R$1635,$S$1635)</formula>
    </cfRule>
  </conditionalFormatting>
  <conditionalFormatting sqref="W1635">
    <cfRule type="expression" dxfId="591" priority="798">
      <formula>AND($W$1635&lt;&gt;"Not Met",LEN(TRIM($W$1635))&gt;0)</formula>
    </cfRule>
  </conditionalFormatting>
  <conditionalFormatting sqref="W1635">
    <cfRule type="expression" dxfId="590" priority="797">
      <formula>OR($S$1635 = FALSE, AND($P$1635 = FALSE, ReportType &lt;&gt; "Final"), AND($Q$1635 = FALSE, ReportType &lt;&gt; "Rough"))</formula>
    </cfRule>
  </conditionalFormatting>
  <conditionalFormatting sqref="W1635">
    <cfRule type="expression" dxfId="589" priority="796">
      <formula>OR($T$1635 = TRUE, AND(LEN(TRIM($W$1635))&gt;0, $S$1635 = FALSE))</formula>
    </cfRule>
  </conditionalFormatting>
  <conditionalFormatting sqref="W1636">
    <cfRule type="expression" dxfId="588" priority="795">
      <formula>AND($R$1636,$S$1636)</formula>
    </cfRule>
  </conditionalFormatting>
  <conditionalFormatting sqref="W1636">
    <cfRule type="expression" dxfId="587" priority="794">
      <formula>AND($W$1636&lt;&gt;"Not Met",LEN(TRIM($W$1636))&gt;0)</formula>
    </cfRule>
  </conditionalFormatting>
  <conditionalFormatting sqref="W1636">
    <cfRule type="expression" dxfId="586" priority="793">
      <formula>OR($S$1636 = FALSE, AND($P$1636 = FALSE, ReportType &lt;&gt; "Final"), AND($Q$1636 = FALSE, ReportType &lt;&gt; "Rough"))</formula>
    </cfRule>
  </conditionalFormatting>
  <conditionalFormatting sqref="W1636">
    <cfRule type="expression" dxfId="585" priority="792">
      <formula>OR($T$1636 = TRUE, AND(LEN(TRIM($W$1636))&gt;0, $S$1636 = FALSE))</formula>
    </cfRule>
  </conditionalFormatting>
  <conditionalFormatting sqref="W1647">
    <cfRule type="expression" dxfId="584" priority="791">
      <formula>AND($R$1647,$S$1647)</formula>
    </cfRule>
  </conditionalFormatting>
  <conditionalFormatting sqref="W1647">
    <cfRule type="expression" dxfId="583" priority="790">
      <formula>AND(IF($R$1647,$W$1647,TRUE),LEN(TRIM($W$1647))&gt;0)</formula>
    </cfRule>
  </conditionalFormatting>
  <conditionalFormatting sqref="W1647">
    <cfRule type="expression" dxfId="582" priority="789">
      <formula>OR($S$1647 = FALSE, AND($P$1647 = FALSE, ReportType &lt;&gt; "Final"), AND($Q$1647 = FALSE, ReportType &lt;&gt; "Rough"))</formula>
    </cfRule>
  </conditionalFormatting>
  <conditionalFormatting sqref="W1647">
    <cfRule type="expression" dxfId="581" priority="788">
      <formula>OR($T$1647 = TRUE, AND($W$1647 = TRUE, $S$1647 = FALSE))</formula>
    </cfRule>
  </conditionalFormatting>
  <conditionalFormatting sqref="W1649">
    <cfRule type="expression" dxfId="580" priority="787">
      <formula>AND($R$1649,$S$1649)</formula>
    </cfRule>
  </conditionalFormatting>
  <conditionalFormatting sqref="W1649">
    <cfRule type="expression" dxfId="579" priority="786">
      <formula>AND(IF($R$1649,$W$1649,TRUE),LEN(TRIM($W$1649))&gt;0)</formula>
    </cfRule>
  </conditionalFormatting>
  <conditionalFormatting sqref="W1649">
    <cfRule type="expression" dxfId="578" priority="785">
      <formula>OR($S$1649 = FALSE, AND($P$1649 = FALSE, ReportType &lt;&gt; "Final"), AND($Q$1649 = FALSE, ReportType &lt;&gt; "Rough"))</formula>
    </cfRule>
  </conditionalFormatting>
  <conditionalFormatting sqref="W1649">
    <cfRule type="expression" dxfId="577" priority="784">
      <formula>OR($T$1649 = TRUE, AND($W$1649 = TRUE, $S$1649 = FALSE))</formula>
    </cfRule>
  </conditionalFormatting>
  <conditionalFormatting sqref="W1652">
    <cfRule type="expression" dxfId="576" priority="783">
      <formula>AND($R$1652,$S$1652)</formula>
    </cfRule>
  </conditionalFormatting>
  <conditionalFormatting sqref="W1652">
    <cfRule type="expression" dxfId="575" priority="782">
      <formula>AND(IF($R$1652,$W$1652,TRUE),LEN(TRIM($W$1652))&gt;0)</formula>
    </cfRule>
  </conditionalFormatting>
  <conditionalFormatting sqref="W1652">
    <cfRule type="expression" dxfId="574" priority="781">
      <formula>OR($S$1652 = FALSE, AND($P$1652 = FALSE, ReportType &lt;&gt; "Final"), AND($Q$1652 = FALSE, ReportType &lt;&gt; "Rough"))</formula>
    </cfRule>
  </conditionalFormatting>
  <conditionalFormatting sqref="W1652">
    <cfRule type="expression" dxfId="573" priority="780">
      <formula>OR($T$1652 = TRUE, AND($W$1652 = TRUE, $S$1652 = FALSE))</formula>
    </cfRule>
  </conditionalFormatting>
  <conditionalFormatting sqref="W1675">
    <cfRule type="expression" dxfId="572" priority="779">
      <formula>AND($R$1675,$S$1675)</formula>
    </cfRule>
  </conditionalFormatting>
  <conditionalFormatting sqref="W1675">
    <cfRule type="expression" dxfId="571" priority="778">
      <formula>AND(IF($R$1675,$W$1675,TRUE),LEN(TRIM($W$1675))&gt;0)</formula>
    </cfRule>
  </conditionalFormatting>
  <conditionalFormatting sqref="W1675">
    <cfRule type="expression" dxfId="570" priority="777">
      <formula>OR($S$1675 = FALSE, AND($P$1675 = FALSE, ReportType &lt;&gt; "Final"), AND($Q$1675 = FALSE, ReportType &lt;&gt; "Rough"))</formula>
    </cfRule>
  </conditionalFormatting>
  <conditionalFormatting sqref="W1675">
    <cfRule type="expression" dxfId="569" priority="776">
      <formula>OR($T$1675 = TRUE, AND($W$1675 = TRUE, $S$1675 = FALSE))</formula>
    </cfRule>
  </conditionalFormatting>
  <conditionalFormatting sqref="W1686">
    <cfRule type="expression" dxfId="568" priority="775">
      <formula>AND($R$1686,$S$1686)</formula>
    </cfRule>
  </conditionalFormatting>
  <conditionalFormatting sqref="W1686">
    <cfRule type="expression" dxfId="567" priority="774">
      <formula>AND(IF($R$1686,$W$1686,TRUE),LEN(TRIM($W$1686))&gt;0)</formula>
    </cfRule>
  </conditionalFormatting>
  <conditionalFormatting sqref="W1686">
    <cfRule type="expression" dxfId="566" priority="773">
      <formula>OR($S$1686 = FALSE, AND($P$1686 = FALSE, ReportType &lt;&gt; "Final"), AND($Q$1686 = FALSE, ReportType &lt;&gt; "Rough"))</formula>
    </cfRule>
  </conditionalFormatting>
  <conditionalFormatting sqref="W1686">
    <cfRule type="expression" dxfId="565" priority="772">
      <formula>OR($T$1686 = TRUE, AND($W$1686 = TRUE, $S$1686 = FALSE))</formula>
    </cfRule>
  </conditionalFormatting>
  <conditionalFormatting sqref="W1688">
    <cfRule type="expression" dxfId="564" priority="771">
      <formula>AND($R$1688,$S$1688)</formula>
    </cfRule>
  </conditionalFormatting>
  <conditionalFormatting sqref="W1688">
    <cfRule type="expression" dxfId="563" priority="770">
      <formula>AND(IF($R$1688,$W$1688,TRUE),LEN(TRIM($W$1688))&gt;0)</formula>
    </cfRule>
  </conditionalFormatting>
  <conditionalFormatting sqref="W1688">
    <cfRule type="expression" dxfId="562" priority="769">
      <formula>OR($S$1688 = FALSE, AND($P$1688 = FALSE, ReportType &lt;&gt; "Final"), AND($Q$1688 = FALSE, ReportType &lt;&gt; "Rough"))</formula>
    </cfRule>
  </conditionalFormatting>
  <conditionalFormatting sqref="W1688">
    <cfRule type="expression" dxfId="561" priority="768">
      <formula>OR($T$1688 = TRUE, AND($W$1688 = TRUE, $S$1688 = FALSE))</formula>
    </cfRule>
  </conditionalFormatting>
  <conditionalFormatting sqref="W1689">
    <cfRule type="expression" dxfId="560" priority="767">
      <formula>AND($R$1689,$S$1689)</formula>
    </cfRule>
  </conditionalFormatting>
  <conditionalFormatting sqref="W1689">
    <cfRule type="expression" dxfId="559" priority="766">
      <formula>AND(IF($R$1689,$W$1689,TRUE),LEN(TRIM($W$1689))&gt;0)</formula>
    </cfRule>
  </conditionalFormatting>
  <conditionalFormatting sqref="W1689">
    <cfRule type="expression" dxfId="558" priority="765">
      <formula>OR($S$1689 = FALSE, AND($P$1689 = FALSE, ReportType &lt;&gt; "Final"), AND($Q$1689 = FALSE, ReportType &lt;&gt; "Rough"))</formula>
    </cfRule>
  </conditionalFormatting>
  <conditionalFormatting sqref="W1689">
    <cfRule type="expression" dxfId="557" priority="764">
      <formula>OR($T$1689 = TRUE, AND($W$1689 = TRUE, $S$1689 = FALSE))</formula>
    </cfRule>
  </conditionalFormatting>
  <conditionalFormatting sqref="W1691">
    <cfRule type="expression" dxfId="556" priority="763">
      <formula>AND($R$1691,$S$1691)</formula>
    </cfRule>
  </conditionalFormatting>
  <conditionalFormatting sqref="W1691">
    <cfRule type="expression" dxfId="555" priority="762">
      <formula>AND(IF($R$1691,$W$1691,TRUE),LEN(TRIM($W$1691))&gt;0)</formula>
    </cfRule>
  </conditionalFormatting>
  <conditionalFormatting sqref="W1691">
    <cfRule type="expression" dxfId="554" priority="761">
      <formula>OR($S$1691 = FALSE, AND($P$1691 = FALSE, ReportType &lt;&gt; "Final"), AND($Q$1691 = FALSE, ReportType &lt;&gt; "Rough"))</formula>
    </cfRule>
  </conditionalFormatting>
  <conditionalFormatting sqref="W1691">
    <cfRule type="expression" dxfId="553" priority="760">
      <formula>OR($T$1691 = TRUE, AND($W$1691 = TRUE, $S$1691 = FALSE))</formula>
    </cfRule>
  </conditionalFormatting>
  <conditionalFormatting sqref="W1696">
    <cfRule type="expression" dxfId="552" priority="759">
      <formula>AND($R$1696,$S$1696)</formula>
    </cfRule>
  </conditionalFormatting>
  <conditionalFormatting sqref="W1696">
    <cfRule type="expression" dxfId="551" priority="758">
      <formula>AND(IF($R$1696,$W$1696,TRUE),LEN(TRIM($W$1696))&gt;0)</formula>
    </cfRule>
  </conditionalFormatting>
  <conditionalFormatting sqref="W1696">
    <cfRule type="expression" dxfId="550" priority="757">
      <formula>OR($S$1696 = FALSE, AND($P$1696 = FALSE, ReportType &lt;&gt; "Final"), AND($Q$1696 = FALSE, ReportType &lt;&gt; "Rough"))</formula>
    </cfRule>
  </conditionalFormatting>
  <conditionalFormatting sqref="W1696">
    <cfRule type="expression" dxfId="549" priority="756">
      <formula>OR($T$1696 = TRUE, AND($W$1696 = TRUE, $S$1696 = FALSE))</formula>
    </cfRule>
  </conditionalFormatting>
  <conditionalFormatting sqref="W1705">
    <cfRule type="expression" dxfId="548" priority="755">
      <formula>AND($R$1705,$S$1705)</formula>
    </cfRule>
  </conditionalFormatting>
  <conditionalFormatting sqref="W1705">
    <cfRule type="expression" dxfId="547" priority="754">
      <formula>AND(IF($R$1705,$W$1705,TRUE),LEN(TRIM($W$1705))&gt;0)</formula>
    </cfRule>
  </conditionalFormatting>
  <conditionalFormatting sqref="W1705">
    <cfRule type="expression" dxfId="546" priority="753">
      <formula>OR($S$1705 = FALSE, AND($P$1705 = FALSE, ReportType &lt;&gt; "Final"), AND($Q$1705 = FALSE, ReportType &lt;&gt; "Rough"))</formula>
    </cfRule>
  </conditionalFormatting>
  <conditionalFormatting sqref="W1705">
    <cfRule type="expression" dxfId="545" priority="752">
      <formula>OR($T$1705 = TRUE, AND($W$1705 = TRUE, $S$1705 = FALSE))</formula>
    </cfRule>
  </conditionalFormatting>
  <conditionalFormatting sqref="W1710">
    <cfRule type="expression" dxfId="544" priority="751">
      <formula>AND($R$1710,$S$1710)</formula>
    </cfRule>
  </conditionalFormatting>
  <conditionalFormatting sqref="W1710">
    <cfRule type="expression" dxfId="543" priority="750">
      <formula>AND(IF($R$1710,$W$1710,TRUE),LEN(TRIM($W$1710))&gt;0)</formula>
    </cfRule>
  </conditionalFormatting>
  <conditionalFormatting sqref="W1710">
    <cfRule type="expression" dxfId="542" priority="749">
      <formula>OR($S$1710 = FALSE, AND($P$1710 = FALSE, ReportType &lt;&gt; "Final"), AND($Q$1710 = FALSE, ReportType &lt;&gt; "Rough"))</formula>
    </cfRule>
  </conditionalFormatting>
  <conditionalFormatting sqref="W1710">
    <cfRule type="expression" dxfId="541" priority="748">
      <formula>OR($T$1710 = TRUE, AND($W$1710 = TRUE, $S$1710 = FALSE))</formula>
    </cfRule>
  </conditionalFormatting>
  <conditionalFormatting sqref="W1711">
    <cfRule type="expression" dxfId="540" priority="747">
      <formula>AND($R$1711,$S$1711)</formula>
    </cfRule>
  </conditionalFormatting>
  <conditionalFormatting sqref="W1711">
    <cfRule type="expression" dxfId="539" priority="746">
      <formula>AND(IF($R$1711,$W$1711,TRUE),LEN(TRIM($W$1711))&gt;0)</formula>
    </cfRule>
  </conditionalFormatting>
  <conditionalFormatting sqref="W1711">
    <cfRule type="expression" dxfId="538" priority="745">
      <formula>OR($S$1711 = FALSE, AND($P$1711 = FALSE, ReportType &lt;&gt; "Final"), AND($Q$1711 = FALSE, ReportType &lt;&gt; "Rough"))</formula>
    </cfRule>
  </conditionalFormatting>
  <conditionalFormatting sqref="W1711">
    <cfRule type="expression" dxfId="537" priority="744">
      <formula>OR($T$1711 = TRUE, AND($W$1711 = TRUE, $S$1711 = FALSE))</formula>
    </cfRule>
  </conditionalFormatting>
  <conditionalFormatting sqref="W1715">
    <cfRule type="expression" dxfId="536" priority="743">
      <formula>AND($R$1715,$S$1715)</formula>
    </cfRule>
  </conditionalFormatting>
  <conditionalFormatting sqref="W1715">
    <cfRule type="expression" dxfId="535" priority="742">
      <formula>AND(IF($R$1715,$W$1715,TRUE),LEN(TRIM($W$1715))&gt;0)</formula>
    </cfRule>
  </conditionalFormatting>
  <conditionalFormatting sqref="W1715">
    <cfRule type="expression" dxfId="534" priority="741">
      <formula>OR($S$1715 = FALSE, AND($P$1715 = FALSE, ReportType &lt;&gt; "Final"), AND($Q$1715 = FALSE, ReportType &lt;&gt; "Rough"))</formula>
    </cfRule>
  </conditionalFormatting>
  <conditionalFormatting sqref="W1715">
    <cfRule type="expression" dxfId="533" priority="740">
      <formula>OR($T$1715 = TRUE, AND($W$1715 = TRUE, $S$1715 = FALSE))</formula>
    </cfRule>
  </conditionalFormatting>
  <conditionalFormatting sqref="W1720">
    <cfRule type="expression" dxfId="532" priority="739">
      <formula>AND($R$1720,$S$1720)</formula>
    </cfRule>
  </conditionalFormatting>
  <conditionalFormatting sqref="W1720">
    <cfRule type="expression" dxfId="531" priority="738">
      <formula>AND($W$1720&lt;&gt;"Not Met",LEN(TRIM($W$1720))&gt;0)</formula>
    </cfRule>
  </conditionalFormatting>
  <conditionalFormatting sqref="W1720">
    <cfRule type="expression" dxfId="530" priority="737">
      <formula>OR($S$1720 = FALSE, AND($P$1720 = FALSE, ReportType &lt;&gt; "Final"), AND($Q$1720 = FALSE, ReportType &lt;&gt; "Rough"))</formula>
    </cfRule>
  </conditionalFormatting>
  <conditionalFormatting sqref="W1720">
    <cfRule type="expression" dxfId="529" priority="736">
      <formula>OR($T$1720 = TRUE, AND(LEN(TRIM($W$1720))&gt;0, $S$1720 = FALSE))</formula>
    </cfRule>
  </conditionalFormatting>
  <conditionalFormatting sqref="W1724">
    <cfRule type="expression" dxfId="528" priority="735">
      <formula>AND($R$1724,$S$1724)</formula>
    </cfRule>
  </conditionalFormatting>
  <conditionalFormatting sqref="W1724">
    <cfRule type="expression" dxfId="527" priority="734">
      <formula>AND(IF($R$1724,$W$1724,TRUE),LEN(TRIM($W$1724))&gt;0)</formula>
    </cfRule>
  </conditionalFormatting>
  <conditionalFormatting sqref="W1724">
    <cfRule type="expression" dxfId="526" priority="733">
      <formula>OR($S$1724 = FALSE, AND($P$1724 = FALSE, ReportType &lt;&gt; "Final"), AND($Q$1724 = FALSE, ReportType &lt;&gt; "Rough"))</formula>
    </cfRule>
  </conditionalFormatting>
  <conditionalFormatting sqref="W1724">
    <cfRule type="expression" dxfId="525" priority="732">
      <formula>OR($T$1724 = TRUE, AND($W$1724 = TRUE, $S$1724 = FALSE))</formula>
    </cfRule>
  </conditionalFormatting>
  <conditionalFormatting sqref="W1725">
    <cfRule type="expression" dxfId="524" priority="731">
      <formula>AND($R$1725,$S$1725)</formula>
    </cfRule>
  </conditionalFormatting>
  <conditionalFormatting sqref="W1725">
    <cfRule type="expression" dxfId="523" priority="730">
      <formula>AND(IF($R$1725,$W$1725,TRUE),LEN(TRIM($W$1725))&gt;0)</formula>
    </cfRule>
  </conditionalFormatting>
  <conditionalFormatting sqref="W1725">
    <cfRule type="expression" dxfId="522" priority="729">
      <formula>OR($S$1725 = FALSE, AND($P$1725 = FALSE, ReportType &lt;&gt; "Final"), AND($Q$1725 = FALSE, ReportType &lt;&gt; "Rough"))</formula>
    </cfRule>
  </conditionalFormatting>
  <conditionalFormatting sqref="W1725">
    <cfRule type="expression" dxfId="521" priority="728">
      <formula>OR($T$1725 = TRUE, AND($W$1725 = TRUE, $S$1725 = FALSE))</formula>
    </cfRule>
  </conditionalFormatting>
  <conditionalFormatting sqref="W1728">
    <cfRule type="expression" dxfId="520" priority="727">
      <formula>AND($R$1728,$S$1728)</formula>
    </cfRule>
  </conditionalFormatting>
  <conditionalFormatting sqref="W1728">
    <cfRule type="expression" dxfId="519" priority="726">
      <formula>AND(IF($R$1728,$W$1728,TRUE),LEN(TRIM($W$1728))&gt;0)</formula>
    </cfRule>
  </conditionalFormatting>
  <conditionalFormatting sqref="W1728">
    <cfRule type="expression" dxfId="518" priority="725">
      <formula>OR($S$1728 = FALSE, AND($P$1728 = FALSE, ReportType &lt;&gt; "Final"), AND($Q$1728 = FALSE, ReportType &lt;&gt; "Rough"))</formula>
    </cfRule>
  </conditionalFormatting>
  <conditionalFormatting sqref="W1728">
    <cfRule type="expression" dxfId="517" priority="724">
      <formula>OR($T$1728 = TRUE, AND($W$1728 = TRUE, $S$1728 = FALSE))</formula>
    </cfRule>
  </conditionalFormatting>
  <conditionalFormatting sqref="W1730">
    <cfRule type="expression" dxfId="516" priority="723">
      <formula>AND($R$1730,$S$1730)</formula>
    </cfRule>
  </conditionalFormatting>
  <conditionalFormatting sqref="W1730">
    <cfRule type="expression" dxfId="515" priority="722">
      <formula>AND(IF($R$1730,$W$1730,TRUE),LEN(TRIM($W$1730))&gt;0)</formula>
    </cfRule>
  </conditionalFormatting>
  <conditionalFormatting sqref="W1730">
    <cfRule type="expression" dxfId="514" priority="721">
      <formula>OR($S$1730 = FALSE, AND($P$1730 = FALSE, ReportType &lt;&gt; "Final"), AND($Q$1730 = FALSE, ReportType &lt;&gt; "Rough"))</formula>
    </cfRule>
  </conditionalFormatting>
  <conditionalFormatting sqref="W1730">
    <cfRule type="expression" dxfId="513" priority="720">
      <formula>OR($T$1730 = TRUE, AND($W$1730 = TRUE, $S$1730 = FALSE))</formula>
    </cfRule>
  </conditionalFormatting>
  <conditionalFormatting sqref="W1736">
    <cfRule type="expression" dxfId="512" priority="719">
      <formula>AND($R$1736,$S$1736)</formula>
    </cfRule>
  </conditionalFormatting>
  <conditionalFormatting sqref="W1736">
    <cfRule type="expression" dxfId="511" priority="718">
      <formula>AND(IF($R$1736,$W$1736,TRUE),LEN(TRIM($W$1736))&gt;0)</formula>
    </cfRule>
  </conditionalFormatting>
  <conditionalFormatting sqref="W1736">
    <cfRule type="expression" dxfId="510" priority="717">
      <formula>OR($S$1736 = FALSE, AND($P$1736 = FALSE, ReportType &lt;&gt; "Final"), AND($Q$1736 = FALSE, ReportType &lt;&gt; "Rough"))</formula>
    </cfRule>
  </conditionalFormatting>
  <conditionalFormatting sqref="W1736">
    <cfRule type="expression" dxfId="509" priority="716">
      <formula>OR($T$1736 = TRUE, AND($W$1736 = TRUE, $S$1736 = FALSE))</formula>
    </cfRule>
  </conditionalFormatting>
  <conditionalFormatting sqref="W1738">
    <cfRule type="expression" dxfId="508" priority="715">
      <formula>AND($R$1738,$S$1738)</formula>
    </cfRule>
  </conditionalFormatting>
  <conditionalFormatting sqref="W1738">
    <cfRule type="expression" dxfId="507" priority="714">
      <formula>AND(IF($R$1738,$W$1738,TRUE),LEN(TRIM($W$1738))&gt;0)</formula>
    </cfRule>
  </conditionalFormatting>
  <conditionalFormatting sqref="W1738">
    <cfRule type="expression" dxfId="506" priority="713">
      <formula>OR($S$1738 = FALSE, AND($P$1738 = FALSE, ReportType &lt;&gt; "Final"), AND($Q$1738 = FALSE, ReportType &lt;&gt; "Rough"))</formula>
    </cfRule>
  </conditionalFormatting>
  <conditionalFormatting sqref="W1738">
    <cfRule type="expression" dxfId="505" priority="712">
      <formula>OR($T$1738 = TRUE, AND($W$1738 = TRUE, $S$1738 = FALSE))</formula>
    </cfRule>
  </conditionalFormatting>
  <conditionalFormatting sqref="W1740">
    <cfRule type="expression" dxfId="504" priority="711">
      <formula>AND($R$1740,$S$1740)</formula>
    </cfRule>
  </conditionalFormatting>
  <conditionalFormatting sqref="W1740">
    <cfRule type="expression" dxfId="503" priority="710">
      <formula>AND($W$1740&lt;&gt;"Not Met",LEN(TRIM($W$1740))&gt;0)</formula>
    </cfRule>
  </conditionalFormatting>
  <conditionalFormatting sqref="W1740">
    <cfRule type="expression" dxfId="502" priority="709">
      <formula>OR($S$1740 = FALSE, AND($P$1740 = FALSE, ReportType &lt;&gt; "Final"), AND($Q$1740 = FALSE, ReportType &lt;&gt; "Rough"))</formula>
    </cfRule>
  </conditionalFormatting>
  <conditionalFormatting sqref="W1740">
    <cfRule type="expression" dxfId="501" priority="708">
      <formula>OR($T$1740 = TRUE, AND(LEN(TRIM($W$1740))&gt;0, $S$1740 = FALSE))</formula>
    </cfRule>
  </conditionalFormatting>
  <conditionalFormatting sqref="W1742">
    <cfRule type="expression" dxfId="500" priority="707">
      <formula>AND($R$1742,$S$1742)</formula>
    </cfRule>
  </conditionalFormatting>
  <conditionalFormatting sqref="W1742">
    <cfRule type="expression" dxfId="499" priority="706">
      <formula>AND(IF($R$1742,$W$1742,TRUE),LEN(TRIM($W$1742))&gt;0)</formula>
    </cfRule>
  </conditionalFormatting>
  <conditionalFormatting sqref="W1742">
    <cfRule type="expression" dxfId="498" priority="705">
      <formula>OR($S$1742 = FALSE, AND($P$1742 = FALSE, ReportType &lt;&gt; "Final"), AND($Q$1742 = FALSE, ReportType &lt;&gt; "Rough"))</formula>
    </cfRule>
  </conditionalFormatting>
  <conditionalFormatting sqref="W1742">
    <cfRule type="expression" dxfId="497" priority="704">
      <formula>OR($T$1742 = TRUE, AND($W$1742 = TRUE, $S$1742 = FALSE))</formula>
    </cfRule>
  </conditionalFormatting>
  <conditionalFormatting sqref="W1749">
    <cfRule type="expression" dxfId="496" priority="703">
      <formula>AND($R$1749,$S$1749)</formula>
    </cfRule>
  </conditionalFormatting>
  <conditionalFormatting sqref="W1749">
    <cfRule type="expression" dxfId="495" priority="702">
      <formula>AND(IF($R$1749,$W$1749,TRUE),LEN(TRIM($W$1749))&gt;0)</formula>
    </cfRule>
  </conditionalFormatting>
  <conditionalFormatting sqref="W1749">
    <cfRule type="expression" dxfId="494" priority="701">
      <formula>OR($S$1749 = FALSE, AND($P$1749 = FALSE, ReportType &lt;&gt; "Final"), AND($Q$1749 = FALSE, ReportType &lt;&gt; "Rough"))</formula>
    </cfRule>
  </conditionalFormatting>
  <conditionalFormatting sqref="W1749">
    <cfRule type="expression" dxfId="493" priority="700">
      <formula>OR($T$1749 = TRUE, AND($W$1749 = TRUE, $S$1749 = FALSE))</formula>
    </cfRule>
  </conditionalFormatting>
  <conditionalFormatting sqref="W1760">
    <cfRule type="expression" dxfId="492" priority="699">
      <formula>AND($R$1760,$S$1760)</formula>
    </cfRule>
  </conditionalFormatting>
  <conditionalFormatting sqref="W1760">
    <cfRule type="expression" dxfId="491" priority="698">
      <formula>AND(IF($R$1760,$W$1760,TRUE),LEN(TRIM($W$1760))&gt;0)</formula>
    </cfRule>
  </conditionalFormatting>
  <conditionalFormatting sqref="W1760">
    <cfRule type="expression" dxfId="490" priority="697">
      <formula>OR($S$1760 = FALSE, AND($P$1760 = FALSE, ReportType &lt;&gt; "Final"), AND($Q$1760 = FALSE, ReportType &lt;&gt; "Rough"))</formula>
    </cfRule>
  </conditionalFormatting>
  <conditionalFormatting sqref="W1760">
    <cfRule type="expression" dxfId="489" priority="696">
      <formula>OR($T$1760 = TRUE, AND($W$1760 = TRUE, $S$1760 = FALSE))</formula>
    </cfRule>
  </conditionalFormatting>
  <conditionalFormatting sqref="W1762">
    <cfRule type="expression" dxfId="488" priority="695">
      <formula>AND($R$1762,$S$1762)</formula>
    </cfRule>
  </conditionalFormatting>
  <conditionalFormatting sqref="W1762">
    <cfRule type="expression" dxfId="487" priority="694">
      <formula>AND(IF($R$1762,$W$1762,TRUE),LEN(TRIM($W$1762))&gt;0)</formula>
    </cfRule>
  </conditionalFormatting>
  <conditionalFormatting sqref="W1762">
    <cfRule type="expression" dxfId="486" priority="693">
      <formula>OR($S$1762 = FALSE, AND($P$1762 = FALSE, ReportType &lt;&gt; "Final"), AND($Q$1762 = FALSE, ReportType &lt;&gt; "Rough"))</formula>
    </cfRule>
  </conditionalFormatting>
  <conditionalFormatting sqref="W1762">
    <cfRule type="expression" dxfId="485" priority="692">
      <formula>OR($T$1762 = TRUE, AND($W$1762 = TRUE, $S$1762 = FALSE))</formula>
    </cfRule>
  </conditionalFormatting>
  <conditionalFormatting sqref="W1764">
    <cfRule type="expression" dxfId="484" priority="691">
      <formula>AND($R$1764,$S$1764)</formula>
    </cfRule>
  </conditionalFormatting>
  <conditionalFormatting sqref="W1764">
    <cfRule type="expression" dxfId="483" priority="690">
      <formula>AND(IF($R$1764,$W$1764,TRUE),LEN(TRIM($W$1764))&gt;0)</formula>
    </cfRule>
  </conditionalFormatting>
  <conditionalFormatting sqref="W1764">
    <cfRule type="expression" dxfId="482" priority="689">
      <formula>OR($S$1764 = FALSE, AND($P$1764 = FALSE, ReportType &lt;&gt; "Final"), AND($Q$1764 = FALSE, ReportType &lt;&gt; "Rough"))</formula>
    </cfRule>
  </conditionalFormatting>
  <conditionalFormatting sqref="W1764">
    <cfRule type="expression" dxfId="481" priority="688">
      <formula>OR($T$1764 = TRUE, AND($W$1764 = TRUE, $S$1764 = FALSE))</formula>
    </cfRule>
  </conditionalFormatting>
  <conditionalFormatting sqref="W1768">
    <cfRule type="expression" dxfId="480" priority="687">
      <formula>AND($R$1768,$S$1768)</formula>
    </cfRule>
  </conditionalFormatting>
  <conditionalFormatting sqref="W1768">
    <cfRule type="expression" dxfId="479" priority="686">
      <formula>AND($W$1768&lt;&gt;"Not Met",LEN(TRIM($W$1768))&gt;0)</formula>
    </cfRule>
  </conditionalFormatting>
  <conditionalFormatting sqref="W1768">
    <cfRule type="expression" dxfId="478" priority="685">
      <formula>OR($S$1768 = FALSE, AND($P$1768 = FALSE, ReportType &lt;&gt; "Final"), AND($Q$1768 = FALSE, ReportType &lt;&gt; "Rough"))</formula>
    </cfRule>
  </conditionalFormatting>
  <conditionalFormatting sqref="W1768">
    <cfRule type="expression" dxfId="477" priority="684">
      <formula>OR($T$1768 = TRUE, AND(LEN(TRIM($W$1768))&gt;0, $S$1768 = FALSE))</formula>
    </cfRule>
  </conditionalFormatting>
  <conditionalFormatting sqref="W1777">
    <cfRule type="expression" dxfId="476" priority="683">
      <formula>AND($R$1777,$S$1777)</formula>
    </cfRule>
  </conditionalFormatting>
  <conditionalFormatting sqref="W1777">
    <cfRule type="expression" dxfId="475" priority="682">
      <formula>AND(IF($R$1777,$W$1777,TRUE),LEN(TRIM($W$1777))&gt;0)</formula>
    </cfRule>
  </conditionalFormatting>
  <conditionalFormatting sqref="W1777">
    <cfRule type="expression" dxfId="474" priority="681">
      <formula>OR($S$1777 = FALSE, AND($P$1777 = FALSE, ReportType &lt;&gt; "Final"), AND($Q$1777 = FALSE, ReportType &lt;&gt; "Rough"))</formula>
    </cfRule>
  </conditionalFormatting>
  <conditionalFormatting sqref="W1777">
    <cfRule type="expression" dxfId="473" priority="680">
      <formula>OR($T$1777 = TRUE, AND($W$1777 = TRUE, $S$1777 = FALSE))</formula>
    </cfRule>
  </conditionalFormatting>
  <conditionalFormatting sqref="W1779">
    <cfRule type="expression" dxfId="472" priority="679">
      <formula>AND($R$1779,$S$1779)</formula>
    </cfRule>
  </conditionalFormatting>
  <conditionalFormatting sqref="W1779">
    <cfRule type="expression" dxfId="471" priority="678">
      <formula>AND(IF($R$1779,$W$1779,TRUE),LEN(TRIM($W$1779))&gt;0)</formula>
    </cfRule>
  </conditionalFormatting>
  <conditionalFormatting sqref="W1779">
    <cfRule type="expression" dxfId="470" priority="677">
      <formula>OR($S$1779 = FALSE, AND($P$1779 = FALSE, ReportType &lt;&gt; "Final"), AND($Q$1779 = FALSE, ReportType &lt;&gt; "Rough"))</formula>
    </cfRule>
  </conditionalFormatting>
  <conditionalFormatting sqref="W1779">
    <cfRule type="expression" dxfId="469" priority="676">
      <formula>OR($T$1779 = TRUE, AND($W$1779 = TRUE, $S$1779 = FALSE))</formula>
    </cfRule>
  </conditionalFormatting>
  <conditionalFormatting sqref="W1782">
    <cfRule type="expression" dxfId="468" priority="675">
      <formula>AND($R$1782,$S$1782)</formula>
    </cfRule>
  </conditionalFormatting>
  <conditionalFormatting sqref="W1782">
    <cfRule type="expression" dxfId="467" priority="674">
      <formula>AND(IF($R$1782,$W$1782,TRUE),LEN(TRIM($W$1782))&gt;0)</formula>
    </cfRule>
  </conditionalFormatting>
  <conditionalFormatting sqref="W1782">
    <cfRule type="expression" dxfId="466" priority="673">
      <formula>OR($S$1782 = FALSE, AND($P$1782 = FALSE, ReportType &lt;&gt; "Final"), AND($Q$1782 = FALSE, ReportType &lt;&gt; "Rough"))</formula>
    </cfRule>
  </conditionalFormatting>
  <conditionalFormatting sqref="W1782">
    <cfRule type="expression" dxfId="465" priority="672">
      <formula>OR($T$1782 = TRUE, AND($W$1782 = TRUE, $S$1782 = FALSE))</formula>
    </cfRule>
  </conditionalFormatting>
  <conditionalFormatting sqref="W1787">
    <cfRule type="expression" dxfId="464" priority="671">
      <formula>AND($R$1787,$S$1787)</formula>
    </cfRule>
  </conditionalFormatting>
  <conditionalFormatting sqref="W1787">
    <cfRule type="expression" dxfId="463" priority="670">
      <formula>AND($W$1787&lt;&gt;"Not Met",LEN(TRIM($W$1787))&gt;0)</formula>
    </cfRule>
  </conditionalFormatting>
  <conditionalFormatting sqref="W1787">
    <cfRule type="expression" dxfId="462" priority="669">
      <formula>OR($S$1787 = FALSE, AND($P$1787 = FALSE, ReportType &lt;&gt; "Final"), AND($Q$1787 = FALSE, ReportType &lt;&gt; "Rough"))</formula>
    </cfRule>
  </conditionalFormatting>
  <conditionalFormatting sqref="W1787">
    <cfRule type="expression" dxfId="461" priority="668">
      <formula>OR($T$1787 = TRUE, AND(LEN(TRIM($W$1787))&gt;0, $S$1787 = FALSE))</formula>
    </cfRule>
  </conditionalFormatting>
  <conditionalFormatting sqref="W1791">
    <cfRule type="expression" dxfId="460" priority="667">
      <formula>AND($R$1791,$S$1791)</formula>
    </cfRule>
  </conditionalFormatting>
  <conditionalFormatting sqref="W1791">
    <cfRule type="expression" dxfId="459" priority="666">
      <formula>AND(IF($R$1791,$W$1791,TRUE),LEN(TRIM($W$1791))&gt;0)</formula>
    </cfRule>
  </conditionalFormatting>
  <conditionalFormatting sqref="W1791">
    <cfRule type="expression" dxfId="458" priority="665">
      <formula>OR($S$1791 = FALSE, AND($P$1791 = FALSE, ReportType &lt;&gt; "Final"), AND($Q$1791 = FALSE, ReportType &lt;&gt; "Rough"))</formula>
    </cfRule>
  </conditionalFormatting>
  <conditionalFormatting sqref="W1791">
    <cfRule type="expression" dxfId="457" priority="664">
      <formula>OR($T$1791 = TRUE, AND($W$1791 = TRUE, $S$1791 = FALSE))</formula>
    </cfRule>
  </conditionalFormatting>
  <conditionalFormatting sqref="W1794">
    <cfRule type="expression" dxfId="456" priority="663">
      <formula>AND($R$1794,$S$1794)</formula>
    </cfRule>
  </conditionalFormatting>
  <conditionalFormatting sqref="W1794">
    <cfRule type="expression" dxfId="455" priority="662">
      <formula>AND(IF($R$1794,$W$1794,TRUE),LEN(TRIM($W$1794))&gt;0)</formula>
    </cfRule>
  </conditionalFormatting>
  <conditionalFormatting sqref="W1794">
    <cfRule type="expression" dxfId="454" priority="661">
      <formula>OR($S$1794 = FALSE, AND($P$1794 = FALSE, ReportType &lt;&gt; "Final"), AND($Q$1794 = FALSE, ReportType &lt;&gt; "Rough"))</formula>
    </cfRule>
  </conditionalFormatting>
  <conditionalFormatting sqref="W1794">
    <cfRule type="expression" dxfId="453" priority="660">
      <formula>OR($T$1794 = TRUE, AND($W$1794 = TRUE, $S$1794 = FALSE))</formula>
    </cfRule>
  </conditionalFormatting>
  <conditionalFormatting sqref="W1796">
    <cfRule type="expression" dxfId="452" priority="659">
      <formula>AND($R$1796,$S$1796)</formula>
    </cfRule>
  </conditionalFormatting>
  <conditionalFormatting sqref="W1796">
    <cfRule type="expression" dxfId="451" priority="658">
      <formula>AND(IF($R$1796,$W$1796,TRUE),LEN(TRIM($W$1796))&gt;0)</formula>
    </cfRule>
  </conditionalFormatting>
  <conditionalFormatting sqref="W1796">
    <cfRule type="expression" dxfId="450" priority="657">
      <formula>OR($S$1796 = FALSE, AND($P$1796 = FALSE, ReportType &lt;&gt; "Final"), AND($Q$1796 = FALSE, ReportType &lt;&gt; "Rough"))</formula>
    </cfRule>
  </conditionalFormatting>
  <conditionalFormatting sqref="W1796">
    <cfRule type="expression" dxfId="449" priority="656">
      <formula>OR($T$1796 = TRUE, AND($W$1796 = TRUE, $S$1796 = FALSE))</formula>
    </cfRule>
  </conditionalFormatting>
  <conditionalFormatting sqref="W1799">
    <cfRule type="expression" dxfId="448" priority="655">
      <formula>AND($R$1799,$S$1799)</formula>
    </cfRule>
  </conditionalFormatting>
  <conditionalFormatting sqref="W1799">
    <cfRule type="expression" dxfId="447" priority="654">
      <formula>AND(IF($R$1799,$W$1799,TRUE),LEN(TRIM($W$1799))&gt;0)</formula>
    </cfRule>
  </conditionalFormatting>
  <conditionalFormatting sqref="W1799">
    <cfRule type="expression" dxfId="446" priority="653">
      <formula>OR($S$1799 = FALSE, AND($P$1799 = FALSE, ReportType &lt;&gt; "Final"), AND($Q$1799 = FALSE, ReportType &lt;&gt; "Rough"))</formula>
    </cfRule>
  </conditionalFormatting>
  <conditionalFormatting sqref="W1799">
    <cfRule type="expression" dxfId="445" priority="652">
      <formula>OR($T$1799 = TRUE, AND($W$1799 = TRUE, $S$1799 = FALSE))</formula>
    </cfRule>
  </conditionalFormatting>
  <conditionalFormatting sqref="W1801">
    <cfRule type="expression" dxfId="444" priority="651">
      <formula>AND($R$1801,$S$1801)</formula>
    </cfRule>
  </conditionalFormatting>
  <conditionalFormatting sqref="W1801">
    <cfRule type="expression" dxfId="443" priority="650">
      <formula>AND(IF($R$1801,$W$1801,TRUE),LEN(TRIM($W$1801))&gt;0)</formula>
    </cfRule>
  </conditionalFormatting>
  <conditionalFormatting sqref="W1801">
    <cfRule type="expression" dxfId="442" priority="649">
      <formula>OR($S$1801 = FALSE, AND($P$1801 = FALSE, ReportType &lt;&gt; "Final"), AND($Q$1801 = FALSE, ReportType &lt;&gt; "Rough"))</formula>
    </cfRule>
  </conditionalFormatting>
  <conditionalFormatting sqref="W1801">
    <cfRule type="expression" dxfId="441" priority="648">
      <formula>OR($T$1801 = TRUE, AND($W$1801 = TRUE, $S$1801 = FALSE))</formula>
    </cfRule>
  </conditionalFormatting>
  <conditionalFormatting sqref="W1805">
    <cfRule type="expression" dxfId="440" priority="647">
      <formula>AND($R$1805,$S$1805)</formula>
    </cfRule>
  </conditionalFormatting>
  <conditionalFormatting sqref="W1805">
    <cfRule type="expression" dxfId="439" priority="646">
      <formula>AND($W$1805&lt;&gt;"Not Met",LEN(TRIM($W$1805))&gt;0)</formula>
    </cfRule>
  </conditionalFormatting>
  <conditionalFormatting sqref="W1805">
    <cfRule type="expression" dxfId="438" priority="645">
      <formula>OR($S$1805 = FALSE, AND($P$1805 = FALSE, ReportType &lt;&gt; "Final"), AND($Q$1805 = FALSE, ReportType &lt;&gt; "Rough"))</formula>
    </cfRule>
  </conditionalFormatting>
  <conditionalFormatting sqref="W1805">
    <cfRule type="expression" dxfId="437" priority="644">
      <formula>OR($T$1805 = TRUE, AND(LEN(TRIM($W$1805))&gt;0, $S$1805 = FALSE))</formula>
    </cfRule>
  </conditionalFormatting>
  <conditionalFormatting sqref="W1809">
    <cfRule type="expression" dxfId="436" priority="643">
      <formula>AND($R$1809,$S$1809)</formula>
    </cfRule>
  </conditionalFormatting>
  <conditionalFormatting sqref="W1809">
    <cfRule type="expression" dxfId="435" priority="642">
      <formula>AND($W$1809&lt;&gt;"Not Met",LEN(TRIM($W$1809))&gt;0)</formula>
    </cfRule>
  </conditionalFormatting>
  <conditionalFormatting sqref="W1809">
    <cfRule type="expression" dxfId="434" priority="641">
      <formula>OR($S$1809 = FALSE, AND($P$1809 = FALSE, ReportType &lt;&gt; "Final"), AND($Q$1809 = FALSE, ReportType &lt;&gt; "Rough"))</formula>
    </cfRule>
  </conditionalFormatting>
  <conditionalFormatting sqref="W1809">
    <cfRule type="expression" dxfId="433" priority="640">
      <formula>OR($T$1809 = TRUE, AND(LEN(TRIM($W$1809))&gt;0, $S$1809 = FALSE))</formula>
    </cfRule>
  </conditionalFormatting>
  <conditionalFormatting sqref="W1815">
    <cfRule type="expression" dxfId="432" priority="639">
      <formula>AND($R$1815,$S$1815)</formula>
    </cfRule>
  </conditionalFormatting>
  <conditionalFormatting sqref="W1815">
    <cfRule type="expression" dxfId="431" priority="638">
      <formula>AND(IF($R$1815,$W$1815,TRUE),LEN(TRIM($W$1815))&gt;0)</formula>
    </cfRule>
  </conditionalFormatting>
  <conditionalFormatting sqref="W1815">
    <cfRule type="expression" dxfId="430" priority="637">
      <formula>OR($S$1815 = FALSE, AND($P$1815 = FALSE, ReportType &lt;&gt; "Final"), AND($Q$1815 = FALSE, ReportType &lt;&gt; "Rough"))</formula>
    </cfRule>
  </conditionalFormatting>
  <conditionalFormatting sqref="W1815">
    <cfRule type="expression" dxfId="429" priority="636">
      <formula>OR($T$1815 = TRUE, AND($W$1815 = TRUE, $S$1815 = FALSE))</formula>
    </cfRule>
  </conditionalFormatting>
  <conditionalFormatting sqref="W1816">
    <cfRule type="expression" dxfId="428" priority="635">
      <formula>AND($R$1816,$S$1816)</formula>
    </cfRule>
  </conditionalFormatting>
  <conditionalFormatting sqref="W1816">
    <cfRule type="expression" dxfId="427" priority="634">
      <formula>AND(IF($R$1816,$W$1816,TRUE),LEN(TRIM($W$1816))&gt;0)</formula>
    </cfRule>
  </conditionalFormatting>
  <conditionalFormatting sqref="W1816">
    <cfRule type="expression" dxfId="426" priority="633">
      <formula>OR($S$1816 = FALSE, AND($P$1816 = FALSE, ReportType &lt;&gt; "Final"), AND($Q$1816 = FALSE, ReportType &lt;&gt; "Rough"))</formula>
    </cfRule>
  </conditionalFormatting>
  <conditionalFormatting sqref="W1816">
    <cfRule type="expression" dxfId="425" priority="632">
      <formula>OR($T$1816 = TRUE, AND($W$1816 = TRUE, $S$1816 = FALSE))</formula>
    </cfRule>
  </conditionalFormatting>
  <conditionalFormatting sqref="W1821">
    <cfRule type="expression" dxfId="424" priority="631">
      <formula>AND($R$1821,$S$1821)</formula>
    </cfRule>
  </conditionalFormatting>
  <conditionalFormatting sqref="W1821">
    <cfRule type="expression" dxfId="423" priority="630">
      <formula>AND(IF($R$1821,$W$1821,TRUE),LEN(TRIM($W$1821))&gt;0)</formula>
    </cfRule>
  </conditionalFormatting>
  <conditionalFormatting sqref="W1821">
    <cfRule type="expression" dxfId="422" priority="629">
      <formula>OR($S$1821 = FALSE, AND($P$1821 = FALSE, ReportType &lt;&gt; "Final"), AND($Q$1821 = FALSE, ReportType &lt;&gt; "Rough"))</formula>
    </cfRule>
  </conditionalFormatting>
  <conditionalFormatting sqref="W1821">
    <cfRule type="expression" dxfId="421" priority="628">
      <formula>OR($T$1821 = TRUE, AND($W$1821 = TRUE, $S$1821 = FALSE))</formula>
    </cfRule>
  </conditionalFormatting>
  <conditionalFormatting sqref="W1826">
    <cfRule type="expression" dxfId="420" priority="627">
      <formula>AND($R$1826,$S$1826)</formula>
    </cfRule>
  </conditionalFormatting>
  <conditionalFormatting sqref="W1826">
    <cfRule type="expression" dxfId="419" priority="626">
      <formula>AND(IF($R$1826,$W$1826,TRUE),LEN(TRIM($W$1826))&gt;0)</formula>
    </cfRule>
  </conditionalFormatting>
  <conditionalFormatting sqref="W1826">
    <cfRule type="expression" dxfId="418" priority="625">
      <formula>OR($S$1826 = FALSE, AND($P$1826 = FALSE, ReportType &lt;&gt; "Final"), AND($Q$1826 = FALSE, ReportType &lt;&gt; "Rough"))</formula>
    </cfRule>
  </conditionalFormatting>
  <conditionalFormatting sqref="W1826">
    <cfRule type="expression" dxfId="417" priority="624">
      <formula>OR($T$1826 = TRUE, AND($W$1826 = TRUE, $S$1826 = FALSE))</formula>
    </cfRule>
  </conditionalFormatting>
  <conditionalFormatting sqref="W1830">
    <cfRule type="expression" dxfId="416" priority="623">
      <formula>AND($R$1830,$S$1830)</formula>
    </cfRule>
  </conditionalFormatting>
  <conditionalFormatting sqref="W1830">
    <cfRule type="expression" dxfId="415" priority="622">
      <formula>AND(IF($R$1830,$W$1830,TRUE),LEN(TRIM($W$1830))&gt;0)</formula>
    </cfRule>
  </conditionalFormatting>
  <conditionalFormatting sqref="W1830">
    <cfRule type="expression" dxfId="414" priority="621">
      <formula>OR($S$1830 = FALSE, AND($P$1830 = FALSE, ReportType &lt;&gt; "Final"), AND($Q$1830 = FALSE, ReportType &lt;&gt; "Rough"))</formula>
    </cfRule>
  </conditionalFormatting>
  <conditionalFormatting sqref="W1830">
    <cfRule type="expression" dxfId="413" priority="620">
      <formula>OR($T$1830 = TRUE, AND($W$1830 = TRUE, $S$1830 = FALSE))</formula>
    </cfRule>
  </conditionalFormatting>
  <conditionalFormatting sqref="W1835">
    <cfRule type="expression" dxfId="412" priority="619">
      <formula>AND($R$1835,$S$1835)</formula>
    </cfRule>
  </conditionalFormatting>
  <conditionalFormatting sqref="W1835">
    <cfRule type="expression" dxfId="411" priority="618">
      <formula>AND(IF($R$1835,$W$1835,TRUE),LEN(TRIM($W$1835))&gt;0)</formula>
    </cfRule>
  </conditionalFormatting>
  <conditionalFormatting sqref="W1835">
    <cfRule type="expression" dxfId="410" priority="617">
      <formula>OR($S$1835 = FALSE, AND($P$1835 = FALSE, ReportType &lt;&gt; "Final"), AND($Q$1835 = FALSE, ReportType &lt;&gt; "Rough"))</formula>
    </cfRule>
  </conditionalFormatting>
  <conditionalFormatting sqref="W1835">
    <cfRule type="expression" dxfId="409" priority="616">
      <formula>OR($T$1835 = TRUE, AND($W$1835 = TRUE, $S$1835 = FALSE))</formula>
    </cfRule>
  </conditionalFormatting>
  <conditionalFormatting sqref="O1951:O1954">
    <cfRule type="cellIs" dxfId="408" priority="615" operator="greaterThan">
      <formula>0</formula>
    </cfRule>
  </conditionalFormatting>
  <conditionalFormatting sqref="O1924:O1927">
    <cfRule type="cellIs" dxfId="407" priority="614" operator="greaterThan">
      <formula>0</formula>
    </cfRule>
  </conditionalFormatting>
  <conditionalFormatting sqref="O1906:O1908">
    <cfRule type="cellIs" dxfId="406" priority="613" operator="greaterThan">
      <formula>0</formula>
    </cfRule>
  </conditionalFormatting>
  <conditionalFormatting sqref="W1843">
    <cfRule type="expression" dxfId="405" priority="372">
      <formula>AND($R$1843,$S$1843)</formula>
    </cfRule>
  </conditionalFormatting>
  <conditionalFormatting sqref="W1843">
    <cfRule type="expression" dxfId="404" priority="371">
      <formula>AND(IF($R$1843,$W$1843,TRUE),LEN(TRIM($W$1843))&gt;0)</formula>
    </cfRule>
  </conditionalFormatting>
  <conditionalFormatting sqref="W1843">
    <cfRule type="expression" dxfId="403" priority="370">
      <formula>OR($S$1843 = FALSE, AND($P$1843 = FALSE, ReportType &lt;&gt; "Final"), AND($Q$1843 = FALSE, ReportType &lt;&gt; "Rough"))</formula>
    </cfRule>
  </conditionalFormatting>
  <conditionalFormatting sqref="W1843">
    <cfRule type="expression" dxfId="402" priority="369">
      <formula>OR($T$1843 = TRUE, AND($W$1843 = TRUE, $S$1843 = FALSE))</formula>
    </cfRule>
  </conditionalFormatting>
  <conditionalFormatting sqref="W1844">
    <cfRule type="expression" dxfId="401" priority="368">
      <formula>AND($R$1844,$S$1844)</formula>
    </cfRule>
  </conditionalFormatting>
  <conditionalFormatting sqref="W1844">
    <cfRule type="expression" dxfId="400" priority="367">
      <formula>AND(IF($R$1844,$W$1844,TRUE),LEN(TRIM($W$1844))&gt;0)</formula>
    </cfRule>
  </conditionalFormatting>
  <conditionalFormatting sqref="W1844">
    <cfRule type="expression" dxfId="399" priority="366">
      <formula>OR($S$1844 = FALSE, AND($P$1844 = FALSE, ReportType &lt;&gt; "Final"), AND($Q$1844 = FALSE, ReportType &lt;&gt; "Rough"))</formula>
    </cfRule>
  </conditionalFormatting>
  <conditionalFormatting sqref="W1844">
    <cfRule type="expression" dxfId="398" priority="365">
      <formula>OR($T$1844 = TRUE, AND($W$1844 = TRUE, $S$1844 = FALSE))</formula>
    </cfRule>
  </conditionalFormatting>
  <conditionalFormatting sqref="W1845">
    <cfRule type="expression" dxfId="397" priority="364">
      <formula>AND($R$1845,$S$1845)</formula>
    </cfRule>
  </conditionalFormatting>
  <conditionalFormatting sqref="W1845">
    <cfRule type="expression" dxfId="396" priority="363">
      <formula>AND(IF($R$1845,$W$1845,TRUE),LEN(TRIM($W$1845))&gt;0)</formula>
    </cfRule>
  </conditionalFormatting>
  <conditionalFormatting sqref="W1845">
    <cfRule type="expression" dxfId="395" priority="362">
      <formula>OR($S$1845 = FALSE, AND($P$1845 = FALSE, ReportType &lt;&gt; "Final"), AND($Q$1845 = FALSE, ReportType &lt;&gt; "Rough"))</formula>
    </cfRule>
  </conditionalFormatting>
  <conditionalFormatting sqref="W1845">
    <cfRule type="expression" dxfId="394" priority="361">
      <formula>OR($T$1845 = TRUE, AND($W$1845 = TRUE, $S$1845 = FALSE))</formula>
    </cfRule>
  </conditionalFormatting>
  <conditionalFormatting sqref="W1849">
    <cfRule type="expression" dxfId="393" priority="360">
      <formula>AND($R$1849,$S$1849)</formula>
    </cfRule>
  </conditionalFormatting>
  <conditionalFormatting sqref="W1849">
    <cfRule type="expression" dxfId="392" priority="359">
      <formula>AND(IF($R$1849,$W$1849,TRUE),LEN(TRIM($W$1849))&gt;0)</formula>
    </cfRule>
  </conditionalFormatting>
  <conditionalFormatting sqref="W1849">
    <cfRule type="expression" dxfId="391" priority="358">
      <formula>OR($S$1849 = FALSE, AND($P$1849 = FALSE, ReportType &lt;&gt; "Final"), AND($Q$1849 = FALSE, ReportType &lt;&gt; "Rough"))</formula>
    </cfRule>
  </conditionalFormatting>
  <conditionalFormatting sqref="W1849">
    <cfRule type="expression" dxfId="390" priority="357">
      <formula>OR($T$1849 = TRUE, AND($W$1849 = TRUE, $S$1849 = FALSE))</formula>
    </cfRule>
  </conditionalFormatting>
  <conditionalFormatting sqref="W1850">
    <cfRule type="expression" dxfId="389" priority="356">
      <formula>AND($R$1850,$S$1850)</formula>
    </cfRule>
  </conditionalFormatting>
  <conditionalFormatting sqref="W1850">
    <cfRule type="expression" dxfId="388" priority="355">
      <formula>AND(IF($R$1850,$W$1850,TRUE),LEN(TRIM($W$1850))&gt;0)</formula>
    </cfRule>
  </conditionalFormatting>
  <conditionalFormatting sqref="W1850">
    <cfRule type="expression" dxfId="387" priority="354">
      <formula>OR($S$1850 = FALSE, AND($P$1850 = FALSE, ReportType &lt;&gt; "Final"), AND($Q$1850 = FALSE, ReportType &lt;&gt; "Rough"))</formula>
    </cfRule>
  </conditionalFormatting>
  <conditionalFormatting sqref="W1850">
    <cfRule type="expression" dxfId="386" priority="353">
      <formula>OR($T$1850 = TRUE, AND($W$1850 = TRUE, $S$1850 = FALSE))</formula>
    </cfRule>
  </conditionalFormatting>
  <conditionalFormatting sqref="W1851">
    <cfRule type="expression" dxfId="385" priority="352">
      <formula>AND($R$1851,$S$1851)</formula>
    </cfRule>
  </conditionalFormatting>
  <conditionalFormatting sqref="W1851">
    <cfRule type="expression" dxfId="384" priority="351">
      <formula>AND(IF($R$1851,$W$1851,TRUE),LEN(TRIM($W$1851))&gt;0)</formula>
    </cfRule>
  </conditionalFormatting>
  <conditionalFormatting sqref="W1851">
    <cfRule type="expression" dxfId="383" priority="350">
      <formula>OR($S$1851 = FALSE, AND($P$1851 = FALSE, ReportType &lt;&gt; "Final"), AND($Q$1851 = FALSE, ReportType &lt;&gt; "Rough"))</formula>
    </cfRule>
  </conditionalFormatting>
  <conditionalFormatting sqref="W1851">
    <cfRule type="expression" dxfId="382" priority="349">
      <formula>OR($T$1851 = TRUE, AND($W$1851 = TRUE, $S$1851 = FALSE))</formula>
    </cfRule>
  </conditionalFormatting>
  <conditionalFormatting sqref="W1853">
    <cfRule type="expression" dxfId="381" priority="348">
      <formula>AND($R$1853,$S$1853)</formula>
    </cfRule>
  </conditionalFormatting>
  <conditionalFormatting sqref="W1853">
    <cfRule type="expression" dxfId="380" priority="347">
      <formula>AND(IF($R$1853,$W$1853,TRUE),LEN(TRIM($W$1853))&gt;0)</formula>
    </cfRule>
  </conditionalFormatting>
  <conditionalFormatting sqref="W1853">
    <cfRule type="expression" dxfId="379" priority="346">
      <formula>OR($S$1853 = FALSE, AND($P$1853 = FALSE, ReportType &lt;&gt; "Final"), AND($Q$1853 = FALSE, ReportType &lt;&gt; "Rough"))</formula>
    </cfRule>
  </conditionalFormatting>
  <conditionalFormatting sqref="W1853">
    <cfRule type="expression" dxfId="378" priority="345">
      <formula>OR($T$1853 = TRUE, AND($W$1853 = TRUE, $S$1853 = FALSE))</formula>
    </cfRule>
  </conditionalFormatting>
  <conditionalFormatting sqref="W1855">
    <cfRule type="expression" dxfId="377" priority="344">
      <formula>AND($R$1855,$S$1855)</formula>
    </cfRule>
  </conditionalFormatting>
  <conditionalFormatting sqref="W1855">
    <cfRule type="expression" dxfId="376" priority="343">
      <formula>AND(IF($R$1855,$W$1855,TRUE),LEN(TRIM($W$1855))&gt;0)</formula>
    </cfRule>
  </conditionalFormatting>
  <conditionalFormatting sqref="W1855">
    <cfRule type="expression" dxfId="375" priority="342">
      <formula>OR($S$1855 = FALSE, AND($P$1855 = FALSE, ReportType &lt;&gt; "Final"), AND($Q$1855 = FALSE, ReportType &lt;&gt; "Rough"))</formula>
    </cfRule>
  </conditionalFormatting>
  <conditionalFormatting sqref="W1855">
    <cfRule type="expression" dxfId="374" priority="341">
      <formula>OR($T$1855 = TRUE, AND($W$1855 = TRUE, $S$1855 = FALSE))</formula>
    </cfRule>
  </conditionalFormatting>
  <conditionalFormatting sqref="W1856">
    <cfRule type="expression" dxfId="373" priority="340">
      <formula>AND($R$1856,$S$1856)</formula>
    </cfRule>
  </conditionalFormatting>
  <conditionalFormatting sqref="W1856">
    <cfRule type="expression" dxfId="372" priority="339">
      <formula>AND(IF($R$1856,$W$1856,TRUE),LEN(TRIM($W$1856))&gt;0)</formula>
    </cfRule>
  </conditionalFormatting>
  <conditionalFormatting sqref="W1856">
    <cfRule type="expression" dxfId="371" priority="338">
      <formula>OR($S$1856 = FALSE, AND($P$1856 = FALSE, ReportType &lt;&gt; "Final"), AND($Q$1856 = FALSE, ReportType &lt;&gt; "Rough"))</formula>
    </cfRule>
  </conditionalFormatting>
  <conditionalFormatting sqref="W1856">
    <cfRule type="expression" dxfId="370" priority="337">
      <formula>OR($T$1856 = TRUE, AND($W$1856 = TRUE, $S$1856 = FALSE))</formula>
    </cfRule>
  </conditionalFormatting>
  <conditionalFormatting sqref="W1858">
    <cfRule type="expression" dxfId="369" priority="336">
      <formula>AND($R$1858,$S$1858)</formula>
    </cfRule>
  </conditionalFormatting>
  <conditionalFormatting sqref="W1858">
    <cfRule type="expression" dxfId="368" priority="335">
      <formula>AND(IF($R$1858,$W$1858,TRUE),LEN(TRIM($W$1858))&gt;0)</formula>
    </cfRule>
  </conditionalFormatting>
  <conditionalFormatting sqref="W1858">
    <cfRule type="expression" dxfId="367" priority="334">
      <formula>OR($S$1858 = FALSE, AND($P$1858 = FALSE, ReportType &lt;&gt; "Final"), AND($Q$1858 = FALSE, ReportType &lt;&gt; "Rough"))</formula>
    </cfRule>
  </conditionalFormatting>
  <conditionalFormatting sqref="W1858">
    <cfRule type="expression" dxfId="366" priority="333">
      <formula>OR($T$1858 = TRUE, AND($W$1858 = TRUE, $S$1858 = FALSE))</formula>
    </cfRule>
  </conditionalFormatting>
  <conditionalFormatting sqref="W1859">
    <cfRule type="expression" dxfId="365" priority="332">
      <formula>AND($R$1859,$S$1859)</formula>
    </cfRule>
  </conditionalFormatting>
  <conditionalFormatting sqref="W1859">
    <cfRule type="expression" dxfId="364" priority="331">
      <formula>AND(IF($R$1859,$W$1859,TRUE),LEN(TRIM($W$1859))&gt;0)</formula>
    </cfRule>
  </conditionalFormatting>
  <conditionalFormatting sqref="W1859">
    <cfRule type="expression" dxfId="363" priority="330">
      <formula>OR($S$1859 = FALSE, AND($P$1859 = FALSE, ReportType &lt;&gt; "Final"), AND($Q$1859 = FALSE, ReportType &lt;&gt; "Rough"))</formula>
    </cfRule>
  </conditionalFormatting>
  <conditionalFormatting sqref="W1859">
    <cfRule type="expression" dxfId="362" priority="329">
      <formula>OR($T$1859 = TRUE, AND($W$1859 = TRUE, $S$1859 = FALSE))</formula>
    </cfRule>
  </conditionalFormatting>
  <conditionalFormatting sqref="W1860">
    <cfRule type="expression" dxfId="361" priority="328">
      <formula>AND($R$1860,$S$1860)</formula>
    </cfRule>
  </conditionalFormatting>
  <conditionalFormatting sqref="W1860">
    <cfRule type="expression" dxfId="360" priority="327">
      <formula>AND(IF($R$1860,$W$1860,TRUE),LEN(TRIM($W$1860))&gt;0)</formula>
    </cfRule>
  </conditionalFormatting>
  <conditionalFormatting sqref="W1860">
    <cfRule type="expression" dxfId="359" priority="326">
      <formula>OR($S$1860 = FALSE, AND($P$1860 = FALSE, ReportType &lt;&gt; "Final"), AND($Q$1860 = FALSE, ReportType &lt;&gt; "Rough"))</formula>
    </cfRule>
  </conditionalFormatting>
  <conditionalFormatting sqref="W1860">
    <cfRule type="expression" dxfId="358" priority="325">
      <formula>OR($T$1860 = TRUE, AND($W$1860 = TRUE, $S$1860 = FALSE))</formula>
    </cfRule>
  </conditionalFormatting>
  <conditionalFormatting sqref="W1866">
    <cfRule type="expression" dxfId="357" priority="324">
      <formula>AND($R$1866,$S$1866)</formula>
    </cfRule>
  </conditionalFormatting>
  <conditionalFormatting sqref="W1866">
    <cfRule type="expression" dxfId="356" priority="323">
      <formula>AND(IF($R$1866,$W$1866,TRUE),LEN(TRIM($W$1866))&gt;0)</formula>
    </cfRule>
  </conditionalFormatting>
  <conditionalFormatting sqref="W1866">
    <cfRule type="expression" dxfId="355" priority="322">
      <formula>OR($S$1866 = FALSE, AND($P$1866 = FALSE, ReportType &lt;&gt; "Final"), AND($Q$1866 = FALSE, ReportType &lt;&gt; "Rough"))</formula>
    </cfRule>
  </conditionalFormatting>
  <conditionalFormatting sqref="W1866">
    <cfRule type="expression" dxfId="354" priority="321">
      <formula>OR($T$1866 = TRUE, AND($W$1866 = TRUE, $S$1866 = FALSE))</formula>
    </cfRule>
  </conditionalFormatting>
  <conditionalFormatting sqref="W1870">
    <cfRule type="expression" dxfId="353" priority="320">
      <formula>AND($R$1870,$S$1870)</formula>
    </cfRule>
  </conditionalFormatting>
  <conditionalFormatting sqref="W1870">
    <cfRule type="expression" dxfId="352" priority="319">
      <formula>AND(IF($R$1870,$W$1870,TRUE),LEN(TRIM($W$1870))&gt;0)</formula>
    </cfRule>
  </conditionalFormatting>
  <conditionalFormatting sqref="W1870">
    <cfRule type="expression" dxfId="351" priority="318">
      <formula>OR($S$1870 = FALSE, AND($P$1870 = FALSE, ReportType &lt;&gt; "Final"), AND($Q$1870 = FALSE, ReportType &lt;&gt; "Rough"))</formula>
    </cfRule>
  </conditionalFormatting>
  <conditionalFormatting sqref="W1870">
    <cfRule type="expression" dxfId="350" priority="317">
      <formula>OR($T$1870 = TRUE, AND($W$1870 = TRUE, $S$1870 = FALSE))</formula>
    </cfRule>
  </conditionalFormatting>
  <conditionalFormatting sqref="W1872">
    <cfRule type="expression" dxfId="349" priority="316">
      <formula>AND($R$1872,$S$1872)</formula>
    </cfRule>
  </conditionalFormatting>
  <conditionalFormatting sqref="W1872">
    <cfRule type="expression" dxfId="348" priority="315">
      <formula>AND(IF($R$1872,$W$1872,TRUE),LEN(TRIM($W$1872))&gt;0)</formula>
    </cfRule>
  </conditionalFormatting>
  <conditionalFormatting sqref="W1872">
    <cfRule type="expression" dxfId="347" priority="314">
      <formula>OR($S$1872 = FALSE, AND($P$1872 = FALSE, ReportType &lt;&gt; "Final"), AND($Q$1872 = FALSE, ReportType &lt;&gt; "Rough"))</formula>
    </cfRule>
  </conditionalFormatting>
  <conditionalFormatting sqref="W1872">
    <cfRule type="expression" dxfId="346" priority="313">
      <formula>OR($T$1872 = TRUE, AND($W$1872 = TRUE, $S$1872 = FALSE))</formula>
    </cfRule>
  </conditionalFormatting>
  <conditionalFormatting sqref="W1874">
    <cfRule type="expression" dxfId="345" priority="312">
      <formula>AND($R$1874,$S$1874)</formula>
    </cfRule>
  </conditionalFormatting>
  <conditionalFormatting sqref="W1874">
    <cfRule type="expression" dxfId="344" priority="311">
      <formula>AND(IF($R$1874,$W$1874,TRUE),LEN(TRIM($W$1874))&gt;0)</formula>
    </cfRule>
  </conditionalFormatting>
  <conditionalFormatting sqref="W1874">
    <cfRule type="expression" dxfId="343" priority="310">
      <formula>OR($S$1874 = FALSE, AND($P$1874 = FALSE, ReportType &lt;&gt; "Final"), AND($Q$1874 = FALSE, ReportType &lt;&gt; "Rough"))</formula>
    </cfRule>
  </conditionalFormatting>
  <conditionalFormatting sqref="W1874">
    <cfRule type="expression" dxfId="342" priority="309">
      <formula>OR($T$1874 = TRUE, AND($W$1874 = TRUE, $S$1874 = FALSE))</formula>
    </cfRule>
  </conditionalFormatting>
  <conditionalFormatting sqref="W1875">
    <cfRule type="expression" dxfId="341" priority="308">
      <formula>AND($R$1875,$S$1875)</formula>
    </cfRule>
  </conditionalFormatting>
  <conditionalFormatting sqref="W1875">
    <cfRule type="expression" dxfId="340" priority="307">
      <formula>AND(IF($R$1875,$W$1875,TRUE),LEN(TRIM($W$1875))&gt;0)</formula>
    </cfRule>
  </conditionalFormatting>
  <conditionalFormatting sqref="W1875">
    <cfRule type="expression" dxfId="339" priority="306">
      <formula>OR($S$1875 = FALSE, AND($P$1875 = FALSE, ReportType &lt;&gt; "Final"), AND($Q$1875 = FALSE, ReportType &lt;&gt; "Rough"))</formula>
    </cfRule>
  </conditionalFormatting>
  <conditionalFormatting sqref="W1875">
    <cfRule type="expression" dxfId="338" priority="305">
      <formula>OR($T$1875 = TRUE, AND($W$1875 = TRUE, $S$1875 = FALSE))</formula>
    </cfRule>
  </conditionalFormatting>
  <conditionalFormatting sqref="W1877">
    <cfRule type="expression" dxfId="337" priority="304">
      <formula>AND($R$1877,$S$1877)</formula>
    </cfRule>
  </conditionalFormatting>
  <conditionalFormatting sqref="W1877">
    <cfRule type="expression" dxfId="336" priority="303">
      <formula>AND(IF($R$1877,$W$1877,TRUE),LEN(TRIM($W$1877))&gt;0)</formula>
    </cfRule>
  </conditionalFormatting>
  <conditionalFormatting sqref="W1877">
    <cfRule type="expression" dxfId="335" priority="302">
      <formula>OR($S$1877 = FALSE, AND($P$1877 = FALSE, ReportType &lt;&gt; "Final"), AND($Q$1877 = FALSE, ReportType &lt;&gt; "Rough"))</formula>
    </cfRule>
  </conditionalFormatting>
  <conditionalFormatting sqref="W1877">
    <cfRule type="expression" dxfId="334" priority="301">
      <formula>OR($T$1877 = TRUE, AND($W$1877 = TRUE, $S$1877 = FALSE))</formula>
    </cfRule>
  </conditionalFormatting>
  <conditionalFormatting sqref="W1879">
    <cfRule type="expression" dxfId="333" priority="300">
      <formula>AND($R$1879,$S$1879)</formula>
    </cfRule>
  </conditionalFormatting>
  <conditionalFormatting sqref="W1879">
    <cfRule type="expression" dxfId="332" priority="299">
      <formula>AND(IF($R$1879,$W$1879,TRUE),LEN(TRIM($W$1879))&gt;0)</formula>
    </cfRule>
  </conditionalFormatting>
  <conditionalFormatting sqref="W1879">
    <cfRule type="expression" dxfId="331" priority="298">
      <formula>OR($S$1879 = FALSE, AND($P$1879 = FALSE, ReportType &lt;&gt; "Final"), AND($Q$1879 = FALSE, ReportType &lt;&gt; "Rough"))</formula>
    </cfRule>
  </conditionalFormatting>
  <conditionalFormatting sqref="W1879">
    <cfRule type="expression" dxfId="330" priority="297">
      <formula>OR($T$1879 = TRUE, AND($W$1879 = TRUE, $S$1879 = FALSE))</formula>
    </cfRule>
  </conditionalFormatting>
  <conditionalFormatting sqref="W1880">
    <cfRule type="expression" dxfId="329" priority="296">
      <formula>AND($R$1880,$S$1880)</formula>
    </cfRule>
  </conditionalFormatting>
  <conditionalFormatting sqref="W1880">
    <cfRule type="expression" dxfId="328" priority="295">
      <formula>AND(IF($R$1880,$W$1880,TRUE),LEN(TRIM($W$1880))&gt;0)</formula>
    </cfRule>
  </conditionalFormatting>
  <conditionalFormatting sqref="W1880">
    <cfRule type="expression" dxfId="327" priority="294">
      <formula>OR($S$1880 = FALSE, AND($P$1880 = FALSE, ReportType &lt;&gt; "Final"), AND($Q$1880 = FALSE, ReportType &lt;&gt; "Rough"))</formula>
    </cfRule>
  </conditionalFormatting>
  <conditionalFormatting sqref="W1880">
    <cfRule type="expression" dxfId="326" priority="293">
      <formula>OR($T$1880 = TRUE, AND($W$1880 = TRUE, $S$1880 = FALSE))</formula>
    </cfRule>
  </conditionalFormatting>
  <conditionalFormatting sqref="W1882">
    <cfRule type="expression" dxfId="325" priority="292">
      <formula>AND($R$1882,$S$1882)</formula>
    </cfRule>
  </conditionalFormatting>
  <conditionalFormatting sqref="W1882">
    <cfRule type="expression" dxfId="324" priority="291">
      <formula>AND(IF($R$1882,$W$1882,TRUE),LEN(TRIM($W$1882))&gt;0)</formula>
    </cfRule>
  </conditionalFormatting>
  <conditionalFormatting sqref="W1882">
    <cfRule type="expression" dxfId="323" priority="290">
      <formula>OR($S$1882 = FALSE, AND($P$1882 = FALSE, ReportType &lt;&gt; "Final"), AND($Q$1882 = FALSE, ReportType &lt;&gt; "Rough"))</formula>
    </cfRule>
  </conditionalFormatting>
  <conditionalFormatting sqref="W1882">
    <cfRule type="expression" dxfId="322" priority="289">
      <formula>OR($T$1882 = TRUE, AND($W$1882 = TRUE, $S$1882 = FALSE))</formula>
    </cfRule>
  </conditionalFormatting>
  <conditionalFormatting sqref="W1884">
    <cfRule type="expression" dxfId="321" priority="288">
      <formula>AND($R$1884,$S$1884)</formula>
    </cfRule>
  </conditionalFormatting>
  <conditionalFormatting sqref="W1884">
    <cfRule type="expression" dxfId="320" priority="287">
      <formula>AND(IF($R$1884,$W$1884,TRUE),LEN(TRIM($W$1884))&gt;0)</formula>
    </cfRule>
  </conditionalFormatting>
  <conditionalFormatting sqref="W1884">
    <cfRule type="expression" dxfId="319" priority="286">
      <formula>OR($S$1884 = FALSE, AND($P$1884 = FALSE, ReportType &lt;&gt; "Final"), AND($Q$1884 = FALSE, ReportType &lt;&gt; "Rough"))</formula>
    </cfRule>
  </conditionalFormatting>
  <conditionalFormatting sqref="W1884">
    <cfRule type="expression" dxfId="318" priority="285">
      <formula>OR($T$1884 = TRUE, AND($W$1884 = TRUE, $S$1884 = FALSE))</formula>
    </cfRule>
  </conditionalFormatting>
  <conditionalFormatting sqref="W1886">
    <cfRule type="expression" dxfId="317" priority="284">
      <formula>AND($R$1886,$S$1886)</formula>
    </cfRule>
  </conditionalFormatting>
  <conditionalFormatting sqref="W1886">
    <cfRule type="expression" dxfId="316" priority="283">
      <formula>AND(IF($R$1886,$W$1886,TRUE),LEN(TRIM($W$1886))&gt;0)</formula>
    </cfRule>
  </conditionalFormatting>
  <conditionalFormatting sqref="W1886">
    <cfRule type="expression" dxfId="315" priority="282">
      <formula>OR($S$1886 = FALSE, AND($P$1886 = FALSE, ReportType &lt;&gt; "Final"), AND($Q$1886 = FALSE, ReportType &lt;&gt; "Rough"))</formula>
    </cfRule>
  </conditionalFormatting>
  <conditionalFormatting sqref="W1886">
    <cfRule type="expression" dxfId="314" priority="281">
      <formula>OR($T$1886 = TRUE, AND($W$1886 = TRUE, $S$1886 = FALSE))</formula>
    </cfRule>
  </conditionalFormatting>
  <conditionalFormatting sqref="W1887">
    <cfRule type="expression" dxfId="313" priority="280">
      <formula>AND($R$1887,$S$1887)</formula>
    </cfRule>
  </conditionalFormatting>
  <conditionalFormatting sqref="W1887">
    <cfRule type="expression" dxfId="312" priority="279">
      <formula>AND(IF($R$1887,$W$1887,TRUE),LEN(TRIM($W$1887))&gt;0)</formula>
    </cfRule>
  </conditionalFormatting>
  <conditionalFormatting sqref="W1887">
    <cfRule type="expression" dxfId="311" priority="278">
      <formula>OR($S$1887 = FALSE, AND($P$1887 = FALSE, ReportType &lt;&gt; "Final"), AND($Q$1887 = FALSE, ReportType &lt;&gt; "Rough"))</formula>
    </cfRule>
  </conditionalFormatting>
  <conditionalFormatting sqref="W1887">
    <cfRule type="expression" dxfId="310" priority="277">
      <formula>OR($T$1887 = TRUE, AND($W$1887 = TRUE, $S$1887 = FALSE))</formula>
    </cfRule>
  </conditionalFormatting>
  <conditionalFormatting sqref="W1888">
    <cfRule type="expression" dxfId="309" priority="276">
      <formula>AND($R$1888,$S$1888)</formula>
    </cfRule>
  </conditionalFormatting>
  <conditionalFormatting sqref="W1888">
    <cfRule type="expression" dxfId="308" priority="275">
      <formula>AND(IF($R$1888,$W$1888,TRUE),LEN(TRIM($W$1888))&gt;0)</formula>
    </cfRule>
  </conditionalFormatting>
  <conditionalFormatting sqref="W1888">
    <cfRule type="expression" dxfId="307" priority="274">
      <formula>OR($S$1888 = FALSE, AND($P$1888 = FALSE, ReportType &lt;&gt; "Final"), AND($Q$1888 = FALSE, ReportType &lt;&gt; "Rough"))</formula>
    </cfRule>
  </conditionalFormatting>
  <conditionalFormatting sqref="W1888">
    <cfRule type="expression" dxfId="306" priority="273">
      <formula>OR($T$1888 = TRUE, AND($W$1888 = TRUE, $S$1888 = FALSE))</formula>
    </cfRule>
  </conditionalFormatting>
  <conditionalFormatting sqref="W1909">
    <cfRule type="expression" dxfId="305" priority="272">
      <formula>AND($R$1909,$S$1909)</formula>
    </cfRule>
  </conditionalFormatting>
  <conditionalFormatting sqref="W1909">
    <cfRule type="expression" dxfId="304" priority="271">
      <formula>AND(IF($R$1909,$W$1909,TRUE),LEN(TRIM($W$1909))&gt;0)</formula>
    </cfRule>
  </conditionalFormatting>
  <conditionalFormatting sqref="W1909">
    <cfRule type="expression" dxfId="303" priority="270">
      <formula>OR($S$1909 = FALSE, AND($P$1909 = FALSE, ReportType &lt;&gt; "Final"), AND($Q$1909 = FALSE, ReportType &lt;&gt; "Rough"))</formula>
    </cfRule>
  </conditionalFormatting>
  <conditionalFormatting sqref="W1909">
    <cfRule type="expression" dxfId="302" priority="269">
      <formula>OR($T$1909 = TRUE, AND($W$1909 = TRUE, $S$1909 = FALSE))</formula>
    </cfRule>
  </conditionalFormatting>
  <conditionalFormatting sqref="W1912">
    <cfRule type="expression" dxfId="301" priority="268">
      <formula>AND($R$1912,$S$1912)</formula>
    </cfRule>
  </conditionalFormatting>
  <conditionalFormatting sqref="W1912">
    <cfRule type="expression" dxfId="300" priority="267">
      <formula>AND(IF($R$1912,$W$1912,TRUE),LEN(TRIM($W$1912))&gt;0)</formula>
    </cfRule>
  </conditionalFormatting>
  <conditionalFormatting sqref="W1912">
    <cfRule type="expression" dxfId="299" priority="266">
      <formula>OR($S$1912 = FALSE, AND($P$1912 = FALSE, ReportType &lt;&gt; "Final"), AND($Q$1912 = FALSE, ReportType &lt;&gt; "Rough"))</formula>
    </cfRule>
  </conditionalFormatting>
  <conditionalFormatting sqref="W1912">
    <cfRule type="expression" dxfId="298" priority="265">
      <formula>OR($T$1912 = TRUE, AND($W$1912 = TRUE, $S$1912 = FALSE))</formula>
    </cfRule>
  </conditionalFormatting>
  <conditionalFormatting sqref="W1915">
    <cfRule type="expression" dxfId="297" priority="264">
      <formula>AND($R$1915,$S$1915)</formula>
    </cfRule>
  </conditionalFormatting>
  <conditionalFormatting sqref="W1915">
    <cfRule type="expression" dxfId="296" priority="263">
      <formula>AND(IF($R$1915,$W$1915,TRUE),LEN(TRIM($W$1915))&gt;0)</formula>
    </cfRule>
  </conditionalFormatting>
  <conditionalFormatting sqref="W1915">
    <cfRule type="expression" dxfId="295" priority="262">
      <formula>OR($S$1915 = FALSE, AND($P$1915 = FALSE, ReportType &lt;&gt; "Final"), AND($Q$1915 = FALSE, ReportType &lt;&gt; "Rough"))</formula>
    </cfRule>
  </conditionalFormatting>
  <conditionalFormatting sqref="W1915">
    <cfRule type="expression" dxfId="294" priority="261">
      <formula>OR($T$1915 = TRUE, AND($W$1915 = TRUE, $S$1915 = FALSE))</formula>
    </cfRule>
  </conditionalFormatting>
  <conditionalFormatting sqref="W1917">
    <cfRule type="expression" dxfId="293" priority="260">
      <formula>AND($R$1917,$S$1917)</formula>
    </cfRule>
  </conditionalFormatting>
  <conditionalFormatting sqref="W1917">
    <cfRule type="expression" dxfId="292" priority="259">
      <formula>AND(IF($R$1917,$W$1917,TRUE),LEN(TRIM($W$1917))&gt;0)</formula>
    </cfRule>
  </conditionalFormatting>
  <conditionalFormatting sqref="W1917">
    <cfRule type="expression" dxfId="291" priority="258">
      <formula>OR($S$1917 = FALSE, AND($P$1917 = FALSE, ReportType &lt;&gt; "Final"), AND($Q$1917 = FALSE, ReportType &lt;&gt; "Rough"))</formula>
    </cfRule>
  </conditionalFormatting>
  <conditionalFormatting sqref="W1917">
    <cfRule type="expression" dxfId="290" priority="257">
      <formula>OR($T$1917 = TRUE, AND($W$1917 = TRUE, $S$1917 = FALSE))</formula>
    </cfRule>
  </conditionalFormatting>
  <conditionalFormatting sqref="W1918">
    <cfRule type="expression" dxfId="289" priority="256">
      <formula>AND($R$1918,$S$1918)</formula>
    </cfRule>
  </conditionalFormatting>
  <conditionalFormatting sqref="W1918">
    <cfRule type="expression" dxfId="288" priority="255">
      <formula>AND(IF($R$1918,$W$1918,TRUE),LEN(TRIM($W$1918))&gt;0)</formula>
    </cfRule>
  </conditionalFormatting>
  <conditionalFormatting sqref="W1918">
    <cfRule type="expression" dxfId="287" priority="254">
      <formula>OR($S$1918 = FALSE, AND($P$1918 = FALSE, ReportType &lt;&gt; "Final"), AND($Q$1918 = FALSE, ReportType &lt;&gt; "Rough"))</formula>
    </cfRule>
  </conditionalFormatting>
  <conditionalFormatting sqref="W1918">
    <cfRule type="expression" dxfId="286" priority="253">
      <formula>OR($T$1918 = TRUE, AND($W$1918 = TRUE, $S$1918 = FALSE))</formula>
    </cfRule>
  </conditionalFormatting>
  <conditionalFormatting sqref="W1920">
    <cfRule type="expression" dxfId="285" priority="252">
      <formula>AND($R$1920,$S$1920)</formula>
    </cfRule>
  </conditionalFormatting>
  <conditionalFormatting sqref="W1920">
    <cfRule type="expression" dxfId="284" priority="251">
      <formula>AND(IF($R$1920,$W$1920,TRUE),LEN(TRIM($W$1920))&gt;0)</formula>
    </cfRule>
  </conditionalFormatting>
  <conditionalFormatting sqref="W1920">
    <cfRule type="expression" dxfId="283" priority="250">
      <formula>OR($S$1920 = FALSE, AND($P$1920 = FALSE, ReportType &lt;&gt; "Final"), AND($Q$1920 = FALSE, ReportType &lt;&gt; "Rough"))</formula>
    </cfRule>
  </conditionalFormatting>
  <conditionalFormatting sqref="W1920">
    <cfRule type="expression" dxfId="282" priority="249">
      <formula>OR($T$1920 = TRUE, AND($W$1920 = TRUE, $S$1920 = FALSE))</formula>
    </cfRule>
  </conditionalFormatting>
  <conditionalFormatting sqref="W1921">
    <cfRule type="expression" dxfId="281" priority="248">
      <formula>AND($R$1921,$S$1921)</formula>
    </cfRule>
  </conditionalFormatting>
  <conditionalFormatting sqref="W1921">
    <cfRule type="expression" dxfId="280" priority="247">
      <formula>AND(IF($R$1921,$W$1921,TRUE),LEN(TRIM($W$1921))&gt;0)</formula>
    </cfRule>
  </conditionalFormatting>
  <conditionalFormatting sqref="W1921">
    <cfRule type="expression" dxfId="279" priority="246">
      <formula>OR($S$1921 = FALSE, AND($P$1921 = FALSE, ReportType &lt;&gt; "Final"), AND($Q$1921 = FALSE, ReportType &lt;&gt; "Rough"))</formula>
    </cfRule>
  </conditionalFormatting>
  <conditionalFormatting sqref="W1921">
    <cfRule type="expression" dxfId="278" priority="245">
      <formula>OR($T$1921 = TRUE, AND($W$1921 = TRUE, $S$1921 = FALSE))</formula>
    </cfRule>
  </conditionalFormatting>
  <conditionalFormatting sqref="W1922">
    <cfRule type="expression" dxfId="277" priority="244">
      <formula>AND($R$1922,$S$1922)</formula>
    </cfRule>
  </conditionalFormatting>
  <conditionalFormatting sqref="W1922">
    <cfRule type="expression" dxfId="276" priority="243">
      <formula>AND(IF($R$1922,$W$1922,TRUE),LEN(TRIM($W$1922))&gt;0)</formula>
    </cfRule>
  </conditionalFormatting>
  <conditionalFormatting sqref="W1922">
    <cfRule type="expression" dxfId="275" priority="242">
      <formula>OR($S$1922 = FALSE, AND($P$1922 = FALSE, ReportType &lt;&gt; "Final"), AND($Q$1922 = FALSE, ReportType &lt;&gt; "Rough"))</formula>
    </cfRule>
  </conditionalFormatting>
  <conditionalFormatting sqref="W1922">
    <cfRule type="expression" dxfId="274" priority="241">
      <formula>OR($T$1922 = TRUE, AND($W$1922 = TRUE, $S$1922 = FALSE))</formula>
    </cfRule>
  </conditionalFormatting>
  <conditionalFormatting sqref="W1928">
    <cfRule type="expression" dxfId="273" priority="240">
      <formula>AND($R$1928,$S$1928)</formula>
    </cfRule>
  </conditionalFormatting>
  <conditionalFormatting sqref="W1928">
    <cfRule type="expression" dxfId="272" priority="239">
      <formula>AND(IF($R$1928,$W$1928,TRUE),LEN(TRIM($W$1928))&gt;0)</formula>
    </cfRule>
  </conditionalFormatting>
  <conditionalFormatting sqref="W1928">
    <cfRule type="expression" dxfId="271" priority="238">
      <formula>OR($S$1928 = FALSE, AND($P$1928 = FALSE, ReportType &lt;&gt; "Final"), AND($Q$1928 = FALSE, ReportType &lt;&gt; "Rough"))</formula>
    </cfRule>
  </conditionalFormatting>
  <conditionalFormatting sqref="W1928">
    <cfRule type="expression" dxfId="270" priority="237">
      <formula>OR($T$1928 = TRUE, AND($W$1928 = TRUE, $S$1928 = FALSE))</formula>
    </cfRule>
  </conditionalFormatting>
  <conditionalFormatting sqref="W1930">
    <cfRule type="expression" dxfId="269" priority="236">
      <formula>AND($R$1930,$S$1930)</formula>
    </cfRule>
  </conditionalFormatting>
  <conditionalFormatting sqref="W1930">
    <cfRule type="expression" dxfId="268" priority="235">
      <formula>AND(IF($R$1930,$W$1930,TRUE),LEN(TRIM($W$1930))&gt;0)</formula>
    </cfRule>
  </conditionalFormatting>
  <conditionalFormatting sqref="W1930">
    <cfRule type="expression" dxfId="267" priority="234">
      <formula>OR($S$1930 = FALSE, AND($P$1930 = FALSE, ReportType &lt;&gt; "Final"), AND($Q$1930 = FALSE, ReportType &lt;&gt; "Rough"))</formula>
    </cfRule>
  </conditionalFormatting>
  <conditionalFormatting sqref="W1930">
    <cfRule type="expression" dxfId="266" priority="233">
      <formula>OR($T$1930 = TRUE, AND($W$1930 = TRUE, $S$1930 = FALSE))</formula>
    </cfRule>
  </conditionalFormatting>
  <conditionalFormatting sqref="W1933">
    <cfRule type="expression" dxfId="265" priority="232">
      <formula>AND($R$1933,$S$1933)</formula>
    </cfRule>
  </conditionalFormatting>
  <conditionalFormatting sqref="W1933">
    <cfRule type="expression" dxfId="264" priority="231">
      <formula>AND(IF($R$1933,$W$1933,TRUE),LEN(TRIM($W$1933))&gt;0)</formula>
    </cfRule>
  </conditionalFormatting>
  <conditionalFormatting sqref="W1933">
    <cfRule type="expression" dxfId="263" priority="230">
      <formula>OR($S$1933 = FALSE, AND($P$1933 = FALSE, ReportType &lt;&gt; "Final"), AND($Q$1933 = FALSE, ReportType &lt;&gt; "Rough"))</formula>
    </cfRule>
  </conditionalFormatting>
  <conditionalFormatting sqref="W1933">
    <cfRule type="expression" dxfId="262" priority="229">
      <formula>OR($T$1933 = TRUE, AND($W$1933 = TRUE, $S$1933 = FALSE))</formula>
    </cfRule>
  </conditionalFormatting>
  <conditionalFormatting sqref="W1935">
    <cfRule type="expression" dxfId="261" priority="228">
      <formula>AND($R$1935,$S$1935)</formula>
    </cfRule>
  </conditionalFormatting>
  <conditionalFormatting sqref="W1935">
    <cfRule type="expression" dxfId="260" priority="227">
      <formula>AND(IF($R$1935,$W$1935,TRUE),LEN(TRIM($W$1935))&gt;0)</formula>
    </cfRule>
  </conditionalFormatting>
  <conditionalFormatting sqref="W1935">
    <cfRule type="expression" dxfId="259" priority="226">
      <formula>OR($S$1935 = FALSE, AND($P$1935 = FALSE, ReportType &lt;&gt; "Final"), AND($Q$1935 = FALSE, ReportType &lt;&gt; "Rough"))</formula>
    </cfRule>
  </conditionalFormatting>
  <conditionalFormatting sqref="W1935">
    <cfRule type="expression" dxfId="258" priority="225">
      <formula>OR($T$1935 = TRUE, AND($W$1935 = TRUE, $S$1935 = FALSE))</formula>
    </cfRule>
  </conditionalFormatting>
  <conditionalFormatting sqref="W1938">
    <cfRule type="expression" dxfId="257" priority="224">
      <formula>AND($R$1938,$S$1938)</formula>
    </cfRule>
  </conditionalFormatting>
  <conditionalFormatting sqref="W1938">
    <cfRule type="expression" dxfId="256" priority="223">
      <formula>AND(IF($R$1938,$W$1938,TRUE),LEN(TRIM($W$1938))&gt;0)</formula>
    </cfRule>
  </conditionalFormatting>
  <conditionalFormatting sqref="W1938">
    <cfRule type="expression" dxfId="255" priority="222">
      <formula>OR($S$1938 = FALSE, AND($P$1938 = FALSE, ReportType &lt;&gt; "Final"), AND($Q$1938 = FALSE, ReportType &lt;&gt; "Rough"))</formula>
    </cfRule>
  </conditionalFormatting>
  <conditionalFormatting sqref="W1938">
    <cfRule type="expression" dxfId="254" priority="221">
      <formula>OR($T$1938 = TRUE, AND($W$1938 = TRUE, $S$1938 = FALSE))</formula>
    </cfRule>
  </conditionalFormatting>
  <conditionalFormatting sqref="W1940">
    <cfRule type="expression" dxfId="253" priority="220">
      <formula>AND($R$1940,$S$1940)</formula>
    </cfRule>
  </conditionalFormatting>
  <conditionalFormatting sqref="W1940">
    <cfRule type="expression" dxfId="252" priority="219">
      <formula>AND(IF($R$1940,$W$1940,TRUE),LEN(TRIM($W$1940))&gt;0)</formula>
    </cfRule>
  </conditionalFormatting>
  <conditionalFormatting sqref="W1940">
    <cfRule type="expression" dxfId="251" priority="218">
      <formula>OR($S$1940 = FALSE, AND($P$1940 = FALSE, ReportType &lt;&gt; "Final"), AND($Q$1940 = FALSE, ReportType &lt;&gt; "Rough"))</formula>
    </cfRule>
  </conditionalFormatting>
  <conditionalFormatting sqref="W1940">
    <cfRule type="expression" dxfId="250" priority="217">
      <formula>OR($T$1940 = TRUE, AND($W$1940 = TRUE, $S$1940 = FALSE))</formula>
    </cfRule>
  </conditionalFormatting>
  <conditionalFormatting sqref="W1941">
    <cfRule type="expression" dxfId="249" priority="216">
      <formula>AND($R$1941,$S$1941)</formula>
    </cfRule>
  </conditionalFormatting>
  <conditionalFormatting sqref="W1941">
    <cfRule type="expression" dxfId="248" priority="215">
      <formula>AND(IF($R$1941,$W$1941,TRUE),LEN(TRIM($W$1941))&gt;0)</formula>
    </cfRule>
  </conditionalFormatting>
  <conditionalFormatting sqref="W1941">
    <cfRule type="expression" dxfId="247" priority="214">
      <formula>OR($S$1941 = FALSE, AND($P$1941 = FALSE, ReportType &lt;&gt; "Final"), AND($Q$1941 = FALSE, ReportType &lt;&gt; "Rough"))</formula>
    </cfRule>
  </conditionalFormatting>
  <conditionalFormatting sqref="W1941">
    <cfRule type="expression" dxfId="246" priority="213">
      <formula>OR($T$1941 = TRUE, AND($W$1941 = TRUE, $S$1941 = FALSE))</formula>
    </cfRule>
  </conditionalFormatting>
  <conditionalFormatting sqref="W1943">
    <cfRule type="expression" dxfId="245" priority="212">
      <formula>AND($R$1943,$S$1943)</formula>
    </cfRule>
  </conditionalFormatting>
  <conditionalFormatting sqref="W1943">
    <cfRule type="expression" dxfId="244" priority="211">
      <formula>AND(IF($R$1943,$W$1943,TRUE),LEN(TRIM($W$1943))&gt;0)</formula>
    </cfRule>
  </conditionalFormatting>
  <conditionalFormatting sqref="W1943">
    <cfRule type="expression" dxfId="243" priority="210">
      <formula>OR($S$1943 = FALSE, AND($P$1943 = FALSE, ReportType &lt;&gt; "Final"), AND($Q$1943 = FALSE, ReportType &lt;&gt; "Rough"))</formula>
    </cfRule>
  </conditionalFormatting>
  <conditionalFormatting sqref="W1943">
    <cfRule type="expression" dxfId="242" priority="209">
      <formula>OR($T$1943 = TRUE, AND($W$1943 = TRUE, $S$1943 = FALSE))</formula>
    </cfRule>
  </conditionalFormatting>
  <conditionalFormatting sqref="W1945">
    <cfRule type="expression" dxfId="241" priority="208">
      <formula>AND($R$1945,$S$1945)</formula>
    </cfRule>
  </conditionalFormatting>
  <conditionalFormatting sqref="W1945">
    <cfRule type="expression" dxfId="240" priority="207">
      <formula>AND(IF($R$1945,$W$1945,TRUE),LEN(TRIM($W$1945))&gt;0)</formula>
    </cfRule>
  </conditionalFormatting>
  <conditionalFormatting sqref="W1945">
    <cfRule type="expression" dxfId="239" priority="206">
      <formula>OR($S$1945 = FALSE, AND($P$1945 = FALSE, ReportType &lt;&gt; "Final"), AND($Q$1945 = FALSE, ReportType &lt;&gt; "Rough"))</formula>
    </cfRule>
  </conditionalFormatting>
  <conditionalFormatting sqref="W1945">
    <cfRule type="expression" dxfId="238" priority="205">
      <formula>OR($T$1945 = TRUE, AND($W$1945 = TRUE, $S$1945 = FALSE))</formula>
    </cfRule>
  </conditionalFormatting>
  <conditionalFormatting sqref="W1946">
    <cfRule type="expression" dxfId="237" priority="204">
      <formula>AND($R$1946,$S$1946)</formula>
    </cfRule>
  </conditionalFormatting>
  <conditionalFormatting sqref="W1946">
    <cfRule type="expression" dxfId="236" priority="203">
      <formula>AND(IF($R$1946,$W$1946,TRUE),LEN(TRIM($W$1946))&gt;0)</formula>
    </cfRule>
  </conditionalFormatting>
  <conditionalFormatting sqref="W1946">
    <cfRule type="expression" dxfId="235" priority="202">
      <formula>OR($S$1946 = FALSE, AND($P$1946 = FALSE, ReportType &lt;&gt; "Final"), AND($Q$1946 = FALSE, ReportType &lt;&gt; "Rough"))</formula>
    </cfRule>
  </conditionalFormatting>
  <conditionalFormatting sqref="W1946">
    <cfRule type="expression" dxfId="234" priority="201">
      <formula>OR($T$1946 = TRUE, AND($W$1946 = TRUE, $S$1946 = FALSE))</formula>
    </cfRule>
  </conditionalFormatting>
  <conditionalFormatting sqref="W1949">
    <cfRule type="expression" dxfId="233" priority="200">
      <formula>AND($R$1949,$S$1949)</formula>
    </cfRule>
  </conditionalFormatting>
  <conditionalFormatting sqref="W1949">
    <cfRule type="expression" dxfId="232" priority="199">
      <formula>AND(IF($R$1949,$W$1949,TRUE),LEN(TRIM($W$1949))&gt;0)</formula>
    </cfRule>
  </conditionalFormatting>
  <conditionalFormatting sqref="W1949">
    <cfRule type="expression" dxfId="231" priority="198">
      <formula>OR($S$1949 = FALSE, AND($P$1949 = FALSE, ReportType &lt;&gt; "Final"), AND($Q$1949 = FALSE, ReportType &lt;&gt; "Rough"))</formula>
    </cfRule>
  </conditionalFormatting>
  <conditionalFormatting sqref="W1949">
    <cfRule type="expression" dxfId="230" priority="197">
      <formula>OR($T$1949 = TRUE, AND($W$1949 = TRUE, $S$1949 = FALSE))</formula>
    </cfRule>
  </conditionalFormatting>
  <conditionalFormatting sqref="W1955">
    <cfRule type="expression" dxfId="229" priority="196">
      <formula>AND($R$1955,$S$1955)</formula>
    </cfRule>
  </conditionalFormatting>
  <conditionalFormatting sqref="W1955">
    <cfRule type="expression" dxfId="228" priority="195">
      <formula>AND(IF($R$1955,$W$1955,TRUE),LEN(TRIM($W$1955))&gt;0)</formula>
    </cfRule>
  </conditionalFormatting>
  <conditionalFormatting sqref="W1955">
    <cfRule type="expression" dxfId="227" priority="194">
      <formula>OR($S$1955 = FALSE, AND($P$1955 = FALSE, ReportType &lt;&gt; "Final"), AND($Q$1955 = FALSE, ReportType &lt;&gt; "Rough"))</formula>
    </cfRule>
  </conditionalFormatting>
  <conditionalFormatting sqref="W1955">
    <cfRule type="expression" dxfId="226" priority="193">
      <formula>OR($T$1955 = TRUE, AND($W$1955 = TRUE, $S$1955 = FALSE))</formula>
    </cfRule>
  </conditionalFormatting>
  <conditionalFormatting sqref="W1957">
    <cfRule type="expression" dxfId="225" priority="192">
      <formula>AND($R$1957,$S$1957)</formula>
    </cfRule>
  </conditionalFormatting>
  <conditionalFormatting sqref="W1957">
    <cfRule type="expression" dxfId="224" priority="191">
      <formula>AND(IF($R$1957,$W$1957,TRUE),LEN(TRIM($W$1957))&gt;0)</formula>
    </cfRule>
  </conditionalFormatting>
  <conditionalFormatting sqref="W1957">
    <cfRule type="expression" dxfId="223" priority="190">
      <formula>OR($S$1957 = FALSE, AND($P$1957 = FALSE, ReportType &lt;&gt; "Final"), AND($Q$1957 = FALSE, ReportType &lt;&gt; "Rough"))</formula>
    </cfRule>
  </conditionalFormatting>
  <conditionalFormatting sqref="W1957">
    <cfRule type="expression" dxfId="222" priority="189">
      <formula>OR($T$1957 = TRUE, AND($W$1957 = TRUE, $S$1957 = FALSE))</formula>
    </cfRule>
  </conditionalFormatting>
  <conditionalFormatting sqref="W1961">
    <cfRule type="expression" dxfId="221" priority="188">
      <formula>AND($R$1961,$S$1961)</formula>
    </cfRule>
  </conditionalFormatting>
  <conditionalFormatting sqref="W1961">
    <cfRule type="expression" dxfId="220" priority="187">
      <formula>AND(IF($R$1961,$W$1961,TRUE),LEN(TRIM($W$1961))&gt;0)</formula>
    </cfRule>
  </conditionalFormatting>
  <conditionalFormatting sqref="W1961">
    <cfRule type="expression" dxfId="219" priority="186">
      <formula>OR($S$1961 = FALSE, AND($P$1961 = FALSE, ReportType &lt;&gt; "Final"), AND($Q$1961 = FALSE, ReportType &lt;&gt; "Rough"))</formula>
    </cfRule>
  </conditionalFormatting>
  <conditionalFormatting sqref="W1961">
    <cfRule type="expression" dxfId="218" priority="185">
      <formula>OR($T$1961 = TRUE, AND($W$1961 = TRUE, $S$1961 = FALSE))</formula>
    </cfRule>
  </conditionalFormatting>
  <conditionalFormatting sqref="W1968">
    <cfRule type="expression" dxfId="217" priority="184">
      <formula>AND($R$1968,$S$1968)</formula>
    </cfRule>
  </conditionalFormatting>
  <conditionalFormatting sqref="W1968">
    <cfRule type="expression" dxfId="216" priority="183">
      <formula>AND(IF($R$1968,$W$1968,TRUE),LEN(TRIM($W$1968))&gt;0)</formula>
    </cfRule>
  </conditionalFormatting>
  <conditionalFormatting sqref="W1968">
    <cfRule type="expression" dxfId="215" priority="182">
      <formula>OR($S$1968 = FALSE, AND($P$1968 = FALSE, ReportType &lt;&gt; "Final"), AND($Q$1968 = FALSE, ReportType &lt;&gt; "Rough"))</formula>
    </cfRule>
  </conditionalFormatting>
  <conditionalFormatting sqref="W1968">
    <cfRule type="expression" dxfId="214" priority="181">
      <formula>OR($T$1968 = TRUE, AND($W$1968 = TRUE, $S$1968 = FALSE))</formula>
    </cfRule>
  </conditionalFormatting>
  <conditionalFormatting sqref="W1970">
    <cfRule type="expression" dxfId="213" priority="180">
      <formula>AND($R$1970,$S$1970)</formula>
    </cfRule>
  </conditionalFormatting>
  <conditionalFormatting sqref="W1970">
    <cfRule type="expression" dxfId="212" priority="179">
      <formula>AND(IF($R$1970,$W$1970,TRUE),LEN(TRIM($W$1970))&gt;0)</formula>
    </cfRule>
  </conditionalFormatting>
  <conditionalFormatting sqref="W1970">
    <cfRule type="expression" dxfId="211" priority="178">
      <formula>OR($S$1970 = FALSE, AND($P$1970 = FALSE, ReportType &lt;&gt; "Final"), AND($Q$1970 = FALSE, ReportType &lt;&gt; "Rough"))</formula>
    </cfRule>
  </conditionalFormatting>
  <conditionalFormatting sqref="W1970">
    <cfRule type="expression" dxfId="210" priority="177">
      <formula>OR($T$1970 = TRUE, AND($W$1970 = TRUE, $S$1970 = FALSE))</formula>
    </cfRule>
  </conditionalFormatting>
  <conditionalFormatting sqref="W1971">
    <cfRule type="expression" dxfId="209" priority="176">
      <formula>AND($R$1971,$S$1971)</formula>
    </cfRule>
  </conditionalFormatting>
  <conditionalFormatting sqref="W1971">
    <cfRule type="expression" dxfId="208" priority="175">
      <formula>AND(IF($R$1971,$W$1971,TRUE),LEN(TRIM($W$1971))&gt;0)</formula>
    </cfRule>
  </conditionalFormatting>
  <conditionalFormatting sqref="W1971">
    <cfRule type="expression" dxfId="207" priority="174">
      <formula>OR($S$1971 = FALSE, AND($P$1971 = FALSE, ReportType &lt;&gt; "Final"), AND($Q$1971 = FALSE, ReportType &lt;&gt; "Rough"))</formula>
    </cfRule>
  </conditionalFormatting>
  <conditionalFormatting sqref="W1971">
    <cfRule type="expression" dxfId="206" priority="173">
      <formula>OR($T$1971 = TRUE, AND($W$1971 = TRUE, $S$1971 = FALSE))</formula>
    </cfRule>
  </conditionalFormatting>
  <conditionalFormatting sqref="W1973">
    <cfRule type="expression" dxfId="205" priority="172">
      <formula>AND($R$1973,$S$1973)</formula>
    </cfRule>
  </conditionalFormatting>
  <conditionalFormatting sqref="W1973">
    <cfRule type="expression" dxfId="204" priority="171">
      <formula>AND(IF($R$1973,$W$1973,TRUE),LEN(TRIM($W$1973))&gt;0)</formula>
    </cfRule>
  </conditionalFormatting>
  <conditionalFormatting sqref="W1973">
    <cfRule type="expression" dxfId="203" priority="170">
      <formula>OR($S$1973 = FALSE, AND($P$1973 = FALSE, ReportType &lt;&gt; "Final"), AND($Q$1973 = FALSE, ReportType &lt;&gt; "Rough"))</formula>
    </cfRule>
  </conditionalFormatting>
  <conditionalFormatting sqref="W1973">
    <cfRule type="expression" dxfId="202" priority="169">
      <formula>OR($T$1973 = TRUE, AND($W$1973 = TRUE, $S$1973 = FALSE))</formula>
    </cfRule>
  </conditionalFormatting>
  <conditionalFormatting sqref="W1974">
    <cfRule type="expression" dxfId="201" priority="168">
      <formula>AND($R$1974,$S$1974)</formula>
    </cfRule>
  </conditionalFormatting>
  <conditionalFormatting sqref="W1974">
    <cfRule type="expression" dxfId="200" priority="167">
      <formula>AND(IF($R$1974,$W$1974,TRUE),LEN(TRIM($W$1974))&gt;0)</formula>
    </cfRule>
  </conditionalFormatting>
  <conditionalFormatting sqref="W1974">
    <cfRule type="expression" dxfId="199" priority="166">
      <formula>OR($S$1974 = FALSE, AND($P$1974 = FALSE, ReportType &lt;&gt; "Final"), AND($Q$1974 = FALSE, ReportType &lt;&gt; "Rough"))</formula>
    </cfRule>
  </conditionalFormatting>
  <conditionalFormatting sqref="W1974">
    <cfRule type="expression" dxfId="198" priority="165">
      <formula>OR($T$1974 = TRUE, AND($W$1974 = TRUE, $S$1974 = FALSE))</formula>
    </cfRule>
  </conditionalFormatting>
  <conditionalFormatting sqref="W1975">
    <cfRule type="expression" dxfId="197" priority="164">
      <formula>AND($R$1975,$S$1975)</formula>
    </cfRule>
  </conditionalFormatting>
  <conditionalFormatting sqref="W1975">
    <cfRule type="expression" dxfId="196" priority="163">
      <formula>AND(IF($R$1975,$W$1975,TRUE),LEN(TRIM($W$1975))&gt;0)</formula>
    </cfRule>
  </conditionalFormatting>
  <conditionalFormatting sqref="W1975">
    <cfRule type="expression" dxfId="195" priority="162">
      <formula>OR($S$1975 = FALSE, AND($P$1975 = FALSE, ReportType &lt;&gt; "Final"), AND($Q$1975 = FALSE, ReportType &lt;&gt; "Rough"))</formula>
    </cfRule>
  </conditionalFormatting>
  <conditionalFormatting sqref="W1975">
    <cfRule type="expression" dxfId="194" priority="161">
      <formula>OR($T$1975 = TRUE, AND($W$1975 = TRUE, $S$1975 = FALSE))</formula>
    </cfRule>
  </conditionalFormatting>
  <conditionalFormatting sqref="W1976">
    <cfRule type="expression" dxfId="193" priority="160">
      <formula>AND($R$1976,$S$1976)</formula>
    </cfRule>
  </conditionalFormatting>
  <conditionalFormatting sqref="W1976">
    <cfRule type="expression" dxfId="192" priority="159">
      <formula>AND(IF($R$1976,$W$1976,TRUE),LEN(TRIM($W$1976))&gt;0)</formula>
    </cfRule>
  </conditionalFormatting>
  <conditionalFormatting sqref="W1976">
    <cfRule type="expression" dxfId="191" priority="158">
      <formula>OR($S$1976 = FALSE, AND($P$1976 = FALSE, ReportType &lt;&gt; "Final"), AND($Q$1976 = FALSE, ReportType &lt;&gt; "Rough"))</formula>
    </cfRule>
  </conditionalFormatting>
  <conditionalFormatting sqref="W1976">
    <cfRule type="expression" dxfId="190" priority="157">
      <formula>OR($T$1976 = TRUE, AND($W$1976 = TRUE, $S$1976 = FALSE))</formula>
    </cfRule>
  </conditionalFormatting>
  <conditionalFormatting sqref="W1977">
    <cfRule type="expression" dxfId="189" priority="156">
      <formula>AND($R$1977,$S$1977)</formula>
    </cfRule>
  </conditionalFormatting>
  <conditionalFormatting sqref="W1977">
    <cfRule type="expression" dxfId="188" priority="155">
      <formula>AND(IF($R$1977,$W$1977,TRUE),LEN(TRIM($W$1977))&gt;0)</formula>
    </cfRule>
  </conditionalFormatting>
  <conditionalFormatting sqref="W1977">
    <cfRule type="expression" dxfId="187" priority="154">
      <formula>OR($S$1977 = FALSE, AND($P$1977 = FALSE, ReportType &lt;&gt; "Final"), AND($Q$1977 = FALSE, ReportType &lt;&gt; "Rough"))</formula>
    </cfRule>
  </conditionalFormatting>
  <conditionalFormatting sqref="W1977">
    <cfRule type="expression" dxfId="186" priority="153">
      <formula>OR($T$1977 = TRUE, AND($W$1977 = TRUE, $S$1977 = FALSE))</formula>
    </cfRule>
  </conditionalFormatting>
  <conditionalFormatting sqref="W1994">
    <cfRule type="expression" dxfId="185" priority="152">
      <formula>AND($R$1994,$S$1994)</formula>
    </cfRule>
  </conditionalFormatting>
  <conditionalFormatting sqref="W1994">
    <cfRule type="expression" dxfId="184" priority="151">
      <formula>AND(IF($R$1994,$W$1994,TRUE),LEN(TRIM($W$1994))&gt;0)</formula>
    </cfRule>
  </conditionalFormatting>
  <conditionalFormatting sqref="W1994">
    <cfRule type="expression" dxfId="183" priority="150">
      <formula>OR($S$1994 = FALSE, AND($P$1994 = FALSE, ReportType &lt;&gt; "Final"), AND($Q$1994 = FALSE, ReportType &lt;&gt; "Rough"))</formula>
    </cfRule>
  </conditionalFormatting>
  <conditionalFormatting sqref="W1994">
    <cfRule type="expression" dxfId="182" priority="149">
      <formula>OR($T$1994 = TRUE, AND($W$1994 = TRUE, $S$1994 = FALSE))</formula>
    </cfRule>
  </conditionalFormatting>
  <conditionalFormatting sqref="W1996">
    <cfRule type="expression" dxfId="181" priority="148">
      <formula>AND($R$1996,$S$1996)</formula>
    </cfRule>
  </conditionalFormatting>
  <conditionalFormatting sqref="W1996">
    <cfRule type="expression" dxfId="180" priority="147">
      <formula>AND(IF($R$1996,$W$1996,TRUE),LEN(TRIM($W$1996))&gt;0)</formula>
    </cfRule>
  </conditionalFormatting>
  <conditionalFormatting sqref="W1996">
    <cfRule type="expression" dxfId="179" priority="146">
      <formula>OR($S$1996 = FALSE, AND($P$1996 = FALSE, ReportType &lt;&gt; "Final"), AND($Q$1996 = FALSE, ReportType &lt;&gt; "Rough"))</formula>
    </cfRule>
  </conditionalFormatting>
  <conditionalFormatting sqref="W1996">
    <cfRule type="expression" dxfId="178" priority="145">
      <formula>OR($T$1996 = TRUE, AND($W$1996 = TRUE, $S$1996 = FALSE))</formula>
    </cfRule>
  </conditionalFormatting>
  <conditionalFormatting sqref="W1999">
    <cfRule type="expression" dxfId="177" priority="144">
      <formula>AND($R$1999,$S$1999)</formula>
    </cfRule>
  </conditionalFormatting>
  <conditionalFormatting sqref="W1999">
    <cfRule type="expression" dxfId="176" priority="143">
      <formula>AND(IF($R$1999,$W$1999,TRUE),LEN(TRIM($W$1999))&gt;0)</formula>
    </cfRule>
  </conditionalFormatting>
  <conditionalFormatting sqref="W1999">
    <cfRule type="expression" dxfId="175" priority="142">
      <formula>OR($S$1999 = FALSE, AND($P$1999 = FALSE, ReportType &lt;&gt; "Final"), AND($Q$1999 = FALSE, ReportType &lt;&gt; "Rough"))</formula>
    </cfRule>
  </conditionalFormatting>
  <conditionalFormatting sqref="W1999">
    <cfRule type="expression" dxfId="174" priority="141">
      <formula>OR($T$1999 = TRUE, AND($W$1999 = TRUE, $S$1999 = FALSE))</formula>
    </cfRule>
  </conditionalFormatting>
  <conditionalFormatting sqref="W2012">
    <cfRule type="expression" dxfId="173" priority="140">
      <formula>AND($R$2012,$S$2012)</formula>
    </cfRule>
  </conditionalFormatting>
  <conditionalFormatting sqref="W2012">
    <cfRule type="expression" dxfId="172" priority="139">
      <formula>AND(IF($R$2012,$W$2012,TRUE),LEN(TRIM($W$2012))&gt;0)</formula>
    </cfRule>
  </conditionalFormatting>
  <conditionalFormatting sqref="W2012">
    <cfRule type="expression" dxfId="171" priority="138">
      <formula>OR($S$2012 = FALSE, AND($P$2012 = FALSE, ReportType &lt;&gt; "Final"), AND($Q$2012 = FALSE, ReportType &lt;&gt; "Rough"))</formula>
    </cfRule>
  </conditionalFormatting>
  <conditionalFormatting sqref="W2012">
    <cfRule type="expression" dxfId="170" priority="137">
      <formula>OR($T$2012 = TRUE, AND($W$2012 = TRUE, $S$2012 = FALSE))</formula>
    </cfRule>
  </conditionalFormatting>
  <conditionalFormatting sqref="W2014">
    <cfRule type="expression" dxfId="169" priority="136">
      <formula>AND($R$2014,$S$2014)</formula>
    </cfRule>
  </conditionalFormatting>
  <conditionalFormatting sqref="W2014">
    <cfRule type="expression" dxfId="168" priority="135">
      <formula>AND(IF($R$2014,$W$2014,TRUE),LEN(TRIM($W$2014))&gt;0)</formula>
    </cfRule>
  </conditionalFormatting>
  <conditionalFormatting sqref="W2014">
    <cfRule type="expression" dxfId="167" priority="134">
      <formula>OR($S$2014 = FALSE, AND($P$2014 = FALSE, ReportType &lt;&gt; "Final"), AND($Q$2014 = FALSE, ReportType &lt;&gt; "Rough"))</formula>
    </cfRule>
  </conditionalFormatting>
  <conditionalFormatting sqref="W2014">
    <cfRule type="expression" dxfId="166" priority="133">
      <formula>OR($T$2014 = TRUE, AND($W$2014 = TRUE, $S$2014 = FALSE))</formula>
    </cfRule>
  </conditionalFormatting>
  <conditionalFormatting sqref="W1661">
    <cfRule type="expression" dxfId="165" priority="132">
      <formula>AND(R1661,S1661)</formula>
    </cfRule>
  </conditionalFormatting>
  <conditionalFormatting sqref="W1661">
    <cfRule type="expression" dxfId="164" priority="131">
      <formula>NOT(ISBLANK(W1661))</formula>
    </cfRule>
  </conditionalFormatting>
  <conditionalFormatting sqref="W1661">
    <cfRule type="expression" dxfId="163" priority="130">
      <formula>OR(S1661 = FALSE, AND(P1661 = FALSE, ReportType &lt;&gt; "Final"), AND(Q1661 = FALSE, ReportType &lt;&gt; "Rough"))</formula>
    </cfRule>
  </conditionalFormatting>
  <conditionalFormatting sqref="W1661">
    <cfRule type="expression" dxfId="162" priority="129">
      <formula>OR(T1661 = TRUE, AND(W1661 = TRUE, S1661 = FALSE))</formula>
    </cfRule>
  </conditionalFormatting>
  <conditionalFormatting sqref="W1671">
    <cfRule type="expression" dxfId="161" priority="128">
      <formula>AND(R1671,S1671)</formula>
    </cfRule>
  </conditionalFormatting>
  <conditionalFormatting sqref="W1671">
    <cfRule type="expression" dxfId="160" priority="127">
      <formula>NOT(ISBLANK(W1671))</formula>
    </cfRule>
  </conditionalFormatting>
  <conditionalFormatting sqref="W1671">
    <cfRule type="expression" dxfId="159" priority="126">
      <formula>OR(S1671 = FALSE, AND(P1671 = FALSE, ReportType &lt;&gt; "Final"), AND(Q1671 = FALSE, ReportType &lt;&gt; "Rough"))</formula>
    </cfRule>
  </conditionalFormatting>
  <conditionalFormatting sqref="W1671">
    <cfRule type="expression" dxfId="158" priority="125">
      <formula>OR(T1671 = TRUE, AND(W1671 = TRUE, S1671 = FALSE))</formula>
    </cfRule>
  </conditionalFormatting>
  <conditionalFormatting sqref="W1672">
    <cfRule type="expression" dxfId="157" priority="124">
      <formula>AND(R1672,S1672)</formula>
    </cfRule>
  </conditionalFormatting>
  <conditionalFormatting sqref="W1672">
    <cfRule type="expression" dxfId="156" priority="123">
      <formula>NOT(ISBLANK(W1672))</formula>
    </cfRule>
  </conditionalFormatting>
  <conditionalFormatting sqref="W1672">
    <cfRule type="expression" dxfId="155" priority="122">
      <formula>OR(S1672 = FALSE, AND(P1672 = FALSE, ReportType &lt;&gt; "Final"), AND(Q1672 = FALSE, ReportType &lt;&gt; "Rough"))</formula>
    </cfRule>
  </conditionalFormatting>
  <conditionalFormatting sqref="W1672">
    <cfRule type="expression" dxfId="154" priority="121">
      <formula>OR(T1672 = TRUE, AND(W1672 = TRUE, S1672 = FALSE))</formula>
    </cfRule>
  </conditionalFormatting>
  <conditionalFormatting sqref="W1614">
    <cfRule type="expression" dxfId="153" priority="116">
      <formula>AND($R$1614,$S$1614)</formula>
    </cfRule>
  </conditionalFormatting>
  <conditionalFormatting sqref="W1614">
    <cfRule type="expression" dxfId="152" priority="115">
      <formula>AND($W$1614&lt;&gt;"Not Met",LEN(TRIM($W$1614))&gt;0)</formula>
    </cfRule>
  </conditionalFormatting>
  <conditionalFormatting sqref="W1614">
    <cfRule type="expression" dxfId="151" priority="114">
      <formula>OR($S$1614 = FALSE, AND($P$1614 = FALSE, ReportType &lt;&gt; "Final"), AND($Q$1614 = FALSE, ReportType &lt;&gt; "Rough"))</formula>
    </cfRule>
  </conditionalFormatting>
  <conditionalFormatting sqref="W1614">
    <cfRule type="expression" dxfId="150" priority="113">
      <formula>OR($T$1614 = TRUE, AND($W$1614="Met", $S$1614 = FALSE))</formula>
    </cfRule>
  </conditionalFormatting>
  <conditionalFormatting sqref="W1616">
    <cfRule type="expression" dxfId="149" priority="112">
      <formula>AND($R$1616,$S$1616)</formula>
    </cfRule>
  </conditionalFormatting>
  <conditionalFormatting sqref="W1616">
    <cfRule type="expression" dxfId="148" priority="111">
      <formula>AND($W$1616&lt;&gt;"Not Met",LEN(TRIM($W$1616))&gt;0)</formula>
    </cfRule>
  </conditionalFormatting>
  <conditionalFormatting sqref="W1616">
    <cfRule type="expression" dxfId="147" priority="110">
      <formula>OR($S$1616 = FALSE, AND($P$1616 = FALSE, ReportType &lt;&gt; "Final"), AND($Q$1616 = FALSE, ReportType &lt;&gt; "Rough"))</formula>
    </cfRule>
  </conditionalFormatting>
  <conditionalFormatting sqref="W1616">
    <cfRule type="expression" dxfId="146" priority="109">
      <formula>OR($T$1616 = TRUE, AND($W$1616="Met", $S$1616 = FALSE))</formula>
    </cfRule>
  </conditionalFormatting>
  <conditionalFormatting sqref="X1">
    <cfRule type="expression" dxfId="145" priority="4804">
      <formula>verStartError</formula>
    </cfRule>
  </conditionalFormatting>
  <conditionalFormatting sqref="W1611">
    <cfRule type="expression" dxfId="144" priority="108">
      <formula>AND($R$1611,$S$1611)</formula>
    </cfRule>
  </conditionalFormatting>
  <conditionalFormatting sqref="W1611">
    <cfRule type="expression" dxfId="143" priority="107">
      <formula>AND(IF($R$1611,$W$1611,TRUE),LEN(TRIM($W$1611))&gt;0)</formula>
    </cfRule>
  </conditionalFormatting>
  <conditionalFormatting sqref="W1611">
    <cfRule type="expression" dxfId="142" priority="106">
      <formula>OR($S$1611 = FALSE, AND($P$1611 = FALSE, ReportType &lt;&gt; "Final"), AND($Q$1611 = FALSE, ReportType &lt;&gt; "Rough"))</formula>
    </cfRule>
  </conditionalFormatting>
  <conditionalFormatting sqref="W1611">
    <cfRule type="expression" dxfId="141" priority="105">
      <formula>OR($T$1611 = TRUE, AND($W$1611 = TRUE, $S$1611 = FALSE))</formula>
    </cfRule>
  </conditionalFormatting>
  <conditionalFormatting sqref="W1506">
    <cfRule type="expression" dxfId="140" priority="104">
      <formula>AND($R$1506,$S$1506)</formula>
    </cfRule>
  </conditionalFormatting>
  <conditionalFormatting sqref="W1506">
    <cfRule type="expression" dxfId="139" priority="103">
      <formula>AND($W$1506&lt;&gt;"Not Met",LEN(TRIM($W$1506))&gt;0)</formula>
    </cfRule>
  </conditionalFormatting>
  <conditionalFormatting sqref="W1506">
    <cfRule type="expression" dxfId="138" priority="102">
      <formula>OR($S$1506 = FALSE, AND($P$1506 = FALSE, ReportType &lt;&gt; "Final"), AND($Q$1506 = FALSE, ReportType &lt;&gt; "Rough"))</formula>
    </cfRule>
  </conditionalFormatting>
  <conditionalFormatting sqref="W1506">
    <cfRule type="expression" dxfId="137" priority="101">
      <formula>OR($T$1506 = TRUE, AND(LEN(TRIM($W$1506))&gt;0, $S$1506 = FALSE))</formula>
    </cfRule>
  </conditionalFormatting>
  <conditionalFormatting sqref="W842">
    <cfRule type="expression" dxfId="136" priority="99">
      <formula>AND(R842,S842)</formula>
    </cfRule>
  </conditionalFormatting>
  <conditionalFormatting sqref="W842">
    <cfRule type="expression" dxfId="135" priority="98">
      <formula>NOT(ISBLANK(W842))</formula>
    </cfRule>
  </conditionalFormatting>
  <conditionalFormatting sqref="W842">
    <cfRule type="expression" dxfId="134" priority="97">
      <formula>S842 = FALSE</formula>
    </cfRule>
  </conditionalFormatting>
  <conditionalFormatting sqref="W842">
    <cfRule type="expression" dxfId="133" priority="96">
      <formula>OR(T842 = TRUE, AND(W842 = TRUE, S842 = FALSE))</formula>
    </cfRule>
  </conditionalFormatting>
  <conditionalFormatting sqref="W1317">
    <cfRule type="expression" dxfId="132" priority="95">
      <formula>AND($R$1317,$S$1317)</formula>
    </cfRule>
  </conditionalFormatting>
  <conditionalFormatting sqref="W1317">
    <cfRule type="expression" dxfId="131" priority="94">
      <formula>AND(IF($R$1317,$W$1317,TRUE),LEN(TRIM($W$1317))&gt;0)</formula>
    </cfRule>
  </conditionalFormatting>
  <conditionalFormatting sqref="W1317">
    <cfRule type="expression" dxfId="130" priority="93">
      <formula>OR($S$1317 = FALSE, AND($P$1317 = FALSE, ReportType &lt;&gt; "Final"), AND($Q$1317 = FALSE, ReportType &lt;&gt; "Rough"))</formula>
    </cfRule>
  </conditionalFormatting>
  <conditionalFormatting sqref="W1317">
    <cfRule type="expression" dxfId="129" priority="92">
      <formula>OR($T$1317 = TRUE, AND($W$1317 = TRUE, $S$1317 = FALSE))</formula>
    </cfRule>
  </conditionalFormatting>
  <conditionalFormatting sqref="Z13:Z777 Z1298:Z2015 Z781:Z1295">
    <cfRule type="notContainsBlanks" dxfId="128" priority="91">
      <formula>LEN(TRIM(Z13))&gt;0</formula>
    </cfRule>
  </conditionalFormatting>
  <conditionalFormatting sqref="Z16:Z18">
    <cfRule type="expression" dxfId="127" priority="7881">
      <formula>AA18=$AA$7</formula>
    </cfRule>
  </conditionalFormatting>
  <conditionalFormatting sqref="Z25:Z26 Z193:Z197 Z223 Z246 Z249 Z268 Z310 Z416 Z466 Z475 Z477:Z478 Z489 Z493 Z498 Z500 Z729 Z1611 Z1624">
    <cfRule type="expression" dxfId="126" priority="7882">
      <formula>AA25=$AA$7</formula>
    </cfRule>
  </conditionalFormatting>
  <conditionalFormatting sqref="Z67:Z79">
    <cfRule type="expression" dxfId="125" priority="7883">
      <formula>$AA$67=$AA$7</formula>
    </cfRule>
  </conditionalFormatting>
  <conditionalFormatting sqref="Z114:Z118">
    <cfRule type="expression" dxfId="124" priority="7884">
      <formula>$AA$114=$AA$7</formula>
    </cfRule>
  </conditionalFormatting>
  <conditionalFormatting sqref="Z129:Z130">
    <cfRule type="expression" dxfId="123" priority="7885">
      <formula>$AA$129=$AA$7</formula>
    </cfRule>
  </conditionalFormatting>
  <conditionalFormatting sqref="Z135:Z139">
    <cfRule type="expression" dxfId="122" priority="7886">
      <formula>$AA$135=$AA$7</formula>
    </cfRule>
    <cfRule type="expression" dxfId="121" priority="7887">
      <formula>$AA$135=$AA$7</formula>
    </cfRule>
  </conditionalFormatting>
  <conditionalFormatting sqref="Z140">
    <cfRule type="expression" dxfId="120" priority="7888">
      <formula>$AA$140=$AA$7</formula>
    </cfRule>
  </conditionalFormatting>
  <conditionalFormatting sqref="Z141:Z145">
    <cfRule type="expression" dxfId="119" priority="7889">
      <formula>$AA$141=$AA$7</formula>
    </cfRule>
  </conditionalFormatting>
  <conditionalFormatting sqref="Z236:Z245">
    <cfRule type="expression" dxfId="118" priority="7908">
      <formula>OR($AA$238=$AA$7,$AA$241=$AA$7)</formula>
    </cfRule>
  </conditionalFormatting>
  <conditionalFormatting sqref="Z315:Z332">
    <cfRule type="expression" dxfId="117" priority="7909">
      <formula>OR($AA$319=$AA$7,$AA$320=$AA$7,$AA$326=$AA$7)</formula>
    </cfRule>
  </conditionalFormatting>
  <conditionalFormatting sqref="Z452:Z463">
    <cfRule type="expression" dxfId="116" priority="57">
      <formula>$AA$451=$AA$7</formula>
    </cfRule>
  </conditionalFormatting>
  <conditionalFormatting sqref="Z1599 Z1602 Z1604 Z1607 Z1609">
    <cfRule type="expression" dxfId="115" priority="56">
      <formula>$AA$1597=$AA$7</formula>
    </cfRule>
  </conditionalFormatting>
  <conditionalFormatting sqref="Z1614 Z1616 Z1618">
    <cfRule type="expression" dxfId="114" priority="55">
      <formula>$AA$1613=$AA$7</formula>
    </cfRule>
  </conditionalFormatting>
  <conditionalFormatting sqref="BJ13:BJ165 BJ169:BJ777 BJ781:BJ2015">
    <cfRule type="expression" dxfId="113" priority="54">
      <formula>OR(AND(ReportType="Rough",P13=TRUE,R13=TRUE,W13=FALSE),AND(ReportType="Final",Q13=TRUE,R13=TRUE,W13=FALSE))</formula>
    </cfRule>
  </conditionalFormatting>
  <conditionalFormatting sqref="W1038">
    <cfRule type="expression" dxfId="112" priority="52">
      <formula>AND(R1038,S1038)</formula>
    </cfRule>
  </conditionalFormatting>
  <conditionalFormatting sqref="W1038">
    <cfRule type="expression" dxfId="111" priority="51">
      <formula>NOT(ISBLANK(W1038))</formula>
    </cfRule>
  </conditionalFormatting>
  <conditionalFormatting sqref="W1038">
    <cfRule type="expression" dxfId="110" priority="50">
      <formula>OR(S1038 = FALSE, AND(P1038 = FALSE, ReportType &lt;&gt; "Final"), AND(Q1038 = FALSE, ReportType &lt;&gt; "Rough"))</formula>
    </cfRule>
  </conditionalFormatting>
  <conditionalFormatting sqref="W1038">
    <cfRule type="expression" dxfId="109" priority="49">
      <formula>OR(T1038 = TRUE, AND(W1038 = TRUE, S1038 = FALSE))</formula>
    </cfRule>
  </conditionalFormatting>
  <conditionalFormatting sqref="W1297">
    <cfRule type="expression" dxfId="108" priority="48">
      <formula>AND(R1297,S1297)</formula>
    </cfRule>
  </conditionalFormatting>
  <conditionalFormatting sqref="W1297">
    <cfRule type="expression" dxfId="107" priority="47">
      <formula>NOT(ISBLANK(W1297))</formula>
    </cfRule>
  </conditionalFormatting>
  <conditionalFormatting sqref="W1297">
    <cfRule type="expression" dxfId="106" priority="46">
      <formula>S1297 = FALSE</formula>
    </cfRule>
  </conditionalFormatting>
  <conditionalFormatting sqref="W1297">
    <cfRule type="expression" dxfId="105" priority="45">
      <formula>OR(T1297 = TRUE, AND(W1297 = TRUE, S1297 = FALSE))</formula>
    </cfRule>
  </conditionalFormatting>
  <conditionalFormatting sqref="X962:X968">
    <cfRule type="expression" dxfId="104" priority="44">
      <formula>W962</formula>
    </cfRule>
  </conditionalFormatting>
  <conditionalFormatting sqref="Z13:Z15">
    <cfRule type="expression" dxfId="103" priority="10055">
      <formula>AA16=$AA$7</formula>
    </cfRule>
  </conditionalFormatting>
  <conditionalFormatting sqref="M278:M279">
    <cfRule type="expression" dxfId="102" priority="10056">
      <formula>$AY$22&gt;4099</formula>
    </cfRule>
  </conditionalFormatting>
  <conditionalFormatting sqref="W164">
    <cfRule type="expression" dxfId="101" priority="43">
      <formula>AND($R$164,$S$164)</formula>
    </cfRule>
  </conditionalFormatting>
  <conditionalFormatting sqref="W164">
    <cfRule type="expression" dxfId="100" priority="42">
      <formula>AND($W$164&lt;&gt;"Not Met",LEN(TRIM($W$164))&gt;0)</formula>
    </cfRule>
  </conditionalFormatting>
  <conditionalFormatting sqref="W164">
    <cfRule type="expression" dxfId="99" priority="41">
      <formula>OR($S$164 = FALSE, AND($P$164 = FALSE, ReportType &lt;&gt; "Final"), AND($Q$164 = FALSE, ReportType &lt;&gt; "Rough"))</formula>
    </cfRule>
  </conditionalFormatting>
  <conditionalFormatting sqref="W164">
    <cfRule type="expression" dxfId="98" priority="40">
      <formula>OR($T$164 = TRUE, AND(LEN(TRIM($W$164))&gt;0, $S$164 = FALSE))</formula>
    </cfRule>
  </conditionalFormatting>
  <conditionalFormatting sqref="BF166:BF168">
    <cfRule type="expression" dxfId="97" priority="10058">
      <formula>OR(AND(ReportType="Rough",P166=TRUE,R166=TRUE,W166=FALSE),AND(ReportType="Final",Q166=TRUE,R166=TRUE,W166=FALSE))</formula>
    </cfRule>
  </conditionalFormatting>
  <conditionalFormatting sqref="W1227">
    <cfRule type="expression" dxfId="96" priority="39">
      <formula>AND(R1227,S1227)</formula>
    </cfRule>
  </conditionalFormatting>
  <conditionalFormatting sqref="W1227">
    <cfRule type="expression" dxfId="95" priority="38">
      <formula>AND(IF(S1227,W1227,TRUE),LEN(TRIM(W1227))&gt;0)</formula>
    </cfRule>
  </conditionalFormatting>
  <conditionalFormatting sqref="W1227">
    <cfRule type="expression" dxfId="94" priority="37">
      <formula>OR(S1227 = FALSE, AND(P1227 = FALSE, ReportType &lt;&gt; "Final"), AND(Q1227 = FALSE, ReportType &lt;&gt; "Rough"))</formula>
    </cfRule>
  </conditionalFormatting>
  <conditionalFormatting sqref="W1227">
    <cfRule type="expression" dxfId="93" priority="36">
      <formula>OR(T1227 = TRUE, AND(W1227 = TRUE, S1227 = FALSE))</formula>
    </cfRule>
  </conditionalFormatting>
  <conditionalFormatting sqref="W962">
    <cfRule type="expression" dxfId="92" priority="35">
      <formula>AND($R$962,$S$962)</formula>
    </cfRule>
  </conditionalFormatting>
  <conditionalFormatting sqref="W962">
    <cfRule type="expression" dxfId="91" priority="34">
      <formula>AND($W$962&lt;&gt;"Not Met",LEN(TRIM($W$962))&gt;0)</formula>
    </cfRule>
  </conditionalFormatting>
  <conditionalFormatting sqref="W962">
    <cfRule type="expression" dxfId="90" priority="33">
      <formula>OR($S$962 = FALSE, AND($P$962 = FALSE, ReportType &lt;&gt; "Final"), AND($Q$962 = FALSE, ReportType &lt;&gt; "Rough"))</formula>
    </cfRule>
  </conditionalFormatting>
  <conditionalFormatting sqref="W962">
    <cfRule type="expression" dxfId="89" priority="32">
      <formula>OR($T$962 = TRUE, AND(LEN(TRIM($W$962))&gt;0, $S$962 = FALSE))</formula>
    </cfRule>
  </conditionalFormatting>
  <conditionalFormatting sqref="X778:X780">
    <cfRule type="expression" dxfId="88" priority="31">
      <formula>R778</formula>
    </cfRule>
  </conditionalFormatting>
  <conditionalFormatting sqref="Z778:Z780">
    <cfRule type="notContainsBlanks" dxfId="87" priority="30">
      <formula>LEN(TRIM(Z778))&gt;0</formula>
    </cfRule>
  </conditionalFormatting>
  <conditionalFormatting sqref="W778">
    <cfRule type="expression" dxfId="86" priority="29">
      <formula>AND($R$778,$S$778)</formula>
    </cfRule>
  </conditionalFormatting>
  <conditionalFormatting sqref="W778">
    <cfRule type="expression" dxfId="85" priority="28">
      <formula>AND($W$778&lt;&gt;"Not Met",LEN(TRIM($W$778))&gt;0)</formula>
    </cfRule>
  </conditionalFormatting>
  <conditionalFormatting sqref="W778">
    <cfRule type="expression" dxfId="84" priority="27">
      <formula>OR($S$778 = FALSE, AND($P$778 = FALSE, ReportType &lt;&gt; "Final"), AND($Q$778 = FALSE, ReportType &lt;&gt; "Rough"))</formula>
    </cfRule>
  </conditionalFormatting>
  <conditionalFormatting sqref="W778">
    <cfRule type="expression" dxfId="83" priority="26">
      <formula>OR($T$778 = TRUE, AND(LEN(TRIM($W$778))&gt;0, $S$778 = FALSE))</formula>
    </cfRule>
  </conditionalFormatting>
  <conditionalFormatting sqref="W352">
    <cfRule type="expression" dxfId="82" priority="25">
      <formula>AND($R$352,$S$352)</formula>
    </cfRule>
  </conditionalFormatting>
  <conditionalFormatting sqref="W352">
    <cfRule type="expression" dxfId="81" priority="24">
      <formula>AND($W$352&lt;&gt;"Not Met",LEN(TRIM($W$352))&gt;0)</formula>
    </cfRule>
  </conditionalFormatting>
  <conditionalFormatting sqref="W352">
    <cfRule type="expression" dxfId="80" priority="23">
      <formula>OR($S$352 = FALSE, AND($P$352 = FALSE, ReportType &lt;&gt; "Final"), AND($Q$352 = FALSE, ReportType &lt;&gt; "Rough"))</formula>
    </cfRule>
  </conditionalFormatting>
  <conditionalFormatting sqref="W352">
    <cfRule type="expression" dxfId="79" priority="22">
      <formula>OR($T$352 = TRUE, AND(LEN(TRIM($W$352))&gt;0, $S$352 = FALSE))</formula>
    </cfRule>
  </conditionalFormatting>
  <conditionalFormatting sqref="X352:X354">
    <cfRule type="expression" dxfId="78" priority="21">
      <formula>W352="N/A"</formula>
    </cfRule>
  </conditionalFormatting>
  <conditionalFormatting sqref="W942">
    <cfRule type="expression" dxfId="77" priority="20">
      <formula>AND(R942,S942)</formula>
    </cfRule>
  </conditionalFormatting>
  <conditionalFormatting sqref="W942">
    <cfRule type="expression" dxfId="76" priority="19">
      <formula>NOT(ISBLANK(W942))</formula>
    </cfRule>
  </conditionalFormatting>
  <conditionalFormatting sqref="W942">
    <cfRule type="expression" dxfId="75" priority="18">
      <formula>OR(S942 = FALSE, AND(P942 = FALSE, ReportType &lt;&gt; "Final"), AND(Q942 = FALSE, ReportType &lt;&gt; "Rough"))</formula>
    </cfRule>
  </conditionalFormatting>
  <conditionalFormatting sqref="W942">
    <cfRule type="expression" dxfId="74" priority="17">
      <formula>OR(T942 = TRUE, AND(W942 = TRUE, S942 = FALSE))</formula>
    </cfRule>
  </conditionalFormatting>
  <conditionalFormatting sqref="W944">
    <cfRule type="expression" dxfId="73" priority="16">
      <formula>AND(R944,S944)</formula>
    </cfRule>
  </conditionalFormatting>
  <conditionalFormatting sqref="W944">
    <cfRule type="expression" dxfId="72" priority="15">
      <formula>NOT(ISBLANK(W944))</formula>
    </cfRule>
  </conditionalFormatting>
  <conditionalFormatting sqref="W944">
    <cfRule type="expression" dxfId="71" priority="14">
      <formula>OR(S944 = FALSE, AND(P944 = FALSE, ReportType &lt;&gt; "Final"), AND(Q944 = FALSE, ReportType &lt;&gt; "Rough"))</formula>
    </cfRule>
  </conditionalFormatting>
  <conditionalFormatting sqref="W944">
    <cfRule type="expression" dxfId="70" priority="13">
      <formula>OR(T944 = TRUE, AND(W944 = TRUE, S944 = FALSE))</formula>
    </cfRule>
  </conditionalFormatting>
  <conditionalFormatting sqref="W940">
    <cfRule type="expression" dxfId="69" priority="4">
      <formula>AND($R$940,$S$940)</formula>
    </cfRule>
  </conditionalFormatting>
  <conditionalFormatting sqref="W940">
    <cfRule type="expression" dxfId="68" priority="3">
      <formula>AND($W$940&lt;&gt;"Not Met",LEN(TRIM($W$940))&gt;0)</formula>
    </cfRule>
  </conditionalFormatting>
  <conditionalFormatting sqref="W940">
    <cfRule type="expression" dxfId="67" priority="2">
      <formula>OR($S$940 = FALSE, AND($P$940 = FALSE, ReportType &lt;&gt; "Final"), AND($Q$940 = FALSE, ReportType &lt;&gt; "Rough"))</formula>
    </cfRule>
  </conditionalFormatting>
  <conditionalFormatting sqref="W940">
    <cfRule type="expression" dxfId="66" priority="1">
      <formula>OR($T$940 = TRUE, AND(LEN(TRIM($W$940))&gt;0, $S$940 = FALSE))</formula>
    </cfRule>
  </conditionalFormatting>
  <dataValidations count="132">
    <dataValidation type="list" allowBlank="1" showInputMessage="1" showErrorMessage="1" sqref="L5" xr:uid="{00000000-0002-0000-0F00-000000000000}">
      <formula1>"Rough, Final"</formula1>
    </dataValidation>
    <dataValidation type="decimal" allowBlank="1" showDropDown="1" showInputMessage="1" showErrorMessage="1" error="Enter Percentage" prompt="Enter Percentage" sqref="W68" xr:uid="{00000000-0002-0000-0F00-000001000000}">
      <formula1>0</formula1>
      <formula2>1</formula2>
    </dataValidation>
    <dataValidation type="whole" allowBlank="1" showDropDown="1" showInputMessage="1" showErrorMessage="1" error="Enter a whole number" prompt="Enter number of products" sqref="W768 W758" xr:uid="{00000000-0002-0000-0F00-000002000000}">
      <formula1>0</formula1>
      <formula2>20</formula2>
    </dataValidation>
    <dataValidation type="decimal" allowBlank="1" showDropDown="1" showInputMessage="1" showErrorMessage="1" error="Enter a percentage" prompt="Enter a percentage" sqref="W510 W522 W524 W526 W528 W913 W948 W1671:W1672 W1661" xr:uid="{00000000-0002-0000-0F00-000003000000}">
      <formula1>0</formula1>
      <formula2>1</formula2>
    </dataValidation>
    <dataValidation type="whole" allowBlank="1" showDropDown="1" showInputMessage="1" showErrorMessage="1" error="Enter a number" prompt="Enter number of square feet" sqref="W504" xr:uid="{00000000-0002-0000-0F00-000004000000}">
      <formula1>0</formula1>
      <formula2>10000</formula2>
    </dataValidation>
    <dataValidation type="list" allowBlank="1" showInputMessage="1" showErrorMessage="1" error="Please use the dropdown." sqref="W39" xr:uid="{00000000-0002-0000-0F00-000005000000}">
      <formula1>INDIRECT($U$39)</formula1>
    </dataValidation>
    <dataValidation type="list" allowBlank="1" showInputMessage="1" showErrorMessage="1" error="Please use the dropdown." sqref="W72" xr:uid="{00000000-0002-0000-0F00-000006000000}">
      <formula1>INDIRECT($U$72)</formula1>
    </dataValidation>
    <dataValidation type="list" allowBlank="1" showInputMessage="1" showErrorMessage="1" error="Please use the dropdown." sqref="W107" xr:uid="{00000000-0002-0000-0F00-000007000000}">
      <formula1>INDIRECT($U$107)</formula1>
    </dataValidation>
    <dataValidation type="list" allowBlank="1" showInputMessage="1" showErrorMessage="1" error="Please use the dropdown." sqref="W114" xr:uid="{00000000-0002-0000-0F00-000008000000}">
      <formula1>INDIRECT($U$114)</formula1>
    </dataValidation>
    <dataValidation type="list" allowBlank="1" showInputMessage="1" showErrorMessage="1" error="Please use the dropdown." sqref="W121" xr:uid="{00000000-0002-0000-0F00-000009000000}">
      <formula1>INDIRECT($U$121)</formula1>
    </dataValidation>
    <dataValidation type="list" allowBlank="1" showInputMessage="1" showErrorMessage="1" error="Please use the dropdown." sqref="W123" xr:uid="{00000000-0002-0000-0F00-00000A000000}">
      <formula1>INDIRECT($U$123)</formula1>
    </dataValidation>
    <dataValidation type="list" allowBlank="1" showInputMessage="1" showErrorMessage="1" error="Please use the dropdown." sqref="W135" xr:uid="{00000000-0002-0000-0F00-00000B000000}">
      <formula1>INDIRECT($U$135)</formula1>
    </dataValidation>
    <dataValidation type="list" allowBlank="1" showInputMessage="1" showErrorMessage="1" error="Please use the dropdown." sqref="W171" xr:uid="{00000000-0002-0000-0F00-00000C000000}">
      <formula1>INDIRECT($U$171)</formula1>
    </dataValidation>
    <dataValidation type="list" allowBlank="1" showInputMessage="1" showErrorMessage="1" error="Please use the dropdown." sqref="W226" xr:uid="{00000000-0002-0000-0F00-00000D000000}">
      <formula1>INDIRECT($U$226)</formula1>
    </dataValidation>
    <dataValidation type="list" allowBlank="1" showInputMessage="1" showErrorMessage="1" error="Please use the dropdown." sqref="W230" xr:uid="{00000000-0002-0000-0F00-00000E000000}">
      <formula1>INDIRECT($U$230)</formula1>
    </dataValidation>
    <dataValidation type="list" allowBlank="1" showInputMessage="1" showErrorMessage="1" error="Please use the dropdown." sqref="W249" xr:uid="{00000000-0002-0000-0F00-00000F000000}">
      <formula1>INDIRECT($U$249)</formula1>
    </dataValidation>
    <dataValidation type="list" allowBlank="1" showInputMessage="1" showErrorMessage="1" error="Please use the dropdown." sqref="W311" xr:uid="{00000000-0002-0000-0F00-000010000000}">
      <formula1>INDIRECT($U$311)</formula1>
    </dataValidation>
    <dataValidation type="list" allowBlank="1" showInputMessage="1" showErrorMessage="1" error="Please use the dropdown." sqref="W318" xr:uid="{00000000-0002-0000-0F00-000011000000}">
      <formula1>INDIRECT($U$318)</formula1>
    </dataValidation>
    <dataValidation type="list" allowBlank="1" showInputMessage="1" showErrorMessage="1" error="Please use the dropdown." sqref="W319" xr:uid="{00000000-0002-0000-0F00-000012000000}">
      <formula1>INDIRECT($U$319)</formula1>
    </dataValidation>
    <dataValidation type="list" allowBlank="1" showInputMessage="1" showErrorMessage="1" error="Please use the dropdown." sqref="W320" xr:uid="{00000000-0002-0000-0F00-000013000000}">
      <formula1>INDIRECT($U$320)</formula1>
    </dataValidation>
    <dataValidation type="list" allowBlank="1" showInputMessage="1" showErrorMessage="1" error="Please use the dropdown." sqref="W324" xr:uid="{00000000-0002-0000-0F00-000014000000}">
      <formula1>INDIRECT($U$324)</formula1>
    </dataValidation>
    <dataValidation type="list" allowBlank="1" showInputMessage="1" showErrorMessage="1" error="Please use the dropdown." sqref="W326" xr:uid="{00000000-0002-0000-0F00-000015000000}">
      <formula1>INDIRECT($U$326)</formula1>
    </dataValidation>
    <dataValidation type="list" allowBlank="1" showInputMessage="1" showErrorMessage="1" error="Please use the dropdown." sqref="W381" xr:uid="{00000000-0002-0000-0F00-000016000000}">
      <formula1>INDIRECT($U$381)</formula1>
    </dataValidation>
    <dataValidation type="list" allowBlank="1" showInputMessage="1" showErrorMessage="1" error="Please use the dropdown." sqref="W442" xr:uid="{00000000-0002-0000-0F00-000017000000}">
      <formula1>INDIRECT($U$442)</formula1>
    </dataValidation>
    <dataValidation type="list" allowBlank="1" showInputMessage="1" showErrorMessage="1" error="Please use the dropdown." sqref="W452" xr:uid="{00000000-0002-0000-0F00-000018000000}">
      <formula1>INDIRECT($U$452)</formula1>
    </dataValidation>
    <dataValidation type="list" allowBlank="1" showInputMessage="1" showErrorMessage="1" error="Please use the dropdown." sqref="W574" xr:uid="{00000000-0002-0000-0F00-000019000000}">
      <formula1>INDIRECT($U$574)</formula1>
    </dataValidation>
    <dataValidation type="list" allowBlank="1" showInputMessage="1" showErrorMessage="1" error="Please use the dropdown." sqref="W575" xr:uid="{00000000-0002-0000-0F00-00001A000000}">
      <formula1>INDIRECT($U$575)</formula1>
    </dataValidation>
    <dataValidation type="list" allowBlank="1" showInputMessage="1" showErrorMessage="1" error="Please use the dropdown." sqref="W576" xr:uid="{00000000-0002-0000-0F00-00001B000000}">
      <formula1>INDIRECT($U$576)</formula1>
    </dataValidation>
    <dataValidation type="list" allowBlank="1" showInputMessage="1" showErrorMessage="1" error="Please use the dropdown." sqref="W577" xr:uid="{00000000-0002-0000-0F00-00001C000000}">
      <formula1>INDIRECT($U$577)</formula1>
    </dataValidation>
    <dataValidation type="list" allowBlank="1" showInputMessage="1" showErrorMessage="1" error="Please use the dropdown." sqref="W578" xr:uid="{00000000-0002-0000-0F00-00001D000000}">
      <formula1>INDIRECT($U$578)</formula1>
    </dataValidation>
    <dataValidation type="list" allowBlank="1" showInputMessage="1" showErrorMessage="1" error="Please use the dropdown." sqref="W579" xr:uid="{00000000-0002-0000-0F00-00001E000000}">
      <formula1>INDIRECT($U$579)</formula1>
    </dataValidation>
    <dataValidation type="list" allowBlank="1" showInputMessage="1" showErrorMessage="1" error="Please use the dropdown." sqref="W580" xr:uid="{00000000-0002-0000-0F00-00001F000000}">
      <formula1>INDIRECT($U$580)</formula1>
    </dataValidation>
    <dataValidation type="list" allowBlank="1" showInputMessage="1" showErrorMessage="1" error="Please use the dropdown." sqref="W581" xr:uid="{00000000-0002-0000-0F00-000020000000}">
      <formula1>INDIRECT($U$581)</formula1>
    </dataValidation>
    <dataValidation type="list" allowBlank="1" showInputMessage="1" showErrorMessage="1" error="Please use the dropdown." sqref="W601" xr:uid="{00000000-0002-0000-0F00-000021000000}">
      <formula1>INDIRECT($U$601)</formula1>
    </dataValidation>
    <dataValidation type="list" allowBlank="1" showInputMessage="1" showErrorMessage="1" error="Please use the dropdown." sqref="W602" xr:uid="{00000000-0002-0000-0F00-000022000000}">
      <formula1>INDIRECT($U$602)</formula1>
    </dataValidation>
    <dataValidation type="list" allowBlank="1" showInputMessage="1" showErrorMessage="1" error="Please use the dropdown." sqref="W604" xr:uid="{00000000-0002-0000-0F00-000023000000}">
      <formula1>INDIRECT($U$604)</formula1>
    </dataValidation>
    <dataValidation type="list" allowBlank="1" showInputMessage="1" showErrorMessage="1" error="Please use the dropdown." sqref="W605" xr:uid="{00000000-0002-0000-0F00-000024000000}">
      <formula1>INDIRECT($U$605)</formula1>
    </dataValidation>
    <dataValidation type="list" allowBlank="1" showInputMessage="1" showErrorMessage="1" error="Please use the dropdown." sqref="W607" xr:uid="{00000000-0002-0000-0F00-000025000000}">
      <formula1>INDIRECT($U$607)</formula1>
    </dataValidation>
    <dataValidation type="list" allowBlank="1" showInputMessage="1" showErrorMessage="1" error="Please use the dropdown." sqref="W622" xr:uid="{00000000-0002-0000-0F00-000026000000}">
      <formula1>INDIRECT($U$622)</formula1>
    </dataValidation>
    <dataValidation type="list" allowBlank="1" showInputMessage="1" showErrorMessage="1" error="Please use the dropdown." sqref="W632" xr:uid="{00000000-0002-0000-0F00-000027000000}">
      <formula1>INDIRECT($U$632)</formula1>
    </dataValidation>
    <dataValidation type="list" allowBlank="1" showInputMessage="1" showErrorMessage="1" error="Please use the dropdown." sqref="W635" xr:uid="{00000000-0002-0000-0F00-000028000000}">
      <formula1>INDIRECT($U$635)</formula1>
    </dataValidation>
    <dataValidation type="list" allowBlank="1" showInputMessage="1" showErrorMessage="1" error="Please use the dropdown." sqref="W671" xr:uid="{00000000-0002-0000-0F00-000029000000}">
      <formula1>INDIRECT($U$671)</formula1>
    </dataValidation>
    <dataValidation type="list" allowBlank="1" showInputMessage="1" showErrorMessage="1" error="Please use the dropdown." sqref="W678" xr:uid="{00000000-0002-0000-0F00-00002A000000}">
      <formula1>INDIRECT($U$678)</formula1>
    </dataValidation>
    <dataValidation type="list" allowBlank="1" showInputMessage="1" showErrorMessage="1" error="Please use the dropdown." sqref="W684" xr:uid="{00000000-0002-0000-0F00-00002B000000}">
      <formula1>INDIRECT($U$684)</formula1>
    </dataValidation>
    <dataValidation type="list" allowBlank="1" showInputMessage="1" showErrorMessage="1" error="Please use the dropdown." sqref="W690" xr:uid="{00000000-0002-0000-0F00-00002C000000}">
      <formula1>INDIRECT($U$690)</formula1>
    </dataValidation>
    <dataValidation type="list" allowBlank="1" showInputMessage="1" showErrorMessage="1" error="Please use the dropdown." sqref="W696" xr:uid="{00000000-0002-0000-0F00-00002D000000}">
      <formula1>INDIRECT($U$696)</formula1>
    </dataValidation>
    <dataValidation type="list" allowBlank="1" showInputMessage="1" showErrorMessage="1" error="Please use the dropdown." sqref="W702" xr:uid="{00000000-0002-0000-0F00-00002E000000}">
      <formula1>INDIRECT($U$702)</formula1>
    </dataValidation>
    <dataValidation type="list" allowBlank="1" showInputMessage="1" showErrorMessage="1" error="Please use the dropdown." sqref="W708" xr:uid="{00000000-0002-0000-0F00-00002F000000}">
      <formula1>INDIRECT($U$708)</formula1>
    </dataValidation>
    <dataValidation type="list" allowBlank="1" showInputMessage="1" showErrorMessage="1" error="Please use the dropdown." sqref="W372" xr:uid="{00000000-0002-0000-0F00-000030000000}">
      <formula1>INDIRECT($U$372)</formula1>
    </dataValidation>
    <dataValidation type="list" allowBlank="1" showInputMessage="1" showErrorMessage="1" error="Please use the dropdown." sqref="W378" xr:uid="{00000000-0002-0000-0F00-000031000000}">
      <formula1>INDIRECT($U$378)</formula1>
    </dataValidation>
    <dataValidation type="list" allowBlank="1" showInputMessage="1" showErrorMessage="1" error="Please use the dropdown." sqref="W405" xr:uid="{00000000-0002-0000-0F00-000032000000}">
      <formula1>INDIRECT($U$405)</formula1>
    </dataValidation>
    <dataValidation type="list" allowBlank="1" showInputMessage="1" showErrorMessage="1" error="Please use the dropdown." sqref="W416" xr:uid="{00000000-0002-0000-0F00-000033000000}">
      <formula1>INDIRECT($U$416)</formula1>
    </dataValidation>
    <dataValidation type="list" allowBlank="1" showInputMessage="1" showErrorMessage="1" error="Please use the dropdown." sqref="W464" xr:uid="{00000000-0002-0000-0F00-000034000000}">
      <formula1>INDIRECT($U$464)</formula1>
    </dataValidation>
    <dataValidation type="list" allowBlank="1" showInputMessage="1" showErrorMessage="1" error="Please use the dropdown." sqref="W469" xr:uid="{00000000-0002-0000-0F00-000035000000}">
      <formula1>INDIRECT($U$469)</formula1>
    </dataValidation>
    <dataValidation type="list" allowBlank="1" showInputMessage="1" showErrorMessage="1" error="Please use the dropdown." sqref="W475" xr:uid="{00000000-0002-0000-0F00-000036000000}">
      <formula1>INDIRECT($U$475)</formula1>
    </dataValidation>
    <dataValidation type="list" allowBlank="1" showDropDown="1" showInputMessage="1" showErrorMessage="1" error="Use Checkbox" prompt="Use Checkbox" sqref="W750 W748 W742:W744 W740 W738 W734 W729 W719:W725 W663 W656 W647 W618:W619 W616 W561:W569 W548 W546 W533 W517 W500 W498 W493 W489 W485:W486 W483 W477:W478 W466 W450 W448 W437:W438 W434 W424 W412 W410 W408 W403 W398 W394 W390 W384 W382 W376 W370 W364 W362 W359:W360 W355 W804 W341 W333 W305:W309 W294:W299 W290 W287 W284 W258 W255:W256 W245:W246 W241 W238 W225 W223 W216 W209:W214 W207 W204 W200 W198 W195:W196 W193 W188 W185:W186 W178 W14 W16:W18 W163 W159:W161 W155 W153 W151 W148 W146 W140:W141 W133 W131 W129 W103 W100 W90:W92 W87:W88 W83 W79 W77 W69:W70 W65 W61:W63 W59 W56:W57 W45 W36 W27 W25 W23 W21 W1317 W799 W2014 W2012 W1999 W1996 W1994 W1973:W1977 W1970:W1971 W1968 W1961 W1957 W1955 W1949 W1945:W1946 W1943 W1940:W1941 W1938 W1935 W1933 W1930 W1928 W1920:W1922 W1917:W1918 W1915 W1912 W1909 W1886:W1888 W1884 W1882 W1879:W1880 W1877 W1874:W1875 W1872 W1870 W1866 W1611 W1853 W1849:W1851 W1843:W1845 W1835 W1830 W1826 W1821 W1815:W1816 W1801 W1799 W1796 W1794 W1791 W1782 W1779 W1777 W1764 W1762 W1760 W1749 W1742 W1738 W1736 W1730 W1728 W1724:W1725 W1715 W1710:W1711 W1705 W1696 W1691 W1688:W1689 W1686 W1675 W1652 W1649 W1647 W1624 W1618 W1590 W1575 W1569 W1563 W1561 W1556:W1558 W1549 W1539:W1540 W1519 W1514:W1515 W1512 W1858:W1860 W1502:W1504 W1498 W1496 W1494 W1487 W1473 W1442 W1437 W1400 W1397 W1393:W1394 W1389 W1378 W1376 W1374 W1364:W1371 W1346 W1343 W1338:W1341 W1331 W1329 W1327 W1315 W1301 W1298 W1273 W1268 W1263:W1264 W1258 W1255 W1238 W1197 W1195 W1193 W1191 W1185:W1186 W1182 W1178:W1180 W1176 W1168 W1140 W1135:W1137 W1132 W1130 W1128 W1116 W1114 W1112 W1082 W1079:W1080 W1076 W1074 W1068 W1061 W1051 W1048 W1007 W1855:W1856 W955 W946 W813 W937 W924 W907 W901:W902 W899 W885 W858 W855 W823 W821 W816:W817" xr:uid="{00000000-0002-0000-0F00-000037000000}">
      <formula1>TorF</formula1>
    </dataValidation>
    <dataValidation type="whole" allowBlank="1" showDropDown="1" showInputMessage="1" showErrorMessage="1" prompt="Enter number of fans" sqref="W1063" xr:uid="{00000000-0002-0000-0F00-000038000000}">
      <formula1>0</formula1>
      <formula2>100</formula2>
    </dataValidation>
    <dataValidation type="decimal" allowBlank="1" showDropDown="1" showInputMessage="1" showErrorMessage="1" prompt="Enter the EER" sqref="W1056" xr:uid="{00000000-0002-0000-0F00-000039000000}">
      <formula1>0</formula1>
      <formula2>100</formula2>
    </dataValidation>
    <dataValidation type="decimal" allowBlank="1" showDropDown="1" showInputMessage="1" showErrorMessage="1" prompt="Enter the SEER" sqref="W1044" xr:uid="{00000000-0002-0000-0F00-00003A000000}">
      <formula1>0</formula1>
      <formula2>100</formula2>
    </dataValidation>
    <dataValidation type="decimal" allowBlank="1" showDropDown="1" showInputMessage="1" showErrorMessage="1" prompt="Enter the COP" sqref="W1039 W1050" xr:uid="{00000000-0002-0000-0F00-00003B000000}">
      <formula1>0</formula1>
      <formula2>100</formula2>
    </dataValidation>
    <dataValidation type="decimal" allowBlank="1" showDropDown="1" showInputMessage="1" showErrorMessage="1" prompt="Enter the HSPF" sqref="W1034" xr:uid="{00000000-0002-0000-0F00-00003C000000}">
      <formula1>0</formula1>
      <formula2>100</formula2>
    </dataValidation>
    <dataValidation type="decimal" allowBlank="1" showDropDown="1" showInputMessage="1" showErrorMessage="1" prompt="Enter the AFUE" sqref="W1014 W1020 W1023 W1028" xr:uid="{00000000-0002-0000-0F00-00003D000000}">
      <formula1>0</formula1>
      <formula2>1</formula2>
    </dataValidation>
    <dataValidation type="decimal" allowBlank="1" showDropDown="1" showInputMessage="1" showErrorMessage="1" prompt="Enter the ACH50" sqref="W839 W1295" xr:uid="{00000000-0002-0000-0F00-00003E000000}">
      <formula1>0</formula1>
      <formula2>50</formula2>
    </dataValidation>
    <dataValidation type="decimal" allowBlank="1" showDropDown="1" showInputMessage="1" showErrorMessage="1" error="Enter a number" prompt="Enter Energy Factor or Thermal Efficiency" sqref="W1097" xr:uid="{00000000-0002-0000-0F00-00003F000000}">
      <formula1>0</formula1>
      <formula2>3</formula2>
    </dataValidation>
    <dataValidation type="decimal" allowBlank="1" showDropDown="1" showInputMessage="1" showErrorMessage="1" error="Enter a number" prompt="Enter SEF" sqref="W1118" xr:uid="{00000000-0002-0000-0F00-000040000000}">
      <formula1>0</formula1>
      <formula2>5</formula2>
    </dataValidation>
    <dataValidation type="whole" allowBlank="1" showDropDown="1" showInputMessage="1" showErrorMessage="1" error="Enter a whole number" prompt="Enter number of recessed luminaires penetrating the thermal envelope" sqref="W1261" xr:uid="{00000000-0002-0000-0F00-000041000000}">
      <formula1>0</formula1>
      <formula2>100</formula2>
    </dataValidation>
    <dataValidation type="whole" allowBlank="1" showDropDown="1" showInputMessage="1" showErrorMessage="1" error="Enter a whole number" prompt="Enter number of kW" sqref="W1381" xr:uid="{00000000-0002-0000-0F00-000042000000}">
      <formula1>0</formula1>
      <formula2>10000000000</formula2>
    </dataValidation>
    <dataValidation type="decimal" allowBlank="1" showDropDown="1" showInputMessage="1" showErrorMessage="1" error="Enter a nuber of inches" prompt="Enter a number of inches" sqref="W954" xr:uid="{00000000-0002-0000-0F00-000043000000}">
      <formula1>0</formula1>
      <formula2>36</formula2>
    </dataValidation>
    <dataValidation type="list" allowBlank="1" showInputMessage="1" showErrorMessage="1" error="Please use the dropdown." sqref="W776" xr:uid="{00000000-0002-0000-0F00-000044000000}">
      <formula1>INDIRECT($U$776)</formula1>
    </dataValidation>
    <dataValidation type="list" allowBlank="1" showInputMessage="1" showErrorMessage="1" error="Please use the dropdown." sqref="W790" xr:uid="{00000000-0002-0000-0F00-000045000000}">
      <formula1>INDIRECT($U$790)</formula1>
    </dataValidation>
    <dataValidation type="list" allowBlank="1" showInputMessage="1" showErrorMessage="1" error="Please use the dropdown." sqref="W807" xr:uid="{00000000-0002-0000-0F00-000046000000}">
      <formula1>INDIRECT($U$807)</formula1>
    </dataValidation>
    <dataValidation type="list" allowBlank="1" showInputMessage="1" showErrorMessage="1" error="Please use the dropdown." sqref="W891" xr:uid="{00000000-0002-0000-0F00-000047000000}">
      <formula1>INDIRECT($U$891)</formula1>
    </dataValidation>
    <dataValidation type="list" allowBlank="1" showInputMessage="1" showErrorMessage="1" error="Please use the dropdown." sqref="W969" xr:uid="{00000000-0002-0000-0F00-000048000000}">
      <formula1>INDIRECT($U$969)</formula1>
    </dataValidation>
    <dataValidation type="list" allowBlank="1" showInputMessage="1" showErrorMessage="1" error="Please use the dropdown." sqref="W977" xr:uid="{00000000-0002-0000-0F00-000049000000}">
      <formula1>INDIRECT($U$977)</formula1>
    </dataValidation>
    <dataValidation type="list" allowBlank="1" showInputMessage="1" showErrorMessage="1" error="Please use the dropdown." sqref="W985" xr:uid="{00000000-0002-0000-0F00-00004A000000}">
      <formula1>INDIRECT($U$985)</formula1>
    </dataValidation>
    <dataValidation type="list" allowBlank="1" showInputMessage="1" showErrorMessage="1" error="Please use the dropdown." sqref="W995" xr:uid="{00000000-0002-0000-0F00-00004B000000}">
      <formula1>INDIRECT($U$995)</formula1>
    </dataValidation>
    <dataValidation type="list" allowBlank="1" showInputMessage="1" showErrorMessage="1" error="Please use the dropdown." sqref="W1001" xr:uid="{00000000-0002-0000-0F00-00004C000000}">
      <formula1>INDIRECT($U$1001)</formula1>
    </dataValidation>
    <dataValidation type="list" allowBlank="1" showInputMessage="1" showErrorMessage="1" error="Please use the dropdown." sqref="W1084" xr:uid="{00000000-0002-0000-0F00-00004D000000}">
      <formula1>INDIRECT($U$1084)</formula1>
    </dataValidation>
    <dataValidation type="list" allowBlank="1" showInputMessage="1" showErrorMessage="1" error="Please use the dropdown." sqref="W1095" xr:uid="{00000000-0002-0000-0F00-00004E000000}">
      <formula1>INDIRECT($U$1095)</formula1>
    </dataValidation>
    <dataValidation type="list" allowBlank="1" showInputMessage="1" showErrorMessage="1" error="Please use the dropdown." sqref="W1234" xr:uid="{00000000-0002-0000-0F00-00004F000000}">
      <formula1>INDIRECT($U$1234)</formula1>
    </dataValidation>
    <dataValidation type="list" allowBlank="1" showInputMessage="1" showErrorMessage="1" error="Please use the dropdown." sqref="W1241" xr:uid="{00000000-0002-0000-0F00-000050000000}">
      <formula1>INDIRECT($U$1241)</formula1>
    </dataValidation>
    <dataValidation type="list" allowBlank="1" showInputMessage="1" showErrorMessage="1" error="Please use the dropdown." sqref="W1245" xr:uid="{00000000-0002-0000-0F00-000051000000}">
      <formula1>INDIRECT($U$1245)</formula1>
    </dataValidation>
    <dataValidation type="list" allowBlank="1" showInputMessage="1" showErrorMessage="1" error="Please use the dropdown." sqref="W1250" xr:uid="{00000000-0002-0000-0F00-000052000000}">
      <formula1>INDIRECT($U$1250)</formula1>
    </dataValidation>
    <dataValidation type="list" allowBlank="1" showInputMessage="1" showErrorMessage="1" error="Please use the dropdown." sqref="W1309" xr:uid="{00000000-0002-0000-0F00-000053000000}">
      <formula1>INDIRECT($U$1309)</formula1>
    </dataValidation>
    <dataValidation type="list" allowBlank="1" showInputMessage="1" showErrorMessage="1" error="Please use the dropdown." sqref="W1349" xr:uid="{00000000-0002-0000-0F00-000054000000}">
      <formula1>INDIRECT($U$1349)</formula1>
    </dataValidation>
    <dataValidation type="whole" allowBlank="1" showDropDown="1" showInputMessage="1" showErrorMessage="1" error="Enter a whole number" prompt="Enter number of systems" sqref="W1551" xr:uid="{00000000-0002-0000-0F00-000055000000}">
      <formula1>0</formula1>
      <formula2>5</formula2>
    </dataValidation>
    <dataValidation type="list" allowBlank="1" showInputMessage="1" showErrorMessage="1" error="Please use the dropdown." sqref="W1408" xr:uid="{00000000-0002-0000-0F00-000056000000}">
      <formula1>INDIRECT($U$1408)</formula1>
    </dataValidation>
    <dataValidation type="list" allowBlank="1" showInputMessage="1" showErrorMessage="1" error="Please use the dropdown." sqref="W1443" xr:uid="{00000000-0002-0000-0F00-000057000000}">
      <formula1>INDIRECT($U$1443)</formula1>
    </dataValidation>
    <dataValidation type="list" allowBlank="1" showInputMessage="1" showErrorMessage="1" error="Please use the dropdown." sqref="W1450" xr:uid="{00000000-0002-0000-0F00-000058000000}">
      <formula1>INDIRECT($U$1450)</formula1>
    </dataValidation>
    <dataValidation type="list" allowBlank="1" showInputMessage="1" showErrorMessage="1" error="Please use the dropdown." sqref="W1459" xr:uid="{00000000-0002-0000-0F00-000059000000}">
      <formula1>INDIRECT($U$1459)</formula1>
    </dataValidation>
    <dataValidation type="list" allowBlank="1" showInputMessage="1" showErrorMessage="1" error="Please use the dropdown." sqref="W1464" xr:uid="{00000000-0002-0000-0F00-00005A000000}">
      <formula1>INDIRECT($U$1464)</formula1>
    </dataValidation>
    <dataValidation type="list" allowBlank="1" showInputMessage="1" showErrorMessage="1" error="Please use the dropdown." sqref="W1469" xr:uid="{00000000-0002-0000-0F00-00005B000000}">
      <formula1>INDIRECT($U$1469)</formula1>
    </dataValidation>
    <dataValidation type="list" allowBlank="1" showInputMessage="1" showErrorMessage="1" error="Please use the dropdown." sqref="W1474" xr:uid="{00000000-0002-0000-0F00-00005C000000}">
      <formula1>INDIRECT($U$1474)</formula1>
    </dataValidation>
    <dataValidation type="list" allowBlank="1" showInputMessage="1" showErrorMessage="1" error="Please use the dropdown." sqref="W1481" xr:uid="{00000000-0002-0000-0F00-00005D000000}">
      <formula1>INDIRECT($U$1481)</formula1>
    </dataValidation>
    <dataValidation type="list" allowBlank="1" showInputMessage="1" showErrorMessage="1" error="Please use the dropdown." sqref="W1490" xr:uid="{00000000-0002-0000-0F00-00005E000000}">
      <formula1>INDIRECT($U$1490)</formula1>
    </dataValidation>
    <dataValidation type="list" allowBlank="1" showInputMessage="1" showErrorMessage="1" error="Please use the dropdown." sqref="W1523" xr:uid="{00000000-0002-0000-0F00-00005F000000}">
      <formula1>INDIRECT($U$1523)</formula1>
    </dataValidation>
    <dataValidation type="list" allowBlank="1" showInputMessage="1" showErrorMessage="1" error="Please use the dropdown." sqref="W1537" xr:uid="{00000000-0002-0000-0F00-000060000000}">
      <formula1>INDIRECT($U$1537)</formula1>
    </dataValidation>
    <dataValidation type="list" allowBlank="1" showInputMessage="1" showErrorMessage="1" error="Please use the dropdown." sqref="W1547" xr:uid="{00000000-0002-0000-0F00-000061000000}">
      <formula1>INDIRECT($U$1547)</formula1>
    </dataValidation>
    <dataValidation type="whole" allowBlank="1" showDropDown="1" showInputMessage="1" showErrorMessage="1" error="Enter a whole number" prompt="Enter number of humidistats" sqref="W1748" xr:uid="{00000000-0002-0000-0F00-000062000000}">
      <formula1>0</formula1>
      <formula2>10</formula2>
    </dataValidation>
    <dataValidation type="whole" allowBlank="1" showDropDown="1" showInputMessage="1" showErrorMessage="1" error="Enter a whole number" prompt="Enter number of timers" sqref="W1746" xr:uid="{00000000-0002-0000-0F00-000063000000}">
      <formula1>0</formula1>
      <formula2>10</formula2>
    </dataValidation>
    <dataValidation type="list" allowBlank="1" showInputMessage="1" showErrorMessage="1" error="Please use the dropdown." sqref="W1580" xr:uid="{00000000-0002-0000-0F00-000064000000}">
      <formula1>INDIRECT($U$1580)</formula1>
    </dataValidation>
    <dataValidation type="list" allowBlank="1" showInputMessage="1" showErrorMessage="1" error="Please use the dropdown." sqref="W1583" xr:uid="{00000000-0002-0000-0F00-000065000000}">
      <formula1>INDIRECT($U$1583)</formula1>
    </dataValidation>
    <dataValidation type="list" allowBlank="1" showInputMessage="1" showErrorMessage="1" error="Please use the dropdown." sqref="W1586" xr:uid="{00000000-0002-0000-0F00-000066000000}">
      <formula1>INDIRECT($U$1586)</formula1>
    </dataValidation>
    <dataValidation type="list" allowBlank="1" showInputMessage="1" showErrorMessage="1" error="Please use the dropdown." sqref="W1593" xr:uid="{00000000-0002-0000-0F00-000067000000}">
      <formula1>INDIRECT($U$1593)</formula1>
    </dataValidation>
    <dataValidation type="list" allowBlank="1" showInputMessage="1" showErrorMessage="1" error="Please use the dropdown." sqref="W1599" xr:uid="{00000000-0002-0000-0F00-000068000000}">
      <formula1>INDIRECT($U$1599)</formula1>
    </dataValidation>
    <dataValidation type="list" allowBlank="1" showInputMessage="1" showErrorMessage="1" error="Please use the dropdown." sqref="W1602" xr:uid="{00000000-0002-0000-0F00-000069000000}">
      <formula1>INDIRECT($U$1602)</formula1>
    </dataValidation>
    <dataValidation type="list" allowBlank="1" showInputMessage="1" showErrorMessage="1" error="Please use the dropdown." sqref="W1604" xr:uid="{00000000-0002-0000-0F00-00006A000000}">
      <formula1>INDIRECT($U$1604)</formula1>
    </dataValidation>
    <dataValidation type="list" allowBlank="1" showInputMessage="1" showErrorMessage="1" error="Please use the dropdown." sqref="W1607" xr:uid="{00000000-0002-0000-0F00-00006B000000}">
      <formula1>INDIRECT($U$1607)</formula1>
    </dataValidation>
    <dataValidation type="list" allowBlank="1" showInputMessage="1" showErrorMessage="1" error="Please use the dropdown." sqref="W1609" xr:uid="{00000000-0002-0000-0F00-00006C000000}">
      <formula1>INDIRECT($U$1609)</formula1>
    </dataValidation>
    <dataValidation type="list" allowBlank="1" showInputMessage="1" showErrorMessage="1" error="Please use the dropdown." sqref="W1628" xr:uid="{00000000-0002-0000-0F00-00006D000000}">
      <formula1>INDIRECT($U$1628)</formula1>
    </dataValidation>
    <dataValidation type="list" allowBlank="1" showInputMessage="1" showErrorMessage="1" error="Please use the dropdown." sqref="W1633" xr:uid="{00000000-0002-0000-0F00-00006E000000}">
      <formula1>INDIRECT($U$1633)</formula1>
    </dataValidation>
    <dataValidation type="list" allowBlank="1" showInputMessage="1" showErrorMessage="1" error="Please use the dropdown." sqref="W1634" xr:uid="{00000000-0002-0000-0F00-00006F000000}">
      <formula1>INDIRECT($U$1634)</formula1>
    </dataValidation>
    <dataValidation type="list" allowBlank="1" showInputMessage="1" showErrorMessage="1" error="Please use the dropdown." sqref="W1635" xr:uid="{00000000-0002-0000-0F00-000070000000}">
      <formula1>INDIRECT($U$1635)</formula1>
    </dataValidation>
    <dataValidation type="list" allowBlank="1" showInputMessage="1" showErrorMessage="1" error="Please use the dropdown." sqref="W1636" xr:uid="{00000000-0002-0000-0F00-000071000000}">
      <formula1>INDIRECT($U$1636)</formula1>
    </dataValidation>
    <dataValidation type="list" allowBlank="1" showInputMessage="1" showErrorMessage="1" error="Please use the dropdown." sqref="W1720" xr:uid="{00000000-0002-0000-0F00-000072000000}">
      <formula1>INDIRECT($U$1720)</formula1>
    </dataValidation>
    <dataValidation type="list" allowBlank="1" showInputMessage="1" showErrorMessage="1" error="Please use the dropdown." sqref="W1740" xr:uid="{00000000-0002-0000-0F00-000073000000}">
      <formula1>INDIRECT($U$1740)</formula1>
    </dataValidation>
    <dataValidation type="list" allowBlank="1" showInputMessage="1" showErrorMessage="1" error="Please use the dropdown." sqref="W1768" xr:uid="{00000000-0002-0000-0F00-000074000000}">
      <formula1>INDIRECT($U$1768)</formula1>
    </dataValidation>
    <dataValidation type="list" allowBlank="1" showInputMessage="1" showErrorMessage="1" error="Please use the dropdown." sqref="W1787" xr:uid="{00000000-0002-0000-0F00-000075000000}">
      <formula1>INDIRECT($U$1787)</formula1>
    </dataValidation>
    <dataValidation type="list" allowBlank="1" showInputMessage="1" showErrorMessage="1" error="Please use the dropdown." sqref="W1805" xr:uid="{00000000-0002-0000-0F00-000076000000}">
      <formula1>INDIRECT($U$1805)</formula1>
    </dataValidation>
    <dataValidation type="list" allowBlank="1" showInputMessage="1" showErrorMessage="1" error="Please use the dropdown." sqref="W1809" xr:uid="{00000000-0002-0000-0F00-000077000000}">
      <formula1>INDIRECT($U$1809)</formula1>
    </dataValidation>
    <dataValidation type="list" allowBlank="1" showInputMessage="1" showErrorMessage="1" error="Please use the dropdown." sqref="W1614" xr:uid="{00000000-0002-0000-0F00-000078000000}">
      <formula1>INDIRECT($U$1614)</formula1>
    </dataValidation>
    <dataValidation type="list" allowBlank="1" showInputMessage="1" showErrorMessage="1" error="Please use the dropdown." sqref="W1616" xr:uid="{00000000-0002-0000-0F00-000079000000}">
      <formula1>INDIRECT($U$1616)</formula1>
    </dataValidation>
    <dataValidation type="whole" allowBlank="1" showDropDown="1" showInputMessage="1" showErrorMessage="1" error="Enter a whole number" prompt="Enter number of fans" sqref="W1755 W1757" xr:uid="{00000000-0002-0000-0F00-00007A000000}">
      <formula1>0</formula1>
      <formula2>10</formula2>
    </dataValidation>
    <dataValidation type="list" allowBlank="1" showInputMessage="1" showErrorMessage="1" error="Please use the dropdown." sqref="W1506" xr:uid="{00000000-0002-0000-0F00-00007B000000}">
      <formula1>INDIRECT($U$1506)</formula1>
    </dataValidation>
    <dataValidation type="decimal" allowBlank="1" showDropDown="1" showInputMessage="1" showErrorMessage="1" prompt="Enter the ELR50" sqref="W842 W1297" xr:uid="{00000000-0002-0000-0F00-00007C000000}">
      <formula1>0</formula1>
      <formula2>1</formula2>
    </dataValidation>
    <dataValidation type="list" allowBlank="1" showInputMessage="1" showErrorMessage="1" error="Please use the dropdown." sqref="W164" xr:uid="{C169C133-287C-4E67-B3A3-5CA02C7718FA}">
      <formula1>INDIRECT($U$164)</formula1>
    </dataValidation>
    <dataValidation type="decimal" allowBlank="1" showDropDown="1" showInputMessage="1" showErrorMessage="1" error="Enter a number" prompt="Enter a number" sqref="W1225 W1227" xr:uid="{01D2C293-78C5-41B3-8BFB-FA70452F9182}">
      <formula1>0</formula1>
      <formula2>100</formula2>
    </dataValidation>
    <dataValidation type="list" allowBlank="1" showInputMessage="1" showErrorMessage="1" error="Please use the dropdown." sqref="W962" xr:uid="{6DB270BD-3AA2-4930-8A40-B20B9F0A51B7}">
      <formula1>INDIRECT($U$962)</formula1>
    </dataValidation>
    <dataValidation type="list" allowBlank="1" showInputMessage="1" showErrorMessage="1" error="Please use the dropdown." sqref="W778" xr:uid="{7CCB6C83-6A6F-46C2-B487-52C57B4A8BFB}">
      <formula1>INDIRECT($U$778)</formula1>
    </dataValidation>
    <dataValidation type="list" allowBlank="1" showInputMessage="1" showErrorMessage="1" error="Please use the dropdown." sqref="W352" xr:uid="{4E64585A-51B6-45C1-8B3B-6D5D13061418}">
      <formula1>INDIRECT($U$352)</formula1>
    </dataValidation>
    <dataValidation type="decimal" allowBlank="1" showDropDown="1" showInputMessage="1" showErrorMessage="1" error="Enter a percentage up to 10" prompt="Enter CFM25/CFA in Percent" sqref="W942 W944" xr:uid="{929E1B78-E1F6-426E-A8C9-C5E437501AE9}">
      <formula1>0</formula1>
      <formula2>0.1</formula2>
    </dataValidation>
    <dataValidation type="list" allowBlank="1" showInputMessage="1" showErrorMessage="1" error="Please use the dropdown." sqref="W940" xr:uid="{C7756819-47DB-4CAB-9981-8E8886D975E9}">
      <formula1>INDIRECT($U$940)</formula1>
    </dataValidation>
  </dataValidations>
  <hyperlinks>
    <hyperlink ref="L389" location="'Figure 6(3)'!A1" display="See Figure 6(3)" xr:uid="{00000000-0004-0000-0F00-000000000000}"/>
    <hyperlink ref="L381" location="'Figure 6(3)'!A1" display="See Figure 6(3)" xr:uid="{00000000-0004-0000-0F00-000001000000}"/>
    <hyperlink ref="L468" location="'Table 602.1.12'!A1" display="See Table 602.1.12" xr:uid="{00000000-0004-0000-0F00-000002000000}"/>
    <hyperlink ref="L524" location="'Table 604.1'!A1" display="See Table 604.1" xr:uid="{00000000-0004-0000-0F00-000003000000}"/>
    <hyperlink ref="M669:M682" location="'Table 610.1.2.1'!A1" display="per Table 610.1.2.1           10 Max" xr:uid="{00000000-0004-0000-0F00-000004000000}"/>
    <hyperlink ref="M683:M706" location="'Table 610.1.2.2'!A1" display="'Table 610.1.2.2'!A1" xr:uid="{00000000-0004-0000-0F00-000005000000}"/>
    <hyperlink ref="L857" location="'Table 701.4.3.2(2)'!A1" display="See Table 701.4.3.2(2)" xr:uid="{00000000-0004-0000-0F00-000006000000}"/>
    <hyperlink ref="L952" location="'Table 703.2.1(a)'!A1" display="See Table 703.2.1(a)" xr:uid="{00000000-0004-0000-0F00-000007000000}"/>
    <hyperlink ref="M946:M951" location="'Table 703.2.1(b)'!A1" display="Per Table 703.2.1(b)" xr:uid="{00000000-0004-0000-0F00-000008000000}"/>
    <hyperlink ref="L1160" location="'Table 703.7.1(7)'!A1" display="See Table 703.7.1(7)" xr:uid="{00000000-0004-0000-0F00-000009000000}"/>
    <hyperlink ref="M953:M954" location="'Table 703.2.2'!A1" display="Per Table 703.2.2" xr:uid="{00000000-0004-0000-0F00-00000A000000}"/>
    <hyperlink ref="M958:M960" location="'Table 703.2.4'!A1" display="Per Table 703.2.4" xr:uid="{00000000-0004-0000-0F00-00000B000000}"/>
    <hyperlink ref="L968" location="'Table 703.2.5.1'!A1" display="See Table 703.2.5.1" xr:uid="{00000000-0004-0000-0F00-00000C000000}"/>
    <hyperlink ref="M977:M981" location="'Tables 703.2.5.2(a), (b) &amp; (c)'!A1" display="'Tables 703.2.5.2(a), (b) &amp; (c)'!A1" xr:uid="{00000000-0004-0000-0F00-00000D000000}"/>
    <hyperlink ref="L1419" location="'Table 801.1(1)'!A1" display="See Table 801.1(1)" xr:uid="{00000000-0004-0000-0F00-00000E000000}"/>
    <hyperlink ref="L1420" location="'Table 801.1(2)'!A1" display="See Table 801.1(2)" xr:uid="{00000000-0004-0000-0F00-00000F000000}"/>
    <hyperlink ref="L1690" location="'Table 901.9.1'!A1" display="See Table 901.9.1" xr:uid="{00000000-0004-0000-0F00-000010000000}"/>
    <hyperlink ref="L1695" location="'Table 901.9.2'!A1" display="See Table 901.9.2" xr:uid="{00000000-0004-0000-0F00-000011000000}"/>
    <hyperlink ref="L1714" location="'Table 901.10(3)'!A1" display="See Table 901.10(3)" xr:uid="{00000000-0004-0000-0F00-000012000000}"/>
  </hyperlinks>
  <pageMargins left="0.7" right="0.7" top="0.75" bottom="0.75" header="0.3" footer="0.3"/>
  <pageSetup scale="43" fitToHeight="0" orientation="portrait" r:id="rId1"/>
  <rowBreaks count="5" manualBreakCount="5">
    <brk id="263" max="16383" man="1"/>
    <brk id="772" max="16383" man="1"/>
    <brk id="1404" max="16383" man="1"/>
    <brk id="1565" max="16383" man="1"/>
    <brk id="1836" max="16383" man="1"/>
  </rowBreaks>
  <ignoredErrors>
    <ignoredError sqref="AQ1843:AQ1845 AQ1858:AQ1860 AQ1866 AQ1870 AQ1872 AQ1874:AQ1875 AQ1877 AQ1879:AQ1880 AQ1882 AQ1884 AQ1886:AQ1888 AQ1849:AQ1851 AQ1853 AQ1855:AQ1856 AQ1909 AQ1912 AQ1915 AQ1917:AQ1918 AQ1920:AQ1922 AQ1928 AQ1945:AQ1946 AQ1949 AQ1930 AQ1933 AQ1935 AQ1938 AQ1940:AQ1941 AQ1943 AQ1955 AQ1976:AQ1977 AQ1957 AQ1961 AQ1968 AQ1970:AQ1971 AQ1973:AQ1975 AQ1994 AQ1996 AQ1999 AQ2012 AQ2014 AQ14 AQ16:AQ18 AQ21 AQ23 AQ25 AQ27 AQ36 AQ39 AQ45 AQ56:AQ57 AQ59 AQ61:AQ63 AQ65 AQ68:AQ70 AQ72 AQ77 AQ79 AQ83 AQ87:AQ88 AQ90:AQ92 AQ100 AQ103 AQ107 AQ114 AQ121 AQ123 AQ151 AQ153 AQ155 AQ129 AQ131 AQ133 AQ135 AQ140:AQ141 AQ146 AQ148 AQ159:AQ161 AQ163:AQ164 AQ170 AQ178 AQ185:AQ186 AQ188 AQ193 AQ195:AQ196 AQ198 AQ200 AQ204 AQ207 AQ209:AQ214 AQ216 AQ223 AQ225:AQ226 AQ230 AQ238 AQ241 AQ245:AQ246 AQ249 AQ255:AQ256 AQ258 AQ284 AQ287 AQ290 AQ294:AQ299 AQ305:AQ309 AQ311 AQ318:AQ320 AQ324 AQ326 AQ333 AQ341 AQ352 AQ355 AQ452 AQ464 AQ466 AQ469 AQ475 AQ477:AQ478 AQ359:AQ360 AQ362 AQ364 AQ370 AQ372 AQ376 AQ378 AQ381:AQ382 AQ384 AQ390 AQ394 AQ398 AQ403 AQ405 AQ408 AQ410 AQ412 AQ416 AQ424 AQ434 AQ437:AQ438 AQ442 AQ448 AQ450 AQ483 AQ485:AQ486 AQ489 AQ493 AQ498 AQ500 AQ504 AQ510 AQ517 AQ522 AQ524 AQ526 AQ528 AQ533 AQ546 AQ548 AQ561:AQ569 AQ574:AQ581 AQ601:AQ602 AQ604:AQ605 AQ607 AQ616 AQ618:AQ619 AQ622 AQ632 AQ635 AQ647 AQ656 AQ663 AQ671 AQ678 AQ702 AQ684 AQ690 AQ696 AQ708 AQ719:AQ725 AQ729 AQ734 AQ738 AQ740 AQ742:AQ744 AQ748 AQ750 AQ758 AQ768 AQ776 AQ778 AQ790 AQ799 AQ813 AQ804 AQ807 AQ816:AQ817 AQ821 AQ823 AQ858 AQ839 AQ855 AQ842 AQ885 AQ891 AQ899 AQ901:AQ902 AQ907 AQ913 AQ924 AQ937 AQ940 AQ946 AQ948 AQ954:AQ955 AQ962 AQ969 AQ977 AQ985 AQ995 AQ1001 AQ1007 AQ1014 AQ1020 AQ1023 AQ1028 AQ1034 AQ1039 AQ1044 AQ1048 AQ1050:AQ1051 AQ1056 AQ1061 AQ1063 AQ1068 AQ1074 AQ1076 AQ1079:AQ1080 AQ1082 AQ1084 AQ1095 AQ1097 AQ1112 AQ1114 AQ1116 AQ1118 AQ1128 AQ1130 AQ1132 AQ1135:AQ1137 AQ1140 AQ1168 AQ1176 AQ1178:AQ1180 AQ1182 AQ1185:AQ1186 AQ1191 AQ1193 AQ1195 AQ1197 AQ1225 AQ1227 AQ1234 AQ1238 AQ1241 AQ1245 AQ1250 AQ1255 AQ1258 AQ1261 AQ1263:AQ1264 AQ1268 AQ1273 AQ1295 AQ1297:AQ1298 AQ1301 AQ1309 AQ1315 AQ1317 AQ1327 AQ1329 AQ1331 AQ1338:AQ1341 AQ1343 AQ1346 AQ1349 AQ1364:AQ1371 AQ1374 AQ1376 AQ1378 AQ1381 AQ1389 AQ1393:AQ1394 AQ1397 AQ1400 AQ1408 AQ1437 AQ1442:AQ1443 AQ1450 AQ1459 AQ1464 AQ1469 AQ1473:AQ1474 AQ1481 AQ1487 AQ1490 AQ1494 AQ1496 AQ1498 AQ1502:AQ1504 AQ1506 AQ1512 AQ1514:AQ1515 AQ1519 AQ1523 AQ1537 AQ1539:AQ1540 AQ1547 AQ1549 AQ1551 AQ1556:AQ1558 AQ1561 AQ1563 AQ1569 AQ1575 AQ1580 AQ1583 AQ1586 AQ1590 AQ1593 AQ1705 AQ1710:AQ1711 AQ1715 AQ1720 AQ1724:AQ1725 AQ1728 AQ1730 AQ1599 AQ1602 AQ1604 AQ1607 AQ1609 AQ1611 AQ1614 AQ1616 AQ1618 AQ1624 AQ1628 AQ1633:AQ1636 AQ1647 AQ1649 AQ1652 AQ1661 AQ1671:AQ1672 AQ1675 AQ1686 AQ1688:AQ1689 AQ1691 AQ1696 AQ1736 AQ1738 AQ1746 AQ1740 AQ1748:AQ1749 AQ1742 AQ1755 AQ1757 AQ1760 AQ1762 AQ1764 AQ1768 AQ1777 AQ1779 AQ1782 AQ1787 AQ1791 AQ1794 AQ1796 AQ1799 AQ1801 AQ1805 AQ1809 AQ1815:AQ1816 AQ1821 AQ1826 AQ1830 AQ1835 AS1843:AS1845 AS1858:AS1860 AS1866 AS1870 AS1872 AS1874:AS1875 AS1877 AS1879:AS1880 AS1882 AS1884 AS1886:AS1888 AS1849:AS1851 AS1853 AS1855:AS1856 AS1909 AS1912 AS1915 AS1917:AS1918 AS1920:AS1922 AS1928 AS1945:AS1946 AS1949 AS1930 AS1933 AS1935 AS1938 AS1940:AS1941 AS1943 AS1955 AS1976:AS1977 AS1957 AS1961 AS1968 AS1970:AS1971 AS1973:AS1975 AS1994 AS1996 AS1999 AS2012 AS2014 AS13 AS19 AS21 AS23 AS25 AS27 AS36 AS39 AS45 AS50 AS55 AS67 AS80 AS93 AS100 AS103 AS107 AS114 AS119 AS123 AS151 AS153 AS155 AS129 AS131 AS133 AS135 AS140:AS141 AS146 AS148 AS157 AS164 AS170 AS178 AS183 AS190 AS193 AS195:AS196 AS198 AS200 AS204 AS207:AS208 AS216 AS223 AS225:AS226 AS230 AS236 AS246 AS249 AS255:AS256 AS258 AS268 AS284 AS287 AS290 AS294:AS299 AS305:AS310 AS315 AS333 AS341 AS352 AS355 AS452 AS464 AS466 AS469 AS475 AS477:AS478 AS357 AS362 AS364 AS370 AS372 AS376 AS378 AS381 AS390 AS403 AS405 AS408 AS410 AS412 AS416 AS424 AS434 AS437:AS438 AS442 AS448 AS450 AS483 AS485:AS486 AS489 AS493 AS498 AS500 AS504 AS510 AS517 AS521 AS523 AS525 AS527 AS533 AS548 AS561 AS568:AS569 AS574 AS601:AS602 AS604:AS605 AS607 AS616 AS618:AS619 AS622 AS631 AS634 AS647 AS656 AS663 AS669 AS676 AS701 AS683 AS689 AS695 AS708 AS719:AS725 AS729 AS734 AS738 AS740 AS742:AS744 AS748 AS750 AS757 AS766 AS778 AS781 AS783 AS786 AS789 AS799 AS813 AS804 AS807 AS816:AS817 AS820 AS824:AS835 AS839 AS859:AS860 AS876 AS879 AS862:AS863 AS867 AS869 AS872 AS874:AS875 AS844:AS845 AS847:AS848 AS850:AS853 AS855 AS842 AS882 AS885 AS891 AS899 AS901:AS902 AS907 AS911 AS917 AS920 AS924 AS937 AS940 AS946 AS953 AS955 AS958 AS962 AS969 AS977 AS985 AS994 AS1000 AS1007 AS1013 AS1019 AS1022 AS1027 AS1033 AS1039 AS1043 AS1048 AS1050:AS1051 AS1055 AS1061 AS1068 AS1074 AS1076 AS1079:AS1080 AS1082 AS1084 AS1094 AS1112 AS1114 AS1116:AS1117 AS1128 AS1130 AS1132 AS1135:AS1137 AS1163 AS1142 AS1144 AS1146 AS1148 AS1150 AS1153 AS1155:AS1156 AS1158 AS1161:AS1162 AS1168 AS1176 AS1178:AS1180 AS1182 AS1185:AS1186 AS1191 AS1193 AS1195 AS1200 AS1204 AS1207 AS1215 AS1218 AS1221 AS1234 AS1238 AS1241 AS1245 AS1250 AS1255 AS1258 AS1260 AS1263:AS1264 AS1268 AS1273 AS1275:AS1280 AS1282 AS1295 AS1298 AS1301 AS1309 AS1318:AS1324 AS1327 AS1329 AS1331 AS1338:AS1341 AS1343 AS1346 AS1349 AS1356 AS1364:AS1371 AS1374 AS1376 AS1378 AS1380 AS1389 AS1393:AS1394 AS1397 AS1400 AS1421 AS1432 AS1437 AS1442:AS1443 AS1450 AS1459 AS1464 AS1469 AS1473:AS1474 AS1479 AS1481 AS1487 AS1490 AS1494 AS1496 AS1498 AS1502:AS1504 AS1506 AS1512 AS1514:AS1515 AS1519 AS1523 AS1537 AS1539:AS1540 AS1547 AS1549:AS1550 AS1556:AS1558 AS1561 AS1563 AS1569 AS1575 AS1580 AS1583 AS1586 AS1590 AS1593 AS1705 AS1710:AS1711 AS1715 AS1720 AS1722 AS1728 AS1730 AS1599 AS1602 AS1604 AS1607 AS1609 AS1611 AS1614 AS1616 AS1618 AS1624 AS1628 AS1633 AS1647 AS1649 AS1652 AS1661 AS1671 AS1675 AS1681 AS1686 AS1688:AS1689 AS1691 AS1696 AS1736 AS1738 AS1745 AS1740 AS1749 AS1742 AS1753 AS1760 AS1762 AS1764 AS1768 AS1777 AS1779 AS1782 AS1785 AS1794 AS1796 AS1799 AS1801 AS1805 AS1809 AS1813 AS1821 AS1826 AS1830 AS183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5560" r:id="rId4" name="Check Box 200">
              <controlPr locked="0" defaultSize="0" autoFill="0" autoLine="0" autoPict="0">
                <anchor moveWithCells="1" sizeWithCells="1">
                  <from>
                    <xdr:col>22</xdr:col>
                    <xdr:colOff>0</xdr:colOff>
                    <xdr:row>13</xdr:row>
                    <xdr:rowOff>0</xdr:rowOff>
                  </from>
                  <to>
                    <xdr:col>22</xdr:col>
                    <xdr:colOff>184150</xdr:colOff>
                    <xdr:row>13</xdr:row>
                    <xdr:rowOff>184150</xdr:rowOff>
                  </to>
                </anchor>
              </controlPr>
            </control>
          </mc:Choice>
        </mc:AlternateContent>
        <mc:AlternateContent xmlns:mc="http://schemas.openxmlformats.org/markup-compatibility/2006">
          <mc:Choice Requires="x14">
            <control shapeId="15561" r:id="rId5" name="Check Box 201">
              <controlPr locked="0" defaultSize="0" autoFill="0" autoLine="0" autoPict="0">
                <anchor moveWithCells="1" sizeWithCells="1">
                  <from>
                    <xdr:col>22</xdr:col>
                    <xdr:colOff>0</xdr:colOff>
                    <xdr:row>15</xdr:row>
                    <xdr:rowOff>0</xdr:rowOff>
                  </from>
                  <to>
                    <xdr:col>22</xdr:col>
                    <xdr:colOff>184150</xdr:colOff>
                    <xdr:row>15</xdr:row>
                    <xdr:rowOff>184150</xdr:rowOff>
                  </to>
                </anchor>
              </controlPr>
            </control>
          </mc:Choice>
        </mc:AlternateContent>
        <mc:AlternateContent xmlns:mc="http://schemas.openxmlformats.org/markup-compatibility/2006">
          <mc:Choice Requires="x14">
            <control shapeId="15562" r:id="rId6" name="Check Box 202">
              <controlPr locked="0" defaultSize="0" autoFill="0" autoLine="0" autoPict="0">
                <anchor moveWithCells="1" sizeWithCells="1">
                  <from>
                    <xdr:col>22</xdr:col>
                    <xdr:colOff>0</xdr:colOff>
                    <xdr:row>16</xdr:row>
                    <xdr:rowOff>0</xdr:rowOff>
                  </from>
                  <to>
                    <xdr:col>22</xdr:col>
                    <xdr:colOff>184150</xdr:colOff>
                    <xdr:row>16</xdr:row>
                    <xdr:rowOff>184150</xdr:rowOff>
                  </to>
                </anchor>
              </controlPr>
            </control>
          </mc:Choice>
        </mc:AlternateContent>
        <mc:AlternateContent xmlns:mc="http://schemas.openxmlformats.org/markup-compatibility/2006">
          <mc:Choice Requires="x14">
            <control shapeId="15563" r:id="rId7" name="Check Box 203">
              <controlPr locked="0" defaultSize="0" autoFill="0" autoLine="0" autoPict="0">
                <anchor moveWithCells="1" siz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15564" r:id="rId8" name="Check Box 204">
              <controlPr locked="0" defaultSize="0" autoFill="0" autoLine="0" autoPict="0">
                <anchor moveWithCells="1" sizeWithCells="1">
                  <from>
                    <xdr:col>22</xdr:col>
                    <xdr:colOff>0</xdr:colOff>
                    <xdr:row>20</xdr:row>
                    <xdr:rowOff>0</xdr:rowOff>
                  </from>
                  <to>
                    <xdr:col>22</xdr:col>
                    <xdr:colOff>184150</xdr:colOff>
                    <xdr:row>20</xdr:row>
                    <xdr:rowOff>184150</xdr:rowOff>
                  </to>
                </anchor>
              </controlPr>
            </control>
          </mc:Choice>
        </mc:AlternateContent>
        <mc:AlternateContent xmlns:mc="http://schemas.openxmlformats.org/markup-compatibility/2006">
          <mc:Choice Requires="x14">
            <control shapeId="15565" r:id="rId9" name="Check Box 205">
              <controlPr locked="0" defaultSize="0" autoFill="0" autoLine="0" autoPict="0">
                <anchor moveWithCells="1" sizeWithCells="1">
                  <from>
                    <xdr:col>22</xdr:col>
                    <xdr:colOff>0</xdr:colOff>
                    <xdr:row>22</xdr:row>
                    <xdr:rowOff>0</xdr:rowOff>
                  </from>
                  <to>
                    <xdr:col>22</xdr:col>
                    <xdr:colOff>184150</xdr:colOff>
                    <xdr:row>22</xdr:row>
                    <xdr:rowOff>184150</xdr:rowOff>
                  </to>
                </anchor>
              </controlPr>
            </control>
          </mc:Choice>
        </mc:AlternateContent>
        <mc:AlternateContent xmlns:mc="http://schemas.openxmlformats.org/markup-compatibility/2006">
          <mc:Choice Requires="x14">
            <control shapeId="15566" r:id="rId10" name="Check Box 206">
              <controlPr locked="0" defaultSize="0" autoFill="0" autoLine="0" autoPict="0">
                <anchor moveWithCells="1" sizeWithCells="1">
                  <from>
                    <xdr:col>22</xdr:col>
                    <xdr:colOff>0</xdr:colOff>
                    <xdr:row>24</xdr:row>
                    <xdr:rowOff>0</xdr:rowOff>
                  </from>
                  <to>
                    <xdr:col>22</xdr:col>
                    <xdr:colOff>184150</xdr:colOff>
                    <xdr:row>24</xdr:row>
                    <xdr:rowOff>184150</xdr:rowOff>
                  </to>
                </anchor>
              </controlPr>
            </control>
          </mc:Choice>
        </mc:AlternateContent>
        <mc:AlternateContent xmlns:mc="http://schemas.openxmlformats.org/markup-compatibility/2006">
          <mc:Choice Requires="x14">
            <control shapeId="15567" r:id="rId11" name="Check Box 207">
              <controlPr locked="0" defaultSize="0" autoFill="0" autoLine="0" autoPict="0">
                <anchor moveWithCells="1" sizeWithCells="1">
                  <from>
                    <xdr:col>22</xdr:col>
                    <xdr:colOff>0</xdr:colOff>
                    <xdr:row>26</xdr:row>
                    <xdr:rowOff>0</xdr:rowOff>
                  </from>
                  <to>
                    <xdr:col>22</xdr:col>
                    <xdr:colOff>184150</xdr:colOff>
                    <xdr:row>26</xdr:row>
                    <xdr:rowOff>184150</xdr:rowOff>
                  </to>
                </anchor>
              </controlPr>
            </control>
          </mc:Choice>
        </mc:AlternateContent>
        <mc:AlternateContent xmlns:mc="http://schemas.openxmlformats.org/markup-compatibility/2006">
          <mc:Choice Requires="x14">
            <control shapeId="15568" r:id="rId12" name="Check Box 208">
              <controlPr locked="0" defaultSize="0" autoFill="0" autoLine="0" autoPict="0">
                <anchor moveWithCells="1" sizeWithCells="1">
                  <from>
                    <xdr:col>22</xdr:col>
                    <xdr:colOff>0</xdr:colOff>
                    <xdr:row>35</xdr:row>
                    <xdr:rowOff>0</xdr:rowOff>
                  </from>
                  <to>
                    <xdr:col>22</xdr:col>
                    <xdr:colOff>184150</xdr:colOff>
                    <xdr:row>35</xdr:row>
                    <xdr:rowOff>184150</xdr:rowOff>
                  </to>
                </anchor>
              </controlPr>
            </control>
          </mc:Choice>
        </mc:AlternateContent>
        <mc:AlternateContent xmlns:mc="http://schemas.openxmlformats.org/markup-compatibility/2006">
          <mc:Choice Requires="x14">
            <control shapeId="15569" r:id="rId13" name="Check Box 209">
              <controlPr locked="0" defaultSize="0" autoFill="0" autoLine="0" autoPict="0">
                <anchor moveWithCells="1" sizeWithCells="1">
                  <from>
                    <xdr:col>22</xdr:col>
                    <xdr:colOff>0</xdr:colOff>
                    <xdr:row>44</xdr:row>
                    <xdr:rowOff>0</xdr:rowOff>
                  </from>
                  <to>
                    <xdr:col>22</xdr:col>
                    <xdr:colOff>184150</xdr:colOff>
                    <xdr:row>44</xdr:row>
                    <xdr:rowOff>184150</xdr:rowOff>
                  </to>
                </anchor>
              </controlPr>
            </control>
          </mc:Choice>
        </mc:AlternateContent>
        <mc:AlternateContent xmlns:mc="http://schemas.openxmlformats.org/markup-compatibility/2006">
          <mc:Choice Requires="x14">
            <control shapeId="15570" r:id="rId14" name="Check Box 210">
              <controlPr locked="0" defaultSize="0" autoFill="0" autoLine="0" autoPict="0">
                <anchor moveWithCells="1" sizeWithCells="1">
                  <from>
                    <xdr:col>22</xdr:col>
                    <xdr:colOff>0</xdr:colOff>
                    <xdr:row>55</xdr:row>
                    <xdr:rowOff>0</xdr:rowOff>
                  </from>
                  <to>
                    <xdr:col>22</xdr:col>
                    <xdr:colOff>184150</xdr:colOff>
                    <xdr:row>55</xdr:row>
                    <xdr:rowOff>184150</xdr:rowOff>
                  </to>
                </anchor>
              </controlPr>
            </control>
          </mc:Choice>
        </mc:AlternateContent>
        <mc:AlternateContent xmlns:mc="http://schemas.openxmlformats.org/markup-compatibility/2006">
          <mc:Choice Requires="x14">
            <control shapeId="15571" r:id="rId15" name="Check Box 211">
              <controlPr locked="0" defaultSize="0" autoFill="0" autoLine="0" autoPict="0">
                <anchor moveWithCells="1" sizeWithCells="1">
                  <from>
                    <xdr:col>22</xdr:col>
                    <xdr:colOff>0</xdr:colOff>
                    <xdr:row>56</xdr:row>
                    <xdr:rowOff>0</xdr:rowOff>
                  </from>
                  <to>
                    <xdr:col>22</xdr:col>
                    <xdr:colOff>184150</xdr:colOff>
                    <xdr:row>56</xdr:row>
                    <xdr:rowOff>184150</xdr:rowOff>
                  </to>
                </anchor>
              </controlPr>
            </control>
          </mc:Choice>
        </mc:AlternateContent>
        <mc:AlternateContent xmlns:mc="http://schemas.openxmlformats.org/markup-compatibility/2006">
          <mc:Choice Requires="x14">
            <control shapeId="15572" r:id="rId16" name="Check Box 212">
              <controlPr locked="0" defaultSize="0" autoFill="0" autoLine="0" autoPict="0">
                <anchor moveWithCells="1" sizeWithCells="1">
                  <from>
                    <xdr:col>22</xdr:col>
                    <xdr:colOff>0</xdr:colOff>
                    <xdr:row>58</xdr:row>
                    <xdr:rowOff>0</xdr:rowOff>
                  </from>
                  <to>
                    <xdr:col>22</xdr:col>
                    <xdr:colOff>184150</xdr:colOff>
                    <xdr:row>58</xdr:row>
                    <xdr:rowOff>184150</xdr:rowOff>
                  </to>
                </anchor>
              </controlPr>
            </control>
          </mc:Choice>
        </mc:AlternateContent>
        <mc:AlternateContent xmlns:mc="http://schemas.openxmlformats.org/markup-compatibility/2006">
          <mc:Choice Requires="x14">
            <control shapeId="15573" r:id="rId17" name="Check Box 213">
              <controlPr locked="0" defaultSize="0" autoFill="0" autoLine="0" autoPict="0">
                <anchor moveWithCells="1" sizeWithCells="1">
                  <from>
                    <xdr:col>22</xdr:col>
                    <xdr:colOff>0</xdr:colOff>
                    <xdr:row>60</xdr:row>
                    <xdr:rowOff>0</xdr:rowOff>
                  </from>
                  <to>
                    <xdr:col>22</xdr:col>
                    <xdr:colOff>184150</xdr:colOff>
                    <xdr:row>60</xdr:row>
                    <xdr:rowOff>184150</xdr:rowOff>
                  </to>
                </anchor>
              </controlPr>
            </control>
          </mc:Choice>
        </mc:AlternateContent>
        <mc:AlternateContent xmlns:mc="http://schemas.openxmlformats.org/markup-compatibility/2006">
          <mc:Choice Requires="x14">
            <control shapeId="15574" r:id="rId18" name="Check Box 214">
              <controlPr locked="0" defaultSize="0" autoFill="0" autoLine="0" autoPict="0">
                <anchor moveWithCells="1" sizeWithCells="1">
                  <from>
                    <xdr:col>22</xdr:col>
                    <xdr:colOff>0</xdr:colOff>
                    <xdr:row>61</xdr:row>
                    <xdr:rowOff>0</xdr:rowOff>
                  </from>
                  <to>
                    <xdr:col>22</xdr:col>
                    <xdr:colOff>184150</xdr:colOff>
                    <xdr:row>61</xdr:row>
                    <xdr:rowOff>184150</xdr:rowOff>
                  </to>
                </anchor>
              </controlPr>
            </control>
          </mc:Choice>
        </mc:AlternateContent>
        <mc:AlternateContent xmlns:mc="http://schemas.openxmlformats.org/markup-compatibility/2006">
          <mc:Choice Requires="x14">
            <control shapeId="15575" r:id="rId19" name="Check Box 215">
              <controlPr locked="0" defaultSize="0" autoFill="0" autoLine="0" autoPict="0">
                <anchor moveWithCells="1" sizeWithCells="1">
                  <from>
                    <xdr:col>22</xdr:col>
                    <xdr:colOff>0</xdr:colOff>
                    <xdr:row>62</xdr:row>
                    <xdr:rowOff>0</xdr:rowOff>
                  </from>
                  <to>
                    <xdr:col>22</xdr:col>
                    <xdr:colOff>184150</xdr:colOff>
                    <xdr:row>62</xdr:row>
                    <xdr:rowOff>184150</xdr:rowOff>
                  </to>
                </anchor>
              </controlPr>
            </control>
          </mc:Choice>
        </mc:AlternateContent>
        <mc:AlternateContent xmlns:mc="http://schemas.openxmlformats.org/markup-compatibility/2006">
          <mc:Choice Requires="x14">
            <control shapeId="15576" r:id="rId20" name="Check Box 216">
              <controlPr locked="0" defaultSize="0" autoFill="0" autoLine="0" autoPict="0">
                <anchor moveWithCells="1" sizeWithCells="1">
                  <from>
                    <xdr:col>22</xdr:col>
                    <xdr:colOff>0</xdr:colOff>
                    <xdr:row>64</xdr:row>
                    <xdr:rowOff>0</xdr:rowOff>
                  </from>
                  <to>
                    <xdr:col>22</xdr:col>
                    <xdr:colOff>184150</xdr:colOff>
                    <xdr:row>64</xdr:row>
                    <xdr:rowOff>184150</xdr:rowOff>
                  </to>
                </anchor>
              </controlPr>
            </control>
          </mc:Choice>
        </mc:AlternateContent>
        <mc:AlternateContent xmlns:mc="http://schemas.openxmlformats.org/markup-compatibility/2006">
          <mc:Choice Requires="x14">
            <control shapeId="15577" r:id="rId21" name="Check Box 217">
              <controlPr locked="0" defaultSize="0" autoFill="0" autoLine="0" autoPict="0">
                <anchor moveWithCells="1" sizeWithCells="1">
                  <from>
                    <xdr:col>22</xdr:col>
                    <xdr:colOff>0</xdr:colOff>
                    <xdr:row>68</xdr:row>
                    <xdr:rowOff>0</xdr:rowOff>
                  </from>
                  <to>
                    <xdr:col>22</xdr:col>
                    <xdr:colOff>184150</xdr:colOff>
                    <xdr:row>68</xdr:row>
                    <xdr:rowOff>184150</xdr:rowOff>
                  </to>
                </anchor>
              </controlPr>
            </control>
          </mc:Choice>
        </mc:AlternateContent>
        <mc:AlternateContent xmlns:mc="http://schemas.openxmlformats.org/markup-compatibility/2006">
          <mc:Choice Requires="x14">
            <control shapeId="15578" r:id="rId22" name="Check Box 218">
              <controlPr locked="0" defaultSize="0" autoFill="0" autoLine="0" autoPict="0">
                <anchor moveWithCells="1" sizeWithCells="1">
                  <from>
                    <xdr:col>22</xdr:col>
                    <xdr:colOff>0</xdr:colOff>
                    <xdr:row>69</xdr:row>
                    <xdr:rowOff>0</xdr:rowOff>
                  </from>
                  <to>
                    <xdr:col>22</xdr:col>
                    <xdr:colOff>184150</xdr:colOff>
                    <xdr:row>69</xdr:row>
                    <xdr:rowOff>184150</xdr:rowOff>
                  </to>
                </anchor>
              </controlPr>
            </control>
          </mc:Choice>
        </mc:AlternateContent>
        <mc:AlternateContent xmlns:mc="http://schemas.openxmlformats.org/markup-compatibility/2006">
          <mc:Choice Requires="x14">
            <control shapeId="15579" r:id="rId23" name="Check Box 219">
              <controlPr locked="0" defaultSize="0" autoFill="0" autoLine="0" autoPict="0">
                <anchor moveWithCells="1" sizeWithCells="1">
                  <from>
                    <xdr:col>22</xdr:col>
                    <xdr:colOff>0</xdr:colOff>
                    <xdr:row>76</xdr:row>
                    <xdr:rowOff>0</xdr:rowOff>
                  </from>
                  <to>
                    <xdr:col>22</xdr:col>
                    <xdr:colOff>184150</xdr:colOff>
                    <xdr:row>76</xdr:row>
                    <xdr:rowOff>184150</xdr:rowOff>
                  </to>
                </anchor>
              </controlPr>
            </control>
          </mc:Choice>
        </mc:AlternateContent>
        <mc:AlternateContent xmlns:mc="http://schemas.openxmlformats.org/markup-compatibility/2006">
          <mc:Choice Requires="x14">
            <control shapeId="15580" r:id="rId24" name="Check Box 220">
              <controlPr locked="0" defaultSize="0" autoFill="0" autoLine="0" autoPict="0">
                <anchor moveWithCells="1" sizeWithCells="1">
                  <from>
                    <xdr:col>22</xdr:col>
                    <xdr:colOff>0</xdr:colOff>
                    <xdr:row>78</xdr:row>
                    <xdr:rowOff>0</xdr:rowOff>
                  </from>
                  <to>
                    <xdr:col>22</xdr:col>
                    <xdr:colOff>184150</xdr:colOff>
                    <xdr:row>78</xdr:row>
                    <xdr:rowOff>184150</xdr:rowOff>
                  </to>
                </anchor>
              </controlPr>
            </control>
          </mc:Choice>
        </mc:AlternateContent>
        <mc:AlternateContent xmlns:mc="http://schemas.openxmlformats.org/markup-compatibility/2006">
          <mc:Choice Requires="x14">
            <control shapeId="15581" r:id="rId25" name="Check Box 221">
              <controlPr locked="0" defaultSize="0" autoFill="0" autoLine="0" autoPict="0">
                <anchor moveWithCells="1" sizeWithCells="1">
                  <from>
                    <xdr:col>22</xdr:col>
                    <xdr:colOff>0</xdr:colOff>
                    <xdr:row>82</xdr:row>
                    <xdr:rowOff>0</xdr:rowOff>
                  </from>
                  <to>
                    <xdr:col>22</xdr:col>
                    <xdr:colOff>184150</xdr:colOff>
                    <xdr:row>82</xdr:row>
                    <xdr:rowOff>184150</xdr:rowOff>
                  </to>
                </anchor>
              </controlPr>
            </control>
          </mc:Choice>
        </mc:AlternateContent>
        <mc:AlternateContent xmlns:mc="http://schemas.openxmlformats.org/markup-compatibility/2006">
          <mc:Choice Requires="x14">
            <control shapeId="15582" r:id="rId26" name="Check Box 222">
              <controlPr locked="0" defaultSize="0" autoFill="0" autoLine="0" autoPict="0">
                <anchor moveWithCells="1" sizeWithCells="1">
                  <from>
                    <xdr:col>22</xdr:col>
                    <xdr:colOff>0</xdr:colOff>
                    <xdr:row>86</xdr:row>
                    <xdr:rowOff>0</xdr:rowOff>
                  </from>
                  <to>
                    <xdr:col>22</xdr:col>
                    <xdr:colOff>184150</xdr:colOff>
                    <xdr:row>86</xdr:row>
                    <xdr:rowOff>184150</xdr:rowOff>
                  </to>
                </anchor>
              </controlPr>
            </control>
          </mc:Choice>
        </mc:AlternateContent>
        <mc:AlternateContent xmlns:mc="http://schemas.openxmlformats.org/markup-compatibility/2006">
          <mc:Choice Requires="x14">
            <control shapeId="15583" r:id="rId27" name="Check Box 223">
              <controlPr locked="0" defaultSize="0" autoFill="0" autoLine="0" autoPict="0">
                <anchor moveWithCells="1" sizeWithCells="1">
                  <from>
                    <xdr:col>22</xdr:col>
                    <xdr:colOff>0</xdr:colOff>
                    <xdr:row>87</xdr:row>
                    <xdr:rowOff>0</xdr:rowOff>
                  </from>
                  <to>
                    <xdr:col>22</xdr:col>
                    <xdr:colOff>184150</xdr:colOff>
                    <xdr:row>87</xdr:row>
                    <xdr:rowOff>184150</xdr:rowOff>
                  </to>
                </anchor>
              </controlPr>
            </control>
          </mc:Choice>
        </mc:AlternateContent>
        <mc:AlternateContent xmlns:mc="http://schemas.openxmlformats.org/markup-compatibility/2006">
          <mc:Choice Requires="x14">
            <control shapeId="15584" r:id="rId28" name="Check Box 224">
              <controlPr locked="0" defaultSize="0" autoFill="0" autoLine="0" autoPict="0">
                <anchor moveWithCells="1" sizeWithCells="1">
                  <from>
                    <xdr:col>22</xdr:col>
                    <xdr:colOff>0</xdr:colOff>
                    <xdr:row>89</xdr:row>
                    <xdr:rowOff>0</xdr:rowOff>
                  </from>
                  <to>
                    <xdr:col>22</xdr:col>
                    <xdr:colOff>184150</xdr:colOff>
                    <xdr:row>89</xdr:row>
                    <xdr:rowOff>184150</xdr:rowOff>
                  </to>
                </anchor>
              </controlPr>
            </control>
          </mc:Choice>
        </mc:AlternateContent>
        <mc:AlternateContent xmlns:mc="http://schemas.openxmlformats.org/markup-compatibility/2006">
          <mc:Choice Requires="x14">
            <control shapeId="15585" r:id="rId29" name="Check Box 225">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15586" r:id="rId30" name="Check Box 226">
              <controlPr locked="0" defaultSize="0" autoFill="0" autoLine="0" autoPict="0">
                <anchor moveWithCells="1" sizeWithCells="1">
                  <from>
                    <xdr:col>22</xdr:col>
                    <xdr:colOff>0</xdr:colOff>
                    <xdr:row>91</xdr:row>
                    <xdr:rowOff>0</xdr:rowOff>
                  </from>
                  <to>
                    <xdr:col>22</xdr:col>
                    <xdr:colOff>184150</xdr:colOff>
                    <xdr:row>91</xdr:row>
                    <xdr:rowOff>184150</xdr:rowOff>
                  </to>
                </anchor>
              </controlPr>
            </control>
          </mc:Choice>
        </mc:AlternateContent>
        <mc:AlternateContent xmlns:mc="http://schemas.openxmlformats.org/markup-compatibility/2006">
          <mc:Choice Requires="x14">
            <control shapeId="15587" r:id="rId31" name="Check Box 227">
              <controlPr locked="0" defaultSize="0" autoFill="0" autoLine="0" autoPict="0">
                <anchor moveWithCells="1" sizeWithCells="1">
                  <from>
                    <xdr:col>22</xdr:col>
                    <xdr:colOff>0</xdr:colOff>
                    <xdr:row>99</xdr:row>
                    <xdr:rowOff>0</xdr:rowOff>
                  </from>
                  <to>
                    <xdr:col>22</xdr:col>
                    <xdr:colOff>184150</xdr:colOff>
                    <xdr:row>99</xdr:row>
                    <xdr:rowOff>184150</xdr:rowOff>
                  </to>
                </anchor>
              </controlPr>
            </control>
          </mc:Choice>
        </mc:AlternateContent>
        <mc:AlternateContent xmlns:mc="http://schemas.openxmlformats.org/markup-compatibility/2006">
          <mc:Choice Requires="x14">
            <control shapeId="15588" r:id="rId32" name="Check Box 228">
              <controlPr locked="0" defaultSize="0" autoFill="0" autoLine="0" autoPict="0">
                <anchor moveWithCells="1" sizeWithCells="1">
                  <from>
                    <xdr:col>22</xdr:col>
                    <xdr:colOff>0</xdr:colOff>
                    <xdr:row>102</xdr:row>
                    <xdr:rowOff>0</xdr:rowOff>
                  </from>
                  <to>
                    <xdr:col>22</xdr:col>
                    <xdr:colOff>184150</xdr:colOff>
                    <xdr:row>102</xdr:row>
                    <xdr:rowOff>184150</xdr:rowOff>
                  </to>
                </anchor>
              </controlPr>
            </control>
          </mc:Choice>
        </mc:AlternateContent>
        <mc:AlternateContent xmlns:mc="http://schemas.openxmlformats.org/markup-compatibility/2006">
          <mc:Choice Requires="x14">
            <control shapeId="15589" r:id="rId33" name="Check Box 229">
              <controlPr locked="0" defaultSize="0" autoFill="0" autoLine="0" autoPict="0">
                <anchor moveWithCells="1" sizeWithCells="1">
                  <from>
                    <xdr:col>22</xdr:col>
                    <xdr:colOff>0</xdr:colOff>
                    <xdr:row>128</xdr:row>
                    <xdr:rowOff>0</xdr:rowOff>
                  </from>
                  <to>
                    <xdr:col>22</xdr:col>
                    <xdr:colOff>184150</xdr:colOff>
                    <xdr:row>128</xdr:row>
                    <xdr:rowOff>184150</xdr:rowOff>
                  </to>
                </anchor>
              </controlPr>
            </control>
          </mc:Choice>
        </mc:AlternateContent>
        <mc:AlternateContent xmlns:mc="http://schemas.openxmlformats.org/markup-compatibility/2006">
          <mc:Choice Requires="x14">
            <control shapeId="15590" r:id="rId34" name="Check Box 230">
              <controlPr locked="0" defaultSize="0" autoFill="0" autoLine="0" autoPict="0">
                <anchor moveWithCells="1" sizeWithCells="1">
                  <from>
                    <xdr:col>22</xdr:col>
                    <xdr:colOff>0</xdr:colOff>
                    <xdr:row>130</xdr:row>
                    <xdr:rowOff>0</xdr:rowOff>
                  </from>
                  <to>
                    <xdr:col>22</xdr:col>
                    <xdr:colOff>184150</xdr:colOff>
                    <xdr:row>130</xdr:row>
                    <xdr:rowOff>184150</xdr:rowOff>
                  </to>
                </anchor>
              </controlPr>
            </control>
          </mc:Choice>
        </mc:AlternateContent>
        <mc:AlternateContent xmlns:mc="http://schemas.openxmlformats.org/markup-compatibility/2006">
          <mc:Choice Requires="x14">
            <control shapeId="15591" r:id="rId35" name="Check Box 231">
              <controlPr locked="0" defaultSize="0" autoFill="0" autoLine="0" autoPict="0">
                <anchor moveWithCells="1" sizeWithCells="1">
                  <from>
                    <xdr:col>22</xdr:col>
                    <xdr:colOff>0</xdr:colOff>
                    <xdr:row>132</xdr:row>
                    <xdr:rowOff>0</xdr:rowOff>
                  </from>
                  <to>
                    <xdr:col>22</xdr:col>
                    <xdr:colOff>184150</xdr:colOff>
                    <xdr:row>132</xdr:row>
                    <xdr:rowOff>184150</xdr:rowOff>
                  </to>
                </anchor>
              </controlPr>
            </control>
          </mc:Choice>
        </mc:AlternateContent>
        <mc:AlternateContent xmlns:mc="http://schemas.openxmlformats.org/markup-compatibility/2006">
          <mc:Choice Requires="x14">
            <control shapeId="15592" r:id="rId36" name="Check Box 232">
              <controlPr locked="0" defaultSize="0" autoFill="0" autoLine="0" autoPict="0">
                <anchor moveWithCells="1" sizeWithCells="1">
                  <from>
                    <xdr:col>22</xdr:col>
                    <xdr:colOff>0</xdr:colOff>
                    <xdr:row>139</xdr:row>
                    <xdr:rowOff>0</xdr:rowOff>
                  </from>
                  <to>
                    <xdr:col>22</xdr:col>
                    <xdr:colOff>184150</xdr:colOff>
                    <xdr:row>139</xdr:row>
                    <xdr:rowOff>184150</xdr:rowOff>
                  </to>
                </anchor>
              </controlPr>
            </control>
          </mc:Choice>
        </mc:AlternateContent>
        <mc:AlternateContent xmlns:mc="http://schemas.openxmlformats.org/markup-compatibility/2006">
          <mc:Choice Requires="x14">
            <control shapeId="15593" r:id="rId37" name="Check Box 233">
              <controlPr locked="0" defaultSize="0" autoFill="0" autoLine="0" autoPict="0">
                <anchor moveWithCells="1" sizeWithCells="1">
                  <from>
                    <xdr:col>22</xdr:col>
                    <xdr:colOff>0</xdr:colOff>
                    <xdr:row>140</xdr:row>
                    <xdr:rowOff>0</xdr:rowOff>
                  </from>
                  <to>
                    <xdr:col>22</xdr:col>
                    <xdr:colOff>184150</xdr:colOff>
                    <xdr:row>140</xdr:row>
                    <xdr:rowOff>184150</xdr:rowOff>
                  </to>
                </anchor>
              </controlPr>
            </control>
          </mc:Choice>
        </mc:AlternateContent>
        <mc:AlternateContent xmlns:mc="http://schemas.openxmlformats.org/markup-compatibility/2006">
          <mc:Choice Requires="x14">
            <control shapeId="15594" r:id="rId38" name="Check Box 234">
              <controlPr locked="0" defaultSize="0" autoFill="0" autoLine="0" autoPict="0">
                <anchor moveWithCells="1" sizeWithCells="1">
                  <from>
                    <xdr:col>22</xdr:col>
                    <xdr:colOff>0</xdr:colOff>
                    <xdr:row>145</xdr:row>
                    <xdr:rowOff>0</xdr:rowOff>
                  </from>
                  <to>
                    <xdr:col>22</xdr:col>
                    <xdr:colOff>184150</xdr:colOff>
                    <xdr:row>145</xdr:row>
                    <xdr:rowOff>184150</xdr:rowOff>
                  </to>
                </anchor>
              </controlPr>
            </control>
          </mc:Choice>
        </mc:AlternateContent>
        <mc:AlternateContent xmlns:mc="http://schemas.openxmlformats.org/markup-compatibility/2006">
          <mc:Choice Requires="x14">
            <control shapeId="15595" r:id="rId39" name="Check Box 235">
              <controlPr locked="0" defaultSize="0" autoFill="0" autoLine="0" autoPict="0">
                <anchor moveWithCells="1" sizeWithCells="1">
                  <from>
                    <xdr:col>22</xdr:col>
                    <xdr:colOff>0</xdr:colOff>
                    <xdr:row>147</xdr:row>
                    <xdr:rowOff>0</xdr:rowOff>
                  </from>
                  <to>
                    <xdr:col>22</xdr:col>
                    <xdr:colOff>184150</xdr:colOff>
                    <xdr:row>147</xdr:row>
                    <xdr:rowOff>184150</xdr:rowOff>
                  </to>
                </anchor>
              </controlPr>
            </control>
          </mc:Choice>
        </mc:AlternateContent>
        <mc:AlternateContent xmlns:mc="http://schemas.openxmlformats.org/markup-compatibility/2006">
          <mc:Choice Requires="x14">
            <control shapeId="15596" r:id="rId40" name="Check Box 236">
              <controlPr locked="0" defaultSize="0" autoFill="0" autoLine="0" autoPict="0">
                <anchor moveWithCells="1" sizeWithCells="1">
                  <from>
                    <xdr:col>22</xdr:col>
                    <xdr:colOff>0</xdr:colOff>
                    <xdr:row>150</xdr:row>
                    <xdr:rowOff>0</xdr:rowOff>
                  </from>
                  <to>
                    <xdr:col>22</xdr:col>
                    <xdr:colOff>184150</xdr:colOff>
                    <xdr:row>150</xdr:row>
                    <xdr:rowOff>184150</xdr:rowOff>
                  </to>
                </anchor>
              </controlPr>
            </control>
          </mc:Choice>
        </mc:AlternateContent>
        <mc:AlternateContent xmlns:mc="http://schemas.openxmlformats.org/markup-compatibility/2006">
          <mc:Choice Requires="x14">
            <control shapeId="15597" r:id="rId41" name="Check Box 237">
              <controlPr locked="0" defaultSize="0" autoFill="0" autoLine="0" autoPict="0">
                <anchor moveWithCells="1" sizeWithCells="1">
                  <from>
                    <xdr:col>22</xdr:col>
                    <xdr:colOff>0</xdr:colOff>
                    <xdr:row>152</xdr:row>
                    <xdr:rowOff>0</xdr:rowOff>
                  </from>
                  <to>
                    <xdr:col>22</xdr:col>
                    <xdr:colOff>184150</xdr:colOff>
                    <xdr:row>152</xdr:row>
                    <xdr:rowOff>184150</xdr:rowOff>
                  </to>
                </anchor>
              </controlPr>
            </control>
          </mc:Choice>
        </mc:AlternateContent>
        <mc:AlternateContent xmlns:mc="http://schemas.openxmlformats.org/markup-compatibility/2006">
          <mc:Choice Requires="x14">
            <control shapeId="15598" r:id="rId42" name="Check Box 238">
              <controlPr locked="0" defaultSize="0" autoFill="0" autoLine="0" autoPict="0">
                <anchor moveWithCells="1" sizeWithCells="1">
                  <from>
                    <xdr:col>22</xdr:col>
                    <xdr:colOff>0</xdr:colOff>
                    <xdr:row>154</xdr:row>
                    <xdr:rowOff>0</xdr:rowOff>
                  </from>
                  <to>
                    <xdr:col>22</xdr:col>
                    <xdr:colOff>184150</xdr:colOff>
                    <xdr:row>154</xdr:row>
                    <xdr:rowOff>184150</xdr:rowOff>
                  </to>
                </anchor>
              </controlPr>
            </control>
          </mc:Choice>
        </mc:AlternateContent>
        <mc:AlternateContent xmlns:mc="http://schemas.openxmlformats.org/markup-compatibility/2006">
          <mc:Choice Requires="x14">
            <control shapeId="15599" r:id="rId43" name="Check Box 239">
              <controlPr locked="0" defaultSize="0" autoFill="0" autoLine="0" autoPict="0">
                <anchor moveWithCells="1" sizeWithCells="1">
                  <from>
                    <xdr:col>22</xdr:col>
                    <xdr:colOff>0</xdr:colOff>
                    <xdr:row>158</xdr:row>
                    <xdr:rowOff>0</xdr:rowOff>
                  </from>
                  <to>
                    <xdr:col>22</xdr:col>
                    <xdr:colOff>184150</xdr:colOff>
                    <xdr:row>158</xdr:row>
                    <xdr:rowOff>184150</xdr:rowOff>
                  </to>
                </anchor>
              </controlPr>
            </control>
          </mc:Choice>
        </mc:AlternateContent>
        <mc:AlternateContent xmlns:mc="http://schemas.openxmlformats.org/markup-compatibility/2006">
          <mc:Choice Requires="x14">
            <control shapeId="15600" r:id="rId44" name="Check Box 240">
              <controlPr locked="0" defaultSize="0" autoFill="0" autoLine="0" autoPict="0">
                <anchor moveWithCells="1" sizeWithCells="1">
                  <from>
                    <xdr:col>22</xdr:col>
                    <xdr:colOff>0</xdr:colOff>
                    <xdr:row>159</xdr:row>
                    <xdr:rowOff>0</xdr:rowOff>
                  </from>
                  <to>
                    <xdr:col>22</xdr:col>
                    <xdr:colOff>184150</xdr:colOff>
                    <xdr:row>159</xdr:row>
                    <xdr:rowOff>184150</xdr:rowOff>
                  </to>
                </anchor>
              </controlPr>
            </control>
          </mc:Choice>
        </mc:AlternateContent>
        <mc:AlternateContent xmlns:mc="http://schemas.openxmlformats.org/markup-compatibility/2006">
          <mc:Choice Requires="x14">
            <control shapeId="15601" r:id="rId45" name="Check Box 241">
              <controlPr locked="0" defaultSize="0" autoFill="0" autoLine="0" autoPict="0">
                <anchor moveWithCells="1" sizeWithCells="1">
                  <from>
                    <xdr:col>22</xdr:col>
                    <xdr:colOff>0</xdr:colOff>
                    <xdr:row>160</xdr:row>
                    <xdr:rowOff>0</xdr:rowOff>
                  </from>
                  <to>
                    <xdr:col>22</xdr:col>
                    <xdr:colOff>184150</xdr:colOff>
                    <xdr:row>160</xdr:row>
                    <xdr:rowOff>184150</xdr:rowOff>
                  </to>
                </anchor>
              </controlPr>
            </control>
          </mc:Choice>
        </mc:AlternateContent>
        <mc:AlternateContent xmlns:mc="http://schemas.openxmlformats.org/markup-compatibility/2006">
          <mc:Choice Requires="x14">
            <control shapeId="15602" r:id="rId46" name="Check Box 242">
              <controlPr locked="0" defaultSize="0" autoFill="0" autoLine="0" autoPict="0">
                <anchor moveWithCells="1" sizeWithCells="1">
                  <from>
                    <xdr:col>22</xdr:col>
                    <xdr:colOff>0</xdr:colOff>
                    <xdr:row>162</xdr:row>
                    <xdr:rowOff>0</xdr:rowOff>
                  </from>
                  <to>
                    <xdr:col>22</xdr:col>
                    <xdr:colOff>184150</xdr:colOff>
                    <xdr:row>162</xdr:row>
                    <xdr:rowOff>184150</xdr:rowOff>
                  </to>
                </anchor>
              </controlPr>
            </control>
          </mc:Choice>
        </mc:AlternateContent>
        <mc:AlternateContent xmlns:mc="http://schemas.openxmlformats.org/markup-compatibility/2006">
          <mc:Choice Requires="x14">
            <control shapeId="15605" r:id="rId47" name="Check Box 245">
              <controlPr locked="0" defaultSize="0" autoFill="0" autoLine="0" autoPict="0">
                <anchor moveWithCells="1" sizeWithCells="1">
                  <from>
                    <xdr:col>22</xdr:col>
                    <xdr:colOff>0</xdr:colOff>
                    <xdr:row>177</xdr:row>
                    <xdr:rowOff>0</xdr:rowOff>
                  </from>
                  <to>
                    <xdr:col>22</xdr:col>
                    <xdr:colOff>184150</xdr:colOff>
                    <xdr:row>177</xdr:row>
                    <xdr:rowOff>184150</xdr:rowOff>
                  </to>
                </anchor>
              </controlPr>
            </control>
          </mc:Choice>
        </mc:AlternateContent>
        <mc:AlternateContent xmlns:mc="http://schemas.openxmlformats.org/markup-compatibility/2006">
          <mc:Choice Requires="x14">
            <control shapeId="15606" r:id="rId48" name="Check Box 246">
              <controlPr locked="0" defaultSize="0" autoFill="0" autoLine="0" autoPict="0">
                <anchor moveWithCells="1" sizeWithCells="1">
                  <from>
                    <xdr:col>22</xdr:col>
                    <xdr:colOff>0</xdr:colOff>
                    <xdr:row>184</xdr:row>
                    <xdr:rowOff>0</xdr:rowOff>
                  </from>
                  <to>
                    <xdr:col>22</xdr:col>
                    <xdr:colOff>184150</xdr:colOff>
                    <xdr:row>184</xdr:row>
                    <xdr:rowOff>184150</xdr:rowOff>
                  </to>
                </anchor>
              </controlPr>
            </control>
          </mc:Choice>
        </mc:AlternateContent>
        <mc:AlternateContent xmlns:mc="http://schemas.openxmlformats.org/markup-compatibility/2006">
          <mc:Choice Requires="x14">
            <control shapeId="15607" r:id="rId49" name="Check Box 247">
              <controlPr locked="0" defaultSize="0" autoFill="0" autoLine="0" autoPict="0">
                <anchor moveWithCells="1" sizeWithCells="1">
                  <from>
                    <xdr:col>22</xdr:col>
                    <xdr:colOff>0</xdr:colOff>
                    <xdr:row>185</xdr:row>
                    <xdr:rowOff>0</xdr:rowOff>
                  </from>
                  <to>
                    <xdr:col>22</xdr:col>
                    <xdr:colOff>184150</xdr:colOff>
                    <xdr:row>185</xdr:row>
                    <xdr:rowOff>184150</xdr:rowOff>
                  </to>
                </anchor>
              </controlPr>
            </control>
          </mc:Choice>
        </mc:AlternateContent>
        <mc:AlternateContent xmlns:mc="http://schemas.openxmlformats.org/markup-compatibility/2006">
          <mc:Choice Requires="x14">
            <control shapeId="15608" r:id="rId50" name="Check Box 248">
              <controlPr locked="0" defaultSize="0" autoFill="0" autoLine="0" autoPict="0">
                <anchor moveWithCells="1" sizeWithCells="1">
                  <from>
                    <xdr:col>22</xdr:col>
                    <xdr:colOff>0</xdr:colOff>
                    <xdr:row>187</xdr:row>
                    <xdr:rowOff>0</xdr:rowOff>
                  </from>
                  <to>
                    <xdr:col>22</xdr:col>
                    <xdr:colOff>184150</xdr:colOff>
                    <xdr:row>187</xdr:row>
                    <xdr:rowOff>184150</xdr:rowOff>
                  </to>
                </anchor>
              </controlPr>
            </control>
          </mc:Choice>
        </mc:AlternateContent>
        <mc:AlternateContent xmlns:mc="http://schemas.openxmlformats.org/markup-compatibility/2006">
          <mc:Choice Requires="x14">
            <control shapeId="15609" r:id="rId51" name="Check Box 249">
              <controlPr locked="0" defaultSize="0" autoFill="0" autoLine="0" autoPict="0">
                <anchor moveWithCells="1" sizeWithCells="1">
                  <from>
                    <xdr:col>22</xdr:col>
                    <xdr:colOff>0</xdr:colOff>
                    <xdr:row>192</xdr:row>
                    <xdr:rowOff>0</xdr:rowOff>
                  </from>
                  <to>
                    <xdr:col>22</xdr:col>
                    <xdr:colOff>184150</xdr:colOff>
                    <xdr:row>192</xdr:row>
                    <xdr:rowOff>184150</xdr:rowOff>
                  </to>
                </anchor>
              </controlPr>
            </control>
          </mc:Choice>
        </mc:AlternateContent>
        <mc:AlternateContent xmlns:mc="http://schemas.openxmlformats.org/markup-compatibility/2006">
          <mc:Choice Requires="x14">
            <control shapeId="15610" r:id="rId52" name="Check Box 250">
              <controlPr locked="0" defaultSize="0" autoFill="0" autoLine="0" autoPict="0">
                <anchor moveWithCells="1" sizeWithCells="1">
                  <from>
                    <xdr:col>22</xdr:col>
                    <xdr:colOff>0</xdr:colOff>
                    <xdr:row>194</xdr:row>
                    <xdr:rowOff>0</xdr:rowOff>
                  </from>
                  <to>
                    <xdr:col>22</xdr:col>
                    <xdr:colOff>184150</xdr:colOff>
                    <xdr:row>194</xdr:row>
                    <xdr:rowOff>184150</xdr:rowOff>
                  </to>
                </anchor>
              </controlPr>
            </control>
          </mc:Choice>
        </mc:AlternateContent>
        <mc:AlternateContent xmlns:mc="http://schemas.openxmlformats.org/markup-compatibility/2006">
          <mc:Choice Requires="x14">
            <control shapeId="15611" r:id="rId53" name="Check Box 251">
              <controlPr locked="0" defaultSize="0" autoFill="0" autoLine="0" autoPict="0">
                <anchor moveWithCells="1" sizeWithCells="1">
                  <from>
                    <xdr:col>22</xdr:col>
                    <xdr:colOff>0</xdr:colOff>
                    <xdr:row>195</xdr:row>
                    <xdr:rowOff>0</xdr:rowOff>
                  </from>
                  <to>
                    <xdr:col>22</xdr:col>
                    <xdr:colOff>184150</xdr:colOff>
                    <xdr:row>195</xdr:row>
                    <xdr:rowOff>184150</xdr:rowOff>
                  </to>
                </anchor>
              </controlPr>
            </control>
          </mc:Choice>
        </mc:AlternateContent>
        <mc:AlternateContent xmlns:mc="http://schemas.openxmlformats.org/markup-compatibility/2006">
          <mc:Choice Requires="x14">
            <control shapeId="15612" r:id="rId54" name="Check Box 252">
              <controlPr locked="0" defaultSize="0" autoFill="0" autoLine="0" autoPict="0">
                <anchor moveWithCells="1" sizeWithCells="1">
                  <from>
                    <xdr:col>22</xdr:col>
                    <xdr:colOff>0</xdr:colOff>
                    <xdr:row>197</xdr:row>
                    <xdr:rowOff>0</xdr:rowOff>
                  </from>
                  <to>
                    <xdr:col>22</xdr:col>
                    <xdr:colOff>184150</xdr:colOff>
                    <xdr:row>197</xdr:row>
                    <xdr:rowOff>184150</xdr:rowOff>
                  </to>
                </anchor>
              </controlPr>
            </control>
          </mc:Choice>
        </mc:AlternateContent>
        <mc:AlternateContent xmlns:mc="http://schemas.openxmlformats.org/markup-compatibility/2006">
          <mc:Choice Requires="x14">
            <control shapeId="15613" r:id="rId55" name="Check Box 253">
              <controlPr locked="0" defaultSize="0" autoFill="0" autoLine="0" autoPict="0">
                <anchor moveWithCells="1" sizeWithCells="1">
                  <from>
                    <xdr:col>22</xdr:col>
                    <xdr:colOff>0</xdr:colOff>
                    <xdr:row>199</xdr:row>
                    <xdr:rowOff>0</xdr:rowOff>
                  </from>
                  <to>
                    <xdr:col>22</xdr:col>
                    <xdr:colOff>184150</xdr:colOff>
                    <xdr:row>199</xdr:row>
                    <xdr:rowOff>184150</xdr:rowOff>
                  </to>
                </anchor>
              </controlPr>
            </control>
          </mc:Choice>
        </mc:AlternateContent>
        <mc:AlternateContent xmlns:mc="http://schemas.openxmlformats.org/markup-compatibility/2006">
          <mc:Choice Requires="x14">
            <control shapeId="15614" r:id="rId56" name="Check Box 254">
              <controlPr locked="0" defaultSize="0" autoFill="0" autoLine="0" autoPict="0">
                <anchor moveWithCells="1" sizeWithCells="1">
                  <from>
                    <xdr:col>22</xdr:col>
                    <xdr:colOff>0</xdr:colOff>
                    <xdr:row>203</xdr:row>
                    <xdr:rowOff>0</xdr:rowOff>
                  </from>
                  <to>
                    <xdr:col>22</xdr:col>
                    <xdr:colOff>184150</xdr:colOff>
                    <xdr:row>203</xdr:row>
                    <xdr:rowOff>184150</xdr:rowOff>
                  </to>
                </anchor>
              </controlPr>
            </control>
          </mc:Choice>
        </mc:AlternateContent>
        <mc:AlternateContent xmlns:mc="http://schemas.openxmlformats.org/markup-compatibility/2006">
          <mc:Choice Requires="x14">
            <control shapeId="15615" r:id="rId57" name="Check Box 255">
              <controlPr locked="0" defaultSize="0" autoFill="0" autoLine="0" autoPict="0">
                <anchor moveWithCells="1" sizeWithCells="1">
                  <from>
                    <xdr:col>22</xdr:col>
                    <xdr:colOff>0</xdr:colOff>
                    <xdr:row>206</xdr:row>
                    <xdr:rowOff>0</xdr:rowOff>
                  </from>
                  <to>
                    <xdr:col>22</xdr:col>
                    <xdr:colOff>184150</xdr:colOff>
                    <xdr:row>206</xdr:row>
                    <xdr:rowOff>184150</xdr:rowOff>
                  </to>
                </anchor>
              </controlPr>
            </control>
          </mc:Choice>
        </mc:AlternateContent>
        <mc:AlternateContent xmlns:mc="http://schemas.openxmlformats.org/markup-compatibility/2006">
          <mc:Choice Requires="x14">
            <control shapeId="15616" r:id="rId58" name="Check Box 256">
              <controlPr locked="0" defaultSize="0" autoFill="0" autoLine="0" autoPict="0">
                <anchor moveWithCells="1" sizeWithCells="1">
                  <from>
                    <xdr:col>22</xdr:col>
                    <xdr:colOff>0</xdr:colOff>
                    <xdr:row>208</xdr:row>
                    <xdr:rowOff>0</xdr:rowOff>
                  </from>
                  <to>
                    <xdr:col>22</xdr:col>
                    <xdr:colOff>184150</xdr:colOff>
                    <xdr:row>208</xdr:row>
                    <xdr:rowOff>184150</xdr:rowOff>
                  </to>
                </anchor>
              </controlPr>
            </control>
          </mc:Choice>
        </mc:AlternateContent>
        <mc:AlternateContent xmlns:mc="http://schemas.openxmlformats.org/markup-compatibility/2006">
          <mc:Choice Requires="x14">
            <control shapeId="15617" r:id="rId59" name="Check Box 257">
              <controlPr locked="0" defaultSize="0" autoFill="0" autoLine="0" autoPict="0">
                <anchor moveWithCells="1" sizeWithCells="1">
                  <from>
                    <xdr:col>22</xdr:col>
                    <xdr:colOff>0</xdr:colOff>
                    <xdr:row>209</xdr:row>
                    <xdr:rowOff>0</xdr:rowOff>
                  </from>
                  <to>
                    <xdr:col>22</xdr:col>
                    <xdr:colOff>184150</xdr:colOff>
                    <xdr:row>209</xdr:row>
                    <xdr:rowOff>184150</xdr:rowOff>
                  </to>
                </anchor>
              </controlPr>
            </control>
          </mc:Choice>
        </mc:AlternateContent>
        <mc:AlternateContent xmlns:mc="http://schemas.openxmlformats.org/markup-compatibility/2006">
          <mc:Choice Requires="x14">
            <control shapeId="15618" r:id="rId60" name="Check Box 258">
              <controlPr locked="0" defaultSize="0" autoFill="0" autoLine="0" autoPict="0">
                <anchor moveWithCells="1" sizeWithCells="1">
                  <from>
                    <xdr:col>22</xdr:col>
                    <xdr:colOff>0</xdr:colOff>
                    <xdr:row>210</xdr:row>
                    <xdr:rowOff>0</xdr:rowOff>
                  </from>
                  <to>
                    <xdr:col>22</xdr:col>
                    <xdr:colOff>184150</xdr:colOff>
                    <xdr:row>210</xdr:row>
                    <xdr:rowOff>184150</xdr:rowOff>
                  </to>
                </anchor>
              </controlPr>
            </control>
          </mc:Choice>
        </mc:AlternateContent>
        <mc:AlternateContent xmlns:mc="http://schemas.openxmlformats.org/markup-compatibility/2006">
          <mc:Choice Requires="x14">
            <control shapeId="15619" r:id="rId61" name="Check Box 259">
              <controlPr locked="0" defaultSize="0" autoFill="0" autoLine="0" autoPict="0">
                <anchor moveWithCells="1" sizeWithCells="1">
                  <from>
                    <xdr:col>22</xdr:col>
                    <xdr:colOff>0</xdr:colOff>
                    <xdr:row>211</xdr:row>
                    <xdr:rowOff>0</xdr:rowOff>
                  </from>
                  <to>
                    <xdr:col>22</xdr:col>
                    <xdr:colOff>184150</xdr:colOff>
                    <xdr:row>211</xdr:row>
                    <xdr:rowOff>184150</xdr:rowOff>
                  </to>
                </anchor>
              </controlPr>
            </control>
          </mc:Choice>
        </mc:AlternateContent>
        <mc:AlternateContent xmlns:mc="http://schemas.openxmlformats.org/markup-compatibility/2006">
          <mc:Choice Requires="x14">
            <control shapeId="15620" r:id="rId62" name="Check Box 260">
              <controlPr locked="0" defaultSize="0" autoFill="0" autoLine="0" autoPict="0">
                <anchor moveWithCells="1" sizeWithCells="1">
                  <from>
                    <xdr:col>22</xdr:col>
                    <xdr:colOff>0</xdr:colOff>
                    <xdr:row>212</xdr:row>
                    <xdr:rowOff>0</xdr:rowOff>
                  </from>
                  <to>
                    <xdr:col>22</xdr:col>
                    <xdr:colOff>184150</xdr:colOff>
                    <xdr:row>212</xdr:row>
                    <xdr:rowOff>184150</xdr:rowOff>
                  </to>
                </anchor>
              </controlPr>
            </control>
          </mc:Choice>
        </mc:AlternateContent>
        <mc:AlternateContent xmlns:mc="http://schemas.openxmlformats.org/markup-compatibility/2006">
          <mc:Choice Requires="x14">
            <control shapeId="15621" r:id="rId63" name="Check Box 261">
              <controlPr locked="0" defaultSize="0" autoFill="0" autoLine="0" autoPict="0">
                <anchor moveWithCells="1" sizeWithCells="1">
                  <from>
                    <xdr:col>22</xdr:col>
                    <xdr:colOff>0</xdr:colOff>
                    <xdr:row>213</xdr:row>
                    <xdr:rowOff>0</xdr:rowOff>
                  </from>
                  <to>
                    <xdr:col>22</xdr:col>
                    <xdr:colOff>184150</xdr:colOff>
                    <xdr:row>213</xdr:row>
                    <xdr:rowOff>184150</xdr:rowOff>
                  </to>
                </anchor>
              </controlPr>
            </control>
          </mc:Choice>
        </mc:AlternateContent>
        <mc:AlternateContent xmlns:mc="http://schemas.openxmlformats.org/markup-compatibility/2006">
          <mc:Choice Requires="x14">
            <control shapeId="15622" r:id="rId64" name="Check Box 262">
              <controlPr locked="0" defaultSize="0" autoFill="0" autoLine="0" autoPict="0">
                <anchor moveWithCells="1" sizeWithCells="1">
                  <from>
                    <xdr:col>22</xdr:col>
                    <xdr:colOff>0</xdr:colOff>
                    <xdr:row>215</xdr:row>
                    <xdr:rowOff>0</xdr:rowOff>
                  </from>
                  <to>
                    <xdr:col>22</xdr:col>
                    <xdr:colOff>184150</xdr:colOff>
                    <xdr:row>215</xdr:row>
                    <xdr:rowOff>184150</xdr:rowOff>
                  </to>
                </anchor>
              </controlPr>
            </control>
          </mc:Choice>
        </mc:AlternateContent>
        <mc:AlternateContent xmlns:mc="http://schemas.openxmlformats.org/markup-compatibility/2006">
          <mc:Choice Requires="x14">
            <control shapeId="15623" r:id="rId65" name="Check Box 263">
              <controlPr locked="0" defaultSize="0" autoFill="0" autoLine="0" autoPict="0">
                <anchor moveWithCells="1" sizeWithCells="1">
                  <from>
                    <xdr:col>22</xdr:col>
                    <xdr:colOff>0</xdr:colOff>
                    <xdr:row>222</xdr:row>
                    <xdr:rowOff>0</xdr:rowOff>
                  </from>
                  <to>
                    <xdr:col>22</xdr:col>
                    <xdr:colOff>184150</xdr:colOff>
                    <xdr:row>222</xdr:row>
                    <xdr:rowOff>184150</xdr:rowOff>
                  </to>
                </anchor>
              </controlPr>
            </control>
          </mc:Choice>
        </mc:AlternateContent>
        <mc:AlternateContent xmlns:mc="http://schemas.openxmlformats.org/markup-compatibility/2006">
          <mc:Choice Requires="x14">
            <control shapeId="15624" r:id="rId66" name="Check Box 264">
              <controlPr locked="0" defaultSize="0" autoFill="0" autoLine="0" autoPict="0">
                <anchor moveWithCells="1" sizeWithCells="1">
                  <from>
                    <xdr:col>22</xdr:col>
                    <xdr:colOff>0</xdr:colOff>
                    <xdr:row>224</xdr:row>
                    <xdr:rowOff>0</xdr:rowOff>
                  </from>
                  <to>
                    <xdr:col>22</xdr:col>
                    <xdr:colOff>184150</xdr:colOff>
                    <xdr:row>224</xdr:row>
                    <xdr:rowOff>184150</xdr:rowOff>
                  </to>
                </anchor>
              </controlPr>
            </control>
          </mc:Choice>
        </mc:AlternateContent>
        <mc:AlternateContent xmlns:mc="http://schemas.openxmlformats.org/markup-compatibility/2006">
          <mc:Choice Requires="x14">
            <control shapeId="15625" r:id="rId67" name="Check Box 265">
              <controlPr locked="0" defaultSize="0" autoFill="0" autoLine="0" autoPict="0">
                <anchor moveWithCells="1" sizeWithCells="1">
                  <from>
                    <xdr:col>22</xdr:col>
                    <xdr:colOff>0</xdr:colOff>
                    <xdr:row>237</xdr:row>
                    <xdr:rowOff>0</xdr:rowOff>
                  </from>
                  <to>
                    <xdr:col>22</xdr:col>
                    <xdr:colOff>184150</xdr:colOff>
                    <xdr:row>237</xdr:row>
                    <xdr:rowOff>184150</xdr:rowOff>
                  </to>
                </anchor>
              </controlPr>
            </control>
          </mc:Choice>
        </mc:AlternateContent>
        <mc:AlternateContent xmlns:mc="http://schemas.openxmlformats.org/markup-compatibility/2006">
          <mc:Choice Requires="x14">
            <control shapeId="15626" r:id="rId68" name="Check Box 266">
              <controlPr locked="0" defaultSize="0" autoFill="0" autoLine="0" autoPict="0">
                <anchor moveWithCells="1" sizeWithCells="1">
                  <from>
                    <xdr:col>22</xdr:col>
                    <xdr:colOff>0</xdr:colOff>
                    <xdr:row>240</xdr:row>
                    <xdr:rowOff>0</xdr:rowOff>
                  </from>
                  <to>
                    <xdr:col>22</xdr:col>
                    <xdr:colOff>184150</xdr:colOff>
                    <xdr:row>240</xdr:row>
                    <xdr:rowOff>184150</xdr:rowOff>
                  </to>
                </anchor>
              </controlPr>
            </control>
          </mc:Choice>
        </mc:AlternateContent>
        <mc:AlternateContent xmlns:mc="http://schemas.openxmlformats.org/markup-compatibility/2006">
          <mc:Choice Requires="x14">
            <control shapeId="15627" r:id="rId69" name="Check Box 267">
              <controlPr locked="0" defaultSize="0" autoFill="0" autoLine="0" autoPict="0">
                <anchor moveWithCells="1" sizeWithCells="1">
                  <from>
                    <xdr:col>22</xdr:col>
                    <xdr:colOff>0</xdr:colOff>
                    <xdr:row>244</xdr:row>
                    <xdr:rowOff>0</xdr:rowOff>
                  </from>
                  <to>
                    <xdr:col>22</xdr:col>
                    <xdr:colOff>184150</xdr:colOff>
                    <xdr:row>244</xdr:row>
                    <xdr:rowOff>184150</xdr:rowOff>
                  </to>
                </anchor>
              </controlPr>
            </control>
          </mc:Choice>
        </mc:AlternateContent>
        <mc:AlternateContent xmlns:mc="http://schemas.openxmlformats.org/markup-compatibility/2006">
          <mc:Choice Requires="x14">
            <control shapeId="15628" r:id="rId70" name="Check Box 268">
              <controlPr locked="0" defaultSize="0" autoFill="0" autoLine="0" autoPict="0">
                <anchor moveWithCells="1" sizeWithCells="1">
                  <from>
                    <xdr:col>22</xdr:col>
                    <xdr:colOff>0</xdr:colOff>
                    <xdr:row>245</xdr:row>
                    <xdr:rowOff>0</xdr:rowOff>
                  </from>
                  <to>
                    <xdr:col>22</xdr:col>
                    <xdr:colOff>184150</xdr:colOff>
                    <xdr:row>245</xdr:row>
                    <xdr:rowOff>184150</xdr:rowOff>
                  </to>
                </anchor>
              </controlPr>
            </control>
          </mc:Choice>
        </mc:AlternateContent>
        <mc:AlternateContent xmlns:mc="http://schemas.openxmlformats.org/markup-compatibility/2006">
          <mc:Choice Requires="x14">
            <control shapeId="15629" r:id="rId71" name="Check Box 269">
              <controlPr locked="0" defaultSize="0" autoFill="0" autoLine="0" autoPict="0">
                <anchor moveWithCells="1" sizeWithCells="1">
                  <from>
                    <xdr:col>22</xdr:col>
                    <xdr:colOff>0</xdr:colOff>
                    <xdr:row>254</xdr:row>
                    <xdr:rowOff>0</xdr:rowOff>
                  </from>
                  <to>
                    <xdr:col>22</xdr:col>
                    <xdr:colOff>184150</xdr:colOff>
                    <xdr:row>254</xdr:row>
                    <xdr:rowOff>184150</xdr:rowOff>
                  </to>
                </anchor>
              </controlPr>
            </control>
          </mc:Choice>
        </mc:AlternateContent>
        <mc:AlternateContent xmlns:mc="http://schemas.openxmlformats.org/markup-compatibility/2006">
          <mc:Choice Requires="x14">
            <control shapeId="15630" r:id="rId72" name="Check Box 270">
              <controlPr locked="0" defaultSize="0" autoFill="0" autoLine="0" autoPict="0">
                <anchor moveWithCells="1" sizeWithCells="1">
                  <from>
                    <xdr:col>22</xdr:col>
                    <xdr:colOff>0</xdr:colOff>
                    <xdr:row>255</xdr:row>
                    <xdr:rowOff>0</xdr:rowOff>
                  </from>
                  <to>
                    <xdr:col>22</xdr:col>
                    <xdr:colOff>184150</xdr:colOff>
                    <xdr:row>255</xdr:row>
                    <xdr:rowOff>184150</xdr:rowOff>
                  </to>
                </anchor>
              </controlPr>
            </control>
          </mc:Choice>
        </mc:AlternateContent>
        <mc:AlternateContent xmlns:mc="http://schemas.openxmlformats.org/markup-compatibility/2006">
          <mc:Choice Requires="x14">
            <control shapeId="15631" r:id="rId73" name="Check Box 271">
              <controlPr locked="0" defaultSize="0" autoFill="0" autoLine="0" autoPict="0">
                <anchor moveWithCells="1" sizeWithCells="1">
                  <from>
                    <xdr:col>22</xdr:col>
                    <xdr:colOff>0</xdr:colOff>
                    <xdr:row>257</xdr:row>
                    <xdr:rowOff>0</xdr:rowOff>
                  </from>
                  <to>
                    <xdr:col>22</xdr:col>
                    <xdr:colOff>184150</xdr:colOff>
                    <xdr:row>257</xdr:row>
                    <xdr:rowOff>184150</xdr:rowOff>
                  </to>
                </anchor>
              </controlPr>
            </control>
          </mc:Choice>
        </mc:AlternateContent>
        <mc:AlternateContent xmlns:mc="http://schemas.openxmlformats.org/markup-compatibility/2006">
          <mc:Choice Requires="x14">
            <control shapeId="15632" r:id="rId74" name="Check Box 272">
              <controlPr locked="0" defaultSize="0" autoFill="0" autoLine="0" autoPict="0">
                <anchor moveWithCells="1" sizeWithCells="1">
                  <from>
                    <xdr:col>22</xdr:col>
                    <xdr:colOff>0</xdr:colOff>
                    <xdr:row>283</xdr:row>
                    <xdr:rowOff>0</xdr:rowOff>
                  </from>
                  <to>
                    <xdr:col>22</xdr:col>
                    <xdr:colOff>184150</xdr:colOff>
                    <xdr:row>283</xdr:row>
                    <xdr:rowOff>184150</xdr:rowOff>
                  </to>
                </anchor>
              </controlPr>
            </control>
          </mc:Choice>
        </mc:AlternateContent>
        <mc:AlternateContent xmlns:mc="http://schemas.openxmlformats.org/markup-compatibility/2006">
          <mc:Choice Requires="x14">
            <control shapeId="15633" r:id="rId75" name="Check Box 273">
              <controlPr locked="0" defaultSize="0" autoFill="0" autoLine="0" autoPict="0">
                <anchor moveWithCells="1" sizeWithCells="1">
                  <from>
                    <xdr:col>22</xdr:col>
                    <xdr:colOff>0</xdr:colOff>
                    <xdr:row>286</xdr:row>
                    <xdr:rowOff>0</xdr:rowOff>
                  </from>
                  <to>
                    <xdr:col>22</xdr:col>
                    <xdr:colOff>184150</xdr:colOff>
                    <xdr:row>286</xdr:row>
                    <xdr:rowOff>184150</xdr:rowOff>
                  </to>
                </anchor>
              </controlPr>
            </control>
          </mc:Choice>
        </mc:AlternateContent>
        <mc:AlternateContent xmlns:mc="http://schemas.openxmlformats.org/markup-compatibility/2006">
          <mc:Choice Requires="x14">
            <control shapeId="15634" r:id="rId76" name="Check Box 274">
              <controlPr locked="0" defaultSize="0" autoFill="0" autoLine="0" autoPict="0">
                <anchor moveWithCells="1" sizeWithCells="1">
                  <from>
                    <xdr:col>22</xdr:col>
                    <xdr:colOff>0</xdr:colOff>
                    <xdr:row>289</xdr:row>
                    <xdr:rowOff>0</xdr:rowOff>
                  </from>
                  <to>
                    <xdr:col>22</xdr:col>
                    <xdr:colOff>184150</xdr:colOff>
                    <xdr:row>289</xdr:row>
                    <xdr:rowOff>184150</xdr:rowOff>
                  </to>
                </anchor>
              </controlPr>
            </control>
          </mc:Choice>
        </mc:AlternateContent>
        <mc:AlternateContent xmlns:mc="http://schemas.openxmlformats.org/markup-compatibility/2006">
          <mc:Choice Requires="x14">
            <control shapeId="15635" r:id="rId77" name="Check Box 275">
              <controlPr locked="0" defaultSize="0" autoFill="0" autoLine="0" autoPict="0">
                <anchor moveWithCells="1" sizeWithCells="1">
                  <from>
                    <xdr:col>22</xdr:col>
                    <xdr:colOff>0</xdr:colOff>
                    <xdr:row>293</xdr:row>
                    <xdr:rowOff>0</xdr:rowOff>
                  </from>
                  <to>
                    <xdr:col>22</xdr:col>
                    <xdr:colOff>184150</xdr:colOff>
                    <xdr:row>293</xdr:row>
                    <xdr:rowOff>184150</xdr:rowOff>
                  </to>
                </anchor>
              </controlPr>
            </control>
          </mc:Choice>
        </mc:AlternateContent>
        <mc:AlternateContent xmlns:mc="http://schemas.openxmlformats.org/markup-compatibility/2006">
          <mc:Choice Requires="x14">
            <control shapeId="15636" r:id="rId78" name="Check Box 276">
              <controlPr locked="0" defaultSize="0" autoFill="0" autoLine="0" autoPict="0">
                <anchor moveWithCells="1" sizeWithCells="1">
                  <from>
                    <xdr:col>22</xdr:col>
                    <xdr:colOff>0</xdr:colOff>
                    <xdr:row>294</xdr:row>
                    <xdr:rowOff>0</xdr:rowOff>
                  </from>
                  <to>
                    <xdr:col>22</xdr:col>
                    <xdr:colOff>184150</xdr:colOff>
                    <xdr:row>294</xdr:row>
                    <xdr:rowOff>184150</xdr:rowOff>
                  </to>
                </anchor>
              </controlPr>
            </control>
          </mc:Choice>
        </mc:AlternateContent>
        <mc:AlternateContent xmlns:mc="http://schemas.openxmlformats.org/markup-compatibility/2006">
          <mc:Choice Requires="x14">
            <control shapeId="15637" r:id="rId79" name="Check Box 277">
              <controlPr locked="0" defaultSize="0" autoFill="0" autoLine="0" autoPict="0">
                <anchor moveWithCells="1" sizeWithCells="1">
                  <from>
                    <xdr:col>22</xdr:col>
                    <xdr:colOff>0</xdr:colOff>
                    <xdr:row>295</xdr:row>
                    <xdr:rowOff>0</xdr:rowOff>
                  </from>
                  <to>
                    <xdr:col>22</xdr:col>
                    <xdr:colOff>184150</xdr:colOff>
                    <xdr:row>295</xdr:row>
                    <xdr:rowOff>184150</xdr:rowOff>
                  </to>
                </anchor>
              </controlPr>
            </control>
          </mc:Choice>
        </mc:AlternateContent>
        <mc:AlternateContent xmlns:mc="http://schemas.openxmlformats.org/markup-compatibility/2006">
          <mc:Choice Requires="x14">
            <control shapeId="15638" r:id="rId80" name="Check Box 278">
              <controlPr locked="0" defaultSize="0" autoFill="0" autoLine="0" autoPict="0">
                <anchor moveWithCells="1" sizeWithCells="1">
                  <from>
                    <xdr:col>22</xdr:col>
                    <xdr:colOff>0</xdr:colOff>
                    <xdr:row>296</xdr:row>
                    <xdr:rowOff>0</xdr:rowOff>
                  </from>
                  <to>
                    <xdr:col>22</xdr:col>
                    <xdr:colOff>184150</xdr:colOff>
                    <xdr:row>296</xdr:row>
                    <xdr:rowOff>184150</xdr:rowOff>
                  </to>
                </anchor>
              </controlPr>
            </control>
          </mc:Choice>
        </mc:AlternateContent>
        <mc:AlternateContent xmlns:mc="http://schemas.openxmlformats.org/markup-compatibility/2006">
          <mc:Choice Requires="x14">
            <control shapeId="15639" r:id="rId81" name="Check Box 279">
              <controlPr locked="0" defaultSize="0" autoFill="0" autoLine="0" autoPict="0">
                <anchor moveWithCells="1" sizeWithCells="1">
                  <from>
                    <xdr:col>22</xdr:col>
                    <xdr:colOff>0</xdr:colOff>
                    <xdr:row>297</xdr:row>
                    <xdr:rowOff>0</xdr:rowOff>
                  </from>
                  <to>
                    <xdr:col>22</xdr:col>
                    <xdr:colOff>184150</xdr:colOff>
                    <xdr:row>297</xdr:row>
                    <xdr:rowOff>184150</xdr:rowOff>
                  </to>
                </anchor>
              </controlPr>
            </control>
          </mc:Choice>
        </mc:AlternateContent>
        <mc:AlternateContent xmlns:mc="http://schemas.openxmlformats.org/markup-compatibility/2006">
          <mc:Choice Requires="x14">
            <control shapeId="15640" r:id="rId82" name="Check Box 280">
              <controlPr locked="0" defaultSize="0" autoFill="0" autoLine="0" autoPict="0">
                <anchor moveWithCells="1" sizeWithCells="1">
                  <from>
                    <xdr:col>22</xdr:col>
                    <xdr:colOff>0</xdr:colOff>
                    <xdr:row>298</xdr:row>
                    <xdr:rowOff>0</xdr:rowOff>
                  </from>
                  <to>
                    <xdr:col>22</xdr:col>
                    <xdr:colOff>184150</xdr:colOff>
                    <xdr:row>298</xdr:row>
                    <xdr:rowOff>184150</xdr:rowOff>
                  </to>
                </anchor>
              </controlPr>
            </control>
          </mc:Choice>
        </mc:AlternateContent>
        <mc:AlternateContent xmlns:mc="http://schemas.openxmlformats.org/markup-compatibility/2006">
          <mc:Choice Requires="x14">
            <control shapeId="15641" r:id="rId83" name="Check Box 281">
              <controlPr locked="0" defaultSize="0" autoFill="0" autoLine="0" autoPict="0">
                <anchor moveWithCells="1" sizeWithCells="1">
                  <from>
                    <xdr:col>22</xdr:col>
                    <xdr:colOff>0</xdr:colOff>
                    <xdr:row>304</xdr:row>
                    <xdr:rowOff>0</xdr:rowOff>
                  </from>
                  <to>
                    <xdr:col>22</xdr:col>
                    <xdr:colOff>184150</xdr:colOff>
                    <xdr:row>304</xdr:row>
                    <xdr:rowOff>184150</xdr:rowOff>
                  </to>
                </anchor>
              </controlPr>
            </control>
          </mc:Choice>
        </mc:AlternateContent>
        <mc:AlternateContent xmlns:mc="http://schemas.openxmlformats.org/markup-compatibility/2006">
          <mc:Choice Requires="x14">
            <control shapeId="15642" r:id="rId84" name="Check Box 282">
              <controlPr locked="0" defaultSize="0" autoFill="0" autoLine="0" autoPict="0">
                <anchor moveWithCells="1" sizeWithCells="1">
                  <from>
                    <xdr:col>22</xdr:col>
                    <xdr:colOff>0</xdr:colOff>
                    <xdr:row>305</xdr:row>
                    <xdr:rowOff>0</xdr:rowOff>
                  </from>
                  <to>
                    <xdr:col>22</xdr:col>
                    <xdr:colOff>184150</xdr:colOff>
                    <xdr:row>305</xdr:row>
                    <xdr:rowOff>184150</xdr:rowOff>
                  </to>
                </anchor>
              </controlPr>
            </control>
          </mc:Choice>
        </mc:AlternateContent>
        <mc:AlternateContent xmlns:mc="http://schemas.openxmlformats.org/markup-compatibility/2006">
          <mc:Choice Requires="x14">
            <control shapeId="15643" r:id="rId85" name="Check Box 283">
              <controlPr locked="0" defaultSize="0" autoFill="0" autoLine="0" autoPict="0">
                <anchor moveWithCells="1" sizeWithCells="1">
                  <from>
                    <xdr:col>22</xdr:col>
                    <xdr:colOff>0</xdr:colOff>
                    <xdr:row>306</xdr:row>
                    <xdr:rowOff>0</xdr:rowOff>
                  </from>
                  <to>
                    <xdr:col>22</xdr:col>
                    <xdr:colOff>184150</xdr:colOff>
                    <xdr:row>306</xdr:row>
                    <xdr:rowOff>184150</xdr:rowOff>
                  </to>
                </anchor>
              </controlPr>
            </control>
          </mc:Choice>
        </mc:AlternateContent>
        <mc:AlternateContent xmlns:mc="http://schemas.openxmlformats.org/markup-compatibility/2006">
          <mc:Choice Requires="x14">
            <control shapeId="15644" r:id="rId86" name="Check Box 284">
              <controlPr locked="0" defaultSize="0" autoFill="0" autoLine="0" autoPict="0">
                <anchor moveWithCells="1" sizeWithCells="1">
                  <from>
                    <xdr:col>22</xdr:col>
                    <xdr:colOff>0</xdr:colOff>
                    <xdr:row>307</xdr:row>
                    <xdr:rowOff>0</xdr:rowOff>
                  </from>
                  <to>
                    <xdr:col>22</xdr:col>
                    <xdr:colOff>184150</xdr:colOff>
                    <xdr:row>307</xdr:row>
                    <xdr:rowOff>184150</xdr:rowOff>
                  </to>
                </anchor>
              </controlPr>
            </control>
          </mc:Choice>
        </mc:AlternateContent>
        <mc:AlternateContent xmlns:mc="http://schemas.openxmlformats.org/markup-compatibility/2006">
          <mc:Choice Requires="x14">
            <control shapeId="15645" r:id="rId87" name="Check Box 285">
              <controlPr locked="0" defaultSize="0" autoFill="0" autoLine="0" autoPict="0">
                <anchor moveWithCells="1" sizeWithCells="1">
                  <from>
                    <xdr:col>22</xdr:col>
                    <xdr:colOff>0</xdr:colOff>
                    <xdr:row>308</xdr:row>
                    <xdr:rowOff>0</xdr:rowOff>
                  </from>
                  <to>
                    <xdr:col>22</xdr:col>
                    <xdr:colOff>184150</xdr:colOff>
                    <xdr:row>308</xdr:row>
                    <xdr:rowOff>184150</xdr:rowOff>
                  </to>
                </anchor>
              </controlPr>
            </control>
          </mc:Choice>
        </mc:AlternateContent>
        <mc:AlternateContent xmlns:mc="http://schemas.openxmlformats.org/markup-compatibility/2006">
          <mc:Choice Requires="x14">
            <control shapeId="15646" r:id="rId88" name="Check Box 286">
              <controlPr locked="0" defaultSize="0" autoFill="0" autoLine="0" autoPict="0">
                <anchor moveWithCells="1" sizeWithCells="1">
                  <from>
                    <xdr:col>22</xdr:col>
                    <xdr:colOff>0</xdr:colOff>
                    <xdr:row>332</xdr:row>
                    <xdr:rowOff>0</xdr:rowOff>
                  </from>
                  <to>
                    <xdr:col>22</xdr:col>
                    <xdr:colOff>184150</xdr:colOff>
                    <xdr:row>332</xdr:row>
                    <xdr:rowOff>184150</xdr:rowOff>
                  </to>
                </anchor>
              </controlPr>
            </control>
          </mc:Choice>
        </mc:AlternateContent>
        <mc:AlternateContent xmlns:mc="http://schemas.openxmlformats.org/markup-compatibility/2006">
          <mc:Choice Requires="x14">
            <control shapeId="15647" r:id="rId89" name="Check Box 287">
              <controlPr locked="0" defaultSize="0" autoFill="0" autoLine="0" autoPict="0">
                <anchor moveWithCells="1" sizeWithCells="1">
                  <from>
                    <xdr:col>22</xdr:col>
                    <xdr:colOff>0</xdr:colOff>
                    <xdr:row>340</xdr:row>
                    <xdr:rowOff>0</xdr:rowOff>
                  </from>
                  <to>
                    <xdr:col>22</xdr:col>
                    <xdr:colOff>184150</xdr:colOff>
                    <xdr:row>340</xdr:row>
                    <xdr:rowOff>184150</xdr:rowOff>
                  </to>
                </anchor>
              </controlPr>
            </control>
          </mc:Choice>
        </mc:AlternateContent>
        <mc:AlternateContent xmlns:mc="http://schemas.openxmlformats.org/markup-compatibility/2006">
          <mc:Choice Requires="x14">
            <control shapeId="15649" r:id="rId90" name="Check Box 289">
              <controlPr locked="0" defaultSize="0" autoFill="0" autoLine="0" autoPict="0">
                <anchor moveWithCells="1" sizeWithCells="1">
                  <from>
                    <xdr:col>22</xdr:col>
                    <xdr:colOff>0</xdr:colOff>
                    <xdr:row>354</xdr:row>
                    <xdr:rowOff>0</xdr:rowOff>
                  </from>
                  <to>
                    <xdr:col>22</xdr:col>
                    <xdr:colOff>184150</xdr:colOff>
                    <xdr:row>354</xdr:row>
                    <xdr:rowOff>184150</xdr:rowOff>
                  </to>
                </anchor>
              </controlPr>
            </control>
          </mc:Choice>
        </mc:AlternateContent>
        <mc:AlternateContent xmlns:mc="http://schemas.openxmlformats.org/markup-compatibility/2006">
          <mc:Choice Requires="x14">
            <control shapeId="15650" r:id="rId91" name="Check Box 290">
              <controlPr locked="0" defaultSize="0" autoFill="0" autoLine="0" autoPict="0">
                <anchor moveWithCells="1" sizeWithCells="1">
                  <from>
                    <xdr:col>22</xdr:col>
                    <xdr:colOff>0</xdr:colOff>
                    <xdr:row>358</xdr:row>
                    <xdr:rowOff>0</xdr:rowOff>
                  </from>
                  <to>
                    <xdr:col>22</xdr:col>
                    <xdr:colOff>184150</xdr:colOff>
                    <xdr:row>358</xdr:row>
                    <xdr:rowOff>184150</xdr:rowOff>
                  </to>
                </anchor>
              </controlPr>
            </control>
          </mc:Choice>
        </mc:AlternateContent>
        <mc:AlternateContent xmlns:mc="http://schemas.openxmlformats.org/markup-compatibility/2006">
          <mc:Choice Requires="x14">
            <control shapeId="15651" r:id="rId92" name="Check Box 291">
              <controlPr locked="0" defaultSize="0" autoFill="0" autoLine="0" autoPict="0">
                <anchor moveWithCells="1" sizeWithCells="1">
                  <from>
                    <xdr:col>22</xdr:col>
                    <xdr:colOff>0</xdr:colOff>
                    <xdr:row>359</xdr:row>
                    <xdr:rowOff>0</xdr:rowOff>
                  </from>
                  <to>
                    <xdr:col>22</xdr:col>
                    <xdr:colOff>184150</xdr:colOff>
                    <xdr:row>359</xdr:row>
                    <xdr:rowOff>184150</xdr:rowOff>
                  </to>
                </anchor>
              </controlPr>
            </control>
          </mc:Choice>
        </mc:AlternateContent>
        <mc:AlternateContent xmlns:mc="http://schemas.openxmlformats.org/markup-compatibility/2006">
          <mc:Choice Requires="x14">
            <control shapeId="15652" r:id="rId93" name="Check Box 292">
              <controlPr locked="0" defaultSize="0" autoFill="0" autoLine="0" autoPict="0">
                <anchor moveWithCells="1" sizeWithCells="1">
                  <from>
                    <xdr:col>22</xdr:col>
                    <xdr:colOff>0</xdr:colOff>
                    <xdr:row>361</xdr:row>
                    <xdr:rowOff>0</xdr:rowOff>
                  </from>
                  <to>
                    <xdr:col>22</xdr:col>
                    <xdr:colOff>184150</xdr:colOff>
                    <xdr:row>361</xdr:row>
                    <xdr:rowOff>184150</xdr:rowOff>
                  </to>
                </anchor>
              </controlPr>
            </control>
          </mc:Choice>
        </mc:AlternateContent>
        <mc:AlternateContent xmlns:mc="http://schemas.openxmlformats.org/markup-compatibility/2006">
          <mc:Choice Requires="x14">
            <control shapeId="15653" r:id="rId94" name="Check Box 293">
              <controlPr locked="0" defaultSize="0" autoFill="0" autoLine="0" autoPict="0">
                <anchor moveWithCells="1" sizeWithCells="1">
                  <from>
                    <xdr:col>22</xdr:col>
                    <xdr:colOff>0</xdr:colOff>
                    <xdr:row>363</xdr:row>
                    <xdr:rowOff>0</xdr:rowOff>
                  </from>
                  <to>
                    <xdr:col>22</xdr:col>
                    <xdr:colOff>184150</xdr:colOff>
                    <xdr:row>363</xdr:row>
                    <xdr:rowOff>184150</xdr:rowOff>
                  </to>
                </anchor>
              </controlPr>
            </control>
          </mc:Choice>
        </mc:AlternateContent>
        <mc:AlternateContent xmlns:mc="http://schemas.openxmlformats.org/markup-compatibility/2006">
          <mc:Choice Requires="x14">
            <control shapeId="15654" r:id="rId95" name="Check Box 294">
              <controlPr locked="0" defaultSize="0" autoFill="0" autoLine="0" autoPict="0">
                <anchor moveWithCells="1" sizeWithCells="1">
                  <from>
                    <xdr:col>22</xdr:col>
                    <xdr:colOff>0</xdr:colOff>
                    <xdr:row>369</xdr:row>
                    <xdr:rowOff>0</xdr:rowOff>
                  </from>
                  <to>
                    <xdr:col>22</xdr:col>
                    <xdr:colOff>184150</xdr:colOff>
                    <xdr:row>369</xdr:row>
                    <xdr:rowOff>184150</xdr:rowOff>
                  </to>
                </anchor>
              </controlPr>
            </control>
          </mc:Choice>
        </mc:AlternateContent>
        <mc:AlternateContent xmlns:mc="http://schemas.openxmlformats.org/markup-compatibility/2006">
          <mc:Choice Requires="x14">
            <control shapeId="15655" r:id="rId96" name="Check Box 295">
              <controlPr locked="0" defaultSize="0" autoFill="0" autoLine="0" autoPict="0">
                <anchor moveWithCells="1" sizeWithCells="1">
                  <from>
                    <xdr:col>22</xdr:col>
                    <xdr:colOff>0</xdr:colOff>
                    <xdr:row>375</xdr:row>
                    <xdr:rowOff>0</xdr:rowOff>
                  </from>
                  <to>
                    <xdr:col>22</xdr:col>
                    <xdr:colOff>184150</xdr:colOff>
                    <xdr:row>375</xdr:row>
                    <xdr:rowOff>184150</xdr:rowOff>
                  </to>
                </anchor>
              </controlPr>
            </control>
          </mc:Choice>
        </mc:AlternateContent>
        <mc:AlternateContent xmlns:mc="http://schemas.openxmlformats.org/markup-compatibility/2006">
          <mc:Choice Requires="x14">
            <control shapeId="15656" r:id="rId97" name="Check Box 296">
              <controlPr locked="0" defaultSize="0" autoFill="0" autoLine="0" autoPict="0">
                <anchor moveWithCells="1" sizeWithCells="1">
                  <from>
                    <xdr:col>22</xdr:col>
                    <xdr:colOff>0</xdr:colOff>
                    <xdr:row>381</xdr:row>
                    <xdr:rowOff>0</xdr:rowOff>
                  </from>
                  <to>
                    <xdr:col>22</xdr:col>
                    <xdr:colOff>184150</xdr:colOff>
                    <xdr:row>381</xdr:row>
                    <xdr:rowOff>184150</xdr:rowOff>
                  </to>
                </anchor>
              </controlPr>
            </control>
          </mc:Choice>
        </mc:AlternateContent>
        <mc:AlternateContent xmlns:mc="http://schemas.openxmlformats.org/markup-compatibility/2006">
          <mc:Choice Requires="x14">
            <control shapeId="15657" r:id="rId98" name="Check Box 297">
              <controlPr locked="0" defaultSize="0" autoFill="0" autoLine="0" autoPict="0">
                <anchor moveWithCells="1" sizeWithCells="1">
                  <from>
                    <xdr:col>22</xdr:col>
                    <xdr:colOff>0</xdr:colOff>
                    <xdr:row>383</xdr:row>
                    <xdr:rowOff>0</xdr:rowOff>
                  </from>
                  <to>
                    <xdr:col>22</xdr:col>
                    <xdr:colOff>184150</xdr:colOff>
                    <xdr:row>383</xdr:row>
                    <xdr:rowOff>184150</xdr:rowOff>
                  </to>
                </anchor>
              </controlPr>
            </control>
          </mc:Choice>
        </mc:AlternateContent>
        <mc:AlternateContent xmlns:mc="http://schemas.openxmlformats.org/markup-compatibility/2006">
          <mc:Choice Requires="x14">
            <control shapeId="15658" r:id="rId99" name="Check Box 298">
              <controlPr locked="0" defaultSize="0" autoFill="0" autoLine="0" autoPict="0">
                <anchor moveWithCells="1" sizeWithCells="1">
                  <from>
                    <xdr:col>22</xdr:col>
                    <xdr:colOff>0</xdr:colOff>
                    <xdr:row>389</xdr:row>
                    <xdr:rowOff>0</xdr:rowOff>
                  </from>
                  <to>
                    <xdr:col>22</xdr:col>
                    <xdr:colOff>184150</xdr:colOff>
                    <xdr:row>389</xdr:row>
                    <xdr:rowOff>184150</xdr:rowOff>
                  </to>
                </anchor>
              </controlPr>
            </control>
          </mc:Choice>
        </mc:AlternateContent>
        <mc:AlternateContent xmlns:mc="http://schemas.openxmlformats.org/markup-compatibility/2006">
          <mc:Choice Requires="x14">
            <control shapeId="15659" r:id="rId100" name="Check Box 299">
              <controlPr locked="0" defaultSize="0" autoFill="0" autoLine="0" autoPict="0">
                <anchor moveWithCells="1" sizeWithCells="1">
                  <from>
                    <xdr:col>22</xdr:col>
                    <xdr:colOff>0</xdr:colOff>
                    <xdr:row>393</xdr:row>
                    <xdr:rowOff>0</xdr:rowOff>
                  </from>
                  <to>
                    <xdr:col>22</xdr:col>
                    <xdr:colOff>184150</xdr:colOff>
                    <xdr:row>393</xdr:row>
                    <xdr:rowOff>184150</xdr:rowOff>
                  </to>
                </anchor>
              </controlPr>
            </control>
          </mc:Choice>
        </mc:AlternateContent>
        <mc:AlternateContent xmlns:mc="http://schemas.openxmlformats.org/markup-compatibility/2006">
          <mc:Choice Requires="x14">
            <control shapeId="15660" r:id="rId101" name="Check Box 300">
              <controlPr locked="0" defaultSize="0" autoFill="0" autoLine="0" autoPict="0">
                <anchor moveWithCells="1" sizeWithCells="1">
                  <from>
                    <xdr:col>22</xdr:col>
                    <xdr:colOff>0</xdr:colOff>
                    <xdr:row>397</xdr:row>
                    <xdr:rowOff>0</xdr:rowOff>
                  </from>
                  <to>
                    <xdr:col>22</xdr:col>
                    <xdr:colOff>184150</xdr:colOff>
                    <xdr:row>397</xdr:row>
                    <xdr:rowOff>184150</xdr:rowOff>
                  </to>
                </anchor>
              </controlPr>
            </control>
          </mc:Choice>
        </mc:AlternateContent>
        <mc:AlternateContent xmlns:mc="http://schemas.openxmlformats.org/markup-compatibility/2006">
          <mc:Choice Requires="x14">
            <control shapeId="15661" r:id="rId102" name="Check Box 301">
              <controlPr locked="0" defaultSize="0" autoFill="0" autoLine="0" autoPict="0">
                <anchor moveWithCells="1" sizeWithCells="1">
                  <from>
                    <xdr:col>22</xdr:col>
                    <xdr:colOff>0</xdr:colOff>
                    <xdr:row>402</xdr:row>
                    <xdr:rowOff>0</xdr:rowOff>
                  </from>
                  <to>
                    <xdr:col>22</xdr:col>
                    <xdr:colOff>184150</xdr:colOff>
                    <xdr:row>402</xdr:row>
                    <xdr:rowOff>184150</xdr:rowOff>
                  </to>
                </anchor>
              </controlPr>
            </control>
          </mc:Choice>
        </mc:AlternateContent>
        <mc:AlternateContent xmlns:mc="http://schemas.openxmlformats.org/markup-compatibility/2006">
          <mc:Choice Requires="x14">
            <control shapeId="15662" r:id="rId103" name="Check Box 302">
              <controlPr locked="0" defaultSize="0" autoFill="0" autoLine="0" autoPict="0">
                <anchor moveWithCells="1" sizeWithCells="1">
                  <from>
                    <xdr:col>22</xdr:col>
                    <xdr:colOff>0</xdr:colOff>
                    <xdr:row>407</xdr:row>
                    <xdr:rowOff>0</xdr:rowOff>
                  </from>
                  <to>
                    <xdr:col>22</xdr:col>
                    <xdr:colOff>184150</xdr:colOff>
                    <xdr:row>407</xdr:row>
                    <xdr:rowOff>184150</xdr:rowOff>
                  </to>
                </anchor>
              </controlPr>
            </control>
          </mc:Choice>
        </mc:AlternateContent>
        <mc:AlternateContent xmlns:mc="http://schemas.openxmlformats.org/markup-compatibility/2006">
          <mc:Choice Requires="x14">
            <control shapeId="15663" r:id="rId104" name="Check Box 303">
              <controlPr locked="0" defaultSize="0" autoFill="0" autoLine="0" autoPict="0">
                <anchor moveWithCells="1" sizeWithCells="1">
                  <from>
                    <xdr:col>22</xdr:col>
                    <xdr:colOff>0</xdr:colOff>
                    <xdr:row>409</xdr:row>
                    <xdr:rowOff>0</xdr:rowOff>
                  </from>
                  <to>
                    <xdr:col>22</xdr:col>
                    <xdr:colOff>184150</xdr:colOff>
                    <xdr:row>409</xdr:row>
                    <xdr:rowOff>184150</xdr:rowOff>
                  </to>
                </anchor>
              </controlPr>
            </control>
          </mc:Choice>
        </mc:AlternateContent>
        <mc:AlternateContent xmlns:mc="http://schemas.openxmlformats.org/markup-compatibility/2006">
          <mc:Choice Requires="x14">
            <control shapeId="15664" r:id="rId105" name="Check Box 304">
              <controlPr locked="0" defaultSize="0" autoFill="0" autoLine="0" autoPict="0">
                <anchor moveWithCells="1" sizeWithCells="1">
                  <from>
                    <xdr:col>22</xdr:col>
                    <xdr:colOff>0</xdr:colOff>
                    <xdr:row>411</xdr:row>
                    <xdr:rowOff>0</xdr:rowOff>
                  </from>
                  <to>
                    <xdr:col>22</xdr:col>
                    <xdr:colOff>184150</xdr:colOff>
                    <xdr:row>411</xdr:row>
                    <xdr:rowOff>184150</xdr:rowOff>
                  </to>
                </anchor>
              </controlPr>
            </control>
          </mc:Choice>
        </mc:AlternateContent>
        <mc:AlternateContent xmlns:mc="http://schemas.openxmlformats.org/markup-compatibility/2006">
          <mc:Choice Requires="x14">
            <control shapeId="15665" r:id="rId106" name="Check Box 305">
              <controlPr locked="0" defaultSize="0" autoFill="0" autoLine="0" autoPict="0">
                <anchor moveWithCells="1" sizeWithCells="1">
                  <from>
                    <xdr:col>22</xdr:col>
                    <xdr:colOff>0</xdr:colOff>
                    <xdr:row>423</xdr:row>
                    <xdr:rowOff>0</xdr:rowOff>
                  </from>
                  <to>
                    <xdr:col>22</xdr:col>
                    <xdr:colOff>184150</xdr:colOff>
                    <xdr:row>423</xdr:row>
                    <xdr:rowOff>184150</xdr:rowOff>
                  </to>
                </anchor>
              </controlPr>
            </control>
          </mc:Choice>
        </mc:AlternateContent>
        <mc:AlternateContent xmlns:mc="http://schemas.openxmlformats.org/markup-compatibility/2006">
          <mc:Choice Requires="x14">
            <control shapeId="15666" r:id="rId107" name="Check Box 306">
              <controlPr locked="0" defaultSize="0" autoFill="0" autoLine="0" autoPict="0">
                <anchor moveWithCells="1" sizeWithCells="1">
                  <from>
                    <xdr:col>22</xdr:col>
                    <xdr:colOff>0</xdr:colOff>
                    <xdr:row>433</xdr:row>
                    <xdr:rowOff>0</xdr:rowOff>
                  </from>
                  <to>
                    <xdr:col>22</xdr:col>
                    <xdr:colOff>184150</xdr:colOff>
                    <xdr:row>433</xdr:row>
                    <xdr:rowOff>184150</xdr:rowOff>
                  </to>
                </anchor>
              </controlPr>
            </control>
          </mc:Choice>
        </mc:AlternateContent>
        <mc:AlternateContent xmlns:mc="http://schemas.openxmlformats.org/markup-compatibility/2006">
          <mc:Choice Requires="x14">
            <control shapeId="15667" r:id="rId108" name="Check Box 307">
              <controlPr locked="0" defaultSize="0" autoFill="0" autoLine="0" autoPict="0">
                <anchor moveWithCells="1" sizeWithCells="1">
                  <from>
                    <xdr:col>22</xdr:col>
                    <xdr:colOff>0</xdr:colOff>
                    <xdr:row>436</xdr:row>
                    <xdr:rowOff>0</xdr:rowOff>
                  </from>
                  <to>
                    <xdr:col>22</xdr:col>
                    <xdr:colOff>184150</xdr:colOff>
                    <xdr:row>436</xdr:row>
                    <xdr:rowOff>184150</xdr:rowOff>
                  </to>
                </anchor>
              </controlPr>
            </control>
          </mc:Choice>
        </mc:AlternateContent>
        <mc:AlternateContent xmlns:mc="http://schemas.openxmlformats.org/markup-compatibility/2006">
          <mc:Choice Requires="x14">
            <control shapeId="15668" r:id="rId109" name="Check Box 308">
              <controlPr locked="0" defaultSize="0" autoFill="0" autoLine="0" autoPict="0">
                <anchor moveWithCells="1" sizeWithCells="1">
                  <from>
                    <xdr:col>22</xdr:col>
                    <xdr:colOff>0</xdr:colOff>
                    <xdr:row>437</xdr:row>
                    <xdr:rowOff>0</xdr:rowOff>
                  </from>
                  <to>
                    <xdr:col>22</xdr:col>
                    <xdr:colOff>184150</xdr:colOff>
                    <xdr:row>437</xdr:row>
                    <xdr:rowOff>184150</xdr:rowOff>
                  </to>
                </anchor>
              </controlPr>
            </control>
          </mc:Choice>
        </mc:AlternateContent>
        <mc:AlternateContent xmlns:mc="http://schemas.openxmlformats.org/markup-compatibility/2006">
          <mc:Choice Requires="x14">
            <control shapeId="15669" r:id="rId110" name="Check Box 309">
              <controlPr locked="0" defaultSize="0" autoFill="0" autoLine="0" autoPict="0">
                <anchor moveWithCells="1" sizeWithCells="1">
                  <from>
                    <xdr:col>22</xdr:col>
                    <xdr:colOff>0</xdr:colOff>
                    <xdr:row>447</xdr:row>
                    <xdr:rowOff>0</xdr:rowOff>
                  </from>
                  <to>
                    <xdr:col>22</xdr:col>
                    <xdr:colOff>184150</xdr:colOff>
                    <xdr:row>447</xdr:row>
                    <xdr:rowOff>184150</xdr:rowOff>
                  </to>
                </anchor>
              </controlPr>
            </control>
          </mc:Choice>
        </mc:AlternateContent>
        <mc:AlternateContent xmlns:mc="http://schemas.openxmlformats.org/markup-compatibility/2006">
          <mc:Choice Requires="x14">
            <control shapeId="15670" r:id="rId111" name="Check Box 310">
              <controlPr locked="0" defaultSize="0" autoFill="0" autoLine="0" autoPict="0">
                <anchor moveWithCells="1" sizeWithCells="1">
                  <from>
                    <xdr:col>22</xdr:col>
                    <xdr:colOff>0</xdr:colOff>
                    <xdr:row>449</xdr:row>
                    <xdr:rowOff>0</xdr:rowOff>
                  </from>
                  <to>
                    <xdr:col>22</xdr:col>
                    <xdr:colOff>184150</xdr:colOff>
                    <xdr:row>449</xdr:row>
                    <xdr:rowOff>184150</xdr:rowOff>
                  </to>
                </anchor>
              </controlPr>
            </control>
          </mc:Choice>
        </mc:AlternateContent>
        <mc:AlternateContent xmlns:mc="http://schemas.openxmlformats.org/markup-compatibility/2006">
          <mc:Choice Requires="x14">
            <control shapeId="15671" r:id="rId112" name="Check Box 311">
              <controlPr locked="0" defaultSize="0" autoFill="0" autoLine="0" autoPict="0">
                <anchor moveWithCells="1" sizeWithCells="1">
                  <from>
                    <xdr:col>22</xdr:col>
                    <xdr:colOff>0</xdr:colOff>
                    <xdr:row>465</xdr:row>
                    <xdr:rowOff>0</xdr:rowOff>
                  </from>
                  <to>
                    <xdr:col>22</xdr:col>
                    <xdr:colOff>184150</xdr:colOff>
                    <xdr:row>465</xdr:row>
                    <xdr:rowOff>184150</xdr:rowOff>
                  </to>
                </anchor>
              </controlPr>
            </control>
          </mc:Choice>
        </mc:AlternateContent>
        <mc:AlternateContent xmlns:mc="http://schemas.openxmlformats.org/markup-compatibility/2006">
          <mc:Choice Requires="x14">
            <control shapeId="15672" r:id="rId113" name="Check Box 312">
              <controlPr locked="0" defaultSize="0" autoFill="0" autoLine="0" autoPict="0">
                <anchor moveWithCells="1" sizeWithCells="1">
                  <from>
                    <xdr:col>22</xdr:col>
                    <xdr:colOff>0</xdr:colOff>
                    <xdr:row>476</xdr:row>
                    <xdr:rowOff>0</xdr:rowOff>
                  </from>
                  <to>
                    <xdr:col>22</xdr:col>
                    <xdr:colOff>184150</xdr:colOff>
                    <xdr:row>476</xdr:row>
                    <xdr:rowOff>184150</xdr:rowOff>
                  </to>
                </anchor>
              </controlPr>
            </control>
          </mc:Choice>
        </mc:AlternateContent>
        <mc:AlternateContent xmlns:mc="http://schemas.openxmlformats.org/markup-compatibility/2006">
          <mc:Choice Requires="x14">
            <control shapeId="15673" r:id="rId114" name="Check Box 313">
              <controlPr locked="0" defaultSize="0" autoFill="0" autoLine="0" autoPict="0">
                <anchor moveWithCells="1" sizeWithCells="1">
                  <from>
                    <xdr:col>22</xdr:col>
                    <xdr:colOff>0</xdr:colOff>
                    <xdr:row>477</xdr:row>
                    <xdr:rowOff>0</xdr:rowOff>
                  </from>
                  <to>
                    <xdr:col>22</xdr:col>
                    <xdr:colOff>184150</xdr:colOff>
                    <xdr:row>477</xdr:row>
                    <xdr:rowOff>184150</xdr:rowOff>
                  </to>
                </anchor>
              </controlPr>
            </control>
          </mc:Choice>
        </mc:AlternateContent>
        <mc:AlternateContent xmlns:mc="http://schemas.openxmlformats.org/markup-compatibility/2006">
          <mc:Choice Requires="x14">
            <control shapeId="15674" r:id="rId115" name="Check Box 314">
              <controlPr locked="0" defaultSize="0" autoFill="0" autoLine="0" autoPict="0">
                <anchor moveWithCells="1" sizeWithCells="1">
                  <from>
                    <xdr:col>22</xdr:col>
                    <xdr:colOff>0</xdr:colOff>
                    <xdr:row>482</xdr:row>
                    <xdr:rowOff>0</xdr:rowOff>
                  </from>
                  <to>
                    <xdr:col>22</xdr:col>
                    <xdr:colOff>184150</xdr:colOff>
                    <xdr:row>482</xdr:row>
                    <xdr:rowOff>184150</xdr:rowOff>
                  </to>
                </anchor>
              </controlPr>
            </control>
          </mc:Choice>
        </mc:AlternateContent>
        <mc:AlternateContent xmlns:mc="http://schemas.openxmlformats.org/markup-compatibility/2006">
          <mc:Choice Requires="x14">
            <control shapeId="15675" r:id="rId116" name="Check Box 315">
              <controlPr locked="0" defaultSize="0" autoFill="0" autoLine="0" autoPict="0">
                <anchor moveWithCells="1" sizeWithCells="1">
                  <from>
                    <xdr:col>22</xdr:col>
                    <xdr:colOff>0</xdr:colOff>
                    <xdr:row>484</xdr:row>
                    <xdr:rowOff>0</xdr:rowOff>
                  </from>
                  <to>
                    <xdr:col>22</xdr:col>
                    <xdr:colOff>184150</xdr:colOff>
                    <xdr:row>484</xdr:row>
                    <xdr:rowOff>184150</xdr:rowOff>
                  </to>
                </anchor>
              </controlPr>
            </control>
          </mc:Choice>
        </mc:AlternateContent>
        <mc:AlternateContent xmlns:mc="http://schemas.openxmlformats.org/markup-compatibility/2006">
          <mc:Choice Requires="x14">
            <control shapeId="15676" r:id="rId117" name="Check Box 316">
              <controlPr locked="0" defaultSize="0" autoFill="0" autoLine="0" autoPict="0">
                <anchor moveWithCells="1" sizeWithCells="1">
                  <from>
                    <xdr:col>22</xdr:col>
                    <xdr:colOff>0</xdr:colOff>
                    <xdr:row>485</xdr:row>
                    <xdr:rowOff>0</xdr:rowOff>
                  </from>
                  <to>
                    <xdr:col>22</xdr:col>
                    <xdr:colOff>184150</xdr:colOff>
                    <xdr:row>485</xdr:row>
                    <xdr:rowOff>184150</xdr:rowOff>
                  </to>
                </anchor>
              </controlPr>
            </control>
          </mc:Choice>
        </mc:AlternateContent>
        <mc:AlternateContent xmlns:mc="http://schemas.openxmlformats.org/markup-compatibility/2006">
          <mc:Choice Requires="x14">
            <control shapeId="15677" r:id="rId118" name="Check Box 317">
              <controlPr locked="0" defaultSize="0" autoFill="0" autoLine="0" autoPict="0">
                <anchor moveWithCells="1" sizeWithCells="1">
                  <from>
                    <xdr:col>22</xdr:col>
                    <xdr:colOff>0</xdr:colOff>
                    <xdr:row>488</xdr:row>
                    <xdr:rowOff>0</xdr:rowOff>
                  </from>
                  <to>
                    <xdr:col>22</xdr:col>
                    <xdr:colOff>184150</xdr:colOff>
                    <xdr:row>488</xdr:row>
                    <xdr:rowOff>184150</xdr:rowOff>
                  </to>
                </anchor>
              </controlPr>
            </control>
          </mc:Choice>
        </mc:AlternateContent>
        <mc:AlternateContent xmlns:mc="http://schemas.openxmlformats.org/markup-compatibility/2006">
          <mc:Choice Requires="x14">
            <control shapeId="15678" r:id="rId119" name="Check Box 318">
              <controlPr locked="0" defaultSize="0" autoFill="0" autoLine="0" autoPict="0">
                <anchor moveWithCells="1" sizeWithCells="1">
                  <from>
                    <xdr:col>22</xdr:col>
                    <xdr:colOff>0</xdr:colOff>
                    <xdr:row>492</xdr:row>
                    <xdr:rowOff>0</xdr:rowOff>
                  </from>
                  <to>
                    <xdr:col>22</xdr:col>
                    <xdr:colOff>184150</xdr:colOff>
                    <xdr:row>492</xdr:row>
                    <xdr:rowOff>184150</xdr:rowOff>
                  </to>
                </anchor>
              </controlPr>
            </control>
          </mc:Choice>
        </mc:AlternateContent>
        <mc:AlternateContent xmlns:mc="http://schemas.openxmlformats.org/markup-compatibility/2006">
          <mc:Choice Requires="x14">
            <control shapeId="15679" r:id="rId120" name="Check Box 319">
              <controlPr locked="0" defaultSize="0" autoFill="0" autoLine="0" autoPict="0">
                <anchor moveWithCells="1" sizeWithCells="1">
                  <from>
                    <xdr:col>22</xdr:col>
                    <xdr:colOff>0</xdr:colOff>
                    <xdr:row>497</xdr:row>
                    <xdr:rowOff>0</xdr:rowOff>
                  </from>
                  <to>
                    <xdr:col>22</xdr:col>
                    <xdr:colOff>184150</xdr:colOff>
                    <xdr:row>497</xdr:row>
                    <xdr:rowOff>184150</xdr:rowOff>
                  </to>
                </anchor>
              </controlPr>
            </control>
          </mc:Choice>
        </mc:AlternateContent>
        <mc:AlternateContent xmlns:mc="http://schemas.openxmlformats.org/markup-compatibility/2006">
          <mc:Choice Requires="x14">
            <control shapeId="15680" r:id="rId121" name="Check Box 320">
              <controlPr locked="0" defaultSize="0" autoFill="0" autoLine="0" autoPict="0">
                <anchor moveWithCells="1" sizeWithCells="1">
                  <from>
                    <xdr:col>22</xdr:col>
                    <xdr:colOff>0</xdr:colOff>
                    <xdr:row>499</xdr:row>
                    <xdr:rowOff>0</xdr:rowOff>
                  </from>
                  <to>
                    <xdr:col>22</xdr:col>
                    <xdr:colOff>184150</xdr:colOff>
                    <xdr:row>499</xdr:row>
                    <xdr:rowOff>184150</xdr:rowOff>
                  </to>
                </anchor>
              </controlPr>
            </control>
          </mc:Choice>
        </mc:AlternateContent>
        <mc:AlternateContent xmlns:mc="http://schemas.openxmlformats.org/markup-compatibility/2006">
          <mc:Choice Requires="x14">
            <control shapeId="15681" r:id="rId122" name="Check Box 321">
              <controlPr locked="0" defaultSize="0" autoFill="0" autoLine="0" autoPict="0">
                <anchor moveWithCells="1" sizeWithCells="1">
                  <from>
                    <xdr:col>22</xdr:col>
                    <xdr:colOff>0</xdr:colOff>
                    <xdr:row>516</xdr:row>
                    <xdr:rowOff>0</xdr:rowOff>
                  </from>
                  <to>
                    <xdr:col>22</xdr:col>
                    <xdr:colOff>184150</xdr:colOff>
                    <xdr:row>516</xdr:row>
                    <xdr:rowOff>184150</xdr:rowOff>
                  </to>
                </anchor>
              </controlPr>
            </control>
          </mc:Choice>
        </mc:AlternateContent>
        <mc:AlternateContent xmlns:mc="http://schemas.openxmlformats.org/markup-compatibility/2006">
          <mc:Choice Requires="x14">
            <control shapeId="15682" r:id="rId123" name="Check Box 322">
              <controlPr locked="0" defaultSize="0" autoFill="0" autoLine="0" autoPict="0">
                <anchor moveWithCells="1" sizeWithCells="1">
                  <from>
                    <xdr:col>22</xdr:col>
                    <xdr:colOff>0</xdr:colOff>
                    <xdr:row>532</xdr:row>
                    <xdr:rowOff>0</xdr:rowOff>
                  </from>
                  <to>
                    <xdr:col>22</xdr:col>
                    <xdr:colOff>184150</xdr:colOff>
                    <xdr:row>532</xdr:row>
                    <xdr:rowOff>184150</xdr:rowOff>
                  </to>
                </anchor>
              </controlPr>
            </control>
          </mc:Choice>
        </mc:AlternateContent>
        <mc:AlternateContent xmlns:mc="http://schemas.openxmlformats.org/markup-compatibility/2006">
          <mc:Choice Requires="x14">
            <control shapeId="15683" r:id="rId124" name="Check Box 323">
              <controlPr locked="0" defaultSize="0" autoFill="0" autoLine="0" autoPict="0">
                <anchor moveWithCells="1" sizeWithCells="1">
                  <from>
                    <xdr:col>22</xdr:col>
                    <xdr:colOff>0</xdr:colOff>
                    <xdr:row>545</xdr:row>
                    <xdr:rowOff>0</xdr:rowOff>
                  </from>
                  <to>
                    <xdr:col>22</xdr:col>
                    <xdr:colOff>184150</xdr:colOff>
                    <xdr:row>545</xdr:row>
                    <xdr:rowOff>184150</xdr:rowOff>
                  </to>
                </anchor>
              </controlPr>
            </control>
          </mc:Choice>
        </mc:AlternateContent>
        <mc:AlternateContent xmlns:mc="http://schemas.openxmlformats.org/markup-compatibility/2006">
          <mc:Choice Requires="x14">
            <control shapeId="15684" r:id="rId125" name="Check Box 324">
              <controlPr locked="0" defaultSize="0" autoFill="0" autoLine="0" autoPict="0">
                <anchor moveWithCells="1" sizeWithCells="1">
                  <from>
                    <xdr:col>22</xdr:col>
                    <xdr:colOff>0</xdr:colOff>
                    <xdr:row>547</xdr:row>
                    <xdr:rowOff>0</xdr:rowOff>
                  </from>
                  <to>
                    <xdr:col>22</xdr:col>
                    <xdr:colOff>184150</xdr:colOff>
                    <xdr:row>547</xdr:row>
                    <xdr:rowOff>184150</xdr:rowOff>
                  </to>
                </anchor>
              </controlPr>
            </control>
          </mc:Choice>
        </mc:AlternateContent>
        <mc:AlternateContent xmlns:mc="http://schemas.openxmlformats.org/markup-compatibility/2006">
          <mc:Choice Requires="x14">
            <control shapeId="15685" r:id="rId126" name="Check Box 325">
              <controlPr locked="0" defaultSize="0" autoFill="0" autoLine="0" autoPict="0">
                <anchor moveWithCells="1" sizeWithCells="1">
                  <from>
                    <xdr:col>22</xdr:col>
                    <xdr:colOff>0</xdr:colOff>
                    <xdr:row>560</xdr:row>
                    <xdr:rowOff>0</xdr:rowOff>
                  </from>
                  <to>
                    <xdr:col>22</xdr:col>
                    <xdr:colOff>184150</xdr:colOff>
                    <xdr:row>560</xdr:row>
                    <xdr:rowOff>184150</xdr:rowOff>
                  </to>
                </anchor>
              </controlPr>
            </control>
          </mc:Choice>
        </mc:AlternateContent>
        <mc:AlternateContent xmlns:mc="http://schemas.openxmlformats.org/markup-compatibility/2006">
          <mc:Choice Requires="x14">
            <control shapeId="15686" r:id="rId127" name="Check Box 326">
              <controlPr locked="0" defaultSize="0" autoFill="0" autoLine="0" autoPict="0">
                <anchor moveWithCells="1" sizeWithCells="1">
                  <from>
                    <xdr:col>22</xdr:col>
                    <xdr:colOff>0</xdr:colOff>
                    <xdr:row>561</xdr:row>
                    <xdr:rowOff>0</xdr:rowOff>
                  </from>
                  <to>
                    <xdr:col>22</xdr:col>
                    <xdr:colOff>184150</xdr:colOff>
                    <xdr:row>561</xdr:row>
                    <xdr:rowOff>184150</xdr:rowOff>
                  </to>
                </anchor>
              </controlPr>
            </control>
          </mc:Choice>
        </mc:AlternateContent>
        <mc:AlternateContent xmlns:mc="http://schemas.openxmlformats.org/markup-compatibility/2006">
          <mc:Choice Requires="x14">
            <control shapeId="15687" r:id="rId128" name="Check Box 327">
              <controlPr locked="0" defaultSize="0" autoFill="0" autoLine="0" autoPict="0">
                <anchor moveWithCells="1" sizeWithCells="1">
                  <from>
                    <xdr:col>22</xdr:col>
                    <xdr:colOff>0</xdr:colOff>
                    <xdr:row>562</xdr:row>
                    <xdr:rowOff>0</xdr:rowOff>
                  </from>
                  <to>
                    <xdr:col>22</xdr:col>
                    <xdr:colOff>184150</xdr:colOff>
                    <xdr:row>562</xdr:row>
                    <xdr:rowOff>184150</xdr:rowOff>
                  </to>
                </anchor>
              </controlPr>
            </control>
          </mc:Choice>
        </mc:AlternateContent>
        <mc:AlternateContent xmlns:mc="http://schemas.openxmlformats.org/markup-compatibility/2006">
          <mc:Choice Requires="x14">
            <control shapeId="15688" r:id="rId129" name="Check Box 328">
              <controlPr locked="0" defaultSize="0" autoFill="0" autoLine="0" autoPict="0">
                <anchor moveWithCells="1" sizeWithCells="1">
                  <from>
                    <xdr:col>22</xdr:col>
                    <xdr:colOff>0</xdr:colOff>
                    <xdr:row>563</xdr:row>
                    <xdr:rowOff>0</xdr:rowOff>
                  </from>
                  <to>
                    <xdr:col>22</xdr:col>
                    <xdr:colOff>184150</xdr:colOff>
                    <xdr:row>563</xdr:row>
                    <xdr:rowOff>184150</xdr:rowOff>
                  </to>
                </anchor>
              </controlPr>
            </control>
          </mc:Choice>
        </mc:AlternateContent>
        <mc:AlternateContent xmlns:mc="http://schemas.openxmlformats.org/markup-compatibility/2006">
          <mc:Choice Requires="x14">
            <control shapeId="15689" r:id="rId130" name="Check Box 329">
              <controlPr locked="0" defaultSize="0" autoFill="0" autoLine="0" autoPict="0">
                <anchor moveWithCells="1" sizeWithCells="1">
                  <from>
                    <xdr:col>22</xdr:col>
                    <xdr:colOff>0</xdr:colOff>
                    <xdr:row>564</xdr:row>
                    <xdr:rowOff>0</xdr:rowOff>
                  </from>
                  <to>
                    <xdr:col>22</xdr:col>
                    <xdr:colOff>184150</xdr:colOff>
                    <xdr:row>564</xdr:row>
                    <xdr:rowOff>184150</xdr:rowOff>
                  </to>
                </anchor>
              </controlPr>
            </control>
          </mc:Choice>
        </mc:AlternateContent>
        <mc:AlternateContent xmlns:mc="http://schemas.openxmlformats.org/markup-compatibility/2006">
          <mc:Choice Requires="x14">
            <control shapeId="15690" r:id="rId131" name="Check Box 330">
              <controlPr locked="0" defaultSize="0" autoFill="0" autoLine="0" autoPict="0">
                <anchor moveWithCells="1" sizeWithCells="1">
                  <from>
                    <xdr:col>22</xdr:col>
                    <xdr:colOff>0</xdr:colOff>
                    <xdr:row>565</xdr:row>
                    <xdr:rowOff>0</xdr:rowOff>
                  </from>
                  <to>
                    <xdr:col>22</xdr:col>
                    <xdr:colOff>184150</xdr:colOff>
                    <xdr:row>565</xdr:row>
                    <xdr:rowOff>184150</xdr:rowOff>
                  </to>
                </anchor>
              </controlPr>
            </control>
          </mc:Choice>
        </mc:AlternateContent>
        <mc:AlternateContent xmlns:mc="http://schemas.openxmlformats.org/markup-compatibility/2006">
          <mc:Choice Requires="x14">
            <control shapeId="15691" r:id="rId132" name="Check Box 331">
              <controlPr locked="0" defaultSize="0" autoFill="0" autoLine="0" autoPict="0">
                <anchor moveWithCells="1" sizeWithCells="1">
                  <from>
                    <xdr:col>22</xdr:col>
                    <xdr:colOff>0</xdr:colOff>
                    <xdr:row>566</xdr:row>
                    <xdr:rowOff>0</xdr:rowOff>
                  </from>
                  <to>
                    <xdr:col>22</xdr:col>
                    <xdr:colOff>184150</xdr:colOff>
                    <xdr:row>566</xdr:row>
                    <xdr:rowOff>184150</xdr:rowOff>
                  </to>
                </anchor>
              </controlPr>
            </control>
          </mc:Choice>
        </mc:AlternateContent>
        <mc:AlternateContent xmlns:mc="http://schemas.openxmlformats.org/markup-compatibility/2006">
          <mc:Choice Requires="x14">
            <control shapeId="15692" r:id="rId133" name="Check Box 332">
              <controlPr locked="0" defaultSize="0" autoFill="0" autoLine="0" autoPict="0">
                <anchor moveWithCells="1" sizeWithCells="1">
                  <from>
                    <xdr:col>22</xdr:col>
                    <xdr:colOff>0</xdr:colOff>
                    <xdr:row>567</xdr:row>
                    <xdr:rowOff>0</xdr:rowOff>
                  </from>
                  <to>
                    <xdr:col>22</xdr:col>
                    <xdr:colOff>184150</xdr:colOff>
                    <xdr:row>567</xdr:row>
                    <xdr:rowOff>184150</xdr:rowOff>
                  </to>
                </anchor>
              </controlPr>
            </control>
          </mc:Choice>
        </mc:AlternateContent>
        <mc:AlternateContent xmlns:mc="http://schemas.openxmlformats.org/markup-compatibility/2006">
          <mc:Choice Requires="x14">
            <control shapeId="15693" r:id="rId134" name="Check Box 333">
              <controlPr locked="0" defaultSize="0" autoFill="0" autoLine="0" autoPict="0">
                <anchor moveWithCells="1" sizeWithCells="1">
                  <from>
                    <xdr:col>22</xdr:col>
                    <xdr:colOff>0</xdr:colOff>
                    <xdr:row>568</xdr:row>
                    <xdr:rowOff>0</xdr:rowOff>
                  </from>
                  <to>
                    <xdr:col>22</xdr:col>
                    <xdr:colOff>184150</xdr:colOff>
                    <xdr:row>568</xdr:row>
                    <xdr:rowOff>184150</xdr:rowOff>
                  </to>
                </anchor>
              </controlPr>
            </control>
          </mc:Choice>
        </mc:AlternateContent>
        <mc:AlternateContent xmlns:mc="http://schemas.openxmlformats.org/markup-compatibility/2006">
          <mc:Choice Requires="x14">
            <control shapeId="15694" r:id="rId135" name="Check Box 334">
              <controlPr locked="0" defaultSize="0" autoFill="0" autoLine="0" autoPict="0">
                <anchor moveWithCells="1" sizeWithCells="1">
                  <from>
                    <xdr:col>22</xdr:col>
                    <xdr:colOff>0</xdr:colOff>
                    <xdr:row>615</xdr:row>
                    <xdr:rowOff>0</xdr:rowOff>
                  </from>
                  <to>
                    <xdr:col>22</xdr:col>
                    <xdr:colOff>184150</xdr:colOff>
                    <xdr:row>615</xdr:row>
                    <xdr:rowOff>184150</xdr:rowOff>
                  </to>
                </anchor>
              </controlPr>
            </control>
          </mc:Choice>
        </mc:AlternateContent>
        <mc:AlternateContent xmlns:mc="http://schemas.openxmlformats.org/markup-compatibility/2006">
          <mc:Choice Requires="x14">
            <control shapeId="15695" r:id="rId136" name="Check Box 335">
              <controlPr locked="0" defaultSize="0" autoFill="0" autoLine="0" autoPict="0">
                <anchor moveWithCells="1" sizeWithCells="1">
                  <from>
                    <xdr:col>22</xdr:col>
                    <xdr:colOff>0</xdr:colOff>
                    <xdr:row>617</xdr:row>
                    <xdr:rowOff>0</xdr:rowOff>
                  </from>
                  <to>
                    <xdr:col>22</xdr:col>
                    <xdr:colOff>184150</xdr:colOff>
                    <xdr:row>617</xdr:row>
                    <xdr:rowOff>184150</xdr:rowOff>
                  </to>
                </anchor>
              </controlPr>
            </control>
          </mc:Choice>
        </mc:AlternateContent>
        <mc:AlternateContent xmlns:mc="http://schemas.openxmlformats.org/markup-compatibility/2006">
          <mc:Choice Requires="x14">
            <control shapeId="15696" r:id="rId137" name="Check Box 336">
              <controlPr locked="0" defaultSize="0" autoFill="0" autoLine="0" autoPict="0">
                <anchor moveWithCells="1" sizeWithCells="1">
                  <from>
                    <xdr:col>22</xdr:col>
                    <xdr:colOff>0</xdr:colOff>
                    <xdr:row>618</xdr:row>
                    <xdr:rowOff>0</xdr:rowOff>
                  </from>
                  <to>
                    <xdr:col>22</xdr:col>
                    <xdr:colOff>184150</xdr:colOff>
                    <xdr:row>618</xdr:row>
                    <xdr:rowOff>184150</xdr:rowOff>
                  </to>
                </anchor>
              </controlPr>
            </control>
          </mc:Choice>
        </mc:AlternateContent>
        <mc:AlternateContent xmlns:mc="http://schemas.openxmlformats.org/markup-compatibility/2006">
          <mc:Choice Requires="x14">
            <control shapeId="15697" r:id="rId138" name="Check Box 337">
              <controlPr locked="0" defaultSize="0" autoFill="0" autoLine="0" autoPict="0">
                <anchor moveWithCells="1" sizeWithCells="1">
                  <from>
                    <xdr:col>22</xdr:col>
                    <xdr:colOff>0</xdr:colOff>
                    <xdr:row>646</xdr:row>
                    <xdr:rowOff>0</xdr:rowOff>
                  </from>
                  <to>
                    <xdr:col>22</xdr:col>
                    <xdr:colOff>184150</xdr:colOff>
                    <xdr:row>646</xdr:row>
                    <xdr:rowOff>184150</xdr:rowOff>
                  </to>
                </anchor>
              </controlPr>
            </control>
          </mc:Choice>
        </mc:AlternateContent>
        <mc:AlternateContent xmlns:mc="http://schemas.openxmlformats.org/markup-compatibility/2006">
          <mc:Choice Requires="x14">
            <control shapeId="15698" r:id="rId139" name="Check Box 338">
              <controlPr locked="0" defaultSize="0" autoFill="0" autoLine="0" autoPict="0">
                <anchor moveWithCells="1" sizeWithCells="1">
                  <from>
                    <xdr:col>22</xdr:col>
                    <xdr:colOff>0</xdr:colOff>
                    <xdr:row>655</xdr:row>
                    <xdr:rowOff>0</xdr:rowOff>
                  </from>
                  <to>
                    <xdr:col>22</xdr:col>
                    <xdr:colOff>184150</xdr:colOff>
                    <xdr:row>655</xdr:row>
                    <xdr:rowOff>184150</xdr:rowOff>
                  </to>
                </anchor>
              </controlPr>
            </control>
          </mc:Choice>
        </mc:AlternateContent>
        <mc:AlternateContent xmlns:mc="http://schemas.openxmlformats.org/markup-compatibility/2006">
          <mc:Choice Requires="x14">
            <control shapeId="15699" r:id="rId140" name="Check Box 339">
              <controlPr locked="0" defaultSize="0" autoFill="0" autoLine="0" autoPict="0">
                <anchor moveWithCells="1" sizeWithCells="1">
                  <from>
                    <xdr:col>22</xdr:col>
                    <xdr:colOff>0</xdr:colOff>
                    <xdr:row>662</xdr:row>
                    <xdr:rowOff>0</xdr:rowOff>
                  </from>
                  <to>
                    <xdr:col>22</xdr:col>
                    <xdr:colOff>184150</xdr:colOff>
                    <xdr:row>662</xdr:row>
                    <xdr:rowOff>184150</xdr:rowOff>
                  </to>
                </anchor>
              </controlPr>
            </control>
          </mc:Choice>
        </mc:AlternateContent>
        <mc:AlternateContent xmlns:mc="http://schemas.openxmlformats.org/markup-compatibility/2006">
          <mc:Choice Requires="x14">
            <control shapeId="15700" r:id="rId141" name="Check Box 340">
              <controlPr locked="0" defaultSize="0" autoFill="0" autoLine="0" autoPict="0">
                <anchor moveWithCells="1" sizeWithCells="1">
                  <from>
                    <xdr:col>22</xdr:col>
                    <xdr:colOff>0</xdr:colOff>
                    <xdr:row>718</xdr:row>
                    <xdr:rowOff>0</xdr:rowOff>
                  </from>
                  <to>
                    <xdr:col>22</xdr:col>
                    <xdr:colOff>184150</xdr:colOff>
                    <xdr:row>718</xdr:row>
                    <xdr:rowOff>184150</xdr:rowOff>
                  </to>
                </anchor>
              </controlPr>
            </control>
          </mc:Choice>
        </mc:AlternateContent>
        <mc:AlternateContent xmlns:mc="http://schemas.openxmlformats.org/markup-compatibility/2006">
          <mc:Choice Requires="x14">
            <control shapeId="15701" r:id="rId142" name="Check Box 341">
              <controlPr locked="0" defaultSize="0" autoFill="0" autoLine="0" autoPict="0">
                <anchor moveWithCells="1" sizeWithCells="1">
                  <from>
                    <xdr:col>22</xdr:col>
                    <xdr:colOff>0</xdr:colOff>
                    <xdr:row>719</xdr:row>
                    <xdr:rowOff>0</xdr:rowOff>
                  </from>
                  <to>
                    <xdr:col>22</xdr:col>
                    <xdr:colOff>184150</xdr:colOff>
                    <xdr:row>719</xdr:row>
                    <xdr:rowOff>184150</xdr:rowOff>
                  </to>
                </anchor>
              </controlPr>
            </control>
          </mc:Choice>
        </mc:AlternateContent>
        <mc:AlternateContent xmlns:mc="http://schemas.openxmlformats.org/markup-compatibility/2006">
          <mc:Choice Requires="x14">
            <control shapeId="15702" r:id="rId143" name="Check Box 342">
              <controlPr locked="0" defaultSize="0" autoFill="0" autoLine="0" autoPict="0">
                <anchor moveWithCells="1" sizeWithCells="1">
                  <from>
                    <xdr:col>22</xdr:col>
                    <xdr:colOff>0</xdr:colOff>
                    <xdr:row>721</xdr:row>
                    <xdr:rowOff>0</xdr:rowOff>
                  </from>
                  <to>
                    <xdr:col>22</xdr:col>
                    <xdr:colOff>184150</xdr:colOff>
                    <xdr:row>721</xdr:row>
                    <xdr:rowOff>184150</xdr:rowOff>
                  </to>
                </anchor>
              </controlPr>
            </control>
          </mc:Choice>
        </mc:AlternateContent>
        <mc:AlternateContent xmlns:mc="http://schemas.openxmlformats.org/markup-compatibility/2006">
          <mc:Choice Requires="x14">
            <control shapeId="15703" r:id="rId144" name="Check Box 343">
              <controlPr locked="0" defaultSize="0" autoFill="0" autoLine="0" autoPict="0">
                <anchor moveWithCells="1" sizeWithCells="1">
                  <from>
                    <xdr:col>22</xdr:col>
                    <xdr:colOff>0</xdr:colOff>
                    <xdr:row>720</xdr:row>
                    <xdr:rowOff>0</xdr:rowOff>
                  </from>
                  <to>
                    <xdr:col>22</xdr:col>
                    <xdr:colOff>184150</xdr:colOff>
                    <xdr:row>720</xdr:row>
                    <xdr:rowOff>184150</xdr:rowOff>
                  </to>
                </anchor>
              </controlPr>
            </control>
          </mc:Choice>
        </mc:AlternateContent>
        <mc:AlternateContent xmlns:mc="http://schemas.openxmlformats.org/markup-compatibility/2006">
          <mc:Choice Requires="x14">
            <control shapeId="15704" r:id="rId145" name="Check Box 344">
              <controlPr locked="0" defaultSize="0" autoFill="0" autoLine="0" autoPict="0">
                <anchor moveWithCells="1" sizeWithCells="1">
                  <from>
                    <xdr:col>22</xdr:col>
                    <xdr:colOff>0</xdr:colOff>
                    <xdr:row>722</xdr:row>
                    <xdr:rowOff>0</xdr:rowOff>
                  </from>
                  <to>
                    <xdr:col>22</xdr:col>
                    <xdr:colOff>184150</xdr:colOff>
                    <xdr:row>722</xdr:row>
                    <xdr:rowOff>184150</xdr:rowOff>
                  </to>
                </anchor>
              </controlPr>
            </control>
          </mc:Choice>
        </mc:AlternateContent>
        <mc:AlternateContent xmlns:mc="http://schemas.openxmlformats.org/markup-compatibility/2006">
          <mc:Choice Requires="x14">
            <control shapeId="15705" r:id="rId146" name="Check Box 345">
              <controlPr locked="0" defaultSize="0" autoFill="0" autoLine="0" autoPict="0">
                <anchor moveWithCells="1" sizeWithCells="1">
                  <from>
                    <xdr:col>22</xdr:col>
                    <xdr:colOff>0</xdr:colOff>
                    <xdr:row>723</xdr:row>
                    <xdr:rowOff>0</xdr:rowOff>
                  </from>
                  <to>
                    <xdr:col>22</xdr:col>
                    <xdr:colOff>184150</xdr:colOff>
                    <xdr:row>723</xdr:row>
                    <xdr:rowOff>184150</xdr:rowOff>
                  </to>
                </anchor>
              </controlPr>
            </control>
          </mc:Choice>
        </mc:AlternateContent>
        <mc:AlternateContent xmlns:mc="http://schemas.openxmlformats.org/markup-compatibility/2006">
          <mc:Choice Requires="x14">
            <control shapeId="15706" r:id="rId147" name="Check Box 346">
              <controlPr locked="0" defaultSize="0" autoFill="0" autoLine="0" autoPict="0">
                <anchor moveWithCells="1" sizeWithCells="1">
                  <from>
                    <xdr:col>22</xdr:col>
                    <xdr:colOff>0</xdr:colOff>
                    <xdr:row>724</xdr:row>
                    <xdr:rowOff>0</xdr:rowOff>
                  </from>
                  <to>
                    <xdr:col>22</xdr:col>
                    <xdr:colOff>184150</xdr:colOff>
                    <xdr:row>724</xdr:row>
                    <xdr:rowOff>184150</xdr:rowOff>
                  </to>
                </anchor>
              </controlPr>
            </control>
          </mc:Choice>
        </mc:AlternateContent>
        <mc:AlternateContent xmlns:mc="http://schemas.openxmlformats.org/markup-compatibility/2006">
          <mc:Choice Requires="x14">
            <control shapeId="15707" r:id="rId148" name="Check Box 347">
              <controlPr locked="0" defaultSize="0" autoFill="0" autoLine="0" autoPict="0">
                <anchor moveWithCells="1" sizeWithCells="1">
                  <from>
                    <xdr:col>22</xdr:col>
                    <xdr:colOff>0</xdr:colOff>
                    <xdr:row>728</xdr:row>
                    <xdr:rowOff>0</xdr:rowOff>
                  </from>
                  <to>
                    <xdr:col>22</xdr:col>
                    <xdr:colOff>184150</xdr:colOff>
                    <xdr:row>728</xdr:row>
                    <xdr:rowOff>184150</xdr:rowOff>
                  </to>
                </anchor>
              </controlPr>
            </control>
          </mc:Choice>
        </mc:AlternateContent>
        <mc:AlternateContent xmlns:mc="http://schemas.openxmlformats.org/markup-compatibility/2006">
          <mc:Choice Requires="x14">
            <control shapeId="15708" r:id="rId149" name="Check Box 348">
              <controlPr locked="0" defaultSize="0" autoFill="0" autoLine="0" autoPict="0">
                <anchor moveWithCells="1" sizeWithCells="1">
                  <from>
                    <xdr:col>22</xdr:col>
                    <xdr:colOff>0</xdr:colOff>
                    <xdr:row>733</xdr:row>
                    <xdr:rowOff>0</xdr:rowOff>
                  </from>
                  <to>
                    <xdr:col>22</xdr:col>
                    <xdr:colOff>184150</xdr:colOff>
                    <xdr:row>733</xdr:row>
                    <xdr:rowOff>184150</xdr:rowOff>
                  </to>
                </anchor>
              </controlPr>
            </control>
          </mc:Choice>
        </mc:AlternateContent>
        <mc:AlternateContent xmlns:mc="http://schemas.openxmlformats.org/markup-compatibility/2006">
          <mc:Choice Requires="x14">
            <control shapeId="15709" r:id="rId150" name="Check Box 349">
              <controlPr locked="0" defaultSize="0" autoFill="0" autoLine="0" autoPict="0">
                <anchor moveWithCells="1" sizeWithCells="1">
                  <from>
                    <xdr:col>22</xdr:col>
                    <xdr:colOff>0</xdr:colOff>
                    <xdr:row>737</xdr:row>
                    <xdr:rowOff>0</xdr:rowOff>
                  </from>
                  <to>
                    <xdr:col>22</xdr:col>
                    <xdr:colOff>184150</xdr:colOff>
                    <xdr:row>737</xdr:row>
                    <xdr:rowOff>184150</xdr:rowOff>
                  </to>
                </anchor>
              </controlPr>
            </control>
          </mc:Choice>
        </mc:AlternateContent>
        <mc:AlternateContent xmlns:mc="http://schemas.openxmlformats.org/markup-compatibility/2006">
          <mc:Choice Requires="x14">
            <control shapeId="15710" r:id="rId151" name="Check Box 350">
              <controlPr locked="0" defaultSize="0" autoFill="0" autoLine="0" autoPict="0">
                <anchor moveWithCells="1" sizeWithCells="1">
                  <from>
                    <xdr:col>22</xdr:col>
                    <xdr:colOff>0</xdr:colOff>
                    <xdr:row>739</xdr:row>
                    <xdr:rowOff>0</xdr:rowOff>
                  </from>
                  <to>
                    <xdr:col>22</xdr:col>
                    <xdr:colOff>184150</xdr:colOff>
                    <xdr:row>739</xdr:row>
                    <xdr:rowOff>184150</xdr:rowOff>
                  </to>
                </anchor>
              </controlPr>
            </control>
          </mc:Choice>
        </mc:AlternateContent>
        <mc:AlternateContent xmlns:mc="http://schemas.openxmlformats.org/markup-compatibility/2006">
          <mc:Choice Requires="x14">
            <control shapeId="15711" r:id="rId152" name="Check Box 351">
              <controlPr locked="0" defaultSize="0" autoFill="0" autoLine="0" autoPict="0">
                <anchor moveWithCells="1" sizeWithCells="1">
                  <from>
                    <xdr:col>22</xdr:col>
                    <xdr:colOff>0</xdr:colOff>
                    <xdr:row>741</xdr:row>
                    <xdr:rowOff>0</xdr:rowOff>
                  </from>
                  <to>
                    <xdr:col>22</xdr:col>
                    <xdr:colOff>184150</xdr:colOff>
                    <xdr:row>741</xdr:row>
                    <xdr:rowOff>184150</xdr:rowOff>
                  </to>
                </anchor>
              </controlPr>
            </control>
          </mc:Choice>
        </mc:AlternateContent>
        <mc:AlternateContent xmlns:mc="http://schemas.openxmlformats.org/markup-compatibility/2006">
          <mc:Choice Requires="x14">
            <control shapeId="15712" r:id="rId153" name="Check Box 352">
              <controlPr locked="0" defaultSize="0" autoFill="0" autoLine="0" autoPict="0">
                <anchor moveWithCells="1" sizeWithCells="1">
                  <from>
                    <xdr:col>22</xdr:col>
                    <xdr:colOff>0</xdr:colOff>
                    <xdr:row>742</xdr:row>
                    <xdr:rowOff>0</xdr:rowOff>
                  </from>
                  <to>
                    <xdr:col>22</xdr:col>
                    <xdr:colOff>184150</xdr:colOff>
                    <xdr:row>742</xdr:row>
                    <xdr:rowOff>184150</xdr:rowOff>
                  </to>
                </anchor>
              </controlPr>
            </control>
          </mc:Choice>
        </mc:AlternateContent>
        <mc:AlternateContent xmlns:mc="http://schemas.openxmlformats.org/markup-compatibility/2006">
          <mc:Choice Requires="x14">
            <control shapeId="15713" r:id="rId154" name="Check Box 353">
              <controlPr locked="0" defaultSize="0" autoFill="0" autoLine="0" autoPict="0">
                <anchor moveWithCells="1" sizeWithCells="1">
                  <from>
                    <xdr:col>22</xdr:col>
                    <xdr:colOff>0</xdr:colOff>
                    <xdr:row>743</xdr:row>
                    <xdr:rowOff>0</xdr:rowOff>
                  </from>
                  <to>
                    <xdr:col>22</xdr:col>
                    <xdr:colOff>184150</xdr:colOff>
                    <xdr:row>743</xdr:row>
                    <xdr:rowOff>184150</xdr:rowOff>
                  </to>
                </anchor>
              </controlPr>
            </control>
          </mc:Choice>
        </mc:AlternateContent>
        <mc:AlternateContent xmlns:mc="http://schemas.openxmlformats.org/markup-compatibility/2006">
          <mc:Choice Requires="x14">
            <control shapeId="15714" r:id="rId155" name="Check Box 354">
              <controlPr locked="0" defaultSize="0" autoFill="0" autoLine="0" autoPict="0">
                <anchor moveWithCells="1" sizeWithCells="1">
                  <from>
                    <xdr:col>22</xdr:col>
                    <xdr:colOff>0</xdr:colOff>
                    <xdr:row>747</xdr:row>
                    <xdr:rowOff>0</xdr:rowOff>
                  </from>
                  <to>
                    <xdr:col>22</xdr:col>
                    <xdr:colOff>184150</xdr:colOff>
                    <xdr:row>747</xdr:row>
                    <xdr:rowOff>184150</xdr:rowOff>
                  </to>
                </anchor>
              </controlPr>
            </control>
          </mc:Choice>
        </mc:AlternateContent>
        <mc:AlternateContent xmlns:mc="http://schemas.openxmlformats.org/markup-compatibility/2006">
          <mc:Choice Requires="x14">
            <control shapeId="15715" r:id="rId156" name="Check Box 355">
              <controlPr locked="0" defaultSize="0" autoFill="0" autoLine="0" autoPict="0">
                <anchor moveWithCells="1" sizeWithCells="1">
                  <from>
                    <xdr:col>22</xdr:col>
                    <xdr:colOff>0</xdr:colOff>
                    <xdr:row>749</xdr:row>
                    <xdr:rowOff>0</xdr:rowOff>
                  </from>
                  <to>
                    <xdr:col>22</xdr:col>
                    <xdr:colOff>184150</xdr:colOff>
                    <xdr:row>749</xdr:row>
                    <xdr:rowOff>184150</xdr:rowOff>
                  </to>
                </anchor>
              </controlPr>
            </control>
          </mc:Choice>
        </mc:AlternateContent>
        <mc:AlternateContent xmlns:mc="http://schemas.openxmlformats.org/markup-compatibility/2006">
          <mc:Choice Requires="x14">
            <control shapeId="15804" r:id="rId157" name="Check Box 444">
              <controlPr locked="0" defaultSize="0" autoFill="0" autoLine="0" autoPict="0">
                <anchor moveWithCells="1" sizeWithCells="1">
                  <from>
                    <xdr:col>22</xdr:col>
                    <xdr:colOff>0</xdr:colOff>
                    <xdr:row>798</xdr:row>
                    <xdr:rowOff>0</xdr:rowOff>
                  </from>
                  <to>
                    <xdr:col>22</xdr:col>
                    <xdr:colOff>184150</xdr:colOff>
                    <xdr:row>798</xdr:row>
                    <xdr:rowOff>184150</xdr:rowOff>
                  </to>
                </anchor>
              </controlPr>
            </control>
          </mc:Choice>
        </mc:AlternateContent>
        <mc:AlternateContent xmlns:mc="http://schemas.openxmlformats.org/markup-compatibility/2006">
          <mc:Choice Requires="x14">
            <control shapeId="15805" r:id="rId158" name="Check Box 445">
              <controlPr locked="0" defaultSize="0" autoFill="0" autoLine="0" autoPict="0">
                <anchor moveWithCells="1" sizeWithCells="1">
                  <from>
                    <xdr:col>22</xdr:col>
                    <xdr:colOff>0</xdr:colOff>
                    <xdr:row>803</xdr:row>
                    <xdr:rowOff>0</xdr:rowOff>
                  </from>
                  <to>
                    <xdr:col>22</xdr:col>
                    <xdr:colOff>184150</xdr:colOff>
                    <xdr:row>803</xdr:row>
                    <xdr:rowOff>184150</xdr:rowOff>
                  </to>
                </anchor>
              </controlPr>
            </control>
          </mc:Choice>
        </mc:AlternateContent>
        <mc:AlternateContent xmlns:mc="http://schemas.openxmlformats.org/markup-compatibility/2006">
          <mc:Choice Requires="x14">
            <control shapeId="15806" r:id="rId159" name="Check Box 446">
              <controlPr locked="0" defaultSize="0" autoFill="0" autoLine="0" autoPict="0">
                <anchor moveWithCells="1" sizeWithCells="1">
                  <from>
                    <xdr:col>22</xdr:col>
                    <xdr:colOff>0</xdr:colOff>
                    <xdr:row>812</xdr:row>
                    <xdr:rowOff>0</xdr:rowOff>
                  </from>
                  <to>
                    <xdr:col>22</xdr:col>
                    <xdr:colOff>184150</xdr:colOff>
                    <xdr:row>812</xdr:row>
                    <xdr:rowOff>184150</xdr:rowOff>
                  </to>
                </anchor>
              </controlPr>
            </control>
          </mc:Choice>
        </mc:AlternateContent>
        <mc:AlternateContent xmlns:mc="http://schemas.openxmlformats.org/markup-compatibility/2006">
          <mc:Choice Requires="x14">
            <control shapeId="15807" r:id="rId160" name="Check Box 447">
              <controlPr locked="0" defaultSize="0" autoFill="0" autoLine="0" autoPict="0">
                <anchor moveWithCells="1" sizeWithCells="1">
                  <from>
                    <xdr:col>22</xdr:col>
                    <xdr:colOff>0</xdr:colOff>
                    <xdr:row>815</xdr:row>
                    <xdr:rowOff>0</xdr:rowOff>
                  </from>
                  <to>
                    <xdr:col>22</xdr:col>
                    <xdr:colOff>184150</xdr:colOff>
                    <xdr:row>815</xdr:row>
                    <xdr:rowOff>184150</xdr:rowOff>
                  </to>
                </anchor>
              </controlPr>
            </control>
          </mc:Choice>
        </mc:AlternateContent>
        <mc:AlternateContent xmlns:mc="http://schemas.openxmlformats.org/markup-compatibility/2006">
          <mc:Choice Requires="x14">
            <control shapeId="15808" r:id="rId161" name="Check Box 448">
              <controlPr locked="0" defaultSize="0" autoFill="0" autoLine="0" autoPict="0">
                <anchor moveWithCells="1" sizeWithCells="1">
                  <from>
                    <xdr:col>22</xdr:col>
                    <xdr:colOff>0</xdr:colOff>
                    <xdr:row>816</xdr:row>
                    <xdr:rowOff>0</xdr:rowOff>
                  </from>
                  <to>
                    <xdr:col>22</xdr:col>
                    <xdr:colOff>184150</xdr:colOff>
                    <xdr:row>816</xdr:row>
                    <xdr:rowOff>184150</xdr:rowOff>
                  </to>
                </anchor>
              </controlPr>
            </control>
          </mc:Choice>
        </mc:AlternateContent>
        <mc:AlternateContent xmlns:mc="http://schemas.openxmlformats.org/markup-compatibility/2006">
          <mc:Choice Requires="x14">
            <control shapeId="15809" r:id="rId162" name="Check Box 449">
              <controlPr locked="0" defaultSize="0" autoFill="0" autoLine="0" autoPict="0">
                <anchor moveWithCells="1" sizeWithCells="1">
                  <from>
                    <xdr:col>22</xdr:col>
                    <xdr:colOff>0</xdr:colOff>
                    <xdr:row>820</xdr:row>
                    <xdr:rowOff>0</xdr:rowOff>
                  </from>
                  <to>
                    <xdr:col>22</xdr:col>
                    <xdr:colOff>184150</xdr:colOff>
                    <xdr:row>820</xdr:row>
                    <xdr:rowOff>184150</xdr:rowOff>
                  </to>
                </anchor>
              </controlPr>
            </control>
          </mc:Choice>
        </mc:AlternateContent>
        <mc:AlternateContent xmlns:mc="http://schemas.openxmlformats.org/markup-compatibility/2006">
          <mc:Choice Requires="x14">
            <control shapeId="15810" r:id="rId163" name="Check Box 450">
              <controlPr locked="0" defaultSize="0" autoFill="0" autoLine="0" autoPict="0">
                <anchor moveWithCells="1" sizeWithCells="1">
                  <from>
                    <xdr:col>22</xdr:col>
                    <xdr:colOff>0</xdr:colOff>
                    <xdr:row>822</xdr:row>
                    <xdr:rowOff>0</xdr:rowOff>
                  </from>
                  <to>
                    <xdr:col>22</xdr:col>
                    <xdr:colOff>184150</xdr:colOff>
                    <xdr:row>822</xdr:row>
                    <xdr:rowOff>184150</xdr:rowOff>
                  </to>
                </anchor>
              </controlPr>
            </control>
          </mc:Choice>
        </mc:AlternateContent>
        <mc:AlternateContent xmlns:mc="http://schemas.openxmlformats.org/markup-compatibility/2006">
          <mc:Choice Requires="x14">
            <control shapeId="15811" r:id="rId164" name="Check Box 451">
              <controlPr locked="0" defaultSize="0" autoFill="0" autoLine="0" autoPict="0">
                <anchor moveWithCells="1" sizeWithCells="1">
                  <from>
                    <xdr:col>22</xdr:col>
                    <xdr:colOff>0</xdr:colOff>
                    <xdr:row>854</xdr:row>
                    <xdr:rowOff>0</xdr:rowOff>
                  </from>
                  <to>
                    <xdr:col>22</xdr:col>
                    <xdr:colOff>184150</xdr:colOff>
                    <xdr:row>854</xdr:row>
                    <xdr:rowOff>184150</xdr:rowOff>
                  </to>
                </anchor>
              </controlPr>
            </control>
          </mc:Choice>
        </mc:AlternateContent>
        <mc:AlternateContent xmlns:mc="http://schemas.openxmlformats.org/markup-compatibility/2006">
          <mc:Choice Requires="x14">
            <control shapeId="15812" r:id="rId165" name="Check Box 452">
              <controlPr locked="0" defaultSize="0" autoFill="0" autoLine="0" autoPict="0">
                <anchor moveWithCells="1" sizeWithCells="1">
                  <from>
                    <xdr:col>22</xdr:col>
                    <xdr:colOff>0</xdr:colOff>
                    <xdr:row>857</xdr:row>
                    <xdr:rowOff>0</xdr:rowOff>
                  </from>
                  <to>
                    <xdr:col>22</xdr:col>
                    <xdr:colOff>184150</xdr:colOff>
                    <xdr:row>857</xdr:row>
                    <xdr:rowOff>184150</xdr:rowOff>
                  </to>
                </anchor>
              </controlPr>
            </control>
          </mc:Choice>
        </mc:AlternateContent>
        <mc:AlternateContent xmlns:mc="http://schemas.openxmlformats.org/markup-compatibility/2006">
          <mc:Choice Requires="x14">
            <control shapeId="15813" r:id="rId166" name="Check Box 453">
              <controlPr locked="0" defaultSize="0" autoFill="0" autoLine="0" autoPict="0">
                <anchor moveWithCells="1" sizeWithCells="1">
                  <from>
                    <xdr:col>22</xdr:col>
                    <xdr:colOff>0</xdr:colOff>
                    <xdr:row>884</xdr:row>
                    <xdr:rowOff>0</xdr:rowOff>
                  </from>
                  <to>
                    <xdr:col>22</xdr:col>
                    <xdr:colOff>184150</xdr:colOff>
                    <xdr:row>884</xdr:row>
                    <xdr:rowOff>184150</xdr:rowOff>
                  </to>
                </anchor>
              </controlPr>
            </control>
          </mc:Choice>
        </mc:AlternateContent>
        <mc:AlternateContent xmlns:mc="http://schemas.openxmlformats.org/markup-compatibility/2006">
          <mc:Choice Requires="x14">
            <control shapeId="15814" r:id="rId167" name="Check Box 454">
              <controlPr locked="0" defaultSize="0" autoFill="0" autoLine="0" autoPict="0">
                <anchor moveWithCells="1" sizeWithCells="1">
                  <from>
                    <xdr:col>22</xdr:col>
                    <xdr:colOff>0</xdr:colOff>
                    <xdr:row>898</xdr:row>
                    <xdr:rowOff>0</xdr:rowOff>
                  </from>
                  <to>
                    <xdr:col>22</xdr:col>
                    <xdr:colOff>184150</xdr:colOff>
                    <xdr:row>898</xdr:row>
                    <xdr:rowOff>184150</xdr:rowOff>
                  </to>
                </anchor>
              </controlPr>
            </control>
          </mc:Choice>
        </mc:AlternateContent>
        <mc:AlternateContent xmlns:mc="http://schemas.openxmlformats.org/markup-compatibility/2006">
          <mc:Choice Requires="x14">
            <control shapeId="15815" r:id="rId168" name="Check Box 455">
              <controlPr locked="0" defaultSize="0" autoFill="0" autoLine="0" autoPict="0">
                <anchor moveWithCells="1" sizeWithCells="1">
                  <from>
                    <xdr:col>22</xdr:col>
                    <xdr:colOff>0</xdr:colOff>
                    <xdr:row>900</xdr:row>
                    <xdr:rowOff>0</xdr:rowOff>
                  </from>
                  <to>
                    <xdr:col>22</xdr:col>
                    <xdr:colOff>184150</xdr:colOff>
                    <xdr:row>900</xdr:row>
                    <xdr:rowOff>184150</xdr:rowOff>
                  </to>
                </anchor>
              </controlPr>
            </control>
          </mc:Choice>
        </mc:AlternateContent>
        <mc:AlternateContent xmlns:mc="http://schemas.openxmlformats.org/markup-compatibility/2006">
          <mc:Choice Requires="x14">
            <control shapeId="15816" r:id="rId169" name="Check Box 456">
              <controlPr locked="0" defaultSize="0" autoFill="0" autoLine="0" autoPict="0">
                <anchor moveWithCells="1" sizeWithCells="1">
                  <from>
                    <xdr:col>22</xdr:col>
                    <xdr:colOff>0</xdr:colOff>
                    <xdr:row>901</xdr:row>
                    <xdr:rowOff>0</xdr:rowOff>
                  </from>
                  <to>
                    <xdr:col>22</xdr:col>
                    <xdr:colOff>184150</xdr:colOff>
                    <xdr:row>901</xdr:row>
                    <xdr:rowOff>184150</xdr:rowOff>
                  </to>
                </anchor>
              </controlPr>
            </control>
          </mc:Choice>
        </mc:AlternateContent>
        <mc:AlternateContent xmlns:mc="http://schemas.openxmlformats.org/markup-compatibility/2006">
          <mc:Choice Requires="x14">
            <control shapeId="15817" r:id="rId170" name="Check Box 457">
              <controlPr locked="0" defaultSize="0" autoFill="0" autoLine="0" autoPict="0">
                <anchor moveWithCells="1" sizeWithCells="1">
                  <from>
                    <xdr:col>22</xdr:col>
                    <xdr:colOff>0</xdr:colOff>
                    <xdr:row>906</xdr:row>
                    <xdr:rowOff>0</xdr:rowOff>
                  </from>
                  <to>
                    <xdr:col>22</xdr:col>
                    <xdr:colOff>184150</xdr:colOff>
                    <xdr:row>906</xdr:row>
                    <xdr:rowOff>184150</xdr:rowOff>
                  </to>
                </anchor>
              </controlPr>
            </control>
          </mc:Choice>
        </mc:AlternateContent>
        <mc:AlternateContent xmlns:mc="http://schemas.openxmlformats.org/markup-compatibility/2006">
          <mc:Choice Requires="x14">
            <control shapeId="15818" r:id="rId171" name="Check Box 458">
              <controlPr locked="0" defaultSize="0" autoFill="0" autoLine="0" autoPict="0">
                <anchor moveWithCells="1" sizeWithCells="1">
                  <from>
                    <xdr:col>22</xdr:col>
                    <xdr:colOff>0</xdr:colOff>
                    <xdr:row>923</xdr:row>
                    <xdr:rowOff>0</xdr:rowOff>
                  </from>
                  <to>
                    <xdr:col>22</xdr:col>
                    <xdr:colOff>184150</xdr:colOff>
                    <xdr:row>923</xdr:row>
                    <xdr:rowOff>184150</xdr:rowOff>
                  </to>
                </anchor>
              </controlPr>
            </control>
          </mc:Choice>
        </mc:AlternateContent>
        <mc:AlternateContent xmlns:mc="http://schemas.openxmlformats.org/markup-compatibility/2006">
          <mc:Choice Requires="x14">
            <control shapeId="15819" r:id="rId172" name="Check Box 459">
              <controlPr locked="0" defaultSize="0" autoFill="0" autoLine="0" autoPict="0">
                <anchor moveWithCells="1" sizeWithCells="1">
                  <from>
                    <xdr:col>22</xdr:col>
                    <xdr:colOff>0</xdr:colOff>
                    <xdr:row>936</xdr:row>
                    <xdr:rowOff>0</xdr:rowOff>
                  </from>
                  <to>
                    <xdr:col>22</xdr:col>
                    <xdr:colOff>184150</xdr:colOff>
                    <xdr:row>936</xdr:row>
                    <xdr:rowOff>184150</xdr:rowOff>
                  </to>
                </anchor>
              </controlPr>
            </control>
          </mc:Choice>
        </mc:AlternateContent>
        <mc:AlternateContent xmlns:mc="http://schemas.openxmlformats.org/markup-compatibility/2006">
          <mc:Choice Requires="x14">
            <control shapeId="15821" r:id="rId173" name="Check Box 461">
              <controlPr locked="0" defaultSize="0" autoFill="0" autoLine="0" autoPict="0">
                <anchor moveWithCells="1" sizeWithCells="1">
                  <from>
                    <xdr:col>22</xdr:col>
                    <xdr:colOff>0</xdr:colOff>
                    <xdr:row>945</xdr:row>
                    <xdr:rowOff>0</xdr:rowOff>
                  </from>
                  <to>
                    <xdr:col>22</xdr:col>
                    <xdr:colOff>184150</xdr:colOff>
                    <xdr:row>945</xdr:row>
                    <xdr:rowOff>184150</xdr:rowOff>
                  </to>
                </anchor>
              </controlPr>
            </control>
          </mc:Choice>
        </mc:AlternateContent>
        <mc:AlternateContent xmlns:mc="http://schemas.openxmlformats.org/markup-compatibility/2006">
          <mc:Choice Requires="x14">
            <control shapeId="15822" r:id="rId174" name="Check Box 462">
              <controlPr locked="0" defaultSize="0" autoFill="0" autoLine="0" autoPict="0">
                <anchor moveWithCells="1" sizeWithCells="1">
                  <from>
                    <xdr:col>22</xdr:col>
                    <xdr:colOff>0</xdr:colOff>
                    <xdr:row>954</xdr:row>
                    <xdr:rowOff>0</xdr:rowOff>
                  </from>
                  <to>
                    <xdr:col>22</xdr:col>
                    <xdr:colOff>184150</xdr:colOff>
                    <xdr:row>954</xdr:row>
                    <xdr:rowOff>184150</xdr:rowOff>
                  </to>
                </anchor>
              </controlPr>
            </control>
          </mc:Choice>
        </mc:AlternateContent>
        <mc:AlternateContent xmlns:mc="http://schemas.openxmlformats.org/markup-compatibility/2006">
          <mc:Choice Requires="x14">
            <control shapeId="15824" r:id="rId175" name="Check Box 464">
              <controlPr locked="0" defaultSize="0" autoFill="0" autoLine="0" autoPict="0">
                <anchor moveWithCells="1" sizeWithCells="1">
                  <from>
                    <xdr:col>22</xdr:col>
                    <xdr:colOff>0</xdr:colOff>
                    <xdr:row>1006</xdr:row>
                    <xdr:rowOff>0</xdr:rowOff>
                  </from>
                  <to>
                    <xdr:col>22</xdr:col>
                    <xdr:colOff>184150</xdr:colOff>
                    <xdr:row>1006</xdr:row>
                    <xdr:rowOff>184150</xdr:rowOff>
                  </to>
                </anchor>
              </controlPr>
            </control>
          </mc:Choice>
        </mc:AlternateContent>
        <mc:AlternateContent xmlns:mc="http://schemas.openxmlformats.org/markup-compatibility/2006">
          <mc:Choice Requires="x14">
            <control shapeId="15825" r:id="rId176" name="Check Box 465">
              <controlPr locked="0" defaultSize="0" autoFill="0" autoLine="0" autoPict="0">
                <anchor moveWithCells="1" sizeWithCells="1">
                  <from>
                    <xdr:col>22</xdr:col>
                    <xdr:colOff>0</xdr:colOff>
                    <xdr:row>1047</xdr:row>
                    <xdr:rowOff>0</xdr:rowOff>
                  </from>
                  <to>
                    <xdr:col>22</xdr:col>
                    <xdr:colOff>184150</xdr:colOff>
                    <xdr:row>1047</xdr:row>
                    <xdr:rowOff>184150</xdr:rowOff>
                  </to>
                </anchor>
              </controlPr>
            </control>
          </mc:Choice>
        </mc:AlternateContent>
        <mc:AlternateContent xmlns:mc="http://schemas.openxmlformats.org/markup-compatibility/2006">
          <mc:Choice Requires="x14">
            <control shapeId="15826" r:id="rId177" name="Check Box 466">
              <controlPr locked="0" defaultSize="0" autoFill="0" autoLine="0" autoPict="0">
                <anchor moveWithCells="1" sizeWithCells="1">
                  <from>
                    <xdr:col>22</xdr:col>
                    <xdr:colOff>0</xdr:colOff>
                    <xdr:row>1050</xdr:row>
                    <xdr:rowOff>0</xdr:rowOff>
                  </from>
                  <to>
                    <xdr:col>22</xdr:col>
                    <xdr:colOff>184150</xdr:colOff>
                    <xdr:row>1050</xdr:row>
                    <xdr:rowOff>184150</xdr:rowOff>
                  </to>
                </anchor>
              </controlPr>
            </control>
          </mc:Choice>
        </mc:AlternateContent>
        <mc:AlternateContent xmlns:mc="http://schemas.openxmlformats.org/markup-compatibility/2006">
          <mc:Choice Requires="x14">
            <control shapeId="15827" r:id="rId178" name="Check Box 467">
              <controlPr locked="0" defaultSize="0" autoFill="0" autoLine="0" autoPict="0">
                <anchor moveWithCells="1" sizeWithCells="1">
                  <from>
                    <xdr:col>22</xdr:col>
                    <xdr:colOff>0</xdr:colOff>
                    <xdr:row>1060</xdr:row>
                    <xdr:rowOff>0</xdr:rowOff>
                  </from>
                  <to>
                    <xdr:col>22</xdr:col>
                    <xdr:colOff>184150</xdr:colOff>
                    <xdr:row>1060</xdr:row>
                    <xdr:rowOff>184150</xdr:rowOff>
                  </to>
                </anchor>
              </controlPr>
            </control>
          </mc:Choice>
        </mc:AlternateContent>
        <mc:AlternateContent xmlns:mc="http://schemas.openxmlformats.org/markup-compatibility/2006">
          <mc:Choice Requires="x14">
            <control shapeId="15828" r:id="rId179" name="Check Box 468">
              <controlPr locked="0" defaultSize="0" autoFill="0" autoLine="0" autoPict="0">
                <anchor moveWithCells="1" sizeWithCells="1">
                  <from>
                    <xdr:col>22</xdr:col>
                    <xdr:colOff>0</xdr:colOff>
                    <xdr:row>1067</xdr:row>
                    <xdr:rowOff>0</xdr:rowOff>
                  </from>
                  <to>
                    <xdr:col>22</xdr:col>
                    <xdr:colOff>184150</xdr:colOff>
                    <xdr:row>1067</xdr:row>
                    <xdr:rowOff>184150</xdr:rowOff>
                  </to>
                </anchor>
              </controlPr>
            </control>
          </mc:Choice>
        </mc:AlternateContent>
        <mc:AlternateContent xmlns:mc="http://schemas.openxmlformats.org/markup-compatibility/2006">
          <mc:Choice Requires="x14">
            <control shapeId="15829" r:id="rId180" name="Check Box 469">
              <controlPr locked="0" defaultSize="0" autoFill="0" autoLine="0" autoPict="0">
                <anchor moveWithCells="1" sizeWithCells="1">
                  <from>
                    <xdr:col>22</xdr:col>
                    <xdr:colOff>0</xdr:colOff>
                    <xdr:row>1073</xdr:row>
                    <xdr:rowOff>0</xdr:rowOff>
                  </from>
                  <to>
                    <xdr:col>22</xdr:col>
                    <xdr:colOff>184150</xdr:colOff>
                    <xdr:row>1073</xdr:row>
                    <xdr:rowOff>184150</xdr:rowOff>
                  </to>
                </anchor>
              </controlPr>
            </control>
          </mc:Choice>
        </mc:AlternateContent>
        <mc:AlternateContent xmlns:mc="http://schemas.openxmlformats.org/markup-compatibility/2006">
          <mc:Choice Requires="x14">
            <control shapeId="15830" r:id="rId181" name="Check Box 470">
              <controlPr locked="0" defaultSize="0" autoFill="0" autoLine="0" autoPict="0">
                <anchor moveWithCells="1" sizeWithCells="1">
                  <from>
                    <xdr:col>22</xdr:col>
                    <xdr:colOff>0</xdr:colOff>
                    <xdr:row>1075</xdr:row>
                    <xdr:rowOff>0</xdr:rowOff>
                  </from>
                  <to>
                    <xdr:col>22</xdr:col>
                    <xdr:colOff>184150</xdr:colOff>
                    <xdr:row>1075</xdr:row>
                    <xdr:rowOff>184150</xdr:rowOff>
                  </to>
                </anchor>
              </controlPr>
            </control>
          </mc:Choice>
        </mc:AlternateContent>
        <mc:AlternateContent xmlns:mc="http://schemas.openxmlformats.org/markup-compatibility/2006">
          <mc:Choice Requires="x14">
            <control shapeId="15831" r:id="rId182" name="Check Box 471">
              <controlPr locked="0" defaultSize="0" autoFill="0" autoLine="0" autoPict="0">
                <anchor moveWithCells="1" sizeWithCells="1">
                  <from>
                    <xdr:col>22</xdr:col>
                    <xdr:colOff>0</xdr:colOff>
                    <xdr:row>1078</xdr:row>
                    <xdr:rowOff>0</xdr:rowOff>
                  </from>
                  <to>
                    <xdr:col>22</xdr:col>
                    <xdr:colOff>184150</xdr:colOff>
                    <xdr:row>1078</xdr:row>
                    <xdr:rowOff>184150</xdr:rowOff>
                  </to>
                </anchor>
              </controlPr>
            </control>
          </mc:Choice>
        </mc:AlternateContent>
        <mc:AlternateContent xmlns:mc="http://schemas.openxmlformats.org/markup-compatibility/2006">
          <mc:Choice Requires="x14">
            <control shapeId="15832" r:id="rId183" name="Check Box 472">
              <controlPr locked="0" defaultSize="0" autoFill="0" autoLine="0" autoPict="0">
                <anchor moveWithCells="1" sizeWithCells="1">
                  <from>
                    <xdr:col>22</xdr:col>
                    <xdr:colOff>0</xdr:colOff>
                    <xdr:row>1079</xdr:row>
                    <xdr:rowOff>0</xdr:rowOff>
                  </from>
                  <to>
                    <xdr:col>22</xdr:col>
                    <xdr:colOff>184150</xdr:colOff>
                    <xdr:row>1079</xdr:row>
                    <xdr:rowOff>184150</xdr:rowOff>
                  </to>
                </anchor>
              </controlPr>
            </control>
          </mc:Choice>
        </mc:AlternateContent>
        <mc:AlternateContent xmlns:mc="http://schemas.openxmlformats.org/markup-compatibility/2006">
          <mc:Choice Requires="x14">
            <control shapeId="15833" r:id="rId184" name="Check Box 473">
              <controlPr locked="0" defaultSize="0" autoFill="0" autoLine="0" autoPict="0">
                <anchor moveWithCells="1" sizeWithCells="1">
                  <from>
                    <xdr:col>22</xdr:col>
                    <xdr:colOff>0</xdr:colOff>
                    <xdr:row>1081</xdr:row>
                    <xdr:rowOff>0</xdr:rowOff>
                  </from>
                  <to>
                    <xdr:col>22</xdr:col>
                    <xdr:colOff>184150</xdr:colOff>
                    <xdr:row>1081</xdr:row>
                    <xdr:rowOff>184150</xdr:rowOff>
                  </to>
                </anchor>
              </controlPr>
            </control>
          </mc:Choice>
        </mc:AlternateContent>
        <mc:AlternateContent xmlns:mc="http://schemas.openxmlformats.org/markup-compatibility/2006">
          <mc:Choice Requires="x14">
            <control shapeId="15834" r:id="rId185" name="Check Box 474">
              <controlPr locked="0" defaultSize="0" autoFill="0" autoLine="0" autoPict="0">
                <anchor moveWithCells="1" sizeWithCells="1">
                  <from>
                    <xdr:col>22</xdr:col>
                    <xdr:colOff>0</xdr:colOff>
                    <xdr:row>1111</xdr:row>
                    <xdr:rowOff>0</xdr:rowOff>
                  </from>
                  <to>
                    <xdr:col>22</xdr:col>
                    <xdr:colOff>184150</xdr:colOff>
                    <xdr:row>1111</xdr:row>
                    <xdr:rowOff>184150</xdr:rowOff>
                  </to>
                </anchor>
              </controlPr>
            </control>
          </mc:Choice>
        </mc:AlternateContent>
        <mc:AlternateContent xmlns:mc="http://schemas.openxmlformats.org/markup-compatibility/2006">
          <mc:Choice Requires="x14">
            <control shapeId="15835" r:id="rId186" name="Check Box 475">
              <controlPr locked="0" defaultSize="0" autoFill="0" autoLine="0" autoPict="0">
                <anchor moveWithCells="1" sizeWithCells="1">
                  <from>
                    <xdr:col>22</xdr:col>
                    <xdr:colOff>0</xdr:colOff>
                    <xdr:row>1113</xdr:row>
                    <xdr:rowOff>0</xdr:rowOff>
                  </from>
                  <to>
                    <xdr:col>22</xdr:col>
                    <xdr:colOff>184150</xdr:colOff>
                    <xdr:row>1113</xdr:row>
                    <xdr:rowOff>184150</xdr:rowOff>
                  </to>
                </anchor>
              </controlPr>
            </control>
          </mc:Choice>
        </mc:AlternateContent>
        <mc:AlternateContent xmlns:mc="http://schemas.openxmlformats.org/markup-compatibility/2006">
          <mc:Choice Requires="x14">
            <control shapeId="15836" r:id="rId187" name="Check Box 476">
              <controlPr locked="0" defaultSize="0" autoFill="0" autoLine="0" autoPict="0">
                <anchor moveWithCells="1" sizeWithCells="1">
                  <from>
                    <xdr:col>22</xdr:col>
                    <xdr:colOff>0</xdr:colOff>
                    <xdr:row>1115</xdr:row>
                    <xdr:rowOff>0</xdr:rowOff>
                  </from>
                  <to>
                    <xdr:col>22</xdr:col>
                    <xdr:colOff>184150</xdr:colOff>
                    <xdr:row>1115</xdr:row>
                    <xdr:rowOff>184150</xdr:rowOff>
                  </to>
                </anchor>
              </controlPr>
            </control>
          </mc:Choice>
        </mc:AlternateContent>
        <mc:AlternateContent xmlns:mc="http://schemas.openxmlformats.org/markup-compatibility/2006">
          <mc:Choice Requires="x14">
            <control shapeId="15837" r:id="rId188" name="Check Box 477">
              <controlPr locked="0" defaultSize="0" autoFill="0" autoLine="0" autoPict="0">
                <anchor moveWithCells="1" sizeWithCells="1">
                  <from>
                    <xdr:col>22</xdr:col>
                    <xdr:colOff>0</xdr:colOff>
                    <xdr:row>1127</xdr:row>
                    <xdr:rowOff>0</xdr:rowOff>
                  </from>
                  <to>
                    <xdr:col>22</xdr:col>
                    <xdr:colOff>184150</xdr:colOff>
                    <xdr:row>1127</xdr:row>
                    <xdr:rowOff>184150</xdr:rowOff>
                  </to>
                </anchor>
              </controlPr>
            </control>
          </mc:Choice>
        </mc:AlternateContent>
        <mc:AlternateContent xmlns:mc="http://schemas.openxmlformats.org/markup-compatibility/2006">
          <mc:Choice Requires="x14">
            <control shapeId="15838" r:id="rId189" name="Check Box 478">
              <controlPr locked="0" defaultSize="0" autoFill="0" autoLine="0" autoPict="0">
                <anchor moveWithCells="1" sizeWithCells="1">
                  <from>
                    <xdr:col>22</xdr:col>
                    <xdr:colOff>0</xdr:colOff>
                    <xdr:row>1129</xdr:row>
                    <xdr:rowOff>0</xdr:rowOff>
                  </from>
                  <to>
                    <xdr:col>22</xdr:col>
                    <xdr:colOff>184150</xdr:colOff>
                    <xdr:row>1129</xdr:row>
                    <xdr:rowOff>184150</xdr:rowOff>
                  </to>
                </anchor>
              </controlPr>
            </control>
          </mc:Choice>
        </mc:AlternateContent>
        <mc:AlternateContent xmlns:mc="http://schemas.openxmlformats.org/markup-compatibility/2006">
          <mc:Choice Requires="x14">
            <control shapeId="15839" r:id="rId190" name="Check Box 479">
              <controlPr locked="0" defaultSize="0" autoFill="0" autoLine="0" autoPict="0">
                <anchor moveWithCells="1" sizeWithCells="1">
                  <from>
                    <xdr:col>22</xdr:col>
                    <xdr:colOff>0</xdr:colOff>
                    <xdr:row>1131</xdr:row>
                    <xdr:rowOff>0</xdr:rowOff>
                  </from>
                  <to>
                    <xdr:col>22</xdr:col>
                    <xdr:colOff>184150</xdr:colOff>
                    <xdr:row>1131</xdr:row>
                    <xdr:rowOff>184150</xdr:rowOff>
                  </to>
                </anchor>
              </controlPr>
            </control>
          </mc:Choice>
        </mc:AlternateContent>
        <mc:AlternateContent xmlns:mc="http://schemas.openxmlformats.org/markup-compatibility/2006">
          <mc:Choice Requires="x14">
            <control shapeId="15840" r:id="rId191" name="Check Box 480">
              <controlPr locked="0" defaultSize="0" autoFill="0" autoLine="0" autoPict="0">
                <anchor moveWithCells="1" sizeWithCells="1">
                  <from>
                    <xdr:col>22</xdr:col>
                    <xdr:colOff>0</xdr:colOff>
                    <xdr:row>1134</xdr:row>
                    <xdr:rowOff>0</xdr:rowOff>
                  </from>
                  <to>
                    <xdr:col>22</xdr:col>
                    <xdr:colOff>184150</xdr:colOff>
                    <xdr:row>1134</xdr:row>
                    <xdr:rowOff>184150</xdr:rowOff>
                  </to>
                </anchor>
              </controlPr>
            </control>
          </mc:Choice>
        </mc:AlternateContent>
        <mc:AlternateContent xmlns:mc="http://schemas.openxmlformats.org/markup-compatibility/2006">
          <mc:Choice Requires="x14">
            <control shapeId="15841" r:id="rId192" name="Check Box 481">
              <controlPr locked="0" defaultSize="0" autoFill="0" autoLine="0" autoPict="0">
                <anchor moveWithCells="1" sizeWithCells="1">
                  <from>
                    <xdr:col>22</xdr:col>
                    <xdr:colOff>0</xdr:colOff>
                    <xdr:row>1135</xdr:row>
                    <xdr:rowOff>0</xdr:rowOff>
                  </from>
                  <to>
                    <xdr:col>22</xdr:col>
                    <xdr:colOff>184150</xdr:colOff>
                    <xdr:row>1135</xdr:row>
                    <xdr:rowOff>184150</xdr:rowOff>
                  </to>
                </anchor>
              </controlPr>
            </control>
          </mc:Choice>
        </mc:AlternateContent>
        <mc:AlternateContent xmlns:mc="http://schemas.openxmlformats.org/markup-compatibility/2006">
          <mc:Choice Requires="x14">
            <control shapeId="15842" r:id="rId193" name="Check Box 482">
              <controlPr locked="0" defaultSize="0" autoFill="0" autoLine="0" autoPict="0">
                <anchor moveWithCells="1" sizeWithCells="1">
                  <from>
                    <xdr:col>22</xdr:col>
                    <xdr:colOff>0</xdr:colOff>
                    <xdr:row>1136</xdr:row>
                    <xdr:rowOff>0</xdr:rowOff>
                  </from>
                  <to>
                    <xdr:col>22</xdr:col>
                    <xdr:colOff>184150</xdr:colOff>
                    <xdr:row>1136</xdr:row>
                    <xdr:rowOff>184150</xdr:rowOff>
                  </to>
                </anchor>
              </controlPr>
            </control>
          </mc:Choice>
        </mc:AlternateContent>
        <mc:AlternateContent xmlns:mc="http://schemas.openxmlformats.org/markup-compatibility/2006">
          <mc:Choice Requires="x14">
            <control shapeId="15843" r:id="rId194" name="Check Box 483">
              <controlPr locked="0" defaultSize="0" autoFill="0" autoLine="0" autoPict="0">
                <anchor moveWithCells="1" sizeWithCells="1">
                  <from>
                    <xdr:col>22</xdr:col>
                    <xdr:colOff>0</xdr:colOff>
                    <xdr:row>1139</xdr:row>
                    <xdr:rowOff>0</xdr:rowOff>
                  </from>
                  <to>
                    <xdr:col>22</xdr:col>
                    <xdr:colOff>184150</xdr:colOff>
                    <xdr:row>1139</xdr:row>
                    <xdr:rowOff>184150</xdr:rowOff>
                  </to>
                </anchor>
              </controlPr>
            </control>
          </mc:Choice>
        </mc:AlternateContent>
        <mc:AlternateContent xmlns:mc="http://schemas.openxmlformats.org/markup-compatibility/2006">
          <mc:Choice Requires="x14">
            <control shapeId="15844" r:id="rId195" name="Check Box 484">
              <controlPr locked="0" defaultSize="0" autoFill="0" autoLine="0" autoPict="0">
                <anchor moveWithCells="1" sizeWithCells="1">
                  <from>
                    <xdr:col>22</xdr:col>
                    <xdr:colOff>0</xdr:colOff>
                    <xdr:row>1167</xdr:row>
                    <xdr:rowOff>0</xdr:rowOff>
                  </from>
                  <to>
                    <xdr:col>22</xdr:col>
                    <xdr:colOff>184150</xdr:colOff>
                    <xdr:row>1167</xdr:row>
                    <xdr:rowOff>184150</xdr:rowOff>
                  </to>
                </anchor>
              </controlPr>
            </control>
          </mc:Choice>
        </mc:AlternateContent>
        <mc:AlternateContent xmlns:mc="http://schemas.openxmlformats.org/markup-compatibility/2006">
          <mc:Choice Requires="x14">
            <control shapeId="15845" r:id="rId196" name="Check Box 485">
              <controlPr locked="0" defaultSize="0" autoFill="0" autoLine="0" autoPict="0">
                <anchor moveWithCells="1" sizeWithCells="1">
                  <from>
                    <xdr:col>22</xdr:col>
                    <xdr:colOff>0</xdr:colOff>
                    <xdr:row>1175</xdr:row>
                    <xdr:rowOff>0</xdr:rowOff>
                  </from>
                  <to>
                    <xdr:col>22</xdr:col>
                    <xdr:colOff>184150</xdr:colOff>
                    <xdr:row>1175</xdr:row>
                    <xdr:rowOff>184150</xdr:rowOff>
                  </to>
                </anchor>
              </controlPr>
            </control>
          </mc:Choice>
        </mc:AlternateContent>
        <mc:AlternateContent xmlns:mc="http://schemas.openxmlformats.org/markup-compatibility/2006">
          <mc:Choice Requires="x14">
            <control shapeId="15846" r:id="rId197" name="Check Box 486">
              <controlPr locked="0" defaultSize="0" autoFill="0" autoLine="0" autoPict="0">
                <anchor moveWithCells="1" sizeWithCells="1">
                  <from>
                    <xdr:col>22</xdr:col>
                    <xdr:colOff>0</xdr:colOff>
                    <xdr:row>1177</xdr:row>
                    <xdr:rowOff>0</xdr:rowOff>
                  </from>
                  <to>
                    <xdr:col>22</xdr:col>
                    <xdr:colOff>184150</xdr:colOff>
                    <xdr:row>1177</xdr:row>
                    <xdr:rowOff>184150</xdr:rowOff>
                  </to>
                </anchor>
              </controlPr>
            </control>
          </mc:Choice>
        </mc:AlternateContent>
        <mc:AlternateContent xmlns:mc="http://schemas.openxmlformats.org/markup-compatibility/2006">
          <mc:Choice Requires="x14">
            <control shapeId="15847" r:id="rId198" name="Check Box 487">
              <controlPr locked="0" defaultSize="0" autoFill="0" autoLine="0" autoPict="0">
                <anchor moveWithCells="1" sizeWithCells="1">
                  <from>
                    <xdr:col>22</xdr:col>
                    <xdr:colOff>0</xdr:colOff>
                    <xdr:row>1178</xdr:row>
                    <xdr:rowOff>0</xdr:rowOff>
                  </from>
                  <to>
                    <xdr:col>22</xdr:col>
                    <xdr:colOff>184150</xdr:colOff>
                    <xdr:row>1178</xdr:row>
                    <xdr:rowOff>184150</xdr:rowOff>
                  </to>
                </anchor>
              </controlPr>
            </control>
          </mc:Choice>
        </mc:AlternateContent>
        <mc:AlternateContent xmlns:mc="http://schemas.openxmlformats.org/markup-compatibility/2006">
          <mc:Choice Requires="x14">
            <control shapeId="15848" r:id="rId199" name="Check Box 488">
              <controlPr locked="0" defaultSize="0" autoFill="0" autoLine="0" autoPict="0">
                <anchor moveWithCells="1" sizeWithCells="1">
                  <from>
                    <xdr:col>22</xdr:col>
                    <xdr:colOff>0</xdr:colOff>
                    <xdr:row>1179</xdr:row>
                    <xdr:rowOff>0</xdr:rowOff>
                  </from>
                  <to>
                    <xdr:col>22</xdr:col>
                    <xdr:colOff>184150</xdr:colOff>
                    <xdr:row>1179</xdr:row>
                    <xdr:rowOff>184150</xdr:rowOff>
                  </to>
                </anchor>
              </controlPr>
            </control>
          </mc:Choice>
        </mc:AlternateContent>
        <mc:AlternateContent xmlns:mc="http://schemas.openxmlformats.org/markup-compatibility/2006">
          <mc:Choice Requires="x14">
            <control shapeId="15849" r:id="rId200" name="Check Box 489">
              <controlPr locked="0" defaultSize="0" autoFill="0" autoLine="0" autoPict="0">
                <anchor moveWithCells="1" sizeWithCells="1">
                  <from>
                    <xdr:col>22</xdr:col>
                    <xdr:colOff>0</xdr:colOff>
                    <xdr:row>1181</xdr:row>
                    <xdr:rowOff>0</xdr:rowOff>
                  </from>
                  <to>
                    <xdr:col>22</xdr:col>
                    <xdr:colOff>184150</xdr:colOff>
                    <xdr:row>1181</xdr:row>
                    <xdr:rowOff>184150</xdr:rowOff>
                  </to>
                </anchor>
              </controlPr>
            </control>
          </mc:Choice>
        </mc:AlternateContent>
        <mc:AlternateContent xmlns:mc="http://schemas.openxmlformats.org/markup-compatibility/2006">
          <mc:Choice Requires="x14">
            <control shapeId="15850" r:id="rId201" name="Check Box 490">
              <controlPr locked="0" defaultSize="0" autoFill="0" autoLine="0" autoPict="0">
                <anchor moveWithCells="1" sizeWithCells="1">
                  <from>
                    <xdr:col>22</xdr:col>
                    <xdr:colOff>0</xdr:colOff>
                    <xdr:row>1184</xdr:row>
                    <xdr:rowOff>0</xdr:rowOff>
                  </from>
                  <to>
                    <xdr:col>22</xdr:col>
                    <xdr:colOff>184150</xdr:colOff>
                    <xdr:row>1184</xdr:row>
                    <xdr:rowOff>184150</xdr:rowOff>
                  </to>
                </anchor>
              </controlPr>
            </control>
          </mc:Choice>
        </mc:AlternateContent>
        <mc:AlternateContent xmlns:mc="http://schemas.openxmlformats.org/markup-compatibility/2006">
          <mc:Choice Requires="x14">
            <control shapeId="15851" r:id="rId202" name="Check Box 491">
              <controlPr locked="0" defaultSize="0" autoFill="0" autoLine="0" autoPict="0">
                <anchor moveWithCells="1" sizeWithCells="1">
                  <from>
                    <xdr:col>22</xdr:col>
                    <xdr:colOff>0</xdr:colOff>
                    <xdr:row>1185</xdr:row>
                    <xdr:rowOff>0</xdr:rowOff>
                  </from>
                  <to>
                    <xdr:col>22</xdr:col>
                    <xdr:colOff>184150</xdr:colOff>
                    <xdr:row>1185</xdr:row>
                    <xdr:rowOff>184150</xdr:rowOff>
                  </to>
                </anchor>
              </controlPr>
            </control>
          </mc:Choice>
        </mc:AlternateContent>
        <mc:AlternateContent xmlns:mc="http://schemas.openxmlformats.org/markup-compatibility/2006">
          <mc:Choice Requires="x14">
            <control shapeId="15852" r:id="rId203" name="Check Box 492">
              <controlPr locked="0" defaultSize="0" autoFill="0" autoLine="0" autoPict="0">
                <anchor moveWithCells="1" sizeWithCells="1">
                  <from>
                    <xdr:col>22</xdr:col>
                    <xdr:colOff>0</xdr:colOff>
                    <xdr:row>1190</xdr:row>
                    <xdr:rowOff>0</xdr:rowOff>
                  </from>
                  <to>
                    <xdr:col>22</xdr:col>
                    <xdr:colOff>184150</xdr:colOff>
                    <xdr:row>1190</xdr:row>
                    <xdr:rowOff>184150</xdr:rowOff>
                  </to>
                </anchor>
              </controlPr>
            </control>
          </mc:Choice>
        </mc:AlternateContent>
        <mc:AlternateContent xmlns:mc="http://schemas.openxmlformats.org/markup-compatibility/2006">
          <mc:Choice Requires="x14">
            <control shapeId="15853" r:id="rId204" name="Check Box 493">
              <controlPr locked="0" defaultSize="0" autoFill="0" autoLine="0" autoPict="0">
                <anchor moveWithCells="1" sizeWithCells="1">
                  <from>
                    <xdr:col>22</xdr:col>
                    <xdr:colOff>0</xdr:colOff>
                    <xdr:row>1192</xdr:row>
                    <xdr:rowOff>0</xdr:rowOff>
                  </from>
                  <to>
                    <xdr:col>22</xdr:col>
                    <xdr:colOff>184150</xdr:colOff>
                    <xdr:row>1192</xdr:row>
                    <xdr:rowOff>184150</xdr:rowOff>
                  </to>
                </anchor>
              </controlPr>
            </control>
          </mc:Choice>
        </mc:AlternateContent>
        <mc:AlternateContent xmlns:mc="http://schemas.openxmlformats.org/markup-compatibility/2006">
          <mc:Choice Requires="x14">
            <control shapeId="15854" r:id="rId205" name="Check Box 494">
              <controlPr locked="0" defaultSize="0" autoFill="0" autoLine="0" autoPict="0">
                <anchor moveWithCells="1" sizeWithCells="1">
                  <from>
                    <xdr:col>22</xdr:col>
                    <xdr:colOff>0</xdr:colOff>
                    <xdr:row>1194</xdr:row>
                    <xdr:rowOff>0</xdr:rowOff>
                  </from>
                  <to>
                    <xdr:col>22</xdr:col>
                    <xdr:colOff>184150</xdr:colOff>
                    <xdr:row>1194</xdr:row>
                    <xdr:rowOff>184150</xdr:rowOff>
                  </to>
                </anchor>
              </controlPr>
            </control>
          </mc:Choice>
        </mc:AlternateContent>
        <mc:AlternateContent xmlns:mc="http://schemas.openxmlformats.org/markup-compatibility/2006">
          <mc:Choice Requires="x14">
            <control shapeId="15855" r:id="rId206" name="Check Box 495">
              <controlPr locked="0" defaultSize="0" autoFill="0" autoLine="0" autoPict="0">
                <anchor moveWithCells="1" sizeWithCells="1">
                  <from>
                    <xdr:col>22</xdr:col>
                    <xdr:colOff>0</xdr:colOff>
                    <xdr:row>1196</xdr:row>
                    <xdr:rowOff>0</xdr:rowOff>
                  </from>
                  <to>
                    <xdr:col>22</xdr:col>
                    <xdr:colOff>184150</xdr:colOff>
                    <xdr:row>1196</xdr:row>
                    <xdr:rowOff>184150</xdr:rowOff>
                  </to>
                </anchor>
              </controlPr>
            </control>
          </mc:Choice>
        </mc:AlternateContent>
        <mc:AlternateContent xmlns:mc="http://schemas.openxmlformats.org/markup-compatibility/2006">
          <mc:Choice Requires="x14">
            <control shapeId="15856" r:id="rId207" name="Check Box 496">
              <controlPr locked="0" defaultSize="0" autoFill="0" autoLine="0" autoPict="0">
                <anchor moveWithCells="1" sizeWithCells="1">
                  <from>
                    <xdr:col>22</xdr:col>
                    <xdr:colOff>0</xdr:colOff>
                    <xdr:row>1237</xdr:row>
                    <xdr:rowOff>0</xdr:rowOff>
                  </from>
                  <to>
                    <xdr:col>22</xdr:col>
                    <xdr:colOff>184150</xdr:colOff>
                    <xdr:row>1237</xdr:row>
                    <xdr:rowOff>184150</xdr:rowOff>
                  </to>
                </anchor>
              </controlPr>
            </control>
          </mc:Choice>
        </mc:AlternateContent>
        <mc:AlternateContent xmlns:mc="http://schemas.openxmlformats.org/markup-compatibility/2006">
          <mc:Choice Requires="x14">
            <control shapeId="15857" r:id="rId208" name="Check Box 497">
              <controlPr locked="0" defaultSize="0" autoFill="0" autoLine="0" autoPict="0">
                <anchor moveWithCells="1" sizeWithCells="1">
                  <from>
                    <xdr:col>22</xdr:col>
                    <xdr:colOff>0</xdr:colOff>
                    <xdr:row>1254</xdr:row>
                    <xdr:rowOff>0</xdr:rowOff>
                  </from>
                  <to>
                    <xdr:col>22</xdr:col>
                    <xdr:colOff>184150</xdr:colOff>
                    <xdr:row>1254</xdr:row>
                    <xdr:rowOff>184150</xdr:rowOff>
                  </to>
                </anchor>
              </controlPr>
            </control>
          </mc:Choice>
        </mc:AlternateContent>
        <mc:AlternateContent xmlns:mc="http://schemas.openxmlformats.org/markup-compatibility/2006">
          <mc:Choice Requires="x14">
            <control shapeId="15858" r:id="rId209" name="Check Box 498">
              <controlPr locked="0" defaultSize="0" autoFill="0" autoLine="0" autoPict="0">
                <anchor moveWithCells="1" sizeWithCells="1">
                  <from>
                    <xdr:col>22</xdr:col>
                    <xdr:colOff>0</xdr:colOff>
                    <xdr:row>1257</xdr:row>
                    <xdr:rowOff>0</xdr:rowOff>
                  </from>
                  <to>
                    <xdr:col>22</xdr:col>
                    <xdr:colOff>184150</xdr:colOff>
                    <xdr:row>1257</xdr:row>
                    <xdr:rowOff>184150</xdr:rowOff>
                  </to>
                </anchor>
              </controlPr>
            </control>
          </mc:Choice>
        </mc:AlternateContent>
        <mc:AlternateContent xmlns:mc="http://schemas.openxmlformats.org/markup-compatibility/2006">
          <mc:Choice Requires="x14">
            <control shapeId="15859" r:id="rId210" name="Check Box 499">
              <controlPr locked="0" defaultSize="0" autoFill="0" autoLine="0" autoPict="0">
                <anchor moveWithCells="1" sizeWithCells="1">
                  <from>
                    <xdr:col>22</xdr:col>
                    <xdr:colOff>0</xdr:colOff>
                    <xdr:row>1262</xdr:row>
                    <xdr:rowOff>0</xdr:rowOff>
                  </from>
                  <to>
                    <xdr:col>22</xdr:col>
                    <xdr:colOff>184150</xdr:colOff>
                    <xdr:row>1262</xdr:row>
                    <xdr:rowOff>184150</xdr:rowOff>
                  </to>
                </anchor>
              </controlPr>
            </control>
          </mc:Choice>
        </mc:AlternateContent>
        <mc:AlternateContent xmlns:mc="http://schemas.openxmlformats.org/markup-compatibility/2006">
          <mc:Choice Requires="x14">
            <control shapeId="15860" r:id="rId211" name="Check Box 500">
              <controlPr locked="0" defaultSize="0" autoFill="0" autoLine="0" autoPict="0">
                <anchor moveWithCells="1" sizeWithCells="1">
                  <from>
                    <xdr:col>22</xdr:col>
                    <xdr:colOff>0</xdr:colOff>
                    <xdr:row>1263</xdr:row>
                    <xdr:rowOff>0</xdr:rowOff>
                  </from>
                  <to>
                    <xdr:col>22</xdr:col>
                    <xdr:colOff>184150</xdr:colOff>
                    <xdr:row>1263</xdr:row>
                    <xdr:rowOff>184150</xdr:rowOff>
                  </to>
                </anchor>
              </controlPr>
            </control>
          </mc:Choice>
        </mc:AlternateContent>
        <mc:AlternateContent xmlns:mc="http://schemas.openxmlformats.org/markup-compatibility/2006">
          <mc:Choice Requires="x14">
            <control shapeId="15861" r:id="rId212" name="Check Box 501">
              <controlPr locked="0" defaultSize="0" autoFill="0" autoLine="0" autoPict="0">
                <anchor moveWithCells="1" sizeWithCells="1">
                  <from>
                    <xdr:col>22</xdr:col>
                    <xdr:colOff>0</xdr:colOff>
                    <xdr:row>1267</xdr:row>
                    <xdr:rowOff>0</xdr:rowOff>
                  </from>
                  <to>
                    <xdr:col>22</xdr:col>
                    <xdr:colOff>184150</xdr:colOff>
                    <xdr:row>1267</xdr:row>
                    <xdr:rowOff>184150</xdr:rowOff>
                  </to>
                </anchor>
              </controlPr>
            </control>
          </mc:Choice>
        </mc:AlternateContent>
        <mc:AlternateContent xmlns:mc="http://schemas.openxmlformats.org/markup-compatibility/2006">
          <mc:Choice Requires="x14">
            <control shapeId="15862" r:id="rId213" name="Check Box 502">
              <controlPr locked="0" defaultSize="0" autoFill="0" autoLine="0" autoPict="0">
                <anchor moveWithCells="1" sizeWithCells="1">
                  <from>
                    <xdr:col>22</xdr:col>
                    <xdr:colOff>0</xdr:colOff>
                    <xdr:row>1272</xdr:row>
                    <xdr:rowOff>0</xdr:rowOff>
                  </from>
                  <to>
                    <xdr:col>22</xdr:col>
                    <xdr:colOff>184150</xdr:colOff>
                    <xdr:row>1272</xdr:row>
                    <xdr:rowOff>184150</xdr:rowOff>
                  </to>
                </anchor>
              </controlPr>
            </control>
          </mc:Choice>
        </mc:AlternateContent>
        <mc:AlternateContent xmlns:mc="http://schemas.openxmlformats.org/markup-compatibility/2006">
          <mc:Choice Requires="x14">
            <control shapeId="15863" r:id="rId214" name="Check Box 503">
              <controlPr locked="0" defaultSize="0" autoFill="0" autoLine="0" autoPict="0">
                <anchor moveWithCells="1" sizeWithCells="1">
                  <from>
                    <xdr:col>22</xdr:col>
                    <xdr:colOff>0</xdr:colOff>
                    <xdr:row>1297</xdr:row>
                    <xdr:rowOff>0</xdr:rowOff>
                  </from>
                  <to>
                    <xdr:col>22</xdr:col>
                    <xdr:colOff>184150</xdr:colOff>
                    <xdr:row>1297</xdr:row>
                    <xdr:rowOff>184150</xdr:rowOff>
                  </to>
                </anchor>
              </controlPr>
            </control>
          </mc:Choice>
        </mc:AlternateContent>
        <mc:AlternateContent xmlns:mc="http://schemas.openxmlformats.org/markup-compatibility/2006">
          <mc:Choice Requires="x14">
            <control shapeId="15864" r:id="rId215" name="Check Box 504">
              <controlPr locked="0" defaultSize="0" autoFill="0" autoLine="0" autoPict="0">
                <anchor moveWithCells="1" sizeWithCells="1">
                  <from>
                    <xdr:col>22</xdr:col>
                    <xdr:colOff>0</xdr:colOff>
                    <xdr:row>1300</xdr:row>
                    <xdr:rowOff>0</xdr:rowOff>
                  </from>
                  <to>
                    <xdr:col>22</xdr:col>
                    <xdr:colOff>184150</xdr:colOff>
                    <xdr:row>1300</xdr:row>
                    <xdr:rowOff>184150</xdr:rowOff>
                  </to>
                </anchor>
              </controlPr>
            </control>
          </mc:Choice>
        </mc:AlternateContent>
        <mc:AlternateContent xmlns:mc="http://schemas.openxmlformats.org/markup-compatibility/2006">
          <mc:Choice Requires="x14">
            <control shapeId="15865" r:id="rId216" name="Check Box 505">
              <controlPr locked="0" defaultSize="0" autoFill="0" autoLine="0" autoPict="0">
                <anchor moveWithCells="1" sizeWithCells="1">
                  <from>
                    <xdr:col>22</xdr:col>
                    <xdr:colOff>0</xdr:colOff>
                    <xdr:row>1314</xdr:row>
                    <xdr:rowOff>0</xdr:rowOff>
                  </from>
                  <to>
                    <xdr:col>22</xdr:col>
                    <xdr:colOff>184150</xdr:colOff>
                    <xdr:row>1314</xdr:row>
                    <xdr:rowOff>184150</xdr:rowOff>
                  </to>
                </anchor>
              </controlPr>
            </control>
          </mc:Choice>
        </mc:AlternateContent>
        <mc:AlternateContent xmlns:mc="http://schemas.openxmlformats.org/markup-compatibility/2006">
          <mc:Choice Requires="x14">
            <control shapeId="15866" r:id="rId217" name="Check Box 506">
              <controlPr locked="0" defaultSize="0" autoFill="0" autoLine="0" autoPict="0">
                <anchor moveWithCells="1" sizeWithCells="1">
                  <from>
                    <xdr:col>22</xdr:col>
                    <xdr:colOff>0</xdr:colOff>
                    <xdr:row>1326</xdr:row>
                    <xdr:rowOff>0</xdr:rowOff>
                  </from>
                  <to>
                    <xdr:col>22</xdr:col>
                    <xdr:colOff>184150</xdr:colOff>
                    <xdr:row>1326</xdr:row>
                    <xdr:rowOff>184150</xdr:rowOff>
                  </to>
                </anchor>
              </controlPr>
            </control>
          </mc:Choice>
        </mc:AlternateContent>
        <mc:AlternateContent xmlns:mc="http://schemas.openxmlformats.org/markup-compatibility/2006">
          <mc:Choice Requires="x14">
            <control shapeId="15867" r:id="rId218" name="Check Box 507">
              <controlPr locked="0" defaultSize="0" autoFill="0" autoLine="0" autoPict="0">
                <anchor moveWithCells="1" sizeWithCells="1">
                  <from>
                    <xdr:col>22</xdr:col>
                    <xdr:colOff>0</xdr:colOff>
                    <xdr:row>1328</xdr:row>
                    <xdr:rowOff>0</xdr:rowOff>
                  </from>
                  <to>
                    <xdr:col>22</xdr:col>
                    <xdr:colOff>184150</xdr:colOff>
                    <xdr:row>1328</xdr:row>
                    <xdr:rowOff>184150</xdr:rowOff>
                  </to>
                </anchor>
              </controlPr>
            </control>
          </mc:Choice>
        </mc:AlternateContent>
        <mc:AlternateContent xmlns:mc="http://schemas.openxmlformats.org/markup-compatibility/2006">
          <mc:Choice Requires="x14">
            <control shapeId="15868" r:id="rId219" name="Check Box 508">
              <controlPr locked="0" defaultSize="0" autoFill="0" autoLine="0" autoPict="0">
                <anchor moveWithCells="1" sizeWithCells="1">
                  <from>
                    <xdr:col>22</xdr:col>
                    <xdr:colOff>0</xdr:colOff>
                    <xdr:row>1330</xdr:row>
                    <xdr:rowOff>0</xdr:rowOff>
                  </from>
                  <to>
                    <xdr:col>22</xdr:col>
                    <xdr:colOff>184150</xdr:colOff>
                    <xdr:row>1330</xdr:row>
                    <xdr:rowOff>184150</xdr:rowOff>
                  </to>
                </anchor>
              </controlPr>
            </control>
          </mc:Choice>
        </mc:AlternateContent>
        <mc:AlternateContent xmlns:mc="http://schemas.openxmlformats.org/markup-compatibility/2006">
          <mc:Choice Requires="x14">
            <control shapeId="15869" r:id="rId220" name="Check Box 509">
              <controlPr locked="0" defaultSize="0" autoFill="0" autoLine="0" autoPict="0">
                <anchor moveWithCells="1" sizeWithCells="1">
                  <from>
                    <xdr:col>22</xdr:col>
                    <xdr:colOff>0</xdr:colOff>
                    <xdr:row>1337</xdr:row>
                    <xdr:rowOff>0</xdr:rowOff>
                  </from>
                  <to>
                    <xdr:col>22</xdr:col>
                    <xdr:colOff>184150</xdr:colOff>
                    <xdr:row>1337</xdr:row>
                    <xdr:rowOff>184150</xdr:rowOff>
                  </to>
                </anchor>
              </controlPr>
            </control>
          </mc:Choice>
        </mc:AlternateContent>
        <mc:AlternateContent xmlns:mc="http://schemas.openxmlformats.org/markup-compatibility/2006">
          <mc:Choice Requires="x14">
            <control shapeId="15870" r:id="rId221" name="Check Box 510">
              <controlPr locked="0" defaultSize="0" autoFill="0" autoLine="0" autoPict="0">
                <anchor moveWithCells="1" sizeWithCells="1">
                  <from>
                    <xdr:col>22</xdr:col>
                    <xdr:colOff>0</xdr:colOff>
                    <xdr:row>1338</xdr:row>
                    <xdr:rowOff>0</xdr:rowOff>
                  </from>
                  <to>
                    <xdr:col>22</xdr:col>
                    <xdr:colOff>184150</xdr:colOff>
                    <xdr:row>1338</xdr:row>
                    <xdr:rowOff>184150</xdr:rowOff>
                  </to>
                </anchor>
              </controlPr>
            </control>
          </mc:Choice>
        </mc:AlternateContent>
        <mc:AlternateContent xmlns:mc="http://schemas.openxmlformats.org/markup-compatibility/2006">
          <mc:Choice Requires="x14">
            <control shapeId="15871" r:id="rId222" name="Check Box 511">
              <controlPr locked="0" defaultSize="0" autoFill="0" autoLine="0" autoPict="0">
                <anchor moveWithCells="1" sizeWithCells="1">
                  <from>
                    <xdr:col>22</xdr:col>
                    <xdr:colOff>0</xdr:colOff>
                    <xdr:row>1339</xdr:row>
                    <xdr:rowOff>0</xdr:rowOff>
                  </from>
                  <to>
                    <xdr:col>22</xdr:col>
                    <xdr:colOff>184150</xdr:colOff>
                    <xdr:row>1339</xdr:row>
                    <xdr:rowOff>184150</xdr:rowOff>
                  </to>
                </anchor>
              </controlPr>
            </control>
          </mc:Choice>
        </mc:AlternateContent>
        <mc:AlternateContent xmlns:mc="http://schemas.openxmlformats.org/markup-compatibility/2006">
          <mc:Choice Requires="x14">
            <control shapeId="15872" r:id="rId223" name="Check Box 512">
              <controlPr locked="0" defaultSize="0" autoFill="0" autoLine="0" autoPict="0">
                <anchor moveWithCells="1" sizeWithCells="1">
                  <from>
                    <xdr:col>22</xdr:col>
                    <xdr:colOff>0</xdr:colOff>
                    <xdr:row>1340</xdr:row>
                    <xdr:rowOff>0</xdr:rowOff>
                  </from>
                  <to>
                    <xdr:col>22</xdr:col>
                    <xdr:colOff>184150</xdr:colOff>
                    <xdr:row>1340</xdr:row>
                    <xdr:rowOff>184150</xdr:rowOff>
                  </to>
                </anchor>
              </controlPr>
            </control>
          </mc:Choice>
        </mc:AlternateContent>
        <mc:AlternateContent xmlns:mc="http://schemas.openxmlformats.org/markup-compatibility/2006">
          <mc:Choice Requires="x14">
            <control shapeId="15873" r:id="rId224" name="Check Box 513">
              <controlPr locked="0" defaultSize="0" autoFill="0" autoLine="0" autoPict="0">
                <anchor moveWithCells="1" sizeWithCells="1">
                  <from>
                    <xdr:col>22</xdr:col>
                    <xdr:colOff>0</xdr:colOff>
                    <xdr:row>1342</xdr:row>
                    <xdr:rowOff>0</xdr:rowOff>
                  </from>
                  <to>
                    <xdr:col>22</xdr:col>
                    <xdr:colOff>184150</xdr:colOff>
                    <xdr:row>1342</xdr:row>
                    <xdr:rowOff>184150</xdr:rowOff>
                  </to>
                </anchor>
              </controlPr>
            </control>
          </mc:Choice>
        </mc:AlternateContent>
        <mc:AlternateContent xmlns:mc="http://schemas.openxmlformats.org/markup-compatibility/2006">
          <mc:Choice Requires="x14">
            <control shapeId="15874" r:id="rId225" name="Check Box 514">
              <controlPr locked="0" defaultSize="0" autoFill="0" autoLine="0" autoPict="0">
                <anchor moveWithCells="1" sizeWithCells="1">
                  <from>
                    <xdr:col>22</xdr:col>
                    <xdr:colOff>0</xdr:colOff>
                    <xdr:row>1345</xdr:row>
                    <xdr:rowOff>0</xdr:rowOff>
                  </from>
                  <to>
                    <xdr:col>22</xdr:col>
                    <xdr:colOff>184150</xdr:colOff>
                    <xdr:row>1345</xdr:row>
                    <xdr:rowOff>184150</xdr:rowOff>
                  </to>
                </anchor>
              </controlPr>
            </control>
          </mc:Choice>
        </mc:AlternateContent>
        <mc:AlternateContent xmlns:mc="http://schemas.openxmlformats.org/markup-compatibility/2006">
          <mc:Choice Requires="x14">
            <control shapeId="15875" r:id="rId226" name="Check Box 515">
              <controlPr locked="0" defaultSize="0" autoFill="0" autoLine="0" autoPict="0">
                <anchor moveWithCells="1" sizeWithCells="1">
                  <from>
                    <xdr:col>22</xdr:col>
                    <xdr:colOff>0</xdr:colOff>
                    <xdr:row>1363</xdr:row>
                    <xdr:rowOff>0</xdr:rowOff>
                  </from>
                  <to>
                    <xdr:col>22</xdr:col>
                    <xdr:colOff>184150</xdr:colOff>
                    <xdr:row>1363</xdr:row>
                    <xdr:rowOff>184150</xdr:rowOff>
                  </to>
                </anchor>
              </controlPr>
            </control>
          </mc:Choice>
        </mc:AlternateContent>
        <mc:AlternateContent xmlns:mc="http://schemas.openxmlformats.org/markup-compatibility/2006">
          <mc:Choice Requires="x14">
            <control shapeId="15876" r:id="rId227" name="Check Box 516">
              <controlPr locked="0" defaultSize="0" autoFill="0" autoLine="0" autoPict="0">
                <anchor moveWithCells="1" sizeWithCells="1">
                  <from>
                    <xdr:col>22</xdr:col>
                    <xdr:colOff>0</xdr:colOff>
                    <xdr:row>1364</xdr:row>
                    <xdr:rowOff>0</xdr:rowOff>
                  </from>
                  <to>
                    <xdr:col>22</xdr:col>
                    <xdr:colOff>184150</xdr:colOff>
                    <xdr:row>1364</xdr:row>
                    <xdr:rowOff>184150</xdr:rowOff>
                  </to>
                </anchor>
              </controlPr>
            </control>
          </mc:Choice>
        </mc:AlternateContent>
        <mc:AlternateContent xmlns:mc="http://schemas.openxmlformats.org/markup-compatibility/2006">
          <mc:Choice Requires="x14">
            <control shapeId="15877" r:id="rId228" name="Check Box 517">
              <controlPr locked="0" defaultSize="0" autoFill="0" autoLine="0" autoPict="0">
                <anchor moveWithCells="1" sizeWithCells="1">
                  <from>
                    <xdr:col>22</xdr:col>
                    <xdr:colOff>0</xdr:colOff>
                    <xdr:row>1365</xdr:row>
                    <xdr:rowOff>0</xdr:rowOff>
                  </from>
                  <to>
                    <xdr:col>22</xdr:col>
                    <xdr:colOff>184150</xdr:colOff>
                    <xdr:row>1365</xdr:row>
                    <xdr:rowOff>184150</xdr:rowOff>
                  </to>
                </anchor>
              </controlPr>
            </control>
          </mc:Choice>
        </mc:AlternateContent>
        <mc:AlternateContent xmlns:mc="http://schemas.openxmlformats.org/markup-compatibility/2006">
          <mc:Choice Requires="x14">
            <control shapeId="15878" r:id="rId229" name="Check Box 518">
              <controlPr locked="0" defaultSize="0" autoFill="0" autoLine="0" autoPict="0">
                <anchor moveWithCells="1" sizeWithCells="1">
                  <from>
                    <xdr:col>22</xdr:col>
                    <xdr:colOff>0</xdr:colOff>
                    <xdr:row>1366</xdr:row>
                    <xdr:rowOff>0</xdr:rowOff>
                  </from>
                  <to>
                    <xdr:col>22</xdr:col>
                    <xdr:colOff>184150</xdr:colOff>
                    <xdr:row>1366</xdr:row>
                    <xdr:rowOff>184150</xdr:rowOff>
                  </to>
                </anchor>
              </controlPr>
            </control>
          </mc:Choice>
        </mc:AlternateContent>
        <mc:AlternateContent xmlns:mc="http://schemas.openxmlformats.org/markup-compatibility/2006">
          <mc:Choice Requires="x14">
            <control shapeId="15879" r:id="rId230" name="Check Box 519">
              <controlPr locked="0" defaultSize="0" autoFill="0" autoLine="0" autoPict="0">
                <anchor moveWithCells="1" sizeWithCells="1">
                  <from>
                    <xdr:col>22</xdr:col>
                    <xdr:colOff>0</xdr:colOff>
                    <xdr:row>1367</xdr:row>
                    <xdr:rowOff>0</xdr:rowOff>
                  </from>
                  <to>
                    <xdr:col>22</xdr:col>
                    <xdr:colOff>184150</xdr:colOff>
                    <xdr:row>1367</xdr:row>
                    <xdr:rowOff>184150</xdr:rowOff>
                  </to>
                </anchor>
              </controlPr>
            </control>
          </mc:Choice>
        </mc:AlternateContent>
        <mc:AlternateContent xmlns:mc="http://schemas.openxmlformats.org/markup-compatibility/2006">
          <mc:Choice Requires="x14">
            <control shapeId="15880" r:id="rId231" name="Check Box 520">
              <controlPr locked="0" defaultSize="0" autoFill="0" autoLine="0" autoPict="0">
                <anchor moveWithCells="1" sizeWithCells="1">
                  <from>
                    <xdr:col>22</xdr:col>
                    <xdr:colOff>0</xdr:colOff>
                    <xdr:row>1368</xdr:row>
                    <xdr:rowOff>0</xdr:rowOff>
                  </from>
                  <to>
                    <xdr:col>22</xdr:col>
                    <xdr:colOff>184150</xdr:colOff>
                    <xdr:row>1368</xdr:row>
                    <xdr:rowOff>184150</xdr:rowOff>
                  </to>
                </anchor>
              </controlPr>
            </control>
          </mc:Choice>
        </mc:AlternateContent>
        <mc:AlternateContent xmlns:mc="http://schemas.openxmlformats.org/markup-compatibility/2006">
          <mc:Choice Requires="x14">
            <control shapeId="15881" r:id="rId232" name="Check Box 521">
              <controlPr locked="0" defaultSize="0" autoFill="0" autoLine="0" autoPict="0">
                <anchor moveWithCells="1" sizeWithCells="1">
                  <from>
                    <xdr:col>22</xdr:col>
                    <xdr:colOff>0</xdr:colOff>
                    <xdr:row>1369</xdr:row>
                    <xdr:rowOff>0</xdr:rowOff>
                  </from>
                  <to>
                    <xdr:col>22</xdr:col>
                    <xdr:colOff>184150</xdr:colOff>
                    <xdr:row>1369</xdr:row>
                    <xdr:rowOff>184150</xdr:rowOff>
                  </to>
                </anchor>
              </controlPr>
            </control>
          </mc:Choice>
        </mc:AlternateContent>
        <mc:AlternateContent xmlns:mc="http://schemas.openxmlformats.org/markup-compatibility/2006">
          <mc:Choice Requires="x14">
            <control shapeId="15882" r:id="rId233" name="Check Box 522">
              <controlPr locked="0" defaultSize="0" autoFill="0" autoLine="0" autoPict="0">
                <anchor moveWithCells="1" sizeWithCells="1">
                  <from>
                    <xdr:col>22</xdr:col>
                    <xdr:colOff>0</xdr:colOff>
                    <xdr:row>1370</xdr:row>
                    <xdr:rowOff>0</xdr:rowOff>
                  </from>
                  <to>
                    <xdr:col>22</xdr:col>
                    <xdr:colOff>184150</xdr:colOff>
                    <xdr:row>1370</xdr:row>
                    <xdr:rowOff>184150</xdr:rowOff>
                  </to>
                </anchor>
              </controlPr>
            </control>
          </mc:Choice>
        </mc:AlternateContent>
        <mc:AlternateContent xmlns:mc="http://schemas.openxmlformats.org/markup-compatibility/2006">
          <mc:Choice Requires="x14">
            <control shapeId="15883" r:id="rId234" name="Check Box 523">
              <controlPr locked="0" defaultSize="0" autoFill="0" autoLine="0" autoPict="0">
                <anchor moveWithCells="1" sizeWithCells="1">
                  <from>
                    <xdr:col>22</xdr:col>
                    <xdr:colOff>0</xdr:colOff>
                    <xdr:row>1373</xdr:row>
                    <xdr:rowOff>0</xdr:rowOff>
                  </from>
                  <to>
                    <xdr:col>22</xdr:col>
                    <xdr:colOff>184150</xdr:colOff>
                    <xdr:row>1373</xdr:row>
                    <xdr:rowOff>184150</xdr:rowOff>
                  </to>
                </anchor>
              </controlPr>
            </control>
          </mc:Choice>
        </mc:AlternateContent>
        <mc:AlternateContent xmlns:mc="http://schemas.openxmlformats.org/markup-compatibility/2006">
          <mc:Choice Requires="x14">
            <control shapeId="15884" r:id="rId235" name="Check Box 524">
              <controlPr locked="0" defaultSize="0" autoFill="0" autoLine="0" autoPict="0">
                <anchor moveWithCells="1" sizeWithCells="1">
                  <from>
                    <xdr:col>22</xdr:col>
                    <xdr:colOff>0</xdr:colOff>
                    <xdr:row>1375</xdr:row>
                    <xdr:rowOff>0</xdr:rowOff>
                  </from>
                  <to>
                    <xdr:col>22</xdr:col>
                    <xdr:colOff>184150</xdr:colOff>
                    <xdr:row>1375</xdr:row>
                    <xdr:rowOff>184150</xdr:rowOff>
                  </to>
                </anchor>
              </controlPr>
            </control>
          </mc:Choice>
        </mc:AlternateContent>
        <mc:AlternateContent xmlns:mc="http://schemas.openxmlformats.org/markup-compatibility/2006">
          <mc:Choice Requires="x14">
            <control shapeId="15885" r:id="rId236" name="Check Box 525">
              <controlPr locked="0" defaultSize="0" autoFill="0" autoLine="0" autoPict="0">
                <anchor moveWithCells="1" sizeWithCells="1">
                  <from>
                    <xdr:col>22</xdr:col>
                    <xdr:colOff>0</xdr:colOff>
                    <xdr:row>1377</xdr:row>
                    <xdr:rowOff>0</xdr:rowOff>
                  </from>
                  <to>
                    <xdr:col>22</xdr:col>
                    <xdr:colOff>184150</xdr:colOff>
                    <xdr:row>1377</xdr:row>
                    <xdr:rowOff>184150</xdr:rowOff>
                  </to>
                </anchor>
              </controlPr>
            </control>
          </mc:Choice>
        </mc:AlternateContent>
        <mc:AlternateContent xmlns:mc="http://schemas.openxmlformats.org/markup-compatibility/2006">
          <mc:Choice Requires="x14">
            <control shapeId="15886" r:id="rId237" name="Check Box 526">
              <controlPr locked="0" defaultSize="0" autoFill="0" autoLine="0" autoPict="0">
                <anchor moveWithCells="1" sizeWithCells="1">
                  <from>
                    <xdr:col>22</xdr:col>
                    <xdr:colOff>0</xdr:colOff>
                    <xdr:row>1388</xdr:row>
                    <xdr:rowOff>0</xdr:rowOff>
                  </from>
                  <to>
                    <xdr:col>22</xdr:col>
                    <xdr:colOff>184150</xdr:colOff>
                    <xdr:row>1388</xdr:row>
                    <xdr:rowOff>184150</xdr:rowOff>
                  </to>
                </anchor>
              </controlPr>
            </control>
          </mc:Choice>
        </mc:AlternateContent>
        <mc:AlternateContent xmlns:mc="http://schemas.openxmlformats.org/markup-compatibility/2006">
          <mc:Choice Requires="x14">
            <control shapeId="15887" r:id="rId238" name="Check Box 527">
              <controlPr locked="0" defaultSize="0" autoFill="0" autoLine="0" autoPict="0">
                <anchor moveWithCells="1" sizeWithCells="1">
                  <from>
                    <xdr:col>22</xdr:col>
                    <xdr:colOff>0</xdr:colOff>
                    <xdr:row>1392</xdr:row>
                    <xdr:rowOff>0</xdr:rowOff>
                  </from>
                  <to>
                    <xdr:col>22</xdr:col>
                    <xdr:colOff>184150</xdr:colOff>
                    <xdr:row>1392</xdr:row>
                    <xdr:rowOff>184150</xdr:rowOff>
                  </to>
                </anchor>
              </controlPr>
            </control>
          </mc:Choice>
        </mc:AlternateContent>
        <mc:AlternateContent xmlns:mc="http://schemas.openxmlformats.org/markup-compatibility/2006">
          <mc:Choice Requires="x14">
            <control shapeId="15888" r:id="rId239" name="Check Box 528">
              <controlPr locked="0" defaultSize="0" autoFill="0" autoLine="0" autoPict="0">
                <anchor moveWithCells="1" sizeWithCells="1">
                  <from>
                    <xdr:col>22</xdr:col>
                    <xdr:colOff>0</xdr:colOff>
                    <xdr:row>1393</xdr:row>
                    <xdr:rowOff>0</xdr:rowOff>
                  </from>
                  <to>
                    <xdr:col>22</xdr:col>
                    <xdr:colOff>184150</xdr:colOff>
                    <xdr:row>1393</xdr:row>
                    <xdr:rowOff>184150</xdr:rowOff>
                  </to>
                </anchor>
              </controlPr>
            </control>
          </mc:Choice>
        </mc:AlternateContent>
        <mc:AlternateContent xmlns:mc="http://schemas.openxmlformats.org/markup-compatibility/2006">
          <mc:Choice Requires="x14">
            <control shapeId="15889" r:id="rId240" name="Check Box 529">
              <controlPr locked="0" defaultSize="0" autoFill="0" autoLine="0" autoPict="0">
                <anchor moveWithCells="1" sizeWithCells="1">
                  <from>
                    <xdr:col>22</xdr:col>
                    <xdr:colOff>0</xdr:colOff>
                    <xdr:row>1396</xdr:row>
                    <xdr:rowOff>0</xdr:rowOff>
                  </from>
                  <to>
                    <xdr:col>22</xdr:col>
                    <xdr:colOff>184150</xdr:colOff>
                    <xdr:row>1396</xdr:row>
                    <xdr:rowOff>184150</xdr:rowOff>
                  </to>
                </anchor>
              </controlPr>
            </control>
          </mc:Choice>
        </mc:AlternateContent>
        <mc:AlternateContent xmlns:mc="http://schemas.openxmlformats.org/markup-compatibility/2006">
          <mc:Choice Requires="x14">
            <control shapeId="15890" r:id="rId241" name="Check Box 530">
              <controlPr locked="0" defaultSize="0" autoFill="0" autoLine="0" autoPict="0">
                <anchor moveWithCells="1" sizeWithCells="1">
                  <from>
                    <xdr:col>22</xdr:col>
                    <xdr:colOff>0</xdr:colOff>
                    <xdr:row>1399</xdr:row>
                    <xdr:rowOff>0</xdr:rowOff>
                  </from>
                  <to>
                    <xdr:col>22</xdr:col>
                    <xdr:colOff>184150</xdr:colOff>
                    <xdr:row>1399</xdr:row>
                    <xdr:rowOff>184150</xdr:rowOff>
                  </to>
                </anchor>
              </controlPr>
            </control>
          </mc:Choice>
        </mc:AlternateContent>
        <mc:AlternateContent xmlns:mc="http://schemas.openxmlformats.org/markup-compatibility/2006">
          <mc:Choice Requires="x14">
            <control shapeId="15915" r:id="rId242" name="Check Box 555">
              <controlPr locked="0" defaultSize="0" autoFill="0" autoLine="0" autoPict="0">
                <anchor moveWithCells="1" sizeWithCells="1">
                  <from>
                    <xdr:col>22</xdr:col>
                    <xdr:colOff>0</xdr:colOff>
                    <xdr:row>1436</xdr:row>
                    <xdr:rowOff>0</xdr:rowOff>
                  </from>
                  <to>
                    <xdr:col>22</xdr:col>
                    <xdr:colOff>184150</xdr:colOff>
                    <xdr:row>1436</xdr:row>
                    <xdr:rowOff>184150</xdr:rowOff>
                  </to>
                </anchor>
              </controlPr>
            </control>
          </mc:Choice>
        </mc:AlternateContent>
        <mc:AlternateContent xmlns:mc="http://schemas.openxmlformats.org/markup-compatibility/2006">
          <mc:Choice Requires="x14">
            <control shapeId="15916" r:id="rId243" name="Check Box 556">
              <controlPr locked="0" defaultSize="0" autoFill="0" autoLine="0" autoPict="0">
                <anchor moveWithCells="1" sizeWithCells="1">
                  <from>
                    <xdr:col>22</xdr:col>
                    <xdr:colOff>0</xdr:colOff>
                    <xdr:row>1441</xdr:row>
                    <xdr:rowOff>0</xdr:rowOff>
                  </from>
                  <to>
                    <xdr:col>22</xdr:col>
                    <xdr:colOff>184150</xdr:colOff>
                    <xdr:row>1441</xdr:row>
                    <xdr:rowOff>184150</xdr:rowOff>
                  </to>
                </anchor>
              </controlPr>
            </control>
          </mc:Choice>
        </mc:AlternateContent>
        <mc:AlternateContent xmlns:mc="http://schemas.openxmlformats.org/markup-compatibility/2006">
          <mc:Choice Requires="x14">
            <control shapeId="15917" r:id="rId244" name="Check Box 557">
              <controlPr locked="0" defaultSize="0" autoFill="0" autoLine="0" autoPict="0">
                <anchor moveWithCells="1" sizeWithCells="1">
                  <from>
                    <xdr:col>22</xdr:col>
                    <xdr:colOff>0</xdr:colOff>
                    <xdr:row>1472</xdr:row>
                    <xdr:rowOff>0</xdr:rowOff>
                  </from>
                  <to>
                    <xdr:col>22</xdr:col>
                    <xdr:colOff>184150</xdr:colOff>
                    <xdr:row>1472</xdr:row>
                    <xdr:rowOff>184150</xdr:rowOff>
                  </to>
                </anchor>
              </controlPr>
            </control>
          </mc:Choice>
        </mc:AlternateContent>
        <mc:AlternateContent xmlns:mc="http://schemas.openxmlformats.org/markup-compatibility/2006">
          <mc:Choice Requires="x14">
            <control shapeId="15918" r:id="rId245" name="Check Box 558">
              <controlPr locked="0" defaultSize="0" autoFill="0" autoLine="0" autoPict="0">
                <anchor moveWithCells="1" sizeWithCells="1">
                  <from>
                    <xdr:col>22</xdr:col>
                    <xdr:colOff>0</xdr:colOff>
                    <xdr:row>1486</xdr:row>
                    <xdr:rowOff>0</xdr:rowOff>
                  </from>
                  <to>
                    <xdr:col>22</xdr:col>
                    <xdr:colOff>184150</xdr:colOff>
                    <xdr:row>1486</xdr:row>
                    <xdr:rowOff>184150</xdr:rowOff>
                  </to>
                </anchor>
              </controlPr>
            </control>
          </mc:Choice>
        </mc:AlternateContent>
        <mc:AlternateContent xmlns:mc="http://schemas.openxmlformats.org/markup-compatibility/2006">
          <mc:Choice Requires="x14">
            <control shapeId="15919" r:id="rId246" name="Check Box 559">
              <controlPr locked="0" defaultSize="0" autoFill="0" autoLine="0" autoPict="0">
                <anchor moveWithCells="1" sizeWithCells="1">
                  <from>
                    <xdr:col>22</xdr:col>
                    <xdr:colOff>0</xdr:colOff>
                    <xdr:row>1493</xdr:row>
                    <xdr:rowOff>0</xdr:rowOff>
                  </from>
                  <to>
                    <xdr:col>22</xdr:col>
                    <xdr:colOff>184150</xdr:colOff>
                    <xdr:row>1493</xdr:row>
                    <xdr:rowOff>184150</xdr:rowOff>
                  </to>
                </anchor>
              </controlPr>
            </control>
          </mc:Choice>
        </mc:AlternateContent>
        <mc:AlternateContent xmlns:mc="http://schemas.openxmlformats.org/markup-compatibility/2006">
          <mc:Choice Requires="x14">
            <control shapeId="15920" r:id="rId247" name="Check Box 560">
              <controlPr locked="0" defaultSize="0" autoFill="0" autoLine="0" autoPict="0">
                <anchor moveWithCells="1" sizeWithCells="1">
                  <from>
                    <xdr:col>22</xdr:col>
                    <xdr:colOff>0</xdr:colOff>
                    <xdr:row>1495</xdr:row>
                    <xdr:rowOff>0</xdr:rowOff>
                  </from>
                  <to>
                    <xdr:col>22</xdr:col>
                    <xdr:colOff>184150</xdr:colOff>
                    <xdr:row>1495</xdr:row>
                    <xdr:rowOff>184150</xdr:rowOff>
                  </to>
                </anchor>
              </controlPr>
            </control>
          </mc:Choice>
        </mc:AlternateContent>
        <mc:AlternateContent xmlns:mc="http://schemas.openxmlformats.org/markup-compatibility/2006">
          <mc:Choice Requires="x14">
            <control shapeId="15921" r:id="rId248" name="Check Box 561">
              <controlPr locked="0" defaultSize="0" autoFill="0" autoLine="0" autoPict="0">
                <anchor moveWithCells="1" sizeWithCells="1">
                  <from>
                    <xdr:col>22</xdr:col>
                    <xdr:colOff>0</xdr:colOff>
                    <xdr:row>1497</xdr:row>
                    <xdr:rowOff>0</xdr:rowOff>
                  </from>
                  <to>
                    <xdr:col>22</xdr:col>
                    <xdr:colOff>184150</xdr:colOff>
                    <xdr:row>1497</xdr:row>
                    <xdr:rowOff>184150</xdr:rowOff>
                  </to>
                </anchor>
              </controlPr>
            </control>
          </mc:Choice>
        </mc:AlternateContent>
        <mc:AlternateContent xmlns:mc="http://schemas.openxmlformats.org/markup-compatibility/2006">
          <mc:Choice Requires="x14">
            <control shapeId="15922" r:id="rId249" name="Check Box 562">
              <controlPr locked="0" defaultSize="0" autoFill="0" autoLine="0" autoPict="0">
                <anchor moveWithCells="1" sizeWithCells="1">
                  <from>
                    <xdr:col>22</xdr:col>
                    <xdr:colOff>0</xdr:colOff>
                    <xdr:row>1501</xdr:row>
                    <xdr:rowOff>0</xdr:rowOff>
                  </from>
                  <to>
                    <xdr:col>22</xdr:col>
                    <xdr:colOff>184150</xdr:colOff>
                    <xdr:row>1501</xdr:row>
                    <xdr:rowOff>184150</xdr:rowOff>
                  </to>
                </anchor>
              </controlPr>
            </control>
          </mc:Choice>
        </mc:AlternateContent>
        <mc:AlternateContent xmlns:mc="http://schemas.openxmlformats.org/markup-compatibility/2006">
          <mc:Choice Requires="x14">
            <control shapeId="15923" r:id="rId250" name="Check Box 563">
              <controlPr locked="0" defaultSize="0" autoFill="0" autoLine="0" autoPict="0">
                <anchor moveWithCells="1" sizeWithCells="1">
                  <from>
                    <xdr:col>22</xdr:col>
                    <xdr:colOff>0</xdr:colOff>
                    <xdr:row>1502</xdr:row>
                    <xdr:rowOff>0</xdr:rowOff>
                  </from>
                  <to>
                    <xdr:col>22</xdr:col>
                    <xdr:colOff>184150</xdr:colOff>
                    <xdr:row>1502</xdr:row>
                    <xdr:rowOff>184150</xdr:rowOff>
                  </to>
                </anchor>
              </controlPr>
            </control>
          </mc:Choice>
        </mc:AlternateContent>
        <mc:AlternateContent xmlns:mc="http://schemas.openxmlformats.org/markup-compatibility/2006">
          <mc:Choice Requires="x14">
            <control shapeId="15924" r:id="rId251" name="Check Box 564">
              <controlPr locked="0" defaultSize="0" autoFill="0" autoLine="0" autoPict="0">
                <anchor moveWithCells="1" sizeWithCells="1">
                  <from>
                    <xdr:col>22</xdr:col>
                    <xdr:colOff>0</xdr:colOff>
                    <xdr:row>1503</xdr:row>
                    <xdr:rowOff>0</xdr:rowOff>
                  </from>
                  <to>
                    <xdr:col>22</xdr:col>
                    <xdr:colOff>184150</xdr:colOff>
                    <xdr:row>1503</xdr:row>
                    <xdr:rowOff>184150</xdr:rowOff>
                  </to>
                </anchor>
              </controlPr>
            </control>
          </mc:Choice>
        </mc:AlternateContent>
        <mc:AlternateContent xmlns:mc="http://schemas.openxmlformats.org/markup-compatibility/2006">
          <mc:Choice Requires="x14">
            <control shapeId="15926" r:id="rId252" name="Check Box 566">
              <controlPr locked="0" defaultSize="0" autoFill="0" autoLine="0" autoPict="0">
                <anchor moveWithCells="1" sizeWithCells="1">
                  <from>
                    <xdr:col>22</xdr:col>
                    <xdr:colOff>0</xdr:colOff>
                    <xdr:row>1511</xdr:row>
                    <xdr:rowOff>0</xdr:rowOff>
                  </from>
                  <to>
                    <xdr:col>22</xdr:col>
                    <xdr:colOff>184150</xdr:colOff>
                    <xdr:row>1511</xdr:row>
                    <xdr:rowOff>184150</xdr:rowOff>
                  </to>
                </anchor>
              </controlPr>
            </control>
          </mc:Choice>
        </mc:AlternateContent>
        <mc:AlternateContent xmlns:mc="http://schemas.openxmlformats.org/markup-compatibility/2006">
          <mc:Choice Requires="x14">
            <control shapeId="15927" r:id="rId253" name="Check Box 567">
              <controlPr locked="0" defaultSize="0" autoFill="0" autoLine="0" autoPict="0">
                <anchor moveWithCells="1" sizeWithCells="1">
                  <from>
                    <xdr:col>22</xdr:col>
                    <xdr:colOff>0</xdr:colOff>
                    <xdr:row>1513</xdr:row>
                    <xdr:rowOff>0</xdr:rowOff>
                  </from>
                  <to>
                    <xdr:col>22</xdr:col>
                    <xdr:colOff>184150</xdr:colOff>
                    <xdr:row>1513</xdr:row>
                    <xdr:rowOff>184150</xdr:rowOff>
                  </to>
                </anchor>
              </controlPr>
            </control>
          </mc:Choice>
        </mc:AlternateContent>
        <mc:AlternateContent xmlns:mc="http://schemas.openxmlformats.org/markup-compatibility/2006">
          <mc:Choice Requires="x14">
            <control shapeId="15928" r:id="rId254" name="Check Box 568">
              <controlPr locked="0" defaultSize="0" autoFill="0" autoLine="0" autoPict="0">
                <anchor moveWithCells="1" sizeWithCells="1">
                  <from>
                    <xdr:col>22</xdr:col>
                    <xdr:colOff>0</xdr:colOff>
                    <xdr:row>1514</xdr:row>
                    <xdr:rowOff>0</xdr:rowOff>
                  </from>
                  <to>
                    <xdr:col>22</xdr:col>
                    <xdr:colOff>184150</xdr:colOff>
                    <xdr:row>1514</xdr:row>
                    <xdr:rowOff>184150</xdr:rowOff>
                  </to>
                </anchor>
              </controlPr>
            </control>
          </mc:Choice>
        </mc:AlternateContent>
        <mc:AlternateContent xmlns:mc="http://schemas.openxmlformats.org/markup-compatibility/2006">
          <mc:Choice Requires="x14">
            <control shapeId="15929" r:id="rId255" name="Check Box 569">
              <controlPr locked="0" defaultSize="0" autoFill="0" autoLine="0" autoPict="0">
                <anchor moveWithCells="1" sizeWithCells="1">
                  <from>
                    <xdr:col>22</xdr:col>
                    <xdr:colOff>0</xdr:colOff>
                    <xdr:row>1518</xdr:row>
                    <xdr:rowOff>0</xdr:rowOff>
                  </from>
                  <to>
                    <xdr:col>22</xdr:col>
                    <xdr:colOff>184150</xdr:colOff>
                    <xdr:row>1518</xdr:row>
                    <xdr:rowOff>184150</xdr:rowOff>
                  </to>
                </anchor>
              </controlPr>
            </control>
          </mc:Choice>
        </mc:AlternateContent>
        <mc:AlternateContent xmlns:mc="http://schemas.openxmlformats.org/markup-compatibility/2006">
          <mc:Choice Requires="x14">
            <control shapeId="15930" r:id="rId256" name="Check Box 570">
              <controlPr locked="0" defaultSize="0" autoFill="0" autoLine="0" autoPict="0">
                <anchor moveWithCells="1" sizeWithCells="1">
                  <from>
                    <xdr:col>22</xdr:col>
                    <xdr:colOff>0</xdr:colOff>
                    <xdr:row>1538</xdr:row>
                    <xdr:rowOff>0</xdr:rowOff>
                  </from>
                  <to>
                    <xdr:col>22</xdr:col>
                    <xdr:colOff>184150</xdr:colOff>
                    <xdr:row>1538</xdr:row>
                    <xdr:rowOff>184150</xdr:rowOff>
                  </to>
                </anchor>
              </controlPr>
            </control>
          </mc:Choice>
        </mc:AlternateContent>
        <mc:AlternateContent xmlns:mc="http://schemas.openxmlformats.org/markup-compatibility/2006">
          <mc:Choice Requires="x14">
            <control shapeId="15931" r:id="rId257" name="Check Box 571">
              <controlPr locked="0" defaultSize="0" autoFill="0" autoLine="0" autoPict="0">
                <anchor moveWithCells="1" sizeWithCells="1">
                  <from>
                    <xdr:col>22</xdr:col>
                    <xdr:colOff>0</xdr:colOff>
                    <xdr:row>1539</xdr:row>
                    <xdr:rowOff>0</xdr:rowOff>
                  </from>
                  <to>
                    <xdr:col>22</xdr:col>
                    <xdr:colOff>184150</xdr:colOff>
                    <xdr:row>1539</xdr:row>
                    <xdr:rowOff>184150</xdr:rowOff>
                  </to>
                </anchor>
              </controlPr>
            </control>
          </mc:Choice>
        </mc:AlternateContent>
        <mc:AlternateContent xmlns:mc="http://schemas.openxmlformats.org/markup-compatibility/2006">
          <mc:Choice Requires="x14">
            <control shapeId="15932" r:id="rId258" name="Check Box 572">
              <controlPr locked="0" defaultSize="0" autoFill="0" autoLine="0" autoPict="0">
                <anchor moveWithCells="1" sizeWithCells="1">
                  <from>
                    <xdr:col>22</xdr:col>
                    <xdr:colOff>0</xdr:colOff>
                    <xdr:row>1548</xdr:row>
                    <xdr:rowOff>0</xdr:rowOff>
                  </from>
                  <to>
                    <xdr:col>22</xdr:col>
                    <xdr:colOff>184150</xdr:colOff>
                    <xdr:row>1548</xdr:row>
                    <xdr:rowOff>184150</xdr:rowOff>
                  </to>
                </anchor>
              </controlPr>
            </control>
          </mc:Choice>
        </mc:AlternateContent>
        <mc:AlternateContent xmlns:mc="http://schemas.openxmlformats.org/markup-compatibility/2006">
          <mc:Choice Requires="x14">
            <control shapeId="15933" r:id="rId259" name="Check Box 573">
              <controlPr locked="0" defaultSize="0" autoFill="0" autoLine="0" autoPict="0">
                <anchor moveWithCells="1" sizeWithCells="1">
                  <from>
                    <xdr:col>22</xdr:col>
                    <xdr:colOff>0</xdr:colOff>
                    <xdr:row>1555</xdr:row>
                    <xdr:rowOff>0</xdr:rowOff>
                  </from>
                  <to>
                    <xdr:col>22</xdr:col>
                    <xdr:colOff>184150</xdr:colOff>
                    <xdr:row>1555</xdr:row>
                    <xdr:rowOff>184150</xdr:rowOff>
                  </to>
                </anchor>
              </controlPr>
            </control>
          </mc:Choice>
        </mc:AlternateContent>
        <mc:AlternateContent xmlns:mc="http://schemas.openxmlformats.org/markup-compatibility/2006">
          <mc:Choice Requires="x14">
            <control shapeId="15934" r:id="rId260" name="Check Box 574">
              <controlPr locked="0" defaultSize="0" autoFill="0" autoLine="0" autoPict="0">
                <anchor moveWithCells="1" sizeWithCells="1">
                  <from>
                    <xdr:col>22</xdr:col>
                    <xdr:colOff>0</xdr:colOff>
                    <xdr:row>1556</xdr:row>
                    <xdr:rowOff>0</xdr:rowOff>
                  </from>
                  <to>
                    <xdr:col>22</xdr:col>
                    <xdr:colOff>184150</xdr:colOff>
                    <xdr:row>1556</xdr:row>
                    <xdr:rowOff>184150</xdr:rowOff>
                  </to>
                </anchor>
              </controlPr>
            </control>
          </mc:Choice>
        </mc:AlternateContent>
        <mc:AlternateContent xmlns:mc="http://schemas.openxmlformats.org/markup-compatibility/2006">
          <mc:Choice Requires="x14">
            <control shapeId="15935" r:id="rId261" name="Check Box 575">
              <controlPr locked="0" defaultSize="0" autoFill="0" autoLine="0" autoPict="0">
                <anchor moveWithCells="1" sizeWithCells="1">
                  <from>
                    <xdr:col>22</xdr:col>
                    <xdr:colOff>0</xdr:colOff>
                    <xdr:row>1557</xdr:row>
                    <xdr:rowOff>0</xdr:rowOff>
                  </from>
                  <to>
                    <xdr:col>22</xdr:col>
                    <xdr:colOff>184150</xdr:colOff>
                    <xdr:row>1557</xdr:row>
                    <xdr:rowOff>184150</xdr:rowOff>
                  </to>
                </anchor>
              </controlPr>
            </control>
          </mc:Choice>
        </mc:AlternateContent>
        <mc:AlternateContent xmlns:mc="http://schemas.openxmlformats.org/markup-compatibility/2006">
          <mc:Choice Requires="x14">
            <control shapeId="15936" r:id="rId262" name="Check Box 576">
              <controlPr locked="0" defaultSize="0" autoFill="0" autoLine="0" autoPict="0">
                <anchor moveWithCells="1" sizeWithCells="1">
                  <from>
                    <xdr:col>22</xdr:col>
                    <xdr:colOff>0</xdr:colOff>
                    <xdr:row>1560</xdr:row>
                    <xdr:rowOff>0</xdr:rowOff>
                  </from>
                  <to>
                    <xdr:col>22</xdr:col>
                    <xdr:colOff>184150</xdr:colOff>
                    <xdr:row>1560</xdr:row>
                    <xdr:rowOff>184150</xdr:rowOff>
                  </to>
                </anchor>
              </controlPr>
            </control>
          </mc:Choice>
        </mc:AlternateContent>
        <mc:AlternateContent xmlns:mc="http://schemas.openxmlformats.org/markup-compatibility/2006">
          <mc:Choice Requires="x14">
            <control shapeId="15937" r:id="rId263" name="Check Box 577">
              <controlPr locked="0" defaultSize="0" autoFill="0" autoLine="0" autoPict="0">
                <anchor moveWithCells="1" sizeWithCells="1">
                  <from>
                    <xdr:col>22</xdr:col>
                    <xdr:colOff>0</xdr:colOff>
                    <xdr:row>1562</xdr:row>
                    <xdr:rowOff>0</xdr:rowOff>
                  </from>
                  <to>
                    <xdr:col>22</xdr:col>
                    <xdr:colOff>184150</xdr:colOff>
                    <xdr:row>1562</xdr:row>
                    <xdr:rowOff>184150</xdr:rowOff>
                  </to>
                </anchor>
              </controlPr>
            </control>
          </mc:Choice>
        </mc:AlternateContent>
        <mc:AlternateContent xmlns:mc="http://schemas.openxmlformats.org/markup-compatibility/2006">
          <mc:Choice Requires="x14">
            <control shapeId="15982" r:id="rId264" name="Check Box 622">
              <controlPr locked="0" defaultSize="0" autoFill="0" autoLine="0" autoPict="0">
                <anchor moveWithCells="1" sizeWithCells="1">
                  <from>
                    <xdr:col>22</xdr:col>
                    <xdr:colOff>0</xdr:colOff>
                    <xdr:row>1568</xdr:row>
                    <xdr:rowOff>0</xdr:rowOff>
                  </from>
                  <to>
                    <xdr:col>22</xdr:col>
                    <xdr:colOff>184150</xdr:colOff>
                    <xdr:row>1568</xdr:row>
                    <xdr:rowOff>184150</xdr:rowOff>
                  </to>
                </anchor>
              </controlPr>
            </control>
          </mc:Choice>
        </mc:AlternateContent>
        <mc:AlternateContent xmlns:mc="http://schemas.openxmlformats.org/markup-compatibility/2006">
          <mc:Choice Requires="x14">
            <control shapeId="15983" r:id="rId265" name="Check Box 623">
              <controlPr locked="0" defaultSize="0" autoFill="0" autoLine="0" autoPict="0">
                <anchor moveWithCells="1" sizeWithCells="1">
                  <from>
                    <xdr:col>22</xdr:col>
                    <xdr:colOff>0</xdr:colOff>
                    <xdr:row>1574</xdr:row>
                    <xdr:rowOff>0</xdr:rowOff>
                  </from>
                  <to>
                    <xdr:col>22</xdr:col>
                    <xdr:colOff>184150</xdr:colOff>
                    <xdr:row>1574</xdr:row>
                    <xdr:rowOff>184150</xdr:rowOff>
                  </to>
                </anchor>
              </controlPr>
            </control>
          </mc:Choice>
        </mc:AlternateContent>
        <mc:AlternateContent xmlns:mc="http://schemas.openxmlformats.org/markup-compatibility/2006">
          <mc:Choice Requires="x14">
            <control shapeId="15984" r:id="rId266" name="Check Box 624">
              <controlPr locked="0" defaultSize="0" autoFill="0" autoLine="0" autoPict="0">
                <anchor moveWithCells="1" sizeWithCells="1">
                  <from>
                    <xdr:col>22</xdr:col>
                    <xdr:colOff>0</xdr:colOff>
                    <xdr:row>1589</xdr:row>
                    <xdr:rowOff>0</xdr:rowOff>
                  </from>
                  <to>
                    <xdr:col>22</xdr:col>
                    <xdr:colOff>184150</xdr:colOff>
                    <xdr:row>1589</xdr:row>
                    <xdr:rowOff>184150</xdr:rowOff>
                  </to>
                </anchor>
              </controlPr>
            </control>
          </mc:Choice>
        </mc:AlternateContent>
        <mc:AlternateContent xmlns:mc="http://schemas.openxmlformats.org/markup-compatibility/2006">
          <mc:Choice Requires="x14">
            <control shapeId="15985" r:id="rId267" name="Check Box 625">
              <controlPr locked="0" defaultSize="0" autoFill="0" autoLine="0" autoPict="0">
                <anchor moveWithCells="1" sizeWithCells="1">
                  <from>
                    <xdr:col>22</xdr:col>
                    <xdr:colOff>0</xdr:colOff>
                    <xdr:row>1617</xdr:row>
                    <xdr:rowOff>0</xdr:rowOff>
                  </from>
                  <to>
                    <xdr:col>22</xdr:col>
                    <xdr:colOff>184150</xdr:colOff>
                    <xdr:row>1617</xdr:row>
                    <xdr:rowOff>184150</xdr:rowOff>
                  </to>
                </anchor>
              </controlPr>
            </control>
          </mc:Choice>
        </mc:AlternateContent>
        <mc:AlternateContent xmlns:mc="http://schemas.openxmlformats.org/markup-compatibility/2006">
          <mc:Choice Requires="x14">
            <control shapeId="15986" r:id="rId268" name="Check Box 626">
              <controlPr locked="0" defaultSize="0" autoFill="0" autoLine="0" autoPict="0">
                <anchor moveWithCells="1" sizeWithCells="1">
                  <from>
                    <xdr:col>22</xdr:col>
                    <xdr:colOff>0</xdr:colOff>
                    <xdr:row>1623</xdr:row>
                    <xdr:rowOff>0</xdr:rowOff>
                  </from>
                  <to>
                    <xdr:col>22</xdr:col>
                    <xdr:colOff>184150</xdr:colOff>
                    <xdr:row>1623</xdr:row>
                    <xdr:rowOff>184150</xdr:rowOff>
                  </to>
                </anchor>
              </controlPr>
            </control>
          </mc:Choice>
        </mc:AlternateContent>
        <mc:AlternateContent xmlns:mc="http://schemas.openxmlformats.org/markup-compatibility/2006">
          <mc:Choice Requires="x14">
            <control shapeId="15987" r:id="rId269" name="Check Box 627">
              <controlPr locked="0" defaultSize="0" autoFill="0" autoLine="0" autoPict="0">
                <anchor moveWithCells="1" sizeWithCells="1">
                  <from>
                    <xdr:col>22</xdr:col>
                    <xdr:colOff>0</xdr:colOff>
                    <xdr:row>1646</xdr:row>
                    <xdr:rowOff>0</xdr:rowOff>
                  </from>
                  <to>
                    <xdr:col>22</xdr:col>
                    <xdr:colOff>184150</xdr:colOff>
                    <xdr:row>1646</xdr:row>
                    <xdr:rowOff>184150</xdr:rowOff>
                  </to>
                </anchor>
              </controlPr>
            </control>
          </mc:Choice>
        </mc:AlternateContent>
        <mc:AlternateContent xmlns:mc="http://schemas.openxmlformats.org/markup-compatibility/2006">
          <mc:Choice Requires="x14">
            <control shapeId="15988" r:id="rId270" name="Check Box 628">
              <controlPr locked="0" defaultSize="0" autoFill="0" autoLine="0" autoPict="0">
                <anchor moveWithCells="1" sizeWithCells="1">
                  <from>
                    <xdr:col>22</xdr:col>
                    <xdr:colOff>0</xdr:colOff>
                    <xdr:row>1648</xdr:row>
                    <xdr:rowOff>0</xdr:rowOff>
                  </from>
                  <to>
                    <xdr:col>22</xdr:col>
                    <xdr:colOff>184150</xdr:colOff>
                    <xdr:row>1648</xdr:row>
                    <xdr:rowOff>184150</xdr:rowOff>
                  </to>
                </anchor>
              </controlPr>
            </control>
          </mc:Choice>
        </mc:AlternateContent>
        <mc:AlternateContent xmlns:mc="http://schemas.openxmlformats.org/markup-compatibility/2006">
          <mc:Choice Requires="x14">
            <control shapeId="15989" r:id="rId271" name="Check Box 629">
              <controlPr locked="0" defaultSize="0" autoFill="0" autoLine="0" autoPict="0">
                <anchor moveWithCells="1" sizeWithCells="1">
                  <from>
                    <xdr:col>22</xdr:col>
                    <xdr:colOff>0</xdr:colOff>
                    <xdr:row>1651</xdr:row>
                    <xdr:rowOff>0</xdr:rowOff>
                  </from>
                  <to>
                    <xdr:col>22</xdr:col>
                    <xdr:colOff>184150</xdr:colOff>
                    <xdr:row>1651</xdr:row>
                    <xdr:rowOff>184150</xdr:rowOff>
                  </to>
                </anchor>
              </controlPr>
            </control>
          </mc:Choice>
        </mc:AlternateContent>
        <mc:AlternateContent xmlns:mc="http://schemas.openxmlformats.org/markup-compatibility/2006">
          <mc:Choice Requires="x14">
            <control shapeId="15990" r:id="rId272" name="Check Box 630">
              <controlPr locked="0" defaultSize="0" autoFill="0" autoLine="0" autoPict="0">
                <anchor moveWithCells="1" sizeWithCells="1">
                  <from>
                    <xdr:col>22</xdr:col>
                    <xdr:colOff>0</xdr:colOff>
                    <xdr:row>1674</xdr:row>
                    <xdr:rowOff>0</xdr:rowOff>
                  </from>
                  <to>
                    <xdr:col>22</xdr:col>
                    <xdr:colOff>184150</xdr:colOff>
                    <xdr:row>1674</xdr:row>
                    <xdr:rowOff>184150</xdr:rowOff>
                  </to>
                </anchor>
              </controlPr>
            </control>
          </mc:Choice>
        </mc:AlternateContent>
        <mc:AlternateContent xmlns:mc="http://schemas.openxmlformats.org/markup-compatibility/2006">
          <mc:Choice Requires="x14">
            <control shapeId="15991" r:id="rId273" name="Check Box 631">
              <controlPr locked="0" defaultSize="0" autoFill="0" autoLine="0" autoPict="0">
                <anchor moveWithCells="1" sizeWithCells="1">
                  <from>
                    <xdr:col>22</xdr:col>
                    <xdr:colOff>0</xdr:colOff>
                    <xdr:row>1685</xdr:row>
                    <xdr:rowOff>0</xdr:rowOff>
                  </from>
                  <to>
                    <xdr:col>22</xdr:col>
                    <xdr:colOff>184150</xdr:colOff>
                    <xdr:row>1685</xdr:row>
                    <xdr:rowOff>184150</xdr:rowOff>
                  </to>
                </anchor>
              </controlPr>
            </control>
          </mc:Choice>
        </mc:AlternateContent>
        <mc:AlternateContent xmlns:mc="http://schemas.openxmlformats.org/markup-compatibility/2006">
          <mc:Choice Requires="x14">
            <control shapeId="15992" r:id="rId274" name="Check Box 632">
              <controlPr locked="0" defaultSize="0" autoFill="0" autoLine="0" autoPict="0">
                <anchor moveWithCells="1" sizeWithCells="1">
                  <from>
                    <xdr:col>22</xdr:col>
                    <xdr:colOff>0</xdr:colOff>
                    <xdr:row>1687</xdr:row>
                    <xdr:rowOff>0</xdr:rowOff>
                  </from>
                  <to>
                    <xdr:col>22</xdr:col>
                    <xdr:colOff>184150</xdr:colOff>
                    <xdr:row>1687</xdr:row>
                    <xdr:rowOff>184150</xdr:rowOff>
                  </to>
                </anchor>
              </controlPr>
            </control>
          </mc:Choice>
        </mc:AlternateContent>
        <mc:AlternateContent xmlns:mc="http://schemas.openxmlformats.org/markup-compatibility/2006">
          <mc:Choice Requires="x14">
            <control shapeId="15993" r:id="rId275" name="Check Box 633">
              <controlPr locked="0" defaultSize="0" autoFill="0" autoLine="0" autoPict="0">
                <anchor moveWithCells="1" sizeWithCells="1">
                  <from>
                    <xdr:col>22</xdr:col>
                    <xdr:colOff>0</xdr:colOff>
                    <xdr:row>1688</xdr:row>
                    <xdr:rowOff>0</xdr:rowOff>
                  </from>
                  <to>
                    <xdr:col>22</xdr:col>
                    <xdr:colOff>184150</xdr:colOff>
                    <xdr:row>1688</xdr:row>
                    <xdr:rowOff>184150</xdr:rowOff>
                  </to>
                </anchor>
              </controlPr>
            </control>
          </mc:Choice>
        </mc:AlternateContent>
        <mc:AlternateContent xmlns:mc="http://schemas.openxmlformats.org/markup-compatibility/2006">
          <mc:Choice Requires="x14">
            <control shapeId="15994" r:id="rId276" name="Check Box 634">
              <controlPr locked="0" defaultSize="0" autoFill="0" autoLine="0" autoPict="0">
                <anchor moveWithCells="1" sizeWithCells="1">
                  <from>
                    <xdr:col>22</xdr:col>
                    <xdr:colOff>0</xdr:colOff>
                    <xdr:row>1690</xdr:row>
                    <xdr:rowOff>0</xdr:rowOff>
                  </from>
                  <to>
                    <xdr:col>22</xdr:col>
                    <xdr:colOff>184150</xdr:colOff>
                    <xdr:row>1690</xdr:row>
                    <xdr:rowOff>184150</xdr:rowOff>
                  </to>
                </anchor>
              </controlPr>
            </control>
          </mc:Choice>
        </mc:AlternateContent>
        <mc:AlternateContent xmlns:mc="http://schemas.openxmlformats.org/markup-compatibility/2006">
          <mc:Choice Requires="x14">
            <control shapeId="15995" r:id="rId277" name="Check Box 635">
              <controlPr locked="0" defaultSize="0" autoFill="0" autoLine="0" autoPict="0">
                <anchor moveWithCells="1" sizeWithCells="1">
                  <from>
                    <xdr:col>22</xdr:col>
                    <xdr:colOff>0</xdr:colOff>
                    <xdr:row>1695</xdr:row>
                    <xdr:rowOff>0</xdr:rowOff>
                  </from>
                  <to>
                    <xdr:col>22</xdr:col>
                    <xdr:colOff>184150</xdr:colOff>
                    <xdr:row>1695</xdr:row>
                    <xdr:rowOff>184150</xdr:rowOff>
                  </to>
                </anchor>
              </controlPr>
            </control>
          </mc:Choice>
        </mc:AlternateContent>
        <mc:AlternateContent xmlns:mc="http://schemas.openxmlformats.org/markup-compatibility/2006">
          <mc:Choice Requires="x14">
            <control shapeId="15996" r:id="rId278" name="Check Box 636">
              <controlPr locked="0" defaultSize="0" autoFill="0" autoLine="0" autoPict="0">
                <anchor moveWithCells="1" sizeWithCells="1">
                  <from>
                    <xdr:col>22</xdr:col>
                    <xdr:colOff>0</xdr:colOff>
                    <xdr:row>1704</xdr:row>
                    <xdr:rowOff>0</xdr:rowOff>
                  </from>
                  <to>
                    <xdr:col>22</xdr:col>
                    <xdr:colOff>184150</xdr:colOff>
                    <xdr:row>1704</xdr:row>
                    <xdr:rowOff>184150</xdr:rowOff>
                  </to>
                </anchor>
              </controlPr>
            </control>
          </mc:Choice>
        </mc:AlternateContent>
        <mc:AlternateContent xmlns:mc="http://schemas.openxmlformats.org/markup-compatibility/2006">
          <mc:Choice Requires="x14">
            <control shapeId="15997" r:id="rId279" name="Check Box 637">
              <controlPr locked="0" defaultSize="0" autoFill="0" autoLine="0" autoPict="0">
                <anchor moveWithCells="1" sizeWithCells="1">
                  <from>
                    <xdr:col>22</xdr:col>
                    <xdr:colOff>0</xdr:colOff>
                    <xdr:row>1709</xdr:row>
                    <xdr:rowOff>0</xdr:rowOff>
                  </from>
                  <to>
                    <xdr:col>22</xdr:col>
                    <xdr:colOff>184150</xdr:colOff>
                    <xdr:row>1709</xdr:row>
                    <xdr:rowOff>184150</xdr:rowOff>
                  </to>
                </anchor>
              </controlPr>
            </control>
          </mc:Choice>
        </mc:AlternateContent>
        <mc:AlternateContent xmlns:mc="http://schemas.openxmlformats.org/markup-compatibility/2006">
          <mc:Choice Requires="x14">
            <control shapeId="15998" r:id="rId280" name="Check Box 638">
              <controlPr locked="0" defaultSize="0" autoFill="0" autoLine="0" autoPict="0">
                <anchor moveWithCells="1" sizeWithCells="1">
                  <from>
                    <xdr:col>22</xdr:col>
                    <xdr:colOff>0</xdr:colOff>
                    <xdr:row>1710</xdr:row>
                    <xdr:rowOff>0</xdr:rowOff>
                  </from>
                  <to>
                    <xdr:col>22</xdr:col>
                    <xdr:colOff>184150</xdr:colOff>
                    <xdr:row>1710</xdr:row>
                    <xdr:rowOff>184150</xdr:rowOff>
                  </to>
                </anchor>
              </controlPr>
            </control>
          </mc:Choice>
        </mc:AlternateContent>
        <mc:AlternateContent xmlns:mc="http://schemas.openxmlformats.org/markup-compatibility/2006">
          <mc:Choice Requires="x14">
            <control shapeId="15999" r:id="rId281" name="Check Box 639">
              <controlPr locked="0" defaultSize="0" autoFill="0" autoLine="0" autoPict="0">
                <anchor moveWithCells="1" sizeWithCells="1">
                  <from>
                    <xdr:col>22</xdr:col>
                    <xdr:colOff>0</xdr:colOff>
                    <xdr:row>1714</xdr:row>
                    <xdr:rowOff>0</xdr:rowOff>
                  </from>
                  <to>
                    <xdr:col>22</xdr:col>
                    <xdr:colOff>184150</xdr:colOff>
                    <xdr:row>1714</xdr:row>
                    <xdr:rowOff>184150</xdr:rowOff>
                  </to>
                </anchor>
              </controlPr>
            </control>
          </mc:Choice>
        </mc:AlternateContent>
        <mc:AlternateContent xmlns:mc="http://schemas.openxmlformats.org/markup-compatibility/2006">
          <mc:Choice Requires="x14">
            <control shapeId="16000" r:id="rId282" name="Check Box 640">
              <controlPr locked="0" defaultSize="0" autoFill="0" autoLine="0" autoPict="0">
                <anchor moveWithCells="1" sizeWithCells="1">
                  <from>
                    <xdr:col>22</xdr:col>
                    <xdr:colOff>0</xdr:colOff>
                    <xdr:row>1723</xdr:row>
                    <xdr:rowOff>0</xdr:rowOff>
                  </from>
                  <to>
                    <xdr:col>22</xdr:col>
                    <xdr:colOff>184150</xdr:colOff>
                    <xdr:row>1723</xdr:row>
                    <xdr:rowOff>184150</xdr:rowOff>
                  </to>
                </anchor>
              </controlPr>
            </control>
          </mc:Choice>
        </mc:AlternateContent>
        <mc:AlternateContent xmlns:mc="http://schemas.openxmlformats.org/markup-compatibility/2006">
          <mc:Choice Requires="x14">
            <control shapeId="16001" r:id="rId283" name="Check Box 641">
              <controlPr locked="0" defaultSize="0" autoFill="0" autoLine="0" autoPict="0">
                <anchor moveWithCells="1" sizeWithCells="1">
                  <from>
                    <xdr:col>22</xdr:col>
                    <xdr:colOff>0</xdr:colOff>
                    <xdr:row>1724</xdr:row>
                    <xdr:rowOff>0</xdr:rowOff>
                  </from>
                  <to>
                    <xdr:col>22</xdr:col>
                    <xdr:colOff>184150</xdr:colOff>
                    <xdr:row>1724</xdr:row>
                    <xdr:rowOff>184150</xdr:rowOff>
                  </to>
                </anchor>
              </controlPr>
            </control>
          </mc:Choice>
        </mc:AlternateContent>
        <mc:AlternateContent xmlns:mc="http://schemas.openxmlformats.org/markup-compatibility/2006">
          <mc:Choice Requires="x14">
            <control shapeId="16002" r:id="rId284" name="Check Box 642">
              <controlPr locked="0" defaultSize="0" autoFill="0" autoLine="0" autoPict="0">
                <anchor moveWithCells="1" sizeWithCells="1">
                  <from>
                    <xdr:col>22</xdr:col>
                    <xdr:colOff>0</xdr:colOff>
                    <xdr:row>1727</xdr:row>
                    <xdr:rowOff>0</xdr:rowOff>
                  </from>
                  <to>
                    <xdr:col>22</xdr:col>
                    <xdr:colOff>184150</xdr:colOff>
                    <xdr:row>1727</xdr:row>
                    <xdr:rowOff>184150</xdr:rowOff>
                  </to>
                </anchor>
              </controlPr>
            </control>
          </mc:Choice>
        </mc:AlternateContent>
        <mc:AlternateContent xmlns:mc="http://schemas.openxmlformats.org/markup-compatibility/2006">
          <mc:Choice Requires="x14">
            <control shapeId="16003" r:id="rId285" name="Check Box 643">
              <controlPr locked="0" defaultSize="0" autoFill="0" autoLine="0" autoPict="0">
                <anchor moveWithCells="1" sizeWithCells="1">
                  <from>
                    <xdr:col>22</xdr:col>
                    <xdr:colOff>0</xdr:colOff>
                    <xdr:row>1729</xdr:row>
                    <xdr:rowOff>0</xdr:rowOff>
                  </from>
                  <to>
                    <xdr:col>22</xdr:col>
                    <xdr:colOff>184150</xdr:colOff>
                    <xdr:row>1729</xdr:row>
                    <xdr:rowOff>184150</xdr:rowOff>
                  </to>
                </anchor>
              </controlPr>
            </control>
          </mc:Choice>
        </mc:AlternateContent>
        <mc:AlternateContent xmlns:mc="http://schemas.openxmlformats.org/markup-compatibility/2006">
          <mc:Choice Requires="x14">
            <control shapeId="16004" r:id="rId286" name="Check Box 644">
              <controlPr locked="0" defaultSize="0" autoFill="0" autoLine="0" autoPict="0">
                <anchor moveWithCells="1" sizeWithCells="1">
                  <from>
                    <xdr:col>22</xdr:col>
                    <xdr:colOff>0</xdr:colOff>
                    <xdr:row>1735</xdr:row>
                    <xdr:rowOff>0</xdr:rowOff>
                  </from>
                  <to>
                    <xdr:col>22</xdr:col>
                    <xdr:colOff>184150</xdr:colOff>
                    <xdr:row>1735</xdr:row>
                    <xdr:rowOff>184150</xdr:rowOff>
                  </to>
                </anchor>
              </controlPr>
            </control>
          </mc:Choice>
        </mc:AlternateContent>
        <mc:AlternateContent xmlns:mc="http://schemas.openxmlformats.org/markup-compatibility/2006">
          <mc:Choice Requires="x14">
            <control shapeId="16005" r:id="rId287" name="Check Box 645">
              <controlPr locked="0" defaultSize="0" autoFill="0" autoLine="0" autoPict="0">
                <anchor moveWithCells="1" sizeWithCells="1">
                  <from>
                    <xdr:col>22</xdr:col>
                    <xdr:colOff>0</xdr:colOff>
                    <xdr:row>1737</xdr:row>
                    <xdr:rowOff>0</xdr:rowOff>
                  </from>
                  <to>
                    <xdr:col>22</xdr:col>
                    <xdr:colOff>184150</xdr:colOff>
                    <xdr:row>1737</xdr:row>
                    <xdr:rowOff>184150</xdr:rowOff>
                  </to>
                </anchor>
              </controlPr>
            </control>
          </mc:Choice>
        </mc:AlternateContent>
        <mc:AlternateContent xmlns:mc="http://schemas.openxmlformats.org/markup-compatibility/2006">
          <mc:Choice Requires="x14">
            <control shapeId="16006" r:id="rId288" name="Check Box 646">
              <controlPr locked="0" defaultSize="0" autoFill="0" autoLine="0" autoPict="0">
                <anchor moveWithCells="1" sizeWithCells="1">
                  <from>
                    <xdr:col>22</xdr:col>
                    <xdr:colOff>0</xdr:colOff>
                    <xdr:row>1741</xdr:row>
                    <xdr:rowOff>0</xdr:rowOff>
                  </from>
                  <to>
                    <xdr:col>22</xdr:col>
                    <xdr:colOff>184150</xdr:colOff>
                    <xdr:row>1741</xdr:row>
                    <xdr:rowOff>184150</xdr:rowOff>
                  </to>
                </anchor>
              </controlPr>
            </control>
          </mc:Choice>
        </mc:AlternateContent>
        <mc:AlternateContent xmlns:mc="http://schemas.openxmlformats.org/markup-compatibility/2006">
          <mc:Choice Requires="x14">
            <control shapeId="16007" r:id="rId289" name="Check Box 647">
              <controlPr locked="0" defaultSize="0" autoFill="0" autoLine="0" autoPict="0">
                <anchor moveWithCells="1" sizeWithCells="1">
                  <from>
                    <xdr:col>22</xdr:col>
                    <xdr:colOff>0</xdr:colOff>
                    <xdr:row>1748</xdr:row>
                    <xdr:rowOff>0</xdr:rowOff>
                  </from>
                  <to>
                    <xdr:col>22</xdr:col>
                    <xdr:colOff>184150</xdr:colOff>
                    <xdr:row>1748</xdr:row>
                    <xdr:rowOff>184150</xdr:rowOff>
                  </to>
                </anchor>
              </controlPr>
            </control>
          </mc:Choice>
        </mc:AlternateContent>
        <mc:AlternateContent xmlns:mc="http://schemas.openxmlformats.org/markup-compatibility/2006">
          <mc:Choice Requires="x14">
            <control shapeId="16008" r:id="rId290" name="Check Box 648">
              <controlPr locked="0" defaultSize="0" autoFill="0" autoLine="0" autoPict="0">
                <anchor moveWithCells="1" sizeWithCells="1">
                  <from>
                    <xdr:col>22</xdr:col>
                    <xdr:colOff>0</xdr:colOff>
                    <xdr:row>1759</xdr:row>
                    <xdr:rowOff>0</xdr:rowOff>
                  </from>
                  <to>
                    <xdr:col>22</xdr:col>
                    <xdr:colOff>184150</xdr:colOff>
                    <xdr:row>1759</xdr:row>
                    <xdr:rowOff>184150</xdr:rowOff>
                  </to>
                </anchor>
              </controlPr>
            </control>
          </mc:Choice>
        </mc:AlternateContent>
        <mc:AlternateContent xmlns:mc="http://schemas.openxmlformats.org/markup-compatibility/2006">
          <mc:Choice Requires="x14">
            <control shapeId="16009" r:id="rId291" name="Check Box 649">
              <controlPr locked="0" defaultSize="0" autoFill="0" autoLine="0" autoPict="0">
                <anchor moveWithCells="1" sizeWithCells="1">
                  <from>
                    <xdr:col>22</xdr:col>
                    <xdr:colOff>0</xdr:colOff>
                    <xdr:row>1761</xdr:row>
                    <xdr:rowOff>0</xdr:rowOff>
                  </from>
                  <to>
                    <xdr:col>22</xdr:col>
                    <xdr:colOff>184150</xdr:colOff>
                    <xdr:row>1761</xdr:row>
                    <xdr:rowOff>184150</xdr:rowOff>
                  </to>
                </anchor>
              </controlPr>
            </control>
          </mc:Choice>
        </mc:AlternateContent>
        <mc:AlternateContent xmlns:mc="http://schemas.openxmlformats.org/markup-compatibility/2006">
          <mc:Choice Requires="x14">
            <control shapeId="16010" r:id="rId292" name="Check Box 650">
              <controlPr locked="0" defaultSize="0" autoFill="0" autoLine="0" autoPict="0">
                <anchor moveWithCells="1" sizeWithCells="1">
                  <from>
                    <xdr:col>22</xdr:col>
                    <xdr:colOff>0</xdr:colOff>
                    <xdr:row>1763</xdr:row>
                    <xdr:rowOff>0</xdr:rowOff>
                  </from>
                  <to>
                    <xdr:col>22</xdr:col>
                    <xdr:colOff>184150</xdr:colOff>
                    <xdr:row>1763</xdr:row>
                    <xdr:rowOff>184150</xdr:rowOff>
                  </to>
                </anchor>
              </controlPr>
            </control>
          </mc:Choice>
        </mc:AlternateContent>
        <mc:AlternateContent xmlns:mc="http://schemas.openxmlformats.org/markup-compatibility/2006">
          <mc:Choice Requires="x14">
            <control shapeId="16011" r:id="rId293" name="Check Box 651">
              <controlPr locked="0" defaultSize="0" autoFill="0" autoLine="0" autoPict="0">
                <anchor moveWithCells="1" sizeWithCells="1">
                  <from>
                    <xdr:col>22</xdr:col>
                    <xdr:colOff>0</xdr:colOff>
                    <xdr:row>1776</xdr:row>
                    <xdr:rowOff>0</xdr:rowOff>
                  </from>
                  <to>
                    <xdr:col>22</xdr:col>
                    <xdr:colOff>184150</xdr:colOff>
                    <xdr:row>1776</xdr:row>
                    <xdr:rowOff>184150</xdr:rowOff>
                  </to>
                </anchor>
              </controlPr>
            </control>
          </mc:Choice>
        </mc:AlternateContent>
        <mc:AlternateContent xmlns:mc="http://schemas.openxmlformats.org/markup-compatibility/2006">
          <mc:Choice Requires="x14">
            <control shapeId="16012" r:id="rId294" name="Check Box 652">
              <controlPr locked="0" defaultSize="0" autoFill="0" autoLine="0" autoPict="0">
                <anchor moveWithCells="1" sizeWithCells="1">
                  <from>
                    <xdr:col>22</xdr:col>
                    <xdr:colOff>0</xdr:colOff>
                    <xdr:row>1778</xdr:row>
                    <xdr:rowOff>0</xdr:rowOff>
                  </from>
                  <to>
                    <xdr:col>22</xdr:col>
                    <xdr:colOff>184150</xdr:colOff>
                    <xdr:row>1778</xdr:row>
                    <xdr:rowOff>184150</xdr:rowOff>
                  </to>
                </anchor>
              </controlPr>
            </control>
          </mc:Choice>
        </mc:AlternateContent>
        <mc:AlternateContent xmlns:mc="http://schemas.openxmlformats.org/markup-compatibility/2006">
          <mc:Choice Requires="x14">
            <control shapeId="16013" r:id="rId295" name="Check Box 653">
              <controlPr locked="0" defaultSize="0" autoFill="0" autoLine="0" autoPict="0">
                <anchor moveWithCells="1" sizeWithCells="1">
                  <from>
                    <xdr:col>22</xdr:col>
                    <xdr:colOff>0</xdr:colOff>
                    <xdr:row>1781</xdr:row>
                    <xdr:rowOff>0</xdr:rowOff>
                  </from>
                  <to>
                    <xdr:col>22</xdr:col>
                    <xdr:colOff>184150</xdr:colOff>
                    <xdr:row>1781</xdr:row>
                    <xdr:rowOff>184150</xdr:rowOff>
                  </to>
                </anchor>
              </controlPr>
            </control>
          </mc:Choice>
        </mc:AlternateContent>
        <mc:AlternateContent xmlns:mc="http://schemas.openxmlformats.org/markup-compatibility/2006">
          <mc:Choice Requires="x14">
            <control shapeId="16014" r:id="rId296" name="Check Box 654">
              <controlPr locked="0" defaultSize="0" autoFill="0" autoLine="0" autoPict="0">
                <anchor moveWithCells="1" sizeWithCells="1">
                  <from>
                    <xdr:col>22</xdr:col>
                    <xdr:colOff>0</xdr:colOff>
                    <xdr:row>1790</xdr:row>
                    <xdr:rowOff>0</xdr:rowOff>
                  </from>
                  <to>
                    <xdr:col>22</xdr:col>
                    <xdr:colOff>184150</xdr:colOff>
                    <xdr:row>1790</xdr:row>
                    <xdr:rowOff>184150</xdr:rowOff>
                  </to>
                </anchor>
              </controlPr>
            </control>
          </mc:Choice>
        </mc:AlternateContent>
        <mc:AlternateContent xmlns:mc="http://schemas.openxmlformats.org/markup-compatibility/2006">
          <mc:Choice Requires="x14">
            <control shapeId="16015" r:id="rId297" name="Check Box 655">
              <controlPr locked="0" defaultSize="0" autoFill="0" autoLine="0" autoPict="0">
                <anchor moveWithCells="1" sizeWithCells="1">
                  <from>
                    <xdr:col>22</xdr:col>
                    <xdr:colOff>0</xdr:colOff>
                    <xdr:row>1793</xdr:row>
                    <xdr:rowOff>0</xdr:rowOff>
                  </from>
                  <to>
                    <xdr:col>22</xdr:col>
                    <xdr:colOff>184150</xdr:colOff>
                    <xdr:row>1793</xdr:row>
                    <xdr:rowOff>184150</xdr:rowOff>
                  </to>
                </anchor>
              </controlPr>
            </control>
          </mc:Choice>
        </mc:AlternateContent>
        <mc:AlternateContent xmlns:mc="http://schemas.openxmlformats.org/markup-compatibility/2006">
          <mc:Choice Requires="x14">
            <control shapeId="16016" r:id="rId298" name="Check Box 656">
              <controlPr locked="0" defaultSize="0" autoFill="0" autoLine="0" autoPict="0">
                <anchor moveWithCells="1" sizeWithCells="1">
                  <from>
                    <xdr:col>22</xdr:col>
                    <xdr:colOff>0</xdr:colOff>
                    <xdr:row>1795</xdr:row>
                    <xdr:rowOff>0</xdr:rowOff>
                  </from>
                  <to>
                    <xdr:col>22</xdr:col>
                    <xdr:colOff>184150</xdr:colOff>
                    <xdr:row>1795</xdr:row>
                    <xdr:rowOff>184150</xdr:rowOff>
                  </to>
                </anchor>
              </controlPr>
            </control>
          </mc:Choice>
        </mc:AlternateContent>
        <mc:AlternateContent xmlns:mc="http://schemas.openxmlformats.org/markup-compatibility/2006">
          <mc:Choice Requires="x14">
            <control shapeId="16017" r:id="rId299" name="Check Box 657">
              <controlPr locked="0" defaultSize="0" autoFill="0" autoLine="0" autoPict="0">
                <anchor moveWithCells="1" sizeWithCells="1">
                  <from>
                    <xdr:col>22</xdr:col>
                    <xdr:colOff>0</xdr:colOff>
                    <xdr:row>1798</xdr:row>
                    <xdr:rowOff>0</xdr:rowOff>
                  </from>
                  <to>
                    <xdr:col>22</xdr:col>
                    <xdr:colOff>184150</xdr:colOff>
                    <xdr:row>1798</xdr:row>
                    <xdr:rowOff>184150</xdr:rowOff>
                  </to>
                </anchor>
              </controlPr>
            </control>
          </mc:Choice>
        </mc:AlternateContent>
        <mc:AlternateContent xmlns:mc="http://schemas.openxmlformats.org/markup-compatibility/2006">
          <mc:Choice Requires="x14">
            <control shapeId="16018" r:id="rId300" name="Check Box 658">
              <controlPr locked="0" defaultSize="0" autoFill="0" autoLine="0" autoPict="0">
                <anchor moveWithCells="1" sizeWithCells="1">
                  <from>
                    <xdr:col>22</xdr:col>
                    <xdr:colOff>0</xdr:colOff>
                    <xdr:row>1800</xdr:row>
                    <xdr:rowOff>0</xdr:rowOff>
                  </from>
                  <to>
                    <xdr:col>22</xdr:col>
                    <xdr:colOff>184150</xdr:colOff>
                    <xdr:row>1800</xdr:row>
                    <xdr:rowOff>184150</xdr:rowOff>
                  </to>
                </anchor>
              </controlPr>
            </control>
          </mc:Choice>
        </mc:AlternateContent>
        <mc:AlternateContent xmlns:mc="http://schemas.openxmlformats.org/markup-compatibility/2006">
          <mc:Choice Requires="x14">
            <control shapeId="16019" r:id="rId301" name="Check Box 659">
              <controlPr locked="0" defaultSize="0" autoFill="0" autoLine="0" autoPict="0">
                <anchor moveWithCells="1" sizeWithCells="1">
                  <from>
                    <xdr:col>22</xdr:col>
                    <xdr:colOff>0</xdr:colOff>
                    <xdr:row>1814</xdr:row>
                    <xdr:rowOff>0</xdr:rowOff>
                  </from>
                  <to>
                    <xdr:col>22</xdr:col>
                    <xdr:colOff>184150</xdr:colOff>
                    <xdr:row>1814</xdr:row>
                    <xdr:rowOff>184150</xdr:rowOff>
                  </to>
                </anchor>
              </controlPr>
            </control>
          </mc:Choice>
        </mc:AlternateContent>
        <mc:AlternateContent xmlns:mc="http://schemas.openxmlformats.org/markup-compatibility/2006">
          <mc:Choice Requires="x14">
            <control shapeId="16020" r:id="rId302" name="Check Box 660">
              <controlPr locked="0" defaultSize="0" autoFill="0" autoLine="0" autoPict="0">
                <anchor moveWithCells="1" sizeWithCells="1">
                  <from>
                    <xdr:col>22</xdr:col>
                    <xdr:colOff>0</xdr:colOff>
                    <xdr:row>1815</xdr:row>
                    <xdr:rowOff>0</xdr:rowOff>
                  </from>
                  <to>
                    <xdr:col>22</xdr:col>
                    <xdr:colOff>184150</xdr:colOff>
                    <xdr:row>1815</xdr:row>
                    <xdr:rowOff>184150</xdr:rowOff>
                  </to>
                </anchor>
              </controlPr>
            </control>
          </mc:Choice>
        </mc:AlternateContent>
        <mc:AlternateContent xmlns:mc="http://schemas.openxmlformats.org/markup-compatibility/2006">
          <mc:Choice Requires="x14">
            <control shapeId="16021" r:id="rId303" name="Check Box 661">
              <controlPr locked="0" defaultSize="0" autoFill="0" autoLine="0" autoPict="0">
                <anchor moveWithCells="1" sizeWithCells="1">
                  <from>
                    <xdr:col>22</xdr:col>
                    <xdr:colOff>0</xdr:colOff>
                    <xdr:row>1820</xdr:row>
                    <xdr:rowOff>0</xdr:rowOff>
                  </from>
                  <to>
                    <xdr:col>22</xdr:col>
                    <xdr:colOff>184150</xdr:colOff>
                    <xdr:row>1820</xdr:row>
                    <xdr:rowOff>184150</xdr:rowOff>
                  </to>
                </anchor>
              </controlPr>
            </control>
          </mc:Choice>
        </mc:AlternateContent>
        <mc:AlternateContent xmlns:mc="http://schemas.openxmlformats.org/markup-compatibility/2006">
          <mc:Choice Requires="x14">
            <control shapeId="16022" r:id="rId304" name="Check Box 662">
              <controlPr locked="0" defaultSize="0" autoFill="0" autoLine="0" autoPict="0">
                <anchor moveWithCells="1" sizeWithCells="1">
                  <from>
                    <xdr:col>22</xdr:col>
                    <xdr:colOff>0</xdr:colOff>
                    <xdr:row>1825</xdr:row>
                    <xdr:rowOff>0</xdr:rowOff>
                  </from>
                  <to>
                    <xdr:col>22</xdr:col>
                    <xdr:colOff>184150</xdr:colOff>
                    <xdr:row>1825</xdr:row>
                    <xdr:rowOff>184150</xdr:rowOff>
                  </to>
                </anchor>
              </controlPr>
            </control>
          </mc:Choice>
        </mc:AlternateContent>
        <mc:AlternateContent xmlns:mc="http://schemas.openxmlformats.org/markup-compatibility/2006">
          <mc:Choice Requires="x14">
            <control shapeId="16023" r:id="rId305" name="Check Box 663">
              <controlPr locked="0" defaultSize="0" autoFill="0" autoLine="0" autoPict="0">
                <anchor moveWithCells="1" sizeWithCells="1">
                  <from>
                    <xdr:col>22</xdr:col>
                    <xdr:colOff>0</xdr:colOff>
                    <xdr:row>1829</xdr:row>
                    <xdr:rowOff>0</xdr:rowOff>
                  </from>
                  <to>
                    <xdr:col>22</xdr:col>
                    <xdr:colOff>184150</xdr:colOff>
                    <xdr:row>1829</xdr:row>
                    <xdr:rowOff>184150</xdr:rowOff>
                  </to>
                </anchor>
              </controlPr>
            </control>
          </mc:Choice>
        </mc:AlternateContent>
        <mc:AlternateContent xmlns:mc="http://schemas.openxmlformats.org/markup-compatibility/2006">
          <mc:Choice Requires="x14">
            <control shapeId="16024" r:id="rId306" name="Check Box 664">
              <controlPr locked="0" defaultSize="0" autoFill="0" autoLine="0" autoPict="0">
                <anchor moveWithCells="1" sizeWithCells="1">
                  <from>
                    <xdr:col>22</xdr:col>
                    <xdr:colOff>0</xdr:colOff>
                    <xdr:row>1834</xdr:row>
                    <xdr:rowOff>0</xdr:rowOff>
                  </from>
                  <to>
                    <xdr:col>22</xdr:col>
                    <xdr:colOff>184150</xdr:colOff>
                    <xdr:row>1834</xdr:row>
                    <xdr:rowOff>184150</xdr:rowOff>
                  </to>
                </anchor>
              </controlPr>
            </control>
          </mc:Choice>
        </mc:AlternateContent>
        <mc:AlternateContent xmlns:mc="http://schemas.openxmlformats.org/markup-compatibility/2006">
          <mc:Choice Requires="x14">
            <control shapeId="16086" r:id="rId307" name="Check Box 726">
              <controlPr locked="0" defaultSize="0" autoFill="0" autoLine="0" autoPict="0">
                <anchor moveWithCells="1" sizeWithCells="1">
                  <from>
                    <xdr:col>22</xdr:col>
                    <xdr:colOff>0</xdr:colOff>
                    <xdr:row>1842</xdr:row>
                    <xdr:rowOff>0</xdr:rowOff>
                  </from>
                  <to>
                    <xdr:col>22</xdr:col>
                    <xdr:colOff>184150</xdr:colOff>
                    <xdr:row>1842</xdr:row>
                    <xdr:rowOff>184150</xdr:rowOff>
                  </to>
                </anchor>
              </controlPr>
            </control>
          </mc:Choice>
        </mc:AlternateContent>
        <mc:AlternateContent xmlns:mc="http://schemas.openxmlformats.org/markup-compatibility/2006">
          <mc:Choice Requires="x14">
            <control shapeId="16087" r:id="rId308" name="Check Box 727">
              <controlPr locked="0" defaultSize="0" autoFill="0" autoLine="0" autoPict="0">
                <anchor moveWithCells="1" sizeWithCells="1">
                  <from>
                    <xdr:col>22</xdr:col>
                    <xdr:colOff>0</xdr:colOff>
                    <xdr:row>1843</xdr:row>
                    <xdr:rowOff>0</xdr:rowOff>
                  </from>
                  <to>
                    <xdr:col>22</xdr:col>
                    <xdr:colOff>184150</xdr:colOff>
                    <xdr:row>1843</xdr:row>
                    <xdr:rowOff>184150</xdr:rowOff>
                  </to>
                </anchor>
              </controlPr>
            </control>
          </mc:Choice>
        </mc:AlternateContent>
        <mc:AlternateContent xmlns:mc="http://schemas.openxmlformats.org/markup-compatibility/2006">
          <mc:Choice Requires="x14">
            <control shapeId="16088" r:id="rId309" name="Check Box 728">
              <controlPr locked="0" defaultSize="0" autoFill="0" autoLine="0" autoPict="0">
                <anchor moveWithCells="1" sizeWithCells="1">
                  <from>
                    <xdr:col>22</xdr:col>
                    <xdr:colOff>0</xdr:colOff>
                    <xdr:row>1844</xdr:row>
                    <xdr:rowOff>0</xdr:rowOff>
                  </from>
                  <to>
                    <xdr:col>22</xdr:col>
                    <xdr:colOff>184150</xdr:colOff>
                    <xdr:row>1844</xdr:row>
                    <xdr:rowOff>184150</xdr:rowOff>
                  </to>
                </anchor>
              </controlPr>
            </control>
          </mc:Choice>
        </mc:AlternateContent>
        <mc:AlternateContent xmlns:mc="http://schemas.openxmlformats.org/markup-compatibility/2006">
          <mc:Choice Requires="x14">
            <control shapeId="16089" r:id="rId310" name="Check Box 729">
              <controlPr locked="0" defaultSize="0" autoFill="0" autoLine="0" autoPict="0">
                <anchor moveWithCells="1" sizeWithCells="1">
                  <from>
                    <xdr:col>22</xdr:col>
                    <xdr:colOff>0</xdr:colOff>
                    <xdr:row>1848</xdr:row>
                    <xdr:rowOff>0</xdr:rowOff>
                  </from>
                  <to>
                    <xdr:col>22</xdr:col>
                    <xdr:colOff>184150</xdr:colOff>
                    <xdr:row>1848</xdr:row>
                    <xdr:rowOff>184150</xdr:rowOff>
                  </to>
                </anchor>
              </controlPr>
            </control>
          </mc:Choice>
        </mc:AlternateContent>
        <mc:AlternateContent xmlns:mc="http://schemas.openxmlformats.org/markup-compatibility/2006">
          <mc:Choice Requires="x14">
            <control shapeId="16090" r:id="rId311" name="Check Box 730">
              <controlPr locked="0" defaultSize="0" autoFill="0" autoLine="0" autoPict="0">
                <anchor moveWithCells="1" sizeWithCells="1">
                  <from>
                    <xdr:col>22</xdr:col>
                    <xdr:colOff>0</xdr:colOff>
                    <xdr:row>1849</xdr:row>
                    <xdr:rowOff>0</xdr:rowOff>
                  </from>
                  <to>
                    <xdr:col>22</xdr:col>
                    <xdr:colOff>184150</xdr:colOff>
                    <xdr:row>1849</xdr:row>
                    <xdr:rowOff>184150</xdr:rowOff>
                  </to>
                </anchor>
              </controlPr>
            </control>
          </mc:Choice>
        </mc:AlternateContent>
        <mc:AlternateContent xmlns:mc="http://schemas.openxmlformats.org/markup-compatibility/2006">
          <mc:Choice Requires="x14">
            <control shapeId="16091" r:id="rId312" name="Check Box 731">
              <controlPr locked="0" defaultSize="0" autoFill="0" autoLine="0" autoPict="0">
                <anchor moveWithCells="1" sizeWithCells="1">
                  <from>
                    <xdr:col>22</xdr:col>
                    <xdr:colOff>0</xdr:colOff>
                    <xdr:row>1850</xdr:row>
                    <xdr:rowOff>0</xdr:rowOff>
                  </from>
                  <to>
                    <xdr:col>22</xdr:col>
                    <xdr:colOff>184150</xdr:colOff>
                    <xdr:row>1850</xdr:row>
                    <xdr:rowOff>184150</xdr:rowOff>
                  </to>
                </anchor>
              </controlPr>
            </control>
          </mc:Choice>
        </mc:AlternateContent>
        <mc:AlternateContent xmlns:mc="http://schemas.openxmlformats.org/markup-compatibility/2006">
          <mc:Choice Requires="x14">
            <control shapeId="16092" r:id="rId313" name="Check Box 732">
              <controlPr locked="0" defaultSize="0" autoFill="0" autoLine="0" autoPict="0">
                <anchor moveWithCells="1" sizeWithCells="1">
                  <from>
                    <xdr:col>22</xdr:col>
                    <xdr:colOff>0</xdr:colOff>
                    <xdr:row>1852</xdr:row>
                    <xdr:rowOff>0</xdr:rowOff>
                  </from>
                  <to>
                    <xdr:col>22</xdr:col>
                    <xdr:colOff>184150</xdr:colOff>
                    <xdr:row>1852</xdr:row>
                    <xdr:rowOff>184150</xdr:rowOff>
                  </to>
                </anchor>
              </controlPr>
            </control>
          </mc:Choice>
        </mc:AlternateContent>
        <mc:AlternateContent xmlns:mc="http://schemas.openxmlformats.org/markup-compatibility/2006">
          <mc:Choice Requires="x14">
            <control shapeId="16093" r:id="rId314" name="Check Box 733">
              <controlPr locked="0" defaultSize="0" autoFill="0" autoLine="0" autoPict="0">
                <anchor moveWithCells="1" sizeWithCells="1">
                  <from>
                    <xdr:col>22</xdr:col>
                    <xdr:colOff>0</xdr:colOff>
                    <xdr:row>1854</xdr:row>
                    <xdr:rowOff>0</xdr:rowOff>
                  </from>
                  <to>
                    <xdr:col>22</xdr:col>
                    <xdr:colOff>184150</xdr:colOff>
                    <xdr:row>1854</xdr:row>
                    <xdr:rowOff>184150</xdr:rowOff>
                  </to>
                </anchor>
              </controlPr>
            </control>
          </mc:Choice>
        </mc:AlternateContent>
        <mc:AlternateContent xmlns:mc="http://schemas.openxmlformats.org/markup-compatibility/2006">
          <mc:Choice Requires="x14">
            <control shapeId="16094" r:id="rId315" name="Check Box 734">
              <controlPr locked="0" defaultSize="0" autoFill="0" autoLine="0" autoPict="0">
                <anchor moveWithCells="1" sizeWithCells="1">
                  <from>
                    <xdr:col>22</xdr:col>
                    <xdr:colOff>0</xdr:colOff>
                    <xdr:row>1855</xdr:row>
                    <xdr:rowOff>0</xdr:rowOff>
                  </from>
                  <to>
                    <xdr:col>22</xdr:col>
                    <xdr:colOff>184150</xdr:colOff>
                    <xdr:row>1855</xdr:row>
                    <xdr:rowOff>184150</xdr:rowOff>
                  </to>
                </anchor>
              </controlPr>
            </control>
          </mc:Choice>
        </mc:AlternateContent>
        <mc:AlternateContent xmlns:mc="http://schemas.openxmlformats.org/markup-compatibility/2006">
          <mc:Choice Requires="x14">
            <control shapeId="16095" r:id="rId316" name="Check Box 735">
              <controlPr locked="0" defaultSize="0" autoFill="0" autoLine="0" autoPict="0">
                <anchor moveWithCells="1" sizeWithCells="1">
                  <from>
                    <xdr:col>22</xdr:col>
                    <xdr:colOff>0</xdr:colOff>
                    <xdr:row>1857</xdr:row>
                    <xdr:rowOff>0</xdr:rowOff>
                  </from>
                  <to>
                    <xdr:col>22</xdr:col>
                    <xdr:colOff>184150</xdr:colOff>
                    <xdr:row>1857</xdr:row>
                    <xdr:rowOff>184150</xdr:rowOff>
                  </to>
                </anchor>
              </controlPr>
            </control>
          </mc:Choice>
        </mc:AlternateContent>
        <mc:AlternateContent xmlns:mc="http://schemas.openxmlformats.org/markup-compatibility/2006">
          <mc:Choice Requires="x14">
            <control shapeId="16096" r:id="rId317" name="Check Box 736">
              <controlPr locked="0" defaultSize="0" autoFill="0" autoLine="0" autoPict="0">
                <anchor moveWithCells="1" sizeWithCells="1">
                  <from>
                    <xdr:col>22</xdr:col>
                    <xdr:colOff>0</xdr:colOff>
                    <xdr:row>1858</xdr:row>
                    <xdr:rowOff>0</xdr:rowOff>
                  </from>
                  <to>
                    <xdr:col>22</xdr:col>
                    <xdr:colOff>184150</xdr:colOff>
                    <xdr:row>1858</xdr:row>
                    <xdr:rowOff>184150</xdr:rowOff>
                  </to>
                </anchor>
              </controlPr>
            </control>
          </mc:Choice>
        </mc:AlternateContent>
        <mc:AlternateContent xmlns:mc="http://schemas.openxmlformats.org/markup-compatibility/2006">
          <mc:Choice Requires="x14">
            <control shapeId="16097" r:id="rId318" name="Check Box 737">
              <controlPr locked="0" defaultSize="0" autoFill="0" autoLine="0" autoPict="0">
                <anchor moveWithCells="1" sizeWithCells="1">
                  <from>
                    <xdr:col>22</xdr:col>
                    <xdr:colOff>0</xdr:colOff>
                    <xdr:row>1859</xdr:row>
                    <xdr:rowOff>0</xdr:rowOff>
                  </from>
                  <to>
                    <xdr:col>22</xdr:col>
                    <xdr:colOff>184150</xdr:colOff>
                    <xdr:row>1859</xdr:row>
                    <xdr:rowOff>184150</xdr:rowOff>
                  </to>
                </anchor>
              </controlPr>
            </control>
          </mc:Choice>
        </mc:AlternateContent>
        <mc:AlternateContent xmlns:mc="http://schemas.openxmlformats.org/markup-compatibility/2006">
          <mc:Choice Requires="x14">
            <control shapeId="16098" r:id="rId319" name="Check Box 738">
              <controlPr locked="0" defaultSize="0" autoFill="0" autoLine="0" autoPict="0">
                <anchor moveWithCells="1" sizeWithCells="1">
                  <from>
                    <xdr:col>22</xdr:col>
                    <xdr:colOff>0</xdr:colOff>
                    <xdr:row>1865</xdr:row>
                    <xdr:rowOff>0</xdr:rowOff>
                  </from>
                  <to>
                    <xdr:col>22</xdr:col>
                    <xdr:colOff>184150</xdr:colOff>
                    <xdr:row>1865</xdr:row>
                    <xdr:rowOff>184150</xdr:rowOff>
                  </to>
                </anchor>
              </controlPr>
            </control>
          </mc:Choice>
        </mc:AlternateContent>
        <mc:AlternateContent xmlns:mc="http://schemas.openxmlformats.org/markup-compatibility/2006">
          <mc:Choice Requires="x14">
            <control shapeId="16099" r:id="rId320" name="Check Box 739">
              <controlPr locked="0" defaultSize="0" autoFill="0" autoLine="0" autoPict="0">
                <anchor moveWithCells="1" sizeWithCells="1">
                  <from>
                    <xdr:col>22</xdr:col>
                    <xdr:colOff>0</xdr:colOff>
                    <xdr:row>1869</xdr:row>
                    <xdr:rowOff>0</xdr:rowOff>
                  </from>
                  <to>
                    <xdr:col>22</xdr:col>
                    <xdr:colOff>184150</xdr:colOff>
                    <xdr:row>1869</xdr:row>
                    <xdr:rowOff>184150</xdr:rowOff>
                  </to>
                </anchor>
              </controlPr>
            </control>
          </mc:Choice>
        </mc:AlternateContent>
        <mc:AlternateContent xmlns:mc="http://schemas.openxmlformats.org/markup-compatibility/2006">
          <mc:Choice Requires="x14">
            <control shapeId="16100" r:id="rId321" name="Check Box 740">
              <controlPr locked="0" defaultSize="0" autoFill="0" autoLine="0" autoPict="0">
                <anchor moveWithCells="1" sizeWithCells="1">
                  <from>
                    <xdr:col>22</xdr:col>
                    <xdr:colOff>0</xdr:colOff>
                    <xdr:row>1871</xdr:row>
                    <xdr:rowOff>0</xdr:rowOff>
                  </from>
                  <to>
                    <xdr:col>22</xdr:col>
                    <xdr:colOff>184150</xdr:colOff>
                    <xdr:row>1871</xdr:row>
                    <xdr:rowOff>184150</xdr:rowOff>
                  </to>
                </anchor>
              </controlPr>
            </control>
          </mc:Choice>
        </mc:AlternateContent>
        <mc:AlternateContent xmlns:mc="http://schemas.openxmlformats.org/markup-compatibility/2006">
          <mc:Choice Requires="x14">
            <control shapeId="16101" r:id="rId322" name="Check Box 741">
              <controlPr locked="0" defaultSize="0" autoFill="0" autoLine="0" autoPict="0">
                <anchor moveWithCells="1" sizeWithCells="1">
                  <from>
                    <xdr:col>22</xdr:col>
                    <xdr:colOff>0</xdr:colOff>
                    <xdr:row>1873</xdr:row>
                    <xdr:rowOff>0</xdr:rowOff>
                  </from>
                  <to>
                    <xdr:col>22</xdr:col>
                    <xdr:colOff>184150</xdr:colOff>
                    <xdr:row>1873</xdr:row>
                    <xdr:rowOff>184150</xdr:rowOff>
                  </to>
                </anchor>
              </controlPr>
            </control>
          </mc:Choice>
        </mc:AlternateContent>
        <mc:AlternateContent xmlns:mc="http://schemas.openxmlformats.org/markup-compatibility/2006">
          <mc:Choice Requires="x14">
            <control shapeId="16102" r:id="rId323" name="Check Box 742">
              <controlPr locked="0" defaultSize="0" autoFill="0" autoLine="0" autoPict="0">
                <anchor moveWithCells="1" sizeWithCells="1">
                  <from>
                    <xdr:col>22</xdr:col>
                    <xdr:colOff>0</xdr:colOff>
                    <xdr:row>1874</xdr:row>
                    <xdr:rowOff>0</xdr:rowOff>
                  </from>
                  <to>
                    <xdr:col>22</xdr:col>
                    <xdr:colOff>184150</xdr:colOff>
                    <xdr:row>1874</xdr:row>
                    <xdr:rowOff>184150</xdr:rowOff>
                  </to>
                </anchor>
              </controlPr>
            </control>
          </mc:Choice>
        </mc:AlternateContent>
        <mc:AlternateContent xmlns:mc="http://schemas.openxmlformats.org/markup-compatibility/2006">
          <mc:Choice Requires="x14">
            <control shapeId="16103" r:id="rId324" name="Check Box 743">
              <controlPr locked="0" defaultSize="0" autoFill="0" autoLine="0" autoPict="0">
                <anchor moveWithCells="1" sizeWithCells="1">
                  <from>
                    <xdr:col>22</xdr:col>
                    <xdr:colOff>0</xdr:colOff>
                    <xdr:row>1876</xdr:row>
                    <xdr:rowOff>0</xdr:rowOff>
                  </from>
                  <to>
                    <xdr:col>22</xdr:col>
                    <xdr:colOff>184150</xdr:colOff>
                    <xdr:row>1876</xdr:row>
                    <xdr:rowOff>184150</xdr:rowOff>
                  </to>
                </anchor>
              </controlPr>
            </control>
          </mc:Choice>
        </mc:AlternateContent>
        <mc:AlternateContent xmlns:mc="http://schemas.openxmlformats.org/markup-compatibility/2006">
          <mc:Choice Requires="x14">
            <control shapeId="16104" r:id="rId325" name="Check Box 744">
              <controlPr locked="0" defaultSize="0" autoFill="0" autoLine="0" autoPict="0">
                <anchor moveWithCells="1" sizeWithCells="1">
                  <from>
                    <xdr:col>22</xdr:col>
                    <xdr:colOff>0</xdr:colOff>
                    <xdr:row>1878</xdr:row>
                    <xdr:rowOff>0</xdr:rowOff>
                  </from>
                  <to>
                    <xdr:col>22</xdr:col>
                    <xdr:colOff>184150</xdr:colOff>
                    <xdr:row>1878</xdr:row>
                    <xdr:rowOff>184150</xdr:rowOff>
                  </to>
                </anchor>
              </controlPr>
            </control>
          </mc:Choice>
        </mc:AlternateContent>
        <mc:AlternateContent xmlns:mc="http://schemas.openxmlformats.org/markup-compatibility/2006">
          <mc:Choice Requires="x14">
            <control shapeId="16105" r:id="rId326" name="Check Box 745">
              <controlPr locked="0" defaultSize="0" autoFill="0" autoLine="0" autoPict="0">
                <anchor moveWithCells="1" sizeWithCells="1">
                  <from>
                    <xdr:col>22</xdr:col>
                    <xdr:colOff>0</xdr:colOff>
                    <xdr:row>1879</xdr:row>
                    <xdr:rowOff>0</xdr:rowOff>
                  </from>
                  <to>
                    <xdr:col>22</xdr:col>
                    <xdr:colOff>184150</xdr:colOff>
                    <xdr:row>1879</xdr:row>
                    <xdr:rowOff>184150</xdr:rowOff>
                  </to>
                </anchor>
              </controlPr>
            </control>
          </mc:Choice>
        </mc:AlternateContent>
        <mc:AlternateContent xmlns:mc="http://schemas.openxmlformats.org/markup-compatibility/2006">
          <mc:Choice Requires="x14">
            <control shapeId="16106" r:id="rId327" name="Check Box 746">
              <controlPr locked="0" defaultSize="0" autoFill="0" autoLine="0" autoPict="0">
                <anchor moveWithCells="1" sizeWithCells="1">
                  <from>
                    <xdr:col>22</xdr:col>
                    <xdr:colOff>0</xdr:colOff>
                    <xdr:row>1881</xdr:row>
                    <xdr:rowOff>0</xdr:rowOff>
                  </from>
                  <to>
                    <xdr:col>22</xdr:col>
                    <xdr:colOff>184150</xdr:colOff>
                    <xdr:row>1881</xdr:row>
                    <xdr:rowOff>184150</xdr:rowOff>
                  </to>
                </anchor>
              </controlPr>
            </control>
          </mc:Choice>
        </mc:AlternateContent>
        <mc:AlternateContent xmlns:mc="http://schemas.openxmlformats.org/markup-compatibility/2006">
          <mc:Choice Requires="x14">
            <control shapeId="16107" r:id="rId328" name="Check Box 747">
              <controlPr locked="0" defaultSize="0" autoFill="0" autoLine="0" autoPict="0">
                <anchor moveWithCells="1" sizeWithCells="1">
                  <from>
                    <xdr:col>22</xdr:col>
                    <xdr:colOff>0</xdr:colOff>
                    <xdr:row>1883</xdr:row>
                    <xdr:rowOff>0</xdr:rowOff>
                  </from>
                  <to>
                    <xdr:col>22</xdr:col>
                    <xdr:colOff>184150</xdr:colOff>
                    <xdr:row>1883</xdr:row>
                    <xdr:rowOff>184150</xdr:rowOff>
                  </to>
                </anchor>
              </controlPr>
            </control>
          </mc:Choice>
        </mc:AlternateContent>
        <mc:AlternateContent xmlns:mc="http://schemas.openxmlformats.org/markup-compatibility/2006">
          <mc:Choice Requires="x14">
            <control shapeId="16108" r:id="rId329" name="Check Box 748">
              <controlPr locked="0" defaultSize="0" autoFill="0" autoLine="0" autoPict="0">
                <anchor moveWithCells="1" sizeWithCells="1">
                  <from>
                    <xdr:col>22</xdr:col>
                    <xdr:colOff>0</xdr:colOff>
                    <xdr:row>1885</xdr:row>
                    <xdr:rowOff>0</xdr:rowOff>
                  </from>
                  <to>
                    <xdr:col>22</xdr:col>
                    <xdr:colOff>184150</xdr:colOff>
                    <xdr:row>1885</xdr:row>
                    <xdr:rowOff>184150</xdr:rowOff>
                  </to>
                </anchor>
              </controlPr>
            </control>
          </mc:Choice>
        </mc:AlternateContent>
        <mc:AlternateContent xmlns:mc="http://schemas.openxmlformats.org/markup-compatibility/2006">
          <mc:Choice Requires="x14">
            <control shapeId="16109" r:id="rId330" name="Check Box 749">
              <controlPr locked="0" defaultSize="0" autoFill="0" autoLine="0" autoPict="0">
                <anchor moveWithCells="1" sizeWithCells="1">
                  <from>
                    <xdr:col>22</xdr:col>
                    <xdr:colOff>0</xdr:colOff>
                    <xdr:row>1886</xdr:row>
                    <xdr:rowOff>0</xdr:rowOff>
                  </from>
                  <to>
                    <xdr:col>22</xdr:col>
                    <xdr:colOff>184150</xdr:colOff>
                    <xdr:row>1886</xdr:row>
                    <xdr:rowOff>184150</xdr:rowOff>
                  </to>
                </anchor>
              </controlPr>
            </control>
          </mc:Choice>
        </mc:AlternateContent>
        <mc:AlternateContent xmlns:mc="http://schemas.openxmlformats.org/markup-compatibility/2006">
          <mc:Choice Requires="x14">
            <control shapeId="16110" r:id="rId331" name="Check Box 750">
              <controlPr locked="0" defaultSize="0" autoFill="0" autoLine="0" autoPict="0">
                <anchor moveWithCells="1" sizeWithCells="1">
                  <from>
                    <xdr:col>22</xdr:col>
                    <xdr:colOff>0</xdr:colOff>
                    <xdr:row>1887</xdr:row>
                    <xdr:rowOff>0</xdr:rowOff>
                  </from>
                  <to>
                    <xdr:col>22</xdr:col>
                    <xdr:colOff>184150</xdr:colOff>
                    <xdr:row>1887</xdr:row>
                    <xdr:rowOff>184150</xdr:rowOff>
                  </to>
                </anchor>
              </controlPr>
            </control>
          </mc:Choice>
        </mc:AlternateContent>
        <mc:AlternateContent xmlns:mc="http://schemas.openxmlformats.org/markup-compatibility/2006">
          <mc:Choice Requires="x14">
            <control shapeId="16111" r:id="rId332" name="Check Box 751">
              <controlPr locked="0" defaultSize="0" autoFill="0" autoLine="0" autoPict="0">
                <anchor moveWithCells="1" sizeWithCells="1">
                  <from>
                    <xdr:col>22</xdr:col>
                    <xdr:colOff>0</xdr:colOff>
                    <xdr:row>1908</xdr:row>
                    <xdr:rowOff>0</xdr:rowOff>
                  </from>
                  <to>
                    <xdr:col>22</xdr:col>
                    <xdr:colOff>184150</xdr:colOff>
                    <xdr:row>1908</xdr:row>
                    <xdr:rowOff>184150</xdr:rowOff>
                  </to>
                </anchor>
              </controlPr>
            </control>
          </mc:Choice>
        </mc:AlternateContent>
        <mc:AlternateContent xmlns:mc="http://schemas.openxmlformats.org/markup-compatibility/2006">
          <mc:Choice Requires="x14">
            <control shapeId="16112" r:id="rId333" name="Check Box 752">
              <controlPr locked="0" defaultSize="0" autoFill="0" autoLine="0" autoPict="0">
                <anchor moveWithCells="1" sizeWithCells="1">
                  <from>
                    <xdr:col>22</xdr:col>
                    <xdr:colOff>0</xdr:colOff>
                    <xdr:row>1911</xdr:row>
                    <xdr:rowOff>0</xdr:rowOff>
                  </from>
                  <to>
                    <xdr:col>22</xdr:col>
                    <xdr:colOff>184150</xdr:colOff>
                    <xdr:row>1911</xdr:row>
                    <xdr:rowOff>184150</xdr:rowOff>
                  </to>
                </anchor>
              </controlPr>
            </control>
          </mc:Choice>
        </mc:AlternateContent>
        <mc:AlternateContent xmlns:mc="http://schemas.openxmlformats.org/markup-compatibility/2006">
          <mc:Choice Requires="x14">
            <control shapeId="16113" r:id="rId334" name="Check Box 753">
              <controlPr locked="0" defaultSize="0" autoFill="0" autoLine="0" autoPict="0">
                <anchor moveWithCells="1" sizeWithCells="1">
                  <from>
                    <xdr:col>22</xdr:col>
                    <xdr:colOff>0</xdr:colOff>
                    <xdr:row>1914</xdr:row>
                    <xdr:rowOff>0</xdr:rowOff>
                  </from>
                  <to>
                    <xdr:col>22</xdr:col>
                    <xdr:colOff>184150</xdr:colOff>
                    <xdr:row>1914</xdr:row>
                    <xdr:rowOff>184150</xdr:rowOff>
                  </to>
                </anchor>
              </controlPr>
            </control>
          </mc:Choice>
        </mc:AlternateContent>
        <mc:AlternateContent xmlns:mc="http://schemas.openxmlformats.org/markup-compatibility/2006">
          <mc:Choice Requires="x14">
            <control shapeId="16114" r:id="rId335" name="Check Box 754">
              <controlPr locked="0" defaultSize="0" autoFill="0" autoLine="0" autoPict="0">
                <anchor moveWithCells="1" sizeWithCells="1">
                  <from>
                    <xdr:col>22</xdr:col>
                    <xdr:colOff>0</xdr:colOff>
                    <xdr:row>1916</xdr:row>
                    <xdr:rowOff>0</xdr:rowOff>
                  </from>
                  <to>
                    <xdr:col>22</xdr:col>
                    <xdr:colOff>184150</xdr:colOff>
                    <xdr:row>1916</xdr:row>
                    <xdr:rowOff>184150</xdr:rowOff>
                  </to>
                </anchor>
              </controlPr>
            </control>
          </mc:Choice>
        </mc:AlternateContent>
        <mc:AlternateContent xmlns:mc="http://schemas.openxmlformats.org/markup-compatibility/2006">
          <mc:Choice Requires="x14">
            <control shapeId="16115" r:id="rId336" name="Check Box 755">
              <controlPr locked="0" defaultSize="0" autoFill="0" autoLine="0" autoPict="0">
                <anchor moveWithCells="1" sizeWithCells="1">
                  <from>
                    <xdr:col>22</xdr:col>
                    <xdr:colOff>0</xdr:colOff>
                    <xdr:row>1917</xdr:row>
                    <xdr:rowOff>0</xdr:rowOff>
                  </from>
                  <to>
                    <xdr:col>22</xdr:col>
                    <xdr:colOff>184150</xdr:colOff>
                    <xdr:row>1917</xdr:row>
                    <xdr:rowOff>184150</xdr:rowOff>
                  </to>
                </anchor>
              </controlPr>
            </control>
          </mc:Choice>
        </mc:AlternateContent>
        <mc:AlternateContent xmlns:mc="http://schemas.openxmlformats.org/markup-compatibility/2006">
          <mc:Choice Requires="x14">
            <control shapeId="16116" r:id="rId337" name="Check Box 756">
              <controlPr locked="0" defaultSize="0" autoFill="0" autoLine="0" autoPict="0">
                <anchor moveWithCells="1" sizeWithCells="1">
                  <from>
                    <xdr:col>22</xdr:col>
                    <xdr:colOff>0</xdr:colOff>
                    <xdr:row>1919</xdr:row>
                    <xdr:rowOff>0</xdr:rowOff>
                  </from>
                  <to>
                    <xdr:col>22</xdr:col>
                    <xdr:colOff>184150</xdr:colOff>
                    <xdr:row>1919</xdr:row>
                    <xdr:rowOff>184150</xdr:rowOff>
                  </to>
                </anchor>
              </controlPr>
            </control>
          </mc:Choice>
        </mc:AlternateContent>
        <mc:AlternateContent xmlns:mc="http://schemas.openxmlformats.org/markup-compatibility/2006">
          <mc:Choice Requires="x14">
            <control shapeId="16117" r:id="rId338" name="Check Box 757">
              <controlPr locked="0" defaultSize="0" autoFill="0" autoLine="0" autoPict="0">
                <anchor moveWithCells="1" sizeWithCells="1">
                  <from>
                    <xdr:col>22</xdr:col>
                    <xdr:colOff>0</xdr:colOff>
                    <xdr:row>1920</xdr:row>
                    <xdr:rowOff>0</xdr:rowOff>
                  </from>
                  <to>
                    <xdr:col>22</xdr:col>
                    <xdr:colOff>184150</xdr:colOff>
                    <xdr:row>1920</xdr:row>
                    <xdr:rowOff>184150</xdr:rowOff>
                  </to>
                </anchor>
              </controlPr>
            </control>
          </mc:Choice>
        </mc:AlternateContent>
        <mc:AlternateContent xmlns:mc="http://schemas.openxmlformats.org/markup-compatibility/2006">
          <mc:Choice Requires="x14">
            <control shapeId="16118" r:id="rId339" name="Check Box 758">
              <controlPr locked="0" defaultSize="0" autoFill="0" autoLine="0" autoPict="0">
                <anchor moveWithCells="1" sizeWithCells="1">
                  <from>
                    <xdr:col>22</xdr:col>
                    <xdr:colOff>0</xdr:colOff>
                    <xdr:row>1921</xdr:row>
                    <xdr:rowOff>0</xdr:rowOff>
                  </from>
                  <to>
                    <xdr:col>22</xdr:col>
                    <xdr:colOff>184150</xdr:colOff>
                    <xdr:row>1921</xdr:row>
                    <xdr:rowOff>184150</xdr:rowOff>
                  </to>
                </anchor>
              </controlPr>
            </control>
          </mc:Choice>
        </mc:AlternateContent>
        <mc:AlternateContent xmlns:mc="http://schemas.openxmlformats.org/markup-compatibility/2006">
          <mc:Choice Requires="x14">
            <control shapeId="16119" r:id="rId340" name="Check Box 759">
              <controlPr locked="0" defaultSize="0" autoFill="0" autoLine="0" autoPict="0">
                <anchor moveWithCells="1" sizeWithCells="1">
                  <from>
                    <xdr:col>22</xdr:col>
                    <xdr:colOff>0</xdr:colOff>
                    <xdr:row>1927</xdr:row>
                    <xdr:rowOff>0</xdr:rowOff>
                  </from>
                  <to>
                    <xdr:col>22</xdr:col>
                    <xdr:colOff>184150</xdr:colOff>
                    <xdr:row>1927</xdr:row>
                    <xdr:rowOff>184150</xdr:rowOff>
                  </to>
                </anchor>
              </controlPr>
            </control>
          </mc:Choice>
        </mc:AlternateContent>
        <mc:AlternateContent xmlns:mc="http://schemas.openxmlformats.org/markup-compatibility/2006">
          <mc:Choice Requires="x14">
            <control shapeId="16120" r:id="rId341" name="Check Box 760">
              <controlPr locked="0" defaultSize="0" autoFill="0" autoLine="0" autoPict="0">
                <anchor moveWithCells="1" sizeWithCells="1">
                  <from>
                    <xdr:col>22</xdr:col>
                    <xdr:colOff>0</xdr:colOff>
                    <xdr:row>1929</xdr:row>
                    <xdr:rowOff>0</xdr:rowOff>
                  </from>
                  <to>
                    <xdr:col>22</xdr:col>
                    <xdr:colOff>184150</xdr:colOff>
                    <xdr:row>1929</xdr:row>
                    <xdr:rowOff>184150</xdr:rowOff>
                  </to>
                </anchor>
              </controlPr>
            </control>
          </mc:Choice>
        </mc:AlternateContent>
        <mc:AlternateContent xmlns:mc="http://schemas.openxmlformats.org/markup-compatibility/2006">
          <mc:Choice Requires="x14">
            <control shapeId="16121" r:id="rId342" name="Check Box 761">
              <controlPr locked="0" defaultSize="0" autoFill="0" autoLine="0" autoPict="0">
                <anchor moveWithCells="1" sizeWithCells="1">
                  <from>
                    <xdr:col>22</xdr:col>
                    <xdr:colOff>0</xdr:colOff>
                    <xdr:row>1932</xdr:row>
                    <xdr:rowOff>0</xdr:rowOff>
                  </from>
                  <to>
                    <xdr:col>22</xdr:col>
                    <xdr:colOff>184150</xdr:colOff>
                    <xdr:row>1932</xdr:row>
                    <xdr:rowOff>184150</xdr:rowOff>
                  </to>
                </anchor>
              </controlPr>
            </control>
          </mc:Choice>
        </mc:AlternateContent>
        <mc:AlternateContent xmlns:mc="http://schemas.openxmlformats.org/markup-compatibility/2006">
          <mc:Choice Requires="x14">
            <control shapeId="16122" r:id="rId343" name="Check Box 762">
              <controlPr locked="0" defaultSize="0" autoFill="0" autoLine="0" autoPict="0">
                <anchor moveWithCells="1" sizeWithCells="1">
                  <from>
                    <xdr:col>22</xdr:col>
                    <xdr:colOff>0</xdr:colOff>
                    <xdr:row>1934</xdr:row>
                    <xdr:rowOff>0</xdr:rowOff>
                  </from>
                  <to>
                    <xdr:col>22</xdr:col>
                    <xdr:colOff>184150</xdr:colOff>
                    <xdr:row>1934</xdr:row>
                    <xdr:rowOff>184150</xdr:rowOff>
                  </to>
                </anchor>
              </controlPr>
            </control>
          </mc:Choice>
        </mc:AlternateContent>
        <mc:AlternateContent xmlns:mc="http://schemas.openxmlformats.org/markup-compatibility/2006">
          <mc:Choice Requires="x14">
            <control shapeId="16123" r:id="rId344" name="Check Box 763">
              <controlPr locked="0" defaultSize="0" autoFill="0" autoLine="0" autoPict="0">
                <anchor moveWithCells="1" sizeWithCells="1">
                  <from>
                    <xdr:col>22</xdr:col>
                    <xdr:colOff>0</xdr:colOff>
                    <xdr:row>1937</xdr:row>
                    <xdr:rowOff>0</xdr:rowOff>
                  </from>
                  <to>
                    <xdr:col>22</xdr:col>
                    <xdr:colOff>184150</xdr:colOff>
                    <xdr:row>1937</xdr:row>
                    <xdr:rowOff>184150</xdr:rowOff>
                  </to>
                </anchor>
              </controlPr>
            </control>
          </mc:Choice>
        </mc:AlternateContent>
        <mc:AlternateContent xmlns:mc="http://schemas.openxmlformats.org/markup-compatibility/2006">
          <mc:Choice Requires="x14">
            <control shapeId="16124" r:id="rId345" name="Check Box 764">
              <controlPr locked="0" defaultSize="0" autoFill="0" autoLine="0" autoPict="0">
                <anchor moveWithCells="1" sizeWithCells="1">
                  <from>
                    <xdr:col>22</xdr:col>
                    <xdr:colOff>0</xdr:colOff>
                    <xdr:row>1939</xdr:row>
                    <xdr:rowOff>0</xdr:rowOff>
                  </from>
                  <to>
                    <xdr:col>22</xdr:col>
                    <xdr:colOff>184150</xdr:colOff>
                    <xdr:row>1939</xdr:row>
                    <xdr:rowOff>184150</xdr:rowOff>
                  </to>
                </anchor>
              </controlPr>
            </control>
          </mc:Choice>
        </mc:AlternateContent>
        <mc:AlternateContent xmlns:mc="http://schemas.openxmlformats.org/markup-compatibility/2006">
          <mc:Choice Requires="x14">
            <control shapeId="16125" r:id="rId346" name="Check Box 765">
              <controlPr locked="0" defaultSize="0" autoFill="0" autoLine="0" autoPict="0">
                <anchor moveWithCells="1" sizeWithCells="1">
                  <from>
                    <xdr:col>22</xdr:col>
                    <xdr:colOff>0</xdr:colOff>
                    <xdr:row>1940</xdr:row>
                    <xdr:rowOff>0</xdr:rowOff>
                  </from>
                  <to>
                    <xdr:col>22</xdr:col>
                    <xdr:colOff>184150</xdr:colOff>
                    <xdr:row>1940</xdr:row>
                    <xdr:rowOff>184150</xdr:rowOff>
                  </to>
                </anchor>
              </controlPr>
            </control>
          </mc:Choice>
        </mc:AlternateContent>
        <mc:AlternateContent xmlns:mc="http://schemas.openxmlformats.org/markup-compatibility/2006">
          <mc:Choice Requires="x14">
            <control shapeId="16126" r:id="rId347" name="Check Box 766">
              <controlPr locked="0" defaultSize="0" autoFill="0" autoLine="0" autoPict="0">
                <anchor moveWithCells="1" sizeWithCells="1">
                  <from>
                    <xdr:col>22</xdr:col>
                    <xdr:colOff>0</xdr:colOff>
                    <xdr:row>1942</xdr:row>
                    <xdr:rowOff>0</xdr:rowOff>
                  </from>
                  <to>
                    <xdr:col>22</xdr:col>
                    <xdr:colOff>184150</xdr:colOff>
                    <xdr:row>1942</xdr:row>
                    <xdr:rowOff>184150</xdr:rowOff>
                  </to>
                </anchor>
              </controlPr>
            </control>
          </mc:Choice>
        </mc:AlternateContent>
        <mc:AlternateContent xmlns:mc="http://schemas.openxmlformats.org/markup-compatibility/2006">
          <mc:Choice Requires="x14">
            <control shapeId="16127" r:id="rId348" name="Check Box 767">
              <controlPr locked="0" defaultSize="0" autoFill="0" autoLine="0" autoPict="0">
                <anchor moveWithCells="1" sizeWithCells="1">
                  <from>
                    <xdr:col>22</xdr:col>
                    <xdr:colOff>0</xdr:colOff>
                    <xdr:row>1944</xdr:row>
                    <xdr:rowOff>0</xdr:rowOff>
                  </from>
                  <to>
                    <xdr:col>22</xdr:col>
                    <xdr:colOff>184150</xdr:colOff>
                    <xdr:row>1944</xdr:row>
                    <xdr:rowOff>184150</xdr:rowOff>
                  </to>
                </anchor>
              </controlPr>
            </control>
          </mc:Choice>
        </mc:AlternateContent>
        <mc:AlternateContent xmlns:mc="http://schemas.openxmlformats.org/markup-compatibility/2006">
          <mc:Choice Requires="x14">
            <control shapeId="16128" r:id="rId349" name="Check Box 768">
              <controlPr locked="0" defaultSize="0" autoFill="0" autoLine="0" autoPict="0">
                <anchor moveWithCells="1" sizeWithCells="1">
                  <from>
                    <xdr:col>22</xdr:col>
                    <xdr:colOff>0</xdr:colOff>
                    <xdr:row>1945</xdr:row>
                    <xdr:rowOff>0</xdr:rowOff>
                  </from>
                  <to>
                    <xdr:col>22</xdr:col>
                    <xdr:colOff>184150</xdr:colOff>
                    <xdr:row>1945</xdr:row>
                    <xdr:rowOff>184150</xdr:rowOff>
                  </to>
                </anchor>
              </controlPr>
            </control>
          </mc:Choice>
        </mc:AlternateContent>
        <mc:AlternateContent xmlns:mc="http://schemas.openxmlformats.org/markup-compatibility/2006">
          <mc:Choice Requires="x14">
            <control shapeId="16129" r:id="rId350" name="Check Box 769">
              <controlPr locked="0" defaultSize="0" autoFill="0" autoLine="0" autoPict="0">
                <anchor moveWithCells="1" sizeWithCells="1">
                  <from>
                    <xdr:col>22</xdr:col>
                    <xdr:colOff>0</xdr:colOff>
                    <xdr:row>1948</xdr:row>
                    <xdr:rowOff>0</xdr:rowOff>
                  </from>
                  <to>
                    <xdr:col>22</xdr:col>
                    <xdr:colOff>184150</xdr:colOff>
                    <xdr:row>1948</xdr:row>
                    <xdr:rowOff>184150</xdr:rowOff>
                  </to>
                </anchor>
              </controlPr>
            </control>
          </mc:Choice>
        </mc:AlternateContent>
        <mc:AlternateContent xmlns:mc="http://schemas.openxmlformats.org/markup-compatibility/2006">
          <mc:Choice Requires="x14">
            <control shapeId="16130" r:id="rId351" name="Check Box 770">
              <controlPr locked="0" defaultSize="0" autoFill="0" autoLine="0" autoPict="0">
                <anchor moveWithCells="1" sizeWithCells="1">
                  <from>
                    <xdr:col>22</xdr:col>
                    <xdr:colOff>0</xdr:colOff>
                    <xdr:row>1954</xdr:row>
                    <xdr:rowOff>0</xdr:rowOff>
                  </from>
                  <to>
                    <xdr:col>22</xdr:col>
                    <xdr:colOff>184150</xdr:colOff>
                    <xdr:row>1954</xdr:row>
                    <xdr:rowOff>184150</xdr:rowOff>
                  </to>
                </anchor>
              </controlPr>
            </control>
          </mc:Choice>
        </mc:AlternateContent>
        <mc:AlternateContent xmlns:mc="http://schemas.openxmlformats.org/markup-compatibility/2006">
          <mc:Choice Requires="x14">
            <control shapeId="16131" r:id="rId352" name="Check Box 771">
              <controlPr locked="0" defaultSize="0" autoFill="0" autoLine="0" autoPict="0">
                <anchor moveWithCells="1" sizeWithCells="1">
                  <from>
                    <xdr:col>22</xdr:col>
                    <xdr:colOff>0</xdr:colOff>
                    <xdr:row>1956</xdr:row>
                    <xdr:rowOff>0</xdr:rowOff>
                  </from>
                  <to>
                    <xdr:col>22</xdr:col>
                    <xdr:colOff>184150</xdr:colOff>
                    <xdr:row>1956</xdr:row>
                    <xdr:rowOff>184150</xdr:rowOff>
                  </to>
                </anchor>
              </controlPr>
            </control>
          </mc:Choice>
        </mc:AlternateContent>
        <mc:AlternateContent xmlns:mc="http://schemas.openxmlformats.org/markup-compatibility/2006">
          <mc:Choice Requires="x14">
            <control shapeId="16132" r:id="rId353" name="Check Box 772">
              <controlPr locked="0" defaultSize="0" autoFill="0" autoLine="0" autoPict="0">
                <anchor moveWithCells="1" sizeWithCells="1">
                  <from>
                    <xdr:col>22</xdr:col>
                    <xdr:colOff>0</xdr:colOff>
                    <xdr:row>1960</xdr:row>
                    <xdr:rowOff>0</xdr:rowOff>
                  </from>
                  <to>
                    <xdr:col>22</xdr:col>
                    <xdr:colOff>184150</xdr:colOff>
                    <xdr:row>1960</xdr:row>
                    <xdr:rowOff>184150</xdr:rowOff>
                  </to>
                </anchor>
              </controlPr>
            </control>
          </mc:Choice>
        </mc:AlternateContent>
        <mc:AlternateContent xmlns:mc="http://schemas.openxmlformats.org/markup-compatibility/2006">
          <mc:Choice Requires="x14">
            <control shapeId="16133" r:id="rId354" name="Check Box 773">
              <controlPr locked="0" defaultSize="0" autoFill="0" autoLine="0" autoPict="0">
                <anchor moveWithCells="1" sizeWithCells="1">
                  <from>
                    <xdr:col>22</xdr:col>
                    <xdr:colOff>0</xdr:colOff>
                    <xdr:row>1967</xdr:row>
                    <xdr:rowOff>0</xdr:rowOff>
                  </from>
                  <to>
                    <xdr:col>22</xdr:col>
                    <xdr:colOff>184150</xdr:colOff>
                    <xdr:row>1967</xdr:row>
                    <xdr:rowOff>184150</xdr:rowOff>
                  </to>
                </anchor>
              </controlPr>
            </control>
          </mc:Choice>
        </mc:AlternateContent>
        <mc:AlternateContent xmlns:mc="http://schemas.openxmlformats.org/markup-compatibility/2006">
          <mc:Choice Requires="x14">
            <control shapeId="16134" r:id="rId355" name="Check Box 774">
              <controlPr locked="0" defaultSize="0" autoFill="0" autoLine="0" autoPict="0">
                <anchor moveWithCells="1" sizeWithCells="1">
                  <from>
                    <xdr:col>22</xdr:col>
                    <xdr:colOff>0</xdr:colOff>
                    <xdr:row>1969</xdr:row>
                    <xdr:rowOff>0</xdr:rowOff>
                  </from>
                  <to>
                    <xdr:col>22</xdr:col>
                    <xdr:colOff>184150</xdr:colOff>
                    <xdr:row>1969</xdr:row>
                    <xdr:rowOff>184150</xdr:rowOff>
                  </to>
                </anchor>
              </controlPr>
            </control>
          </mc:Choice>
        </mc:AlternateContent>
        <mc:AlternateContent xmlns:mc="http://schemas.openxmlformats.org/markup-compatibility/2006">
          <mc:Choice Requires="x14">
            <control shapeId="16135" r:id="rId356" name="Check Box 775">
              <controlPr locked="0" defaultSize="0" autoFill="0" autoLine="0" autoPict="0">
                <anchor moveWithCells="1" sizeWithCells="1">
                  <from>
                    <xdr:col>22</xdr:col>
                    <xdr:colOff>0</xdr:colOff>
                    <xdr:row>1970</xdr:row>
                    <xdr:rowOff>0</xdr:rowOff>
                  </from>
                  <to>
                    <xdr:col>22</xdr:col>
                    <xdr:colOff>184150</xdr:colOff>
                    <xdr:row>1970</xdr:row>
                    <xdr:rowOff>184150</xdr:rowOff>
                  </to>
                </anchor>
              </controlPr>
            </control>
          </mc:Choice>
        </mc:AlternateContent>
        <mc:AlternateContent xmlns:mc="http://schemas.openxmlformats.org/markup-compatibility/2006">
          <mc:Choice Requires="x14">
            <control shapeId="16136" r:id="rId357" name="Check Box 776">
              <controlPr locked="0" defaultSize="0" autoFill="0" autoLine="0" autoPict="0">
                <anchor moveWithCells="1" sizeWithCells="1">
                  <from>
                    <xdr:col>22</xdr:col>
                    <xdr:colOff>0</xdr:colOff>
                    <xdr:row>1972</xdr:row>
                    <xdr:rowOff>0</xdr:rowOff>
                  </from>
                  <to>
                    <xdr:col>22</xdr:col>
                    <xdr:colOff>184150</xdr:colOff>
                    <xdr:row>1972</xdr:row>
                    <xdr:rowOff>184150</xdr:rowOff>
                  </to>
                </anchor>
              </controlPr>
            </control>
          </mc:Choice>
        </mc:AlternateContent>
        <mc:AlternateContent xmlns:mc="http://schemas.openxmlformats.org/markup-compatibility/2006">
          <mc:Choice Requires="x14">
            <control shapeId="16137" r:id="rId358" name="Check Box 777">
              <controlPr locked="0" defaultSize="0" autoFill="0" autoLine="0" autoPict="0">
                <anchor moveWithCells="1" sizeWithCells="1">
                  <from>
                    <xdr:col>22</xdr:col>
                    <xdr:colOff>0</xdr:colOff>
                    <xdr:row>1973</xdr:row>
                    <xdr:rowOff>0</xdr:rowOff>
                  </from>
                  <to>
                    <xdr:col>22</xdr:col>
                    <xdr:colOff>184150</xdr:colOff>
                    <xdr:row>1973</xdr:row>
                    <xdr:rowOff>184150</xdr:rowOff>
                  </to>
                </anchor>
              </controlPr>
            </control>
          </mc:Choice>
        </mc:AlternateContent>
        <mc:AlternateContent xmlns:mc="http://schemas.openxmlformats.org/markup-compatibility/2006">
          <mc:Choice Requires="x14">
            <control shapeId="16138" r:id="rId359" name="Check Box 778">
              <controlPr locked="0" defaultSize="0" autoFill="0" autoLine="0" autoPict="0">
                <anchor moveWithCells="1" sizeWithCells="1">
                  <from>
                    <xdr:col>22</xdr:col>
                    <xdr:colOff>0</xdr:colOff>
                    <xdr:row>1974</xdr:row>
                    <xdr:rowOff>0</xdr:rowOff>
                  </from>
                  <to>
                    <xdr:col>22</xdr:col>
                    <xdr:colOff>184150</xdr:colOff>
                    <xdr:row>1974</xdr:row>
                    <xdr:rowOff>184150</xdr:rowOff>
                  </to>
                </anchor>
              </controlPr>
            </control>
          </mc:Choice>
        </mc:AlternateContent>
        <mc:AlternateContent xmlns:mc="http://schemas.openxmlformats.org/markup-compatibility/2006">
          <mc:Choice Requires="x14">
            <control shapeId="16139" r:id="rId360" name="Check Box 779">
              <controlPr locked="0" defaultSize="0" autoFill="0" autoLine="0" autoPict="0">
                <anchor moveWithCells="1" sizeWithCells="1">
                  <from>
                    <xdr:col>22</xdr:col>
                    <xdr:colOff>0</xdr:colOff>
                    <xdr:row>1975</xdr:row>
                    <xdr:rowOff>0</xdr:rowOff>
                  </from>
                  <to>
                    <xdr:col>22</xdr:col>
                    <xdr:colOff>184150</xdr:colOff>
                    <xdr:row>1975</xdr:row>
                    <xdr:rowOff>184150</xdr:rowOff>
                  </to>
                </anchor>
              </controlPr>
            </control>
          </mc:Choice>
        </mc:AlternateContent>
        <mc:AlternateContent xmlns:mc="http://schemas.openxmlformats.org/markup-compatibility/2006">
          <mc:Choice Requires="x14">
            <control shapeId="16140" r:id="rId361" name="Check Box 780">
              <controlPr locked="0" defaultSize="0" autoFill="0" autoLine="0" autoPict="0">
                <anchor moveWithCells="1" sizeWithCells="1">
                  <from>
                    <xdr:col>22</xdr:col>
                    <xdr:colOff>0</xdr:colOff>
                    <xdr:row>1976</xdr:row>
                    <xdr:rowOff>0</xdr:rowOff>
                  </from>
                  <to>
                    <xdr:col>22</xdr:col>
                    <xdr:colOff>184150</xdr:colOff>
                    <xdr:row>1976</xdr:row>
                    <xdr:rowOff>184150</xdr:rowOff>
                  </to>
                </anchor>
              </controlPr>
            </control>
          </mc:Choice>
        </mc:AlternateContent>
        <mc:AlternateContent xmlns:mc="http://schemas.openxmlformats.org/markup-compatibility/2006">
          <mc:Choice Requires="x14">
            <control shapeId="16141" r:id="rId362" name="Check Box 781">
              <controlPr locked="0" defaultSize="0" autoFill="0" autoLine="0" autoPict="0">
                <anchor moveWithCells="1" sizeWithCells="1">
                  <from>
                    <xdr:col>22</xdr:col>
                    <xdr:colOff>0</xdr:colOff>
                    <xdr:row>1993</xdr:row>
                    <xdr:rowOff>0</xdr:rowOff>
                  </from>
                  <to>
                    <xdr:col>22</xdr:col>
                    <xdr:colOff>184150</xdr:colOff>
                    <xdr:row>1993</xdr:row>
                    <xdr:rowOff>184150</xdr:rowOff>
                  </to>
                </anchor>
              </controlPr>
            </control>
          </mc:Choice>
        </mc:AlternateContent>
        <mc:AlternateContent xmlns:mc="http://schemas.openxmlformats.org/markup-compatibility/2006">
          <mc:Choice Requires="x14">
            <control shapeId="16142" r:id="rId363" name="Check Box 782">
              <controlPr locked="0" defaultSize="0" autoFill="0" autoLine="0" autoPict="0">
                <anchor moveWithCells="1" sizeWithCells="1">
                  <from>
                    <xdr:col>22</xdr:col>
                    <xdr:colOff>0</xdr:colOff>
                    <xdr:row>1995</xdr:row>
                    <xdr:rowOff>0</xdr:rowOff>
                  </from>
                  <to>
                    <xdr:col>22</xdr:col>
                    <xdr:colOff>184150</xdr:colOff>
                    <xdr:row>1995</xdr:row>
                    <xdr:rowOff>184150</xdr:rowOff>
                  </to>
                </anchor>
              </controlPr>
            </control>
          </mc:Choice>
        </mc:AlternateContent>
        <mc:AlternateContent xmlns:mc="http://schemas.openxmlformats.org/markup-compatibility/2006">
          <mc:Choice Requires="x14">
            <control shapeId="16143" r:id="rId364" name="Check Box 783">
              <controlPr locked="0" defaultSize="0" autoFill="0" autoLine="0" autoPict="0">
                <anchor moveWithCells="1" sizeWithCells="1">
                  <from>
                    <xdr:col>22</xdr:col>
                    <xdr:colOff>0</xdr:colOff>
                    <xdr:row>1998</xdr:row>
                    <xdr:rowOff>0</xdr:rowOff>
                  </from>
                  <to>
                    <xdr:col>22</xdr:col>
                    <xdr:colOff>184150</xdr:colOff>
                    <xdr:row>1998</xdr:row>
                    <xdr:rowOff>184150</xdr:rowOff>
                  </to>
                </anchor>
              </controlPr>
            </control>
          </mc:Choice>
        </mc:AlternateContent>
        <mc:AlternateContent xmlns:mc="http://schemas.openxmlformats.org/markup-compatibility/2006">
          <mc:Choice Requires="x14">
            <control shapeId="16144" r:id="rId365" name="Check Box 784">
              <controlPr locked="0" defaultSize="0" autoFill="0" autoLine="0" autoPict="0">
                <anchor moveWithCells="1" sizeWithCells="1">
                  <from>
                    <xdr:col>22</xdr:col>
                    <xdr:colOff>0</xdr:colOff>
                    <xdr:row>2011</xdr:row>
                    <xdr:rowOff>0</xdr:rowOff>
                  </from>
                  <to>
                    <xdr:col>22</xdr:col>
                    <xdr:colOff>184150</xdr:colOff>
                    <xdr:row>2011</xdr:row>
                    <xdr:rowOff>184150</xdr:rowOff>
                  </to>
                </anchor>
              </controlPr>
            </control>
          </mc:Choice>
        </mc:AlternateContent>
        <mc:AlternateContent xmlns:mc="http://schemas.openxmlformats.org/markup-compatibility/2006">
          <mc:Choice Requires="x14">
            <control shapeId="16145" r:id="rId366" name="Check Box 785">
              <controlPr locked="0" defaultSize="0" autoFill="0" autoLine="0" autoPict="0">
                <anchor moveWithCells="1" sizeWithCells="1">
                  <from>
                    <xdr:col>22</xdr:col>
                    <xdr:colOff>0</xdr:colOff>
                    <xdr:row>2013</xdr:row>
                    <xdr:rowOff>0</xdr:rowOff>
                  </from>
                  <to>
                    <xdr:col>22</xdr:col>
                    <xdr:colOff>184150</xdr:colOff>
                    <xdr:row>2013</xdr:row>
                    <xdr:rowOff>184150</xdr:rowOff>
                  </to>
                </anchor>
              </controlPr>
            </control>
          </mc:Choice>
        </mc:AlternateContent>
        <mc:AlternateContent xmlns:mc="http://schemas.openxmlformats.org/markup-compatibility/2006">
          <mc:Choice Requires="x14">
            <control shapeId="16148" r:id="rId367" name="Check Box 788">
              <controlPr locked="0" defaultSize="0" autoFill="0" autoLine="0" autoPict="0">
                <anchor moveWithCells="1" sizeWithCells="1">
                  <from>
                    <xdr:col>22</xdr:col>
                    <xdr:colOff>0</xdr:colOff>
                    <xdr:row>1610</xdr:row>
                    <xdr:rowOff>0</xdr:rowOff>
                  </from>
                  <to>
                    <xdr:col>22</xdr:col>
                    <xdr:colOff>184150</xdr:colOff>
                    <xdr:row>1610</xdr:row>
                    <xdr:rowOff>184150</xdr:rowOff>
                  </to>
                </anchor>
              </controlPr>
            </control>
          </mc:Choice>
        </mc:AlternateContent>
        <mc:AlternateContent xmlns:mc="http://schemas.openxmlformats.org/markup-compatibility/2006">
          <mc:Choice Requires="x14">
            <control shapeId="16150" r:id="rId368" name="Check Box 790">
              <controlPr locked="0" defaultSize="0" autoFill="0" autoLine="0" autoPict="0">
                <anchor moveWithCells="1" sizeWithCells="1">
                  <from>
                    <xdr:col>22</xdr:col>
                    <xdr:colOff>0</xdr:colOff>
                    <xdr:row>1316</xdr:row>
                    <xdr:rowOff>0</xdr:rowOff>
                  </from>
                  <to>
                    <xdr:col>22</xdr:col>
                    <xdr:colOff>184150</xdr:colOff>
                    <xdr:row>1316</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64" id="{BB2F8BB8-2FEF-47B1-8DD9-E71EF9527CE9}">
            <xm:f>'Ch5'!W22=TRUE</xm:f>
            <x14:dxf>
              <fill>
                <patternFill>
                  <bgColor rgb="FF92D050"/>
                </patternFill>
              </fill>
            </x14:dxf>
          </x14:cfRule>
          <xm:sqref>L21:L30 L36 L45 L56:L66 L69:L71 L77:L79 L83 L87:L92 L100:L106 L129:L134 L140:L156 L159:L163 L166:L169 L178 L185:L189 L193:L207 L209:L214 L216 L223 L225 L238 L241 L245:L246 L255:L256 L258</xm:sqref>
        </x14:conditionalFormatting>
        <x14:conditionalFormatting xmlns:xm="http://schemas.microsoft.com/office/excel/2006/main">
          <x14:cfRule type="expression" priority="2363" id="{6EC2BB1B-771D-4C25-A41F-A1DCFAF4F4FC}">
            <xm:f>'Ch6'!W29=TRUE</xm:f>
            <x14:dxf>
              <fill>
                <patternFill>
                  <bgColor rgb="FF92D050"/>
                </patternFill>
              </fill>
            </x14:dxf>
          </x14:cfRule>
          <xm:sqref>L284:L290 L294:L301 L305:L309 L333 L341 L352:L356 L359:L360 L362 L364 L370 L376 L382:L386 L390:L400 L403 L408:L415 L424 L434:L441 L448:L450 L466 L477:L478 L483:L491 L493:L500 L517 L533 L546 L548 L561:L569 L616:L620 L647 L656 L663 L719:L726 L729:L751</xm:sqref>
        </x14:conditionalFormatting>
        <x14:conditionalFormatting xmlns:xm="http://schemas.microsoft.com/office/excel/2006/main">
          <x14:cfRule type="expression" priority="120" id="{93677D41-7F00-4C78-8834-BCF35814BA27}">
            <xm:f>OR('Ch7'!W35=TRUE,AND(NOT('Ch7'!W35=FALSE),LEN('Ch7'!W35)&gt;0))</xm:f>
            <x14:dxf>
              <fill>
                <patternFill>
                  <bgColor rgb="FF92D050"/>
                </patternFill>
              </fill>
            </x14:dxf>
          </x14:cfRule>
          <xm:sqref>L1298 L1301 L1315 L1327:L1334 L1338:L1343 L1346 L1364:L1371 L1374:L1379 L1389 L1393:L1394 L1397:L1402 L1048 L1051 L1061 L1068 L1074 L1076 L1079:L1082 L1112 L1114 L1116 L1128:L1133 L1135:L1137 L1140 L1168 L1176:L1183 L1185:L1187 L1191:L1198 L1238 L1255 L1258 L1263:L1264 L1268 L1273 L946 L955 L962 L1007 L799 L804 L813 L816:L817 L855 L858 L885 L899:L902 L907 L924 L937 L940:L943</xm:sqref>
        </x14:conditionalFormatting>
        <x14:conditionalFormatting xmlns:xm="http://schemas.microsoft.com/office/excel/2006/main">
          <x14:cfRule type="expression" priority="119" id="{DB8F6CD5-D3B2-415E-90F5-11CFDD9E26A8}">
            <xm:f>'Ch8'!W41=TRUE</xm:f>
            <x14:dxf>
              <fill>
                <patternFill>
                  <bgColor rgb="FF92D050"/>
                </patternFill>
              </fill>
            </x14:dxf>
          </x14:cfRule>
          <xm:sqref>L1437 L1442 L1473 L1487 L1494 L1496 L1498 L1502:L1505 L1512:L1516 L1519 L1539:L1541 L1549 L1556:L1561 L1563</xm:sqref>
        </x14:conditionalFormatting>
        <x14:conditionalFormatting xmlns:xm="http://schemas.microsoft.com/office/excel/2006/main">
          <x14:cfRule type="expression" priority="118" id="{557CD0EB-83E3-480F-A4FC-A366FC522D01}">
            <xm:f>'Ch9'!W12=TRUE</xm:f>
            <x14:dxf>
              <fill>
                <patternFill>
                  <bgColor rgb="FF92D050"/>
                </patternFill>
              </fill>
            </x14:dxf>
          </x14:cfRule>
          <xm:sqref>L1569 L1575 L1590 L1611 L1618 L1624 L1647 L1649 L1675 L1686:L1689 L1691 L1696 L1705 L1710:L1711 L1715 L1724:L1725 L1728:L1731 L1736:L1739 L1742 L1749 L1760:L1766 L1777:L1784 L1791 L1794:L1802 L1815:L1817 L1821 L1826 L1830:L1836</xm:sqref>
        </x14:conditionalFormatting>
        <x14:conditionalFormatting xmlns:xm="http://schemas.microsoft.com/office/excel/2006/main">
          <x14:cfRule type="expression" priority="117" id="{439536BB-F1EC-48F6-A150-4394A0B41C59}">
            <xm:f>'Ch10'!W15=TRUE</xm:f>
            <x14:dxf>
              <fill>
                <patternFill>
                  <bgColor rgb="FF92D050"/>
                </patternFill>
              </fill>
            </x14:dxf>
          </x14:cfRule>
          <xm:sqref>L1866:L1887 L1909:L1923 L1928:L1950 L1955:L1961 L1968:L1976 L1994:L2001 L1843:L1861 L2012 L2014</xm:sqref>
        </x14:conditionalFormatting>
        <x14:conditionalFormatting xmlns:xm="http://schemas.microsoft.com/office/excel/2006/main">
          <x14:cfRule type="expression" priority="100" id="{9964C645-554E-4CBB-8F6C-1C1B51E706B0}">
            <xm:f>LEN('Ch6'!W63)&gt;0</xm:f>
            <x14:dxf>
              <fill>
                <patternFill>
                  <bgColor rgb="FF92D050"/>
                </patternFill>
              </fill>
            </x14:dxf>
          </x14:cfRule>
          <xm:sqref>L318:L320 L324 L326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7D000000}">
          <x14:formula1>
            <xm:f>Points!$C$14:$F$14</xm:f>
          </x14:formula1>
          <xm:sqref>L1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9" filterMode="1">
    <pageSetUpPr fitToPage="1"/>
  </sheetPr>
  <dimension ref="A1:I2015"/>
  <sheetViews>
    <sheetView showGridLines="0" zoomScaleNormal="100" workbookViewId="0">
      <pane ySplit="7" topLeftCell="A8" activePane="bottomLeft" state="frozen"/>
      <selection pane="bottomLeft"/>
    </sheetView>
  </sheetViews>
  <sheetFormatPr defaultRowHeight="14.5" x14ac:dyDescent="0.35"/>
  <cols>
    <col min="1" max="1" width="10.453125" customWidth="1"/>
    <col min="2" max="3" width="3.81640625" customWidth="1"/>
    <col min="4" max="4" width="71.7265625" customWidth="1"/>
    <col min="6" max="6" width="21.1796875" hidden="1" customWidth="1"/>
    <col min="7" max="7" width="9.1796875" hidden="1" customWidth="1"/>
    <col min="8" max="9" width="9.1796875" customWidth="1"/>
  </cols>
  <sheetData>
    <row r="1" spans="1:9" x14ac:dyDescent="0.35">
      <c r="D1" s="945" t="s">
        <v>4664</v>
      </c>
    </row>
    <row r="2" spans="1:9" ht="15" customHeight="1" x14ac:dyDescent="0.35">
      <c r="D2" s="946"/>
    </row>
    <row r="3" spans="1:9" ht="15" customHeight="1" x14ac:dyDescent="0.35">
      <c r="D3" s="946"/>
    </row>
    <row r="4" spans="1:9" x14ac:dyDescent="0.35">
      <c r="D4" s="944" t="s">
        <v>4663</v>
      </c>
    </row>
    <row r="5" spans="1:9" x14ac:dyDescent="0.35">
      <c r="D5" s="944"/>
    </row>
    <row r="6" spans="1:9" ht="15" customHeight="1" x14ac:dyDescent="0.35">
      <c r="A6" s="703" t="s">
        <v>261</v>
      </c>
      <c r="B6" s="703"/>
      <c r="C6" s="704"/>
      <c r="D6" s="705" t="s">
        <v>328</v>
      </c>
      <c r="E6" s="911" t="s">
        <v>338</v>
      </c>
      <c r="F6" s="705" t="s">
        <v>265</v>
      </c>
    </row>
    <row r="7" spans="1:9" x14ac:dyDescent="0.35">
      <c r="A7" s="703"/>
      <c r="B7" s="703"/>
      <c r="C7" s="704"/>
      <c r="D7" s="705"/>
      <c r="E7" s="911"/>
      <c r="F7" s="705"/>
      <c r="G7" t="s">
        <v>4632</v>
      </c>
    </row>
    <row r="8" spans="1:9" ht="18.5" hidden="1" x14ac:dyDescent="0.45">
      <c r="A8" s="14" t="s">
        <v>805</v>
      </c>
      <c r="B8" s="14"/>
      <c r="C8" s="14"/>
      <c r="D8" s="15"/>
      <c r="E8" s="16"/>
      <c r="F8" s="15"/>
      <c r="H8" t="s">
        <v>4635</v>
      </c>
    </row>
    <row r="9" spans="1:9" ht="15" hidden="1" customHeight="1" x14ac:dyDescent="0.35">
      <c r="A9" s="50" t="s">
        <v>267</v>
      </c>
      <c r="B9" s="50"/>
      <c r="C9" s="50"/>
      <c r="D9" s="706" t="s">
        <v>268</v>
      </c>
      <c r="E9" s="44"/>
      <c r="H9" t="s">
        <v>110</v>
      </c>
    </row>
    <row r="10" spans="1:9" hidden="1" x14ac:dyDescent="0.35">
      <c r="A10" s="50"/>
      <c r="B10" s="50"/>
      <c r="C10" s="50"/>
      <c r="D10" s="706"/>
      <c r="E10" s="44"/>
      <c r="H10" t="s">
        <v>4636</v>
      </c>
    </row>
    <row r="11" spans="1:9" hidden="1" x14ac:dyDescent="0.35">
      <c r="A11" s="50"/>
      <c r="B11" s="50"/>
      <c r="C11" s="50"/>
      <c r="D11" s="706"/>
      <c r="E11" s="44"/>
      <c r="H11" t="s">
        <v>3241</v>
      </c>
    </row>
    <row r="12" spans="1:9" ht="18.5" hidden="1" x14ac:dyDescent="0.35">
      <c r="A12" s="51" t="s">
        <v>804</v>
      </c>
      <c r="B12" s="51"/>
      <c r="C12" s="51"/>
      <c r="D12" s="45"/>
      <c r="E12" s="37"/>
    </row>
    <row r="13" spans="1:9" ht="15" customHeight="1" x14ac:dyDescent="0.35">
      <c r="A13" s="50" t="s">
        <v>269</v>
      </c>
      <c r="B13" s="50"/>
      <c r="C13" s="50"/>
      <c r="D13" s="576" t="s">
        <v>4709</v>
      </c>
      <c r="E13" s="54">
        <f>'Verification Report'!O13</f>
        <v>0</v>
      </c>
      <c r="G13">
        <v>1</v>
      </c>
    </row>
    <row r="14" spans="1:9" hidden="1" x14ac:dyDescent="0.35">
      <c r="A14" s="50"/>
      <c r="B14" s="115" t="s">
        <v>270</v>
      </c>
      <c r="C14" s="115"/>
      <c r="D14" s="578" t="s">
        <v>4710</v>
      </c>
      <c r="E14" s="54"/>
    </row>
    <row r="15" spans="1:9" x14ac:dyDescent="0.35">
      <c r="A15" s="50"/>
      <c r="B15" s="579" t="s">
        <v>272</v>
      </c>
      <c r="C15" s="50"/>
      <c r="D15" s="217" t="s">
        <v>4711</v>
      </c>
      <c r="E15" s="54"/>
      <c r="G15">
        <v>1</v>
      </c>
    </row>
    <row r="16" spans="1:9" x14ac:dyDescent="0.35">
      <c r="A16" s="50"/>
      <c r="B16" s="50"/>
      <c r="C16" s="50" t="s">
        <v>121</v>
      </c>
      <c r="D16" s="46" t="s">
        <v>271</v>
      </c>
      <c r="E16" s="54"/>
      <c r="F16" s="569" t="str">
        <f>IF('Verification Report'!W16="","",'Verification Report'!W16)</f>
        <v/>
      </c>
      <c r="G16">
        <v>1</v>
      </c>
      <c r="H16" s="571"/>
      <c r="I16" t="s">
        <v>4638</v>
      </c>
    </row>
    <row r="17" spans="1:9" ht="15" hidden="1" customHeight="1" x14ac:dyDescent="0.35">
      <c r="A17" s="50"/>
      <c r="B17" s="50"/>
      <c r="C17" s="50" t="s">
        <v>122</v>
      </c>
      <c r="D17" s="46" t="s">
        <v>273</v>
      </c>
      <c r="E17" s="54"/>
    </row>
    <row r="18" spans="1:9" ht="15.75" hidden="1" customHeight="1" thickBot="1" x14ac:dyDescent="0.4">
      <c r="A18" s="55"/>
      <c r="B18" s="55"/>
      <c r="C18" s="66" t="s">
        <v>123</v>
      </c>
      <c r="D18" s="56" t="s">
        <v>275</v>
      </c>
      <c r="E18" s="57"/>
    </row>
    <row r="19" spans="1:9" ht="15.75" customHeight="1" x14ac:dyDescent="0.35">
      <c r="A19" s="50" t="s">
        <v>278</v>
      </c>
      <c r="B19" s="50"/>
      <c r="C19" s="50"/>
      <c r="D19" s="706" t="s">
        <v>279</v>
      </c>
      <c r="E19" s="834"/>
      <c r="G19">
        <v>1</v>
      </c>
    </row>
    <row r="20" spans="1:9" x14ac:dyDescent="0.35">
      <c r="A20" s="50"/>
      <c r="B20" s="50"/>
      <c r="C20" s="50"/>
      <c r="D20" s="706"/>
      <c r="E20" s="834"/>
      <c r="G20">
        <v>1</v>
      </c>
    </row>
    <row r="21" spans="1:9" ht="15" hidden="1" customHeight="1" x14ac:dyDescent="0.35">
      <c r="A21" s="50"/>
      <c r="B21" s="50" t="s">
        <v>270</v>
      </c>
      <c r="C21" s="50"/>
      <c r="D21" s="723" t="s">
        <v>280</v>
      </c>
      <c r="E21" s="917">
        <f>'Verification Report'!O21</f>
        <v>0</v>
      </c>
    </row>
    <row r="22" spans="1:9" ht="15" hidden="1" customHeight="1" x14ac:dyDescent="0.35">
      <c r="A22" s="50"/>
      <c r="B22" s="115"/>
      <c r="C22" s="115"/>
      <c r="D22" s="724"/>
      <c r="E22" s="918"/>
    </row>
    <row r="23" spans="1:9" ht="15" hidden="1" customHeight="1" x14ac:dyDescent="0.35">
      <c r="A23" s="50"/>
      <c r="B23" s="50" t="s">
        <v>272</v>
      </c>
      <c r="C23" s="50"/>
      <c r="D23" s="707" t="s">
        <v>281</v>
      </c>
      <c r="E23" s="917">
        <f>'Verification Report'!O23</f>
        <v>3</v>
      </c>
    </row>
    <row r="24" spans="1:9" ht="15" hidden="1" customHeight="1" x14ac:dyDescent="0.35">
      <c r="A24" s="50"/>
      <c r="B24" s="115"/>
      <c r="C24" s="115"/>
      <c r="D24" s="709"/>
      <c r="E24" s="918"/>
    </row>
    <row r="25" spans="1:9" ht="15" customHeight="1" x14ac:dyDescent="0.35">
      <c r="A25" s="50"/>
      <c r="B25" s="50" t="s">
        <v>274</v>
      </c>
      <c r="C25" s="50"/>
      <c r="D25" s="723" t="s">
        <v>282</v>
      </c>
      <c r="E25" s="917">
        <f>'Verification Report'!O25</f>
        <v>5</v>
      </c>
      <c r="G25">
        <v>1</v>
      </c>
      <c r="H25" s="571"/>
      <c r="I25" t="s">
        <v>4639</v>
      </c>
    </row>
    <row r="26" spans="1:9" ht="15" thickBot="1" x14ac:dyDescent="0.4">
      <c r="A26" s="50"/>
      <c r="B26" s="115"/>
      <c r="C26" s="115"/>
      <c r="D26" s="724"/>
      <c r="E26" s="918"/>
      <c r="G26">
        <v>1</v>
      </c>
    </row>
    <row r="27" spans="1:9" ht="15" hidden="1" customHeight="1" x14ac:dyDescent="0.35">
      <c r="A27" s="50"/>
      <c r="B27" s="50" t="s">
        <v>283</v>
      </c>
      <c r="C27" s="50"/>
      <c r="D27" s="707" t="s">
        <v>284</v>
      </c>
      <c r="E27" s="917">
        <f>'Verification Report'!O27</f>
        <v>0</v>
      </c>
    </row>
    <row r="28" spans="1:9" ht="15.75" hidden="1" customHeight="1" x14ac:dyDescent="0.35">
      <c r="A28" s="50"/>
      <c r="B28" s="50"/>
      <c r="C28" s="50"/>
      <c r="D28" s="707"/>
      <c r="E28" s="917">
        <f>'Verification Report'!O28</f>
        <v>0</v>
      </c>
    </row>
    <row r="29" spans="1:9" ht="15.75" hidden="1" customHeight="1" x14ac:dyDescent="0.35">
      <c r="A29" s="50"/>
      <c r="B29" s="50"/>
      <c r="C29" s="50"/>
      <c r="D29" s="707"/>
      <c r="E29" s="917">
        <f>'Verification Report'!O29</f>
        <v>0</v>
      </c>
    </row>
    <row r="30" spans="1:9" ht="15.75" hidden="1" customHeight="1" x14ac:dyDescent="0.35">
      <c r="A30" s="50"/>
      <c r="B30" s="50"/>
      <c r="C30" s="50"/>
      <c r="D30" s="707"/>
      <c r="E30" s="917">
        <f>'Verification Report'!O30</f>
        <v>0</v>
      </c>
    </row>
    <row r="31" spans="1:9" ht="15.75" hidden="1" customHeight="1" x14ac:dyDescent="0.35">
      <c r="A31" s="50"/>
      <c r="B31" s="50"/>
      <c r="C31" s="50"/>
      <c r="D31" s="46" t="s">
        <v>285</v>
      </c>
      <c r="E31" s="917">
        <f>'Verification Report'!O31</f>
        <v>0</v>
      </c>
    </row>
    <row r="32" spans="1:9" ht="15.75" hidden="1" customHeight="1" x14ac:dyDescent="0.35">
      <c r="A32" s="50"/>
      <c r="B32" s="50"/>
      <c r="C32" s="50"/>
      <c r="D32" s="46" t="s">
        <v>286</v>
      </c>
      <c r="E32" s="917">
        <f>'Verification Report'!O32</f>
        <v>0</v>
      </c>
    </row>
    <row r="33" spans="1:5" ht="15.75" hidden="1" customHeight="1" x14ac:dyDescent="0.35">
      <c r="A33" s="50"/>
      <c r="B33" s="50"/>
      <c r="C33" s="50"/>
      <c r="D33" s="46" t="s">
        <v>287</v>
      </c>
      <c r="E33" s="917">
        <f>'Verification Report'!O33</f>
        <v>0</v>
      </c>
    </row>
    <row r="34" spans="1:5" ht="15.75" hidden="1" customHeight="1" x14ac:dyDescent="0.35">
      <c r="A34" s="50"/>
      <c r="B34" s="50"/>
      <c r="C34" s="50"/>
      <c r="D34" s="46" t="s">
        <v>288</v>
      </c>
      <c r="E34" s="917">
        <f>'Verification Report'!O34</f>
        <v>0</v>
      </c>
    </row>
    <row r="35" spans="1:5" ht="15.75" hidden="1" customHeight="1" x14ac:dyDescent="0.35">
      <c r="A35" s="50"/>
      <c r="B35" s="115"/>
      <c r="C35" s="115"/>
      <c r="D35" s="121" t="s">
        <v>302</v>
      </c>
      <c r="E35" s="918">
        <f>'Verification Report'!O35</f>
        <v>0</v>
      </c>
    </row>
    <row r="36" spans="1:5" ht="15" hidden="1" customHeight="1" x14ac:dyDescent="0.35">
      <c r="A36" s="50"/>
      <c r="B36" s="50" t="s">
        <v>289</v>
      </c>
      <c r="C36" s="50"/>
      <c r="D36" s="707" t="s">
        <v>290</v>
      </c>
      <c r="E36" s="917">
        <f>'Verification Report'!O36</f>
        <v>5</v>
      </c>
    </row>
    <row r="37" spans="1:5" ht="15.75" hidden="1" customHeight="1" x14ac:dyDescent="0.35">
      <c r="A37" s="50"/>
      <c r="B37" s="50"/>
      <c r="C37" s="50"/>
      <c r="D37" s="707"/>
      <c r="E37" s="917">
        <f>'Verification Report'!O37</f>
        <v>0</v>
      </c>
    </row>
    <row r="38" spans="1:5" ht="15.75" hidden="1" customHeight="1" x14ac:dyDescent="0.35">
      <c r="A38" s="50"/>
      <c r="B38" s="115"/>
      <c r="C38" s="115"/>
      <c r="D38" s="709"/>
      <c r="E38" s="918">
        <f>'Verification Report'!O38</f>
        <v>0</v>
      </c>
    </row>
    <row r="39" spans="1:5" ht="15" hidden="1" customHeight="1" x14ac:dyDescent="0.35">
      <c r="A39" s="50"/>
      <c r="B39" s="50" t="s">
        <v>291</v>
      </c>
      <c r="C39" s="50"/>
      <c r="D39" s="707" t="s">
        <v>292</v>
      </c>
      <c r="E39" s="932">
        <f ca="1">'Verification Report'!O39</f>
        <v>0</v>
      </c>
    </row>
    <row r="40" spans="1:5" ht="15.75" hidden="1" customHeight="1" x14ac:dyDescent="0.35">
      <c r="A40" s="50"/>
      <c r="B40" s="50"/>
      <c r="C40" s="50"/>
      <c r="D40" s="707"/>
      <c r="E40" s="932"/>
    </row>
    <row r="41" spans="1:5" ht="15.75" hidden="1" customHeight="1" x14ac:dyDescent="0.35">
      <c r="A41" s="50"/>
      <c r="B41" s="50"/>
      <c r="C41" s="50" t="s">
        <v>121</v>
      </c>
      <c r="D41" s="46" t="s">
        <v>293</v>
      </c>
      <c r="E41" s="44"/>
    </row>
    <row r="42" spans="1:5" ht="15.75" hidden="1" customHeight="1" x14ac:dyDescent="0.35">
      <c r="A42" s="50"/>
      <c r="B42" s="50"/>
      <c r="C42" s="50" t="s">
        <v>122</v>
      </c>
      <c r="D42" s="46" t="s">
        <v>294</v>
      </c>
      <c r="E42" s="44"/>
    </row>
    <row r="43" spans="1:5" ht="15.75" hidden="1" customHeight="1" x14ac:dyDescent="0.35">
      <c r="A43" s="50"/>
      <c r="B43" s="50"/>
      <c r="C43" s="52" t="s">
        <v>123</v>
      </c>
      <c r="D43" s="46" t="s">
        <v>295</v>
      </c>
      <c r="E43" s="44"/>
    </row>
    <row r="44" spans="1:5" ht="19" hidden="1" thickBot="1" x14ac:dyDescent="0.4">
      <c r="A44" s="38" t="s">
        <v>387</v>
      </c>
      <c r="B44" s="38"/>
      <c r="C44" s="38"/>
      <c r="D44" s="38"/>
      <c r="E44" s="37"/>
    </row>
    <row r="45" spans="1:5" ht="15" hidden="1" customHeight="1" x14ac:dyDescent="0.35">
      <c r="A45" s="33">
        <v>502.1</v>
      </c>
      <c r="B45" s="53"/>
      <c r="C45" s="53"/>
      <c r="D45" s="706" t="s">
        <v>389</v>
      </c>
      <c r="E45" s="834">
        <f>'Verification Report'!O45</f>
        <v>4</v>
      </c>
    </row>
    <row r="46" spans="1:5" ht="15.75" hidden="1" customHeight="1" x14ac:dyDescent="0.35">
      <c r="A46" s="53"/>
      <c r="B46" s="53"/>
      <c r="C46" s="53"/>
      <c r="D46" s="706"/>
      <c r="E46" s="834"/>
    </row>
    <row r="47" spans="1:5" ht="15.75" hidden="1" customHeight="1" x14ac:dyDescent="0.35">
      <c r="A47" s="53"/>
      <c r="B47" s="53"/>
      <c r="C47" s="53"/>
      <c r="D47" s="706"/>
      <c r="E47" s="834">
        <f>'Verification Report'!O47</f>
        <v>0</v>
      </c>
    </row>
    <row r="48" spans="1:5" ht="15.75" hidden="1" customHeight="1" x14ac:dyDescent="0.35">
      <c r="A48" s="53"/>
      <c r="B48" s="53"/>
      <c r="C48" s="53"/>
      <c r="D48" s="706"/>
      <c r="E48" s="834"/>
    </row>
    <row r="49" spans="1:5" ht="19" hidden="1" thickBot="1" x14ac:dyDescent="0.4">
      <c r="A49" s="38" t="s">
        <v>391</v>
      </c>
      <c r="B49" s="51"/>
      <c r="C49" s="51"/>
      <c r="D49" s="47"/>
      <c r="E49" s="37"/>
    </row>
    <row r="50" spans="1:5" ht="15" hidden="1" customHeight="1" x14ac:dyDescent="0.35">
      <c r="A50" s="441" t="s">
        <v>392</v>
      </c>
      <c r="B50" s="53"/>
      <c r="C50" s="53"/>
      <c r="D50" s="706" t="s">
        <v>393</v>
      </c>
      <c r="E50" s="44"/>
    </row>
    <row r="51" spans="1:5" ht="15.75" hidden="1" customHeight="1" x14ac:dyDescent="0.35">
      <c r="A51" s="53"/>
      <c r="B51" s="53"/>
      <c r="C51" s="53"/>
      <c r="D51" s="706"/>
      <c r="E51" s="44"/>
    </row>
    <row r="52" spans="1:5" ht="15.75" hidden="1" customHeight="1" x14ac:dyDescent="0.35">
      <c r="A52" s="53"/>
      <c r="B52" s="53"/>
      <c r="C52" s="53"/>
      <c r="D52" s="706"/>
      <c r="E52" s="44"/>
    </row>
    <row r="53" spans="1:5" ht="15.75" hidden="1" customHeight="1" x14ac:dyDescent="0.35">
      <c r="A53" s="53"/>
      <c r="B53" s="53"/>
      <c r="C53" s="53"/>
      <c r="D53" s="706"/>
      <c r="E53" s="44"/>
    </row>
    <row r="54" spans="1:5" ht="15.75" hidden="1" customHeight="1" thickBot="1" x14ac:dyDescent="0.4">
      <c r="A54" s="60"/>
      <c r="B54" s="60"/>
      <c r="C54" s="60"/>
      <c r="D54" s="61" t="s">
        <v>394</v>
      </c>
      <c r="E54" s="80"/>
    </row>
    <row r="55" spans="1:5" ht="15.75" hidden="1" customHeight="1" thickTop="1" x14ac:dyDescent="0.35">
      <c r="A55" s="935" t="s">
        <v>396</v>
      </c>
      <c r="B55" s="935"/>
      <c r="C55" s="935"/>
      <c r="D55" s="935"/>
      <c r="E55" s="195"/>
    </row>
    <row r="56" spans="1:5" ht="15.75" hidden="1" customHeight="1" x14ac:dyDescent="0.35">
      <c r="A56" s="53"/>
      <c r="B56" s="115" t="s">
        <v>270</v>
      </c>
      <c r="C56" s="118"/>
      <c r="D56" s="116" t="s">
        <v>397</v>
      </c>
      <c r="E56" s="191">
        <f>'Verification Report'!O56</f>
        <v>5</v>
      </c>
    </row>
    <row r="57" spans="1:5" ht="15" hidden="1" customHeight="1" x14ac:dyDescent="0.35">
      <c r="A57" s="53"/>
      <c r="B57" s="50" t="s">
        <v>272</v>
      </c>
      <c r="C57" s="53"/>
      <c r="D57" s="707" t="s">
        <v>398</v>
      </c>
      <c r="E57" s="834">
        <f>'Verification Report'!O57</f>
        <v>6</v>
      </c>
    </row>
    <row r="58" spans="1:5" ht="15.75" hidden="1" customHeight="1" x14ac:dyDescent="0.35">
      <c r="A58" s="53"/>
      <c r="B58" s="115"/>
      <c r="C58" s="118"/>
      <c r="D58" s="709"/>
      <c r="E58" s="886">
        <f>'Verification Report'!O58</f>
        <v>0</v>
      </c>
    </row>
    <row r="59" spans="1:5" ht="15" hidden="1" customHeight="1" x14ac:dyDescent="0.35">
      <c r="A59" s="53"/>
      <c r="B59" s="50" t="s">
        <v>274</v>
      </c>
      <c r="C59" s="53"/>
      <c r="D59" s="707" t="s">
        <v>399</v>
      </c>
      <c r="E59" s="834">
        <f>'Verification Report'!O59</f>
        <v>0</v>
      </c>
    </row>
    <row r="60" spans="1:5" ht="15.75" hidden="1" customHeight="1" x14ac:dyDescent="0.35">
      <c r="A60" s="53"/>
      <c r="B60" s="115"/>
      <c r="C60" s="118"/>
      <c r="D60" s="709"/>
      <c r="E60" s="886">
        <f>'Verification Report'!O60</f>
        <v>0</v>
      </c>
    </row>
    <row r="61" spans="1:5" ht="15.75" hidden="1" customHeight="1" x14ac:dyDescent="0.35">
      <c r="A61" s="53"/>
      <c r="B61" s="115" t="s">
        <v>283</v>
      </c>
      <c r="C61" s="118"/>
      <c r="D61" s="116" t="s">
        <v>400</v>
      </c>
      <c r="E61" s="191">
        <f>'Verification Report'!O61</f>
        <v>4</v>
      </c>
    </row>
    <row r="62" spans="1:5" ht="15.75" hidden="1" customHeight="1" x14ac:dyDescent="0.35">
      <c r="A62" s="53"/>
      <c r="B62" s="115" t="s">
        <v>289</v>
      </c>
      <c r="C62" s="118"/>
      <c r="D62" s="116" t="s">
        <v>401</v>
      </c>
      <c r="E62" s="191">
        <f>'Verification Report'!O62</f>
        <v>0</v>
      </c>
    </row>
    <row r="63" spans="1:5" ht="15" hidden="1" customHeight="1" x14ac:dyDescent="0.35">
      <c r="A63" s="53"/>
      <c r="B63" s="50" t="s">
        <v>291</v>
      </c>
      <c r="C63" s="53"/>
      <c r="D63" s="707" t="s">
        <v>402</v>
      </c>
      <c r="E63" s="834">
        <f>'Verification Report'!O63</f>
        <v>0</v>
      </c>
    </row>
    <row r="64" spans="1:5" ht="15.75" hidden="1" customHeight="1" x14ac:dyDescent="0.35">
      <c r="A64" s="53"/>
      <c r="B64" s="115"/>
      <c r="C64" s="118"/>
      <c r="D64" s="709"/>
      <c r="E64" s="886">
        <f>'Verification Report'!O64</f>
        <v>0</v>
      </c>
    </row>
    <row r="65" spans="1:9" ht="15" hidden="1" customHeight="1" x14ac:dyDescent="0.35">
      <c r="A65" s="53"/>
      <c r="B65" s="50" t="s">
        <v>403</v>
      </c>
      <c r="C65" s="53"/>
      <c r="D65" s="707" t="s">
        <v>404</v>
      </c>
      <c r="E65" s="834">
        <f>'Verification Report'!O65</f>
        <v>0</v>
      </c>
    </row>
    <row r="66" spans="1:9" ht="15.75" hidden="1" customHeight="1" thickBot="1" x14ac:dyDescent="0.4">
      <c r="A66" s="60"/>
      <c r="B66" s="60"/>
      <c r="C66" s="60"/>
      <c r="D66" s="708"/>
      <c r="E66" s="938">
        <f>'Verification Report'!O66</f>
        <v>0</v>
      </c>
    </row>
    <row r="67" spans="1:9" ht="15" thickTop="1" x14ac:dyDescent="0.35">
      <c r="A67" s="63">
        <v>503.2</v>
      </c>
      <c r="B67" s="64"/>
      <c r="C67" s="64"/>
      <c r="D67" s="81" t="s">
        <v>406</v>
      </c>
      <c r="E67" s="195"/>
      <c r="F67" t="s">
        <v>807</v>
      </c>
      <c r="G67">
        <v>1</v>
      </c>
      <c r="H67" s="571"/>
      <c r="I67" t="s">
        <v>4640</v>
      </c>
    </row>
    <row r="68" spans="1:9" ht="15" thickBot="1" x14ac:dyDescent="0.4">
      <c r="A68" s="33"/>
      <c r="B68" s="53"/>
      <c r="C68" s="53"/>
      <c r="D68" s="570" t="s">
        <v>3595</v>
      </c>
      <c r="E68" s="44"/>
      <c r="F68" s="572">
        <f>IF('Verification Report'!W68="","",'Verification Report'!W68)</f>
        <v>0</v>
      </c>
      <c r="G68">
        <v>1</v>
      </c>
    </row>
    <row r="69" spans="1:9" ht="15.75" hidden="1" customHeight="1" x14ac:dyDescent="0.35">
      <c r="A69" s="53"/>
      <c r="B69" s="115" t="s">
        <v>270</v>
      </c>
      <c r="C69" s="118"/>
      <c r="D69" s="116" t="s">
        <v>407</v>
      </c>
      <c r="E69" s="191">
        <f>'Verification Report'!O69</f>
        <v>0</v>
      </c>
    </row>
    <row r="70" spans="1:9" ht="15" hidden="1" customHeight="1" x14ac:dyDescent="0.35">
      <c r="A70" s="53"/>
      <c r="B70" s="50" t="s">
        <v>272</v>
      </c>
      <c r="C70" s="53"/>
      <c r="D70" s="707" t="s">
        <v>408</v>
      </c>
      <c r="E70" s="834">
        <f>'Verification Report'!O70</f>
        <v>0</v>
      </c>
    </row>
    <row r="71" spans="1:9" ht="15.75" hidden="1" customHeight="1" x14ac:dyDescent="0.35">
      <c r="A71" s="53"/>
      <c r="B71" s="118"/>
      <c r="C71" s="118"/>
      <c r="D71" s="709"/>
      <c r="E71" s="886">
        <f>'Verification Report'!O71</f>
        <v>0</v>
      </c>
    </row>
    <row r="72" spans="1:9" ht="15" hidden="1" customHeight="1" x14ac:dyDescent="0.35">
      <c r="A72" s="53"/>
      <c r="B72" s="50" t="s">
        <v>274</v>
      </c>
      <c r="C72" s="53"/>
      <c r="D72" s="707" t="s">
        <v>409</v>
      </c>
      <c r="E72" s="834">
        <f ca="1">'Verification Report'!O72</f>
        <v>0</v>
      </c>
    </row>
    <row r="73" spans="1:9" ht="15.75" hidden="1" customHeight="1" x14ac:dyDescent="0.35">
      <c r="A73" s="53"/>
      <c r="B73" s="53"/>
      <c r="C73" s="53"/>
      <c r="D73" s="707"/>
      <c r="E73" s="834">
        <f>'Verification Report'!O73</f>
        <v>0</v>
      </c>
    </row>
    <row r="74" spans="1:9" ht="15.75" hidden="1" customHeight="1" x14ac:dyDescent="0.35">
      <c r="A74" s="53"/>
      <c r="B74" s="53"/>
      <c r="C74" s="50" t="s">
        <v>121</v>
      </c>
      <c r="D74" s="46" t="s">
        <v>836</v>
      </c>
      <c r="E74" s="44"/>
    </row>
    <row r="75" spans="1:9" ht="15.75" hidden="1" customHeight="1" x14ac:dyDescent="0.35">
      <c r="A75" s="53"/>
      <c r="B75" s="53"/>
      <c r="C75" s="50" t="s">
        <v>122</v>
      </c>
      <c r="D75" s="46" t="s">
        <v>410</v>
      </c>
      <c r="E75" s="44"/>
    </row>
    <row r="76" spans="1:9" ht="15.75" hidden="1" customHeight="1" x14ac:dyDescent="0.35">
      <c r="A76" s="53"/>
      <c r="B76" s="118"/>
      <c r="C76" s="120" t="s">
        <v>123</v>
      </c>
      <c r="D76" s="116" t="s">
        <v>411</v>
      </c>
      <c r="E76" s="191"/>
    </row>
    <row r="77" spans="1:9" ht="15" hidden="1" customHeight="1" x14ac:dyDescent="0.35">
      <c r="A77" s="53"/>
      <c r="B77" s="50" t="s">
        <v>283</v>
      </c>
      <c r="C77" s="53"/>
      <c r="D77" s="707" t="s">
        <v>412</v>
      </c>
      <c r="E77" s="834">
        <f>'Verification Report'!O77</f>
        <v>0</v>
      </c>
    </row>
    <row r="78" spans="1:9" ht="15.75" hidden="1" customHeight="1" x14ac:dyDescent="0.35">
      <c r="A78" s="53"/>
      <c r="B78" s="118"/>
      <c r="C78" s="118"/>
      <c r="D78" s="709"/>
      <c r="E78" s="886">
        <f>'Verification Report'!O78</f>
        <v>0</v>
      </c>
    </row>
    <row r="79" spans="1:9" ht="15.75" hidden="1" customHeight="1" thickBot="1" x14ac:dyDescent="0.4">
      <c r="A79" s="60"/>
      <c r="B79" s="55" t="s">
        <v>289</v>
      </c>
      <c r="C79" s="60"/>
      <c r="D79" s="56" t="s">
        <v>413</v>
      </c>
      <c r="E79" s="80">
        <f>'Verification Report'!O79</f>
        <v>0</v>
      </c>
    </row>
    <row r="80" spans="1:9" ht="15.75" hidden="1" customHeight="1" thickTop="1" x14ac:dyDescent="0.35">
      <c r="A80" s="63">
        <v>503.3</v>
      </c>
      <c r="B80" s="64"/>
      <c r="C80" s="64"/>
      <c r="D80" s="711" t="s">
        <v>415</v>
      </c>
      <c r="E80" s="195"/>
    </row>
    <row r="81" spans="1:7" ht="15.75" hidden="1" customHeight="1" x14ac:dyDescent="0.35">
      <c r="A81" s="53"/>
      <c r="B81" s="53"/>
      <c r="C81" s="53"/>
      <c r="D81" s="706"/>
      <c r="E81" s="44"/>
    </row>
    <row r="82" spans="1:7" ht="15.75" hidden="1" customHeight="1" x14ac:dyDescent="0.35">
      <c r="A82" s="53"/>
      <c r="B82" s="53"/>
      <c r="C82" s="53"/>
      <c r="D82" s="105" t="s">
        <v>837</v>
      </c>
      <c r="E82" s="44"/>
    </row>
    <row r="83" spans="1:7" ht="15" hidden="1" customHeight="1" x14ac:dyDescent="0.35">
      <c r="A83" s="53"/>
      <c r="B83" s="50" t="s">
        <v>270</v>
      </c>
      <c r="C83" s="53"/>
      <c r="D83" s="707" t="s">
        <v>4713</v>
      </c>
      <c r="E83" s="834">
        <f>'Verification Report'!O83</f>
        <v>0</v>
      </c>
    </row>
    <row r="84" spans="1:7" ht="15.75" hidden="1" customHeight="1" x14ac:dyDescent="0.35">
      <c r="A84" s="53"/>
      <c r="B84" s="115"/>
      <c r="C84" s="118"/>
      <c r="D84" s="709"/>
      <c r="E84" s="886">
        <f>'Verification Report'!O84</f>
        <v>0</v>
      </c>
    </row>
    <row r="85" spans="1:7" ht="15" hidden="1" customHeight="1" x14ac:dyDescent="0.35">
      <c r="A85" s="53"/>
      <c r="B85" s="50" t="s">
        <v>272</v>
      </c>
      <c r="C85" s="53"/>
      <c r="D85" s="707" t="s">
        <v>416</v>
      </c>
      <c r="E85" s="868">
        <f>'Verification Report'!O85</f>
        <v>0</v>
      </c>
    </row>
    <row r="86" spans="1:7" ht="15.75" hidden="1" customHeight="1" x14ac:dyDescent="0.35">
      <c r="A86" s="53"/>
      <c r="B86" s="53"/>
      <c r="C86" s="53"/>
      <c r="D86" s="707"/>
      <c r="E86" s="834">
        <f>'Verification Report'!O86</f>
        <v>0</v>
      </c>
    </row>
    <row r="87" spans="1:7" ht="15.75" hidden="1" customHeight="1" x14ac:dyDescent="0.35">
      <c r="A87" s="53"/>
      <c r="B87" s="53"/>
      <c r="C87" s="50" t="s">
        <v>121</v>
      </c>
      <c r="D87" s="46" t="s">
        <v>417</v>
      </c>
      <c r="E87" s="834">
        <f>'Verification Report'!O87</f>
        <v>0</v>
      </c>
    </row>
    <row r="88" spans="1:7" ht="15" hidden="1" customHeight="1" x14ac:dyDescent="0.35">
      <c r="A88" s="53"/>
      <c r="B88" s="53"/>
      <c r="C88" s="50" t="s">
        <v>122</v>
      </c>
      <c r="D88" s="707" t="s">
        <v>418</v>
      </c>
      <c r="E88" s="834">
        <f>'Verification Report'!O88</f>
        <v>0</v>
      </c>
    </row>
    <row r="89" spans="1:7" ht="15.75" hidden="1" customHeight="1" x14ac:dyDescent="0.35">
      <c r="A89" s="53"/>
      <c r="B89" s="53"/>
      <c r="C89" s="53"/>
      <c r="D89" s="707"/>
      <c r="E89" s="834">
        <f>'Verification Report'!O89</f>
        <v>0</v>
      </c>
    </row>
    <row r="90" spans="1:7" ht="15.75" hidden="1" customHeight="1" x14ac:dyDescent="0.35">
      <c r="A90" s="53"/>
      <c r="B90" s="53"/>
      <c r="C90" s="52" t="s">
        <v>123</v>
      </c>
      <c r="D90" s="46" t="s">
        <v>419</v>
      </c>
      <c r="E90" s="834">
        <f>'Verification Report'!O90</f>
        <v>0</v>
      </c>
    </row>
    <row r="91" spans="1:7" ht="15.75" hidden="1" customHeight="1" x14ac:dyDescent="0.35">
      <c r="A91" s="53"/>
      <c r="B91" s="118"/>
      <c r="C91" s="120" t="s">
        <v>420</v>
      </c>
      <c r="D91" s="116" t="s">
        <v>421</v>
      </c>
      <c r="E91" s="886">
        <f>'Verification Report'!O91</f>
        <v>0</v>
      </c>
    </row>
    <row r="92" spans="1:7" ht="15.75" hidden="1" customHeight="1" thickBot="1" x14ac:dyDescent="0.4">
      <c r="A92" s="60"/>
      <c r="B92" s="55" t="s">
        <v>274</v>
      </c>
      <c r="C92" s="60"/>
      <c r="D92" s="56" t="s">
        <v>422</v>
      </c>
      <c r="E92" s="80">
        <f>'Verification Report'!O92</f>
        <v>0</v>
      </c>
    </row>
    <row r="93" spans="1:7" ht="15.75" customHeight="1" thickTop="1" x14ac:dyDescent="0.35">
      <c r="A93" s="33">
        <v>503.4</v>
      </c>
      <c r="B93" s="53"/>
      <c r="C93" s="53"/>
      <c r="D93" s="711" t="s">
        <v>424</v>
      </c>
      <c r="E93" s="44"/>
      <c r="G93">
        <v>1</v>
      </c>
    </row>
    <row r="94" spans="1:7" x14ac:dyDescent="0.35">
      <c r="A94" s="53"/>
      <c r="B94" s="53"/>
      <c r="C94" s="53"/>
      <c r="D94" s="706"/>
      <c r="E94" s="44"/>
      <c r="G94">
        <v>1</v>
      </c>
    </row>
    <row r="95" spans="1:7" x14ac:dyDescent="0.35">
      <c r="A95" s="53"/>
      <c r="B95" s="53"/>
      <c r="C95" s="53"/>
      <c r="D95" s="706"/>
      <c r="E95" s="44"/>
      <c r="G95">
        <v>1</v>
      </c>
    </row>
    <row r="96" spans="1:7" x14ac:dyDescent="0.35">
      <c r="A96" s="53"/>
      <c r="B96" s="53"/>
      <c r="C96" s="53"/>
      <c r="D96" s="706"/>
      <c r="E96" s="44"/>
      <c r="G96">
        <v>1</v>
      </c>
    </row>
    <row r="97" spans="1:5" ht="15" hidden="1" customHeight="1" x14ac:dyDescent="0.35">
      <c r="A97" s="53"/>
      <c r="B97" s="53"/>
      <c r="C97" s="53"/>
      <c r="D97" s="714" t="s">
        <v>3164</v>
      </c>
      <c r="E97" s="44"/>
    </row>
    <row r="98" spans="1:5" ht="15" hidden="1" customHeight="1" x14ac:dyDescent="0.35">
      <c r="A98" s="53"/>
      <c r="B98" s="53"/>
      <c r="C98" s="53"/>
      <c r="D98" s="714"/>
      <c r="E98" s="44"/>
    </row>
    <row r="99" spans="1:5" ht="15" hidden="1" customHeight="1" x14ac:dyDescent="0.35">
      <c r="A99" s="53"/>
      <c r="B99" s="53"/>
      <c r="C99" s="53"/>
      <c r="D99" s="714"/>
      <c r="E99" s="44"/>
    </row>
    <row r="100" spans="1:5" ht="15" hidden="1" customHeight="1" x14ac:dyDescent="0.35">
      <c r="A100" s="53"/>
      <c r="B100" s="50" t="s">
        <v>270</v>
      </c>
      <c r="C100" s="53"/>
      <c r="D100" s="707" t="s">
        <v>425</v>
      </c>
      <c r="E100" s="834">
        <f>'Verification Report'!O100</f>
        <v>0</v>
      </c>
    </row>
    <row r="101" spans="1:5" ht="15" hidden="1" customHeight="1" x14ac:dyDescent="0.35">
      <c r="A101" s="53"/>
      <c r="B101" s="50"/>
      <c r="C101" s="53"/>
      <c r="D101" s="707"/>
      <c r="E101" s="834">
        <f>'Verification Report'!O101</f>
        <v>0</v>
      </c>
    </row>
    <row r="102" spans="1:5" ht="15" hidden="1" customHeight="1" x14ac:dyDescent="0.35">
      <c r="A102" s="53"/>
      <c r="B102" s="118"/>
      <c r="C102" s="118"/>
      <c r="D102" s="709"/>
      <c r="E102" s="886">
        <f>'Verification Report'!O102</f>
        <v>0</v>
      </c>
    </row>
    <row r="103" spans="1:5" ht="15" hidden="1" customHeight="1" x14ac:dyDescent="0.35">
      <c r="A103" s="53"/>
      <c r="B103" s="50" t="s">
        <v>272</v>
      </c>
      <c r="C103" s="53"/>
      <c r="D103" s="707" t="s">
        <v>426</v>
      </c>
      <c r="E103" s="834">
        <f>'Verification Report'!O103</f>
        <v>10</v>
      </c>
    </row>
    <row r="104" spans="1:5" ht="15" hidden="1" customHeight="1" x14ac:dyDescent="0.35">
      <c r="A104" s="53"/>
      <c r="B104" s="53"/>
      <c r="C104" s="53"/>
      <c r="D104" s="707"/>
      <c r="E104" s="834">
        <f>'Verification Report'!O104</f>
        <v>0</v>
      </c>
    </row>
    <row r="105" spans="1:5" ht="15" hidden="1" customHeight="1" x14ac:dyDescent="0.35">
      <c r="A105" s="53"/>
      <c r="B105" s="53"/>
      <c r="C105" s="53"/>
      <c r="D105" s="707"/>
      <c r="E105" s="834">
        <f>'Verification Report'!O105</f>
        <v>0</v>
      </c>
    </row>
    <row r="106" spans="1:5" ht="15" hidden="1" customHeight="1" x14ac:dyDescent="0.35">
      <c r="A106" s="53"/>
      <c r="B106" s="118"/>
      <c r="C106" s="118"/>
      <c r="D106" s="709"/>
      <c r="E106" s="886">
        <f>'Verification Report'!O106</f>
        <v>0</v>
      </c>
    </row>
    <row r="107" spans="1:5" ht="15" hidden="1" customHeight="1" x14ac:dyDescent="0.35">
      <c r="A107" s="53"/>
      <c r="B107" s="50" t="s">
        <v>274</v>
      </c>
      <c r="C107" s="53"/>
      <c r="D107" s="707" t="s">
        <v>427</v>
      </c>
      <c r="E107" s="834">
        <f ca="1">'Verification Report'!O107</f>
        <v>0</v>
      </c>
    </row>
    <row r="108" spans="1:5" ht="15" hidden="1" customHeight="1" x14ac:dyDescent="0.35">
      <c r="A108" s="53"/>
      <c r="B108" s="53"/>
      <c r="C108" s="53"/>
      <c r="D108" s="707"/>
      <c r="E108" s="834">
        <f>'Verification Report'!O108</f>
        <v>0</v>
      </c>
    </row>
    <row r="109" spans="1:5" ht="15" hidden="1" customHeight="1" x14ac:dyDescent="0.35">
      <c r="A109" s="53"/>
      <c r="B109" s="53"/>
      <c r="C109" s="53"/>
      <c r="D109" s="707"/>
      <c r="E109" s="834">
        <f>'Verification Report'!O109</f>
        <v>0</v>
      </c>
    </row>
    <row r="110" spans="1:5" ht="15" hidden="1" customHeight="1" x14ac:dyDescent="0.35">
      <c r="A110" s="53"/>
      <c r="B110" s="53"/>
      <c r="C110" s="53"/>
      <c r="D110" s="707"/>
      <c r="E110" s="834">
        <f>'Verification Report'!O110</f>
        <v>0</v>
      </c>
    </row>
    <row r="111" spans="1:5" ht="15" hidden="1" customHeight="1" x14ac:dyDescent="0.35">
      <c r="A111" s="53"/>
      <c r="B111" s="53"/>
      <c r="C111" s="50" t="s">
        <v>121</v>
      </c>
      <c r="D111" s="46" t="s">
        <v>428</v>
      </c>
      <c r="E111" s="44"/>
    </row>
    <row r="112" spans="1:5" ht="15" hidden="1" customHeight="1" x14ac:dyDescent="0.35">
      <c r="A112" s="53"/>
      <c r="B112" s="53"/>
      <c r="C112" s="50" t="s">
        <v>122</v>
      </c>
      <c r="D112" s="46" t="s">
        <v>429</v>
      </c>
      <c r="E112" s="44"/>
    </row>
    <row r="113" spans="1:8" ht="15" hidden="1" customHeight="1" x14ac:dyDescent="0.35">
      <c r="A113" s="53"/>
      <c r="B113" s="118"/>
      <c r="C113" s="120" t="s">
        <v>123</v>
      </c>
      <c r="D113" s="116" t="s">
        <v>430</v>
      </c>
      <c r="E113" s="191"/>
    </row>
    <row r="114" spans="1:8" ht="15" customHeight="1" x14ac:dyDescent="0.35">
      <c r="A114" s="53"/>
      <c r="B114" s="50" t="s">
        <v>283</v>
      </c>
      <c r="C114" s="52"/>
      <c r="D114" s="707" t="s">
        <v>431</v>
      </c>
      <c r="E114" s="834">
        <f ca="1">'Verification Report'!O114</f>
        <v>0</v>
      </c>
      <c r="G114">
        <v>1</v>
      </c>
      <c r="H114" s="571"/>
    </row>
    <row r="115" spans="1:8" x14ac:dyDescent="0.35">
      <c r="A115" s="53"/>
      <c r="B115" s="53"/>
      <c r="C115" s="53"/>
      <c r="D115" s="707"/>
      <c r="E115" s="834">
        <f>'Verification Report'!O115</f>
        <v>0</v>
      </c>
      <c r="G115">
        <v>1</v>
      </c>
    </row>
    <row r="116" spans="1:8" ht="15" hidden="1" customHeight="1" x14ac:dyDescent="0.35">
      <c r="A116" s="53"/>
      <c r="B116" s="53"/>
      <c r="C116" s="50" t="s">
        <v>121</v>
      </c>
      <c r="D116" s="46" t="s">
        <v>432</v>
      </c>
      <c r="E116" s="44"/>
    </row>
    <row r="117" spans="1:8" ht="15" hidden="1" customHeight="1" x14ac:dyDescent="0.35">
      <c r="A117" s="53"/>
      <c r="B117" s="53"/>
      <c r="C117" s="50" t="s">
        <v>122</v>
      </c>
      <c r="D117" s="46" t="s">
        <v>433</v>
      </c>
      <c r="E117" s="44"/>
    </row>
    <row r="118" spans="1:8" ht="15.75" hidden="1" customHeight="1" thickBot="1" x14ac:dyDescent="0.4">
      <c r="A118" s="60"/>
      <c r="B118" s="60"/>
      <c r="C118" s="66" t="s">
        <v>123</v>
      </c>
      <c r="D118" s="56" t="s">
        <v>434</v>
      </c>
      <c r="E118" s="80"/>
    </row>
    <row r="119" spans="1:8" ht="15.75" customHeight="1" x14ac:dyDescent="0.35">
      <c r="A119" s="33">
        <v>503.5</v>
      </c>
      <c r="B119" s="53"/>
      <c r="C119" s="53"/>
      <c r="D119" s="706" t="s">
        <v>436</v>
      </c>
      <c r="G119">
        <v>1</v>
      </c>
    </row>
    <row r="120" spans="1:8" x14ac:dyDescent="0.35">
      <c r="A120" s="53"/>
      <c r="B120" s="53"/>
      <c r="C120" s="53"/>
      <c r="D120" s="706"/>
      <c r="G120">
        <v>1</v>
      </c>
    </row>
    <row r="121" spans="1:8" ht="15" hidden="1" customHeight="1" x14ac:dyDescent="0.35">
      <c r="A121" s="53"/>
      <c r="B121" s="53"/>
      <c r="C121" s="53"/>
      <c r="D121" s="714" t="s">
        <v>437</v>
      </c>
    </row>
    <row r="122" spans="1:8" ht="15" hidden="1" customHeight="1" x14ac:dyDescent="0.35">
      <c r="A122" s="53"/>
      <c r="B122" s="53"/>
      <c r="C122" s="53"/>
      <c r="D122" s="714"/>
    </row>
    <row r="123" spans="1:8" ht="15" hidden="1" customHeight="1" x14ac:dyDescent="0.35">
      <c r="A123" s="53"/>
      <c r="B123" s="50" t="s">
        <v>270</v>
      </c>
      <c r="C123" s="53"/>
      <c r="D123" s="707" t="s">
        <v>438</v>
      </c>
      <c r="E123" s="834">
        <f ca="1">'Verification Report'!O123</f>
        <v>0</v>
      </c>
    </row>
    <row r="124" spans="1:8" ht="15" hidden="1" customHeight="1" x14ac:dyDescent="0.35">
      <c r="A124" s="53"/>
      <c r="B124" s="50"/>
      <c r="C124" s="53"/>
      <c r="D124" s="707"/>
      <c r="E124" s="834">
        <f>'Verification Report'!O124</f>
        <v>0</v>
      </c>
    </row>
    <row r="125" spans="1:8" ht="15" hidden="1" customHeight="1" x14ac:dyDescent="0.35">
      <c r="A125" s="53"/>
      <c r="B125" s="53"/>
      <c r="C125" s="50" t="s">
        <v>121</v>
      </c>
      <c r="D125" s="46" t="s">
        <v>439</v>
      </c>
      <c r="E125" s="44"/>
    </row>
    <row r="126" spans="1:8" ht="15" hidden="1" customHeight="1" x14ac:dyDescent="0.35">
      <c r="A126" s="53"/>
      <c r="B126" s="53"/>
      <c r="C126" s="50" t="s">
        <v>122</v>
      </c>
      <c r="D126" s="46" t="s">
        <v>440</v>
      </c>
      <c r="E126" s="44"/>
    </row>
    <row r="127" spans="1:8" ht="15" hidden="1" customHeight="1" x14ac:dyDescent="0.35">
      <c r="A127" s="53"/>
      <c r="B127" s="53"/>
      <c r="C127" s="52" t="s">
        <v>123</v>
      </c>
      <c r="D127" s="46" t="s">
        <v>441</v>
      </c>
      <c r="E127" s="44"/>
    </row>
    <row r="128" spans="1:8" ht="15" hidden="1" customHeight="1" x14ac:dyDescent="0.35">
      <c r="A128" s="53"/>
      <c r="B128" s="118"/>
      <c r="C128" s="120" t="s">
        <v>420</v>
      </c>
      <c r="D128" s="116" t="s">
        <v>442</v>
      </c>
      <c r="E128" s="191"/>
    </row>
    <row r="129" spans="1:9" ht="15" customHeight="1" x14ac:dyDescent="0.35">
      <c r="A129" s="53"/>
      <c r="B129" s="50" t="s">
        <v>272</v>
      </c>
      <c r="C129" s="53"/>
      <c r="D129" s="707" t="s">
        <v>443</v>
      </c>
      <c r="E129" s="834">
        <f ca="1">'Verification Report'!O129</f>
        <v>0</v>
      </c>
      <c r="G129">
        <v>1</v>
      </c>
      <c r="H129" s="571"/>
      <c r="I129" t="s">
        <v>4641</v>
      </c>
    </row>
    <row r="130" spans="1:9" x14ac:dyDescent="0.35">
      <c r="A130" s="53"/>
      <c r="B130" s="118"/>
      <c r="C130" s="118"/>
      <c r="D130" s="709"/>
      <c r="E130" s="886">
        <f>'Verification Report'!O130</f>
        <v>0</v>
      </c>
      <c r="G130">
        <v>1</v>
      </c>
    </row>
    <row r="131" spans="1:9" ht="15" hidden="1" customHeight="1" x14ac:dyDescent="0.35">
      <c r="A131" s="53"/>
      <c r="B131" s="50" t="s">
        <v>274</v>
      </c>
      <c r="C131" s="53"/>
      <c r="D131" s="707" t="s">
        <v>444</v>
      </c>
      <c r="E131" s="834">
        <f ca="1">'Verification Report'!O131</f>
        <v>0</v>
      </c>
    </row>
    <row r="132" spans="1:9" ht="15" hidden="1" customHeight="1" x14ac:dyDescent="0.35">
      <c r="A132" s="53"/>
      <c r="B132" s="118"/>
      <c r="C132" s="118"/>
      <c r="D132" s="709"/>
      <c r="E132" s="886">
        <f>'Verification Report'!O132</f>
        <v>0</v>
      </c>
    </row>
    <row r="133" spans="1:9" ht="15" hidden="1" customHeight="1" x14ac:dyDescent="0.35">
      <c r="A133" s="53"/>
      <c r="B133" s="50" t="s">
        <v>283</v>
      </c>
      <c r="C133" s="53"/>
      <c r="D133" s="707" t="s">
        <v>445</v>
      </c>
      <c r="E133" s="834">
        <f ca="1">'Verification Report'!O133</f>
        <v>0</v>
      </c>
    </row>
    <row r="134" spans="1:9" ht="15" hidden="1" customHeight="1" x14ac:dyDescent="0.35">
      <c r="A134" s="53"/>
      <c r="B134" s="118"/>
      <c r="C134" s="118"/>
      <c r="D134" s="709"/>
      <c r="E134" s="886">
        <f>'Verification Report'!O134</f>
        <v>0</v>
      </c>
    </row>
    <row r="135" spans="1:9" x14ac:dyDescent="0.35">
      <c r="A135" s="53"/>
      <c r="B135" s="50" t="s">
        <v>289</v>
      </c>
      <c r="C135" s="53"/>
      <c r="D135" s="46" t="s">
        <v>446</v>
      </c>
      <c r="E135" s="44">
        <f ca="1">'Verification Report'!O135</f>
        <v>0</v>
      </c>
      <c r="G135">
        <v>1</v>
      </c>
      <c r="H135" s="571"/>
    </row>
    <row r="136" spans="1:9" ht="15" hidden="1" customHeight="1" x14ac:dyDescent="0.35">
      <c r="A136" s="53"/>
      <c r="B136" s="53"/>
      <c r="C136" s="50" t="s">
        <v>121</v>
      </c>
      <c r="D136" s="46" t="s">
        <v>447</v>
      </c>
      <c r="E136" s="44"/>
    </row>
    <row r="137" spans="1:9" ht="15" hidden="1" customHeight="1" x14ac:dyDescent="0.35">
      <c r="A137" s="53"/>
      <c r="B137" s="53"/>
      <c r="C137" s="50" t="s">
        <v>122</v>
      </c>
      <c r="D137" s="46" t="s">
        <v>448</v>
      </c>
      <c r="E137" s="44"/>
    </row>
    <row r="138" spans="1:9" ht="15" hidden="1" customHeight="1" x14ac:dyDescent="0.35">
      <c r="A138" s="53"/>
      <c r="B138" s="53"/>
      <c r="C138" s="52" t="s">
        <v>123</v>
      </c>
      <c r="D138" s="46" t="s">
        <v>449</v>
      </c>
      <c r="E138" s="44"/>
    </row>
    <row r="139" spans="1:9" ht="15" hidden="1" customHeight="1" x14ac:dyDescent="0.35">
      <c r="A139" s="53"/>
      <c r="B139" s="118"/>
      <c r="C139" s="120" t="s">
        <v>420</v>
      </c>
      <c r="D139" s="116" t="s">
        <v>450</v>
      </c>
      <c r="E139" s="191"/>
    </row>
    <row r="140" spans="1:9" x14ac:dyDescent="0.35">
      <c r="A140" s="53"/>
      <c r="B140" s="115" t="s">
        <v>291</v>
      </c>
      <c r="C140" s="118"/>
      <c r="D140" s="116" t="s">
        <v>451</v>
      </c>
      <c r="E140" s="191">
        <f ca="1">'Verification Report'!O140</f>
        <v>0</v>
      </c>
      <c r="G140">
        <v>1</v>
      </c>
      <c r="H140" s="571"/>
      <c r="I140" t="s">
        <v>4642</v>
      </c>
    </row>
    <row r="141" spans="1:9" ht="15" customHeight="1" x14ac:dyDescent="0.35">
      <c r="A141" s="53"/>
      <c r="B141" s="50" t="s">
        <v>403</v>
      </c>
      <c r="C141" s="53"/>
      <c r="D141" s="707" t="s">
        <v>452</v>
      </c>
      <c r="E141" s="834">
        <f ca="1">'Verification Report'!O141</f>
        <v>0</v>
      </c>
      <c r="G141">
        <v>1</v>
      </c>
      <c r="H141" s="571"/>
      <c r="I141" t="s">
        <v>4643</v>
      </c>
    </row>
    <row r="142" spans="1:9" x14ac:dyDescent="0.35">
      <c r="A142" s="53"/>
      <c r="B142" s="53"/>
      <c r="C142" s="53"/>
      <c r="D142" s="707"/>
      <c r="E142" s="834">
        <f>'Verification Report'!O142</f>
        <v>0</v>
      </c>
      <c r="G142">
        <v>1</v>
      </c>
    </row>
    <row r="143" spans="1:9" x14ac:dyDescent="0.35">
      <c r="A143" s="53"/>
      <c r="B143" s="53"/>
      <c r="C143" s="53"/>
      <c r="D143" s="707"/>
      <c r="E143" s="834">
        <f>'Verification Report'!O143</f>
        <v>0</v>
      </c>
      <c r="G143">
        <v>1</v>
      </c>
    </row>
    <row r="144" spans="1:9" x14ac:dyDescent="0.35">
      <c r="A144" s="53"/>
      <c r="B144" s="53"/>
      <c r="C144" s="53"/>
      <c r="D144" s="707"/>
      <c r="E144" s="834">
        <f>'Verification Report'!O144</f>
        <v>0</v>
      </c>
      <c r="G144">
        <v>1</v>
      </c>
    </row>
    <row r="145" spans="1:7" x14ac:dyDescent="0.35">
      <c r="A145" s="53"/>
      <c r="B145" s="118"/>
      <c r="C145" s="118"/>
      <c r="D145" s="709"/>
      <c r="E145" s="886">
        <f>'Verification Report'!O145</f>
        <v>0</v>
      </c>
      <c r="G145">
        <v>1</v>
      </c>
    </row>
    <row r="146" spans="1:7" ht="15" hidden="1" customHeight="1" x14ac:dyDescent="0.35">
      <c r="A146" s="53"/>
      <c r="B146" s="50" t="s">
        <v>453</v>
      </c>
      <c r="C146" s="53"/>
      <c r="D146" s="707" t="s">
        <v>454</v>
      </c>
      <c r="E146" s="834">
        <f ca="1">'Verification Report'!O146</f>
        <v>0</v>
      </c>
    </row>
    <row r="147" spans="1:7" ht="15" hidden="1" customHeight="1" x14ac:dyDescent="0.35">
      <c r="A147" s="53"/>
      <c r="B147" s="118"/>
      <c r="C147" s="118"/>
      <c r="D147" s="709"/>
      <c r="E147" s="886">
        <f>'Verification Report'!O147</f>
        <v>0</v>
      </c>
    </row>
    <row r="148" spans="1:7" ht="15" hidden="1" customHeight="1" x14ac:dyDescent="0.35">
      <c r="A148" s="53"/>
      <c r="B148" s="50" t="s">
        <v>455</v>
      </c>
      <c r="C148" s="53"/>
      <c r="D148" s="707" t="s">
        <v>456</v>
      </c>
      <c r="E148" s="868">
        <f>'Verification Report'!O148</f>
        <v>0</v>
      </c>
    </row>
    <row r="149" spans="1:7" ht="15" hidden="1" customHeight="1" x14ac:dyDescent="0.35">
      <c r="A149" s="53"/>
      <c r="B149" s="53"/>
      <c r="C149" s="53"/>
      <c r="D149" s="707"/>
      <c r="E149" s="834">
        <f>'Verification Report'!O149</f>
        <v>0</v>
      </c>
    </row>
    <row r="150" spans="1:7" ht="15" hidden="1" customHeight="1" x14ac:dyDescent="0.35">
      <c r="A150" s="53"/>
      <c r="B150" s="118"/>
      <c r="C150" s="118"/>
      <c r="D150" s="709"/>
      <c r="E150" s="886">
        <f>'Verification Report'!O150</f>
        <v>0</v>
      </c>
    </row>
    <row r="151" spans="1:7" ht="15" hidden="1" customHeight="1" x14ac:dyDescent="0.35">
      <c r="A151" s="53"/>
      <c r="B151" s="50" t="s">
        <v>457</v>
      </c>
      <c r="C151" s="53"/>
      <c r="D151" s="707" t="s">
        <v>458</v>
      </c>
      <c r="E151" s="834">
        <f>'Verification Report'!O151</f>
        <v>0</v>
      </c>
    </row>
    <row r="152" spans="1:7" ht="15" hidden="1" customHeight="1" x14ac:dyDescent="0.35">
      <c r="A152" s="53"/>
      <c r="B152" s="118"/>
      <c r="C152" s="118"/>
      <c r="D152" s="709"/>
      <c r="E152" s="886">
        <f>'Verification Report'!O152</f>
        <v>0</v>
      </c>
    </row>
    <row r="153" spans="1:7" ht="15" hidden="1" customHeight="1" x14ac:dyDescent="0.35">
      <c r="A153" s="53"/>
      <c r="B153" s="50" t="s">
        <v>459</v>
      </c>
      <c r="C153" s="53"/>
      <c r="D153" s="707" t="s">
        <v>460</v>
      </c>
      <c r="E153" s="834">
        <f>'Verification Report'!O153</f>
        <v>0</v>
      </c>
    </row>
    <row r="154" spans="1:7" ht="15" hidden="1" customHeight="1" x14ac:dyDescent="0.35">
      <c r="A154" s="53"/>
      <c r="B154" s="118"/>
      <c r="C154" s="118"/>
      <c r="D154" s="709"/>
      <c r="E154" s="886">
        <f>'Verification Report'!O154</f>
        <v>0</v>
      </c>
    </row>
    <row r="155" spans="1:7" ht="15" hidden="1" customHeight="1" x14ac:dyDescent="0.35">
      <c r="A155" s="53"/>
      <c r="B155" s="50" t="s">
        <v>461</v>
      </c>
      <c r="C155" s="53"/>
      <c r="D155" s="707" t="s">
        <v>462</v>
      </c>
      <c r="E155" s="834">
        <f>'Verification Report'!O155</f>
        <v>0</v>
      </c>
    </row>
    <row r="156" spans="1:7" ht="15.75" hidden="1" customHeight="1" thickBot="1" x14ac:dyDescent="0.4">
      <c r="A156" s="60"/>
      <c r="B156" s="60"/>
      <c r="C156" s="60"/>
      <c r="D156" s="708"/>
      <c r="E156" s="938">
        <f>'Verification Report'!O156</f>
        <v>0</v>
      </c>
    </row>
    <row r="157" spans="1:7" ht="15.75" hidden="1" customHeight="1" thickTop="1" x14ac:dyDescent="0.35">
      <c r="A157" s="33">
        <v>503.6</v>
      </c>
      <c r="B157" s="53"/>
      <c r="C157" s="53"/>
      <c r="D157" s="706" t="s">
        <v>464</v>
      </c>
      <c r="E157" s="940">
        <f>'Verification Report'!O157</f>
        <v>0</v>
      </c>
    </row>
    <row r="158" spans="1:7" ht="15" hidden="1" customHeight="1" x14ac:dyDescent="0.35">
      <c r="A158" s="53"/>
      <c r="B158" s="53"/>
      <c r="C158" s="53"/>
      <c r="D158" s="706"/>
      <c r="E158" s="834">
        <f>'Verification Report'!O158</f>
        <v>0</v>
      </c>
    </row>
    <row r="159" spans="1:7" ht="15" hidden="1" customHeight="1" x14ac:dyDescent="0.35">
      <c r="A159" s="53"/>
      <c r="B159" s="115" t="s">
        <v>270</v>
      </c>
      <c r="C159" s="118"/>
      <c r="D159" s="116" t="s">
        <v>465</v>
      </c>
      <c r="E159" s="191"/>
    </row>
    <row r="160" spans="1:7" ht="15" hidden="1" customHeight="1" x14ac:dyDescent="0.35">
      <c r="A160" s="53"/>
      <c r="B160" s="115" t="s">
        <v>272</v>
      </c>
      <c r="C160" s="118"/>
      <c r="D160" s="116" t="s">
        <v>466</v>
      </c>
      <c r="E160" s="191"/>
    </row>
    <row r="161" spans="1:5" ht="15" hidden="1" customHeight="1" x14ac:dyDescent="0.35">
      <c r="A161" s="53"/>
      <c r="B161" s="50" t="s">
        <v>274</v>
      </c>
      <c r="C161" s="53"/>
      <c r="D161" s="707" t="s">
        <v>467</v>
      </c>
      <c r="E161" s="44"/>
    </row>
    <row r="162" spans="1:5" ht="15" hidden="1" customHeight="1" x14ac:dyDescent="0.35">
      <c r="A162" s="53"/>
      <c r="B162" s="118"/>
      <c r="C162" s="118"/>
      <c r="D162" s="709"/>
      <c r="E162" s="191"/>
    </row>
    <row r="163" spans="1:5" ht="15.75" hidden="1" customHeight="1" thickBot="1" x14ac:dyDescent="0.4">
      <c r="A163" s="60"/>
      <c r="B163" s="55" t="s">
        <v>283</v>
      </c>
      <c r="C163" s="60"/>
      <c r="D163" s="56" t="s">
        <v>468</v>
      </c>
      <c r="E163" s="80"/>
    </row>
    <row r="164" spans="1:5" ht="15.75" hidden="1" customHeight="1" thickTop="1" x14ac:dyDescent="0.35">
      <c r="A164" s="33">
        <v>503.7</v>
      </c>
      <c r="B164" s="53"/>
      <c r="C164" s="53"/>
      <c r="D164" s="706" t="s">
        <v>470</v>
      </c>
      <c r="E164" s="44"/>
    </row>
    <row r="165" spans="1:5" ht="15" hidden="1" customHeight="1" x14ac:dyDescent="0.35">
      <c r="A165" s="53"/>
      <c r="B165" s="53"/>
      <c r="C165" s="53"/>
      <c r="D165" s="706"/>
      <c r="E165" s="44"/>
    </row>
    <row r="166" spans="1:5" ht="15" hidden="1" customHeight="1" x14ac:dyDescent="0.35">
      <c r="A166" s="53"/>
      <c r="B166" s="50" t="s">
        <v>270</v>
      </c>
      <c r="C166" s="53"/>
      <c r="D166" s="707" t="s">
        <v>471</v>
      </c>
      <c r="E166" s="834">
        <f>'Verification Report'!O166</f>
        <v>0</v>
      </c>
    </row>
    <row r="167" spans="1:5" ht="15" hidden="1" customHeight="1" x14ac:dyDescent="0.35">
      <c r="A167" s="53"/>
      <c r="B167" s="115"/>
      <c r="C167" s="118"/>
      <c r="D167" s="709"/>
      <c r="E167" s="886">
        <f>'Verification Report'!O167</f>
        <v>0</v>
      </c>
    </row>
    <row r="168" spans="1:5" ht="15" hidden="1" customHeight="1" x14ac:dyDescent="0.35">
      <c r="A168" s="53"/>
      <c r="B168" s="50" t="s">
        <v>272</v>
      </c>
      <c r="C168" s="53"/>
      <c r="D168" s="707" t="s">
        <v>472</v>
      </c>
      <c r="E168" s="834">
        <f>'Verification Report'!O168</f>
        <v>0</v>
      </c>
    </row>
    <row r="169" spans="1:5" ht="15.75" hidden="1" customHeight="1" thickBot="1" x14ac:dyDescent="0.4">
      <c r="A169" s="60"/>
      <c r="B169" s="60"/>
      <c r="C169" s="60"/>
      <c r="D169" s="708"/>
      <c r="E169" s="938">
        <f>'Verification Report'!O169</f>
        <v>0</v>
      </c>
    </row>
    <row r="170" spans="1:5" ht="15.75" hidden="1" customHeight="1" thickTop="1" x14ac:dyDescent="0.35">
      <c r="A170" s="33">
        <v>503.8</v>
      </c>
      <c r="B170" s="53"/>
      <c r="C170" s="53"/>
      <c r="D170" s="706" t="s">
        <v>474</v>
      </c>
      <c r="E170" s="940">
        <f ca="1">'Verification Report'!O170</f>
        <v>0</v>
      </c>
    </row>
    <row r="171" spans="1:5" ht="15" hidden="1" customHeight="1" x14ac:dyDescent="0.35">
      <c r="A171" s="53"/>
      <c r="B171" s="53"/>
      <c r="C171" s="53"/>
      <c r="D171" s="706"/>
      <c r="E171" s="834">
        <f>'Verification Report'!O171</f>
        <v>0</v>
      </c>
    </row>
    <row r="172" spans="1:5" ht="15" hidden="1" customHeight="1" x14ac:dyDescent="0.35">
      <c r="A172" s="53"/>
      <c r="B172" s="53"/>
      <c r="C172" s="53"/>
      <c r="D172" s="706"/>
      <c r="E172" s="834">
        <f>'Verification Report'!O172</f>
        <v>0</v>
      </c>
    </row>
    <row r="173" spans="1:5" ht="15" hidden="1" customHeight="1" x14ac:dyDescent="0.35">
      <c r="A173" s="53"/>
      <c r="B173" s="53"/>
      <c r="C173" s="53"/>
      <c r="D173" s="707" t="s">
        <v>475</v>
      </c>
      <c r="E173" s="44"/>
    </row>
    <row r="174" spans="1:5" ht="15" hidden="1" customHeight="1" x14ac:dyDescent="0.35">
      <c r="A174" s="53"/>
      <c r="B174" s="53"/>
      <c r="C174" s="53"/>
      <c r="D174" s="707"/>
      <c r="E174" s="44"/>
    </row>
    <row r="175" spans="1:5" ht="18.5" hidden="1" x14ac:dyDescent="0.35">
      <c r="A175" s="51" t="s">
        <v>477</v>
      </c>
      <c r="B175" s="51"/>
      <c r="C175" s="51"/>
      <c r="D175" s="47"/>
      <c r="E175" s="37"/>
    </row>
    <row r="176" spans="1:5" ht="15" hidden="1" customHeight="1" x14ac:dyDescent="0.35">
      <c r="A176" s="50" t="s">
        <v>476</v>
      </c>
      <c r="B176" s="53"/>
      <c r="C176" s="53"/>
      <c r="D176" s="706" t="s">
        <v>478</v>
      </c>
      <c r="E176" s="44"/>
    </row>
    <row r="177" spans="1:7" ht="15" hidden="1" thickBot="1" x14ac:dyDescent="0.4">
      <c r="A177" s="60"/>
      <c r="B177" s="60"/>
      <c r="C177" s="60"/>
      <c r="D177" s="710"/>
      <c r="E177" s="80"/>
    </row>
    <row r="178" spans="1:7" ht="15.75" hidden="1" customHeight="1" thickTop="1" x14ac:dyDescent="0.35">
      <c r="A178" s="69" t="s">
        <v>479</v>
      </c>
      <c r="B178" s="64"/>
      <c r="C178" s="64"/>
      <c r="D178" s="711" t="s">
        <v>480</v>
      </c>
      <c r="E178" s="940">
        <f>'Verification Report'!O178</f>
        <v>0</v>
      </c>
    </row>
    <row r="179" spans="1:7" ht="15" hidden="1" customHeight="1" x14ac:dyDescent="0.35">
      <c r="A179" s="53"/>
      <c r="B179" s="53"/>
      <c r="C179" s="53"/>
      <c r="D179" s="706"/>
      <c r="E179" s="834">
        <f>'Verification Report'!O179</f>
        <v>0</v>
      </c>
    </row>
    <row r="180" spans="1:7" ht="15" hidden="1" customHeight="1" x14ac:dyDescent="0.35">
      <c r="A180" s="53"/>
      <c r="B180" s="53"/>
      <c r="C180" s="53"/>
      <c r="D180" s="706"/>
      <c r="E180" s="834">
        <f>'Verification Report'!O180</f>
        <v>0</v>
      </c>
    </row>
    <row r="181" spans="1:7" ht="15" hidden="1" customHeight="1" x14ac:dyDescent="0.35">
      <c r="A181" s="53"/>
      <c r="B181" s="53"/>
      <c r="C181" s="53"/>
      <c r="D181" s="706"/>
      <c r="E181" s="834">
        <f>'Verification Report'!O181</f>
        <v>0</v>
      </c>
    </row>
    <row r="182" spans="1:7" ht="15.75" hidden="1" customHeight="1" thickBot="1" x14ac:dyDescent="0.4">
      <c r="A182" s="60"/>
      <c r="B182" s="60"/>
      <c r="C182" s="60"/>
      <c r="D182" s="122" t="s">
        <v>838</v>
      </c>
      <c r="E182" s="938">
        <f>'Verification Report'!O182</f>
        <v>0</v>
      </c>
    </row>
    <row r="183" spans="1:7" ht="15.75" hidden="1" customHeight="1" thickTop="1" x14ac:dyDescent="0.35">
      <c r="A183" s="50" t="s">
        <v>481</v>
      </c>
      <c r="B183" s="53"/>
      <c r="C183" s="53"/>
      <c r="D183" s="706" t="s">
        <v>482</v>
      </c>
      <c r="E183" s="44"/>
    </row>
    <row r="184" spans="1:7" ht="15" hidden="1" customHeight="1" x14ac:dyDescent="0.35">
      <c r="A184" s="53"/>
      <c r="B184" s="53"/>
      <c r="C184" s="53"/>
      <c r="D184" s="706"/>
      <c r="E184" s="44"/>
    </row>
    <row r="185" spans="1:7" ht="15" hidden="1" customHeight="1" x14ac:dyDescent="0.35">
      <c r="A185" s="53"/>
      <c r="B185" s="115" t="s">
        <v>270</v>
      </c>
      <c r="C185" s="118"/>
      <c r="D185" s="116" t="s">
        <v>483</v>
      </c>
      <c r="E185" s="191">
        <f>'Verification Report'!O185</f>
        <v>0</v>
      </c>
    </row>
    <row r="186" spans="1:7" ht="15" hidden="1" customHeight="1" x14ac:dyDescent="0.35">
      <c r="A186" s="53"/>
      <c r="B186" s="50" t="s">
        <v>272</v>
      </c>
      <c r="C186" s="53"/>
      <c r="D186" s="707" t="s">
        <v>484</v>
      </c>
      <c r="E186" s="834">
        <f>'Verification Report'!O186</f>
        <v>0</v>
      </c>
    </row>
    <row r="187" spans="1:7" ht="15" hidden="1" customHeight="1" x14ac:dyDescent="0.35">
      <c r="A187" s="53"/>
      <c r="B187" s="115"/>
      <c r="C187" s="118"/>
      <c r="D187" s="709"/>
      <c r="E187" s="886">
        <f>'Verification Report'!O187</f>
        <v>0</v>
      </c>
    </row>
    <row r="188" spans="1:7" ht="15" hidden="1" customHeight="1" x14ac:dyDescent="0.35">
      <c r="A188" s="53"/>
      <c r="B188" s="50" t="s">
        <v>274</v>
      </c>
      <c r="C188" s="53"/>
      <c r="D188" s="707" t="s">
        <v>485</v>
      </c>
      <c r="E188" s="834">
        <f>'Verification Report'!O188</f>
        <v>0</v>
      </c>
    </row>
    <row r="189" spans="1:7" ht="15.75" hidden="1" customHeight="1" thickBot="1" x14ac:dyDescent="0.4">
      <c r="A189" s="60"/>
      <c r="B189" s="60"/>
      <c r="C189" s="60"/>
      <c r="D189" s="708"/>
      <c r="E189" s="938">
        <f>'Verification Report'!O189</f>
        <v>0</v>
      </c>
    </row>
    <row r="190" spans="1:7" ht="15.75" customHeight="1" x14ac:dyDescent="0.35">
      <c r="A190" s="50" t="s">
        <v>486</v>
      </c>
      <c r="B190" s="53"/>
      <c r="C190" s="53"/>
      <c r="D190" s="706" t="s">
        <v>487</v>
      </c>
      <c r="E190" s="44"/>
      <c r="G190">
        <v>1</v>
      </c>
    </row>
    <row r="191" spans="1:7" x14ac:dyDescent="0.35">
      <c r="A191" s="53"/>
      <c r="B191" s="53"/>
      <c r="C191" s="53"/>
      <c r="D191" s="706"/>
      <c r="E191" s="44"/>
      <c r="G191">
        <v>1</v>
      </c>
    </row>
    <row r="192" spans="1:7" x14ac:dyDescent="0.35">
      <c r="A192" s="53"/>
      <c r="B192" s="53"/>
      <c r="C192" s="53"/>
      <c r="D192" s="706"/>
      <c r="E192" s="44"/>
      <c r="G192">
        <v>1</v>
      </c>
    </row>
    <row r="193" spans="1:9" ht="15" customHeight="1" x14ac:dyDescent="0.35">
      <c r="A193" s="53"/>
      <c r="B193" s="50" t="s">
        <v>270</v>
      </c>
      <c r="C193" s="53"/>
      <c r="D193" s="707" t="s">
        <v>488</v>
      </c>
      <c r="E193" s="834">
        <f>'Verification Report'!O193</f>
        <v>5</v>
      </c>
      <c r="G193">
        <v>1</v>
      </c>
      <c r="H193" s="571"/>
      <c r="I193" t="s">
        <v>4644</v>
      </c>
    </row>
    <row r="194" spans="1:9" x14ac:dyDescent="0.35">
      <c r="A194" s="53"/>
      <c r="B194" s="115"/>
      <c r="C194" s="118"/>
      <c r="D194" s="709"/>
      <c r="E194" s="886">
        <f>'Verification Report'!O194</f>
        <v>0</v>
      </c>
      <c r="G194">
        <v>1</v>
      </c>
    </row>
    <row r="195" spans="1:9" x14ac:dyDescent="0.35">
      <c r="A195" s="53"/>
      <c r="B195" s="115" t="s">
        <v>272</v>
      </c>
      <c r="C195" s="118"/>
      <c r="D195" s="116" t="s">
        <v>489</v>
      </c>
      <c r="E195" s="191">
        <f>'Verification Report'!O195</f>
        <v>5</v>
      </c>
      <c r="G195">
        <v>1</v>
      </c>
      <c r="H195" s="571"/>
      <c r="I195" t="s">
        <v>4645</v>
      </c>
    </row>
    <row r="196" spans="1:9" ht="15" customHeight="1" x14ac:dyDescent="0.35">
      <c r="A196" s="53"/>
      <c r="B196" s="50" t="s">
        <v>274</v>
      </c>
      <c r="C196" s="53"/>
      <c r="D196" s="707" t="s">
        <v>490</v>
      </c>
      <c r="E196" s="834">
        <f>'Verification Report'!O196</f>
        <v>0</v>
      </c>
      <c r="G196">
        <v>1</v>
      </c>
      <c r="H196" s="571"/>
      <c r="I196" t="s">
        <v>4646</v>
      </c>
    </row>
    <row r="197" spans="1:9" x14ac:dyDescent="0.35">
      <c r="A197" s="53"/>
      <c r="B197" s="118"/>
      <c r="C197" s="118"/>
      <c r="D197" s="709"/>
      <c r="E197" s="886">
        <f>'Verification Report'!O197</f>
        <v>0</v>
      </c>
      <c r="G197">
        <v>1</v>
      </c>
    </row>
    <row r="198" spans="1:9" ht="15" hidden="1" customHeight="1" x14ac:dyDescent="0.35">
      <c r="A198" s="53"/>
      <c r="B198" s="50" t="s">
        <v>283</v>
      </c>
      <c r="C198" s="53"/>
      <c r="D198" s="707" t="s">
        <v>491</v>
      </c>
      <c r="E198" s="834">
        <f>'Verification Report'!O198</f>
        <v>0</v>
      </c>
    </row>
    <row r="199" spans="1:9" ht="15" hidden="1" customHeight="1" x14ac:dyDescent="0.35">
      <c r="A199" s="53"/>
      <c r="B199" s="118"/>
      <c r="C199" s="118"/>
      <c r="D199" s="709"/>
      <c r="E199" s="886">
        <f>'Verification Report'!O199</f>
        <v>0</v>
      </c>
    </row>
    <row r="200" spans="1:9" ht="15" hidden="1" customHeight="1" x14ac:dyDescent="0.35">
      <c r="A200" s="53"/>
      <c r="B200" s="50" t="s">
        <v>289</v>
      </c>
      <c r="C200" s="53"/>
      <c r="D200" s="707" t="s">
        <v>492</v>
      </c>
      <c r="E200" s="834">
        <f>'Verification Report'!O200</f>
        <v>0</v>
      </c>
    </row>
    <row r="201" spans="1:9" ht="15" hidden="1" customHeight="1" x14ac:dyDescent="0.35">
      <c r="A201" s="53"/>
      <c r="B201" s="53"/>
      <c r="C201" s="53"/>
      <c r="D201" s="707"/>
      <c r="E201" s="834">
        <f>'Verification Report'!O201</f>
        <v>0</v>
      </c>
    </row>
    <row r="202" spans="1:9" ht="15" hidden="1" customHeight="1" x14ac:dyDescent="0.35">
      <c r="A202" s="53"/>
      <c r="B202" s="53"/>
      <c r="C202" s="53"/>
      <c r="D202" s="707"/>
      <c r="E202" s="834">
        <f>'Verification Report'!O202</f>
        <v>0</v>
      </c>
    </row>
    <row r="203" spans="1:9" ht="15" hidden="1" customHeight="1" x14ac:dyDescent="0.35">
      <c r="A203" s="53"/>
      <c r="B203" s="118"/>
      <c r="C203" s="118"/>
      <c r="D203" s="709"/>
      <c r="E203" s="886">
        <f>'Verification Report'!O203</f>
        <v>0</v>
      </c>
    </row>
    <row r="204" spans="1:9" ht="15" hidden="1" customHeight="1" x14ac:dyDescent="0.35">
      <c r="A204" s="53"/>
      <c r="B204" s="50" t="s">
        <v>291</v>
      </c>
      <c r="C204" s="53"/>
      <c r="D204" s="707" t="s">
        <v>493</v>
      </c>
      <c r="E204" s="834">
        <f>'Verification Report'!O204</f>
        <v>0</v>
      </c>
    </row>
    <row r="205" spans="1:9" ht="15" hidden="1" customHeight="1" x14ac:dyDescent="0.35">
      <c r="A205" s="53"/>
      <c r="B205" s="53"/>
      <c r="C205" s="53"/>
      <c r="D205" s="707"/>
      <c r="E205" s="834">
        <f>'Verification Report'!O205</f>
        <v>0</v>
      </c>
    </row>
    <row r="206" spans="1:9" ht="15" hidden="1" customHeight="1" x14ac:dyDescent="0.35">
      <c r="A206" s="53"/>
      <c r="B206" s="118"/>
      <c r="C206" s="118"/>
      <c r="D206" s="709"/>
      <c r="E206" s="886">
        <f>'Verification Report'!O206</f>
        <v>0</v>
      </c>
    </row>
    <row r="207" spans="1:9" hidden="1" x14ac:dyDescent="0.35">
      <c r="A207" s="53"/>
      <c r="B207" s="115" t="s">
        <v>403</v>
      </c>
      <c r="C207" s="118"/>
      <c r="D207" s="116" t="s">
        <v>494</v>
      </c>
      <c r="E207" s="191">
        <f>'Verification Report'!O207</f>
        <v>0</v>
      </c>
    </row>
    <row r="208" spans="1:9" ht="15" hidden="1" customHeight="1" x14ac:dyDescent="0.35">
      <c r="A208" s="53"/>
      <c r="B208" s="50" t="s">
        <v>453</v>
      </c>
      <c r="C208" s="53"/>
      <c r="D208" s="103" t="s">
        <v>3177</v>
      </c>
      <c r="E208" s="834">
        <f>'Verification Report'!O208</f>
        <v>0</v>
      </c>
    </row>
    <row r="209" spans="1:9" ht="15" hidden="1" customHeight="1" x14ac:dyDescent="0.35">
      <c r="A209" s="53"/>
      <c r="B209" s="53"/>
      <c r="C209" s="53"/>
      <c r="D209" s="103" t="s">
        <v>3183</v>
      </c>
      <c r="E209" s="834">
        <f>'Verification Report'!O209</f>
        <v>0</v>
      </c>
    </row>
    <row r="210" spans="1:9" ht="15" hidden="1" customHeight="1" x14ac:dyDescent="0.35">
      <c r="A210" s="53"/>
      <c r="B210" s="53"/>
      <c r="C210" s="53"/>
      <c r="D210" s="103" t="s">
        <v>3182</v>
      </c>
      <c r="E210" s="834">
        <f>'Verification Report'!O210</f>
        <v>0</v>
      </c>
    </row>
    <row r="211" spans="1:9" ht="15" hidden="1" customHeight="1" x14ac:dyDescent="0.35">
      <c r="A211" s="53"/>
      <c r="B211" s="53"/>
      <c r="C211" s="53"/>
      <c r="D211" s="103" t="s">
        <v>3181</v>
      </c>
      <c r="E211" s="834">
        <f>'Verification Report'!O211</f>
        <v>0</v>
      </c>
    </row>
    <row r="212" spans="1:9" ht="15" hidden="1" customHeight="1" x14ac:dyDescent="0.35">
      <c r="A212" s="53"/>
      <c r="B212" s="53"/>
      <c r="C212" s="53"/>
      <c r="D212" s="103" t="s">
        <v>3180</v>
      </c>
      <c r="E212" s="834">
        <f>'Verification Report'!O212</f>
        <v>0</v>
      </c>
    </row>
    <row r="213" spans="1:9" ht="15" hidden="1" customHeight="1" x14ac:dyDescent="0.35">
      <c r="A213" s="53"/>
      <c r="B213" s="53"/>
      <c r="C213" s="53"/>
      <c r="D213" s="103" t="s">
        <v>3179</v>
      </c>
      <c r="E213" s="834">
        <f>'Verification Report'!O213</f>
        <v>0</v>
      </c>
    </row>
    <row r="214" spans="1:9" ht="15" hidden="1" customHeight="1" x14ac:dyDescent="0.35">
      <c r="A214" s="53"/>
      <c r="B214" s="53"/>
      <c r="C214" s="53"/>
      <c r="D214" s="103" t="s">
        <v>3178</v>
      </c>
      <c r="E214" s="834">
        <f>'Verification Report'!O214</f>
        <v>0</v>
      </c>
    </row>
    <row r="215" spans="1:9" ht="15" hidden="1" customHeight="1" x14ac:dyDescent="0.35">
      <c r="A215" s="53"/>
      <c r="B215" s="118"/>
      <c r="C215" s="118"/>
      <c r="D215" s="121" t="s">
        <v>3176</v>
      </c>
      <c r="E215" s="886">
        <f>'Verification Report'!O215</f>
        <v>0</v>
      </c>
    </row>
    <row r="216" spans="1:9" hidden="1" x14ac:dyDescent="0.35">
      <c r="A216" s="53"/>
      <c r="B216" s="50" t="s">
        <v>455</v>
      </c>
      <c r="C216" s="53"/>
      <c r="D216" s="46" t="s">
        <v>495</v>
      </c>
      <c r="E216" s="44">
        <f>'Verification Report'!O216</f>
        <v>3</v>
      </c>
    </row>
    <row r="217" spans="1:9" ht="18.5" hidden="1" x14ac:dyDescent="0.35">
      <c r="A217" s="38" t="s">
        <v>497</v>
      </c>
      <c r="B217" s="38"/>
      <c r="C217" s="38"/>
      <c r="D217" s="47"/>
      <c r="E217" s="37"/>
    </row>
    <row r="218" spans="1:9" ht="15" hidden="1" customHeight="1" x14ac:dyDescent="0.35">
      <c r="A218" s="50" t="s">
        <v>4356</v>
      </c>
      <c r="B218" s="53"/>
      <c r="C218" s="53"/>
      <c r="D218" s="706" t="s">
        <v>498</v>
      </c>
      <c r="E218" s="44"/>
    </row>
    <row r="219" spans="1:9" hidden="1" x14ac:dyDescent="0.35">
      <c r="A219" s="53"/>
      <c r="B219" s="53"/>
      <c r="C219" s="53"/>
      <c r="D219" s="706"/>
      <c r="E219" s="44"/>
    </row>
    <row r="220" spans="1:9" ht="15" hidden="1" thickBot="1" x14ac:dyDescent="0.4">
      <c r="A220" s="60"/>
      <c r="B220" s="60"/>
      <c r="C220" s="60"/>
      <c r="D220" s="710"/>
      <c r="E220" s="80"/>
    </row>
    <row r="221" spans="1:9" ht="15.75" customHeight="1" x14ac:dyDescent="0.35">
      <c r="A221" s="50" t="s">
        <v>499</v>
      </c>
      <c r="B221" s="53"/>
      <c r="C221" s="53"/>
      <c r="D221" s="706" t="s">
        <v>500</v>
      </c>
      <c r="E221" s="44"/>
      <c r="G221">
        <v>1</v>
      </c>
    </row>
    <row r="222" spans="1:9" x14ac:dyDescent="0.35">
      <c r="A222" s="53"/>
      <c r="B222" s="53"/>
      <c r="C222" s="53"/>
      <c r="D222" s="706"/>
      <c r="E222" s="44"/>
      <c r="G222">
        <v>1</v>
      </c>
    </row>
    <row r="223" spans="1:9" ht="15" customHeight="1" x14ac:dyDescent="0.35">
      <c r="A223" s="53"/>
      <c r="B223" s="50" t="s">
        <v>270</v>
      </c>
      <c r="C223" s="53"/>
      <c r="D223" s="707" t="s">
        <v>501</v>
      </c>
      <c r="E223" s="834">
        <f>'Verification Report'!O223</f>
        <v>0</v>
      </c>
      <c r="G223">
        <v>1</v>
      </c>
      <c r="H223" s="571"/>
      <c r="I223" t="s">
        <v>4647</v>
      </c>
    </row>
    <row r="224" spans="1:9" x14ac:dyDescent="0.35">
      <c r="A224" s="53"/>
      <c r="B224" s="115"/>
      <c r="C224" s="118"/>
      <c r="D224" s="709"/>
      <c r="E224" s="886">
        <f>'Verification Report'!O224</f>
        <v>0</v>
      </c>
      <c r="G224">
        <v>1</v>
      </c>
    </row>
    <row r="225" spans="1:9" hidden="1" x14ac:dyDescent="0.35">
      <c r="A225" s="53"/>
      <c r="B225" s="115" t="s">
        <v>272</v>
      </c>
      <c r="C225" s="118"/>
      <c r="D225" s="116" t="s">
        <v>502</v>
      </c>
      <c r="E225" s="191">
        <f ca="1">'Verification Report'!O225</f>
        <v>0</v>
      </c>
    </row>
    <row r="226" spans="1:9" ht="15" hidden="1" customHeight="1" x14ac:dyDescent="0.35">
      <c r="A226" s="53"/>
      <c r="B226" s="50" t="s">
        <v>274</v>
      </c>
      <c r="C226" s="53"/>
      <c r="D226" s="46" t="s">
        <v>503</v>
      </c>
      <c r="E226" s="44">
        <f ca="1">'Verification Report'!O226</f>
        <v>0</v>
      </c>
    </row>
    <row r="227" spans="1:9" ht="15" hidden="1" customHeight="1" x14ac:dyDescent="0.35">
      <c r="A227" s="49"/>
      <c r="B227" s="53"/>
      <c r="C227" s="50" t="s">
        <v>121</v>
      </c>
      <c r="D227" s="46" t="s">
        <v>504</v>
      </c>
      <c r="E227" s="44"/>
    </row>
    <row r="228" spans="1:9" ht="15" hidden="1" customHeight="1" x14ac:dyDescent="0.35">
      <c r="A228" s="49"/>
      <c r="B228" s="53"/>
      <c r="C228" s="50" t="s">
        <v>122</v>
      </c>
      <c r="D228" s="46" t="s">
        <v>505</v>
      </c>
      <c r="E228" s="44"/>
    </row>
    <row r="229" spans="1:9" ht="15" hidden="1" customHeight="1" x14ac:dyDescent="0.35">
      <c r="A229" s="49"/>
      <c r="B229" s="118"/>
      <c r="C229" s="120" t="s">
        <v>123</v>
      </c>
      <c r="D229" s="116" t="s">
        <v>411</v>
      </c>
      <c r="E229" s="191"/>
    </row>
    <row r="230" spans="1:9" ht="15" hidden="1" customHeight="1" x14ac:dyDescent="0.35">
      <c r="A230" s="53"/>
      <c r="B230" s="50" t="s">
        <v>283</v>
      </c>
      <c r="C230" s="53"/>
      <c r="D230" s="707" t="s">
        <v>506</v>
      </c>
      <c r="E230" s="834">
        <f ca="1">'Verification Report'!O230</f>
        <v>0</v>
      </c>
    </row>
    <row r="231" spans="1:9" ht="15" hidden="1" customHeight="1" x14ac:dyDescent="0.35">
      <c r="A231" s="53"/>
      <c r="B231" s="53"/>
      <c r="C231" s="53"/>
      <c r="D231" s="707"/>
      <c r="E231" s="834">
        <f>'Verification Report'!O231</f>
        <v>0</v>
      </c>
    </row>
    <row r="232" spans="1:9" ht="15" hidden="1" customHeight="1" x14ac:dyDescent="0.35">
      <c r="A232" s="49"/>
      <c r="B232" s="53"/>
      <c r="C232" s="50" t="s">
        <v>121</v>
      </c>
      <c r="D232" s="46" t="s">
        <v>507</v>
      </c>
      <c r="E232" s="44"/>
    </row>
    <row r="233" spans="1:9" ht="15" hidden="1" customHeight="1" x14ac:dyDescent="0.35">
      <c r="A233" s="49"/>
      <c r="B233" s="53"/>
      <c r="C233" s="50" t="s">
        <v>122</v>
      </c>
      <c r="D233" s="46" t="s">
        <v>410</v>
      </c>
      <c r="E233" s="44"/>
    </row>
    <row r="234" spans="1:9" ht="15.75" hidden="1" customHeight="1" thickBot="1" x14ac:dyDescent="0.4">
      <c r="A234" s="70"/>
      <c r="B234" s="60"/>
      <c r="C234" s="66" t="s">
        <v>123</v>
      </c>
      <c r="D234" s="56" t="s">
        <v>411</v>
      </c>
      <c r="E234" s="80"/>
    </row>
    <row r="235" spans="1:9" x14ac:dyDescent="0.35">
      <c r="A235" s="50" t="s">
        <v>509</v>
      </c>
      <c r="B235" s="53"/>
      <c r="C235" s="53"/>
      <c r="D235" s="48" t="s">
        <v>510</v>
      </c>
      <c r="E235" s="44"/>
      <c r="G235">
        <v>1</v>
      </c>
    </row>
    <row r="236" spans="1:9" ht="15" customHeight="1" x14ac:dyDescent="0.35">
      <c r="A236" s="53"/>
      <c r="B236" s="50" t="s">
        <v>270</v>
      </c>
      <c r="C236" s="53"/>
      <c r="D236" s="707" t="s">
        <v>511</v>
      </c>
      <c r="E236" s="834">
        <f>'Verification Report'!O236</f>
        <v>5</v>
      </c>
      <c r="G236">
        <v>1</v>
      </c>
    </row>
    <row r="237" spans="1:9" x14ac:dyDescent="0.35">
      <c r="A237" s="53"/>
      <c r="B237" s="53"/>
      <c r="C237" s="53"/>
      <c r="D237" s="707"/>
      <c r="E237" s="834">
        <f>'Verification Report'!O237</f>
        <v>0</v>
      </c>
      <c r="G237">
        <v>1</v>
      </c>
    </row>
    <row r="238" spans="1:9" ht="15" customHeight="1" x14ac:dyDescent="0.35">
      <c r="A238" s="49"/>
      <c r="B238" s="53"/>
      <c r="C238" s="50" t="s">
        <v>121</v>
      </c>
      <c r="D238" s="707" t="s">
        <v>512</v>
      </c>
      <c r="E238" s="44"/>
      <c r="F238" s="569" t="str">
        <f>IF('Verification Report'!W238="","",'Verification Report'!W238)</f>
        <v/>
      </c>
      <c r="G238">
        <v>1</v>
      </c>
      <c r="H238" s="571"/>
      <c r="I238" t="s">
        <v>4648</v>
      </c>
    </row>
    <row r="239" spans="1:9" x14ac:dyDescent="0.35">
      <c r="A239" s="49"/>
      <c r="B239" s="53"/>
      <c r="C239" s="53"/>
      <c r="D239" s="707"/>
      <c r="E239" s="44"/>
      <c r="G239">
        <v>1</v>
      </c>
    </row>
    <row r="240" spans="1:9" x14ac:dyDescent="0.35">
      <c r="A240" s="49"/>
      <c r="B240" s="53"/>
      <c r="C240" s="53"/>
      <c r="D240" s="707"/>
      <c r="E240" s="44"/>
      <c r="G240">
        <v>1</v>
      </c>
    </row>
    <row r="241" spans="1:9" ht="15" customHeight="1" x14ac:dyDescent="0.35">
      <c r="A241" s="49"/>
      <c r="B241" s="53"/>
      <c r="C241" s="50" t="s">
        <v>122</v>
      </c>
      <c r="D241" s="707" t="s">
        <v>513</v>
      </c>
      <c r="E241" s="44"/>
      <c r="F241" s="569" t="b">
        <f>IF('Verification Report'!W241="","",'Verification Report'!W241)</f>
        <v>1</v>
      </c>
      <c r="G241">
        <v>1</v>
      </c>
      <c r="H241" s="571"/>
      <c r="I241" t="s">
        <v>4649</v>
      </c>
    </row>
    <row r="242" spans="1:9" x14ac:dyDescent="0.35">
      <c r="A242" s="49"/>
      <c r="B242" s="53"/>
      <c r="C242" s="53"/>
      <c r="D242" s="707"/>
      <c r="E242" s="44"/>
      <c r="G242">
        <v>1</v>
      </c>
    </row>
    <row r="243" spans="1:9" x14ac:dyDescent="0.35">
      <c r="A243" s="49"/>
      <c r="B243" s="53"/>
      <c r="C243" s="53"/>
      <c r="D243" s="707"/>
      <c r="E243" s="44"/>
      <c r="G243">
        <v>1</v>
      </c>
    </row>
    <row r="244" spans="1:9" x14ac:dyDescent="0.35">
      <c r="A244" s="49"/>
      <c r="B244" s="53"/>
      <c r="C244" s="53"/>
      <c r="D244" s="707"/>
      <c r="E244" s="44"/>
      <c r="G244">
        <v>1</v>
      </c>
    </row>
    <row r="245" spans="1:9" ht="15" hidden="1" customHeight="1" x14ac:dyDescent="0.35">
      <c r="A245" s="49"/>
      <c r="B245" s="118"/>
      <c r="C245" s="120" t="s">
        <v>123</v>
      </c>
      <c r="D245" s="116" t="s">
        <v>514</v>
      </c>
      <c r="E245" s="191"/>
    </row>
    <row r="246" spans="1:9" ht="15" customHeight="1" x14ac:dyDescent="0.35">
      <c r="A246" s="53"/>
      <c r="B246" s="50" t="s">
        <v>272</v>
      </c>
      <c r="C246" s="53"/>
      <c r="D246" s="707" t="s">
        <v>515</v>
      </c>
      <c r="E246" s="834">
        <f>'Verification Report'!O246</f>
        <v>0</v>
      </c>
      <c r="G246">
        <v>1</v>
      </c>
      <c r="H246" s="571"/>
      <c r="I246" t="s">
        <v>4650</v>
      </c>
    </row>
    <row r="247" spans="1:9" x14ac:dyDescent="0.35">
      <c r="A247" s="53"/>
      <c r="B247" s="53"/>
      <c r="C247" s="53"/>
      <c r="D247" s="707"/>
      <c r="E247" s="834">
        <f>'Verification Report'!O247</f>
        <v>0</v>
      </c>
      <c r="G247">
        <v>1</v>
      </c>
    </row>
    <row r="248" spans="1:9" ht="15" thickBot="1" x14ac:dyDescent="0.4">
      <c r="A248" s="60"/>
      <c r="B248" s="60"/>
      <c r="C248" s="60"/>
      <c r="D248" s="708"/>
      <c r="E248" s="938">
        <f>'Verification Report'!O248</f>
        <v>0</v>
      </c>
      <c r="G248">
        <v>1</v>
      </c>
    </row>
    <row r="249" spans="1:9" ht="15.5" thickTop="1" thickBot="1" x14ac:dyDescent="0.4">
      <c r="A249" s="50" t="s">
        <v>516</v>
      </c>
      <c r="B249" s="53"/>
      <c r="C249" s="53"/>
      <c r="D249" s="48" t="s">
        <v>517</v>
      </c>
      <c r="E249" s="44">
        <f ca="1">'Verification Report'!O249</f>
        <v>0</v>
      </c>
      <c r="G249">
        <v>1</v>
      </c>
      <c r="H249" s="571"/>
      <c r="I249" t="s">
        <v>4651</v>
      </c>
    </row>
    <row r="250" spans="1:9" ht="15.75" hidden="1" customHeight="1" x14ac:dyDescent="0.35">
      <c r="A250" s="53"/>
      <c r="B250" s="115" t="s">
        <v>270</v>
      </c>
      <c r="C250" s="118"/>
      <c r="D250" s="116" t="s">
        <v>518</v>
      </c>
      <c r="E250" s="44"/>
    </row>
    <row r="251" spans="1:9" ht="15.75" hidden="1" customHeight="1" x14ac:dyDescent="0.35">
      <c r="A251" s="53"/>
      <c r="B251" s="115" t="s">
        <v>272</v>
      </c>
      <c r="C251" s="118"/>
      <c r="D251" s="116" t="s">
        <v>519</v>
      </c>
      <c r="E251" s="44"/>
    </row>
    <row r="252" spans="1:9" ht="15.75" hidden="1" customHeight="1" x14ac:dyDescent="0.35">
      <c r="A252" s="53"/>
      <c r="B252" s="115" t="s">
        <v>274</v>
      </c>
      <c r="C252" s="118"/>
      <c r="D252" s="116" t="s">
        <v>520</v>
      </c>
      <c r="E252" s="44"/>
    </row>
    <row r="253" spans="1:9" ht="15.75" hidden="1" customHeight="1" x14ac:dyDescent="0.35">
      <c r="A253" s="53"/>
      <c r="B253" s="115" t="s">
        <v>283</v>
      </c>
      <c r="C253" s="118"/>
      <c r="D253" s="116" t="s">
        <v>521</v>
      </c>
      <c r="E253" s="44"/>
    </row>
    <row r="254" spans="1:9" ht="15.75" hidden="1" customHeight="1" thickBot="1" x14ac:dyDescent="0.4">
      <c r="A254" s="60"/>
      <c r="B254" s="55" t="s">
        <v>289</v>
      </c>
      <c r="C254" s="60"/>
      <c r="D254" s="56" t="s">
        <v>522</v>
      </c>
      <c r="E254" s="80"/>
    </row>
    <row r="255" spans="1:9" ht="15.5" hidden="1" thickTop="1" thickBot="1" x14ac:dyDescent="0.4">
      <c r="A255" s="71" t="s">
        <v>523</v>
      </c>
      <c r="B255" s="72"/>
      <c r="C255" s="72"/>
      <c r="D255" s="73" t="s">
        <v>524</v>
      </c>
      <c r="E255" s="76">
        <f ca="1">'Verification Report'!O255</f>
        <v>0</v>
      </c>
    </row>
    <row r="256" spans="1:9" ht="15.75" hidden="1" customHeight="1" thickTop="1" x14ac:dyDescent="0.35">
      <c r="A256" s="69" t="s">
        <v>525</v>
      </c>
      <c r="B256" s="64"/>
      <c r="C256" s="64"/>
      <c r="D256" s="711" t="s">
        <v>526</v>
      </c>
      <c r="E256" s="940">
        <f>'Verification Report'!O256</f>
        <v>0</v>
      </c>
    </row>
    <row r="257" spans="1:9" ht="15.75" hidden="1" customHeight="1" thickBot="1" x14ac:dyDescent="0.4">
      <c r="A257" s="60"/>
      <c r="B257" s="60"/>
      <c r="C257" s="60"/>
      <c r="D257" s="710"/>
      <c r="E257" s="938">
        <f>'Verification Report'!O257</f>
        <v>0</v>
      </c>
    </row>
    <row r="258" spans="1:9" ht="15.75" hidden="1" customHeight="1" thickTop="1" x14ac:dyDescent="0.35">
      <c r="A258" s="69" t="s">
        <v>527</v>
      </c>
      <c r="B258" s="64"/>
      <c r="C258" s="64"/>
      <c r="D258" s="711" t="s">
        <v>528</v>
      </c>
      <c r="E258" s="940">
        <f ca="1">'Verification Report'!O258</f>
        <v>0</v>
      </c>
    </row>
    <row r="259" spans="1:9" ht="15.75" hidden="1" customHeight="1" x14ac:dyDescent="0.35">
      <c r="A259" s="53"/>
      <c r="B259" s="53"/>
      <c r="C259" s="53"/>
      <c r="D259" s="706"/>
      <c r="E259" s="834">
        <f>'Verification Report'!O259</f>
        <v>0</v>
      </c>
    </row>
    <row r="260" spans="1:9" ht="15.75" hidden="1" customHeight="1" x14ac:dyDescent="0.35">
      <c r="A260" s="53"/>
      <c r="B260" s="53"/>
      <c r="C260" s="53"/>
      <c r="D260" s="706"/>
      <c r="E260" s="834">
        <f>'Verification Report'!O260</f>
        <v>0</v>
      </c>
    </row>
    <row r="261" spans="1:9" ht="15.75" hidden="1" customHeight="1" x14ac:dyDescent="0.35">
      <c r="A261" s="53"/>
      <c r="B261" s="53"/>
      <c r="C261" s="53"/>
      <c r="D261" s="706"/>
      <c r="E261" s="834">
        <f>'Verification Report'!O261</f>
        <v>0</v>
      </c>
    </row>
    <row r="262" spans="1:9" ht="15.75" hidden="1" customHeight="1" x14ac:dyDescent="0.35">
      <c r="A262" s="53"/>
      <c r="B262" s="53"/>
      <c r="C262" s="53"/>
      <c r="D262" s="706"/>
      <c r="E262" s="834">
        <f>'Verification Report'!O262</f>
        <v>0</v>
      </c>
    </row>
    <row r="263" spans="1:9" ht="15.75" hidden="1" customHeight="1" thickBot="1" x14ac:dyDescent="0.4">
      <c r="A263" s="60"/>
      <c r="B263" s="60"/>
      <c r="C263" s="60"/>
      <c r="D263" s="710"/>
      <c r="E263" s="938">
        <f>'Verification Report'!O263</f>
        <v>0</v>
      </c>
    </row>
    <row r="264" spans="1:9" ht="19" hidden="1" thickBot="1" x14ac:dyDescent="0.5">
      <c r="A264" s="14" t="s">
        <v>533</v>
      </c>
      <c r="B264" s="14"/>
      <c r="C264" s="14"/>
      <c r="D264" s="15"/>
      <c r="E264" s="16"/>
    </row>
    <row r="265" spans="1:9" ht="15" hidden="1" customHeight="1" x14ac:dyDescent="0.35">
      <c r="A265" s="41" t="s">
        <v>534</v>
      </c>
      <c r="B265" s="19"/>
      <c r="C265" s="50"/>
      <c r="D265" s="706" t="s">
        <v>535</v>
      </c>
      <c r="E265" s="44"/>
    </row>
    <row r="266" spans="1:9" ht="15" hidden="1" thickBot="1" x14ac:dyDescent="0.4">
      <c r="A266" s="32"/>
      <c r="B266" s="4"/>
      <c r="C266" s="46"/>
      <c r="D266" s="706"/>
      <c r="E266" s="44"/>
    </row>
    <row r="267" spans="1:9" ht="15" hidden="1" thickBot="1" x14ac:dyDescent="0.4">
      <c r="A267" s="32"/>
      <c r="B267" s="4"/>
      <c r="C267" s="46"/>
      <c r="D267" s="706"/>
      <c r="E267" s="44"/>
    </row>
    <row r="268" spans="1:9" ht="15.75" customHeight="1" thickTop="1" x14ac:dyDescent="0.35">
      <c r="A268" s="123">
        <v>601.1</v>
      </c>
      <c r="B268" s="124"/>
      <c r="C268" s="125"/>
      <c r="D268" s="711" t="s">
        <v>536</v>
      </c>
      <c r="E268" s="940">
        <f>'Verification Report'!O268</f>
        <v>0</v>
      </c>
      <c r="G268">
        <v>1</v>
      </c>
      <c r="H268" s="571"/>
      <c r="I268" t="s">
        <v>4651</v>
      </c>
    </row>
    <row r="269" spans="1:9" x14ac:dyDescent="0.35">
      <c r="A269" s="32"/>
      <c r="B269" s="4"/>
      <c r="C269" s="46"/>
      <c r="D269" s="706"/>
      <c r="E269" s="834">
        <f>'Verification Report'!O269</f>
        <v>0</v>
      </c>
      <c r="G269">
        <v>1</v>
      </c>
    </row>
    <row r="270" spans="1:9" x14ac:dyDescent="0.35">
      <c r="A270" s="32"/>
      <c r="B270" s="4"/>
      <c r="C270" s="46"/>
      <c r="D270" s="706"/>
      <c r="E270" s="834">
        <f>'Verification Report'!O270</f>
        <v>0</v>
      </c>
      <c r="G270">
        <v>1</v>
      </c>
    </row>
    <row r="271" spans="1:9" ht="15" thickBot="1" x14ac:dyDescent="0.4">
      <c r="A271" s="32"/>
      <c r="B271" s="4"/>
      <c r="C271" s="46"/>
      <c r="D271" s="706"/>
      <c r="E271" s="834">
        <f>'Verification Report'!O271</f>
        <v>0</v>
      </c>
      <c r="G271">
        <v>1</v>
      </c>
    </row>
    <row r="272" spans="1:9" ht="15.75" hidden="1" customHeight="1" x14ac:dyDescent="0.35">
      <c r="A272" s="32"/>
      <c r="B272" s="148" t="s">
        <v>270</v>
      </c>
      <c r="C272" s="116"/>
      <c r="D272" s="149" t="s">
        <v>537</v>
      </c>
      <c r="E272" s="44"/>
    </row>
    <row r="273" spans="1:5" ht="15.75" hidden="1" customHeight="1" x14ac:dyDescent="0.35">
      <c r="A273" s="32"/>
      <c r="B273" s="150" t="s">
        <v>272</v>
      </c>
      <c r="C273" s="151"/>
      <c r="D273" s="152" t="s">
        <v>538</v>
      </c>
      <c r="E273" s="44"/>
    </row>
    <row r="274" spans="1:5" ht="15.75" hidden="1" customHeight="1" x14ac:dyDescent="0.35">
      <c r="A274" s="32"/>
      <c r="B274" s="150" t="s">
        <v>274</v>
      </c>
      <c r="C274" s="151"/>
      <c r="D274" s="152" t="s">
        <v>539</v>
      </c>
      <c r="E274" s="44"/>
    </row>
    <row r="275" spans="1:5" ht="15.75" hidden="1" customHeight="1" x14ac:dyDescent="0.35">
      <c r="A275" s="32"/>
      <c r="B275" s="150" t="s">
        <v>283</v>
      </c>
      <c r="C275" s="151"/>
      <c r="D275" s="152" t="s">
        <v>540</v>
      </c>
      <c r="E275" s="44"/>
    </row>
    <row r="276" spans="1:5" ht="15.75" hidden="1" customHeight="1" x14ac:dyDescent="0.35">
      <c r="A276" s="32"/>
      <c r="B276" s="150" t="s">
        <v>289</v>
      </c>
      <c r="C276" s="151"/>
      <c r="D276" s="152" t="s">
        <v>541</v>
      </c>
      <c r="E276" s="44"/>
    </row>
    <row r="277" spans="1:5" ht="15.75" hidden="1" customHeight="1" x14ac:dyDescent="0.35">
      <c r="A277" s="32"/>
      <c r="B277" s="19" t="s">
        <v>291</v>
      </c>
      <c r="C277" s="46"/>
      <c r="D277" s="126" t="s">
        <v>542</v>
      </c>
      <c r="E277" s="44"/>
    </row>
    <row r="278" spans="1:5" ht="15" hidden="1" customHeight="1" x14ac:dyDescent="0.35">
      <c r="A278" s="32"/>
      <c r="B278" s="4"/>
      <c r="C278" s="46"/>
      <c r="D278" s="706" t="s">
        <v>543</v>
      </c>
      <c r="E278" s="44"/>
    </row>
    <row r="279" spans="1:5" ht="15.75" hidden="1" customHeight="1" x14ac:dyDescent="0.35">
      <c r="A279" s="32"/>
      <c r="B279" s="4"/>
      <c r="C279" s="46"/>
      <c r="D279" s="706"/>
      <c r="E279" s="44"/>
    </row>
    <row r="280" spans="1:5" ht="15" hidden="1" customHeight="1" x14ac:dyDescent="0.35">
      <c r="A280" s="32"/>
      <c r="B280" s="4"/>
      <c r="D280" s="714" t="s">
        <v>4096</v>
      </c>
      <c r="E280" s="44"/>
    </row>
    <row r="281" spans="1:5" ht="15.75" hidden="1" customHeight="1" thickBot="1" x14ac:dyDescent="0.4">
      <c r="A281" s="32"/>
      <c r="B281" s="4"/>
      <c r="C281" s="147"/>
      <c r="D281" s="714"/>
      <c r="E281" s="44"/>
    </row>
    <row r="282" spans="1:5" ht="15.75" hidden="1" customHeight="1" thickTop="1" x14ac:dyDescent="0.35">
      <c r="A282" s="123">
        <v>601.20000000000005</v>
      </c>
      <c r="B282" s="124"/>
      <c r="C282" s="125"/>
      <c r="D282" s="711" t="s">
        <v>544</v>
      </c>
      <c r="E282" s="195"/>
    </row>
    <row r="283" spans="1:5" ht="15" hidden="1" thickBot="1" x14ac:dyDescent="0.4">
      <c r="A283" s="32"/>
      <c r="B283" s="4"/>
      <c r="C283" s="46"/>
      <c r="D283" s="706"/>
      <c r="E283" s="44"/>
    </row>
    <row r="284" spans="1:5" ht="15" hidden="1" customHeight="1" x14ac:dyDescent="0.35">
      <c r="A284" s="32"/>
      <c r="B284" s="19" t="s">
        <v>270</v>
      </c>
      <c r="C284" s="46"/>
      <c r="D284" s="707" t="s">
        <v>546</v>
      </c>
      <c r="E284" s="834">
        <f>'Verification Report'!O284</f>
        <v>0</v>
      </c>
    </row>
    <row r="285" spans="1:5" ht="15.75" hidden="1" customHeight="1" x14ac:dyDescent="0.35">
      <c r="A285" s="32"/>
      <c r="B285" s="4"/>
      <c r="C285" s="46"/>
      <c r="D285" s="707"/>
      <c r="E285" s="834">
        <f>'Verification Report'!O285</f>
        <v>0</v>
      </c>
    </row>
    <row r="286" spans="1:5" ht="15.75" hidden="1" customHeight="1" x14ac:dyDescent="0.35">
      <c r="A286" s="32"/>
      <c r="B286" s="155"/>
      <c r="C286" s="116"/>
      <c r="D286" s="709"/>
      <c r="E286" s="886">
        <f>'Verification Report'!O286</f>
        <v>0</v>
      </c>
    </row>
    <row r="287" spans="1:5" ht="15" hidden="1" customHeight="1" x14ac:dyDescent="0.35">
      <c r="A287" s="32"/>
      <c r="B287" s="19" t="s">
        <v>272</v>
      </c>
      <c r="C287" s="46"/>
      <c r="D287" s="707" t="s">
        <v>547</v>
      </c>
      <c r="E287" s="834">
        <f>'Verification Report'!O287</f>
        <v>0</v>
      </c>
    </row>
    <row r="288" spans="1:5" ht="15.75" hidden="1" customHeight="1" x14ac:dyDescent="0.35">
      <c r="A288" s="32"/>
      <c r="B288" s="4"/>
      <c r="C288" s="46"/>
      <c r="D288" s="707"/>
      <c r="E288" s="834">
        <f>'Verification Report'!O288</f>
        <v>0</v>
      </c>
    </row>
    <row r="289" spans="1:5" ht="15.75" hidden="1" customHeight="1" x14ac:dyDescent="0.35">
      <c r="A289" s="32"/>
      <c r="B289" s="155"/>
      <c r="C289" s="116"/>
      <c r="D289" s="709"/>
      <c r="E289" s="886">
        <f>'Verification Report'!O289</f>
        <v>0</v>
      </c>
    </row>
    <row r="290" spans="1:5" ht="15" hidden="1" thickBot="1" x14ac:dyDescent="0.4">
      <c r="A290" s="32"/>
      <c r="B290" s="19" t="s">
        <v>274</v>
      </c>
      <c r="C290" s="46"/>
      <c r="D290" s="46" t="s">
        <v>548</v>
      </c>
      <c r="E290" s="44">
        <f>'Verification Report'!O290</f>
        <v>0</v>
      </c>
    </row>
    <row r="291" spans="1:5" ht="15.75" hidden="1" customHeight="1" thickTop="1" x14ac:dyDescent="0.35">
      <c r="A291" s="123">
        <v>601.29999999999995</v>
      </c>
      <c r="B291" s="124"/>
      <c r="C291" s="125"/>
      <c r="D291" s="711" t="s">
        <v>549</v>
      </c>
      <c r="E291" s="195"/>
    </row>
    <row r="292" spans="1:5" ht="15" hidden="1" thickBot="1" x14ac:dyDescent="0.4">
      <c r="A292" s="32"/>
      <c r="B292" s="4"/>
      <c r="C292" s="46"/>
      <c r="D292" s="706"/>
      <c r="E292" s="44"/>
    </row>
    <row r="293" spans="1:5" ht="15" hidden="1" thickBot="1" x14ac:dyDescent="0.4">
      <c r="A293" s="32"/>
      <c r="B293" s="4"/>
      <c r="C293" s="46"/>
      <c r="D293" s="706"/>
      <c r="E293" s="44"/>
    </row>
    <row r="294" spans="1:5" ht="15" hidden="1" thickBot="1" x14ac:dyDescent="0.4">
      <c r="A294" s="32"/>
      <c r="B294" s="148" t="s">
        <v>270</v>
      </c>
      <c r="C294" s="116"/>
      <c r="D294" s="116" t="s">
        <v>550</v>
      </c>
      <c r="E294" s="191">
        <f>'Verification Report'!O294</f>
        <v>0</v>
      </c>
    </row>
    <row r="295" spans="1:5" ht="15" hidden="1" thickBot="1" x14ac:dyDescent="0.4">
      <c r="A295" s="32"/>
      <c r="B295" s="150" t="s">
        <v>272</v>
      </c>
      <c r="C295" s="151"/>
      <c r="D295" s="151" t="s">
        <v>551</v>
      </c>
      <c r="E295" s="157">
        <f>'Verification Report'!O295</f>
        <v>0</v>
      </c>
    </row>
    <row r="296" spans="1:5" ht="15" hidden="1" thickBot="1" x14ac:dyDescent="0.4">
      <c r="A296" s="32"/>
      <c r="B296" s="150" t="s">
        <v>274</v>
      </c>
      <c r="C296" s="151"/>
      <c r="D296" s="151" t="s">
        <v>552</v>
      </c>
      <c r="E296" s="157">
        <f>'Verification Report'!O296</f>
        <v>0</v>
      </c>
    </row>
    <row r="297" spans="1:5" ht="15" hidden="1" thickBot="1" x14ac:dyDescent="0.4">
      <c r="A297" s="32"/>
      <c r="B297" s="150" t="s">
        <v>283</v>
      </c>
      <c r="C297" s="151"/>
      <c r="D297" s="151" t="s">
        <v>553</v>
      </c>
      <c r="E297" s="157">
        <f>'Verification Report'!O297</f>
        <v>0</v>
      </c>
    </row>
    <row r="298" spans="1:5" ht="15" hidden="1" thickBot="1" x14ac:dyDescent="0.4">
      <c r="A298" s="32"/>
      <c r="B298" s="19" t="s">
        <v>289</v>
      </c>
      <c r="C298" s="46"/>
      <c r="D298" s="46" t="s">
        <v>554</v>
      </c>
      <c r="E298" s="44">
        <f>'Verification Report'!O298</f>
        <v>0</v>
      </c>
    </row>
    <row r="299" spans="1:5" ht="15.75" hidden="1" customHeight="1" thickTop="1" x14ac:dyDescent="0.35">
      <c r="A299" s="123">
        <v>601.4</v>
      </c>
      <c r="B299" s="124"/>
      <c r="C299" s="125"/>
      <c r="D299" s="711" t="s">
        <v>555</v>
      </c>
      <c r="E299" s="940">
        <f>'Verification Report'!O299</f>
        <v>0</v>
      </c>
    </row>
    <row r="300" spans="1:5" ht="15.75" hidden="1" customHeight="1" x14ac:dyDescent="0.35">
      <c r="A300" s="32"/>
      <c r="B300" s="4"/>
      <c r="C300" s="46"/>
      <c r="D300" s="706"/>
      <c r="E300" s="834">
        <f>'Verification Report'!O300</f>
        <v>0</v>
      </c>
    </row>
    <row r="301" spans="1:5" ht="15.75" hidden="1" customHeight="1" thickBot="1" x14ac:dyDescent="0.4">
      <c r="A301" s="32"/>
      <c r="B301" s="4"/>
      <c r="C301" s="46"/>
      <c r="D301" s="706"/>
      <c r="E301" s="834">
        <f>'Verification Report'!O301</f>
        <v>0</v>
      </c>
    </row>
    <row r="302" spans="1:5" ht="15.75" hidden="1" customHeight="1" thickTop="1" x14ac:dyDescent="0.35">
      <c r="A302" s="63">
        <v>601.5</v>
      </c>
      <c r="B302" s="124"/>
      <c r="C302" s="125"/>
      <c r="D302" s="711" t="s">
        <v>556</v>
      </c>
      <c r="E302" s="195"/>
    </row>
    <row r="303" spans="1:5" ht="15" hidden="1" thickBot="1" x14ac:dyDescent="0.4">
      <c r="A303" s="32"/>
      <c r="B303" s="4"/>
      <c r="C303" s="46"/>
      <c r="D303" s="706"/>
      <c r="E303" s="44"/>
    </row>
    <row r="304" spans="1:5" ht="15" hidden="1" thickBot="1" x14ac:dyDescent="0.4">
      <c r="A304" s="32"/>
      <c r="B304" s="4"/>
      <c r="C304" s="46"/>
      <c r="D304" s="706"/>
      <c r="E304" s="44"/>
    </row>
    <row r="305" spans="1:9" ht="15" hidden="1" thickBot="1" x14ac:dyDescent="0.4">
      <c r="A305" s="32"/>
      <c r="B305" s="148" t="s">
        <v>270</v>
      </c>
      <c r="C305" s="116"/>
      <c r="D305" s="116" t="s">
        <v>558</v>
      </c>
      <c r="E305" s="191">
        <f>'Verification Report'!O305</f>
        <v>4</v>
      </c>
    </row>
    <row r="306" spans="1:9" ht="15" hidden="1" thickBot="1" x14ac:dyDescent="0.4">
      <c r="A306" s="32"/>
      <c r="B306" s="150" t="s">
        <v>272</v>
      </c>
      <c r="C306" s="151"/>
      <c r="D306" s="151" t="s">
        <v>559</v>
      </c>
      <c r="E306" s="157">
        <f>'Verification Report'!O306</f>
        <v>0</v>
      </c>
    </row>
    <row r="307" spans="1:9" ht="15" hidden="1" thickBot="1" x14ac:dyDescent="0.4">
      <c r="A307" s="32"/>
      <c r="B307" s="150" t="s">
        <v>274</v>
      </c>
      <c r="C307" s="151"/>
      <c r="D307" s="151" t="s">
        <v>560</v>
      </c>
      <c r="E307" s="157">
        <f>'Verification Report'!O307</f>
        <v>0</v>
      </c>
    </row>
    <row r="308" spans="1:9" ht="15" hidden="1" thickBot="1" x14ac:dyDescent="0.4">
      <c r="A308" s="32"/>
      <c r="B308" s="150" t="s">
        <v>283</v>
      </c>
      <c r="C308" s="151"/>
      <c r="D308" s="151" t="s">
        <v>561</v>
      </c>
      <c r="E308" s="157">
        <f>'Verification Report'!O308</f>
        <v>0</v>
      </c>
    </row>
    <row r="309" spans="1:9" ht="15" hidden="1" thickBot="1" x14ac:dyDescent="0.4">
      <c r="A309" s="32"/>
      <c r="B309" s="19" t="s">
        <v>289</v>
      </c>
      <c r="C309" s="46"/>
      <c r="D309" s="46" t="s">
        <v>562</v>
      </c>
      <c r="E309" s="44">
        <f>'Verification Report'!O309</f>
        <v>0</v>
      </c>
    </row>
    <row r="310" spans="1:9" ht="15.75" customHeight="1" thickTop="1" x14ac:dyDescent="0.35">
      <c r="A310" s="123">
        <v>601.6</v>
      </c>
      <c r="B310" s="124"/>
      <c r="C310" s="125"/>
      <c r="D310" s="711" t="s">
        <v>563</v>
      </c>
      <c r="E310" s="940">
        <f ca="1">'Verification Report'!O310</f>
        <v>4</v>
      </c>
      <c r="G310">
        <v>1</v>
      </c>
      <c r="H310" s="571"/>
      <c r="I310" t="s">
        <v>4652</v>
      </c>
    </row>
    <row r="311" spans="1:9" x14ac:dyDescent="0.35">
      <c r="A311" s="32"/>
      <c r="B311" s="4"/>
      <c r="C311" s="46"/>
      <c r="D311" s="706"/>
      <c r="E311" s="834">
        <f>'Verification Report'!O311</f>
        <v>0</v>
      </c>
      <c r="G311">
        <v>1</v>
      </c>
    </row>
    <row r="312" spans="1:9" ht="15" thickBot="1" x14ac:dyDescent="0.4">
      <c r="A312" s="32"/>
      <c r="B312" s="4"/>
      <c r="C312" s="46"/>
      <c r="D312" s="706"/>
      <c r="E312" s="834">
        <f>'Verification Report'!O312</f>
        <v>0</v>
      </c>
      <c r="G312">
        <v>1</v>
      </c>
    </row>
    <row r="313" spans="1:9" ht="15.75" hidden="1" customHeight="1" x14ac:dyDescent="0.35">
      <c r="A313" s="32"/>
      <c r="B313" s="148" t="s">
        <v>270</v>
      </c>
      <c r="C313" s="116"/>
      <c r="D313" s="116" t="s">
        <v>565</v>
      </c>
      <c r="E313" s="44"/>
    </row>
    <row r="314" spans="1:9" ht="15.75" hidden="1" customHeight="1" thickBot="1" x14ac:dyDescent="0.4">
      <c r="A314" s="32"/>
      <c r="B314" s="19" t="s">
        <v>272</v>
      </c>
      <c r="C314" s="46"/>
      <c r="D314" s="46" t="s">
        <v>566</v>
      </c>
      <c r="E314" s="44"/>
    </row>
    <row r="315" spans="1:9" ht="15.75" customHeight="1" thickTop="1" x14ac:dyDescent="0.35">
      <c r="A315" s="123">
        <v>601.70000000000005</v>
      </c>
      <c r="B315" s="124"/>
      <c r="C315" s="125"/>
      <c r="D315" s="711" t="s">
        <v>567</v>
      </c>
      <c r="E315" s="940">
        <f ca="1">'Verification Report'!O315</f>
        <v>5</v>
      </c>
      <c r="G315">
        <v>1</v>
      </c>
    </row>
    <row r="316" spans="1:9" x14ac:dyDescent="0.35">
      <c r="A316" s="32"/>
      <c r="B316" s="4"/>
      <c r="C316" s="46"/>
      <c r="D316" s="706"/>
      <c r="E316" s="834">
        <f>'Verification Report'!O316</f>
        <v>0</v>
      </c>
      <c r="G316">
        <v>1</v>
      </c>
    </row>
    <row r="317" spans="1:9" ht="15" hidden="1" customHeight="1" x14ac:dyDescent="0.35">
      <c r="A317" s="32"/>
      <c r="B317" s="4"/>
      <c r="C317" s="46"/>
      <c r="D317" s="100" t="s">
        <v>578</v>
      </c>
      <c r="E317" s="44"/>
    </row>
    <row r="318" spans="1:9" hidden="1" x14ac:dyDescent="0.35">
      <c r="A318" s="32"/>
      <c r="B318" s="4"/>
      <c r="C318" s="115" t="s">
        <v>121</v>
      </c>
      <c r="D318" s="116" t="s">
        <v>569</v>
      </c>
      <c r="E318" s="44"/>
    </row>
    <row r="319" spans="1:9" x14ac:dyDescent="0.35">
      <c r="A319" s="32"/>
      <c r="B319" s="4"/>
      <c r="C319" s="158" t="s">
        <v>122</v>
      </c>
      <c r="D319" s="151" t="s">
        <v>570</v>
      </c>
      <c r="E319" s="44"/>
      <c r="F319" s="569" t="str">
        <f>IF('Verification Report'!W319="","",'Verification Report'!W319)</f>
        <v/>
      </c>
      <c r="G319">
        <v>1</v>
      </c>
      <c r="H319" s="571"/>
      <c r="I319" t="s">
        <v>4653</v>
      </c>
    </row>
    <row r="320" spans="1:9" ht="15" customHeight="1" x14ac:dyDescent="0.35">
      <c r="A320" s="32"/>
      <c r="B320" s="4"/>
      <c r="C320" s="159" t="s">
        <v>123</v>
      </c>
      <c r="D320" s="746" t="s">
        <v>571</v>
      </c>
      <c r="E320" s="44"/>
      <c r="F320" s="569" t="str">
        <f>IF('Verification Report'!W320="","",'Verification Report'!W320)</f>
        <v>90% or more</v>
      </c>
      <c r="G320">
        <v>1</v>
      </c>
      <c r="H320" s="571"/>
      <c r="I320" t="s">
        <v>4654</v>
      </c>
    </row>
    <row r="321" spans="1:8" x14ac:dyDescent="0.35">
      <c r="A321" s="32"/>
      <c r="B321" s="4"/>
      <c r="C321" s="46"/>
      <c r="D321" s="747"/>
      <c r="E321" s="44"/>
      <c r="G321">
        <v>1</v>
      </c>
    </row>
    <row r="322" spans="1:8" x14ac:dyDescent="0.35">
      <c r="A322" s="32"/>
      <c r="B322" s="4"/>
      <c r="C322" s="46"/>
      <c r="D322" s="130" t="s">
        <v>572</v>
      </c>
      <c r="E322" s="44"/>
      <c r="G322">
        <v>1</v>
      </c>
    </row>
    <row r="323" spans="1:8" x14ac:dyDescent="0.35">
      <c r="A323" s="32"/>
      <c r="B323" s="4"/>
      <c r="C323" s="116"/>
      <c r="D323" s="193" t="s">
        <v>573</v>
      </c>
      <c r="E323" s="44"/>
      <c r="G323">
        <v>1</v>
      </c>
    </row>
    <row r="324" spans="1:8" ht="15" hidden="1" customHeight="1" x14ac:dyDescent="0.35">
      <c r="A324" s="32"/>
      <c r="B324" s="4"/>
      <c r="C324" s="160" t="s">
        <v>420</v>
      </c>
      <c r="D324" s="742" t="s">
        <v>574</v>
      </c>
      <c r="E324" s="44"/>
    </row>
    <row r="325" spans="1:8" hidden="1" x14ac:dyDescent="0.35">
      <c r="A325" s="32"/>
      <c r="B325" s="4"/>
      <c r="C325" s="116"/>
      <c r="D325" s="709"/>
      <c r="E325" s="44"/>
    </row>
    <row r="326" spans="1:8" ht="15" customHeight="1" x14ac:dyDescent="0.35">
      <c r="A326" s="32"/>
      <c r="B326" s="4"/>
      <c r="C326" s="160" t="s">
        <v>575</v>
      </c>
      <c r="D326" s="742" t="s">
        <v>576</v>
      </c>
      <c r="E326" s="44"/>
      <c r="F326" s="569" t="str">
        <f>IF('Verification Report'!W326="","",'Verification Report'!W326)</f>
        <v/>
      </c>
      <c r="G326">
        <v>1</v>
      </c>
      <c r="H326" s="571"/>
    </row>
    <row r="327" spans="1:8" ht="15" thickBot="1" x14ac:dyDescent="0.4">
      <c r="A327" s="32"/>
      <c r="B327" s="4"/>
      <c r="C327" s="116"/>
      <c r="D327" s="709"/>
      <c r="E327" s="44"/>
      <c r="G327">
        <v>1</v>
      </c>
    </row>
    <row r="328" spans="1:8" ht="15.75" hidden="1" customHeight="1" x14ac:dyDescent="0.35">
      <c r="A328" s="32"/>
      <c r="B328" s="148" t="s">
        <v>270</v>
      </c>
      <c r="C328" s="46"/>
      <c r="D328" s="116" t="s">
        <v>577</v>
      </c>
      <c r="E328" s="44"/>
    </row>
    <row r="329" spans="1:8" ht="15" hidden="1" customHeight="1" x14ac:dyDescent="0.35">
      <c r="A329" s="32"/>
      <c r="B329" s="19" t="s">
        <v>272</v>
      </c>
      <c r="C329" s="138"/>
      <c r="D329" s="757" t="s">
        <v>579</v>
      </c>
      <c r="E329" s="44"/>
    </row>
    <row r="330" spans="1:8" ht="15.75" hidden="1" customHeight="1" x14ac:dyDescent="0.35">
      <c r="A330" s="32"/>
      <c r="B330" s="119"/>
      <c r="C330" s="116"/>
      <c r="D330" s="724"/>
      <c r="E330" s="44"/>
    </row>
    <row r="331" spans="1:8" ht="15" hidden="1" customHeight="1" x14ac:dyDescent="0.35">
      <c r="A331" s="32"/>
      <c r="B331" s="19" t="s">
        <v>274</v>
      </c>
      <c r="C331" s="46"/>
      <c r="D331" s="723" t="s">
        <v>580</v>
      </c>
      <c r="E331" s="44"/>
    </row>
    <row r="332" spans="1:8" ht="15.75" hidden="1" customHeight="1" thickBot="1" x14ac:dyDescent="0.4">
      <c r="A332" s="32"/>
      <c r="B332" s="19"/>
      <c r="C332" s="46"/>
      <c r="D332" s="762"/>
      <c r="E332" s="44"/>
    </row>
    <row r="333" spans="1:8" ht="15.75" hidden="1" customHeight="1" thickTop="1" x14ac:dyDescent="0.35">
      <c r="A333" s="123">
        <v>601.79999999999995</v>
      </c>
      <c r="B333" s="124"/>
      <c r="C333" s="125"/>
      <c r="D333" s="711" t="s">
        <v>581</v>
      </c>
      <c r="E333" s="940">
        <f>'Verification Report'!O333</f>
        <v>0</v>
      </c>
    </row>
    <row r="334" spans="1:8" ht="15.75" hidden="1" customHeight="1" x14ac:dyDescent="0.35">
      <c r="A334" s="32"/>
      <c r="B334" s="4"/>
      <c r="C334" s="46"/>
      <c r="D334" s="706"/>
      <c r="E334" s="834">
        <f>'Verification Report'!O334</f>
        <v>0</v>
      </c>
    </row>
    <row r="335" spans="1:8" ht="15.75" hidden="1" customHeight="1" x14ac:dyDescent="0.35">
      <c r="A335" s="32"/>
      <c r="B335" s="4"/>
      <c r="C335" s="46"/>
      <c r="D335" s="706"/>
      <c r="E335" s="834">
        <f>'Verification Report'!O335</f>
        <v>0</v>
      </c>
    </row>
    <row r="336" spans="1:8" ht="15.75" hidden="1" customHeight="1" x14ac:dyDescent="0.35">
      <c r="A336" s="32"/>
      <c r="B336" s="4"/>
      <c r="C336" s="46"/>
      <c r="D336" s="706"/>
      <c r="E336" s="834">
        <f>'Verification Report'!O336</f>
        <v>0</v>
      </c>
    </row>
    <row r="337" spans="1:5" ht="15.75" hidden="1" customHeight="1" x14ac:dyDescent="0.35">
      <c r="A337" s="32"/>
      <c r="B337" s="4"/>
      <c r="C337" s="46"/>
      <c r="D337" s="706"/>
      <c r="E337" s="834">
        <f>'Verification Report'!O337</f>
        <v>0</v>
      </c>
    </row>
    <row r="338" spans="1:5" ht="15" hidden="1" customHeight="1" x14ac:dyDescent="0.35">
      <c r="A338" s="32"/>
      <c r="B338" s="4"/>
      <c r="C338" s="46"/>
      <c r="D338" s="714" t="s">
        <v>1299</v>
      </c>
      <c r="E338" s="834">
        <f>'Verification Report'!O338</f>
        <v>0</v>
      </c>
    </row>
    <row r="339" spans="1:5" ht="15.75" hidden="1" customHeight="1" x14ac:dyDescent="0.35">
      <c r="A339" s="32"/>
      <c r="B339" s="4"/>
      <c r="C339" s="46"/>
      <c r="D339" s="714"/>
      <c r="E339" s="834">
        <f>'Verification Report'!O339</f>
        <v>0</v>
      </c>
    </row>
    <row r="340" spans="1:5" ht="15.75" hidden="1" customHeight="1" thickBot="1" x14ac:dyDescent="0.4">
      <c r="A340" s="32"/>
      <c r="B340" s="4"/>
      <c r="C340" s="46"/>
      <c r="D340" s="744"/>
      <c r="E340" s="834">
        <f>'Verification Report'!O340</f>
        <v>0</v>
      </c>
    </row>
    <row r="341" spans="1:5" ht="15.75" hidden="1" customHeight="1" thickTop="1" x14ac:dyDescent="0.35">
      <c r="A341" s="123">
        <v>601.9</v>
      </c>
      <c r="B341" s="124"/>
      <c r="C341" s="125"/>
      <c r="D341" s="711" t="s">
        <v>582</v>
      </c>
      <c r="E341" s="940">
        <f>'Verification Report'!O341</f>
        <v>0</v>
      </c>
    </row>
    <row r="342" spans="1:5" ht="15.75" hidden="1" customHeight="1" x14ac:dyDescent="0.35">
      <c r="A342" s="32"/>
      <c r="B342" s="4"/>
      <c r="C342" s="46"/>
      <c r="D342" s="706"/>
      <c r="E342" s="834">
        <f>'Verification Report'!O342</f>
        <v>0</v>
      </c>
    </row>
    <row r="343" spans="1:5" ht="15.75" hidden="1" customHeight="1" x14ac:dyDescent="0.35">
      <c r="A343" s="32"/>
      <c r="B343" s="4"/>
      <c r="C343" s="46"/>
      <c r="D343" s="706"/>
      <c r="E343" s="834">
        <f>'Verification Report'!O343</f>
        <v>0</v>
      </c>
    </row>
    <row r="344" spans="1:5" ht="15" hidden="1" customHeight="1" x14ac:dyDescent="0.35">
      <c r="A344" s="32"/>
      <c r="B344" s="4"/>
      <c r="C344" s="46"/>
      <c r="D344" s="714" t="s">
        <v>1299</v>
      </c>
      <c r="E344" s="834">
        <f>'Verification Report'!O344</f>
        <v>0</v>
      </c>
    </row>
    <row r="345" spans="1:5" ht="15.75" hidden="1" customHeight="1" x14ac:dyDescent="0.35">
      <c r="A345" s="32"/>
      <c r="B345" s="4"/>
      <c r="C345" s="46"/>
      <c r="D345" s="714"/>
      <c r="E345" s="834">
        <f>'Verification Report'!O345</f>
        <v>0</v>
      </c>
    </row>
    <row r="346" spans="1:5" ht="15.75" hidden="1" customHeight="1" x14ac:dyDescent="0.35">
      <c r="A346" s="32"/>
      <c r="B346" s="4"/>
      <c r="C346" s="46"/>
      <c r="D346" s="714"/>
      <c r="E346" s="834">
        <f>'Verification Report'!O346</f>
        <v>0</v>
      </c>
    </row>
    <row r="347" spans="1:5" ht="19" hidden="1" thickBot="1" x14ac:dyDescent="0.4">
      <c r="A347" s="38" t="s">
        <v>583</v>
      </c>
      <c r="B347" s="38"/>
      <c r="C347" s="38"/>
      <c r="D347" s="42"/>
      <c r="E347" s="37"/>
    </row>
    <row r="348" spans="1:5" ht="15" hidden="1" customHeight="1" x14ac:dyDescent="0.35">
      <c r="A348" s="41" t="s">
        <v>3343</v>
      </c>
      <c r="B348" s="4"/>
      <c r="C348" s="46"/>
      <c r="D348" s="706" t="s">
        <v>584</v>
      </c>
      <c r="E348" s="44"/>
    </row>
    <row r="349" spans="1:5" ht="15" hidden="1" thickBot="1" x14ac:dyDescent="0.4">
      <c r="A349" s="32"/>
      <c r="B349" s="4"/>
      <c r="C349" s="46"/>
      <c r="D349" s="706"/>
      <c r="E349" s="44"/>
    </row>
    <row r="350" spans="1:5" ht="15.5" hidden="1" thickTop="1" thickBot="1" x14ac:dyDescent="0.4">
      <c r="A350" s="123">
        <v>602.1</v>
      </c>
      <c r="B350" s="124"/>
      <c r="C350" s="125"/>
      <c r="D350" s="81" t="s">
        <v>585</v>
      </c>
      <c r="E350" s="195"/>
    </row>
    <row r="351" spans="1:5" ht="15.5" hidden="1" thickTop="1" thickBot="1" x14ac:dyDescent="0.4">
      <c r="A351" s="123" t="s">
        <v>586</v>
      </c>
      <c r="B351" s="124"/>
      <c r="C351" s="125"/>
      <c r="D351" s="81" t="s">
        <v>587</v>
      </c>
      <c r="E351" s="195"/>
    </row>
    <row r="352" spans="1:5" ht="15" hidden="1" customHeight="1" x14ac:dyDescent="0.35">
      <c r="A352" s="32" t="s">
        <v>588</v>
      </c>
      <c r="B352" s="4"/>
      <c r="C352" s="46"/>
      <c r="D352" s="706" t="s">
        <v>589</v>
      </c>
      <c r="E352" s="44"/>
    </row>
    <row r="353" spans="1:5" ht="15.75" hidden="1" customHeight="1" x14ac:dyDescent="0.35">
      <c r="A353" s="32"/>
      <c r="B353" s="4"/>
      <c r="C353" s="46"/>
      <c r="D353" s="706"/>
      <c r="E353" s="44"/>
    </row>
    <row r="354" spans="1:5" ht="15.75" hidden="1" customHeight="1" x14ac:dyDescent="0.35">
      <c r="A354" s="161"/>
      <c r="B354" s="155"/>
      <c r="C354" s="116"/>
      <c r="D354" s="739"/>
      <c r="E354" s="44"/>
    </row>
    <row r="355" spans="1:5" ht="15" hidden="1" customHeight="1" x14ac:dyDescent="0.35">
      <c r="A355" s="32" t="s">
        <v>590</v>
      </c>
      <c r="B355" s="4"/>
      <c r="C355" s="46"/>
      <c r="D355" s="706" t="s">
        <v>591</v>
      </c>
      <c r="E355" s="834">
        <f>'Verification Report'!O355</f>
        <v>0</v>
      </c>
    </row>
    <row r="356" spans="1:5" ht="15.75" hidden="1" customHeight="1" thickBot="1" x14ac:dyDescent="0.4">
      <c r="A356" s="32"/>
      <c r="B356" s="4"/>
      <c r="C356" s="46"/>
      <c r="D356" s="706"/>
      <c r="E356" s="834">
        <f>'Verification Report'!O356</f>
        <v>0</v>
      </c>
    </row>
    <row r="357" spans="1:5" ht="15.75" hidden="1" customHeight="1" thickTop="1" x14ac:dyDescent="0.35">
      <c r="A357" s="123" t="s">
        <v>3344</v>
      </c>
      <c r="B357" s="124"/>
      <c r="C357" s="125"/>
      <c r="D357" s="711" t="s">
        <v>593</v>
      </c>
      <c r="E357" s="940">
        <f>'Verification Report'!O357</f>
        <v>0</v>
      </c>
    </row>
    <row r="358" spans="1:5" ht="15.75" hidden="1" customHeight="1" x14ac:dyDescent="0.35">
      <c r="A358" s="32"/>
      <c r="B358" s="4"/>
      <c r="C358" s="46"/>
      <c r="D358" s="706"/>
      <c r="E358" s="834">
        <f>'Verification Report'!O358</f>
        <v>0</v>
      </c>
    </row>
    <row r="359" spans="1:5" ht="15.75" hidden="1" customHeight="1" x14ac:dyDescent="0.35">
      <c r="A359" s="32"/>
      <c r="B359" s="148" t="s">
        <v>270</v>
      </c>
      <c r="C359" s="116"/>
      <c r="D359" s="116" t="s">
        <v>594</v>
      </c>
      <c r="E359" s="834">
        <f>'Verification Report'!O359</f>
        <v>0</v>
      </c>
    </row>
    <row r="360" spans="1:5" ht="15.75" hidden="1" customHeight="1" thickBot="1" x14ac:dyDescent="0.4">
      <c r="A360" s="132"/>
      <c r="B360" s="133" t="s">
        <v>272</v>
      </c>
      <c r="C360" s="56"/>
      <c r="D360" s="56" t="s">
        <v>595</v>
      </c>
      <c r="E360" s="938">
        <f>'Verification Report'!O360</f>
        <v>0</v>
      </c>
    </row>
    <row r="361" spans="1:5" ht="15.5" hidden="1" thickTop="1" thickBot="1" x14ac:dyDescent="0.4">
      <c r="A361" s="123" t="s">
        <v>596</v>
      </c>
      <c r="B361" s="124"/>
      <c r="C361" s="125"/>
      <c r="D361" s="81" t="s">
        <v>597</v>
      </c>
      <c r="E361" s="195"/>
    </row>
    <row r="362" spans="1:5" ht="15" hidden="1" customHeight="1" x14ac:dyDescent="0.35">
      <c r="A362" s="32" t="s">
        <v>598</v>
      </c>
      <c r="B362" s="4"/>
      <c r="C362" s="46"/>
      <c r="D362" s="706" t="s">
        <v>599</v>
      </c>
      <c r="E362" s="44"/>
    </row>
    <row r="363" spans="1:5" ht="15.75" hidden="1" customHeight="1" x14ac:dyDescent="0.35">
      <c r="A363" s="161"/>
      <c r="B363" s="155"/>
      <c r="C363" s="116"/>
      <c r="D363" s="739"/>
      <c r="E363" s="44"/>
    </row>
    <row r="364" spans="1:5" ht="15" hidden="1" customHeight="1" x14ac:dyDescent="0.35">
      <c r="A364" s="32" t="s">
        <v>600</v>
      </c>
      <c r="B364" s="4"/>
      <c r="C364" s="46"/>
      <c r="D364" s="706" t="s">
        <v>601</v>
      </c>
      <c r="E364" s="834">
        <f>'Verification Report'!O364</f>
        <v>4</v>
      </c>
    </row>
    <row r="365" spans="1:5" ht="15.75" hidden="1" customHeight="1" thickBot="1" x14ac:dyDescent="0.4">
      <c r="A365" s="32"/>
      <c r="B365" s="4"/>
      <c r="C365" s="46"/>
      <c r="D365" s="706"/>
      <c r="E365" s="834">
        <f>'Verification Report'!O365</f>
        <v>0</v>
      </c>
    </row>
    <row r="366" spans="1:5" ht="15.5" hidden="1" thickTop="1" thickBot="1" x14ac:dyDescent="0.4">
      <c r="A366" s="123" t="s">
        <v>602</v>
      </c>
      <c r="B366" s="124"/>
      <c r="C366" s="125"/>
      <c r="D366" s="81" t="s">
        <v>603</v>
      </c>
      <c r="E366" s="195"/>
    </row>
    <row r="367" spans="1:5" ht="15" hidden="1" customHeight="1" x14ac:dyDescent="0.35">
      <c r="A367" s="32" t="s">
        <v>604</v>
      </c>
      <c r="B367" s="4"/>
      <c r="C367" s="46"/>
      <c r="D367" s="706" t="s">
        <v>605</v>
      </c>
      <c r="E367" s="44"/>
    </row>
    <row r="368" spans="1:5" ht="15" hidden="1" thickBot="1" x14ac:dyDescent="0.4">
      <c r="A368" s="32"/>
      <c r="B368" s="4"/>
      <c r="C368" s="46"/>
      <c r="D368" s="706"/>
      <c r="E368" s="44"/>
    </row>
    <row r="369" spans="1:5" ht="15" hidden="1" thickBot="1" x14ac:dyDescent="0.4">
      <c r="A369" s="32"/>
      <c r="B369" s="4"/>
      <c r="C369" s="46"/>
      <c r="D369" s="706"/>
      <c r="E369" s="44"/>
    </row>
    <row r="370" spans="1:5" ht="15" hidden="1" customHeight="1" x14ac:dyDescent="0.35">
      <c r="A370" s="32"/>
      <c r="B370" s="19" t="s">
        <v>270</v>
      </c>
      <c r="C370" s="46"/>
      <c r="D370" s="707" t="s">
        <v>606</v>
      </c>
      <c r="E370" s="834">
        <f>'Verification Report'!O370</f>
        <v>0</v>
      </c>
    </row>
    <row r="371" spans="1:5" ht="15.75" hidden="1" customHeight="1" x14ac:dyDescent="0.35">
      <c r="A371" s="32"/>
      <c r="B371" s="155"/>
      <c r="C371" s="116"/>
      <c r="D371" s="709"/>
      <c r="E371" s="886">
        <f>'Verification Report'!O371</f>
        <v>0</v>
      </c>
    </row>
    <row r="372" spans="1:5" ht="15" hidden="1" thickBot="1" x14ac:dyDescent="0.4">
      <c r="A372" s="161"/>
      <c r="B372" s="148" t="s">
        <v>272</v>
      </c>
      <c r="C372" s="116"/>
      <c r="D372" s="116" t="s">
        <v>607</v>
      </c>
      <c r="E372" s="44"/>
    </row>
    <row r="373" spans="1:5" ht="15" hidden="1" customHeight="1" x14ac:dyDescent="0.35">
      <c r="A373" s="32" t="s">
        <v>608</v>
      </c>
      <c r="B373" s="4"/>
      <c r="C373" s="46"/>
      <c r="D373" s="706" t="s">
        <v>609</v>
      </c>
      <c r="E373" s="44"/>
    </row>
    <row r="374" spans="1:5" ht="15" hidden="1" thickBot="1" x14ac:dyDescent="0.4">
      <c r="A374" s="32"/>
      <c r="B374" s="4"/>
      <c r="C374" s="46"/>
      <c r="D374" s="706"/>
      <c r="E374" s="44"/>
    </row>
    <row r="375" spans="1:5" ht="15" hidden="1" thickBot="1" x14ac:dyDescent="0.4">
      <c r="A375" s="32"/>
      <c r="B375" s="4"/>
      <c r="C375" s="46"/>
      <c r="D375" s="706"/>
      <c r="E375" s="44"/>
    </row>
    <row r="376" spans="1:5" ht="15" hidden="1" customHeight="1" x14ac:dyDescent="0.35">
      <c r="A376" s="32"/>
      <c r="B376" s="19" t="s">
        <v>270</v>
      </c>
      <c r="C376" s="46"/>
      <c r="D376" s="707" t="s">
        <v>3242</v>
      </c>
      <c r="E376" s="834">
        <f>'Verification Report'!O376</f>
        <v>0</v>
      </c>
    </row>
    <row r="377" spans="1:5" ht="15.75" hidden="1" customHeight="1" x14ac:dyDescent="0.35">
      <c r="A377" s="32"/>
      <c r="B377" s="155"/>
      <c r="C377" s="116"/>
      <c r="D377" s="709"/>
      <c r="E377" s="886">
        <f>'Verification Report'!O377</f>
        <v>0</v>
      </c>
    </row>
    <row r="378" spans="1:5" ht="15" hidden="1" customHeight="1" x14ac:dyDescent="0.35">
      <c r="A378" s="32"/>
      <c r="B378" s="19" t="s">
        <v>272</v>
      </c>
      <c r="C378" s="46"/>
      <c r="D378" s="707" t="s">
        <v>3243</v>
      </c>
      <c r="E378" s="44"/>
    </row>
    <row r="379" spans="1:5" ht="15.75" hidden="1" customHeight="1" thickBot="1" x14ac:dyDescent="0.4">
      <c r="A379" s="32"/>
      <c r="B379" s="4"/>
      <c r="C379" s="46"/>
      <c r="D379" s="707"/>
      <c r="E379" s="44"/>
    </row>
    <row r="380" spans="1:5" ht="15.5" hidden="1" thickTop="1" thickBot="1" x14ac:dyDescent="0.4">
      <c r="A380" s="123" t="s">
        <v>610</v>
      </c>
      <c r="B380" s="124"/>
      <c r="C380" s="125"/>
      <c r="D380" s="63" t="s">
        <v>611</v>
      </c>
      <c r="E380" s="195"/>
    </row>
    <row r="381" spans="1:5" ht="15.75" hidden="1" customHeight="1" x14ac:dyDescent="0.35">
      <c r="A381" s="32"/>
      <c r="B381" s="4"/>
      <c r="C381" s="46"/>
      <c r="D381" t="s">
        <v>3234</v>
      </c>
      <c r="E381" s="44"/>
    </row>
    <row r="382" spans="1:5" ht="15" hidden="1" customHeight="1" x14ac:dyDescent="0.35">
      <c r="A382" s="32"/>
      <c r="B382" s="19" t="s">
        <v>270</v>
      </c>
      <c r="C382" s="46"/>
      <c r="D382" s="707" t="s">
        <v>612</v>
      </c>
      <c r="E382" s="834">
        <f ca="1">'Verification Report'!O382</f>
        <v>0</v>
      </c>
    </row>
    <row r="383" spans="1:5" ht="15.75" hidden="1" customHeight="1" x14ac:dyDescent="0.35">
      <c r="A383" s="32"/>
      <c r="B383" s="155"/>
      <c r="C383" s="116"/>
      <c r="D383" s="709"/>
      <c r="E383" s="886">
        <f>'Verification Report'!O383</f>
        <v>0</v>
      </c>
    </row>
    <row r="384" spans="1:5" ht="15" hidden="1" customHeight="1" x14ac:dyDescent="0.35">
      <c r="A384" s="32"/>
      <c r="B384" s="19" t="s">
        <v>272</v>
      </c>
      <c r="C384" s="46"/>
      <c r="D384" s="707" t="s">
        <v>613</v>
      </c>
      <c r="E384" s="834">
        <f ca="1">'Verification Report'!O384</f>
        <v>0</v>
      </c>
    </row>
    <row r="385" spans="1:5" ht="15.75" hidden="1" customHeight="1" x14ac:dyDescent="0.35">
      <c r="A385" s="32"/>
      <c r="B385" s="4"/>
      <c r="C385" s="46"/>
      <c r="D385" s="707"/>
      <c r="E385" s="834">
        <f>'Verification Report'!O385</f>
        <v>0</v>
      </c>
    </row>
    <row r="386" spans="1:5" ht="15.75" hidden="1" customHeight="1" thickBot="1" x14ac:dyDescent="0.4">
      <c r="A386" s="32"/>
      <c r="B386" s="4"/>
      <c r="C386" s="46"/>
      <c r="D386" s="707"/>
      <c r="E386" s="834">
        <f>'Verification Report'!O386</f>
        <v>0</v>
      </c>
    </row>
    <row r="387" spans="1:5" ht="15.75" hidden="1" customHeight="1" thickTop="1" x14ac:dyDescent="0.35">
      <c r="A387" s="123" t="s">
        <v>614</v>
      </c>
      <c r="B387" s="124"/>
      <c r="C387" s="125"/>
      <c r="D387" s="711" t="s">
        <v>615</v>
      </c>
      <c r="E387" s="195"/>
    </row>
    <row r="388" spans="1:5" ht="15" hidden="1" thickBot="1" x14ac:dyDescent="0.4">
      <c r="A388" s="32"/>
      <c r="B388" s="4"/>
      <c r="C388" s="46"/>
      <c r="D388" s="706"/>
      <c r="E388" s="44"/>
    </row>
    <row r="389" spans="1:5" ht="15" hidden="1" thickBot="1" x14ac:dyDescent="0.4">
      <c r="A389" s="32"/>
      <c r="B389" s="4"/>
      <c r="C389" s="46"/>
      <c r="D389" t="s">
        <v>3234</v>
      </c>
      <c r="E389" s="44"/>
    </row>
    <row r="390" spans="1:5" ht="15" hidden="1" customHeight="1" x14ac:dyDescent="0.35">
      <c r="A390" s="32"/>
      <c r="B390" s="19" t="s">
        <v>270</v>
      </c>
      <c r="C390" s="46"/>
      <c r="D390" s="707" t="s">
        <v>616</v>
      </c>
      <c r="E390" s="834">
        <f ca="1">'Verification Report'!O390</f>
        <v>0</v>
      </c>
    </row>
    <row r="391" spans="1:5" ht="15.75" hidden="1" customHeight="1" x14ac:dyDescent="0.35">
      <c r="A391" s="32"/>
      <c r="B391" s="4"/>
      <c r="C391" s="46"/>
      <c r="D391" s="707"/>
      <c r="E391" s="834">
        <f>'Verification Report'!O391</f>
        <v>0</v>
      </c>
    </row>
    <row r="392" spans="1:5" ht="15.75" hidden="1" customHeight="1" x14ac:dyDescent="0.35">
      <c r="A392" s="32"/>
      <c r="B392" s="4"/>
      <c r="C392" s="46"/>
      <c r="D392" s="707"/>
      <c r="E392" s="834">
        <f>'Verification Report'!O392</f>
        <v>0</v>
      </c>
    </row>
    <row r="393" spans="1:5" ht="15.75" hidden="1" customHeight="1" x14ac:dyDescent="0.35">
      <c r="A393" s="32"/>
      <c r="B393" s="155"/>
      <c r="C393" s="116"/>
      <c r="D393" s="709"/>
      <c r="E393" s="886">
        <f>'Verification Report'!O393</f>
        <v>0</v>
      </c>
    </row>
    <row r="394" spans="1:5" ht="15" hidden="1" customHeight="1" x14ac:dyDescent="0.35">
      <c r="A394" s="32"/>
      <c r="B394" s="154" t="s">
        <v>272</v>
      </c>
      <c r="C394" s="137"/>
      <c r="D394" s="742" t="s">
        <v>617</v>
      </c>
      <c r="E394" s="868">
        <f ca="1">'Verification Report'!O394</f>
        <v>0</v>
      </c>
    </row>
    <row r="395" spans="1:5" ht="15.75" hidden="1" customHeight="1" x14ac:dyDescent="0.35">
      <c r="A395" s="32"/>
      <c r="B395" s="4"/>
      <c r="C395" s="46"/>
      <c r="D395" s="707"/>
      <c r="E395" s="834">
        <f>'Verification Report'!O395</f>
        <v>0</v>
      </c>
    </row>
    <row r="396" spans="1:5" ht="15.75" hidden="1" customHeight="1" x14ac:dyDescent="0.35">
      <c r="A396" s="32"/>
      <c r="B396" s="4"/>
      <c r="C396" s="46"/>
      <c r="D396" s="707"/>
      <c r="E396" s="834">
        <f>'Verification Report'!O396</f>
        <v>0</v>
      </c>
    </row>
    <row r="397" spans="1:5" ht="15.75" hidden="1" customHeight="1" x14ac:dyDescent="0.35">
      <c r="A397" s="32"/>
      <c r="B397" s="155"/>
      <c r="C397" s="116"/>
      <c r="D397" s="709"/>
      <c r="E397" s="886">
        <f>'Verification Report'!O397</f>
        <v>0</v>
      </c>
    </row>
    <row r="398" spans="1:5" ht="15" hidden="1" customHeight="1" x14ac:dyDescent="0.35">
      <c r="A398" s="32"/>
      <c r="B398" s="19" t="s">
        <v>274</v>
      </c>
      <c r="C398" s="46"/>
      <c r="D398" s="707" t="s">
        <v>618</v>
      </c>
      <c r="E398" s="834">
        <f ca="1">'Verification Report'!O398</f>
        <v>0</v>
      </c>
    </row>
    <row r="399" spans="1:5" ht="15.75" hidden="1" customHeight="1" x14ac:dyDescent="0.35">
      <c r="A399" s="32"/>
      <c r="B399" s="4"/>
      <c r="C399" s="46"/>
      <c r="D399" s="707"/>
      <c r="E399" s="834">
        <f>'Verification Report'!O399</f>
        <v>0</v>
      </c>
    </row>
    <row r="400" spans="1:5" ht="15.75" hidden="1" customHeight="1" thickBot="1" x14ac:dyDescent="0.4">
      <c r="A400" s="32"/>
      <c r="B400" s="4"/>
      <c r="C400" s="46"/>
      <c r="D400" s="707"/>
      <c r="E400" s="834">
        <f>'Verification Report'!O400</f>
        <v>0</v>
      </c>
    </row>
    <row r="401" spans="1:9" ht="15.5" hidden="1" thickTop="1" thickBot="1" x14ac:dyDescent="0.4">
      <c r="A401" s="123" t="s">
        <v>619</v>
      </c>
      <c r="B401" s="124"/>
      <c r="C401" s="125"/>
      <c r="D401" s="81" t="s">
        <v>620</v>
      </c>
      <c r="E401" s="195"/>
    </row>
    <row r="402" spans="1:9" ht="15" hidden="1" thickBot="1" x14ac:dyDescent="0.4">
      <c r="A402" s="32" t="s">
        <v>621</v>
      </c>
      <c r="B402" s="4"/>
      <c r="C402" s="46"/>
      <c r="D402" s="48" t="s">
        <v>622</v>
      </c>
      <c r="E402" s="44"/>
    </row>
    <row r="403" spans="1:9" ht="15" hidden="1" customHeight="1" x14ac:dyDescent="0.35">
      <c r="A403" s="32"/>
      <c r="B403" s="19" t="s">
        <v>270</v>
      </c>
      <c r="C403" s="46"/>
      <c r="D403" s="707" t="s">
        <v>623</v>
      </c>
      <c r="E403" s="834">
        <f>'Verification Report'!O403</f>
        <v>2</v>
      </c>
    </row>
    <row r="404" spans="1:9" ht="15.75" hidden="1" customHeight="1" x14ac:dyDescent="0.35">
      <c r="A404" s="32"/>
      <c r="B404" s="155"/>
      <c r="C404" s="116"/>
      <c r="D404" s="709"/>
      <c r="E404" s="886">
        <f>'Verification Report'!O404</f>
        <v>0</v>
      </c>
    </row>
    <row r="405" spans="1:9" ht="15" hidden="1" customHeight="1" x14ac:dyDescent="0.35">
      <c r="A405" s="32"/>
      <c r="B405" s="19" t="s">
        <v>272</v>
      </c>
      <c r="C405" s="46"/>
      <c r="D405" s="707" t="s">
        <v>624</v>
      </c>
      <c r="E405" s="834">
        <f>'Verification Report'!O405</f>
        <v>2</v>
      </c>
    </row>
    <row r="406" spans="1:9" ht="15.75" hidden="1" customHeight="1" x14ac:dyDescent="0.35">
      <c r="A406" s="32"/>
      <c r="B406" s="4"/>
      <c r="C406" s="46"/>
      <c r="D406" s="707"/>
      <c r="E406" s="834">
        <f>'Verification Report'!O406</f>
        <v>0</v>
      </c>
    </row>
    <row r="407" spans="1:9" ht="15.75" hidden="1" customHeight="1" x14ac:dyDescent="0.35">
      <c r="A407" s="32"/>
      <c r="B407" s="155"/>
      <c r="C407" s="116"/>
      <c r="D407" s="121" t="s">
        <v>1301</v>
      </c>
      <c r="E407" s="886">
        <f>'Verification Report'!O407</f>
        <v>0</v>
      </c>
    </row>
    <row r="408" spans="1:9" ht="15" hidden="1" customHeight="1" x14ac:dyDescent="0.35">
      <c r="A408" s="32"/>
      <c r="B408" s="19" t="s">
        <v>274</v>
      </c>
      <c r="C408" s="46"/>
      <c r="D408" s="707" t="s">
        <v>625</v>
      </c>
      <c r="E408" s="834">
        <f>'Verification Report'!O408</f>
        <v>0</v>
      </c>
    </row>
    <row r="409" spans="1:9" ht="15.75" hidden="1" customHeight="1" x14ac:dyDescent="0.35">
      <c r="A409" s="161"/>
      <c r="B409" s="155"/>
      <c r="C409" s="116"/>
      <c r="D409" s="709"/>
      <c r="E409" s="886">
        <f>'Verification Report'!O409</f>
        <v>0</v>
      </c>
    </row>
    <row r="410" spans="1:9" ht="15" hidden="1" customHeight="1" x14ac:dyDescent="0.35">
      <c r="A410" s="135" t="s">
        <v>627</v>
      </c>
      <c r="B410" s="136"/>
      <c r="C410" s="137"/>
      <c r="D410" s="753" t="s">
        <v>628</v>
      </c>
      <c r="E410" s="868">
        <f>'Verification Report'!O410</f>
        <v>0</v>
      </c>
    </row>
    <row r="411" spans="1:9" ht="15.75" hidden="1" customHeight="1" x14ac:dyDescent="0.35">
      <c r="A411" s="161"/>
      <c r="B411" s="155"/>
      <c r="C411" s="116"/>
      <c r="D411" s="739"/>
      <c r="E411" s="886">
        <f>'Verification Report'!O411</f>
        <v>0</v>
      </c>
    </row>
    <row r="412" spans="1:9" ht="15" hidden="1" customHeight="1" x14ac:dyDescent="0.35">
      <c r="A412" s="32" t="s">
        <v>630</v>
      </c>
      <c r="B412" s="4"/>
      <c r="C412" s="46"/>
      <c r="D412" s="706" t="s">
        <v>631</v>
      </c>
      <c r="E412" s="834">
        <f>'Verification Report'!O412</f>
        <v>0</v>
      </c>
    </row>
    <row r="413" spans="1:9" ht="15.75" hidden="1" customHeight="1" x14ac:dyDescent="0.35">
      <c r="A413" s="32"/>
      <c r="B413" s="4"/>
      <c r="C413" s="46"/>
      <c r="D413" s="706"/>
      <c r="E413" s="834">
        <f>'Verification Report'!O413</f>
        <v>0</v>
      </c>
    </row>
    <row r="414" spans="1:9" ht="15.75" hidden="1" customHeight="1" x14ac:dyDescent="0.35">
      <c r="A414" s="32"/>
      <c r="B414" s="4"/>
      <c r="C414" s="46"/>
      <c r="D414" s="706"/>
      <c r="E414" s="834">
        <f>'Verification Report'!O414</f>
        <v>0</v>
      </c>
    </row>
    <row r="415" spans="1:9" ht="15.75" hidden="1" customHeight="1" thickBot="1" x14ac:dyDescent="0.4">
      <c r="A415" s="32"/>
      <c r="B415" s="4"/>
      <c r="C415" s="46"/>
      <c r="D415" s="706"/>
      <c r="E415" s="834">
        <f>'Verification Report'!O415</f>
        <v>0</v>
      </c>
    </row>
    <row r="416" spans="1:9" ht="15.75" customHeight="1" thickTop="1" x14ac:dyDescent="0.35">
      <c r="A416" s="123" t="s">
        <v>632</v>
      </c>
      <c r="B416" s="124"/>
      <c r="C416" s="125"/>
      <c r="D416" s="711" t="s">
        <v>633</v>
      </c>
      <c r="E416" s="195"/>
      <c r="F416" s="569" t="str">
        <f>IF('Verification Report'!W416="","",'Verification Report'!W416)</f>
        <v>Met</v>
      </c>
      <c r="G416">
        <v>1</v>
      </c>
      <c r="H416" s="571"/>
      <c r="I416" t="s">
        <v>4655</v>
      </c>
    </row>
    <row r="417" spans="1:7" ht="15" thickBot="1" x14ac:dyDescent="0.4">
      <c r="A417" s="32"/>
      <c r="B417" s="4"/>
      <c r="C417" s="46"/>
      <c r="D417" s="706"/>
      <c r="E417" s="44"/>
      <c r="G417">
        <v>1</v>
      </c>
    </row>
    <row r="418" spans="1:7" ht="15.75" hidden="1" customHeight="1" thickBot="1" x14ac:dyDescent="0.4">
      <c r="A418" s="32"/>
      <c r="B418" s="4"/>
      <c r="C418" s="46"/>
      <c r="D418" s="197" t="s">
        <v>1301</v>
      </c>
      <c r="E418" s="44"/>
    </row>
    <row r="419" spans="1:7" ht="15.75" hidden="1" customHeight="1" thickTop="1" x14ac:dyDescent="0.35">
      <c r="A419" s="123" t="s">
        <v>634</v>
      </c>
      <c r="B419" s="124"/>
      <c r="C419" s="125"/>
      <c r="D419" s="711" t="s">
        <v>635</v>
      </c>
      <c r="E419" s="195"/>
    </row>
    <row r="420" spans="1:7" ht="15" hidden="1" thickBot="1" x14ac:dyDescent="0.4">
      <c r="A420" s="32"/>
      <c r="B420" s="4"/>
      <c r="C420" s="46"/>
      <c r="D420" s="706"/>
      <c r="E420" s="44"/>
    </row>
    <row r="421" spans="1:7" ht="15" hidden="1" thickBot="1" x14ac:dyDescent="0.4">
      <c r="A421" s="32"/>
      <c r="B421" s="4"/>
      <c r="C421" s="46"/>
      <c r="D421" s="706"/>
      <c r="E421" s="44"/>
    </row>
    <row r="422" spans="1:7" ht="15" hidden="1" thickBot="1" x14ac:dyDescent="0.4">
      <c r="A422" s="32"/>
      <c r="B422" s="4"/>
      <c r="C422" s="46"/>
      <c r="D422" s="706"/>
      <c r="E422" s="44"/>
    </row>
    <row r="423" spans="1:7" ht="15" hidden="1" thickBot="1" x14ac:dyDescent="0.4">
      <c r="A423" s="32"/>
      <c r="B423" s="4"/>
      <c r="C423" s="46"/>
      <c r="D423" s="706"/>
      <c r="E423" s="44"/>
    </row>
    <row r="424" spans="1:7" ht="15.75" hidden="1" customHeight="1" x14ac:dyDescent="0.35">
      <c r="A424" s="32"/>
      <c r="B424" s="19" t="s">
        <v>270</v>
      </c>
      <c r="C424" s="46"/>
      <c r="D424" s="46" t="s">
        <v>636</v>
      </c>
      <c r="E424" s="44"/>
    </row>
    <row r="425" spans="1:7" ht="15.75" hidden="1" customHeight="1" x14ac:dyDescent="0.35">
      <c r="A425" s="32"/>
      <c r="B425" s="4"/>
      <c r="C425" s="50" t="s">
        <v>121</v>
      </c>
      <c r="D425" s="46" t="s">
        <v>637</v>
      </c>
      <c r="E425" s="44"/>
    </row>
    <row r="426" spans="1:7" ht="15.75" hidden="1" customHeight="1" x14ac:dyDescent="0.35">
      <c r="A426" s="32"/>
      <c r="B426" s="4"/>
      <c r="C426" s="50" t="s">
        <v>122</v>
      </c>
      <c r="D426" s="46" t="s">
        <v>638</v>
      </c>
      <c r="E426" s="44"/>
    </row>
    <row r="427" spans="1:7" ht="15.75" hidden="1" customHeight="1" x14ac:dyDescent="0.35">
      <c r="A427" s="32"/>
      <c r="B427" s="4"/>
      <c r="C427" s="52" t="s">
        <v>123</v>
      </c>
      <c r="D427" s="46" t="s">
        <v>639</v>
      </c>
      <c r="E427" s="44"/>
    </row>
    <row r="428" spans="1:7" ht="15" hidden="1" customHeight="1" x14ac:dyDescent="0.35">
      <c r="A428" s="32"/>
      <c r="B428" s="4"/>
      <c r="C428" s="48" t="s">
        <v>420</v>
      </c>
      <c r="D428" s="707" t="s">
        <v>640</v>
      </c>
      <c r="E428" s="44"/>
    </row>
    <row r="429" spans="1:7" ht="15.75" hidden="1" customHeight="1" x14ac:dyDescent="0.35">
      <c r="A429" s="32"/>
      <c r="B429" s="4"/>
      <c r="C429" s="46"/>
      <c r="D429" s="707"/>
      <c r="E429" s="44"/>
    </row>
    <row r="430" spans="1:7" ht="15.75" hidden="1" customHeight="1" x14ac:dyDescent="0.35">
      <c r="A430" s="32"/>
      <c r="B430" s="4"/>
      <c r="C430" s="48" t="s">
        <v>575</v>
      </c>
      <c r="D430" s="46" t="s">
        <v>641</v>
      </c>
      <c r="E430" s="44"/>
    </row>
    <row r="431" spans="1:7" ht="15.75" hidden="1" customHeight="1" x14ac:dyDescent="0.35">
      <c r="A431" s="32"/>
      <c r="B431" s="4"/>
      <c r="C431" s="52" t="s">
        <v>642</v>
      </c>
      <c r="D431" s="46" t="s">
        <v>643</v>
      </c>
      <c r="E431" s="44"/>
    </row>
    <row r="432" spans="1:7" ht="15.75" hidden="1" customHeight="1" x14ac:dyDescent="0.35">
      <c r="A432" s="32"/>
      <c r="B432" s="4"/>
      <c r="C432" s="48" t="s">
        <v>644</v>
      </c>
      <c r="D432" s="46" t="s">
        <v>645</v>
      </c>
      <c r="E432" s="44"/>
    </row>
    <row r="433" spans="1:5" ht="15.75" hidden="1" customHeight="1" x14ac:dyDescent="0.35">
      <c r="A433" s="32"/>
      <c r="B433" s="155"/>
      <c r="C433" s="162" t="s">
        <v>646</v>
      </c>
      <c r="D433" s="116" t="s">
        <v>647</v>
      </c>
      <c r="E433" s="44"/>
    </row>
    <row r="434" spans="1:5" ht="15" hidden="1" customHeight="1" x14ac:dyDescent="0.35">
      <c r="A434" s="32"/>
      <c r="B434" s="19" t="s">
        <v>272</v>
      </c>
      <c r="C434" s="46"/>
      <c r="D434" s="707" t="s">
        <v>648</v>
      </c>
      <c r="E434" s="834">
        <f>'Verification Report'!O434</f>
        <v>2</v>
      </c>
    </row>
    <row r="435" spans="1:5" ht="15.75" hidden="1" customHeight="1" x14ac:dyDescent="0.35">
      <c r="A435" s="32"/>
      <c r="B435" s="4"/>
      <c r="C435" s="46"/>
      <c r="D435" s="707"/>
      <c r="E435" s="834">
        <f>'Verification Report'!O435</f>
        <v>0</v>
      </c>
    </row>
    <row r="436" spans="1:5" ht="15.75" hidden="1" customHeight="1" x14ac:dyDescent="0.35">
      <c r="A436" s="32"/>
      <c r="B436" s="155"/>
      <c r="C436" s="116"/>
      <c r="D436" s="709"/>
      <c r="E436" s="886">
        <f>'Verification Report'!O436</f>
        <v>0</v>
      </c>
    </row>
    <row r="437" spans="1:5" ht="15" hidden="1" thickBot="1" x14ac:dyDescent="0.4">
      <c r="A437" s="32"/>
      <c r="B437" s="150" t="s">
        <v>274</v>
      </c>
      <c r="C437" s="151"/>
      <c r="D437" s="151" t="s">
        <v>649</v>
      </c>
      <c r="E437" s="157">
        <f>'Verification Report'!O437</f>
        <v>0</v>
      </c>
    </row>
    <row r="438" spans="1:5" ht="15" hidden="1" customHeight="1" x14ac:dyDescent="0.35">
      <c r="A438" s="32"/>
      <c r="B438" s="154" t="s">
        <v>283</v>
      </c>
      <c r="C438" s="137"/>
      <c r="D438" s="742" t="s">
        <v>650</v>
      </c>
      <c r="E438" s="868">
        <f>'Verification Report'!O438</f>
        <v>0</v>
      </c>
    </row>
    <row r="439" spans="1:5" ht="15.75" hidden="1" customHeight="1" x14ac:dyDescent="0.35">
      <c r="A439" s="32"/>
      <c r="B439" s="4"/>
      <c r="C439" s="46"/>
      <c r="D439" s="707"/>
      <c r="E439" s="834">
        <f>'Verification Report'!O439</f>
        <v>0</v>
      </c>
    </row>
    <row r="440" spans="1:5" ht="15.75" hidden="1" customHeight="1" x14ac:dyDescent="0.35">
      <c r="A440" s="32"/>
      <c r="B440" s="4"/>
      <c r="C440" s="46"/>
      <c r="D440" s="707"/>
      <c r="E440" s="834">
        <f>'Verification Report'!O440</f>
        <v>0</v>
      </c>
    </row>
    <row r="441" spans="1:5" ht="15.75" hidden="1" customHeight="1" x14ac:dyDescent="0.35">
      <c r="A441" s="32"/>
      <c r="B441" s="155"/>
      <c r="C441" s="116"/>
      <c r="D441" s="709"/>
      <c r="E441" s="886">
        <f>'Verification Report'!O441</f>
        <v>0</v>
      </c>
    </row>
    <row r="442" spans="1:5" ht="15.75" hidden="1" customHeight="1" x14ac:dyDescent="0.35">
      <c r="A442" s="32"/>
      <c r="B442" s="19" t="s">
        <v>289</v>
      </c>
      <c r="C442" s="46"/>
      <c r="D442" s="46" t="s">
        <v>651</v>
      </c>
      <c r="E442" s="44">
        <f ca="1">'Verification Report'!O442</f>
        <v>0</v>
      </c>
    </row>
    <row r="443" spans="1:5" ht="15" hidden="1" customHeight="1" x14ac:dyDescent="0.35">
      <c r="A443" s="32"/>
      <c r="B443" s="4"/>
      <c r="C443" s="50" t="s">
        <v>121</v>
      </c>
      <c r="D443" s="707" t="s">
        <v>652</v>
      </c>
      <c r="E443" s="44"/>
    </row>
    <row r="444" spans="1:5" ht="15.75" hidden="1" customHeight="1" x14ac:dyDescent="0.35">
      <c r="A444" s="32"/>
      <c r="B444" s="4"/>
      <c r="C444" s="50"/>
      <c r="D444" s="707"/>
      <c r="E444" s="44"/>
    </row>
    <row r="445" spans="1:5" ht="15.75" hidden="1" customHeight="1" x14ac:dyDescent="0.35">
      <c r="A445" s="32"/>
      <c r="B445" s="4"/>
      <c r="C445" s="115"/>
      <c r="D445" s="709"/>
      <c r="E445" s="44"/>
    </row>
    <row r="446" spans="1:5" ht="15" hidden="1" customHeight="1" x14ac:dyDescent="0.35">
      <c r="A446" s="32"/>
      <c r="B446" s="4"/>
      <c r="C446" s="50" t="s">
        <v>122</v>
      </c>
      <c r="D446" s="707" t="s">
        <v>653</v>
      </c>
      <c r="E446" s="44"/>
    </row>
    <row r="447" spans="1:5" ht="15.75" hidden="1" customHeight="1" x14ac:dyDescent="0.35">
      <c r="A447" s="32"/>
      <c r="B447" s="155"/>
      <c r="C447" s="116"/>
      <c r="D447" s="709"/>
      <c r="E447" s="191"/>
    </row>
    <row r="448" spans="1:5" ht="15" hidden="1" customHeight="1" x14ac:dyDescent="0.35">
      <c r="A448" s="32"/>
      <c r="B448" s="154" t="s">
        <v>291</v>
      </c>
      <c r="C448" s="137"/>
      <c r="D448" s="742" t="s">
        <v>654</v>
      </c>
      <c r="E448" s="868">
        <f>'Verification Report'!O448</f>
        <v>0</v>
      </c>
    </row>
    <row r="449" spans="1:9" ht="15.75" hidden="1" customHeight="1" x14ac:dyDescent="0.35">
      <c r="A449" s="32"/>
      <c r="B449" s="155"/>
      <c r="C449" s="116"/>
      <c r="D449" s="709"/>
      <c r="E449" s="886">
        <f>'Verification Report'!O449</f>
        <v>0</v>
      </c>
    </row>
    <row r="450" spans="1:9" ht="15" hidden="1" thickBot="1" x14ac:dyDescent="0.4">
      <c r="A450" s="32"/>
      <c r="B450" s="19" t="s">
        <v>403</v>
      </c>
      <c r="C450" s="46"/>
      <c r="D450" s="46" t="s">
        <v>655</v>
      </c>
      <c r="E450" s="44">
        <f>'Verification Report'!O450</f>
        <v>0</v>
      </c>
    </row>
    <row r="451" spans="1:9" ht="15.75" customHeight="1" thickTop="1" x14ac:dyDescent="0.35">
      <c r="A451" s="123" t="s">
        <v>657</v>
      </c>
      <c r="B451" s="124"/>
      <c r="C451" s="125"/>
      <c r="D451" s="711" t="s">
        <v>658</v>
      </c>
      <c r="E451" s="940">
        <f ca="1">'Verification Report'!O451</f>
        <v>4</v>
      </c>
      <c r="G451">
        <v>1</v>
      </c>
      <c r="H451" s="571"/>
      <c r="I451" t="s">
        <v>4656</v>
      </c>
    </row>
    <row r="452" spans="1:9" x14ac:dyDescent="0.35">
      <c r="A452" s="32"/>
      <c r="B452" s="4"/>
      <c r="C452" s="46"/>
      <c r="D452" s="706"/>
      <c r="E452" s="834">
        <f>'Verification Report'!O452</f>
        <v>0</v>
      </c>
      <c r="F452" s="569" t="str">
        <f>IF('Verification Report'!W452="","",'Verification Report'!W452)</f>
        <v>2 exterior door</v>
      </c>
      <c r="G452">
        <v>1</v>
      </c>
    </row>
    <row r="453" spans="1:9" x14ac:dyDescent="0.35">
      <c r="A453" s="32"/>
      <c r="B453" s="4"/>
      <c r="C453" s="46"/>
      <c r="D453" s="706"/>
      <c r="E453" s="834">
        <f>'Verification Report'!O453</f>
        <v>0</v>
      </c>
      <c r="G453">
        <v>1</v>
      </c>
    </row>
    <row r="454" spans="1:9" x14ac:dyDescent="0.35">
      <c r="A454" s="32"/>
      <c r="B454" s="4"/>
      <c r="C454" s="46"/>
      <c r="D454" s="706"/>
      <c r="E454" s="834">
        <f>'Verification Report'!O454</f>
        <v>0</v>
      </c>
      <c r="G454">
        <v>1</v>
      </c>
    </row>
    <row r="455" spans="1:9" x14ac:dyDescent="0.35">
      <c r="A455" s="32"/>
      <c r="B455" s="4"/>
      <c r="C455" s="46"/>
      <c r="D455" s="706"/>
      <c r="E455" s="834">
        <f>'Verification Report'!O455</f>
        <v>0</v>
      </c>
      <c r="G455">
        <v>1</v>
      </c>
    </row>
    <row r="456" spans="1:9" ht="15" thickBot="1" x14ac:dyDescent="0.4">
      <c r="A456" s="32"/>
      <c r="B456" s="4"/>
      <c r="C456" s="46"/>
      <c r="D456" s="706"/>
      <c r="E456" s="834">
        <f>'Verification Report'!O456</f>
        <v>0</v>
      </c>
      <c r="G456">
        <v>1</v>
      </c>
    </row>
    <row r="457" spans="1:9" ht="15.75" hidden="1" customHeight="1" x14ac:dyDescent="0.35">
      <c r="A457" s="32"/>
      <c r="B457" s="4"/>
      <c r="C457" s="46"/>
      <c r="D457" s="105" t="str">
        <f>"This Project's Climate Zone: "&amp;W271</f>
        <v xml:space="preserve">This Project's Climate Zone: </v>
      </c>
      <c r="E457" s="834">
        <f>'Verification Report'!O457</f>
        <v>0</v>
      </c>
    </row>
    <row r="458" spans="1:9" ht="15.75" hidden="1" customHeight="1" x14ac:dyDescent="0.35">
      <c r="A458" s="32"/>
      <c r="B458" s="4"/>
      <c r="C458" s="50" t="s">
        <v>121</v>
      </c>
      <c r="D458" s="46" t="s">
        <v>659</v>
      </c>
      <c r="E458" s="834">
        <f>'Verification Report'!O458</f>
        <v>0</v>
      </c>
    </row>
    <row r="459" spans="1:9" ht="15.75" hidden="1" customHeight="1" x14ac:dyDescent="0.35">
      <c r="A459" s="32"/>
      <c r="B459" s="4"/>
      <c r="C459" s="50" t="s">
        <v>122</v>
      </c>
      <c r="D459" s="46" t="s">
        <v>660</v>
      </c>
      <c r="E459" s="834">
        <f>'Verification Report'!O459</f>
        <v>0</v>
      </c>
    </row>
    <row r="460" spans="1:9" ht="15.75" hidden="1" customHeight="1" x14ac:dyDescent="0.35">
      <c r="A460" s="32"/>
      <c r="B460" s="4"/>
      <c r="C460" s="52" t="s">
        <v>123</v>
      </c>
      <c r="D460" s="46" t="s">
        <v>661</v>
      </c>
      <c r="E460" s="834">
        <f>'Verification Report'!O460</f>
        <v>0</v>
      </c>
    </row>
    <row r="461" spans="1:9" ht="15.75" hidden="1" customHeight="1" x14ac:dyDescent="0.35">
      <c r="A461" s="32"/>
      <c r="B461" s="4"/>
      <c r="C461" s="48" t="s">
        <v>420</v>
      </c>
      <c r="D461" s="46" t="s">
        <v>662</v>
      </c>
      <c r="E461" s="834">
        <f>'Verification Report'!O461</f>
        <v>0</v>
      </c>
    </row>
    <row r="462" spans="1:9" ht="15" hidden="1" customHeight="1" x14ac:dyDescent="0.35">
      <c r="A462" s="32"/>
      <c r="B462" s="4"/>
      <c r="C462" s="48"/>
      <c r="D462" s="714" t="s">
        <v>3251</v>
      </c>
      <c r="E462" s="834">
        <f>'Verification Report'!O462</f>
        <v>0</v>
      </c>
    </row>
    <row r="463" spans="1:9" ht="15.75" hidden="1" customHeight="1" thickBot="1" x14ac:dyDescent="0.4">
      <c r="A463" s="32"/>
      <c r="B463" s="4"/>
      <c r="C463" s="48"/>
      <c r="D463" s="744"/>
      <c r="E463" s="834">
        <f>'Verification Report'!O463</f>
        <v>0</v>
      </c>
    </row>
    <row r="464" spans="1:9" ht="15.75" hidden="1" customHeight="1" thickTop="1" x14ac:dyDescent="0.35">
      <c r="A464" s="123" t="s">
        <v>664</v>
      </c>
      <c r="B464" s="124"/>
      <c r="C464" s="125"/>
      <c r="D464" s="711" t="s">
        <v>665</v>
      </c>
      <c r="E464" s="195"/>
    </row>
    <row r="465" spans="1:9" ht="15.75" hidden="1" customHeight="1" thickBot="1" x14ac:dyDescent="0.4">
      <c r="A465" s="32"/>
      <c r="B465" s="4"/>
      <c r="C465" s="46"/>
      <c r="D465" s="706"/>
      <c r="E465" s="44"/>
    </row>
    <row r="466" spans="1:9" ht="15.75" customHeight="1" thickTop="1" x14ac:dyDescent="0.35">
      <c r="A466" s="123" t="s">
        <v>666</v>
      </c>
      <c r="B466" s="124"/>
      <c r="C466" s="125"/>
      <c r="D466" s="711" t="s">
        <v>667</v>
      </c>
      <c r="E466" s="940">
        <f ca="1">'Verification Report'!O466</f>
        <v>0</v>
      </c>
      <c r="G466">
        <v>1</v>
      </c>
      <c r="H466" s="571"/>
      <c r="I466" t="s">
        <v>4657</v>
      </c>
    </row>
    <row r="467" spans="1:9" ht="15" thickBot="1" x14ac:dyDescent="0.4">
      <c r="A467" s="32"/>
      <c r="B467" s="4"/>
      <c r="C467" s="46"/>
      <c r="D467" s="706"/>
      <c r="E467" s="834">
        <f>'Verification Report'!O467</f>
        <v>0</v>
      </c>
      <c r="G467">
        <v>1</v>
      </c>
    </row>
    <row r="468" spans="1:9" ht="15.75" hidden="1" customHeight="1" thickBot="1" x14ac:dyDescent="0.4">
      <c r="A468" s="32"/>
      <c r="B468" s="4"/>
      <c r="C468" s="46"/>
      <c r="D468" t="s">
        <v>3236</v>
      </c>
      <c r="E468" s="834">
        <f>'Verification Report'!O468</f>
        <v>0</v>
      </c>
    </row>
    <row r="469" spans="1:9" ht="15.75" hidden="1" customHeight="1" thickTop="1" x14ac:dyDescent="0.35">
      <c r="A469" s="123" t="s">
        <v>669</v>
      </c>
      <c r="B469" s="124"/>
      <c r="C469" s="125"/>
      <c r="D469" s="711" t="s">
        <v>670</v>
      </c>
      <c r="E469" s="195"/>
    </row>
    <row r="470" spans="1:9" ht="15.75" hidden="1" customHeight="1" x14ac:dyDescent="0.35">
      <c r="A470" s="32"/>
      <c r="B470" s="4"/>
      <c r="C470" s="46"/>
      <c r="D470" s="706"/>
      <c r="E470" s="44"/>
    </row>
    <row r="471" spans="1:9" ht="15.75" hidden="1" customHeight="1" x14ac:dyDescent="0.35">
      <c r="A471" s="32"/>
      <c r="B471" s="4"/>
      <c r="C471" s="46"/>
      <c r="D471" s="706"/>
      <c r="E471" s="44"/>
    </row>
    <row r="472" spans="1:9" ht="15.75" hidden="1" customHeight="1" thickBot="1" x14ac:dyDescent="0.4">
      <c r="A472" s="32"/>
      <c r="B472" s="4"/>
      <c r="C472" s="46"/>
      <c r="D472" s="706"/>
      <c r="E472" s="44"/>
    </row>
    <row r="473" spans="1:9" ht="15.75" customHeight="1" thickTop="1" x14ac:dyDescent="0.35">
      <c r="A473" s="123" t="s">
        <v>671</v>
      </c>
      <c r="B473" s="124"/>
      <c r="C473" s="125"/>
      <c r="D473" s="711" t="s">
        <v>672</v>
      </c>
      <c r="E473" s="195"/>
      <c r="G473">
        <v>1</v>
      </c>
    </row>
    <row r="474" spans="1:9" x14ac:dyDescent="0.35">
      <c r="A474" s="32"/>
      <c r="B474" s="4"/>
      <c r="C474" s="46"/>
      <c r="D474" s="706"/>
      <c r="E474" s="44"/>
      <c r="G474">
        <v>1</v>
      </c>
    </row>
    <row r="475" spans="1:9" ht="15" customHeight="1" x14ac:dyDescent="0.35">
      <c r="A475" s="32"/>
      <c r="B475" s="19" t="s">
        <v>270</v>
      </c>
      <c r="C475" s="46"/>
      <c r="D475" s="707" t="s">
        <v>673</v>
      </c>
      <c r="E475" s="834">
        <f>'Verification Report'!O475</f>
        <v>0</v>
      </c>
      <c r="G475">
        <v>1</v>
      </c>
      <c r="H475" s="571"/>
      <c r="I475" t="s">
        <v>4658</v>
      </c>
    </row>
    <row r="476" spans="1:9" x14ac:dyDescent="0.35">
      <c r="A476" s="32"/>
      <c r="B476" s="155"/>
      <c r="C476" s="116"/>
      <c r="D476" s="709"/>
      <c r="E476" s="886">
        <f>'Verification Report'!O476</f>
        <v>0</v>
      </c>
      <c r="G476">
        <v>1</v>
      </c>
    </row>
    <row r="477" spans="1:9" x14ac:dyDescent="0.35">
      <c r="A477" s="32"/>
      <c r="B477" s="150" t="s">
        <v>272</v>
      </c>
      <c r="C477" s="151"/>
      <c r="D477" s="151" t="s">
        <v>674</v>
      </c>
      <c r="E477" s="157">
        <f>'Verification Report'!O477</f>
        <v>2</v>
      </c>
      <c r="G477">
        <v>1</v>
      </c>
      <c r="H477" s="571"/>
      <c r="I477" t="s">
        <v>4658</v>
      </c>
    </row>
    <row r="478" spans="1:9" ht="15" thickBot="1" x14ac:dyDescent="0.4">
      <c r="A478" s="32"/>
      <c r="B478" s="19" t="s">
        <v>274</v>
      </c>
      <c r="C478" s="46"/>
      <c r="D478" s="46" t="s">
        <v>675</v>
      </c>
      <c r="E478" s="44">
        <f>'Verification Report'!O478</f>
        <v>2</v>
      </c>
      <c r="G478">
        <v>1</v>
      </c>
      <c r="H478" s="571"/>
      <c r="I478" t="s">
        <v>4658</v>
      </c>
    </row>
    <row r="479" spans="1:9" ht="15.75" hidden="1" customHeight="1" thickTop="1" x14ac:dyDescent="0.35">
      <c r="A479" s="123">
        <v>602.20000000000005</v>
      </c>
      <c r="B479" s="124"/>
      <c r="C479" s="125"/>
      <c r="D479" s="711" t="s">
        <v>676</v>
      </c>
      <c r="E479" s="940">
        <f>'Verification Report'!O479</f>
        <v>0</v>
      </c>
    </row>
    <row r="480" spans="1:9" ht="15" hidden="1" thickBot="1" x14ac:dyDescent="0.4">
      <c r="A480" s="32"/>
      <c r="B480" s="4"/>
      <c r="C480" s="46"/>
      <c r="D480" s="706"/>
      <c r="E480" s="834">
        <f>'Verification Report'!O480</f>
        <v>0</v>
      </c>
    </row>
    <row r="481" spans="1:9" ht="15" hidden="1" thickBot="1" x14ac:dyDescent="0.4">
      <c r="A481" s="32"/>
      <c r="B481" s="4"/>
      <c r="C481" s="46"/>
      <c r="D481" s="706"/>
      <c r="E481" s="834">
        <f>'Verification Report'!O481</f>
        <v>0</v>
      </c>
    </row>
    <row r="482" spans="1:9" ht="15" hidden="1" thickBot="1" x14ac:dyDescent="0.4">
      <c r="A482" s="32"/>
      <c r="B482" s="4"/>
      <c r="C482" s="46"/>
      <c r="D482" s="706"/>
      <c r="E482" s="834">
        <f>'Verification Report'!O482</f>
        <v>0</v>
      </c>
    </row>
    <row r="483" spans="1:9" ht="15" hidden="1" customHeight="1" x14ac:dyDescent="0.35">
      <c r="A483" s="32"/>
      <c r="B483" s="19" t="s">
        <v>270</v>
      </c>
      <c r="C483" s="46"/>
      <c r="D483" s="723" t="s">
        <v>677</v>
      </c>
      <c r="E483" s="44"/>
    </row>
    <row r="484" spans="1:9" ht="15.75" hidden="1" customHeight="1" x14ac:dyDescent="0.35">
      <c r="A484" s="32"/>
      <c r="B484" s="148"/>
      <c r="C484" s="116"/>
      <c r="D484" s="724"/>
      <c r="E484" s="44"/>
    </row>
    <row r="485" spans="1:9" ht="15" hidden="1" thickBot="1" x14ac:dyDescent="0.4">
      <c r="A485" s="32"/>
      <c r="B485" s="150" t="s">
        <v>272</v>
      </c>
      <c r="C485" s="151"/>
      <c r="D485" s="151" t="s">
        <v>678</v>
      </c>
      <c r="E485" s="44"/>
    </row>
    <row r="486" spans="1:9" ht="15" hidden="1" customHeight="1" x14ac:dyDescent="0.35">
      <c r="A486" s="32"/>
      <c r="B486" s="19" t="s">
        <v>274</v>
      </c>
      <c r="C486" s="46"/>
      <c r="D486" s="707" t="s">
        <v>679</v>
      </c>
      <c r="E486" s="44"/>
    </row>
    <row r="487" spans="1:9" ht="15.75" hidden="1" customHeight="1" x14ac:dyDescent="0.35">
      <c r="A487" s="32"/>
      <c r="B487" s="4"/>
      <c r="C487" s="46"/>
      <c r="D487" s="707"/>
      <c r="E487" s="44"/>
    </row>
    <row r="488" spans="1:9" ht="15.75" hidden="1" customHeight="1" thickBot="1" x14ac:dyDescent="0.4">
      <c r="A488" s="32"/>
      <c r="B488" s="4"/>
      <c r="C488" s="46"/>
      <c r="D488" s="707"/>
      <c r="E488" s="44"/>
    </row>
    <row r="489" spans="1:9" ht="15.75" customHeight="1" thickTop="1" x14ac:dyDescent="0.35">
      <c r="A489" s="123">
        <v>602.29999999999995</v>
      </c>
      <c r="B489" s="124"/>
      <c r="C489" s="125"/>
      <c r="D489" s="711" t="s">
        <v>680</v>
      </c>
      <c r="E489" s="940">
        <f>'Verification Report'!O489</f>
        <v>0</v>
      </c>
      <c r="G489">
        <v>1</v>
      </c>
      <c r="H489" s="571"/>
      <c r="I489" t="s">
        <v>4659</v>
      </c>
    </row>
    <row r="490" spans="1:9" x14ac:dyDescent="0.35">
      <c r="A490" s="32"/>
      <c r="B490" s="4"/>
      <c r="C490" s="46"/>
      <c r="D490" s="706"/>
      <c r="E490" s="834">
        <f>'Verification Report'!O490</f>
        <v>0</v>
      </c>
      <c r="G490">
        <v>1</v>
      </c>
    </row>
    <row r="491" spans="1:9" ht="15" thickBot="1" x14ac:dyDescent="0.4">
      <c r="A491" s="32"/>
      <c r="B491" s="4"/>
      <c r="C491" s="46"/>
      <c r="D491" s="706"/>
      <c r="E491" s="834">
        <f>'Verification Report'!O491</f>
        <v>0</v>
      </c>
      <c r="G491">
        <v>1</v>
      </c>
    </row>
    <row r="492" spans="1:9" ht="15" thickTop="1" x14ac:dyDescent="0.35">
      <c r="A492" s="123">
        <v>602.4</v>
      </c>
      <c r="B492" s="124"/>
      <c r="C492" s="125"/>
      <c r="D492" s="81" t="s">
        <v>681</v>
      </c>
      <c r="E492" s="195"/>
      <c r="G492">
        <v>1</v>
      </c>
    </row>
    <row r="493" spans="1:9" ht="15" customHeight="1" x14ac:dyDescent="0.35">
      <c r="A493" s="32" t="s">
        <v>682</v>
      </c>
      <c r="B493" s="4"/>
      <c r="C493" s="46"/>
      <c r="D493" s="706" t="s">
        <v>683</v>
      </c>
      <c r="E493" s="44"/>
      <c r="F493" s="569" t="b">
        <f>IF('Verification Report'!W493="","",'Verification Report'!W493)</f>
        <v>1</v>
      </c>
      <c r="G493">
        <v>1</v>
      </c>
      <c r="H493" s="571"/>
      <c r="I493" t="s">
        <v>4658</v>
      </c>
    </row>
    <row r="494" spans="1:9" x14ac:dyDescent="0.35">
      <c r="A494" s="32"/>
      <c r="B494" s="4"/>
      <c r="C494" s="46"/>
      <c r="D494" s="706"/>
      <c r="E494" s="44"/>
      <c r="G494">
        <v>1</v>
      </c>
    </row>
    <row r="495" spans="1:9" x14ac:dyDescent="0.35">
      <c r="A495" s="32"/>
      <c r="B495" s="4"/>
      <c r="C495" s="46"/>
      <c r="D495" s="706"/>
      <c r="E495" s="44"/>
      <c r="G495">
        <v>1</v>
      </c>
    </row>
    <row r="496" spans="1:9" x14ac:dyDescent="0.35">
      <c r="A496" s="32"/>
      <c r="B496" s="4"/>
      <c r="C496" s="46"/>
      <c r="D496" s="706"/>
      <c r="E496" s="44"/>
      <c r="G496">
        <v>1</v>
      </c>
    </row>
    <row r="497" spans="1:9" x14ac:dyDescent="0.35">
      <c r="A497" s="161"/>
      <c r="B497" s="155"/>
      <c r="C497" s="116"/>
      <c r="D497" s="739"/>
      <c r="E497" s="44"/>
      <c r="G497">
        <v>1</v>
      </c>
    </row>
    <row r="498" spans="1:9" ht="15" customHeight="1" x14ac:dyDescent="0.35">
      <c r="A498" s="32" t="s">
        <v>684</v>
      </c>
      <c r="B498" s="4"/>
      <c r="C498" s="46"/>
      <c r="D498" s="706" t="s">
        <v>685</v>
      </c>
      <c r="E498" s="834">
        <f>'Verification Report'!O498</f>
        <v>0</v>
      </c>
      <c r="G498">
        <v>1</v>
      </c>
      <c r="H498" s="571"/>
      <c r="I498" t="s">
        <v>4658</v>
      </c>
    </row>
    <row r="499" spans="1:9" x14ac:dyDescent="0.35">
      <c r="A499" s="161"/>
      <c r="B499" s="155"/>
      <c r="C499" s="116"/>
      <c r="D499" s="739"/>
      <c r="E499" s="886">
        <f>'Verification Report'!O499</f>
        <v>0</v>
      </c>
      <c r="G499">
        <v>1</v>
      </c>
    </row>
    <row r="500" spans="1:9" ht="15" thickBot="1" x14ac:dyDescent="0.4">
      <c r="A500" s="32" t="s">
        <v>686</v>
      </c>
      <c r="B500" s="4"/>
      <c r="C500" s="46"/>
      <c r="D500" s="48" t="s">
        <v>687</v>
      </c>
      <c r="E500" s="44">
        <f>'Verification Report'!O500</f>
        <v>0</v>
      </c>
      <c r="G500">
        <v>1</v>
      </c>
      <c r="H500" s="571"/>
      <c r="I500" t="s">
        <v>4658</v>
      </c>
    </row>
    <row r="501" spans="1:9" ht="19" hidden="1" thickBot="1" x14ac:dyDescent="0.5">
      <c r="A501" s="38" t="s">
        <v>688</v>
      </c>
      <c r="B501" s="15"/>
      <c r="C501" s="45"/>
      <c r="D501" s="42"/>
      <c r="E501" s="37"/>
    </row>
    <row r="502" spans="1:9" ht="15" hidden="1" customHeight="1" x14ac:dyDescent="0.35">
      <c r="A502" s="441" t="s">
        <v>4355</v>
      </c>
      <c r="B502" s="4"/>
      <c r="C502" s="46"/>
      <c r="D502" s="706" t="s">
        <v>689</v>
      </c>
      <c r="E502" s="44"/>
    </row>
    <row r="503" spans="1:9" ht="15" hidden="1" thickBot="1" x14ac:dyDescent="0.4">
      <c r="A503" s="32"/>
      <c r="B503" s="4"/>
      <c r="C503" s="46"/>
      <c r="D503" s="706"/>
      <c r="E503" s="44"/>
    </row>
    <row r="504" spans="1:9" ht="15.75" hidden="1" customHeight="1" thickTop="1" x14ac:dyDescent="0.35">
      <c r="A504" s="123">
        <v>603.1</v>
      </c>
      <c r="B504" s="124"/>
      <c r="C504" s="125"/>
      <c r="D504" s="711" t="s">
        <v>690</v>
      </c>
      <c r="E504" s="940">
        <f>'Verification Report'!O504</f>
        <v>0</v>
      </c>
    </row>
    <row r="505" spans="1:9" ht="15.75" hidden="1" customHeight="1" x14ac:dyDescent="0.35">
      <c r="A505" s="32"/>
      <c r="B505" s="4"/>
      <c r="C505" s="46"/>
      <c r="D505" s="706"/>
      <c r="E505" s="834">
        <f>'Verification Report'!O505</f>
        <v>0</v>
      </c>
    </row>
    <row r="506" spans="1:9" ht="15.75" hidden="1" customHeight="1" x14ac:dyDescent="0.35">
      <c r="A506" s="32"/>
      <c r="B506" s="4"/>
      <c r="C506" s="46"/>
      <c r="D506" s="100" t="s">
        <v>691</v>
      </c>
      <c r="E506" s="834">
        <f>'Verification Report'!O506</f>
        <v>0</v>
      </c>
    </row>
    <row r="507" spans="1:9" ht="15" hidden="1" customHeight="1" x14ac:dyDescent="0.35">
      <c r="A507" s="32"/>
      <c r="B507" s="4"/>
      <c r="C507" s="46"/>
      <c r="D507" s="744" t="s">
        <v>3255</v>
      </c>
      <c r="E507" s="834">
        <f>'Verification Report'!O507</f>
        <v>0</v>
      </c>
    </row>
    <row r="508" spans="1:9" ht="15.75" hidden="1" customHeight="1" x14ac:dyDescent="0.35">
      <c r="A508" s="32"/>
      <c r="B508" s="4"/>
      <c r="C508" s="46"/>
      <c r="D508" s="745"/>
      <c r="E508" s="834">
        <f>'Verification Report'!O508</f>
        <v>0</v>
      </c>
    </row>
    <row r="509" spans="1:9" ht="15.75" hidden="1" customHeight="1" thickBot="1" x14ac:dyDescent="0.4">
      <c r="A509" s="32"/>
      <c r="B509" s="4"/>
      <c r="C509" s="46"/>
      <c r="D509" s="745"/>
      <c r="E509" s="834">
        <f>'Verification Report'!O509</f>
        <v>0</v>
      </c>
    </row>
    <row r="510" spans="1:9" ht="15.75" hidden="1" customHeight="1" thickTop="1" x14ac:dyDescent="0.35">
      <c r="A510" s="123">
        <v>603.20000000000005</v>
      </c>
      <c r="B510" s="124"/>
      <c r="C510" s="125"/>
      <c r="D510" s="711" t="s">
        <v>692</v>
      </c>
      <c r="E510" s="940">
        <f>'Verification Report'!O510</f>
        <v>0</v>
      </c>
    </row>
    <row r="511" spans="1:9" ht="15.75" hidden="1" customHeight="1" x14ac:dyDescent="0.35">
      <c r="A511" s="32"/>
      <c r="B511" s="4"/>
      <c r="C511" s="46"/>
      <c r="D511" s="706"/>
      <c r="E511" s="834">
        <f>'Verification Report'!O511</f>
        <v>0</v>
      </c>
    </row>
    <row r="512" spans="1:9" ht="15.75" hidden="1" customHeight="1" x14ac:dyDescent="0.35">
      <c r="A512" s="32"/>
      <c r="B512" s="4"/>
      <c r="C512" s="46"/>
      <c r="D512" s="706"/>
      <c r="E512" s="834">
        <f>'Verification Report'!O512</f>
        <v>0</v>
      </c>
    </row>
    <row r="513" spans="1:5" ht="26.25" hidden="1" customHeight="1" x14ac:dyDescent="0.35">
      <c r="A513" s="32"/>
      <c r="B513" s="4"/>
      <c r="C513" s="46"/>
      <c r="D513" s="106" t="s">
        <v>3257</v>
      </c>
      <c r="E513" s="834">
        <f>'Verification Report'!O513</f>
        <v>0</v>
      </c>
    </row>
    <row r="514" spans="1:5" ht="15" hidden="1" customHeight="1" x14ac:dyDescent="0.35">
      <c r="A514" s="32"/>
      <c r="B514" s="4"/>
      <c r="C514" s="46"/>
      <c r="D514" s="744" t="s">
        <v>3255</v>
      </c>
      <c r="E514" s="834">
        <f>'Verification Report'!O514</f>
        <v>0</v>
      </c>
    </row>
    <row r="515" spans="1:5" ht="15.75" hidden="1" customHeight="1" x14ac:dyDescent="0.35">
      <c r="A515" s="32"/>
      <c r="B515" s="4"/>
      <c r="C515" s="46"/>
      <c r="D515" s="745"/>
      <c r="E515" s="834">
        <f>'Verification Report'!O515</f>
        <v>0</v>
      </c>
    </row>
    <row r="516" spans="1:5" ht="15.75" hidden="1" customHeight="1" thickBot="1" x14ac:dyDescent="0.4">
      <c r="A516" s="32"/>
      <c r="B516" s="4"/>
      <c r="C516" s="46"/>
      <c r="D516" s="745"/>
      <c r="E516" s="834">
        <f>'Verification Report'!O516</f>
        <v>0</v>
      </c>
    </row>
    <row r="517" spans="1:5" ht="15.75" hidden="1" customHeight="1" thickTop="1" x14ac:dyDescent="0.35">
      <c r="A517" s="123">
        <v>603.29999999999995</v>
      </c>
      <c r="B517" s="124"/>
      <c r="C517" s="125"/>
      <c r="D517" s="711" t="s">
        <v>693</v>
      </c>
      <c r="E517" s="940">
        <f>'Verification Report'!O517</f>
        <v>0</v>
      </c>
    </row>
    <row r="518" spans="1:5" ht="15.75" hidden="1" customHeight="1" x14ac:dyDescent="0.35">
      <c r="A518" s="32"/>
      <c r="B518" s="4"/>
      <c r="C518" s="46"/>
      <c r="D518" s="706"/>
      <c r="E518" s="834">
        <f>'Verification Report'!O518</f>
        <v>0</v>
      </c>
    </row>
    <row r="519" spans="1:5" ht="26.25" hidden="1" customHeight="1" x14ac:dyDescent="0.35">
      <c r="A519" s="32"/>
      <c r="B519" s="4"/>
      <c r="C519" s="46"/>
      <c r="D519" s="105" t="s">
        <v>3253</v>
      </c>
      <c r="E519" s="834">
        <f>'Verification Report'!O519</f>
        <v>0</v>
      </c>
    </row>
    <row r="520" spans="1:5" ht="19" hidden="1" thickBot="1" x14ac:dyDescent="0.5">
      <c r="A520" s="10" t="s">
        <v>694</v>
      </c>
      <c r="B520" s="15"/>
      <c r="C520" s="45"/>
      <c r="D520" s="42"/>
      <c r="E520" s="37"/>
    </row>
    <row r="521" spans="1:5" ht="15" hidden="1" customHeight="1" x14ac:dyDescent="0.35">
      <c r="A521" s="32">
        <v>604.1</v>
      </c>
      <c r="B521" s="4"/>
      <c r="C521" s="46"/>
      <c r="D521" s="706" t="s">
        <v>695</v>
      </c>
      <c r="E521" s="834">
        <f>IFERROR(INDEX({0,1,2,3},MATCH(MIN(#REF!+0,#REF!+0),{0,0.25,0.5,0.75},1)),0)+IFERROR(INDEX({0,2,4,6},MATCH(MIN(#REF!+0,#REF!+0),{0,0.25,0.5,0.75},1)),0)</f>
        <v>0</v>
      </c>
    </row>
    <row r="522" spans="1:5" ht="15.75" hidden="1" customHeight="1" x14ac:dyDescent="0.35">
      <c r="A522" s="32"/>
      <c r="B522" s="4"/>
      <c r="C522" s="46"/>
      <c r="D522" s="706"/>
      <c r="E522" s="834"/>
    </row>
    <row r="523" spans="1:5" ht="15.75" hidden="1" customHeight="1" x14ac:dyDescent="0.35">
      <c r="A523" s="32"/>
      <c r="B523" s="4"/>
      <c r="C523" s="46"/>
      <c r="D523" s="105" t="s">
        <v>3267</v>
      </c>
      <c r="E523" s="834"/>
    </row>
    <row r="524" spans="1:5" ht="15.75" hidden="1" customHeight="1" x14ac:dyDescent="0.35">
      <c r="A524" s="32"/>
      <c r="B524" s="4"/>
      <c r="C524" s="46"/>
      <c r="D524" t="s">
        <v>3264</v>
      </c>
      <c r="E524" s="834"/>
    </row>
    <row r="525" spans="1:5" ht="15" hidden="1" customHeight="1" x14ac:dyDescent="0.35">
      <c r="A525" s="32"/>
      <c r="B525" s="4"/>
      <c r="C525" s="46"/>
      <c r="D525" s="714" t="s">
        <v>3266</v>
      </c>
      <c r="E525" s="834"/>
    </row>
    <row r="526" spans="1:5" ht="15.75" hidden="1" customHeight="1" x14ac:dyDescent="0.35">
      <c r="A526" s="32"/>
      <c r="B526" s="4"/>
      <c r="C526" s="46"/>
      <c r="D526" s="714"/>
      <c r="E526" s="834"/>
    </row>
    <row r="527" spans="1:5" ht="15.75" hidden="1" customHeight="1" x14ac:dyDescent="0.35">
      <c r="A527" s="32"/>
      <c r="B527" s="4"/>
      <c r="C527" s="46"/>
      <c r="E527" s="834"/>
    </row>
    <row r="528" spans="1:5" ht="15.75" hidden="1" customHeight="1" x14ac:dyDescent="0.35">
      <c r="A528" s="32"/>
      <c r="B528" s="4"/>
      <c r="C528" s="46"/>
      <c r="E528" s="834"/>
    </row>
    <row r="529" spans="1:5" ht="19" hidden="1" thickBot="1" x14ac:dyDescent="0.5">
      <c r="A529" s="10" t="s">
        <v>696</v>
      </c>
      <c r="B529" s="15"/>
      <c r="C529" s="45"/>
      <c r="D529" s="38"/>
      <c r="E529" s="37"/>
    </row>
    <row r="530" spans="1:5" ht="15" hidden="1" customHeight="1" x14ac:dyDescent="0.35">
      <c r="A530" s="41" t="s">
        <v>4354</v>
      </c>
      <c r="B530" s="4"/>
      <c r="C530" s="46"/>
      <c r="D530" s="706" t="s">
        <v>697</v>
      </c>
      <c r="E530" s="44"/>
    </row>
    <row r="531" spans="1:5" ht="15" hidden="1" thickBot="1" x14ac:dyDescent="0.4">
      <c r="A531" s="32"/>
      <c r="B531" s="4"/>
      <c r="C531" s="46"/>
      <c r="D531" s="706"/>
      <c r="E531" s="44"/>
    </row>
    <row r="532" spans="1:5" ht="15" hidden="1" thickBot="1" x14ac:dyDescent="0.4">
      <c r="A532" s="32"/>
      <c r="B532" s="4"/>
      <c r="C532" s="46"/>
      <c r="D532" s="100" t="s">
        <v>698</v>
      </c>
      <c r="E532" s="44"/>
    </row>
    <row r="533" spans="1:5" ht="15.75" hidden="1" customHeight="1" thickTop="1" x14ac:dyDescent="0.35">
      <c r="A533" s="123">
        <v>605.1</v>
      </c>
      <c r="B533" s="124"/>
      <c r="C533" s="125"/>
      <c r="D533" s="711" t="s">
        <v>699</v>
      </c>
      <c r="E533" s="940">
        <f>'Verification Report'!O533</f>
        <v>0</v>
      </c>
    </row>
    <row r="534" spans="1:5" ht="15.75" hidden="1" customHeight="1" x14ac:dyDescent="0.35">
      <c r="A534" s="32"/>
      <c r="B534" s="4"/>
      <c r="C534" s="46"/>
      <c r="D534" s="706"/>
      <c r="E534" s="834">
        <f>'Verification Report'!O534</f>
        <v>0</v>
      </c>
    </row>
    <row r="535" spans="1:5" ht="15.75" hidden="1" customHeight="1" x14ac:dyDescent="0.35">
      <c r="A535" s="32"/>
      <c r="B535" s="4"/>
      <c r="C535" s="46"/>
      <c r="D535" s="706"/>
      <c r="E535" s="834">
        <f>'Verification Report'!O535</f>
        <v>0</v>
      </c>
    </row>
    <row r="536" spans="1:5" ht="15.75" hidden="1" customHeight="1" x14ac:dyDescent="0.35">
      <c r="A536" s="32"/>
      <c r="B536" s="4"/>
      <c r="C536" s="46"/>
      <c r="D536" s="706"/>
      <c r="E536" s="834">
        <f>'Verification Report'!O536</f>
        <v>0</v>
      </c>
    </row>
    <row r="537" spans="1:5" ht="15.75" hidden="1" customHeight="1" x14ac:dyDescent="0.35">
      <c r="A537" s="32"/>
      <c r="B537" s="4"/>
      <c r="C537" s="46"/>
      <c r="D537" s="706"/>
      <c r="E537" s="834">
        <f>'Verification Report'!O537</f>
        <v>0</v>
      </c>
    </row>
    <row r="538" spans="1:5" ht="15.75" hidden="1" customHeight="1" x14ac:dyDescent="0.35">
      <c r="A538" s="32"/>
      <c r="B538" s="4"/>
      <c r="C538" s="46"/>
      <c r="D538" s="706"/>
      <c r="E538" s="834">
        <f>'Verification Report'!O538</f>
        <v>0</v>
      </c>
    </row>
    <row r="539" spans="1:5" ht="15" hidden="1" customHeight="1" x14ac:dyDescent="0.35">
      <c r="A539" s="32"/>
      <c r="B539" s="4"/>
      <c r="C539" s="46"/>
      <c r="D539" s="707" t="s">
        <v>700</v>
      </c>
      <c r="E539" s="834">
        <f>'Verification Report'!O539</f>
        <v>0</v>
      </c>
    </row>
    <row r="540" spans="1:5" ht="15.75" hidden="1" customHeight="1" x14ac:dyDescent="0.35">
      <c r="A540" s="32"/>
      <c r="B540" s="4"/>
      <c r="C540" s="46"/>
      <c r="D540" s="707"/>
      <c r="E540" s="834">
        <f>'Verification Report'!O540</f>
        <v>0</v>
      </c>
    </row>
    <row r="541" spans="1:5" ht="15.75" hidden="1" customHeight="1" x14ac:dyDescent="0.35">
      <c r="A541" s="32"/>
      <c r="B541" s="4"/>
      <c r="C541" s="46"/>
      <c r="D541" s="707"/>
      <c r="E541" s="834">
        <f>'Verification Report'!O541</f>
        <v>0</v>
      </c>
    </row>
    <row r="542" spans="1:5" ht="15.75" hidden="1" customHeight="1" x14ac:dyDescent="0.35">
      <c r="A542" s="32"/>
      <c r="B542" s="4"/>
      <c r="C542" s="46"/>
      <c r="D542" s="707"/>
      <c r="E542" s="834">
        <f>'Verification Report'!O542</f>
        <v>0</v>
      </c>
    </row>
    <row r="543" spans="1:5" ht="15.75" hidden="1" customHeight="1" x14ac:dyDescent="0.35">
      <c r="A543" s="32"/>
      <c r="B543" s="4"/>
      <c r="C543" s="46"/>
      <c r="D543" s="48" t="s">
        <v>701</v>
      </c>
      <c r="E543" s="834">
        <f>'Verification Report'!O543</f>
        <v>0</v>
      </c>
    </row>
    <row r="544" spans="1:5" ht="15" hidden="1" customHeight="1" x14ac:dyDescent="0.35">
      <c r="A544" s="32"/>
      <c r="B544" s="19" t="s">
        <v>270</v>
      </c>
      <c r="C544" s="46"/>
      <c r="D544" s="707" t="s">
        <v>702</v>
      </c>
      <c r="E544" s="834">
        <f>'Verification Report'!O544</f>
        <v>0</v>
      </c>
    </row>
    <row r="545" spans="1:5" ht="15.75" hidden="1" customHeight="1" x14ac:dyDescent="0.35">
      <c r="A545" s="32"/>
      <c r="B545" s="4"/>
      <c r="C545" s="46"/>
      <c r="D545" s="707"/>
      <c r="E545" s="834">
        <f>'Verification Report'!O545</f>
        <v>0</v>
      </c>
    </row>
    <row r="546" spans="1:5" ht="15" hidden="1" customHeight="1" x14ac:dyDescent="0.35">
      <c r="A546" s="32"/>
      <c r="B546" s="19" t="s">
        <v>272</v>
      </c>
      <c r="C546" s="46"/>
      <c r="D546" s="707" t="s">
        <v>703</v>
      </c>
      <c r="E546" s="834">
        <f>'Verification Report'!O546</f>
        <v>0</v>
      </c>
    </row>
    <row r="547" spans="1:5" ht="15.75" hidden="1" customHeight="1" thickBot="1" x14ac:dyDescent="0.4">
      <c r="A547" s="32"/>
      <c r="B547" s="4"/>
      <c r="C547" s="46"/>
      <c r="D547" s="707"/>
      <c r="E547" s="834">
        <f>'Verification Report'!O547</f>
        <v>0</v>
      </c>
    </row>
    <row r="548" spans="1:5" ht="15.75" hidden="1" customHeight="1" thickTop="1" x14ac:dyDescent="0.35">
      <c r="A548" s="123">
        <v>605.20000000000005</v>
      </c>
      <c r="B548" s="124"/>
      <c r="C548" s="125"/>
      <c r="D548" s="711" t="s">
        <v>704</v>
      </c>
      <c r="E548" s="940">
        <f>'Verification Report'!O548</f>
        <v>0</v>
      </c>
    </row>
    <row r="549" spans="1:5" ht="15.75" hidden="1" customHeight="1" x14ac:dyDescent="0.35">
      <c r="A549" s="32"/>
      <c r="B549" s="4"/>
      <c r="C549" s="46"/>
      <c r="D549" s="706"/>
      <c r="E549" s="834">
        <f>'Verification Report'!O549</f>
        <v>0</v>
      </c>
    </row>
    <row r="550" spans="1:5" ht="15" hidden="1" customHeight="1" x14ac:dyDescent="0.35">
      <c r="A550" s="32"/>
      <c r="B550" s="4"/>
      <c r="C550" s="50" t="s">
        <v>121</v>
      </c>
      <c r="D550" s="707" t="s">
        <v>705</v>
      </c>
      <c r="E550" s="44"/>
    </row>
    <row r="551" spans="1:5" ht="15.75" hidden="1" customHeight="1" x14ac:dyDescent="0.35">
      <c r="A551" s="32"/>
      <c r="B551" s="4"/>
      <c r="C551" s="46"/>
      <c r="D551" s="707"/>
      <c r="E551" s="44"/>
    </row>
    <row r="552" spans="1:5" ht="15.75" hidden="1" customHeight="1" x14ac:dyDescent="0.35">
      <c r="A552" s="32"/>
      <c r="B552" s="4"/>
      <c r="C552" s="116"/>
      <c r="D552" s="709"/>
      <c r="E552" s="44"/>
    </row>
    <row r="553" spans="1:5" ht="15.75" hidden="1" customHeight="1" x14ac:dyDescent="0.35">
      <c r="A553" s="32"/>
      <c r="B553" s="4"/>
      <c r="C553" s="158" t="s">
        <v>122</v>
      </c>
      <c r="D553" s="151" t="s">
        <v>706</v>
      </c>
      <c r="E553" s="44"/>
    </row>
    <row r="554" spans="1:5" ht="15" hidden="1" customHeight="1" x14ac:dyDescent="0.35">
      <c r="A554" s="32"/>
      <c r="B554" s="4"/>
      <c r="C554" s="52" t="s">
        <v>123</v>
      </c>
      <c r="D554" s="707" t="s">
        <v>707</v>
      </c>
      <c r="E554" s="44"/>
    </row>
    <row r="555" spans="1:5" ht="15.75" hidden="1" customHeight="1" x14ac:dyDescent="0.35">
      <c r="A555" s="32"/>
      <c r="B555" s="4"/>
      <c r="C555" s="48"/>
      <c r="D555" s="707"/>
      <c r="E555" s="44"/>
    </row>
    <row r="556" spans="1:5" ht="15.75" hidden="1" customHeight="1" thickBot="1" x14ac:dyDescent="0.4">
      <c r="A556" s="32"/>
      <c r="B556" s="4"/>
      <c r="C556" s="46"/>
      <c r="D556" s="707"/>
      <c r="E556" s="44"/>
    </row>
    <row r="557" spans="1:5" ht="15.75" hidden="1" customHeight="1" thickTop="1" x14ac:dyDescent="0.35">
      <c r="A557" s="123">
        <v>605.29999999999995</v>
      </c>
      <c r="B557" s="124"/>
      <c r="C557" s="125"/>
      <c r="D557" s="711" t="s">
        <v>708</v>
      </c>
      <c r="E557" s="940">
        <f>'Verification Report'!O557</f>
        <v>4</v>
      </c>
    </row>
    <row r="558" spans="1:5" ht="15" hidden="1" thickBot="1" x14ac:dyDescent="0.4">
      <c r="A558" s="32"/>
      <c r="B558" s="4"/>
      <c r="C558" s="46"/>
      <c r="D558" s="706"/>
      <c r="E558" s="834">
        <f>'Verification Report'!O558</f>
        <v>0</v>
      </c>
    </row>
    <row r="559" spans="1:5" ht="15" hidden="1" thickBot="1" x14ac:dyDescent="0.4">
      <c r="A559" s="32"/>
      <c r="B559" s="148" t="s">
        <v>270</v>
      </c>
      <c r="C559" s="116"/>
      <c r="D559" s="116" t="s">
        <v>710</v>
      </c>
      <c r="E559" s="44"/>
    </row>
    <row r="560" spans="1:5" ht="15" hidden="1" thickBot="1" x14ac:dyDescent="0.4">
      <c r="A560" s="32"/>
      <c r="B560" s="19" t="s">
        <v>272</v>
      </c>
      <c r="C560" s="46"/>
      <c r="D560" s="46" t="s">
        <v>711</v>
      </c>
      <c r="E560" s="44"/>
    </row>
    <row r="561" spans="1:5" ht="15.75" hidden="1" customHeight="1" x14ac:dyDescent="0.35">
      <c r="A561" s="32"/>
      <c r="B561" s="4"/>
      <c r="C561" s="115" t="s">
        <v>121</v>
      </c>
      <c r="D561" s="116" t="s">
        <v>3268</v>
      </c>
      <c r="E561" s="44"/>
    </row>
    <row r="562" spans="1:5" ht="15.75" hidden="1" customHeight="1" x14ac:dyDescent="0.35">
      <c r="A562" s="32"/>
      <c r="B562" s="4"/>
      <c r="C562" s="158" t="s">
        <v>122</v>
      </c>
      <c r="D562" s="151" t="s">
        <v>3269</v>
      </c>
      <c r="E562" s="44"/>
    </row>
    <row r="563" spans="1:5" ht="15.75" hidden="1" customHeight="1" x14ac:dyDescent="0.35">
      <c r="A563" s="32"/>
      <c r="B563" s="4"/>
      <c r="C563" s="163" t="s">
        <v>123</v>
      </c>
      <c r="D563" s="151" t="s">
        <v>3270</v>
      </c>
      <c r="E563" s="44"/>
    </row>
    <row r="564" spans="1:5" ht="15.75" hidden="1" customHeight="1" x14ac:dyDescent="0.35">
      <c r="A564" s="32"/>
      <c r="B564" s="4"/>
      <c r="C564" s="164" t="s">
        <v>420</v>
      </c>
      <c r="D564" s="151" t="s">
        <v>3271</v>
      </c>
      <c r="E564" s="44"/>
    </row>
    <row r="565" spans="1:5" ht="15.75" hidden="1" customHeight="1" x14ac:dyDescent="0.35">
      <c r="A565" s="32"/>
      <c r="B565" s="4"/>
      <c r="C565" s="158" t="s">
        <v>575</v>
      </c>
      <c r="D565" s="151" t="s">
        <v>3272</v>
      </c>
      <c r="E565" s="44"/>
    </row>
    <row r="566" spans="1:5" ht="15.75" hidden="1" customHeight="1" x14ac:dyDescent="0.35">
      <c r="A566" s="32"/>
      <c r="B566" s="4"/>
      <c r="C566" s="158" t="s">
        <v>642</v>
      </c>
      <c r="D566" s="151" t="s">
        <v>3273</v>
      </c>
      <c r="E566" s="44"/>
    </row>
    <row r="567" spans="1:5" ht="15.75" hidden="1" customHeight="1" x14ac:dyDescent="0.35">
      <c r="A567" s="32"/>
      <c r="B567" s="4"/>
      <c r="C567" s="163" t="s">
        <v>644</v>
      </c>
      <c r="D567" s="151" t="s">
        <v>3274</v>
      </c>
      <c r="E567" s="44"/>
    </row>
    <row r="568" spans="1:5" ht="15" hidden="1" thickBot="1" x14ac:dyDescent="0.4">
      <c r="A568" s="32"/>
      <c r="C568" s="164" t="s">
        <v>646</v>
      </c>
      <c r="D568" s="151" t="s">
        <v>3275</v>
      </c>
      <c r="E568" s="44"/>
    </row>
    <row r="569" spans="1:5" ht="15" hidden="1" thickBot="1" x14ac:dyDescent="0.4">
      <c r="A569" s="32"/>
      <c r="C569" s="48" t="s">
        <v>982</v>
      </c>
      <c r="D569" s="46" t="s">
        <v>3275</v>
      </c>
      <c r="E569" s="44"/>
    </row>
    <row r="570" spans="1:5" ht="15" hidden="1" thickBot="1" x14ac:dyDescent="0.4">
      <c r="A570" s="32"/>
      <c r="C570" s="48"/>
      <c r="D570" s="105" t="s">
        <v>3276</v>
      </c>
      <c r="E570" s="44"/>
    </row>
    <row r="571" spans="1:5" ht="19" hidden="1" thickBot="1" x14ac:dyDescent="0.5">
      <c r="A571" s="10" t="s">
        <v>712</v>
      </c>
      <c r="B571" s="15"/>
      <c r="C571" s="45"/>
      <c r="D571" s="42"/>
      <c r="E571" s="37"/>
    </row>
    <row r="572" spans="1:5" ht="15" hidden="1" thickBot="1" x14ac:dyDescent="0.4">
      <c r="A572" s="41" t="s">
        <v>4353</v>
      </c>
      <c r="B572" s="4"/>
      <c r="C572" s="46"/>
      <c r="D572" s="48" t="s">
        <v>713</v>
      </c>
      <c r="E572" s="44"/>
    </row>
    <row r="573" spans="1:5" ht="15.5" hidden="1" thickTop="1" thickBot="1" x14ac:dyDescent="0.4">
      <c r="A573" s="123">
        <v>606.1</v>
      </c>
      <c r="B573" s="124"/>
      <c r="C573" s="125"/>
      <c r="D573" s="81" t="s">
        <v>714</v>
      </c>
      <c r="E573" s="940">
        <f ca="1">'Verification Report'!O573</f>
        <v>0</v>
      </c>
    </row>
    <row r="574" spans="1:5" ht="15.75" hidden="1" customHeight="1" x14ac:dyDescent="0.35">
      <c r="A574" s="32"/>
      <c r="B574" s="4"/>
      <c r="C574" s="50" t="s">
        <v>121</v>
      </c>
      <c r="D574" s="46" t="s">
        <v>715</v>
      </c>
      <c r="E574" s="834">
        <f>'Verification Report'!O574</f>
        <v>0</v>
      </c>
    </row>
    <row r="575" spans="1:5" ht="15.75" hidden="1" customHeight="1" x14ac:dyDescent="0.35">
      <c r="A575" s="32"/>
      <c r="B575" s="4"/>
      <c r="C575" s="50" t="s">
        <v>122</v>
      </c>
      <c r="D575" s="46" t="s">
        <v>716</v>
      </c>
      <c r="E575" s="834">
        <f>'Verification Report'!O575</f>
        <v>0</v>
      </c>
    </row>
    <row r="576" spans="1:5" ht="15.75" hidden="1" customHeight="1" x14ac:dyDescent="0.35">
      <c r="A576" s="32"/>
      <c r="B576" s="4"/>
      <c r="C576" s="52" t="s">
        <v>123</v>
      </c>
      <c r="D576" s="46" t="s">
        <v>717</v>
      </c>
      <c r="E576" s="834">
        <f>'Verification Report'!O576</f>
        <v>0</v>
      </c>
    </row>
    <row r="577" spans="1:5" ht="15.75" hidden="1" customHeight="1" x14ac:dyDescent="0.35">
      <c r="A577" s="32"/>
      <c r="B577" s="4"/>
      <c r="C577" s="48" t="s">
        <v>420</v>
      </c>
      <c r="D577" s="46" t="s">
        <v>718</v>
      </c>
      <c r="E577" s="834">
        <f>'Verification Report'!O577</f>
        <v>0</v>
      </c>
    </row>
    <row r="578" spans="1:5" ht="15.75" hidden="1" customHeight="1" x14ac:dyDescent="0.35">
      <c r="A578" s="32"/>
      <c r="B578" s="4"/>
      <c r="C578" s="50" t="s">
        <v>575</v>
      </c>
      <c r="D578" s="46" t="s">
        <v>719</v>
      </c>
      <c r="E578" s="834">
        <f>'Verification Report'!O578</f>
        <v>0</v>
      </c>
    </row>
    <row r="579" spans="1:5" ht="15.75" hidden="1" customHeight="1" x14ac:dyDescent="0.35">
      <c r="A579" s="32"/>
      <c r="B579" s="4"/>
      <c r="C579" s="50" t="s">
        <v>642</v>
      </c>
      <c r="D579" s="46" t="s">
        <v>720</v>
      </c>
      <c r="E579" s="834">
        <f>'Verification Report'!O579</f>
        <v>0</v>
      </c>
    </row>
    <row r="580" spans="1:5" ht="15.75" hidden="1" customHeight="1" x14ac:dyDescent="0.35">
      <c r="A580" s="32"/>
      <c r="B580" s="4"/>
      <c r="C580" s="52" t="s">
        <v>644</v>
      </c>
      <c r="D580" s="46" t="s">
        <v>721</v>
      </c>
      <c r="E580" s="834">
        <f>'Verification Report'!O580</f>
        <v>0</v>
      </c>
    </row>
    <row r="581" spans="1:5" ht="15" hidden="1" customHeight="1" x14ac:dyDescent="0.35">
      <c r="A581" s="32"/>
      <c r="B581" s="4"/>
      <c r="C581" s="48" t="s">
        <v>646</v>
      </c>
      <c r="D581" s="707" t="s">
        <v>722</v>
      </c>
      <c r="E581" s="834">
        <f>'Verification Report'!O581</f>
        <v>0</v>
      </c>
    </row>
    <row r="582" spans="1:5" ht="15.75" hidden="1" customHeight="1" x14ac:dyDescent="0.35">
      <c r="A582" s="32"/>
      <c r="B582" s="4"/>
      <c r="C582" s="48"/>
      <c r="D582" s="707"/>
      <c r="E582" s="834">
        <f>'Verification Report'!O582</f>
        <v>0</v>
      </c>
    </row>
    <row r="583" spans="1:5" ht="15.75" hidden="1" customHeight="1" x14ac:dyDescent="0.35">
      <c r="A583" s="32"/>
      <c r="B583" s="4"/>
      <c r="C583" s="48"/>
      <c r="D583" s="105" t="s">
        <v>1302</v>
      </c>
      <c r="E583" s="44"/>
    </row>
    <row r="584" spans="1:5" ht="15" hidden="1" customHeight="1" x14ac:dyDescent="0.35">
      <c r="A584" s="32"/>
      <c r="B584" s="19" t="s">
        <v>270</v>
      </c>
      <c r="C584" s="46"/>
      <c r="D584" s="707" t="s">
        <v>723</v>
      </c>
      <c r="E584" s="44"/>
    </row>
    <row r="585" spans="1:5" ht="15.75" hidden="1" customHeight="1" x14ac:dyDescent="0.35">
      <c r="A585" s="32"/>
      <c r="B585" s="155"/>
      <c r="C585" s="116"/>
      <c r="D585" s="709"/>
      <c r="E585" s="44"/>
    </row>
    <row r="586" spans="1:5" ht="15" hidden="1" customHeight="1" x14ac:dyDescent="0.35">
      <c r="A586" s="32"/>
      <c r="B586" s="154" t="s">
        <v>272</v>
      </c>
      <c r="C586" s="137"/>
      <c r="D586" s="742" t="s">
        <v>724</v>
      </c>
      <c r="E586" s="44"/>
    </row>
    <row r="587" spans="1:5" ht="15.75" hidden="1" customHeight="1" x14ac:dyDescent="0.35">
      <c r="A587" s="32"/>
      <c r="B587" s="155"/>
      <c r="C587" s="116"/>
      <c r="D587" s="709"/>
      <c r="E587" s="44"/>
    </row>
    <row r="588" spans="1:5" ht="15" hidden="1" customHeight="1" x14ac:dyDescent="0.35">
      <c r="A588" s="32"/>
      <c r="B588" s="19" t="s">
        <v>274</v>
      </c>
      <c r="C588" s="46"/>
      <c r="D588" s="707" t="s">
        <v>725</v>
      </c>
      <c r="E588" s="44"/>
    </row>
    <row r="589" spans="1:5" ht="15.75" hidden="1" customHeight="1" thickBot="1" x14ac:dyDescent="0.4">
      <c r="A589" s="32"/>
      <c r="B589" s="4"/>
      <c r="C589" s="46"/>
      <c r="D589" s="707"/>
      <c r="E589" s="44"/>
    </row>
    <row r="590" spans="1:5" ht="15.75" hidden="1" customHeight="1" thickTop="1" x14ac:dyDescent="0.35">
      <c r="A590" s="123">
        <v>606.20000000000005</v>
      </c>
      <c r="B590" s="124"/>
      <c r="C590" s="125"/>
      <c r="D590" s="711" t="s">
        <v>726</v>
      </c>
      <c r="E590" s="195"/>
    </row>
    <row r="591" spans="1:5" ht="15" hidden="1" thickBot="1" x14ac:dyDescent="0.4">
      <c r="A591" s="32"/>
      <c r="B591" s="4"/>
      <c r="C591" s="46"/>
      <c r="D591" s="706"/>
      <c r="E591" s="44"/>
    </row>
    <row r="592" spans="1:5" ht="15" hidden="1" thickBot="1" x14ac:dyDescent="0.4">
      <c r="A592" s="32"/>
      <c r="B592" s="4"/>
      <c r="C592" s="50" t="s">
        <v>121</v>
      </c>
      <c r="D592" s="46" t="s">
        <v>727</v>
      </c>
      <c r="E592" s="44"/>
    </row>
    <row r="593" spans="1:5" ht="15" hidden="1" customHeight="1" x14ac:dyDescent="0.35">
      <c r="A593" s="32"/>
      <c r="B593" s="4"/>
      <c r="C593" s="50" t="s">
        <v>122</v>
      </c>
      <c r="D593" s="707" t="s">
        <v>728</v>
      </c>
      <c r="E593" s="44"/>
    </row>
    <row r="594" spans="1:5" ht="15" hidden="1" thickBot="1" x14ac:dyDescent="0.4">
      <c r="A594" s="32"/>
      <c r="B594" s="4"/>
      <c r="C594" s="50"/>
      <c r="D594" s="707"/>
      <c r="E594" s="44"/>
    </row>
    <row r="595" spans="1:5" ht="15" hidden="1" thickBot="1" x14ac:dyDescent="0.4">
      <c r="A595" s="32"/>
      <c r="B595" s="4"/>
      <c r="C595" s="50" t="s">
        <v>123</v>
      </c>
      <c r="D595" s="101" t="s">
        <v>729</v>
      </c>
      <c r="E595" s="44"/>
    </row>
    <row r="596" spans="1:5" ht="15" hidden="1" thickBot="1" x14ac:dyDescent="0.4">
      <c r="A596" s="32"/>
      <c r="B596" s="4"/>
      <c r="C596" s="52" t="s">
        <v>420</v>
      </c>
      <c r="D596" s="101" t="s">
        <v>730</v>
      </c>
      <c r="E596" s="44"/>
    </row>
    <row r="597" spans="1:5" ht="15" hidden="1" thickBot="1" x14ac:dyDescent="0.4">
      <c r="A597" s="32"/>
      <c r="B597" s="4"/>
      <c r="C597" s="48" t="s">
        <v>575</v>
      </c>
      <c r="D597" s="101" t="s">
        <v>731</v>
      </c>
      <c r="E597" s="44"/>
    </row>
    <row r="598" spans="1:5" ht="15" hidden="1" thickBot="1" x14ac:dyDescent="0.4">
      <c r="A598" s="32"/>
      <c r="B598" s="4"/>
      <c r="C598" s="50" t="s">
        <v>642</v>
      </c>
      <c r="D598" s="46" t="s">
        <v>732</v>
      </c>
      <c r="E598" s="44"/>
    </row>
    <row r="599" spans="1:5" ht="15" hidden="1" thickBot="1" x14ac:dyDescent="0.4">
      <c r="A599" s="32"/>
      <c r="B599" s="4"/>
      <c r="C599" s="50" t="s">
        <v>644</v>
      </c>
      <c r="D599" s="46" t="s">
        <v>733</v>
      </c>
      <c r="E599" s="44"/>
    </row>
    <row r="600" spans="1:5" ht="15" hidden="1" thickBot="1" x14ac:dyDescent="0.4">
      <c r="A600" s="32"/>
      <c r="B600" s="4"/>
      <c r="C600" s="50" t="s">
        <v>646</v>
      </c>
      <c r="D600" s="46" t="s">
        <v>3280</v>
      </c>
      <c r="E600" s="44"/>
    </row>
    <row r="601" spans="1:5" ht="15" hidden="1" customHeight="1" x14ac:dyDescent="0.35">
      <c r="A601" s="32"/>
      <c r="B601" s="19" t="s">
        <v>270</v>
      </c>
      <c r="C601" s="46"/>
      <c r="D601" s="707" t="s">
        <v>734</v>
      </c>
      <c r="E601" s="834">
        <f>'Verification Report'!O601</f>
        <v>0</v>
      </c>
    </row>
    <row r="602" spans="1:5" ht="15.75" hidden="1" customHeight="1" x14ac:dyDescent="0.35">
      <c r="A602" s="32"/>
      <c r="B602" s="19"/>
      <c r="C602" s="46"/>
      <c r="D602" s="707"/>
      <c r="E602" s="834">
        <f>'Verification Report'!O602</f>
        <v>0</v>
      </c>
    </row>
    <row r="603" spans="1:5" ht="15.75" hidden="1" customHeight="1" x14ac:dyDescent="0.35">
      <c r="A603" s="32"/>
      <c r="B603" s="148"/>
      <c r="C603" s="116"/>
      <c r="D603" s="121" t="s">
        <v>3282</v>
      </c>
      <c r="E603" s="886">
        <f>'Verification Report'!O603</f>
        <v>0</v>
      </c>
    </row>
    <row r="604" spans="1:5" ht="15" hidden="1" customHeight="1" x14ac:dyDescent="0.35">
      <c r="A604" s="32"/>
      <c r="B604" s="19" t="s">
        <v>272</v>
      </c>
      <c r="C604" s="46"/>
      <c r="D604" s="707" t="s">
        <v>735</v>
      </c>
      <c r="E604" s="834">
        <f>'Verification Report'!O604</f>
        <v>4</v>
      </c>
    </row>
    <row r="605" spans="1:5" ht="15.75" hidden="1" customHeight="1" x14ac:dyDescent="0.35">
      <c r="A605" s="32"/>
      <c r="B605" s="4"/>
      <c r="C605" s="46"/>
      <c r="D605" s="707"/>
      <c r="E605" s="834">
        <f>'Verification Report'!O605</f>
        <v>0</v>
      </c>
    </row>
    <row r="606" spans="1:5" ht="15.75" hidden="1" customHeight="1" thickBot="1" x14ac:dyDescent="0.4">
      <c r="A606" s="32"/>
      <c r="B606" s="4"/>
      <c r="C606" s="46"/>
      <c r="D606" s="197" t="s">
        <v>3282</v>
      </c>
      <c r="E606" s="834">
        <f>'Verification Report'!O606</f>
        <v>0</v>
      </c>
    </row>
    <row r="607" spans="1:5" ht="15.75" hidden="1" customHeight="1" thickTop="1" x14ac:dyDescent="0.35">
      <c r="A607" s="123">
        <v>606.29999999999995</v>
      </c>
      <c r="B607" s="124"/>
      <c r="C607" s="125"/>
      <c r="D607" s="711" t="s">
        <v>736</v>
      </c>
      <c r="E607" s="940">
        <f ca="1">'Verification Report'!O607</f>
        <v>0</v>
      </c>
    </row>
    <row r="608" spans="1:5" ht="15.75" hidden="1" customHeight="1" x14ac:dyDescent="0.35">
      <c r="A608" s="32"/>
      <c r="B608" s="4"/>
      <c r="C608" s="46"/>
      <c r="D608" s="706"/>
      <c r="E608" s="834">
        <f>'Verification Report'!O608</f>
        <v>0</v>
      </c>
    </row>
    <row r="609" spans="1:5" ht="15.75" hidden="1" customHeight="1" x14ac:dyDescent="0.35">
      <c r="A609" s="32"/>
      <c r="B609" s="4"/>
      <c r="C609" s="46"/>
      <c r="D609" s="706"/>
      <c r="E609" s="834">
        <f>'Verification Report'!O609</f>
        <v>0</v>
      </c>
    </row>
    <row r="610" spans="1:5" ht="15.75" hidden="1" customHeight="1" x14ac:dyDescent="0.35">
      <c r="A610" s="32"/>
      <c r="B610" s="4"/>
      <c r="C610" s="46"/>
      <c r="D610" s="706"/>
      <c r="E610" s="834">
        <f>'Verification Report'!O610</f>
        <v>0</v>
      </c>
    </row>
    <row r="611" spans="1:5" ht="15.75" hidden="1" customHeight="1" x14ac:dyDescent="0.35">
      <c r="A611" s="32"/>
      <c r="B611" s="4"/>
      <c r="C611" s="46"/>
      <c r="D611" s="100" t="s">
        <v>737</v>
      </c>
      <c r="E611" s="834">
        <f>'Verification Report'!O611</f>
        <v>0</v>
      </c>
    </row>
    <row r="612" spans="1:5" ht="15.75" hidden="1" customHeight="1" x14ac:dyDescent="0.35">
      <c r="A612" s="32"/>
      <c r="B612" s="4"/>
      <c r="C612" s="46"/>
      <c r="D612" s="105" t="s">
        <v>3286</v>
      </c>
      <c r="E612" s="834">
        <f>'Verification Report'!O612</f>
        <v>0</v>
      </c>
    </row>
    <row r="613" spans="1:5" ht="19" hidden="1" thickBot="1" x14ac:dyDescent="0.5">
      <c r="A613" s="10" t="s">
        <v>738</v>
      </c>
      <c r="B613" s="15"/>
      <c r="C613" s="45"/>
      <c r="D613" s="42"/>
      <c r="E613" s="37"/>
    </row>
    <row r="614" spans="1:5" ht="15" hidden="1" customHeight="1" x14ac:dyDescent="0.35">
      <c r="A614" s="32">
        <v>607.1</v>
      </c>
      <c r="B614" s="4"/>
      <c r="C614" s="46"/>
      <c r="D614" s="706" t="s">
        <v>739</v>
      </c>
      <c r="E614" s="44"/>
    </row>
    <row r="615" spans="1:5" ht="15" hidden="1" thickBot="1" x14ac:dyDescent="0.4">
      <c r="A615" s="32"/>
      <c r="B615" s="4"/>
      <c r="C615" s="46"/>
      <c r="D615" s="706"/>
      <c r="E615" s="44"/>
    </row>
    <row r="616" spans="1:5" ht="15" hidden="1" customHeight="1" x14ac:dyDescent="0.35">
      <c r="A616" s="32"/>
      <c r="B616" s="19" t="s">
        <v>270</v>
      </c>
      <c r="C616" s="46"/>
      <c r="D616" s="707" t="s">
        <v>740</v>
      </c>
      <c r="E616" s="834">
        <f>'Verification Report'!O616</f>
        <v>0</v>
      </c>
    </row>
    <row r="617" spans="1:5" ht="15.75" hidden="1" customHeight="1" x14ac:dyDescent="0.35">
      <c r="A617" s="32"/>
      <c r="B617" s="148"/>
      <c r="C617" s="116"/>
      <c r="D617" s="709"/>
      <c r="E617" s="886">
        <f>'Verification Report'!O617</f>
        <v>0</v>
      </c>
    </row>
    <row r="618" spans="1:5" ht="15" hidden="1" thickBot="1" x14ac:dyDescent="0.4">
      <c r="A618" s="32"/>
      <c r="B618" s="19" t="s">
        <v>272</v>
      </c>
      <c r="C618" s="46"/>
      <c r="D618" s="46" t="s">
        <v>741</v>
      </c>
      <c r="E618" s="44">
        <f>'Verification Report'!O618</f>
        <v>0</v>
      </c>
    </row>
    <row r="619" spans="1:5" ht="15.75" hidden="1" customHeight="1" thickTop="1" x14ac:dyDescent="0.35">
      <c r="A619" s="123">
        <v>607.20000000000005</v>
      </c>
      <c r="B619" s="124"/>
      <c r="C619" s="125"/>
      <c r="D619" s="711" t="s">
        <v>742</v>
      </c>
      <c r="E619" s="940">
        <f>'Verification Report'!O619</f>
        <v>0</v>
      </c>
    </row>
    <row r="620" spans="1:5" ht="15.75" hidden="1" customHeight="1" x14ac:dyDescent="0.35">
      <c r="A620" s="32"/>
      <c r="B620" s="4"/>
      <c r="C620" s="46"/>
      <c r="D620" s="706"/>
      <c r="E620" s="834">
        <f>'Verification Report'!O620</f>
        <v>0</v>
      </c>
    </row>
    <row r="621" spans="1:5" ht="19" hidden="1" thickBot="1" x14ac:dyDescent="0.5">
      <c r="A621" s="10" t="s">
        <v>743</v>
      </c>
      <c r="B621" s="15"/>
      <c r="C621" s="45"/>
      <c r="D621" s="42"/>
      <c r="E621" s="37"/>
    </row>
    <row r="622" spans="1:5" ht="15" hidden="1" customHeight="1" x14ac:dyDescent="0.35">
      <c r="A622" s="32">
        <v>608.1</v>
      </c>
      <c r="B622" s="4"/>
      <c r="C622" s="46"/>
      <c r="D622" s="706" t="s">
        <v>744</v>
      </c>
      <c r="E622" s="834">
        <f ca="1">'Verification Report'!O622</f>
        <v>6</v>
      </c>
    </row>
    <row r="623" spans="1:5" ht="15.75" hidden="1" customHeight="1" x14ac:dyDescent="0.35">
      <c r="A623" s="32"/>
      <c r="B623" s="4"/>
      <c r="C623" s="46"/>
      <c r="D623" s="706"/>
      <c r="E623" s="834">
        <f>'Verification Report'!O623</f>
        <v>0</v>
      </c>
    </row>
    <row r="624" spans="1:5" ht="15.75" hidden="1" customHeight="1" x14ac:dyDescent="0.35">
      <c r="A624" s="32"/>
      <c r="B624" s="4"/>
      <c r="C624" s="46"/>
      <c r="D624" s="706"/>
      <c r="E624" s="834">
        <f>'Verification Report'!O624</f>
        <v>0</v>
      </c>
    </row>
    <row r="625" spans="1:5" ht="15" hidden="1" customHeight="1" x14ac:dyDescent="0.35">
      <c r="A625" s="32"/>
      <c r="B625" s="19" t="s">
        <v>270</v>
      </c>
      <c r="C625" s="46"/>
      <c r="D625" s="707" t="s">
        <v>745</v>
      </c>
      <c r="E625" s="834">
        <f>'Verification Report'!O625</f>
        <v>0</v>
      </c>
    </row>
    <row r="626" spans="1:5" ht="15.75" hidden="1" customHeight="1" x14ac:dyDescent="0.35">
      <c r="A626" s="32"/>
      <c r="B626" s="19"/>
      <c r="C626" s="46"/>
      <c r="D626" s="707"/>
      <c r="E626" s="834">
        <f>'Verification Report'!O626</f>
        <v>0</v>
      </c>
    </row>
    <row r="627" spans="1:5" ht="15.75" hidden="1" customHeight="1" x14ac:dyDescent="0.35">
      <c r="A627" s="32"/>
      <c r="B627" s="19" t="s">
        <v>272</v>
      </c>
      <c r="C627" s="46"/>
      <c r="D627" s="46" t="s">
        <v>746</v>
      </c>
      <c r="E627" s="834">
        <f>'Verification Report'!O627</f>
        <v>0</v>
      </c>
    </row>
    <row r="628" spans="1:5" ht="15.75" hidden="1" customHeight="1" x14ac:dyDescent="0.35">
      <c r="A628" s="32"/>
      <c r="B628" s="19" t="s">
        <v>274</v>
      </c>
      <c r="C628" s="46"/>
      <c r="D628" s="46" t="s">
        <v>747</v>
      </c>
      <c r="E628" s="834">
        <f>'Verification Report'!O628</f>
        <v>0</v>
      </c>
    </row>
    <row r="629" spans="1:5" ht="26.25" hidden="1" customHeight="1" x14ac:dyDescent="0.35">
      <c r="A629" s="32"/>
      <c r="B629" s="19"/>
      <c r="C629" s="46"/>
      <c r="D629" s="105" t="s">
        <v>3291</v>
      </c>
      <c r="E629" s="834">
        <f>'Verification Report'!O629</f>
        <v>0</v>
      </c>
    </row>
    <row r="630" spans="1:5" ht="19" hidden="1" thickBot="1" x14ac:dyDescent="0.5">
      <c r="A630" s="10" t="s">
        <v>748</v>
      </c>
      <c r="B630" s="15"/>
      <c r="C630" s="45"/>
      <c r="D630" s="42"/>
      <c r="E630" s="37"/>
    </row>
    <row r="631" spans="1:5" ht="15" hidden="1" customHeight="1" x14ac:dyDescent="0.35">
      <c r="A631" s="32">
        <v>609.1</v>
      </c>
      <c r="B631" s="4"/>
      <c r="C631" s="46"/>
      <c r="D631" s="706" t="s">
        <v>749</v>
      </c>
      <c r="E631" s="834">
        <f ca="1">'Verification Report'!O631</f>
        <v>0</v>
      </c>
    </row>
    <row r="632" spans="1:5" ht="15.75" hidden="1" customHeight="1" x14ac:dyDescent="0.35">
      <c r="A632" s="32"/>
      <c r="B632" s="4"/>
      <c r="C632" s="46"/>
      <c r="D632" s="706"/>
      <c r="E632" s="834">
        <f>'Verification Report'!O632</f>
        <v>0</v>
      </c>
    </row>
    <row r="633" spans="1:5" ht="15" hidden="1" customHeight="1" x14ac:dyDescent="0.35">
      <c r="A633" s="32"/>
      <c r="B633" s="4"/>
      <c r="C633" s="46"/>
      <c r="D633" s="752" t="s">
        <v>3307</v>
      </c>
      <c r="E633" s="834">
        <f>'Verification Report'!O633</f>
        <v>0</v>
      </c>
    </row>
    <row r="634" spans="1:5" ht="15.75" hidden="1" customHeight="1" x14ac:dyDescent="0.35">
      <c r="A634" s="32"/>
      <c r="B634" s="4"/>
      <c r="C634" s="46"/>
      <c r="D634" s="752"/>
      <c r="E634" s="834">
        <f>'Verification Report'!O634</f>
        <v>0</v>
      </c>
    </row>
    <row r="635" spans="1:5" ht="15.75" hidden="1" customHeight="1" x14ac:dyDescent="0.35">
      <c r="A635" s="32"/>
      <c r="B635" s="4"/>
      <c r="C635" s="46"/>
      <c r="D635" s="752"/>
      <c r="E635" s="834">
        <f>'Verification Report'!O635</f>
        <v>0</v>
      </c>
    </row>
    <row r="636" spans="1:5" ht="15" hidden="1" customHeight="1" x14ac:dyDescent="0.35">
      <c r="A636" s="32"/>
      <c r="B636" s="4"/>
      <c r="C636" s="46"/>
      <c r="D636" s="744" t="s">
        <v>3306</v>
      </c>
      <c r="E636" s="834">
        <f>'Verification Report'!O636</f>
        <v>0</v>
      </c>
    </row>
    <row r="637" spans="1:5" ht="15.75" hidden="1" customHeight="1" x14ac:dyDescent="0.35">
      <c r="A637" s="32"/>
      <c r="B637" s="4"/>
      <c r="C637" s="46"/>
      <c r="D637" s="754"/>
      <c r="E637" s="834">
        <f>'Verification Report'!O637</f>
        <v>0</v>
      </c>
    </row>
    <row r="638" spans="1:5" ht="19" hidden="1" thickBot="1" x14ac:dyDescent="0.5">
      <c r="A638" s="10" t="s">
        <v>751</v>
      </c>
      <c r="B638" s="15"/>
      <c r="C638" s="45"/>
      <c r="D638" s="42"/>
      <c r="E638" s="37"/>
    </row>
    <row r="639" spans="1:5" ht="15" hidden="1" customHeight="1" x14ac:dyDescent="0.35">
      <c r="A639" s="32">
        <v>610.1</v>
      </c>
      <c r="B639" s="4"/>
      <c r="C639" s="46"/>
      <c r="D639" s="706" t="s">
        <v>752</v>
      </c>
      <c r="E639" s="44"/>
    </row>
    <row r="640" spans="1:5" ht="15" hidden="1" thickBot="1" x14ac:dyDescent="0.4">
      <c r="A640" s="32"/>
      <c r="B640" s="4"/>
      <c r="C640" s="46"/>
      <c r="D640" s="706"/>
      <c r="E640" s="44"/>
    </row>
    <row r="641" spans="1:5" ht="15" hidden="1" thickBot="1" x14ac:dyDescent="0.4">
      <c r="A641" s="32"/>
      <c r="B641" s="4"/>
      <c r="C641" s="46"/>
      <c r="D641" s="706"/>
      <c r="E641" s="44"/>
    </row>
    <row r="642" spans="1:5" ht="15" hidden="1" thickBot="1" x14ac:dyDescent="0.4">
      <c r="A642" s="32"/>
      <c r="B642" s="4"/>
      <c r="C642" s="46"/>
      <c r="D642" s="706"/>
      <c r="E642" s="44"/>
    </row>
    <row r="643" spans="1:5" ht="15" hidden="1" thickBot="1" x14ac:dyDescent="0.4">
      <c r="A643" s="32"/>
      <c r="B643" s="4"/>
      <c r="C643" s="46"/>
      <c r="D643" s="706"/>
      <c r="E643" s="44"/>
    </row>
    <row r="644" spans="1:5" ht="15" hidden="1" thickBot="1" x14ac:dyDescent="0.4">
      <c r="A644" s="32"/>
      <c r="B644" s="4"/>
      <c r="C644" s="46"/>
      <c r="D644" s="706"/>
      <c r="E644" s="44"/>
    </row>
    <row r="645" spans="1:5" ht="15.75" hidden="1" customHeight="1" thickTop="1" x14ac:dyDescent="0.35">
      <c r="A645" s="123" t="s">
        <v>753</v>
      </c>
      <c r="B645" s="124"/>
      <c r="C645" s="125"/>
      <c r="D645" s="711" t="s">
        <v>754</v>
      </c>
      <c r="E645" s="195"/>
    </row>
    <row r="646" spans="1:5" ht="15" hidden="1" thickBot="1" x14ac:dyDescent="0.4">
      <c r="A646" s="32"/>
      <c r="B646" s="4"/>
      <c r="C646" s="46"/>
      <c r="D646" s="706"/>
      <c r="E646" s="44"/>
    </row>
    <row r="647" spans="1:5" ht="15" hidden="1" customHeight="1" x14ac:dyDescent="0.35">
      <c r="A647" s="32"/>
      <c r="B647" s="19" t="s">
        <v>270</v>
      </c>
      <c r="C647" s="46"/>
      <c r="D647" s="707" t="s">
        <v>755</v>
      </c>
      <c r="E647" s="834">
        <f>'Verification Report'!O647</f>
        <v>0</v>
      </c>
    </row>
    <row r="648" spans="1:5" ht="15.75" hidden="1" customHeight="1" x14ac:dyDescent="0.35">
      <c r="A648" s="32"/>
      <c r="B648" s="4"/>
      <c r="C648" s="46"/>
      <c r="D648" s="707"/>
      <c r="E648" s="834">
        <f>'Verification Report'!O648</f>
        <v>0</v>
      </c>
    </row>
    <row r="649" spans="1:5" ht="15.75" hidden="1" customHeight="1" x14ac:dyDescent="0.35">
      <c r="A649" s="32"/>
      <c r="B649" s="4"/>
      <c r="C649" s="46"/>
      <c r="D649" s="707"/>
      <c r="E649" s="834">
        <f>'Verification Report'!O649</f>
        <v>0</v>
      </c>
    </row>
    <row r="650" spans="1:5" ht="15.75" hidden="1" customHeight="1" x14ac:dyDescent="0.35">
      <c r="A650" s="32"/>
      <c r="B650" s="4"/>
      <c r="C650" s="50" t="s">
        <v>121</v>
      </c>
      <c r="D650" s="46" t="s">
        <v>756</v>
      </c>
      <c r="E650" s="834">
        <f>'Verification Report'!O650</f>
        <v>0</v>
      </c>
    </row>
    <row r="651" spans="1:5" ht="15.75" hidden="1" customHeight="1" x14ac:dyDescent="0.35">
      <c r="A651" s="32"/>
      <c r="B651" s="4"/>
      <c r="C651" s="50" t="s">
        <v>122</v>
      </c>
      <c r="D651" s="46" t="s">
        <v>757</v>
      </c>
      <c r="E651" s="834">
        <f>'Verification Report'!O651</f>
        <v>0</v>
      </c>
    </row>
    <row r="652" spans="1:5" ht="15.75" hidden="1" customHeight="1" x14ac:dyDescent="0.35">
      <c r="A652" s="32"/>
      <c r="B652" s="4"/>
      <c r="C652" s="50" t="s">
        <v>123</v>
      </c>
      <c r="D652" s="46" t="s">
        <v>758</v>
      </c>
      <c r="E652" s="834">
        <f>'Verification Report'!O652</f>
        <v>0</v>
      </c>
    </row>
    <row r="653" spans="1:5" ht="15.75" hidden="1" customHeight="1" x14ac:dyDescent="0.35">
      <c r="A653" s="32"/>
      <c r="B653" s="4"/>
      <c r="C653" s="52" t="s">
        <v>420</v>
      </c>
      <c r="D653" s="46" t="s">
        <v>759</v>
      </c>
      <c r="E653" s="834">
        <f>'Verification Report'!O653</f>
        <v>0</v>
      </c>
    </row>
    <row r="654" spans="1:5" ht="15.75" hidden="1" customHeight="1" x14ac:dyDescent="0.35">
      <c r="A654" s="32"/>
      <c r="B654" s="4"/>
      <c r="C654" s="48" t="s">
        <v>575</v>
      </c>
      <c r="D654" s="46" t="s">
        <v>760</v>
      </c>
      <c r="E654" s="834">
        <f>'Verification Report'!O654</f>
        <v>0</v>
      </c>
    </row>
    <row r="655" spans="1:5" ht="15.75" hidden="1" customHeight="1" x14ac:dyDescent="0.35">
      <c r="A655" s="32"/>
      <c r="B655" s="155"/>
      <c r="C655" s="115" t="s">
        <v>642</v>
      </c>
      <c r="D655" s="116" t="s">
        <v>761</v>
      </c>
      <c r="E655" s="886">
        <f>'Verification Report'!O655</f>
        <v>0</v>
      </c>
    </row>
    <row r="656" spans="1:5" ht="15" hidden="1" customHeight="1" x14ac:dyDescent="0.35">
      <c r="A656" s="32"/>
      <c r="B656" s="154" t="s">
        <v>272</v>
      </c>
      <c r="C656" s="137"/>
      <c r="D656" s="742" t="s">
        <v>762</v>
      </c>
      <c r="E656" s="868">
        <f>'Verification Report'!O656</f>
        <v>0</v>
      </c>
    </row>
    <row r="657" spans="1:5" ht="15.75" hidden="1" customHeight="1" x14ac:dyDescent="0.35">
      <c r="A657" s="32"/>
      <c r="B657" s="4"/>
      <c r="C657" s="46"/>
      <c r="D657" s="707"/>
      <c r="E657" s="834">
        <f>'Verification Report'!O657</f>
        <v>0</v>
      </c>
    </row>
    <row r="658" spans="1:5" ht="15.75" hidden="1" customHeight="1" x14ac:dyDescent="0.35">
      <c r="A658" s="32"/>
      <c r="B658" s="4"/>
      <c r="C658" s="46"/>
      <c r="D658" s="707"/>
      <c r="E658" s="834">
        <f>'Verification Report'!O658</f>
        <v>0</v>
      </c>
    </row>
    <row r="659" spans="1:5" ht="15.75" hidden="1" customHeight="1" x14ac:dyDescent="0.35">
      <c r="A659" s="32"/>
      <c r="B659" s="4"/>
      <c r="C659" s="46"/>
      <c r="D659" s="707"/>
      <c r="E659" s="834">
        <f>'Verification Report'!O659</f>
        <v>0</v>
      </c>
    </row>
    <row r="660" spans="1:5" ht="15.75" hidden="1" customHeight="1" x14ac:dyDescent="0.35">
      <c r="A660" s="32"/>
      <c r="B660" s="4"/>
      <c r="C660" s="46"/>
      <c r="D660" s="707"/>
      <c r="E660" s="834">
        <f>'Verification Report'!O660</f>
        <v>0</v>
      </c>
    </row>
    <row r="661" spans="1:5" ht="15.75" hidden="1" customHeight="1" x14ac:dyDescent="0.35">
      <c r="A661" s="32"/>
      <c r="B661" s="4"/>
      <c r="C661" s="46"/>
      <c r="D661" s="707"/>
      <c r="E661" s="834">
        <f>'Verification Report'!O661</f>
        <v>0</v>
      </c>
    </row>
    <row r="662" spans="1:5" ht="15.75" hidden="1" customHeight="1" x14ac:dyDescent="0.35">
      <c r="A662" s="32"/>
      <c r="B662" s="155"/>
      <c r="C662" s="116"/>
      <c r="D662" s="709"/>
      <c r="E662" s="886">
        <f>'Verification Report'!O662</f>
        <v>0</v>
      </c>
    </row>
    <row r="663" spans="1:5" ht="15" hidden="1" customHeight="1" x14ac:dyDescent="0.35">
      <c r="A663" s="32"/>
      <c r="B663" s="19" t="s">
        <v>274</v>
      </c>
      <c r="C663" s="46"/>
      <c r="D663" s="707" t="s">
        <v>763</v>
      </c>
      <c r="E663" s="834">
        <f>'Verification Report'!O663</f>
        <v>0</v>
      </c>
    </row>
    <row r="664" spans="1:5" ht="15.75" hidden="1" customHeight="1" thickBot="1" x14ac:dyDescent="0.4">
      <c r="A664" s="32"/>
      <c r="B664" s="4"/>
      <c r="C664" s="46"/>
      <c r="D664" s="707"/>
      <c r="E664" s="834">
        <f>'Verification Report'!O664</f>
        <v>0</v>
      </c>
    </row>
    <row r="665" spans="1:5" ht="15.75" hidden="1" customHeight="1" thickTop="1" x14ac:dyDescent="0.35">
      <c r="A665" s="123" t="s">
        <v>764</v>
      </c>
      <c r="B665" s="124"/>
      <c r="C665" s="125"/>
      <c r="D665" s="711" t="s">
        <v>765</v>
      </c>
      <c r="E665" s="940">
        <f ca="1">'Verification Report'!O665</f>
        <v>0</v>
      </c>
    </row>
    <row r="666" spans="1:5" ht="15" hidden="1" thickBot="1" x14ac:dyDescent="0.4">
      <c r="A666" s="32"/>
      <c r="B666" s="4"/>
      <c r="C666" s="46"/>
      <c r="D666" s="706"/>
      <c r="E666" s="834">
        <f>'Verification Report'!O666</f>
        <v>0</v>
      </c>
    </row>
    <row r="667" spans="1:5" ht="15" hidden="1" thickBot="1" x14ac:dyDescent="0.4">
      <c r="A667" s="32"/>
      <c r="B667" s="4"/>
      <c r="C667" s="46"/>
      <c r="D667" s="706"/>
      <c r="E667" s="834">
        <f>'Verification Report'!O667</f>
        <v>0</v>
      </c>
    </row>
    <row r="668" spans="1:5" ht="15" hidden="1" thickBot="1" x14ac:dyDescent="0.4">
      <c r="A668" s="161"/>
      <c r="B668" s="155"/>
      <c r="C668" s="116"/>
      <c r="D668" s="739"/>
      <c r="E668" s="886">
        <f>'Verification Report'!O668</f>
        <v>0</v>
      </c>
    </row>
    <row r="669" spans="1:5" ht="15" hidden="1" customHeight="1" x14ac:dyDescent="0.35">
      <c r="A669" s="135" t="s">
        <v>767</v>
      </c>
      <c r="B669" s="136"/>
      <c r="C669" s="137"/>
      <c r="D669" s="753" t="s">
        <v>768</v>
      </c>
      <c r="E669" s="44"/>
    </row>
    <row r="670" spans="1:5" ht="15.75" hidden="1" customHeight="1" x14ac:dyDescent="0.35">
      <c r="A670" s="32"/>
      <c r="B670" s="4"/>
      <c r="C670" s="46"/>
      <c r="D670" s="706"/>
      <c r="E670" s="44"/>
    </row>
    <row r="671" spans="1:5" ht="15.75" hidden="1" customHeight="1" x14ac:dyDescent="0.35">
      <c r="A671" s="32"/>
      <c r="B671" s="4"/>
      <c r="C671" s="46"/>
      <c r="D671" s="706"/>
      <c r="E671" s="44"/>
    </row>
    <row r="672" spans="1:5" ht="15.75" hidden="1" customHeight="1" x14ac:dyDescent="0.35">
      <c r="A672" s="32"/>
      <c r="B672" s="4"/>
      <c r="C672" s="50" t="s">
        <v>121</v>
      </c>
      <c r="D672" s="46" t="s">
        <v>756</v>
      </c>
      <c r="E672" s="44"/>
    </row>
    <row r="673" spans="1:5" ht="15.75" hidden="1" customHeight="1" x14ac:dyDescent="0.35">
      <c r="A673" s="32"/>
      <c r="B673" s="4"/>
      <c r="C673" s="50" t="s">
        <v>122</v>
      </c>
      <c r="D673" s="46" t="s">
        <v>757</v>
      </c>
      <c r="E673" s="44"/>
    </row>
    <row r="674" spans="1:5" ht="15.75" hidden="1" customHeight="1" x14ac:dyDescent="0.35">
      <c r="A674" s="32"/>
      <c r="B674" s="4"/>
      <c r="C674" s="50" t="s">
        <v>123</v>
      </c>
      <c r="D674" s="46" t="s">
        <v>758</v>
      </c>
      <c r="E674" s="44"/>
    </row>
    <row r="675" spans="1:5" ht="15.75" hidden="1" customHeight="1" x14ac:dyDescent="0.35">
      <c r="A675" s="32"/>
      <c r="B675" s="4"/>
      <c r="C675" s="52" t="s">
        <v>420</v>
      </c>
      <c r="D675" s="46" t="s">
        <v>759</v>
      </c>
      <c r="E675" s="44"/>
    </row>
    <row r="676" spans="1:5" ht="15" hidden="1" customHeight="1" x14ac:dyDescent="0.35">
      <c r="A676" s="32"/>
      <c r="B676" s="4"/>
      <c r="C676" s="48" t="s">
        <v>575</v>
      </c>
      <c r="D676" s="46" t="s">
        <v>760</v>
      </c>
      <c r="E676" s="44"/>
    </row>
    <row r="677" spans="1:5" ht="15.75" hidden="1" customHeight="1" x14ac:dyDescent="0.35">
      <c r="A677" s="32"/>
      <c r="B677" s="4"/>
      <c r="C677" s="50" t="s">
        <v>642</v>
      </c>
      <c r="D677" s="46" t="s">
        <v>761</v>
      </c>
      <c r="E677" s="44"/>
    </row>
    <row r="678" spans="1:5" ht="15" hidden="1" customHeight="1" x14ac:dyDescent="0.35">
      <c r="A678" s="32"/>
      <c r="B678" s="4"/>
      <c r="D678" s="752" t="s">
        <v>769</v>
      </c>
      <c r="E678" s="44"/>
    </row>
    <row r="679" spans="1:5" ht="15.75" hidden="1" customHeight="1" x14ac:dyDescent="0.35">
      <c r="A679" s="32"/>
      <c r="B679" s="4"/>
      <c r="C679" s="107"/>
      <c r="D679" s="752"/>
      <c r="E679" s="44"/>
    </row>
    <row r="680" spans="1:5" ht="15.75" hidden="1" customHeight="1" x14ac:dyDescent="0.35">
      <c r="A680" s="32"/>
      <c r="B680" s="4"/>
      <c r="C680" s="107"/>
      <c r="D680" s="752"/>
      <c r="E680" s="44"/>
    </row>
    <row r="681" spans="1:5" ht="15" hidden="1" customHeight="1" x14ac:dyDescent="0.35">
      <c r="A681" s="32"/>
      <c r="B681" s="4"/>
      <c r="C681" s="107"/>
      <c r="D681" s="714" t="s">
        <v>3308</v>
      </c>
      <c r="E681" s="44"/>
    </row>
    <row r="682" spans="1:5" ht="15.75" hidden="1" customHeight="1" x14ac:dyDescent="0.35">
      <c r="A682" s="161"/>
      <c r="B682" s="155"/>
      <c r="C682" s="165"/>
      <c r="D682" s="755"/>
      <c r="E682" s="44"/>
    </row>
    <row r="683" spans="1:5" ht="15" hidden="1" customHeight="1" x14ac:dyDescent="0.35">
      <c r="A683" s="32" t="s">
        <v>770</v>
      </c>
      <c r="B683" s="4"/>
      <c r="C683" s="46"/>
      <c r="D683" s="706" t="s">
        <v>771</v>
      </c>
      <c r="E683" s="44"/>
    </row>
    <row r="684" spans="1:5" ht="15.75" hidden="1" customHeight="1" x14ac:dyDescent="0.35">
      <c r="A684" s="32"/>
      <c r="B684" s="4"/>
      <c r="C684" s="46"/>
      <c r="D684" s="706"/>
      <c r="E684" s="44"/>
    </row>
    <row r="685" spans="1:5" ht="15.75" hidden="1" customHeight="1" x14ac:dyDescent="0.35">
      <c r="A685" s="32"/>
      <c r="B685" s="4"/>
      <c r="C685" s="46"/>
      <c r="D685" s="706"/>
      <c r="E685" s="44"/>
    </row>
    <row r="686" spans="1:5" ht="15.75" hidden="1" customHeight="1" x14ac:dyDescent="0.35">
      <c r="A686" s="32"/>
      <c r="B686" s="4"/>
      <c r="C686" s="46"/>
      <c r="D686" s="706"/>
      <c r="E686" s="44"/>
    </row>
    <row r="687" spans="1:5" ht="15.75" hidden="1" customHeight="1" x14ac:dyDescent="0.35">
      <c r="A687" s="32"/>
      <c r="B687" s="4"/>
      <c r="C687" s="46"/>
      <c r="D687" s="706"/>
      <c r="E687" s="44"/>
    </row>
    <row r="688" spans="1:5" ht="15.75" hidden="1" customHeight="1" x14ac:dyDescent="0.35">
      <c r="A688" s="32"/>
      <c r="B688" s="4"/>
      <c r="C688" s="46"/>
      <c r="D688" s="706"/>
      <c r="E688" s="44"/>
    </row>
    <row r="689" spans="1:5" ht="15.75" hidden="1" customHeight="1" x14ac:dyDescent="0.35">
      <c r="A689" s="32"/>
      <c r="B689" s="4"/>
      <c r="C689" s="46"/>
      <c r="D689" s="706"/>
      <c r="E689" s="44"/>
    </row>
    <row r="690" spans="1:5" ht="15.75" hidden="1" customHeight="1" x14ac:dyDescent="0.35">
      <c r="A690" s="32"/>
      <c r="B690" s="4"/>
      <c r="C690" s="46"/>
      <c r="D690" s="706"/>
      <c r="E690" s="44"/>
    </row>
    <row r="691" spans="1:5" ht="15.75" hidden="1" customHeight="1" x14ac:dyDescent="0.35">
      <c r="A691" s="32"/>
      <c r="B691" s="4"/>
      <c r="C691" s="50" t="s">
        <v>121</v>
      </c>
      <c r="D691" s="46" t="s">
        <v>772</v>
      </c>
      <c r="E691" s="44"/>
    </row>
    <row r="692" spans="1:5" ht="15.75" hidden="1" customHeight="1" x14ac:dyDescent="0.35">
      <c r="A692" s="32"/>
      <c r="B692" s="4"/>
      <c r="C692" s="50" t="s">
        <v>122</v>
      </c>
      <c r="D692" s="46" t="s">
        <v>773</v>
      </c>
      <c r="E692" s="44"/>
    </row>
    <row r="693" spans="1:5" ht="15.75" hidden="1" customHeight="1" x14ac:dyDescent="0.35">
      <c r="A693" s="32"/>
      <c r="B693" s="4"/>
      <c r="C693" s="50" t="s">
        <v>123</v>
      </c>
      <c r="D693" s="46" t="s">
        <v>774</v>
      </c>
      <c r="E693" s="44"/>
    </row>
    <row r="694" spans="1:5" ht="15.75" hidden="1" customHeight="1" x14ac:dyDescent="0.35">
      <c r="A694" s="32"/>
      <c r="B694" s="4"/>
      <c r="C694" s="52" t="s">
        <v>420</v>
      </c>
      <c r="D694" s="46" t="s">
        <v>775</v>
      </c>
      <c r="E694" s="44"/>
    </row>
    <row r="695" spans="1:5" ht="15" hidden="1" customHeight="1" x14ac:dyDescent="0.35">
      <c r="A695" s="32"/>
      <c r="B695" s="4"/>
      <c r="C695" s="46"/>
      <c r="D695" s="723" t="s">
        <v>776</v>
      </c>
      <c r="E695" s="44"/>
    </row>
    <row r="696" spans="1:5" ht="15.75" hidden="1" customHeight="1" x14ac:dyDescent="0.35">
      <c r="A696" s="32"/>
      <c r="B696" s="4"/>
      <c r="C696" s="46"/>
      <c r="D696" s="723"/>
      <c r="E696" s="44"/>
    </row>
    <row r="697" spans="1:5" ht="15.75" hidden="1" customHeight="1" x14ac:dyDescent="0.35">
      <c r="A697" s="32"/>
      <c r="B697" s="4"/>
      <c r="C697" s="50" t="s">
        <v>121</v>
      </c>
      <c r="D697" s="46" t="s">
        <v>756</v>
      </c>
      <c r="E697" s="44"/>
    </row>
    <row r="698" spans="1:5" ht="15.75" hidden="1" customHeight="1" x14ac:dyDescent="0.35">
      <c r="A698" s="32"/>
      <c r="B698" s="4"/>
      <c r="C698" s="50" t="s">
        <v>122</v>
      </c>
      <c r="D698" s="46" t="s">
        <v>757</v>
      </c>
      <c r="E698" s="44"/>
    </row>
    <row r="699" spans="1:5" ht="15.75" hidden="1" customHeight="1" x14ac:dyDescent="0.35">
      <c r="A699" s="32"/>
      <c r="B699" s="4"/>
      <c r="C699" s="50" t="s">
        <v>123</v>
      </c>
      <c r="D699" s="46" t="s">
        <v>758</v>
      </c>
      <c r="E699" s="44"/>
    </row>
    <row r="700" spans="1:5" ht="15.75" hidden="1" customHeight="1" x14ac:dyDescent="0.35">
      <c r="A700" s="32"/>
      <c r="B700" s="4"/>
      <c r="C700" s="52" t="s">
        <v>420</v>
      </c>
      <c r="D700" s="46" t="s">
        <v>759</v>
      </c>
      <c r="E700" s="44"/>
    </row>
    <row r="701" spans="1:5" ht="15.75" hidden="1" customHeight="1" x14ac:dyDescent="0.35">
      <c r="A701" s="32"/>
      <c r="B701" s="4"/>
      <c r="C701" s="48" t="s">
        <v>575</v>
      </c>
      <c r="D701" s="46" t="s">
        <v>760</v>
      </c>
      <c r="E701" s="44"/>
    </row>
    <row r="702" spans="1:5" ht="15.75" hidden="1" customHeight="1" x14ac:dyDescent="0.35">
      <c r="A702" s="32"/>
      <c r="B702" s="4"/>
      <c r="C702" s="50" t="s">
        <v>642</v>
      </c>
      <c r="D702" s="46" t="s">
        <v>761</v>
      </c>
      <c r="E702" s="44"/>
    </row>
    <row r="703" spans="1:5" ht="15" hidden="1" customHeight="1" x14ac:dyDescent="0.35">
      <c r="A703" s="32"/>
      <c r="B703" s="4"/>
      <c r="C703" s="46"/>
      <c r="D703" s="752" t="s">
        <v>777</v>
      </c>
      <c r="E703" s="44"/>
    </row>
    <row r="704" spans="1:5" ht="15.75" hidden="1" customHeight="1" x14ac:dyDescent="0.35">
      <c r="A704" s="32"/>
      <c r="B704" s="4"/>
      <c r="C704" s="46"/>
      <c r="D704" s="752"/>
      <c r="E704" s="44"/>
    </row>
    <row r="705" spans="1:5" ht="15" hidden="1" customHeight="1" x14ac:dyDescent="0.35">
      <c r="A705" s="32"/>
      <c r="B705" s="4"/>
      <c r="C705" s="46"/>
      <c r="D705" s="744" t="s">
        <v>3316</v>
      </c>
      <c r="E705" s="44"/>
    </row>
    <row r="706" spans="1:5" ht="15.75" hidden="1" customHeight="1" x14ac:dyDescent="0.35">
      <c r="A706" s="32"/>
      <c r="B706" s="4"/>
      <c r="C706" s="46"/>
      <c r="D706" s="754"/>
      <c r="E706" s="44"/>
    </row>
    <row r="707" spans="1:5" ht="19" hidden="1" thickBot="1" x14ac:dyDescent="0.5">
      <c r="A707" s="10" t="s">
        <v>778</v>
      </c>
      <c r="B707" s="15"/>
      <c r="C707" s="45"/>
      <c r="D707" s="42"/>
      <c r="E707" s="37"/>
    </row>
    <row r="708" spans="1:5" ht="15" hidden="1" customHeight="1" x14ac:dyDescent="0.35">
      <c r="A708" s="32">
        <v>611.1</v>
      </c>
      <c r="B708" s="4"/>
      <c r="C708" s="46"/>
      <c r="D708" s="706" t="s">
        <v>779</v>
      </c>
      <c r="E708" s="834">
        <f ca="1">'Verification Report'!O708</f>
        <v>0</v>
      </c>
    </row>
    <row r="709" spans="1:5" ht="15.75" hidden="1" customHeight="1" x14ac:dyDescent="0.35">
      <c r="A709" s="32"/>
      <c r="B709" s="4"/>
      <c r="C709" s="46"/>
      <c r="D709" s="706"/>
      <c r="E709" s="834">
        <f>'Verification Report'!O709</f>
        <v>0</v>
      </c>
    </row>
    <row r="710" spans="1:5" ht="15.75" hidden="1" customHeight="1" x14ac:dyDescent="0.35">
      <c r="A710" s="32"/>
      <c r="B710" s="4"/>
      <c r="C710" s="46"/>
      <c r="D710" s="706"/>
      <c r="E710" s="834">
        <f>'Verification Report'!O710</f>
        <v>0</v>
      </c>
    </row>
    <row r="711" spans="1:5" ht="15.75" hidden="1" customHeight="1" x14ac:dyDescent="0.35">
      <c r="A711" s="32"/>
      <c r="B711" s="4"/>
      <c r="C711" s="46"/>
      <c r="D711" s="706"/>
      <c r="E711" s="834">
        <f>'Verification Report'!O711</f>
        <v>0</v>
      </c>
    </row>
    <row r="712" spans="1:5" ht="15.75" hidden="1" customHeight="1" x14ac:dyDescent="0.35">
      <c r="A712" s="32"/>
      <c r="B712" s="4"/>
      <c r="C712" s="46"/>
      <c r="D712" s="706"/>
      <c r="E712" s="834">
        <f>'Verification Report'!O712</f>
        <v>0</v>
      </c>
    </row>
    <row r="713" spans="1:5" ht="15.75" hidden="1" customHeight="1" x14ac:dyDescent="0.35">
      <c r="A713" s="32"/>
      <c r="B713" s="4"/>
      <c r="C713" s="46"/>
      <c r="D713" s="102" t="s">
        <v>780</v>
      </c>
      <c r="E713" s="834">
        <f>'Verification Report'!O713</f>
        <v>0</v>
      </c>
    </row>
    <row r="714" spans="1:5" ht="15" hidden="1" customHeight="1" x14ac:dyDescent="0.35">
      <c r="A714" s="32"/>
      <c r="B714" s="4"/>
      <c r="C714" s="46"/>
      <c r="D714" s="714" t="s">
        <v>3337</v>
      </c>
      <c r="E714" s="834">
        <f>'Verification Report'!O714</f>
        <v>0</v>
      </c>
    </row>
    <row r="715" spans="1:5" ht="15.75" hidden="1" customHeight="1" thickBot="1" x14ac:dyDescent="0.4">
      <c r="A715" s="32"/>
      <c r="B715" s="4"/>
      <c r="C715" s="46"/>
      <c r="D715" s="744"/>
      <c r="E715" s="834">
        <f>'Verification Report'!O715</f>
        <v>0</v>
      </c>
    </row>
    <row r="716" spans="1:5" ht="15.75" hidden="1" customHeight="1" thickTop="1" x14ac:dyDescent="0.35">
      <c r="A716" s="123">
        <v>611.20000000000005</v>
      </c>
      <c r="B716" s="124"/>
      <c r="C716" s="125"/>
      <c r="D716" s="711" t="s">
        <v>781</v>
      </c>
      <c r="E716" s="940">
        <f>'Verification Report'!O716</f>
        <v>0</v>
      </c>
    </row>
    <row r="717" spans="1:5" ht="15" hidden="1" thickBot="1" x14ac:dyDescent="0.4">
      <c r="A717" s="32"/>
      <c r="B717" s="4"/>
      <c r="C717" s="46"/>
      <c r="D717" s="706"/>
      <c r="E717" s="834">
        <f>'Verification Report'!O717</f>
        <v>0</v>
      </c>
    </row>
    <row r="718" spans="1:5" ht="15" hidden="1" thickBot="1" x14ac:dyDescent="0.4">
      <c r="A718" s="32"/>
      <c r="B718" s="4"/>
      <c r="C718" s="46"/>
      <c r="D718" s="706"/>
      <c r="E718" s="834">
        <f>'Verification Report'!O718</f>
        <v>0</v>
      </c>
    </row>
    <row r="719" spans="1:5" ht="15" hidden="1" thickBot="1" x14ac:dyDescent="0.4">
      <c r="A719" s="32"/>
      <c r="B719" s="148" t="s">
        <v>270</v>
      </c>
      <c r="C719" s="116"/>
      <c r="D719" s="116" t="s">
        <v>782</v>
      </c>
      <c r="E719" s="44"/>
    </row>
    <row r="720" spans="1:5" ht="15" hidden="1" thickBot="1" x14ac:dyDescent="0.4">
      <c r="A720" s="32"/>
      <c r="B720" s="150" t="s">
        <v>272</v>
      </c>
      <c r="C720" s="151"/>
      <c r="D720" s="151" t="s">
        <v>783</v>
      </c>
      <c r="E720" s="44"/>
    </row>
    <row r="721" spans="1:9" ht="15" hidden="1" thickBot="1" x14ac:dyDescent="0.4">
      <c r="A721" s="32"/>
      <c r="B721" s="150" t="s">
        <v>274</v>
      </c>
      <c r="C721" s="151"/>
      <c r="D721" s="151" t="s">
        <v>784</v>
      </c>
      <c r="E721" s="44"/>
    </row>
    <row r="722" spans="1:9" ht="15" hidden="1" thickBot="1" x14ac:dyDescent="0.4">
      <c r="A722" s="32"/>
      <c r="B722" s="150" t="s">
        <v>283</v>
      </c>
      <c r="C722" s="151"/>
      <c r="D722" s="151" t="s">
        <v>785</v>
      </c>
      <c r="E722" s="44"/>
    </row>
    <row r="723" spans="1:9" ht="15" hidden="1" thickBot="1" x14ac:dyDescent="0.4">
      <c r="A723" s="32"/>
      <c r="B723" s="150" t="s">
        <v>289</v>
      </c>
      <c r="C723" s="151"/>
      <c r="D723" s="151" t="s">
        <v>786</v>
      </c>
      <c r="E723" s="44"/>
    </row>
    <row r="724" spans="1:9" ht="15" hidden="1" thickBot="1" x14ac:dyDescent="0.4">
      <c r="A724" s="32"/>
      <c r="B724" s="150" t="s">
        <v>291</v>
      </c>
      <c r="C724" s="151"/>
      <c r="D724" s="151" t="s">
        <v>787</v>
      </c>
      <c r="E724" s="44"/>
    </row>
    <row r="725" spans="1:9" ht="15" hidden="1" customHeight="1" x14ac:dyDescent="0.35">
      <c r="A725" s="32"/>
      <c r="B725" s="19" t="s">
        <v>403</v>
      </c>
      <c r="C725" s="46"/>
      <c r="D725" s="707" t="s">
        <v>788</v>
      </c>
      <c r="E725" s="44"/>
    </row>
    <row r="726" spans="1:9" ht="15.75" hidden="1" customHeight="1" thickBot="1" x14ac:dyDescent="0.4">
      <c r="A726" s="32"/>
      <c r="B726" s="19"/>
      <c r="C726" s="46"/>
      <c r="D726" s="707"/>
      <c r="E726" s="44"/>
    </row>
    <row r="727" spans="1:9" ht="15.75" customHeight="1" thickTop="1" x14ac:dyDescent="0.35">
      <c r="A727" s="123">
        <v>611.29999999999995</v>
      </c>
      <c r="B727" s="140"/>
      <c r="C727" s="125"/>
      <c r="D727" s="711" t="s">
        <v>789</v>
      </c>
      <c r="E727" s="940">
        <f>'Verification Report'!O727</f>
        <v>1</v>
      </c>
      <c r="G727">
        <v>1</v>
      </c>
    </row>
    <row r="728" spans="1:9" x14ac:dyDescent="0.35">
      <c r="A728" s="32"/>
      <c r="B728" s="4"/>
      <c r="C728" s="46"/>
      <c r="D728" s="706"/>
      <c r="E728" s="834">
        <f>'Verification Report'!O728</f>
        <v>0</v>
      </c>
      <c r="G728">
        <v>1</v>
      </c>
    </row>
    <row r="729" spans="1:9" ht="15" customHeight="1" x14ac:dyDescent="0.35">
      <c r="A729" s="32"/>
      <c r="B729" s="19" t="s">
        <v>270</v>
      </c>
      <c r="C729" s="46"/>
      <c r="D729" s="707" t="s">
        <v>790</v>
      </c>
      <c r="E729" s="44"/>
      <c r="F729" s="569" t="str">
        <f>IF('Verification Report'!W729="","",'Verification Report'!W729)</f>
        <v/>
      </c>
      <c r="G729">
        <v>1</v>
      </c>
      <c r="H729" s="571"/>
      <c r="I729" t="s">
        <v>4660</v>
      </c>
    </row>
    <row r="730" spans="1:9" x14ac:dyDescent="0.35">
      <c r="A730" s="32"/>
      <c r="B730" s="4"/>
      <c r="C730" s="46"/>
      <c r="D730" s="707"/>
      <c r="E730" s="44"/>
      <c r="G730">
        <v>1</v>
      </c>
    </row>
    <row r="731" spans="1:9" x14ac:dyDescent="0.35">
      <c r="A731" s="32"/>
      <c r="B731" s="4"/>
      <c r="C731" s="46"/>
      <c r="D731" s="707"/>
      <c r="E731" s="44"/>
      <c r="G731">
        <v>1</v>
      </c>
    </row>
    <row r="732" spans="1:9" x14ac:dyDescent="0.35">
      <c r="A732" s="32"/>
      <c r="B732" s="4"/>
      <c r="C732" s="46"/>
      <c r="D732" s="707"/>
      <c r="E732" s="44"/>
      <c r="G732">
        <v>1</v>
      </c>
    </row>
    <row r="733" spans="1:9" ht="15" thickBot="1" x14ac:dyDescent="0.4">
      <c r="A733" s="32"/>
      <c r="B733" s="155"/>
      <c r="C733" s="116"/>
      <c r="D733" s="709"/>
      <c r="E733" s="44"/>
      <c r="G733">
        <v>1</v>
      </c>
    </row>
    <row r="734" spans="1:9" ht="15" hidden="1" customHeight="1" x14ac:dyDescent="0.35">
      <c r="A734" s="32"/>
      <c r="B734" s="154" t="s">
        <v>272</v>
      </c>
      <c r="C734" s="137"/>
      <c r="D734" s="742" t="s">
        <v>791</v>
      </c>
      <c r="E734" s="44"/>
    </row>
    <row r="735" spans="1:9" ht="15.75" hidden="1" customHeight="1" x14ac:dyDescent="0.35">
      <c r="A735" s="32"/>
      <c r="B735" s="4"/>
      <c r="C735" s="46"/>
      <c r="D735" s="707"/>
      <c r="E735" s="44"/>
    </row>
    <row r="736" spans="1:9" ht="15.75" hidden="1" customHeight="1" x14ac:dyDescent="0.35">
      <c r="A736" s="32"/>
      <c r="B736" s="4"/>
      <c r="C736" s="46"/>
      <c r="D736" s="707"/>
      <c r="E736" s="44"/>
    </row>
    <row r="737" spans="1:5" ht="15.75" hidden="1" customHeight="1" x14ac:dyDescent="0.35">
      <c r="A737" s="32"/>
      <c r="B737" s="155"/>
      <c r="C737" s="116"/>
      <c r="D737" s="709"/>
      <c r="E737" s="44"/>
    </row>
    <row r="738" spans="1:5" ht="15" hidden="1" customHeight="1" x14ac:dyDescent="0.35">
      <c r="A738" s="32"/>
      <c r="B738" s="154" t="s">
        <v>274</v>
      </c>
      <c r="C738" s="137"/>
      <c r="D738" s="742" t="s">
        <v>792</v>
      </c>
      <c r="E738" s="44"/>
    </row>
    <row r="739" spans="1:5" ht="15.75" hidden="1" customHeight="1" x14ac:dyDescent="0.35">
      <c r="A739" s="32"/>
      <c r="B739" s="155"/>
      <c r="C739" s="116"/>
      <c r="D739" s="709"/>
      <c r="E739" s="44"/>
    </row>
    <row r="740" spans="1:5" ht="15" hidden="1" customHeight="1" x14ac:dyDescent="0.35">
      <c r="A740" s="32"/>
      <c r="B740" s="154" t="s">
        <v>283</v>
      </c>
      <c r="C740" s="137"/>
      <c r="D740" s="742" t="s">
        <v>793</v>
      </c>
      <c r="E740" s="44"/>
    </row>
    <row r="741" spans="1:5" ht="15.75" hidden="1" customHeight="1" x14ac:dyDescent="0.35">
      <c r="A741" s="32"/>
      <c r="B741" s="155"/>
      <c r="C741" s="116"/>
      <c r="D741" s="709"/>
      <c r="E741" s="44"/>
    </row>
    <row r="742" spans="1:5" ht="15" hidden="1" thickBot="1" x14ac:dyDescent="0.4">
      <c r="A742" s="32"/>
      <c r="B742" s="150" t="s">
        <v>289</v>
      </c>
      <c r="C742" s="151"/>
      <c r="D742" s="151" t="s">
        <v>794</v>
      </c>
      <c r="E742" s="44"/>
    </row>
    <row r="743" spans="1:5" ht="15" hidden="1" thickBot="1" x14ac:dyDescent="0.4">
      <c r="A743" s="32"/>
      <c r="B743" s="150" t="s">
        <v>291</v>
      </c>
      <c r="C743" s="151"/>
      <c r="D743" s="151" t="s">
        <v>795</v>
      </c>
      <c r="E743" s="44"/>
    </row>
    <row r="744" spans="1:5" ht="15" hidden="1" customHeight="1" x14ac:dyDescent="0.35">
      <c r="A744" s="32"/>
      <c r="B744" s="154" t="s">
        <v>403</v>
      </c>
      <c r="C744" s="137"/>
      <c r="D744" s="742" t="s">
        <v>796</v>
      </c>
      <c r="E744" s="44"/>
    </row>
    <row r="745" spans="1:5" ht="15.75" hidden="1" customHeight="1" x14ac:dyDescent="0.35">
      <c r="A745" s="32"/>
      <c r="B745" s="4"/>
      <c r="C745" s="46"/>
      <c r="D745" s="707"/>
      <c r="E745" s="44"/>
    </row>
    <row r="746" spans="1:5" ht="15.75" hidden="1" customHeight="1" x14ac:dyDescent="0.35">
      <c r="A746" s="32"/>
      <c r="B746" s="4"/>
      <c r="C746" s="46"/>
      <c r="D746" s="707"/>
      <c r="E746" s="44"/>
    </row>
    <row r="747" spans="1:5" ht="15.75" hidden="1" customHeight="1" x14ac:dyDescent="0.35">
      <c r="A747" s="32"/>
      <c r="B747" s="155"/>
      <c r="C747" s="116"/>
      <c r="D747" s="709"/>
      <c r="E747" s="44"/>
    </row>
    <row r="748" spans="1:5" ht="15" hidden="1" customHeight="1" x14ac:dyDescent="0.35">
      <c r="A748" s="32"/>
      <c r="B748" s="154" t="s">
        <v>453</v>
      </c>
      <c r="C748" s="137"/>
      <c r="D748" s="742" t="s">
        <v>797</v>
      </c>
      <c r="E748" s="44"/>
    </row>
    <row r="749" spans="1:5" ht="15.75" hidden="1" customHeight="1" x14ac:dyDescent="0.35">
      <c r="A749" s="32"/>
      <c r="B749" s="155"/>
      <c r="C749" s="116"/>
      <c r="D749" s="709"/>
      <c r="E749" s="44"/>
    </row>
    <row r="750" spans="1:5" ht="15" hidden="1" customHeight="1" x14ac:dyDescent="0.35">
      <c r="A750" s="32"/>
      <c r="B750" s="19" t="s">
        <v>455</v>
      </c>
      <c r="C750" s="46"/>
      <c r="D750" s="707" t="s">
        <v>798</v>
      </c>
      <c r="E750" s="44"/>
    </row>
    <row r="751" spans="1:5" ht="15.75" hidden="1" customHeight="1" thickBot="1" x14ac:dyDescent="0.4">
      <c r="A751" s="32"/>
      <c r="B751" s="4"/>
      <c r="C751" s="46"/>
      <c r="D751" s="707"/>
      <c r="E751" s="44"/>
    </row>
    <row r="752" spans="1:5" ht="15.75" hidden="1" customHeight="1" thickTop="1" x14ac:dyDescent="0.35">
      <c r="A752" s="123">
        <v>611.4</v>
      </c>
      <c r="B752" s="124"/>
      <c r="C752" s="125"/>
      <c r="D752" s="711" t="s">
        <v>799</v>
      </c>
      <c r="E752" s="940">
        <f>'Verification Report'!O752</f>
        <v>0</v>
      </c>
    </row>
    <row r="753" spans="1:5" ht="15" hidden="1" thickBot="1" x14ac:dyDescent="0.4">
      <c r="A753" s="32"/>
      <c r="B753" s="4"/>
      <c r="C753" s="46"/>
      <c r="D753" s="706"/>
      <c r="E753" s="834">
        <f>'Verification Report'!O753</f>
        <v>0</v>
      </c>
    </row>
    <row r="754" spans="1:5" ht="15" hidden="1" thickBot="1" x14ac:dyDescent="0.4">
      <c r="A754" s="32"/>
      <c r="B754" s="4"/>
      <c r="C754" s="46"/>
      <c r="D754" s="706"/>
      <c r="E754" s="834">
        <f>'Verification Report'!O754</f>
        <v>0</v>
      </c>
    </row>
    <row r="755" spans="1:5" ht="15" hidden="1" thickBot="1" x14ac:dyDescent="0.4">
      <c r="A755" s="32"/>
      <c r="B755" s="4"/>
      <c r="C755" s="46"/>
      <c r="D755" s="706"/>
      <c r="E755" s="834">
        <f>'Verification Report'!O755</f>
        <v>0</v>
      </c>
    </row>
    <row r="756" spans="1:5" ht="15" hidden="1" thickBot="1" x14ac:dyDescent="0.4">
      <c r="A756" s="161"/>
      <c r="B756" s="155"/>
      <c r="C756" s="116"/>
      <c r="D756" s="739"/>
      <c r="E756" s="886">
        <f>'Verification Report'!O756</f>
        <v>0</v>
      </c>
    </row>
    <row r="757" spans="1:5" ht="15" hidden="1" customHeight="1" x14ac:dyDescent="0.35">
      <c r="A757" s="32" t="s">
        <v>800</v>
      </c>
      <c r="B757" s="4"/>
      <c r="C757" s="46"/>
      <c r="D757" s="738" t="s">
        <v>801</v>
      </c>
      <c r="E757" s="44"/>
    </row>
    <row r="758" spans="1:5" ht="15.75" hidden="1" customHeight="1" x14ac:dyDescent="0.35">
      <c r="A758" s="32"/>
      <c r="B758" s="4"/>
      <c r="C758" s="46"/>
      <c r="D758" s="738"/>
      <c r="E758" s="44"/>
    </row>
    <row r="759" spans="1:5" ht="15.75" hidden="1" customHeight="1" x14ac:dyDescent="0.35">
      <c r="A759" s="32"/>
      <c r="B759" s="4"/>
      <c r="C759" s="46"/>
      <c r="D759" s="738"/>
      <c r="E759" s="44"/>
    </row>
    <row r="760" spans="1:5" ht="15.75" hidden="1" customHeight="1" x14ac:dyDescent="0.35">
      <c r="A760" s="32"/>
      <c r="B760" s="4"/>
      <c r="C760" s="46"/>
      <c r="D760" s="738"/>
      <c r="E760" s="44"/>
    </row>
    <row r="761" spans="1:5" ht="15.75" hidden="1" customHeight="1" x14ac:dyDescent="0.35">
      <c r="A761" s="32"/>
      <c r="B761" s="4"/>
      <c r="C761" s="46"/>
      <c r="D761" s="738"/>
      <c r="E761" s="44"/>
    </row>
    <row r="762" spans="1:5" ht="15.75" hidden="1" customHeight="1" x14ac:dyDescent="0.35">
      <c r="A762" s="32"/>
      <c r="B762" s="4"/>
      <c r="C762" s="46"/>
      <c r="D762" s="738"/>
      <c r="E762" s="44"/>
    </row>
    <row r="763" spans="1:5" ht="15.75" hidden="1" customHeight="1" x14ac:dyDescent="0.35">
      <c r="A763" s="32"/>
      <c r="B763" s="4"/>
      <c r="C763" s="46"/>
      <c r="D763" s="738"/>
      <c r="E763" s="44"/>
    </row>
    <row r="764" spans="1:5" ht="15.75" hidden="1" customHeight="1" x14ac:dyDescent="0.35">
      <c r="A764" s="32"/>
      <c r="B764" s="4"/>
      <c r="C764" s="46"/>
      <c r="D764" s="738"/>
      <c r="E764" s="44"/>
    </row>
    <row r="765" spans="1:5" ht="15.75" hidden="1" customHeight="1" x14ac:dyDescent="0.35">
      <c r="A765" s="161"/>
      <c r="B765" s="155"/>
      <c r="C765" s="116"/>
      <c r="D765" s="121" t="s">
        <v>3340</v>
      </c>
      <c r="E765" s="44"/>
    </row>
    <row r="766" spans="1:5" ht="15" hidden="1" customHeight="1" x14ac:dyDescent="0.35">
      <c r="A766" s="32" t="s">
        <v>802</v>
      </c>
      <c r="B766" s="4"/>
      <c r="C766" s="46"/>
      <c r="D766" s="738" t="s">
        <v>803</v>
      </c>
      <c r="E766" s="44"/>
    </row>
    <row r="767" spans="1:5" ht="15.75" hidden="1" customHeight="1" x14ac:dyDescent="0.35">
      <c r="A767" s="32"/>
      <c r="B767" s="4"/>
      <c r="C767" s="46"/>
      <c r="D767" s="738"/>
      <c r="E767" s="44"/>
    </row>
    <row r="768" spans="1:5" ht="15.75" hidden="1" customHeight="1" x14ac:dyDescent="0.35">
      <c r="A768" s="32"/>
      <c r="B768" s="4"/>
      <c r="C768" s="46"/>
      <c r="D768" s="738"/>
      <c r="E768" s="44"/>
    </row>
    <row r="769" spans="1:5" ht="15.75" hidden="1" customHeight="1" x14ac:dyDescent="0.35">
      <c r="A769" s="32"/>
      <c r="B769" s="4"/>
      <c r="C769" s="46"/>
      <c r="D769" s="738"/>
      <c r="E769" s="44"/>
    </row>
    <row r="770" spans="1:5" ht="15.75" hidden="1" customHeight="1" x14ac:dyDescent="0.35">
      <c r="A770" s="32"/>
      <c r="B770" s="4"/>
      <c r="C770" s="46"/>
      <c r="D770" s="738"/>
      <c r="E770" s="44"/>
    </row>
    <row r="771" spans="1:5" ht="15.75" hidden="1" customHeight="1" x14ac:dyDescent="0.35">
      <c r="A771" s="32"/>
      <c r="B771" s="4"/>
      <c r="C771" s="46"/>
      <c r="D771" s="738"/>
      <c r="E771" s="44"/>
    </row>
    <row r="772" spans="1:5" ht="15.75" hidden="1" customHeight="1" thickBot="1" x14ac:dyDescent="0.4">
      <c r="A772" s="58"/>
      <c r="B772" s="58"/>
      <c r="C772" s="58"/>
      <c r="D772" s="122" t="s">
        <v>3340</v>
      </c>
      <c r="E772" s="80"/>
    </row>
    <row r="773" spans="1:5" ht="19" hidden="1" thickBot="1" x14ac:dyDescent="0.5">
      <c r="A773" s="14" t="s">
        <v>944</v>
      </c>
      <c r="B773" s="14"/>
      <c r="C773" s="14"/>
      <c r="D773" s="15"/>
      <c r="E773" s="16"/>
    </row>
    <row r="774" spans="1:5" ht="15" hidden="1" customHeight="1" x14ac:dyDescent="0.35">
      <c r="A774" s="135">
        <v>701.1</v>
      </c>
      <c r="B774" s="378"/>
      <c r="C774" s="320"/>
      <c r="D774" s="753" t="s">
        <v>945</v>
      </c>
      <c r="E774" s="44"/>
    </row>
    <row r="775" spans="1:5" ht="15" hidden="1" thickBot="1" x14ac:dyDescent="0.4">
      <c r="A775" s="32"/>
      <c r="B775" s="175"/>
      <c r="C775" s="104"/>
      <c r="D775" s="706"/>
      <c r="E775" s="44"/>
    </row>
    <row r="776" spans="1:5" ht="15" hidden="1" thickBot="1" x14ac:dyDescent="0.4">
      <c r="A776" s="32"/>
      <c r="B776" s="175"/>
      <c r="C776" s="104"/>
      <c r="D776" s="706"/>
      <c r="E776" s="44"/>
    </row>
    <row r="777" spans="1:5" ht="15" hidden="1" thickBot="1" x14ac:dyDescent="0.4">
      <c r="A777" s="32"/>
      <c r="B777" s="175"/>
      <c r="C777" s="104"/>
      <c r="D777" s="706"/>
      <c r="E777" s="44"/>
    </row>
    <row r="778" spans="1:5" ht="15" hidden="1" thickBot="1" x14ac:dyDescent="0.4">
      <c r="A778" s="32"/>
      <c r="B778" s="175"/>
      <c r="C778" s="104"/>
      <c r="D778" s="714" t="s">
        <v>4770</v>
      </c>
      <c r="E778" s="44"/>
    </row>
    <row r="779" spans="1:5" ht="15" hidden="1" thickBot="1" x14ac:dyDescent="0.4">
      <c r="A779" s="161"/>
      <c r="B779" s="359"/>
      <c r="C779" s="214"/>
      <c r="D779" s="714"/>
      <c r="E779" s="44"/>
    </row>
    <row r="780" spans="1:5" ht="15" hidden="1" customHeight="1" x14ac:dyDescent="0.35">
      <c r="A780" s="135" t="s">
        <v>946</v>
      </c>
      <c r="B780" s="320"/>
      <c r="C780" s="320"/>
      <c r="D780" s="753" t="s">
        <v>947</v>
      </c>
      <c r="E780" s="189"/>
    </row>
    <row r="781" spans="1:5" ht="15.75" hidden="1" customHeight="1" x14ac:dyDescent="0.35">
      <c r="A781" s="155"/>
      <c r="B781" s="214"/>
      <c r="C781" s="214"/>
      <c r="D781" s="739"/>
      <c r="E781" s="85"/>
    </row>
    <row r="782" spans="1:5" ht="15" hidden="1" customHeight="1" x14ac:dyDescent="0.35">
      <c r="A782" s="135" t="s">
        <v>948</v>
      </c>
      <c r="B782" s="320"/>
      <c r="C782" s="320"/>
      <c r="D782" s="753" t="s">
        <v>949</v>
      </c>
      <c r="E782" s="85"/>
    </row>
    <row r="783" spans="1:5" ht="15.75" hidden="1" customHeight="1" x14ac:dyDescent="0.35">
      <c r="A783" s="4"/>
      <c r="B783" s="104"/>
      <c r="C783" s="104"/>
      <c r="D783" s="706"/>
      <c r="E783" s="85"/>
    </row>
    <row r="784" spans="1:5" ht="15.75" hidden="1" customHeight="1" x14ac:dyDescent="0.35">
      <c r="A784" s="155"/>
      <c r="B784" s="214"/>
      <c r="C784" s="214"/>
      <c r="D784" s="739"/>
      <c r="E784" s="85"/>
    </row>
    <row r="785" spans="1:5" ht="15" hidden="1" customHeight="1" x14ac:dyDescent="0.35">
      <c r="A785" s="32" t="s">
        <v>950</v>
      </c>
      <c r="B785" s="104"/>
      <c r="C785" s="104"/>
      <c r="D785" s="706" t="s">
        <v>951</v>
      </c>
      <c r="E785" s="85"/>
    </row>
    <row r="786" spans="1:5" ht="15.75" hidden="1" customHeight="1" x14ac:dyDescent="0.35">
      <c r="A786" s="4"/>
      <c r="B786" s="104"/>
      <c r="C786" s="104"/>
      <c r="D786" s="706"/>
      <c r="E786" s="85"/>
    </row>
    <row r="787" spans="1:5" ht="15.75" hidden="1" customHeight="1" x14ac:dyDescent="0.35">
      <c r="A787" s="155"/>
      <c r="B787" s="214"/>
      <c r="C787" s="214"/>
      <c r="D787" s="739"/>
      <c r="E787" s="342"/>
    </row>
    <row r="788" spans="1:5" ht="15" hidden="1" customHeight="1" x14ac:dyDescent="0.35">
      <c r="A788" s="34" t="s">
        <v>952</v>
      </c>
      <c r="B788" s="104"/>
      <c r="C788" s="104"/>
      <c r="D788" s="706" t="s">
        <v>953</v>
      </c>
      <c r="E788" s="696">
        <f ca="1">'Verification Report'!O789</f>
        <v>0</v>
      </c>
    </row>
    <row r="789" spans="1:5" ht="15.75" hidden="1" customHeight="1" x14ac:dyDescent="0.35">
      <c r="A789" s="4"/>
      <c r="B789" s="104"/>
      <c r="C789" s="104"/>
      <c r="D789" s="706"/>
      <c r="E789" s="696">
        <f>'Verification Report'!O790</f>
        <v>0</v>
      </c>
    </row>
    <row r="790" spans="1:5" ht="15.75" hidden="1" customHeight="1" x14ac:dyDescent="0.35">
      <c r="A790" s="4"/>
      <c r="B790" s="104"/>
      <c r="C790" s="104"/>
      <c r="D790" s="706"/>
      <c r="E790" s="696">
        <f>'Verification Report'!O791</f>
        <v>0</v>
      </c>
    </row>
    <row r="791" spans="1:5" ht="15.75" hidden="1" customHeight="1" x14ac:dyDescent="0.35">
      <c r="A791" s="4"/>
      <c r="B791" s="104"/>
      <c r="C791" s="104"/>
      <c r="D791" s="706"/>
      <c r="E791" s="696">
        <f>'Verification Report'!O792</f>
        <v>0</v>
      </c>
    </row>
    <row r="792" spans="1:5" ht="15.75" hidden="1" customHeight="1" x14ac:dyDescent="0.35">
      <c r="A792" s="4"/>
      <c r="B792" s="104"/>
      <c r="C792" s="104"/>
      <c r="D792" s="706"/>
      <c r="E792" s="696">
        <f>'Verification Report'!O793</f>
        <v>0</v>
      </c>
    </row>
    <row r="793" spans="1:5" ht="15.75" hidden="1" customHeight="1" x14ac:dyDescent="0.35">
      <c r="A793" s="4"/>
      <c r="B793" s="104"/>
      <c r="C793" s="104"/>
      <c r="D793" s="706"/>
      <c r="E793" s="696">
        <f>'Verification Report'!O794</f>
        <v>0</v>
      </c>
    </row>
    <row r="794" spans="1:5" ht="15.75" hidden="1" customHeight="1" x14ac:dyDescent="0.35">
      <c r="A794" s="4"/>
      <c r="B794" s="104"/>
      <c r="C794" s="104"/>
      <c r="D794" s="706"/>
      <c r="E794" s="696">
        <f>'Verification Report'!O795</f>
        <v>0</v>
      </c>
    </row>
    <row r="795" spans="1:5" ht="15.75" hidden="1" customHeight="1" thickBot="1" x14ac:dyDescent="0.4">
      <c r="A795" s="183"/>
      <c r="B795" s="223"/>
      <c r="C795" s="223"/>
      <c r="D795" s="710"/>
      <c r="E795" s="695">
        <f>'Verification Report'!O796</f>
        <v>0</v>
      </c>
    </row>
    <row r="796" spans="1:5" ht="15.75" hidden="1" customHeight="1" thickTop="1" x14ac:dyDescent="0.35">
      <c r="A796" s="123">
        <v>701.2</v>
      </c>
      <c r="B796" s="349"/>
      <c r="C796" s="349"/>
      <c r="D796" s="711" t="s">
        <v>954</v>
      </c>
      <c r="E796" s="341"/>
    </row>
    <row r="797" spans="1:5" ht="15" hidden="1" thickBot="1" x14ac:dyDescent="0.4">
      <c r="A797" s="183"/>
      <c r="B797" s="223"/>
      <c r="C797" s="223"/>
      <c r="D797" s="710"/>
      <c r="E797" s="184"/>
    </row>
    <row r="798" spans="1:5" ht="15.75" hidden="1" customHeight="1" thickTop="1" x14ac:dyDescent="0.35">
      <c r="A798" s="123">
        <v>701.3</v>
      </c>
      <c r="B798" s="349"/>
      <c r="C798" s="349"/>
      <c r="D798" s="711" t="s">
        <v>955</v>
      </c>
      <c r="E798" s="341"/>
    </row>
    <row r="799" spans="1:5" ht="15.75" hidden="1" customHeight="1" x14ac:dyDescent="0.35">
      <c r="A799" s="4"/>
      <c r="B799" s="104"/>
      <c r="C799" s="104"/>
      <c r="D799" s="706"/>
      <c r="E799" s="85"/>
    </row>
    <row r="800" spans="1:5" ht="15.75" hidden="1" customHeight="1" thickBot="1" x14ac:dyDescent="0.4">
      <c r="A800" s="183"/>
      <c r="B800" s="223"/>
      <c r="C800" s="223"/>
      <c r="D800" s="122" t="s">
        <v>3599</v>
      </c>
      <c r="E800" s="184"/>
    </row>
    <row r="801" spans="1:5" ht="15.5" hidden="1" thickTop="1" thickBot="1" x14ac:dyDescent="0.4">
      <c r="A801" s="123">
        <v>701.4</v>
      </c>
      <c r="B801" s="349"/>
      <c r="C801" s="349"/>
      <c r="D801" s="222" t="s">
        <v>956</v>
      </c>
      <c r="E801" s="341"/>
    </row>
    <row r="802" spans="1:5" ht="15" hidden="1" thickBot="1" x14ac:dyDescent="0.4">
      <c r="A802" s="161" t="s">
        <v>957</v>
      </c>
      <c r="B802" s="214"/>
      <c r="C802" s="214"/>
      <c r="D802" s="361" t="s">
        <v>958</v>
      </c>
      <c r="E802" s="342"/>
    </row>
    <row r="803" spans="1:5" ht="15" hidden="1" customHeight="1" x14ac:dyDescent="0.35">
      <c r="A803" s="135" t="s">
        <v>959</v>
      </c>
      <c r="B803" s="320"/>
      <c r="C803" s="320"/>
      <c r="D803" s="753" t="s">
        <v>960</v>
      </c>
      <c r="E803" s="189"/>
    </row>
    <row r="804" spans="1:5" ht="15.75" hidden="1" customHeight="1" x14ac:dyDescent="0.35">
      <c r="A804" s="4"/>
      <c r="B804" s="104"/>
      <c r="C804" s="104"/>
      <c r="D804" s="706"/>
      <c r="E804" s="85"/>
    </row>
    <row r="805" spans="1:5" ht="15.75" hidden="1" customHeight="1" x14ac:dyDescent="0.35">
      <c r="A805" s="155"/>
      <c r="B805" s="214"/>
      <c r="C805" s="214"/>
      <c r="D805" s="739"/>
      <c r="E805" s="342"/>
    </row>
    <row r="806" spans="1:5" ht="15" hidden="1" customHeight="1" x14ac:dyDescent="0.35">
      <c r="A806" s="362" t="s">
        <v>961</v>
      </c>
      <c r="B806" s="320"/>
      <c r="C806" s="320"/>
      <c r="D806" s="753" t="s">
        <v>962</v>
      </c>
      <c r="E806" s="189"/>
    </row>
    <row r="807" spans="1:5" ht="15.75" hidden="1" customHeight="1" x14ac:dyDescent="0.35">
      <c r="A807" s="4"/>
      <c r="B807" s="104"/>
      <c r="C807" s="104"/>
      <c r="D807" s="706"/>
      <c r="E807" s="85"/>
    </row>
    <row r="808" spans="1:5" ht="15.75" hidden="1" customHeight="1" x14ac:dyDescent="0.35">
      <c r="A808" s="4"/>
      <c r="B808" s="104"/>
      <c r="C808" s="104"/>
      <c r="D808" s="706"/>
      <c r="E808" s="85"/>
    </row>
    <row r="809" spans="1:5" ht="15.75" hidden="1" customHeight="1" x14ac:dyDescent="0.35">
      <c r="A809" s="4"/>
      <c r="B809" s="104"/>
      <c r="C809" s="104"/>
      <c r="D809" s="706"/>
      <c r="E809" s="85"/>
    </row>
    <row r="810" spans="1:5" ht="15.75" hidden="1" customHeight="1" x14ac:dyDescent="0.35">
      <c r="A810" s="155"/>
      <c r="B810" s="214"/>
      <c r="C810" s="214"/>
      <c r="D810" s="739"/>
      <c r="E810" s="342"/>
    </row>
    <row r="811" spans="1:5" ht="15" hidden="1" thickBot="1" x14ac:dyDescent="0.4">
      <c r="A811" s="362" t="s">
        <v>963</v>
      </c>
      <c r="B811" s="320"/>
      <c r="C811" s="320"/>
      <c r="D811" s="358" t="s">
        <v>964</v>
      </c>
      <c r="E811" s="189"/>
    </row>
    <row r="812" spans="1:5" ht="15" hidden="1" customHeight="1" x14ac:dyDescent="0.35">
      <c r="A812" s="34" t="s">
        <v>4072</v>
      </c>
      <c r="B812" s="104"/>
      <c r="C812" s="104"/>
      <c r="D812" s="706" t="s">
        <v>965</v>
      </c>
      <c r="E812" s="85"/>
    </row>
    <row r="813" spans="1:5" ht="15.75" hidden="1" customHeight="1" x14ac:dyDescent="0.35">
      <c r="A813" s="34"/>
      <c r="B813" s="104"/>
      <c r="C813" s="104"/>
      <c r="D813" s="706"/>
      <c r="E813" s="85"/>
    </row>
    <row r="814" spans="1:5" ht="15.75" hidden="1" customHeight="1" x14ac:dyDescent="0.35">
      <c r="A814" s="363"/>
      <c r="B814" s="214"/>
      <c r="C814" s="214"/>
      <c r="D814" s="739"/>
      <c r="E814" s="342"/>
    </row>
    <row r="815" spans="1:5" ht="15" hidden="1" thickBot="1" x14ac:dyDescent="0.4">
      <c r="A815" s="364" t="s">
        <v>966</v>
      </c>
      <c r="B815" s="220"/>
      <c r="C815" s="220"/>
      <c r="D815" s="365" t="s">
        <v>967</v>
      </c>
      <c r="E815" s="313"/>
    </row>
    <row r="816" spans="1:5" ht="15" hidden="1" customHeight="1" x14ac:dyDescent="0.35">
      <c r="A816" s="362" t="s">
        <v>968</v>
      </c>
      <c r="B816" s="320"/>
      <c r="C816" s="320"/>
      <c r="D816" s="753" t="s">
        <v>969</v>
      </c>
      <c r="E816" s="189"/>
    </row>
    <row r="817" spans="1:5" ht="15.75" hidden="1" customHeight="1" x14ac:dyDescent="0.35">
      <c r="A817" s="363"/>
      <c r="B817" s="214"/>
      <c r="C817" s="214"/>
      <c r="D817" s="739"/>
      <c r="E817" s="342"/>
    </row>
    <row r="818" spans="1:5" ht="15" hidden="1" thickBot="1" x14ac:dyDescent="0.4">
      <c r="A818" s="362" t="s">
        <v>970</v>
      </c>
      <c r="B818" s="320"/>
      <c r="C818" s="320"/>
      <c r="D818" s="358" t="s">
        <v>971</v>
      </c>
      <c r="E818" s="189"/>
    </row>
    <row r="819" spans="1:5" ht="15" hidden="1" customHeight="1" x14ac:dyDescent="0.35">
      <c r="A819" s="34" t="s">
        <v>972</v>
      </c>
      <c r="B819" s="104"/>
      <c r="C819" s="104"/>
      <c r="D819" s="706" t="s">
        <v>973</v>
      </c>
      <c r="E819" s="85"/>
    </row>
    <row r="820" spans="1:5" ht="15.75" hidden="1" customHeight="1" x14ac:dyDescent="0.35">
      <c r="A820" s="4"/>
      <c r="B820" s="104"/>
      <c r="C820" s="104"/>
      <c r="D820" s="706"/>
      <c r="E820" s="85"/>
    </row>
    <row r="821" spans="1:5" ht="15.75" hidden="1" customHeight="1" x14ac:dyDescent="0.35">
      <c r="A821" s="4"/>
      <c r="B821" s="104"/>
      <c r="C821" s="104"/>
      <c r="D821" s="706"/>
      <c r="E821" s="85"/>
    </row>
    <row r="822" spans="1:5" ht="15.75" hidden="1" customHeight="1" x14ac:dyDescent="0.35">
      <c r="A822" s="4"/>
      <c r="B822" s="104"/>
      <c r="C822" s="104"/>
      <c r="D822" s="706"/>
      <c r="E822" s="85"/>
    </row>
    <row r="823" spans="1:5" ht="15" hidden="1" thickBot="1" x14ac:dyDescent="0.4">
      <c r="A823" s="4"/>
      <c r="B823" s="104"/>
      <c r="C823" s="175" t="s">
        <v>121</v>
      </c>
      <c r="D823" s="104" t="s">
        <v>974</v>
      </c>
      <c r="E823" s="85"/>
    </row>
    <row r="824" spans="1:5" ht="15" hidden="1" thickBot="1" x14ac:dyDescent="0.4">
      <c r="A824" s="4"/>
      <c r="B824" s="104"/>
      <c r="C824" s="175" t="s">
        <v>122</v>
      </c>
      <c r="D824" s="104" t="s">
        <v>975</v>
      </c>
      <c r="E824" s="85"/>
    </row>
    <row r="825" spans="1:5" ht="15" hidden="1" thickBot="1" x14ac:dyDescent="0.4">
      <c r="A825" s="4"/>
      <c r="B825" s="104"/>
      <c r="C825" s="176" t="s">
        <v>123</v>
      </c>
      <c r="D825" s="104" t="s">
        <v>976</v>
      </c>
      <c r="E825" s="85"/>
    </row>
    <row r="826" spans="1:5" ht="15" hidden="1" thickBot="1" x14ac:dyDescent="0.4">
      <c r="A826" s="4"/>
      <c r="B826" s="104"/>
      <c r="C826" s="110" t="s">
        <v>420</v>
      </c>
      <c r="D826" s="104" t="s">
        <v>977</v>
      </c>
      <c r="E826" s="85"/>
    </row>
    <row r="827" spans="1:5" ht="15" hidden="1" thickBot="1" x14ac:dyDescent="0.4">
      <c r="A827" s="4"/>
      <c r="B827" s="104"/>
      <c r="C827" s="110" t="s">
        <v>575</v>
      </c>
      <c r="D827" s="104" t="s">
        <v>978</v>
      </c>
      <c r="E827" s="85"/>
    </row>
    <row r="828" spans="1:5" ht="15" hidden="1" thickBot="1" x14ac:dyDescent="0.4">
      <c r="A828" s="4"/>
      <c r="B828" s="104"/>
      <c r="C828" s="176" t="s">
        <v>642</v>
      </c>
      <c r="D828" s="104" t="s">
        <v>979</v>
      </c>
      <c r="E828" s="85"/>
    </row>
    <row r="829" spans="1:5" ht="15" hidden="1" thickBot="1" x14ac:dyDescent="0.4">
      <c r="A829" s="4"/>
      <c r="B829" s="104"/>
      <c r="C829" s="110" t="s">
        <v>644</v>
      </c>
      <c r="D829" s="104" t="s">
        <v>980</v>
      </c>
      <c r="E829" s="85"/>
    </row>
    <row r="830" spans="1:5" ht="15" hidden="1" thickBot="1" x14ac:dyDescent="0.4">
      <c r="A830" s="4"/>
      <c r="B830" s="104"/>
      <c r="C830" s="110" t="s">
        <v>646</v>
      </c>
      <c r="D830" s="104" t="s">
        <v>981</v>
      </c>
      <c r="E830" s="85"/>
    </row>
    <row r="831" spans="1:5" ht="15" hidden="1" thickBot="1" x14ac:dyDescent="0.4">
      <c r="A831" s="4"/>
      <c r="B831" s="104"/>
      <c r="C831" s="110" t="s">
        <v>982</v>
      </c>
      <c r="D831" s="104" t="s">
        <v>983</v>
      </c>
      <c r="E831" s="85"/>
    </row>
    <row r="832" spans="1:5" ht="15" hidden="1" thickBot="1" x14ac:dyDescent="0.4">
      <c r="A832" s="4"/>
      <c r="B832" s="104"/>
      <c r="C832" s="110" t="s">
        <v>984</v>
      </c>
      <c r="D832" s="104" t="s">
        <v>985</v>
      </c>
      <c r="E832" s="85"/>
    </row>
    <row r="833" spans="1:5" ht="15" hidden="1" thickBot="1" x14ac:dyDescent="0.4">
      <c r="A833" s="4"/>
      <c r="B833" s="104"/>
      <c r="C833" s="110" t="s">
        <v>986</v>
      </c>
      <c r="D833" s="104" t="s">
        <v>987</v>
      </c>
      <c r="E833" s="85"/>
    </row>
    <row r="834" spans="1:5" ht="15" hidden="1" thickBot="1" x14ac:dyDescent="0.4">
      <c r="A834" s="155"/>
      <c r="B834" s="214"/>
      <c r="C834" s="361" t="s">
        <v>988</v>
      </c>
      <c r="D834" s="214" t="s">
        <v>989</v>
      </c>
      <c r="E834" s="342"/>
    </row>
    <row r="835" spans="1:5" ht="15" hidden="1" customHeight="1" x14ac:dyDescent="0.35">
      <c r="A835" s="34" t="s">
        <v>990</v>
      </c>
      <c r="B835" s="104"/>
      <c r="C835" s="104"/>
      <c r="D835" s="706" t="s">
        <v>991</v>
      </c>
      <c r="E835" s="85"/>
    </row>
    <row r="836" spans="1:5" ht="15" hidden="1" thickBot="1" x14ac:dyDescent="0.4">
      <c r="A836" s="4"/>
      <c r="B836" s="104"/>
      <c r="C836" s="104"/>
      <c r="D836" s="706"/>
      <c r="E836" s="85"/>
    </row>
    <row r="837" spans="1:5" ht="15" hidden="1" thickBot="1" x14ac:dyDescent="0.4">
      <c r="A837" s="4"/>
      <c r="B837" s="104"/>
      <c r="C837" s="104"/>
      <c r="D837" s="706"/>
      <c r="E837" s="85"/>
    </row>
    <row r="838" spans="1:5" ht="15" hidden="1" customHeight="1" x14ac:dyDescent="0.35">
      <c r="A838" s="4"/>
      <c r="B838" s="175" t="s">
        <v>270</v>
      </c>
      <c r="C838" s="104"/>
      <c r="D838" s="706" t="s">
        <v>992</v>
      </c>
      <c r="E838" s="85"/>
    </row>
    <row r="839" spans="1:5" ht="15.75" hidden="1" customHeight="1" x14ac:dyDescent="0.35">
      <c r="A839" s="4"/>
      <c r="B839" s="104"/>
      <c r="C839" s="104"/>
      <c r="D839" s="706"/>
      <c r="E839" s="85"/>
    </row>
    <row r="840" spans="1:5" ht="15.75" hidden="1" customHeight="1" x14ac:dyDescent="0.35">
      <c r="A840" s="4"/>
      <c r="B840" s="104"/>
      <c r="C840" s="104"/>
      <c r="D840" s="706"/>
      <c r="E840" s="85"/>
    </row>
    <row r="841" spans="1:5" ht="15.75" hidden="1" customHeight="1" x14ac:dyDescent="0.35">
      <c r="A841" s="4"/>
      <c r="B841" s="104"/>
      <c r="C841" s="104"/>
      <c r="D841" s="706"/>
      <c r="E841" s="85"/>
    </row>
    <row r="842" spans="1:5" ht="15.75" hidden="1" customHeight="1" x14ac:dyDescent="0.35">
      <c r="A842" s="4"/>
      <c r="B842" s="104"/>
      <c r="C842" s="104"/>
      <c r="D842" s="706"/>
      <c r="E842" s="85"/>
    </row>
    <row r="843" spans="1:5" ht="15" hidden="1" thickBot="1" x14ac:dyDescent="0.4">
      <c r="A843" s="4"/>
      <c r="B843" s="104"/>
      <c r="C843" s="175" t="s">
        <v>121</v>
      </c>
      <c r="D843" s="104" t="s">
        <v>993</v>
      </c>
      <c r="E843" s="85"/>
    </row>
    <row r="844" spans="1:5" ht="15" hidden="1" customHeight="1" x14ac:dyDescent="0.35">
      <c r="A844" s="4"/>
      <c r="B844" s="104"/>
      <c r="C844" s="175" t="s">
        <v>122</v>
      </c>
      <c r="D844" s="707" t="s">
        <v>994</v>
      </c>
      <c r="E844" s="85"/>
    </row>
    <row r="845" spans="1:5" ht="15.75" hidden="1" customHeight="1" x14ac:dyDescent="0.35">
      <c r="A845" s="4"/>
      <c r="B845" s="104"/>
      <c r="C845" s="175"/>
      <c r="D845" s="707"/>
      <c r="E845" s="85"/>
    </row>
    <row r="846" spans="1:5" ht="15" hidden="1" thickBot="1" x14ac:dyDescent="0.4">
      <c r="A846" s="4"/>
      <c r="B846" s="104"/>
      <c r="C846" s="176" t="s">
        <v>123</v>
      </c>
      <c r="D846" s="104" t="s">
        <v>995</v>
      </c>
      <c r="E846" s="85"/>
    </row>
    <row r="847" spans="1:5" ht="15" hidden="1" customHeight="1" x14ac:dyDescent="0.35">
      <c r="A847" s="4"/>
      <c r="B847" s="104"/>
      <c r="C847" s="110" t="s">
        <v>420</v>
      </c>
      <c r="D847" s="707" t="s">
        <v>996</v>
      </c>
      <c r="E847" s="85"/>
    </row>
    <row r="848" spans="1:5" ht="15.75" hidden="1" customHeight="1" x14ac:dyDescent="0.35">
      <c r="A848" s="4"/>
      <c r="B848" s="104"/>
      <c r="C848" s="110"/>
      <c r="D848" s="707"/>
      <c r="E848" s="85"/>
    </row>
    <row r="849" spans="1:5" ht="15" hidden="1" thickBot="1" x14ac:dyDescent="0.4">
      <c r="A849" s="4"/>
      <c r="B849" s="104"/>
      <c r="C849" s="110" t="s">
        <v>575</v>
      </c>
      <c r="D849" s="104" t="s">
        <v>997</v>
      </c>
      <c r="E849" s="85"/>
    </row>
    <row r="850" spans="1:5" ht="15" hidden="1" thickBot="1" x14ac:dyDescent="0.4">
      <c r="A850" s="4"/>
      <c r="B850" s="104"/>
      <c r="C850" s="176" t="s">
        <v>642</v>
      </c>
      <c r="D850" s="104" t="s">
        <v>998</v>
      </c>
      <c r="E850" s="85"/>
    </row>
    <row r="851" spans="1:5" ht="15" hidden="1" thickBot="1" x14ac:dyDescent="0.4">
      <c r="A851" s="4"/>
      <c r="B851" s="104"/>
      <c r="C851" s="110" t="s">
        <v>644</v>
      </c>
      <c r="D851" s="104" t="s">
        <v>999</v>
      </c>
      <c r="E851" s="85"/>
    </row>
    <row r="852" spans="1:5" ht="15" hidden="1" customHeight="1" x14ac:dyDescent="0.35">
      <c r="A852" s="4"/>
      <c r="B852" s="104"/>
      <c r="C852" s="376"/>
      <c r="D852" s="714" t="s">
        <v>4069</v>
      </c>
      <c r="E852" s="85"/>
    </row>
    <row r="853" spans="1:5" ht="15.75" hidden="1" customHeight="1" x14ac:dyDescent="0.35">
      <c r="A853" s="4"/>
      <c r="B853" s="214"/>
      <c r="C853" s="377"/>
      <c r="D853" s="755"/>
      <c r="E853" s="85"/>
    </row>
    <row r="854" spans="1:5" ht="15" hidden="1" customHeight="1" x14ac:dyDescent="0.35">
      <c r="A854" s="4"/>
      <c r="B854" s="175" t="s">
        <v>272</v>
      </c>
      <c r="C854" s="104"/>
      <c r="D854" s="706" t="s">
        <v>1000</v>
      </c>
      <c r="E854" s="85"/>
    </row>
    <row r="855" spans="1:5" ht="15.75" hidden="1" customHeight="1" x14ac:dyDescent="0.35">
      <c r="A855" s="4"/>
      <c r="B855" s="104"/>
      <c r="C855" s="104"/>
      <c r="D855" s="706"/>
      <c r="E855" s="85"/>
    </row>
    <row r="856" spans="1:5" ht="15.75" hidden="1" customHeight="1" x14ac:dyDescent="0.35">
      <c r="A856" s="155"/>
      <c r="B856" s="214"/>
      <c r="C856" s="214"/>
      <c r="D856" t="s">
        <v>3633</v>
      </c>
      <c r="E856" s="342"/>
    </row>
    <row r="857" spans="1:5" ht="15" hidden="1" thickBot="1" x14ac:dyDescent="0.4">
      <c r="A857" s="34" t="s">
        <v>1001</v>
      </c>
      <c r="B857" s="104"/>
      <c r="C857" s="104"/>
      <c r="D857" s="110" t="s">
        <v>1002</v>
      </c>
      <c r="E857" s="85"/>
    </row>
    <row r="858" spans="1:5" ht="15" hidden="1" thickBot="1" x14ac:dyDescent="0.4">
      <c r="A858" s="4"/>
      <c r="B858" s="359" t="s">
        <v>270</v>
      </c>
      <c r="C858" s="214"/>
      <c r="D858" s="214" t="s">
        <v>1003</v>
      </c>
      <c r="E858" s="85"/>
    </row>
    <row r="859" spans="1:5" ht="15" hidden="1" customHeight="1" x14ac:dyDescent="0.35">
      <c r="A859" s="4"/>
      <c r="B859" s="378" t="s">
        <v>272</v>
      </c>
      <c r="C859" s="320"/>
      <c r="D859" s="742" t="s">
        <v>1004</v>
      </c>
      <c r="E859" s="85"/>
    </row>
    <row r="860" spans="1:5" ht="15.75" hidden="1" customHeight="1" x14ac:dyDescent="0.35">
      <c r="A860" s="4"/>
      <c r="B860" s="359"/>
      <c r="C860" s="214"/>
      <c r="D860" s="709"/>
      <c r="E860" s="85"/>
    </row>
    <row r="861" spans="1:5" ht="15" hidden="1" thickBot="1" x14ac:dyDescent="0.4">
      <c r="A861" s="4"/>
      <c r="B861" s="379" t="s">
        <v>274</v>
      </c>
      <c r="C861" s="220"/>
      <c r="D861" s="220" t="s">
        <v>1005</v>
      </c>
      <c r="E861" s="85"/>
    </row>
    <row r="862" spans="1:5" ht="15" hidden="1" customHeight="1" x14ac:dyDescent="0.35">
      <c r="A862" s="4"/>
      <c r="B862" s="175" t="s">
        <v>283</v>
      </c>
      <c r="C862" s="104"/>
      <c r="D862" s="707" t="s">
        <v>1006</v>
      </c>
      <c r="E862" s="85"/>
    </row>
    <row r="863" spans="1:5" ht="15.75" hidden="1" customHeight="1" x14ac:dyDescent="0.35">
      <c r="A863" s="4"/>
      <c r="B863" s="175"/>
      <c r="C863" s="104"/>
      <c r="D863" s="707"/>
      <c r="E863" s="85"/>
    </row>
    <row r="864" spans="1:5" ht="15.75" hidden="1" customHeight="1" x14ac:dyDescent="0.35">
      <c r="A864" s="4"/>
      <c r="B864" s="175"/>
      <c r="C864" s="104"/>
      <c r="D864" s="707"/>
      <c r="E864" s="85"/>
    </row>
    <row r="865" spans="1:5" ht="15.75" hidden="1" customHeight="1" x14ac:dyDescent="0.35">
      <c r="A865" s="4"/>
      <c r="B865" s="175"/>
      <c r="C865" s="104"/>
      <c r="D865" s="707"/>
      <c r="E865" s="85"/>
    </row>
    <row r="866" spans="1:5" ht="15" hidden="1" customHeight="1" x14ac:dyDescent="0.35">
      <c r="A866" s="4"/>
      <c r="B866" s="175" t="s">
        <v>289</v>
      </c>
      <c r="C866" s="104"/>
      <c r="D866" s="707" t="s">
        <v>1007</v>
      </c>
      <c r="E866" s="85"/>
    </row>
    <row r="867" spans="1:5" ht="15.75" hidden="1" customHeight="1" x14ac:dyDescent="0.35">
      <c r="A867" s="4"/>
      <c r="B867" s="359"/>
      <c r="C867" s="214"/>
      <c r="D867" s="709"/>
      <c r="E867" s="85"/>
    </row>
    <row r="868" spans="1:5" ht="15" hidden="1" customHeight="1" x14ac:dyDescent="0.35">
      <c r="A868" s="4"/>
      <c r="B868" s="378" t="s">
        <v>291</v>
      </c>
      <c r="C868" s="320"/>
      <c r="D868" s="742" t="s">
        <v>1008</v>
      </c>
      <c r="E868" s="85"/>
    </row>
    <row r="869" spans="1:5" ht="15.75" hidden="1" customHeight="1" x14ac:dyDescent="0.35">
      <c r="A869" s="4"/>
      <c r="B869" s="175"/>
      <c r="C869" s="104"/>
      <c r="D869" s="707"/>
      <c r="E869" s="85"/>
    </row>
    <row r="870" spans="1:5" ht="15.75" hidden="1" customHeight="1" x14ac:dyDescent="0.35">
      <c r="A870" s="4"/>
      <c r="B870" s="359"/>
      <c r="C870" s="214"/>
      <c r="D870" s="709"/>
      <c r="E870" s="85"/>
    </row>
    <row r="871" spans="1:5" ht="15" hidden="1" customHeight="1" x14ac:dyDescent="0.35">
      <c r="A871" s="4"/>
      <c r="B871" s="378" t="s">
        <v>403</v>
      </c>
      <c r="C871" s="320"/>
      <c r="D871" s="742" t="s">
        <v>1009</v>
      </c>
      <c r="E871" s="85"/>
    </row>
    <row r="872" spans="1:5" ht="15.75" hidden="1" customHeight="1" x14ac:dyDescent="0.35">
      <c r="A872" s="4"/>
      <c r="B872" s="359"/>
      <c r="C872" s="214"/>
      <c r="D872" s="709"/>
      <c r="E872" s="85"/>
    </row>
    <row r="873" spans="1:5" ht="15" hidden="1" thickBot="1" x14ac:dyDescent="0.4">
      <c r="A873" s="4"/>
      <c r="B873" s="379" t="s">
        <v>453</v>
      </c>
      <c r="C873" s="220"/>
      <c r="D873" s="220" t="s">
        <v>1010</v>
      </c>
      <c r="E873" s="85"/>
    </row>
    <row r="874" spans="1:5" ht="15" hidden="1" thickBot="1" x14ac:dyDescent="0.4">
      <c r="A874" s="4"/>
      <c r="B874" s="379" t="s">
        <v>455</v>
      </c>
      <c r="C874" s="220"/>
      <c r="D874" s="220" t="s">
        <v>1011</v>
      </c>
      <c r="E874" s="85"/>
    </row>
    <row r="875" spans="1:5" ht="15" hidden="1" customHeight="1" x14ac:dyDescent="0.35">
      <c r="A875" s="4"/>
      <c r="B875" s="378" t="s">
        <v>457</v>
      </c>
      <c r="C875" s="320"/>
      <c r="D875" s="742" t="s">
        <v>1012</v>
      </c>
      <c r="E875" s="85"/>
    </row>
    <row r="876" spans="1:5" ht="15.75" hidden="1" customHeight="1" x14ac:dyDescent="0.35">
      <c r="A876" s="4"/>
      <c r="B876" s="175"/>
      <c r="C876" s="104"/>
      <c r="D876" s="707"/>
      <c r="E876" s="85"/>
    </row>
    <row r="877" spans="1:5" ht="15.75" hidden="1" customHeight="1" x14ac:dyDescent="0.35">
      <c r="A877" s="4"/>
      <c r="B877" s="359"/>
      <c r="C877" s="214"/>
      <c r="D877" s="709"/>
      <c r="E877" s="85"/>
    </row>
    <row r="878" spans="1:5" ht="15" hidden="1" customHeight="1" x14ac:dyDescent="0.35">
      <c r="A878" s="4"/>
      <c r="B878" s="175" t="s">
        <v>459</v>
      </c>
      <c r="C878" s="104"/>
      <c r="D878" s="707" t="s">
        <v>1013</v>
      </c>
      <c r="E878" s="85"/>
    </row>
    <row r="879" spans="1:5" ht="15.75" hidden="1" customHeight="1" x14ac:dyDescent="0.35">
      <c r="A879" s="4"/>
      <c r="B879" s="175"/>
      <c r="C879" s="104"/>
      <c r="D879" s="707"/>
      <c r="E879" s="85"/>
    </row>
    <row r="880" spans="1:5" ht="15.75" hidden="1" customHeight="1" x14ac:dyDescent="0.35">
      <c r="A880" s="155"/>
      <c r="B880" s="359"/>
      <c r="C880" s="214"/>
      <c r="D880" s="709"/>
      <c r="E880" s="342"/>
    </row>
    <row r="881" spans="1:5" ht="15" hidden="1" customHeight="1" x14ac:dyDescent="0.35">
      <c r="A881" s="135" t="s">
        <v>1015</v>
      </c>
      <c r="B881" s="320"/>
      <c r="C881" s="320"/>
      <c r="D881" s="753" t="s">
        <v>1016</v>
      </c>
      <c r="E881" s="189"/>
    </row>
    <row r="882" spans="1:5" ht="15.75" hidden="1" customHeight="1" x14ac:dyDescent="0.35">
      <c r="A882" s="32"/>
      <c r="B882" s="104"/>
      <c r="C882" s="104"/>
      <c r="D882" s="706"/>
      <c r="E882" s="85"/>
    </row>
    <row r="883" spans="1:5" ht="15.75" hidden="1" customHeight="1" x14ac:dyDescent="0.35">
      <c r="A883" s="161"/>
      <c r="B883" s="214"/>
      <c r="C883" s="214"/>
      <c r="D883" s="739"/>
      <c r="E883" s="342"/>
    </row>
    <row r="884" spans="1:5" ht="15" hidden="1" customHeight="1" x14ac:dyDescent="0.35">
      <c r="A884" s="135" t="s">
        <v>1018</v>
      </c>
      <c r="B884" s="320"/>
      <c r="C884" s="320"/>
      <c r="D884" s="753" t="s">
        <v>1019</v>
      </c>
      <c r="E884" s="189"/>
    </row>
    <row r="885" spans="1:5" ht="15.75" hidden="1" customHeight="1" x14ac:dyDescent="0.35">
      <c r="A885" s="4"/>
      <c r="B885" s="104"/>
      <c r="C885" s="104"/>
      <c r="D885" s="706"/>
      <c r="E885" s="85"/>
    </row>
    <row r="886" spans="1:5" ht="15.75" hidden="1" customHeight="1" x14ac:dyDescent="0.35">
      <c r="A886" s="4"/>
      <c r="B886" s="104"/>
      <c r="C886" s="104"/>
      <c r="D886" s="706"/>
      <c r="E886" s="85"/>
    </row>
    <row r="887" spans="1:5" ht="15.75" hidden="1" customHeight="1" x14ac:dyDescent="0.35">
      <c r="A887" s="4"/>
      <c r="B887" s="104"/>
      <c r="C887" s="104"/>
      <c r="D887" s="706"/>
      <c r="E887" s="85"/>
    </row>
    <row r="888" spans="1:5" ht="15.75" hidden="1" customHeight="1" x14ac:dyDescent="0.35">
      <c r="A888" s="4"/>
      <c r="B888" s="104"/>
      <c r="C888" s="104"/>
      <c r="D888" s="706"/>
      <c r="E888" s="85"/>
    </row>
    <row r="889" spans="1:5" ht="15.75" hidden="1" customHeight="1" x14ac:dyDescent="0.35">
      <c r="A889" s="155"/>
      <c r="B889" s="214"/>
      <c r="C889" s="214"/>
      <c r="D889" s="739"/>
      <c r="E889" s="342"/>
    </row>
    <row r="890" spans="1:5" ht="15" hidden="1" customHeight="1" x14ac:dyDescent="0.35">
      <c r="A890" s="135" t="s">
        <v>1021</v>
      </c>
      <c r="B890" s="320"/>
      <c r="C890" s="320"/>
      <c r="D890" s="753" t="s">
        <v>1022</v>
      </c>
      <c r="E890" s="189"/>
    </row>
    <row r="891" spans="1:5" ht="15.75" hidden="1" customHeight="1" x14ac:dyDescent="0.35">
      <c r="A891" s="4"/>
      <c r="B891" s="104"/>
      <c r="C891" s="104"/>
      <c r="D891" s="706"/>
      <c r="E891" s="85"/>
    </row>
    <row r="892" spans="1:5" ht="15.75" hidden="1" customHeight="1" x14ac:dyDescent="0.35">
      <c r="A892" s="4"/>
      <c r="B892" s="104"/>
      <c r="C892" s="104"/>
      <c r="D892" s="706"/>
      <c r="E892" s="85"/>
    </row>
    <row r="893" spans="1:5" ht="15.75" hidden="1" customHeight="1" x14ac:dyDescent="0.35">
      <c r="A893" s="4"/>
      <c r="B893" s="104"/>
      <c r="C893" s="104"/>
      <c r="D893" s="706"/>
      <c r="E893" s="85"/>
    </row>
    <row r="894" spans="1:5" ht="15.75" hidden="1" customHeight="1" x14ac:dyDescent="0.35">
      <c r="A894" s="4"/>
      <c r="B894" s="104"/>
      <c r="C894" s="104"/>
      <c r="D894" s="706"/>
      <c r="E894" s="85"/>
    </row>
    <row r="895" spans="1:5" ht="15.75" hidden="1" customHeight="1" x14ac:dyDescent="0.35">
      <c r="A895" s="155"/>
      <c r="B895" s="214"/>
      <c r="C895" s="214"/>
      <c r="D895" s="739"/>
      <c r="E895" s="342"/>
    </row>
    <row r="896" spans="1:5" ht="15" hidden="1" customHeight="1" x14ac:dyDescent="0.35">
      <c r="A896" s="32" t="s">
        <v>1023</v>
      </c>
      <c r="B896" s="104"/>
      <c r="C896" s="104"/>
      <c r="D896" s="706" t="s">
        <v>1024</v>
      </c>
      <c r="E896" s="85"/>
    </row>
    <row r="897" spans="1:5" ht="15" hidden="1" thickBot="1" x14ac:dyDescent="0.4">
      <c r="A897" s="4"/>
      <c r="B897" s="104"/>
      <c r="C897" s="104"/>
      <c r="D897" s="706"/>
      <c r="E897" s="85"/>
    </row>
    <row r="898" spans="1:5" ht="15" hidden="1" customHeight="1" x14ac:dyDescent="0.35">
      <c r="A898" s="4"/>
      <c r="B898" s="175" t="s">
        <v>270</v>
      </c>
      <c r="C898" s="104"/>
      <c r="D898" s="707" t="s">
        <v>1025</v>
      </c>
      <c r="E898" s="85"/>
    </row>
    <row r="899" spans="1:5" ht="15.75" hidden="1" customHeight="1" x14ac:dyDescent="0.35">
      <c r="A899" s="4"/>
      <c r="B899" s="359"/>
      <c r="C899" s="214"/>
      <c r="D899" s="709"/>
      <c r="E899" s="85"/>
    </row>
    <row r="900" spans="1:5" ht="15" hidden="1" thickBot="1" x14ac:dyDescent="0.4">
      <c r="A900" s="155"/>
      <c r="B900" s="359" t="s">
        <v>272</v>
      </c>
      <c r="C900" s="214"/>
      <c r="D900" s="214" t="s">
        <v>1026</v>
      </c>
      <c r="E900" s="342"/>
    </row>
    <row r="901" spans="1:5" ht="15" hidden="1" thickBot="1" x14ac:dyDescent="0.4">
      <c r="A901" s="32" t="s">
        <v>1027</v>
      </c>
      <c r="B901" s="104"/>
      <c r="C901" s="104"/>
      <c r="D901" s="110" t="s">
        <v>1028</v>
      </c>
      <c r="E901" s="85"/>
    </row>
    <row r="902" spans="1:5" ht="19" hidden="1" thickBot="1" x14ac:dyDescent="0.5">
      <c r="A902" s="10" t="s">
        <v>1029</v>
      </c>
      <c r="B902" s="47"/>
      <c r="C902" s="47"/>
      <c r="D902" s="47"/>
      <c r="E902" s="340"/>
    </row>
    <row r="903" spans="1:5" ht="15" hidden="1" customHeight="1" x14ac:dyDescent="0.35">
      <c r="A903" s="32">
        <v>702.1</v>
      </c>
      <c r="B903" s="104"/>
      <c r="C903" s="104"/>
      <c r="D903" s="706" t="s">
        <v>1030</v>
      </c>
      <c r="E903" s="85"/>
    </row>
    <row r="904" spans="1:5" ht="15" hidden="1" thickBot="1" x14ac:dyDescent="0.4">
      <c r="A904" s="183"/>
      <c r="B904" s="223"/>
      <c r="C904" s="223"/>
      <c r="D904" s="710"/>
      <c r="E904" s="184"/>
    </row>
    <row r="905" spans="1:5" ht="15.5" hidden="1" thickTop="1" thickBot="1" x14ac:dyDescent="0.4">
      <c r="A905" s="123">
        <v>702.2</v>
      </c>
      <c r="B905" s="349"/>
      <c r="C905" s="349"/>
      <c r="D905" s="222" t="s">
        <v>1031</v>
      </c>
      <c r="E905" s="341"/>
    </row>
    <row r="906" spans="1:5" ht="15" hidden="1" customHeight="1" x14ac:dyDescent="0.35">
      <c r="A906" s="34" t="s">
        <v>1032</v>
      </c>
      <c r="B906" s="104"/>
      <c r="C906" s="104"/>
      <c r="D906" s="706" t="s">
        <v>1033</v>
      </c>
      <c r="E906" s="85"/>
    </row>
    <row r="907" spans="1:5" ht="15.75" hidden="1" customHeight="1" x14ac:dyDescent="0.35">
      <c r="A907" s="4"/>
      <c r="B907" s="104"/>
      <c r="C907" s="104"/>
      <c r="D907" s="706"/>
      <c r="E907" s="85"/>
    </row>
    <row r="908" spans="1:5" ht="15.75" hidden="1" customHeight="1" x14ac:dyDescent="0.35">
      <c r="A908" s="4"/>
      <c r="B908" s="104"/>
      <c r="C908" s="104"/>
      <c r="D908" s="706"/>
      <c r="E908" s="85"/>
    </row>
    <row r="909" spans="1:5" ht="15.75" hidden="1" customHeight="1" x14ac:dyDescent="0.35">
      <c r="A909" s="155"/>
      <c r="B909" s="214"/>
      <c r="C909" s="214"/>
      <c r="D909" s="739"/>
      <c r="E909" s="342"/>
    </row>
    <row r="910" spans="1:5" ht="15" hidden="1" customHeight="1" x14ac:dyDescent="0.35">
      <c r="A910" s="34" t="s">
        <v>1034</v>
      </c>
      <c r="B910" s="104"/>
      <c r="C910" s="104"/>
      <c r="D910" s="706" t="s">
        <v>1035</v>
      </c>
      <c r="E910" s="696">
        <f ca="1">'Verification Report'!O911</f>
        <v>0</v>
      </c>
    </row>
    <row r="911" spans="1:5" ht="15.75" hidden="1" customHeight="1" x14ac:dyDescent="0.35">
      <c r="A911" s="4"/>
      <c r="B911" s="104"/>
      <c r="C911" s="104"/>
      <c r="D911" s="706"/>
      <c r="E911" s="696">
        <f>'Verification Report'!O912</f>
        <v>0</v>
      </c>
    </row>
    <row r="912" spans="1:5" ht="15.75" hidden="1" customHeight="1" x14ac:dyDescent="0.35">
      <c r="A912" s="4"/>
      <c r="B912" s="104"/>
      <c r="C912" s="104"/>
      <c r="D912" s="706"/>
      <c r="E912" s="696">
        <f>'Verification Report'!O913</f>
        <v>0</v>
      </c>
    </row>
    <row r="913" spans="1:5" ht="15.75" hidden="1" customHeight="1" x14ac:dyDescent="0.35">
      <c r="A913" s="4"/>
      <c r="B913" s="104"/>
      <c r="C913" s="104"/>
      <c r="D913" s="706"/>
      <c r="E913" s="696">
        <f>'Verification Report'!O914</f>
        <v>0</v>
      </c>
    </row>
    <row r="914" spans="1:5" ht="15.75" hidden="1" customHeight="1" x14ac:dyDescent="0.35">
      <c r="A914" s="4"/>
      <c r="B914" s="104"/>
      <c r="C914" s="104"/>
      <c r="D914" s="706"/>
      <c r="E914" s="696">
        <f>'Verification Report'!O915</f>
        <v>0</v>
      </c>
    </row>
    <row r="915" spans="1:5" ht="15.75" hidden="1" customHeight="1" x14ac:dyDescent="0.35">
      <c r="A915" s="4"/>
      <c r="B915" s="104"/>
      <c r="C915" s="104"/>
      <c r="D915" s="110" t="s">
        <v>1036</v>
      </c>
      <c r="E915" s="85"/>
    </row>
    <row r="916" spans="1:5" ht="15" hidden="1" customHeight="1" x14ac:dyDescent="0.35">
      <c r="A916" s="4"/>
      <c r="B916" s="104"/>
      <c r="C916" s="104"/>
      <c r="D916" s="714" t="s">
        <v>3198</v>
      </c>
      <c r="E916" s="85"/>
    </row>
    <row r="917" spans="1:5" ht="15.75" hidden="1" customHeight="1" x14ac:dyDescent="0.35">
      <c r="A917" s="4"/>
      <c r="B917" s="104"/>
      <c r="C917" s="104"/>
      <c r="D917" s="714"/>
      <c r="E917" s="85"/>
    </row>
    <row r="918" spans="1:5" ht="15.75" hidden="1" customHeight="1" x14ac:dyDescent="0.35">
      <c r="A918" s="155"/>
      <c r="B918" s="214"/>
      <c r="C918" s="214"/>
      <c r="D918" s="755"/>
      <c r="E918" s="85"/>
    </row>
    <row r="919" spans="1:5" ht="15" hidden="1" customHeight="1" x14ac:dyDescent="0.35">
      <c r="A919" s="34" t="s">
        <v>1037</v>
      </c>
      <c r="B919" s="104"/>
      <c r="C919" s="104"/>
      <c r="D919" s="706" t="s">
        <v>1038</v>
      </c>
      <c r="E919" s="85"/>
    </row>
    <row r="920" spans="1:5" ht="15.75" hidden="1" customHeight="1" x14ac:dyDescent="0.35">
      <c r="A920" s="4"/>
      <c r="B920" s="104"/>
      <c r="C920" s="104"/>
      <c r="D920" s="706"/>
      <c r="E920" s="85"/>
    </row>
    <row r="921" spans="1:5" ht="19" hidden="1" thickBot="1" x14ac:dyDescent="0.5">
      <c r="A921" s="10" t="s">
        <v>1039</v>
      </c>
      <c r="B921" s="47"/>
      <c r="C921" s="47"/>
      <c r="D921" s="47"/>
      <c r="E921" s="340"/>
    </row>
    <row r="922" spans="1:5" ht="15" hidden="1" thickBot="1" x14ac:dyDescent="0.4">
      <c r="A922" s="32">
        <v>703.1</v>
      </c>
      <c r="B922" s="104"/>
      <c r="C922" s="104"/>
      <c r="D922" s="110" t="s">
        <v>1040</v>
      </c>
      <c r="E922" s="85">
        <f ca="1">'Verification Report'!O923</f>
        <v>0</v>
      </c>
    </row>
    <row r="923" spans="1:5" ht="15" hidden="1" customHeight="1" x14ac:dyDescent="0.35">
      <c r="A923" s="34" t="s">
        <v>1041</v>
      </c>
      <c r="B923" s="104"/>
      <c r="C923" s="104"/>
      <c r="D923" s="706" t="s">
        <v>1042</v>
      </c>
      <c r="E923" s="85"/>
    </row>
    <row r="924" spans="1:5" ht="15.75" hidden="1" customHeight="1" x14ac:dyDescent="0.35">
      <c r="A924" s="4"/>
      <c r="B924" s="104"/>
      <c r="C924" s="104"/>
      <c r="D924" s="706"/>
      <c r="E924" s="85"/>
    </row>
    <row r="925" spans="1:5" ht="15.75" hidden="1" customHeight="1" x14ac:dyDescent="0.35">
      <c r="A925" s="155"/>
      <c r="B925" s="214"/>
      <c r="C925" s="214"/>
      <c r="D925" s="121" t="s">
        <v>3199</v>
      </c>
      <c r="E925" s="85"/>
    </row>
    <row r="926" spans="1:5" ht="15" hidden="1" customHeight="1" x14ac:dyDescent="0.35">
      <c r="A926" s="362" t="s">
        <v>1044</v>
      </c>
      <c r="B926" s="320"/>
      <c r="C926" s="320"/>
      <c r="D926" s="753" t="s">
        <v>1045</v>
      </c>
      <c r="E926" s="85"/>
    </row>
    <row r="927" spans="1:5" ht="15.75" hidden="1" customHeight="1" x14ac:dyDescent="0.35">
      <c r="A927" s="4"/>
      <c r="B927" s="104"/>
      <c r="C927" s="104"/>
      <c r="D927" s="706"/>
      <c r="E927" s="85"/>
    </row>
    <row r="928" spans="1:5" ht="15.75" hidden="1" customHeight="1" x14ac:dyDescent="0.35">
      <c r="A928" s="4"/>
      <c r="B928" s="104"/>
      <c r="C928" s="104"/>
      <c r="D928" s="706"/>
      <c r="E928" s="85"/>
    </row>
    <row r="929" spans="1:5" ht="15.75" hidden="1" customHeight="1" x14ac:dyDescent="0.35">
      <c r="A929" s="4"/>
      <c r="B929" s="104"/>
      <c r="C929" s="104"/>
      <c r="D929" s="706"/>
      <c r="E929" s="85"/>
    </row>
    <row r="930" spans="1:5" ht="15.75" hidden="1" customHeight="1" x14ac:dyDescent="0.35">
      <c r="A930" s="4"/>
      <c r="B930" s="104"/>
      <c r="C930" s="104"/>
      <c r="D930" s="706"/>
      <c r="E930" s="85"/>
    </row>
    <row r="931" spans="1:5" ht="15.75" hidden="1" customHeight="1" x14ac:dyDescent="0.35">
      <c r="A931" s="155"/>
      <c r="B931" s="214"/>
      <c r="C931" s="214"/>
      <c r="D931" s="739"/>
      <c r="E931" s="85"/>
    </row>
    <row r="932" spans="1:5" ht="15" hidden="1" customHeight="1" x14ac:dyDescent="0.35">
      <c r="A932" s="362" t="s">
        <v>1047</v>
      </c>
      <c r="B932" s="320"/>
      <c r="C932" s="320"/>
      <c r="D932" s="753" t="s">
        <v>1048</v>
      </c>
      <c r="E932" s="85"/>
    </row>
    <row r="933" spans="1:5" ht="15.75" hidden="1" customHeight="1" x14ac:dyDescent="0.35">
      <c r="A933" s="4"/>
      <c r="B933" s="104"/>
      <c r="C933" s="104"/>
      <c r="D933" s="706"/>
      <c r="E933" s="85"/>
    </row>
    <row r="934" spans="1:5" ht="15.75" hidden="1" customHeight="1" x14ac:dyDescent="0.35">
      <c r="A934" s="4"/>
      <c r="B934" s="104"/>
      <c r="C934" s="104"/>
      <c r="D934" s="706"/>
      <c r="E934" s="85"/>
    </row>
    <row r="935" spans="1:5" ht="15.75" hidden="1" customHeight="1" x14ac:dyDescent="0.35">
      <c r="A935" s="155"/>
      <c r="B935" s="214"/>
      <c r="C935" s="214"/>
      <c r="D935" s="739"/>
      <c r="E935" s="85"/>
    </row>
    <row r="936" spans="1:5" ht="15" hidden="1" customHeight="1" x14ac:dyDescent="0.35">
      <c r="A936" s="34" t="s">
        <v>1049</v>
      </c>
      <c r="B936" s="104"/>
      <c r="C936" s="104"/>
      <c r="D936" s="706" t="s">
        <v>1050</v>
      </c>
      <c r="E936" s="85"/>
    </row>
    <row r="937" spans="1:5" ht="15.75" hidden="1" customHeight="1" x14ac:dyDescent="0.35">
      <c r="A937" s="4"/>
      <c r="B937" s="104"/>
      <c r="C937" s="104"/>
      <c r="D937" s="706"/>
      <c r="E937" s="85"/>
    </row>
    <row r="938" spans="1:5" ht="15.75" hidden="1" customHeight="1" x14ac:dyDescent="0.35">
      <c r="A938" s="155"/>
      <c r="B938" s="214"/>
      <c r="C938" s="214"/>
      <c r="D938" s="121" t="s">
        <v>3755</v>
      </c>
      <c r="E938" s="85"/>
    </row>
    <row r="939" spans="1:5" ht="15" hidden="1" customHeight="1" x14ac:dyDescent="0.35">
      <c r="A939" s="34" t="s">
        <v>1051</v>
      </c>
      <c r="B939" s="104"/>
      <c r="C939" s="104"/>
      <c r="D939" s="706" t="s">
        <v>1052</v>
      </c>
      <c r="E939" s="85"/>
    </row>
    <row r="940" spans="1:5" ht="15" hidden="1" customHeight="1" x14ac:dyDescent="0.35">
      <c r="A940" s="34"/>
      <c r="B940" s="104"/>
      <c r="C940" s="104"/>
      <c r="D940" s="706"/>
      <c r="E940" s="85"/>
    </row>
    <row r="941" spans="1:5" ht="15" hidden="1" customHeight="1" x14ac:dyDescent="0.35">
      <c r="A941" s="34"/>
      <c r="B941" s="104"/>
      <c r="C941" s="104"/>
      <c r="D941" s="706"/>
      <c r="E941" s="85"/>
    </row>
    <row r="942" spans="1:5" ht="15" hidden="1" customHeight="1" x14ac:dyDescent="0.35">
      <c r="A942" s="34"/>
      <c r="B942" s="104"/>
      <c r="C942" s="104"/>
      <c r="D942" s="706"/>
      <c r="E942" s="85"/>
    </row>
    <row r="943" spans="1:5" ht="15.75" hidden="1" customHeight="1" thickBot="1" x14ac:dyDescent="0.4">
      <c r="A943" s="183"/>
      <c r="B943" s="223"/>
      <c r="C943" s="223"/>
      <c r="D943" s="710"/>
      <c r="E943" s="184"/>
    </row>
    <row r="944" spans="1:5" ht="15" hidden="1" thickBot="1" x14ac:dyDescent="0.4">
      <c r="A944" s="32">
        <v>703.2</v>
      </c>
      <c r="B944" s="104"/>
      <c r="C944" s="104"/>
      <c r="D944" s="110" t="s">
        <v>1053</v>
      </c>
      <c r="E944" s="85"/>
    </row>
    <row r="945" spans="1:5" ht="15" hidden="1" customHeight="1" x14ac:dyDescent="0.35">
      <c r="A945" s="32" t="s">
        <v>1054</v>
      </c>
      <c r="B945" s="104"/>
      <c r="C945" s="104"/>
      <c r="D945" s="706" t="s">
        <v>1055</v>
      </c>
      <c r="E945" s="696">
        <f>'Verification Report'!O946</f>
        <v>0</v>
      </c>
    </row>
    <row r="946" spans="1:5" ht="15.75" hidden="1" customHeight="1" x14ac:dyDescent="0.35">
      <c r="A946" s="4"/>
      <c r="B946" s="104"/>
      <c r="C946" s="104"/>
      <c r="D946" s="706"/>
      <c r="E946" s="696">
        <f>'Verification Report'!O947</f>
        <v>0</v>
      </c>
    </row>
    <row r="947" spans="1:5" ht="15.75" hidden="1" customHeight="1" x14ac:dyDescent="0.35">
      <c r="A947" s="4"/>
      <c r="B947" s="104"/>
      <c r="C947" s="104"/>
      <c r="D947" s="706"/>
      <c r="E947" s="696">
        <f>'Verification Report'!O948</f>
        <v>0</v>
      </c>
    </row>
    <row r="948" spans="1:5" ht="15.75" hidden="1" customHeight="1" x14ac:dyDescent="0.35">
      <c r="A948" s="4"/>
      <c r="B948" s="104"/>
      <c r="C948" s="104"/>
      <c r="D948" s="706"/>
      <c r="E948" s="696">
        <f>'Verification Report'!O949</f>
        <v>0</v>
      </c>
    </row>
    <row r="949" spans="1:5" ht="15.75" hidden="1" customHeight="1" x14ac:dyDescent="0.35">
      <c r="A949" s="4"/>
      <c r="B949" s="104"/>
      <c r="C949" s="104"/>
      <c r="D949" s="706"/>
      <c r="E949" s="696">
        <f>'Verification Report'!O950</f>
        <v>0</v>
      </c>
    </row>
    <row r="950" spans="1:5" ht="15.75" hidden="1" customHeight="1" x14ac:dyDescent="0.35">
      <c r="A950" s="4"/>
      <c r="B950" s="104"/>
      <c r="C950" s="104"/>
      <c r="D950" s="706"/>
      <c r="E950" s="696">
        <f>'Verification Report'!O951</f>
        <v>0</v>
      </c>
    </row>
    <row r="951" spans="1:5" ht="15.75" hidden="1" customHeight="1" x14ac:dyDescent="0.35">
      <c r="A951" s="155"/>
      <c r="B951" s="214"/>
      <c r="C951" s="214"/>
      <c r="D951" t="s">
        <v>3756</v>
      </c>
      <c r="E951" s="342"/>
    </row>
    <row r="952" spans="1:5" ht="15" hidden="1" customHeight="1" x14ac:dyDescent="0.35">
      <c r="A952" s="135" t="s">
        <v>1057</v>
      </c>
      <c r="B952" s="320"/>
      <c r="C952" s="320"/>
      <c r="D952" s="753" t="s">
        <v>1058</v>
      </c>
      <c r="E952" s="713">
        <f>'Verification Report'!O953</f>
        <v>0</v>
      </c>
    </row>
    <row r="953" spans="1:5" ht="15.75" hidden="1" customHeight="1" x14ac:dyDescent="0.35">
      <c r="A953" s="155"/>
      <c r="B953" s="214"/>
      <c r="C953" s="214"/>
      <c r="D953" s="739"/>
      <c r="E953" s="697">
        <f>'Verification Report'!O954</f>
        <v>0</v>
      </c>
    </row>
    <row r="954" spans="1:5" ht="15" hidden="1" customHeight="1" x14ac:dyDescent="0.35">
      <c r="A954" s="135" t="s">
        <v>1060</v>
      </c>
      <c r="B954" s="320"/>
      <c r="C954" s="320"/>
      <c r="D954" s="753" t="s">
        <v>1061</v>
      </c>
      <c r="E954" s="713">
        <f ca="1">'Verification Report'!O955</f>
        <v>0</v>
      </c>
    </row>
    <row r="955" spans="1:5" ht="15.75" hidden="1" customHeight="1" x14ac:dyDescent="0.35">
      <c r="A955" s="4"/>
      <c r="B955" s="104"/>
      <c r="C955" s="104"/>
      <c r="D955" s="706"/>
      <c r="E955" s="696">
        <f>'Verification Report'!O956</f>
        <v>0</v>
      </c>
    </row>
    <row r="956" spans="1:5" ht="15.75" hidden="1" customHeight="1" x14ac:dyDescent="0.35">
      <c r="A956" s="155"/>
      <c r="B956" s="214"/>
      <c r="C956" s="214"/>
      <c r="D956" s="739"/>
      <c r="E956" s="697">
        <f>'Verification Report'!O957</f>
        <v>0</v>
      </c>
    </row>
    <row r="957" spans="1:5" ht="15" hidden="1" customHeight="1" x14ac:dyDescent="0.35">
      <c r="A957" s="135" t="s">
        <v>1062</v>
      </c>
      <c r="B957" s="320"/>
      <c r="C957" s="320"/>
      <c r="D957" s="753" t="s">
        <v>1063</v>
      </c>
      <c r="E957" s="713">
        <f ca="1">'Verification Report'!O958</f>
        <v>0</v>
      </c>
    </row>
    <row r="958" spans="1:5" ht="15.75" hidden="1" customHeight="1" x14ac:dyDescent="0.35">
      <c r="A958" s="4"/>
      <c r="B958" s="104"/>
      <c r="C958" s="104"/>
      <c r="D958" s="706"/>
      <c r="E958" s="696">
        <f>'Verification Report'!O959</f>
        <v>0</v>
      </c>
    </row>
    <row r="959" spans="1:5" ht="15.75" hidden="1" customHeight="1" x14ac:dyDescent="0.35">
      <c r="A959" s="155"/>
      <c r="B959" s="214"/>
      <c r="C959" s="214"/>
      <c r="D959" s="739"/>
      <c r="E959" s="697">
        <f>'Verification Report'!O960</f>
        <v>0</v>
      </c>
    </row>
    <row r="960" spans="1:5" ht="15" hidden="1" thickBot="1" x14ac:dyDescent="0.4">
      <c r="A960" s="34" t="s">
        <v>1065</v>
      </c>
      <c r="B960" s="104"/>
      <c r="C960" s="104"/>
      <c r="D960" s="110" t="s">
        <v>1066</v>
      </c>
      <c r="E960" s="85"/>
    </row>
    <row r="961" spans="1:5" ht="15" hidden="1" customHeight="1" x14ac:dyDescent="0.35">
      <c r="A961" s="34" t="s">
        <v>1067</v>
      </c>
      <c r="B961" s="104"/>
      <c r="C961" s="104"/>
      <c r="D961" s="707" t="s">
        <v>1068</v>
      </c>
      <c r="E961" s="85"/>
    </row>
    <row r="962" spans="1:5" ht="15.75" hidden="1" customHeight="1" x14ac:dyDescent="0.35">
      <c r="A962" s="4"/>
      <c r="B962" s="104"/>
      <c r="C962" s="104"/>
      <c r="D962" s="707"/>
      <c r="E962" s="85"/>
    </row>
    <row r="963" spans="1:5" ht="15.75" hidden="1" customHeight="1" x14ac:dyDescent="0.35">
      <c r="A963" s="4"/>
      <c r="B963" s="104"/>
      <c r="C963" s="104"/>
      <c r="D963" s="707"/>
      <c r="E963" s="85"/>
    </row>
    <row r="964" spans="1:5" ht="15.75" hidden="1" customHeight="1" x14ac:dyDescent="0.35">
      <c r="A964" s="4"/>
      <c r="B964" s="104"/>
      <c r="C964" s="104"/>
      <c r="D964" s="707"/>
      <c r="E964" s="85"/>
    </row>
    <row r="965" spans="1:5" ht="15.75" hidden="1" customHeight="1" x14ac:dyDescent="0.35">
      <c r="A965" s="4"/>
      <c r="B965" s="104"/>
      <c r="C965" s="104"/>
      <c r="D965" s="707"/>
      <c r="E965" s="85"/>
    </row>
    <row r="966" spans="1:5" ht="15.75" hidden="1" customHeight="1" x14ac:dyDescent="0.35">
      <c r="A966" s="4"/>
      <c r="B966" s="104"/>
      <c r="C966" s="104"/>
      <c r="D966" s="707"/>
      <c r="E966" s="85"/>
    </row>
    <row r="967" spans="1:5" ht="15.75" hidden="1" customHeight="1" x14ac:dyDescent="0.35">
      <c r="A967" s="155"/>
      <c r="B967" s="214"/>
      <c r="C967" s="214"/>
      <c r="D967" t="s">
        <v>4041</v>
      </c>
      <c r="E967" s="85"/>
    </row>
    <row r="968" spans="1:5" ht="15" hidden="1" customHeight="1" x14ac:dyDescent="0.35">
      <c r="A968" s="362" t="s">
        <v>1069</v>
      </c>
      <c r="B968" s="320"/>
      <c r="C968" s="320"/>
      <c r="D968" s="753" t="s">
        <v>1070</v>
      </c>
      <c r="E968" s="85"/>
    </row>
    <row r="969" spans="1:5" ht="15.75" hidden="1" customHeight="1" x14ac:dyDescent="0.35">
      <c r="A969" s="4"/>
      <c r="B969" s="104"/>
      <c r="C969" s="104"/>
      <c r="D969" s="706"/>
      <c r="E969" s="85"/>
    </row>
    <row r="970" spans="1:5" ht="15.75" hidden="1" customHeight="1" x14ac:dyDescent="0.35">
      <c r="A970" s="4"/>
      <c r="B970" s="104"/>
      <c r="C970" s="104"/>
      <c r="D970" s="706"/>
      <c r="E970" s="85"/>
    </row>
    <row r="971" spans="1:5" ht="15.75" hidden="1" customHeight="1" x14ac:dyDescent="0.35">
      <c r="A971" s="4"/>
      <c r="B971" s="104"/>
      <c r="C971" s="104"/>
      <c r="D971" s="706"/>
      <c r="E971" s="85"/>
    </row>
    <row r="972" spans="1:5" ht="15.75" hidden="1" customHeight="1" x14ac:dyDescent="0.35">
      <c r="A972" s="4"/>
      <c r="B972" s="104"/>
      <c r="C972" s="104"/>
      <c r="D972" s="706"/>
      <c r="E972" s="85"/>
    </row>
    <row r="973" spans="1:5" ht="15.75" hidden="1" customHeight="1" x14ac:dyDescent="0.35">
      <c r="A973" s="4"/>
      <c r="B973" s="104"/>
      <c r="C973" s="104"/>
      <c r="D973" s="706"/>
      <c r="E973" s="85"/>
    </row>
    <row r="974" spans="1:5" ht="15.75" hidden="1" customHeight="1" x14ac:dyDescent="0.35">
      <c r="A974" s="4"/>
      <c r="B974" s="104"/>
      <c r="C974" s="104"/>
      <c r="D974" s="706"/>
      <c r="E974" s="85"/>
    </row>
    <row r="975" spans="1:5" ht="15.75" hidden="1" customHeight="1" x14ac:dyDescent="0.35">
      <c r="A975" s="155"/>
      <c r="B975" s="214"/>
      <c r="C975" s="214"/>
      <c r="D975" s="739"/>
      <c r="E975" s="85"/>
    </row>
    <row r="976" spans="1:5" ht="15" hidden="1" customHeight="1" x14ac:dyDescent="0.35">
      <c r="A976" s="34" t="s">
        <v>1071</v>
      </c>
      <c r="B976" s="104"/>
      <c r="C976" s="104"/>
      <c r="D976" s="706" t="s">
        <v>1072</v>
      </c>
      <c r="E976" s="696">
        <f ca="1">'Verification Report'!O977</f>
        <v>0</v>
      </c>
    </row>
    <row r="977" spans="1:5" ht="15.75" hidden="1" customHeight="1" x14ac:dyDescent="0.35">
      <c r="A977" s="4"/>
      <c r="B977" s="104"/>
      <c r="C977" s="104"/>
      <c r="D977" s="706"/>
      <c r="E977" s="696">
        <f>'Verification Report'!O978</f>
        <v>0</v>
      </c>
    </row>
    <row r="978" spans="1:5" ht="15.75" hidden="1" customHeight="1" x14ac:dyDescent="0.35">
      <c r="A978" s="4"/>
      <c r="B978" s="104"/>
      <c r="C978" s="104"/>
      <c r="D978" s="706"/>
      <c r="E978" s="696">
        <f>'Verification Report'!O979</f>
        <v>0</v>
      </c>
    </row>
    <row r="979" spans="1:5" ht="15.75" hidden="1" customHeight="1" x14ac:dyDescent="0.35">
      <c r="A979" s="4"/>
      <c r="B979" s="104"/>
      <c r="C979" s="104"/>
      <c r="D979" s="706"/>
      <c r="E979" s="696">
        <f>'Verification Report'!O980</f>
        <v>0</v>
      </c>
    </row>
    <row r="980" spans="1:5" ht="15.75" hidden="1" customHeight="1" x14ac:dyDescent="0.35">
      <c r="A980" s="4"/>
      <c r="B980" s="104"/>
      <c r="C980" s="104"/>
      <c r="D980" s="706"/>
      <c r="E980" s="696">
        <f>'Verification Report'!O981</f>
        <v>0</v>
      </c>
    </row>
    <row r="981" spans="1:5" ht="15.75" hidden="1" customHeight="1" x14ac:dyDescent="0.35">
      <c r="A981" s="4"/>
      <c r="B981" s="104"/>
      <c r="C981" s="359" t="s">
        <v>121</v>
      </c>
      <c r="D981" s="193" t="s">
        <v>3702</v>
      </c>
      <c r="E981" s="85"/>
    </row>
    <row r="982" spans="1:5" ht="15.75" hidden="1" customHeight="1" x14ac:dyDescent="0.35">
      <c r="A982" s="4"/>
      <c r="B982" s="104"/>
      <c r="C982" s="359" t="s">
        <v>122</v>
      </c>
      <c r="D982" s="193" t="s">
        <v>3699</v>
      </c>
      <c r="E982" s="85"/>
    </row>
    <row r="983" spans="1:5" ht="15.75" hidden="1" customHeight="1" x14ac:dyDescent="0.35">
      <c r="A983" s="155"/>
      <c r="B983" s="214"/>
      <c r="C983" s="380" t="s">
        <v>123</v>
      </c>
      <c r="D983" s="219" t="s">
        <v>3698</v>
      </c>
      <c r="E983" s="85"/>
    </row>
    <row r="984" spans="1:5" ht="15" hidden="1" customHeight="1" x14ac:dyDescent="0.35">
      <c r="A984" s="34" t="s">
        <v>1073</v>
      </c>
      <c r="B984" s="104"/>
      <c r="D984" s="706" t="s">
        <v>1074</v>
      </c>
      <c r="E984" s="85"/>
    </row>
    <row r="985" spans="1:5" ht="15.75" hidden="1" customHeight="1" x14ac:dyDescent="0.35">
      <c r="A985" s="4"/>
      <c r="B985" s="104"/>
      <c r="C985" s="104"/>
      <c r="D985" s="706"/>
      <c r="E985" s="85"/>
    </row>
    <row r="986" spans="1:5" ht="15.75" hidden="1" customHeight="1" x14ac:dyDescent="0.35">
      <c r="A986" s="4"/>
      <c r="B986" s="104"/>
      <c r="C986" s="104"/>
      <c r="D986" s="706"/>
      <c r="E986" s="85"/>
    </row>
    <row r="987" spans="1:5" ht="15.75" hidden="1" customHeight="1" x14ac:dyDescent="0.35">
      <c r="A987" s="4"/>
      <c r="B987" s="104"/>
      <c r="C987" s="104"/>
      <c r="D987" s="706"/>
      <c r="E987" s="85"/>
    </row>
    <row r="988" spans="1:5" ht="15.75" hidden="1" customHeight="1" x14ac:dyDescent="0.35">
      <c r="A988" s="4"/>
      <c r="B988" s="104"/>
      <c r="C988" s="104"/>
      <c r="D988" s="706"/>
      <c r="E988" s="85"/>
    </row>
    <row r="989" spans="1:5" ht="15.75" hidden="1" customHeight="1" x14ac:dyDescent="0.35">
      <c r="A989" s="4"/>
      <c r="B989" s="104"/>
      <c r="C989" s="104"/>
      <c r="D989" s="706"/>
      <c r="E989" s="85"/>
    </row>
    <row r="990" spans="1:5" ht="15.75" hidden="1" customHeight="1" x14ac:dyDescent="0.35">
      <c r="A990" s="4"/>
      <c r="B990" s="104"/>
      <c r="C990" s="104"/>
      <c r="D990" s="706"/>
      <c r="E990" s="85"/>
    </row>
    <row r="991" spans="1:5" ht="15.75" hidden="1" customHeight="1" thickBot="1" x14ac:dyDescent="0.4">
      <c r="A991" s="183"/>
      <c r="B991" s="223"/>
      <c r="C991" s="223"/>
      <c r="D991" s="710"/>
      <c r="E991" s="184"/>
    </row>
    <row r="992" spans="1:5" ht="15" hidden="1" thickBot="1" x14ac:dyDescent="0.4">
      <c r="A992" s="19">
        <v>703.3</v>
      </c>
      <c r="B992" s="104"/>
      <c r="C992" s="104"/>
      <c r="D992" s="110" t="s">
        <v>1076</v>
      </c>
      <c r="E992" s="85"/>
    </row>
    <row r="993" spans="1:5" ht="15" hidden="1" customHeight="1" x14ac:dyDescent="0.35">
      <c r="A993" s="34" t="s">
        <v>1075</v>
      </c>
      <c r="B993" s="104"/>
      <c r="C993" s="104"/>
      <c r="D993" s="706" t="s">
        <v>1077</v>
      </c>
      <c r="E993" s="85"/>
    </row>
    <row r="994" spans="1:5" ht="15.75" hidden="1" customHeight="1" x14ac:dyDescent="0.35">
      <c r="A994" s="4"/>
      <c r="B994" s="104"/>
      <c r="C994" s="104"/>
      <c r="D994" s="706"/>
      <c r="E994" s="85"/>
    </row>
    <row r="995" spans="1:5" ht="15.75" hidden="1" customHeight="1" x14ac:dyDescent="0.35">
      <c r="A995" s="4"/>
      <c r="B995" s="104"/>
      <c r="C995" s="104"/>
      <c r="D995" s="706"/>
      <c r="E995" s="85"/>
    </row>
    <row r="996" spans="1:5" ht="15.75" hidden="1" customHeight="1" x14ac:dyDescent="0.35">
      <c r="A996" s="4"/>
      <c r="B996" s="104"/>
      <c r="C996" s="104"/>
      <c r="D996" s="706"/>
      <c r="E996" s="85"/>
    </row>
    <row r="997" spans="1:5" ht="15.75" hidden="1" customHeight="1" x14ac:dyDescent="0.35">
      <c r="A997" s="4"/>
      <c r="B997" s="104"/>
      <c r="C997" s="104"/>
      <c r="D997" s="706"/>
      <c r="E997" s="85"/>
    </row>
    <row r="998" spans="1:5" ht="15.75" hidden="1" customHeight="1" x14ac:dyDescent="0.35">
      <c r="A998" s="4"/>
      <c r="B998" s="104"/>
      <c r="C998" s="104"/>
      <c r="D998" s="706"/>
      <c r="E998" s="85"/>
    </row>
    <row r="999" spans="1:5" ht="15.75" hidden="1" customHeight="1" x14ac:dyDescent="0.35">
      <c r="A999" s="4"/>
      <c r="B999" s="104"/>
      <c r="C999" s="104"/>
      <c r="D999" s="706"/>
      <c r="E999" s="85"/>
    </row>
    <row r="1000" spans="1:5" ht="15.75" hidden="1" customHeight="1" x14ac:dyDescent="0.35">
      <c r="A1000" s="4"/>
      <c r="B1000" s="104"/>
      <c r="C1000" s="104"/>
      <c r="D1000" s="706"/>
      <c r="E1000" s="85"/>
    </row>
    <row r="1001" spans="1:5" ht="15" hidden="1" customHeight="1" x14ac:dyDescent="0.35">
      <c r="A1001" s="4"/>
      <c r="B1001" s="104"/>
      <c r="C1001" s="104"/>
      <c r="D1001" s="778" t="s">
        <v>1297</v>
      </c>
      <c r="E1001" s="85"/>
    </row>
    <row r="1002" spans="1:5" ht="15.75" hidden="1" customHeight="1" x14ac:dyDescent="0.35">
      <c r="A1002" s="4"/>
      <c r="B1002" s="104"/>
      <c r="C1002" s="104"/>
      <c r="D1002" s="778"/>
      <c r="E1002" s="85"/>
    </row>
    <row r="1003" spans="1:5" ht="15.75" hidden="1" customHeight="1" x14ac:dyDescent="0.35">
      <c r="A1003" s="4"/>
      <c r="B1003" s="104"/>
      <c r="C1003" s="104"/>
      <c r="D1003" s="177" t="s">
        <v>1078</v>
      </c>
      <c r="E1003" s="85"/>
    </row>
    <row r="1004" spans="1:5" ht="15.75" hidden="1" customHeight="1" x14ac:dyDescent="0.35">
      <c r="A1004" s="4"/>
      <c r="B1004" s="104"/>
      <c r="C1004" s="104"/>
      <c r="D1004" s="177" t="s">
        <v>1079</v>
      </c>
      <c r="E1004" s="85"/>
    </row>
    <row r="1005" spans="1:5" ht="15.75" hidden="1" customHeight="1" x14ac:dyDescent="0.35">
      <c r="A1005" s="155"/>
      <c r="B1005" s="214"/>
      <c r="C1005" s="214"/>
      <c r="D1005" s="370" t="s">
        <v>1080</v>
      </c>
      <c r="E1005" s="85"/>
    </row>
    <row r="1006" spans="1:5" ht="15" hidden="1" customHeight="1" x14ac:dyDescent="0.35">
      <c r="A1006" s="34" t="s">
        <v>1081</v>
      </c>
      <c r="B1006" s="104"/>
      <c r="C1006" s="104"/>
      <c r="D1006" s="706" t="s">
        <v>1082</v>
      </c>
      <c r="E1006" s="696">
        <f ca="1">'Verification Report'!O1007</f>
        <v>0</v>
      </c>
    </row>
    <row r="1007" spans="1:5" ht="15.75" hidden="1" customHeight="1" x14ac:dyDescent="0.35">
      <c r="A1007" s="4"/>
      <c r="B1007" s="104"/>
      <c r="C1007" s="104"/>
      <c r="D1007" s="706"/>
      <c r="E1007" s="696">
        <f>'Verification Report'!O1008</f>
        <v>0</v>
      </c>
    </row>
    <row r="1008" spans="1:5" ht="15.75" hidden="1" customHeight="1" x14ac:dyDescent="0.35">
      <c r="A1008" s="4"/>
      <c r="B1008" s="104"/>
      <c r="C1008" s="104"/>
      <c r="D1008" s="706"/>
      <c r="E1008" s="696">
        <f>'Verification Report'!O1009</f>
        <v>0</v>
      </c>
    </row>
    <row r="1009" spans="1:5" ht="15.75" hidden="1" customHeight="1" x14ac:dyDescent="0.35">
      <c r="A1009" s="4"/>
      <c r="B1009" s="104"/>
      <c r="C1009" s="104"/>
      <c r="D1009" s="706"/>
      <c r="E1009" s="696">
        <f>'Verification Report'!O1010</f>
        <v>0</v>
      </c>
    </row>
    <row r="1010" spans="1:5" ht="15.75" hidden="1" customHeight="1" x14ac:dyDescent="0.35">
      <c r="A1010" s="155"/>
      <c r="B1010" s="214"/>
      <c r="C1010" s="214"/>
      <c r="D1010" s="739"/>
      <c r="E1010" s="697">
        <f>'Verification Report'!O1011</f>
        <v>0</v>
      </c>
    </row>
    <row r="1011" spans="1:5" ht="15" hidden="1" thickBot="1" x14ac:dyDescent="0.4">
      <c r="A1011" s="34" t="s">
        <v>1083</v>
      </c>
      <c r="B1011" s="104"/>
      <c r="C1011" s="104"/>
      <c r="D1011" s="110" t="s">
        <v>1084</v>
      </c>
      <c r="E1011" s="85"/>
    </row>
    <row r="1012" spans="1:5" ht="15.75" hidden="1" customHeight="1" x14ac:dyDescent="0.35">
      <c r="A1012" s="4"/>
      <c r="B1012" s="175" t="s">
        <v>270</v>
      </c>
      <c r="C1012" s="104"/>
      <c r="D1012" s="104" t="s">
        <v>1085</v>
      </c>
      <c r="E1012" s="85">
        <f ca="1">'Verification Report'!O1013</f>
        <v>0</v>
      </c>
    </row>
    <row r="1013" spans="1:5" ht="15.75" hidden="1" customHeight="1" x14ac:dyDescent="0.35">
      <c r="A1013" s="4"/>
      <c r="B1013" s="175"/>
      <c r="C1013" s="104"/>
      <c r="D1013" s="104" t="s">
        <v>4032</v>
      </c>
      <c r="E1013" s="85"/>
    </row>
    <row r="1014" spans="1:5" ht="15.75" hidden="1" customHeight="1" x14ac:dyDescent="0.35">
      <c r="A1014" s="4"/>
      <c r="B1014" s="175"/>
      <c r="C1014" s="104"/>
      <c r="D1014" s="104" t="s">
        <v>4033</v>
      </c>
      <c r="E1014" s="85"/>
    </row>
    <row r="1015" spans="1:5" ht="15.75" hidden="1" customHeight="1" x14ac:dyDescent="0.35">
      <c r="A1015" s="4"/>
      <c r="B1015" s="175"/>
      <c r="C1015" s="104"/>
      <c r="D1015" s="104" t="s">
        <v>4034</v>
      </c>
      <c r="E1015" s="85"/>
    </row>
    <row r="1016" spans="1:5" ht="15.75" hidden="1" customHeight="1" x14ac:dyDescent="0.35">
      <c r="A1016" s="4"/>
      <c r="B1016" s="175"/>
      <c r="C1016" s="104"/>
      <c r="D1016" s="104" t="s">
        <v>4035</v>
      </c>
      <c r="E1016" s="85"/>
    </row>
    <row r="1017" spans="1:5" ht="15.75" hidden="1" customHeight="1" x14ac:dyDescent="0.35">
      <c r="A1017" s="4"/>
      <c r="B1017" s="214"/>
      <c r="C1017" s="214"/>
      <c r="D1017" s="214" t="s">
        <v>4036</v>
      </c>
      <c r="E1017" s="342"/>
    </row>
    <row r="1018" spans="1:5" ht="15.75" hidden="1" customHeight="1" x14ac:dyDescent="0.35">
      <c r="A1018" s="4"/>
      <c r="B1018" s="175" t="s">
        <v>272</v>
      </c>
      <c r="C1018" s="104"/>
      <c r="D1018" s="104" t="s">
        <v>1086</v>
      </c>
      <c r="E1018" s="85">
        <f ca="1">'Verification Report'!O1019</f>
        <v>0</v>
      </c>
    </row>
    <row r="1019" spans="1:5" ht="15.75" hidden="1" customHeight="1" x14ac:dyDescent="0.35">
      <c r="A1019" s="4"/>
      <c r="B1019" s="175"/>
      <c r="C1019" s="104"/>
      <c r="D1019" s="104" t="s">
        <v>4037</v>
      </c>
      <c r="E1019" s="85"/>
    </row>
    <row r="1020" spans="1:5" ht="15.75" hidden="1" customHeight="1" x14ac:dyDescent="0.35">
      <c r="A1020" s="4"/>
      <c r="B1020" s="214"/>
      <c r="C1020" s="214"/>
      <c r="D1020" s="214" t="s">
        <v>4032</v>
      </c>
      <c r="E1020" s="342"/>
    </row>
    <row r="1021" spans="1:5" ht="15.75" hidden="1" customHeight="1" x14ac:dyDescent="0.35">
      <c r="A1021" s="4"/>
      <c r="B1021" s="175" t="s">
        <v>274</v>
      </c>
      <c r="C1021" s="104"/>
      <c r="D1021" s="104" t="s">
        <v>1087</v>
      </c>
      <c r="E1021" s="85">
        <f ca="1">'Verification Report'!O1022</f>
        <v>0</v>
      </c>
    </row>
    <row r="1022" spans="1:5" ht="15.75" hidden="1" customHeight="1" x14ac:dyDescent="0.35">
      <c r="A1022" s="4"/>
      <c r="B1022" s="175"/>
      <c r="C1022" s="104"/>
      <c r="D1022" s="104" t="s">
        <v>4037</v>
      </c>
      <c r="E1022" s="85"/>
    </row>
    <row r="1023" spans="1:5" ht="15.75" hidden="1" customHeight="1" x14ac:dyDescent="0.35">
      <c r="A1023" s="4"/>
      <c r="B1023" s="175"/>
      <c r="C1023" s="104"/>
      <c r="D1023" s="104" t="s">
        <v>4032</v>
      </c>
      <c r="E1023" s="85"/>
    </row>
    <row r="1024" spans="1:5" ht="15.75" hidden="1" customHeight="1" x14ac:dyDescent="0.35">
      <c r="A1024" s="4"/>
      <c r="B1024" s="175"/>
      <c r="C1024" s="104"/>
      <c r="D1024" s="104" t="s">
        <v>4034</v>
      </c>
      <c r="E1024" s="85"/>
    </row>
    <row r="1025" spans="1:5" ht="15.75" hidden="1" customHeight="1" x14ac:dyDescent="0.35">
      <c r="A1025" s="4"/>
      <c r="B1025" s="214"/>
      <c r="C1025" s="214"/>
      <c r="D1025" s="214" t="s">
        <v>4035</v>
      </c>
      <c r="E1025" s="342"/>
    </row>
    <row r="1026" spans="1:5" ht="15.75" hidden="1" customHeight="1" x14ac:dyDescent="0.35">
      <c r="A1026" s="4"/>
      <c r="B1026" s="175" t="s">
        <v>283</v>
      </c>
      <c r="C1026" s="104"/>
      <c r="D1026" s="104" t="s">
        <v>1088</v>
      </c>
      <c r="E1026" s="85">
        <f ca="1">'Verification Report'!O1027</f>
        <v>0</v>
      </c>
    </row>
    <row r="1027" spans="1:5" ht="15.75" hidden="1" customHeight="1" x14ac:dyDescent="0.35">
      <c r="A1027" s="4"/>
      <c r="B1027" s="175"/>
      <c r="C1027" s="104"/>
      <c r="D1027" s="104" t="s">
        <v>4037</v>
      </c>
      <c r="E1027" s="85"/>
    </row>
    <row r="1028" spans="1:5" ht="15.75" hidden="1" customHeight="1" x14ac:dyDescent="0.35">
      <c r="A1028" s="155"/>
      <c r="B1028" s="214"/>
      <c r="C1028" s="214"/>
      <c r="D1028" s="214" t="s">
        <v>4032</v>
      </c>
      <c r="E1028" s="85"/>
    </row>
    <row r="1029" spans="1:5" ht="15" hidden="1" customHeight="1" x14ac:dyDescent="0.35">
      <c r="A1029" s="34" t="s">
        <v>1089</v>
      </c>
      <c r="B1029" s="104"/>
      <c r="C1029" s="104"/>
      <c r="D1029" s="706" t="s">
        <v>1090</v>
      </c>
      <c r="E1029" s="85"/>
    </row>
    <row r="1030" spans="1:5" ht="15" hidden="1" thickBot="1" x14ac:dyDescent="0.4">
      <c r="A1030" s="4"/>
      <c r="B1030" s="104"/>
      <c r="C1030" s="104"/>
      <c r="D1030" s="706"/>
      <c r="E1030" s="85"/>
    </row>
    <row r="1031" spans="1:5" ht="15" hidden="1" thickBot="1" x14ac:dyDescent="0.4">
      <c r="A1031" s="4"/>
      <c r="B1031" s="104"/>
      <c r="C1031" s="104"/>
      <c r="D1031" s="706"/>
      <c r="E1031" s="85"/>
    </row>
    <row r="1032" spans="1:5" ht="15.75" hidden="1" customHeight="1" x14ac:dyDescent="0.35">
      <c r="A1032" s="4"/>
      <c r="B1032" s="175" t="s">
        <v>270</v>
      </c>
      <c r="C1032" s="104"/>
      <c r="D1032" s="103" t="s">
        <v>3703</v>
      </c>
      <c r="E1032" s="85">
        <f ca="1">'Verification Report'!O1033</f>
        <v>0</v>
      </c>
    </row>
    <row r="1033" spans="1:5" ht="15.75" hidden="1" customHeight="1" x14ac:dyDescent="0.35">
      <c r="A1033" s="4"/>
      <c r="B1033" s="175"/>
      <c r="C1033" s="104"/>
      <c r="D1033" s="104" t="s">
        <v>4048</v>
      </c>
      <c r="E1033" s="85"/>
    </row>
    <row r="1034" spans="1:5" ht="15.75" hidden="1" customHeight="1" x14ac:dyDescent="0.35">
      <c r="A1034" s="4"/>
      <c r="B1034" s="175"/>
      <c r="C1034" s="104"/>
      <c r="D1034" s="104" t="s">
        <v>4049</v>
      </c>
      <c r="E1034" s="85"/>
    </row>
    <row r="1035" spans="1:5" ht="15.75" hidden="1" customHeight="1" x14ac:dyDescent="0.35">
      <c r="A1035" s="4"/>
      <c r="B1035" s="175"/>
      <c r="C1035" s="104"/>
      <c r="D1035" s="104" t="s">
        <v>4050</v>
      </c>
      <c r="E1035" s="85"/>
    </row>
    <row r="1036" spans="1:5" ht="15.75" hidden="1" customHeight="1" x14ac:dyDescent="0.35">
      <c r="A1036" s="4"/>
      <c r="B1036" s="359"/>
      <c r="C1036" s="214"/>
      <c r="D1036" s="214" t="s">
        <v>4051</v>
      </c>
      <c r="E1036" s="342"/>
    </row>
    <row r="1037" spans="1:5" ht="15" hidden="1" thickBot="1" x14ac:dyDescent="0.4">
      <c r="A1037" s="155"/>
      <c r="B1037" s="359" t="s">
        <v>274</v>
      </c>
      <c r="C1037" s="214"/>
      <c r="D1037" s="193" t="s">
        <v>4052</v>
      </c>
      <c r="E1037" s="342">
        <f ca="1">'Verification Report'!O1039</f>
        <v>0</v>
      </c>
    </row>
    <row r="1038" spans="1:5" ht="15" hidden="1" customHeight="1" x14ac:dyDescent="0.35">
      <c r="A1038" s="34" t="s">
        <v>1091</v>
      </c>
      <c r="B1038" s="104"/>
      <c r="C1038" s="104"/>
      <c r="D1038" s="783" t="s">
        <v>1092</v>
      </c>
      <c r="E1038" s="85"/>
    </row>
    <row r="1039" spans="1:5" ht="15" hidden="1" thickBot="1" x14ac:dyDescent="0.4">
      <c r="A1039" s="4"/>
      <c r="B1039" s="104"/>
      <c r="C1039" s="104"/>
      <c r="D1039" s="783"/>
      <c r="E1039" s="85"/>
    </row>
    <row r="1040" spans="1:5" ht="15" hidden="1" thickBot="1" x14ac:dyDescent="0.4">
      <c r="A1040" s="4"/>
      <c r="B1040" s="104"/>
      <c r="C1040" s="104"/>
      <c r="D1040" s="783"/>
      <c r="E1040" s="85"/>
    </row>
    <row r="1041" spans="1:5" ht="15.75" hidden="1" customHeight="1" x14ac:dyDescent="0.35">
      <c r="A1041" s="4"/>
      <c r="B1041" s="175" t="s">
        <v>270</v>
      </c>
      <c r="C1041" s="104"/>
      <c r="D1041" s="103" t="s">
        <v>4061</v>
      </c>
      <c r="E1041" s="85">
        <f ca="1">'Verification Report'!O1043</f>
        <v>0</v>
      </c>
    </row>
    <row r="1042" spans="1:5" ht="15.75" hidden="1" customHeight="1" x14ac:dyDescent="0.35">
      <c r="A1042" s="4"/>
      <c r="B1042" s="175"/>
      <c r="C1042" s="104"/>
      <c r="D1042" s="104" t="s">
        <v>4055</v>
      </c>
      <c r="E1042" s="85"/>
    </row>
    <row r="1043" spans="1:5" ht="15.75" hidden="1" customHeight="1" x14ac:dyDescent="0.35">
      <c r="A1043" s="4"/>
      <c r="B1043" s="175"/>
      <c r="C1043" s="104"/>
      <c r="D1043" s="104" t="s">
        <v>4056</v>
      </c>
      <c r="E1043" s="85"/>
    </row>
    <row r="1044" spans="1:5" ht="15.75" hidden="1" customHeight="1" x14ac:dyDescent="0.35">
      <c r="A1044" s="4"/>
      <c r="B1044" s="175"/>
      <c r="C1044" s="104"/>
      <c r="D1044" s="104" t="s">
        <v>4057</v>
      </c>
      <c r="E1044" s="85"/>
    </row>
    <row r="1045" spans="1:5" ht="15.75" hidden="1" customHeight="1" x14ac:dyDescent="0.35">
      <c r="A1045" s="4"/>
      <c r="B1045" s="175"/>
      <c r="C1045" s="104"/>
      <c r="D1045" s="104" t="s">
        <v>4058</v>
      </c>
      <c r="E1045" s="85"/>
    </row>
    <row r="1046" spans="1:5" ht="15" hidden="1" customHeight="1" x14ac:dyDescent="0.35">
      <c r="A1046" s="4"/>
      <c r="C1046" s="175" t="s">
        <v>4060</v>
      </c>
      <c r="D1046" s="723" t="s">
        <v>4059</v>
      </c>
      <c r="E1046" s="696">
        <f ca="1">'Verification Report'!O1048</f>
        <v>0</v>
      </c>
    </row>
    <row r="1047" spans="1:5" ht="15.75" hidden="1" customHeight="1" x14ac:dyDescent="0.35">
      <c r="A1047" s="4"/>
      <c r="B1047" s="359"/>
      <c r="C1047" s="214"/>
      <c r="D1047" s="724"/>
      <c r="E1047" s="697">
        <f>'Verification Report'!O1049</f>
        <v>0</v>
      </c>
    </row>
    <row r="1048" spans="1:5" ht="15" hidden="1" thickBot="1" x14ac:dyDescent="0.4">
      <c r="A1048" s="155"/>
      <c r="B1048" s="359" t="s">
        <v>272</v>
      </c>
      <c r="C1048" s="214"/>
      <c r="D1048" s="193" t="s">
        <v>4062</v>
      </c>
      <c r="E1048" s="342">
        <f ca="1">'Verification Report'!O1050</f>
        <v>0</v>
      </c>
    </row>
    <row r="1049" spans="1:5" ht="15" hidden="1" customHeight="1" x14ac:dyDescent="0.35">
      <c r="A1049" s="362" t="s">
        <v>1093</v>
      </c>
      <c r="B1049" s="320"/>
      <c r="C1049" s="320"/>
      <c r="D1049" s="753" t="s">
        <v>1094</v>
      </c>
      <c r="E1049" s="713">
        <f ca="1">'Verification Report'!O1051</f>
        <v>0</v>
      </c>
    </row>
    <row r="1050" spans="1:5" ht="15.75" hidden="1" customHeight="1" x14ac:dyDescent="0.35">
      <c r="A1050" s="4"/>
      <c r="B1050" s="104"/>
      <c r="C1050" s="104"/>
      <c r="D1050" s="706"/>
      <c r="E1050" s="696">
        <f>'Verification Report'!O1052</f>
        <v>0</v>
      </c>
    </row>
    <row r="1051" spans="1:5" ht="15.75" hidden="1" customHeight="1" x14ac:dyDescent="0.35">
      <c r="A1051" s="4"/>
      <c r="B1051" s="104"/>
      <c r="C1051" s="104"/>
      <c r="D1051" s="706"/>
      <c r="E1051" s="696">
        <f>'Verification Report'!O1053</f>
        <v>0</v>
      </c>
    </row>
    <row r="1052" spans="1:5" ht="15.75" hidden="1" customHeight="1" x14ac:dyDescent="0.35">
      <c r="A1052" s="155"/>
      <c r="B1052" s="214"/>
      <c r="C1052" s="214"/>
      <c r="D1052" s="214" t="s">
        <v>4064</v>
      </c>
      <c r="E1052" s="697">
        <f>'Verification Report'!O1054</f>
        <v>0</v>
      </c>
    </row>
    <row r="1053" spans="1:5" ht="15" hidden="1" customHeight="1" x14ac:dyDescent="0.35">
      <c r="A1053" s="34" t="s">
        <v>1095</v>
      </c>
      <c r="B1053" s="104"/>
      <c r="C1053" s="104"/>
      <c r="D1053" s="783" t="s">
        <v>4099</v>
      </c>
      <c r="E1053" s="696">
        <f ca="1">'Verification Report'!O1055</f>
        <v>0</v>
      </c>
    </row>
    <row r="1054" spans="1:5" ht="15.75" hidden="1" customHeight="1" x14ac:dyDescent="0.35">
      <c r="A1054" s="4"/>
      <c r="B1054" s="104"/>
      <c r="C1054" s="104"/>
      <c r="D1054" s="783"/>
      <c r="E1054" s="696">
        <f>'Verification Report'!O1056</f>
        <v>0</v>
      </c>
    </row>
    <row r="1055" spans="1:5" ht="15.75" hidden="1" customHeight="1" x14ac:dyDescent="0.35">
      <c r="A1055" s="4"/>
      <c r="B1055" s="104"/>
      <c r="C1055" s="104"/>
      <c r="D1055" s="783"/>
      <c r="E1055" s="696">
        <f>'Verification Report'!O1057</f>
        <v>0</v>
      </c>
    </row>
    <row r="1056" spans="1:5" ht="15.75" hidden="1" customHeight="1" x14ac:dyDescent="0.35">
      <c r="A1056" s="4"/>
      <c r="B1056" s="104"/>
      <c r="C1056" s="104"/>
      <c r="D1056" s="104" t="s">
        <v>4065</v>
      </c>
      <c r="E1056" s="85"/>
    </row>
    <row r="1057" spans="1:5" ht="15.75" hidden="1" customHeight="1" x14ac:dyDescent="0.35">
      <c r="A1057" s="4"/>
      <c r="B1057" s="104"/>
      <c r="C1057" s="104"/>
      <c r="D1057" s="104" t="s">
        <v>4066</v>
      </c>
      <c r="E1057" s="85"/>
    </row>
    <row r="1058" spans="1:5" ht="15.75" hidden="1" customHeight="1" x14ac:dyDescent="0.35">
      <c r="A1058" s="155"/>
      <c r="B1058" s="214"/>
      <c r="C1058" s="214"/>
      <c r="D1058" s="214" t="s">
        <v>4067</v>
      </c>
      <c r="E1058" s="342"/>
    </row>
    <row r="1059" spans="1:5" ht="15.75" hidden="1" customHeight="1" x14ac:dyDescent="0.35">
      <c r="A1059" s="34" t="s">
        <v>1096</v>
      </c>
      <c r="B1059" s="104"/>
      <c r="C1059" s="104"/>
      <c r="D1059" s="110" t="s">
        <v>1097</v>
      </c>
      <c r="E1059" s="85">
        <f ca="1">'Verification Report'!O1061</f>
        <v>0</v>
      </c>
    </row>
    <row r="1060" spans="1:5" ht="15.75" hidden="1" customHeight="1" x14ac:dyDescent="0.35">
      <c r="A1060" s="4"/>
      <c r="B1060" s="104"/>
      <c r="C1060" s="104"/>
      <c r="D1060" s="106" t="s">
        <v>1098</v>
      </c>
      <c r="E1060" s="85"/>
    </row>
    <row r="1061" spans="1:5" ht="15" hidden="1" customHeight="1" x14ac:dyDescent="0.35">
      <c r="A1061" s="4"/>
      <c r="B1061" s="104"/>
      <c r="C1061" s="104"/>
      <c r="D1061" s="783" t="s">
        <v>1099</v>
      </c>
      <c r="E1061" s="85"/>
    </row>
    <row r="1062" spans="1:5" ht="15.75" hidden="1" customHeight="1" x14ac:dyDescent="0.35">
      <c r="A1062" s="4"/>
      <c r="B1062" s="104"/>
      <c r="C1062" s="104"/>
      <c r="D1062" s="783"/>
      <c r="E1062" s="85"/>
    </row>
    <row r="1063" spans="1:5" ht="15.75" hidden="1" customHeight="1" x14ac:dyDescent="0.35">
      <c r="A1063" s="4"/>
      <c r="B1063" s="104"/>
      <c r="C1063" s="104"/>
      <c r="D1063" s="783"/>
      <c r="E1063" s="85"/>
    </row>
    <row r="1064" spans="1:5" ht="15.75" hidden="1" customHeight="1" x14ac:dyDescent="0.35">
      <c r="A1064" s="4"/>
      <c r="B1064" s="104"/>
      <c r="C1064" s="104"/>
      <c r="D1064" s="783"/>
      <c r="E1064" s="85"/>
    </row>
    <row r="1065" spans="1:5" ht="15.75" hidden="1" customHeight="1" x14ac:dyDescent="0.35">
      <c r="A1065" s="155"/>
      <c r="B1065" s="214"/>
      <c r="C1065" s="214"/>
      <c r="D1065" s="121" t="s">
        <v>4040</v>
      </c>
      <c r="E1065" s="342"/>
    </row>
    <row r="1066" spans="1:5" ht="15" hidden="1" customHeight="1" x14ac:dyDescent="0.35">
      <c r="A1066" s="362" t="s">
        <v>1100</v>
      </c>
      <c r="B1066" s="320"/>
      <c r="C1066" s="320"/>
      <c r="D1066" s="787" t="s">
        <v>1101</v>
      </c>
      <c r="E1066" s="713">
        <f ca="1">'Verification Report'!O1068</f>
        <v>0</v>
      </c>
    </row>
    <row r="1067" spans="1:5" ht="15.75" hidden="1" customHeight="1" x14ac:dyDescent="0.35">
      <c r="A1067" s="4"/>
      <c r="B1067" s="104"/>
      <c r="C1067" s="104"/>
      <c r="D1067" s="783"/>
      <c r="E1067" s="696">
        <f>'Verification Report'!O1069</f>
        <v>0</v>
      </c>
    </row>
    <row r="1068" spans="1:5" ht="15.75" hidden="1" customHeight="1" x14ac:dyDescent="0.35">
      <c r="A1068" s="4"/>
      <c r="B1068" s="104"/>
      <c r="C1068" s="104"/>
      <c r="D1068" s="107" t="s">
        <v>1098</v>
      </c>
      <c r="E1068" s="85"/>
    </row>
    <row r="1069" spans="1:5" ht="15" hidden="1" customHeight="1" x14ac:dyDescent="0.35">
      <c r="A1069" s="4"/>
      <c r="B1069" s="104"/>
      <c r="C1069" s="104"/>
      <c r="D1069" s="714" t="s">
        <v>4039</v>
      </c>
      <c r="E1069" s="85"/>
    </row>
    <row r="1070" spans="1:5" ht="15.75" hidden="1" customHeight="1" thickBot="1" x14ac:dyDescent="0.4">
      <c r="A1070" s="183"/>
      <c r="B1070" s="223"/>
      <c r="C1070" s="223"/>
      <c r="D1070" s="788"/>
      <c r="E1070" s="184"/>
    </row>
    <row r="1071" spans="1:5" ht="15" hidden="1" thickBot="1" x14ac:dyDescent="0.4">
      <c r="A1071" s="32">
        <v>703.4</v>
      </c>
      <c r="B1071" s="104"/>
      <c r="C1071" s="104"/>
      <c r="D1071" s="110" t="s">
        <v>1102</v>
      </c>
      <c r="E1071" s="85"/>
    </row>
    <row r="1072" spans="1:5" ht="15.75" hidden="1" customHeight="1" x14ac:dyDescent="0.35">
      <c r="A1072" s="32" t="s">
        <v>1103</v>
      </c>
      <c r="B1072" s="104"/>
      <c r="C1072" s="104"/>
      <c r="D1072" s="110" t="s">
        <v>1104</v>
      </c>
      <c r="E1072" s="696">
        <f ca="1">'Verification Report'!O1074</f>
        <v>0</v>
      </c>
    </row>
    <row r="1073" spans="1:5" ht="15.75" hidden="1" customHeight="1" x14ac:dyDescent="0.35">
      <c r="A1073" s="155"/>
      <c r="B1073" s="214"/>
      <c r="C1073" s="214"/>
      <c r="D1073" s="121" t="s">
        <v>1105</v>
      </c>
      <c r="E1073" s="697">
        <f>'Verification Report'!O1075</f>
        <v>0</v>
      </c>
    </row>
    <row r="1074" spans="1:5" ht="15.75" hidden="1" customHeight="1" x14ac:dyDescent="0.35">
      <c r="A1074" s="135" t="s">
        <v>1106</v>
      </c>
      <c r="B1074" s="320"/>
      <c r="C1074" s="320"/>
      <c r="D1074" s="358" t="s">
        <v>1107</v>
      </c>
      <c r="E1074" s="713">
        <f ca="1">'Verification Report'!O1076</f>
        <v>0</v>
      </c>
    </row>
    <row r="1075" spans="1:5" ht="15.75" hidden="1" customHeight="1" x14ac:dyDescent="0.35">
      <c r="A1075" s="155"/>
      <c r="B1075" s="214"/>
      <c r="C1075" s="214"/>
      <c r="D1075" s="121" t="s">
        <v>1105</v>
      </c>
      <c r="E1075" s="697">
        <f>'Verification Report'!O1077</f>
        <v>0</v>
      </c>
    </row>
    <row r="1076" spans="1:5" ht="15" hidden="1" thickBot="1" x14ac:dyDescent="0.4">
      <c r="A1076" s="32" t="s">
        <v>1108</v>
      </c>
      <c r="B1076" s="104"/>
      <c r="C1076" s="104"/>
      <c r="D1076" s="110" t="s">
        <v>1109</v>
      </c>
      <c r="E1076" s="85">
        <f ca="1">'Verification Report'!O1078</f>
        <v>0</v>
      </c>
    </row>
    <row r="1077" spans="1:5" ht="15" hidden="1" thickBot="1" x14ac:dyDescent="0.4">
      <c r="A1077" s="4"/>
      <c r="B1077" s="359" t="s">
        <v>270</v>
      </c>
      <c r="C1077" s="214"/>
      <c r="D1077" s="214" t="s">
        <v>1110</v>
      </c>
      <c r="E1077" s="85"/>
    </row>
    <row r="1078" spans="1:5" ht="15" hidden="1" customHeight="1" x14ac:dyDescent="0.35">
      <c r="A1078" s="4"/>
      <c r="B1078" s="378" t="s">
        <v>272</v>
      </c>
      <c r="C1078" s="320"/>
      <c r="D1078" s="742" t="s">
        <v>1111</v>
      </c>
      <c r="E1078" s="85"/>
    </row>
    <row r="1079" spans="1:5" ht="15.75" hidden="1" customHeight="1" x14ac:dyDescent="0.35">
      <c r="A1079" s="4"/>
      <c r="B1079" s="214"/>
      <c r="C1079" s="214"/>
      <c r="D1079" s="709"/>
      <c r="E1079" s="85"/>
    </row>
    <row r="1080" spans="1:5" ht="15.75" hidden="1" customHeight="1" x14ac:dyDescent="0.35">
      <c r="A1080" s="4"/>
      <c r="B1080" s="175" t="s">
        <v>274</v>
      </c>
      <c r="C1080" s="104"/>
      <c r="D1080" s="104" t="s">
        <v>1112</v>
      </c>
      <c r="E1080" s="85"/>
    </row>
    <row r="1081" spans="1:5" ht="15.75" hidden="1" customHeight="1" x14ac:dyDescent="0.35">
      <c r="A1081" s="155"/>
      <c r="B1081" s="214"/>
      <c r="C1081" s="214"/>
      <c r="D1081" s="121" t="s">
        <v>1105</v>
      </c>
      <c r="E1081" s="85"/>
    </row>
    <row r="1082" spans="1:5" ht="15" hidden="1" customHeight="1" x14ac:dyDescent="0.35">
      <c r="A1082" s="32" t="s">
        <v>1113</v>
      </c>
      <c r="B1082" s="104"/>
      <c r="C1082" s="104"/>
      <c r="D1082" s="706" t="s">
        <v>1114</v>
      </c>
      <c r="E1082" s="696">
        <f ca="1">'Verification Report'!O1084</f>
        <v>0</v>
      </c>
    </row>
    <row r="1083" spans="1:5" ht="15.75" hidden="1" customHeight="1" x14ac:dyDescent="0.35">
      <c r="A1083" s="4"/>
      <c r="B1083" s="104"/>
      <c r="C1083" s="104"/>
      <c r="D1083" s="706"/>
      <c r="E1083" s="696">
        <f>'Verification Report'!O1085</f>
        <v>0</v>
      </c>
    </row>
    <row r="1084" spans="1:5" ht="15.75" hidden="1" customHeight="1" x14ac:dyDescent="0.35">
      <c r="A1084" s="4"/>
      <c r="B1084" s="104"/>
      <c r="C1084" s="104"/>
      <c r="D1084" s="706"/>
      <c r="E1084" s="696">
        <f>'Verification Report'!O1086</f>
        <v>0</v>
      </c>
    </row>
    <row r="1085" spans="1:5" ht="15.75" hidden="1" customHeight="1" x14ac:dyDescent="0.35">
      <c r="A1085" s="4"/>
      <c r="B1085" s="104"/>
      <c r="C1085" s="104"/>
      <c r="D1085" s="706"/>
      <c r="E1085" s="696">
        <f>'Verification Report'!O1087</f>
        <v>0</v>
      </c>
    </row>
    <row r="1086" spans="1:5" ht="15.75" hidden="1" customHeight="1" x14ac:dyDescent="0.35">
      <c r="A1086" s="4"/>
      <c r="B1086" s="104"/>
      <c r="C1086" s="104"/>
      <c r="D1086" s="706"/>
      <c r="E1086" s="696">
        <f>'Verification Report'!O1088</f>
        <v>0</v>
      </c>
    </row>
    <row r="1087" spans="1:5" ht="15.75" hidden="1" customHeight="1" x14ac:dyDescent="0.35">
      <c r="A1087" s="4"/>
      <c r="B1087" s="104"/>
      <c r="C1087" s="104"/>
      <c r="D1087" s="107" t="s">
        <v>1115</v>
      </c>
      <c r="E1087" s="85"/>
    </row>
    <row r="1088" spans="1:5" ht="15.75" hidden="1" customHeight="1" x14ac:dyDescent="0.35">
      <c r="A1088" s="4"/>
      <c r="B1088" s="359" t="s">
        <v>270</v>
      </c>
      <c r="C1088" s="214"/>
      <c r="D1088" s="214" t="s">
        <v>3902</v>
      </c>
      <c r="E1088" s="85"/>
    </row>
    <row r="1089" spans="1:5" ht="15.75" hidden="1" customHeight="1" x14ac:dyDescent="0.35">
      <c r="A1089" s="4"/>
      <c r="B1089" s="379" t="s">
        <v>272</v>
      </c>
      <c r="C1089" s="220"/>
      <c r="D1089" s="220" t="s">
        <v>3903</v>
      </c>
      <c r="E1089" s="85"/>
    </row>
    <row r="1090" spans="1:5" ht="15.75" hidden="1" customHeight="1" thickBot="1" x14ac:dyDescent="0.4">
      <c r="A1090" s="183"/>
      <c r="B1090" s="348" t="s">
        <v>274</v>
      </c>
      <c r="C1090" s="223"/>
      <c r="D1090" s="223" t="s">
        <v>3904</v>
      </c>
      <c r="E1090" s="184"/>
    </row>
    <row r="1091" spans="1:5" ht="15" hidden="1" thickBot="1" x14ac:dyDescent="0.4">
      <c r="A1091" s="32">
        <v>703.5</v>
      </c>
      <c r="B1091" s="104"/>
      <c r="C1091" s="104"/>
      <c r="D1091" s="110" t="s">
        <v>1116</v>
      </c>
      <c r="E1091" s="85"/>
    </row>
    <row r="1092" spans="1:5" ht="15.75" hidden="1" customHeight="1" x14ac:dyDescent="0.35">
      <c r="A1092" s="32" t="s">
        <v>1117</v>
      </c>
      <c r="B1092" s="104"/>
      <c r="C1092" s="104"/>
      <c r="D1092" s="110" t="s">
        <v>1118</v>
      </c>
      <c r="E1092" s="4"/>
    </row>
    <row r="1093" spans="1:5" ht="15.75" hidden="1" customHeight="1" x14ac:dyDescent="0.35">
      <c r="A1093" s="4"/>
      <c r="B1093" s="104"/>
      <c r="C1093" s="104"/>
      <c r="D1093" s="105" t="s">
        <v>3901</v>
      </c>
      <c r="E1093" s="4"/>
    </row>
    <row r="1094" spans="1:5" ht="15.75" hidden="1" customHeight="1" x14ac:dyDescent="0.35">
      <c r="A1094" s="4"/>
      <c r="B1094" s="175" t="s">
        <v>270</v>
      </c>
      <c r="C1094" s="104"/>
      <c r="D1094" s="104" t="s">
        <v>1119</v>
      </c>
      <c r="E1094" s="85"/>
    </row>
    <row r="1095" spans="1:5" ht="15.75" hidden="1" customHeight="1" x14ac:dyDescent="0.35">
      <c r="A1095" s="4"/>
      <c r="B1095" s="175"/>
      <c r="C1095" s="175" t="s">
        <v>121</v>
      </c>
      <c r="D1095" s="104" t="s">
        <v>1119</v>
      </c>
      <c r="E1095" s="85">
        <f ca="1">'Verification Report'!O1097</f>
        <v>0</v>
      </c>
    </row>
    <row r="1096" spans="1:5" ht="15.75" hidden="1" customHeight="1" x14ac:dyDescent="0.35">
      <c r="A1096" s="4"/>
      <c r="B1096" s="175"/>
      <c r="C1096" s="175"/>
      <c r="D1096" s="104" t="s">
        <v>3889</v>
      </c>
      <c r="E1096" s="85"/>
    </row>
    <row r="1097" spans="1:5" ht="15.75" hidden="1" customHeight="1" x14ac:dyDescent="0.35">
      <c r="A1097" s="4"/>
      <c r="B1097" s="175"/>
      <c r="C1097" s="175"/>
      <c r="D1097" s="104" t="s">
        <v>3890</v>
      </c>
      <c r="E1097" s="85"/>
    </row>
    <row r="1098" spans="1:5" ht="15" hidden="1" customHeight="1" x14ac:dyDescent="0.35">
      <c r="A1098" s="4"/>
      <c r="B1098" s="104"/>
      <c r="C1098" s="175" t="s">
        <v>122</v>
      </c>
      <c r="D1098" s="723" t="s">
        <v>3886</v>
      </c>
      <c r="E1098" s="696">
        <f ca="1">'Verification Report'!O1100</f>
        <v>0</v>
      </c>
    </row>
    <row r="1099" spans="1:5" ht="15.75" hidden="1" customHeight="1" x14ac:dyDescent="0.35">
      <c r="A1099" s="4"/>
      <c r="B1099" s="104"/>
      <c r="C1099" s="175"/>
      <c r="D1099" s="723"/>
      <c r="E1099" s="696">
        <f>'Verification Report'!O1101</f>
        <v>0</v>
      </c>
    </row>
    <row r="1100" spans="1:5" ht="15.75" hidden="1" customHeight="1" x14ac:dyDescent="0.35">
      <c r="A1100" s="4"/>
      <c r="B1100" s="104"/>
      <c r="C1100" s="175"/>
      <c r="D1100" s="104" t="s">
        <v>3891</v>
      </c>
      <c r="E1100" s="85"/>
    </row>
    <row r="1101" spans="1:5" ht="15.75" hidden="1" customHeight="1" x14ac:dyDescent="0.35">
      <c r="A1101" s="4"/>
      <c r="B1101" s="214"/>
      <c r="C1101" s="359"/>
      <c r="D1101" s="214" t="s">
        <v>3892</v>
      </c>
      <c r="E1101" s="85"/>
    </row>
    <row r="1102" spans="1:5" ht="15.75" hidden="1" customHeight="1" x14ac:dyDescent="0.35">
      <c r="A1102" s="4"/>
      <c r="B1102" s="175" t="s">
        <v>272</v>
      </c>
      <c r="C1102" s="104"/>
      <c r="D1102" s="104" t="s">
        <v>1120</v>
      </c>
      <c r="E1102" s="85"/>
    </row>
    <row r="1103" spans="1:5" ht="15.75" hidden="1" customHeight="1" x14ac:dyDescent="0.35">
      <c r="A1103" s="4"/>
      <c r="B1103" s="175"/>
      <c r="C1103" s="175" t="s">
        <v>121</v>
      </c>
      <c r="D1103" s="104" t="s">
        <v>3884</v>
      </c>
      <c r="E1103" s="85">
        <f ca="1">'Verification Report'!O1105</f>
        <v>0</v>
      </c>
    </row>
    <row r="1104" spans="1:5" ht="15.75" hidden="1" customHeight="1" x14ac:dyDescent="0.35">
      <c r="A1104" s="4"/>
      <c r="B1104" s="214"/>
      <c r="C1104" s="359" t="s">
        <v>122</v>
      </c>
      <c r="D1104" s="214" t="s">
        <v>3885</v>
      </c>
      <c r="E1104" s="342">
        <f ca="1">'Verification Report'!O1106</f>
        <v>0</v>
      </c>
    </row>
    <row r="1105" spans="1:5" ht="15.75" hidden="1" customHeight="1" x14ac:dyDescent="0.35">
      <c r="A1105" s="4"/>
      <c r="B1105" s="379" t="s">
        <v>274</v>
      </c>
      <c r="C1105" s="220"/>
      <c r="D1105" s="220" t="s">
        <v>3883</v>
      </c>
      <c r="E1105" s="313">
        <f ca="1">'Verification Report'!O1107</f>
        <v>0</v>
      </c>
    </row>
    <row r="1106" spans="1:5" ht="15.75" hidden="1" customHeight="1" x14ac:dyDescent="0.35">
      <c r="A1106" s="4"/>
      <c r="B1106" s="175" t="s">
        <v>283</v>
      </c>
      <c r="C1106" s="104"/>
      <c r="D1106" s="104" t="s">
        <v>1121</v>
      </c>
      <c r="E1106" s="85">
        <f ca="1">'Verification Report'!O1108</f>
        <v>0</v>
      </c>
    </row>
    <row r="1107" spans="1:5" ht="15.75" hidden="1" customHeight="1" x14ac:dyDescent="0.35">
      <c r="A1107" s="4"/>
      <c r="B1107" s="175"/>
      <c r="C1107" s="104"/>
      <c r="D1107" s="104" t="s">
        <v>3893</v>
      </c>
      <c r="E1107" s="85"/>
    </row>
    <row r="1108" spans="1:5" ht="15.75" hidden="1" customHeight="1" x14ac:dyDescent="0.35">
      <c r="A1108" s="4"/>
      <c r="B1108" s="175"/>
      <c r="C1108" s="104"/>
      <c r="D1108" s="104" t="s">
        <v>3894</v>
      </c>
      <c r="E1108" s="85"/>
    </row>
    <row r="1109" spans="1:5" ht="15.75" hidden="1" customHeight="1" x14ac:dyDescent="0.35">
      <c r="A1109" s="155"/>
      <c r="B1109" s="214"/>
      <c r="C1109" s="214"/>
      <c r="D1109" s="214" t="s">
        <v>3895</v>
      </c>
      <c r="E1109" s="85"/>
    </row>
    <row r="1110" spans="1:5" ht="15" hidden="1" customHeight="1" x14ac:dyDescent="0.35">
      <c r="A1110" s="34" t="s">
        <v>1122</v>
      </c>
      <c r="B1110" s="104"/>
      <c r="C1110" s="104"/>
      <c r="D1110" s="783" t="s">
        <v>1123</v>
      </c>
      <c r="E1110" s="696">
        <f ca="1">'Verification Report'!O1112</f>
        <v>0</v>
      </c>
    </row>
    <row r="1111" spans="1:5" ht="15.75" hidden="1" customHeight="1" x14ac:dyDescent="0.35">
      <c r="A1111" s="363"/>
      <c r="B1111" s="214"/>
      <c r="C1111" s="214"/>
      <c r="D1111" s="785"/>
      <c r="E1111" s="697">
        <f>'Verification Report'!O1113</f>
        <v>0</v>
      </c>
    </row>
    <row r="1112" spans="1:5" ht="15.75" hidden="1" customHeight="1" x14ac:dyDescent="0.35">
      <c r="A1112" s="34" t="s">
        <v>1124</v>
      </c>
      <c r="B1112" s="104"/>
      <c r="C1112" s="104"/>
      <c r="D1112" s="110" t="s">
        <v>1125</v>
      </c>
      <c r="E1112" s="85">
        <f ca="1">'Verification Report'!O1114</f>
        <v>0</v>
      </c>
    </row>
    <row r="1113" spans="1:5" ht="15.75" hidden="1" customHeight="1" x14ac:dyDescent="0.35">
      <c r="A1113" s="119"/>
      <c r="B1113" s="214"/>
      <c r="C1113" s="214"/>
      <c r="D1113" s="165" t="s">
        <v>1098</v>
      </c>
      <c r="E1113" s="342"/>
    </row>
    <row r="1114" spans="1:5" ht="15" hidden="1" thickBot="1" x14ac:dyDescent="0.4">
      <c r="A1114" s="363" t="s">
        <v>3880</v>
      </c>
      <c r="B1114" s="214"/>
      <c r="C1114" s="214"/>
      <c r="D1114" s="361" t="s">
        <v>1126</v>
      </c>
      <c r="E1114" s="342">
        <f ca="1">'Verification Report'!O1116</f>
        <v>0</v>
      </c>
    </row>
    <row r="1115" spans="1:5" ht="15" hidden="1" customHeight="1" x14ac:dyDescent="0.35">
      <c r="A1115" s="362" t="s">
        <v>1127</v>
      </c>
      <c r="B1115" s="320"/>
      <c r="C1115" s="320"/>
      <c r="D1115" s="753" t="s">
        <v>4100</v>
      </c>
      <c r="E1115" s="713">
        <f ca="1">'Verification Report'!O1117</f>
        <v>0</v>
      </c>
    </row>
    <row r="1116" spans="1:5" ht="15.75" hidden="1" customHeight="1" x14ac:dyDescent="0.35">
      <c r="A1116" s="4"/>
      <c r="B1116" s="104"/>
      <c r="C1116" s="104"/>
      <c r="D1116" s="706"/>
      <c r="E1116" s="696">
        <f>'Verification Report'!O1118</f>
        <v>0</v>
      </c>
    </row>
    <row r="1117" spans="1:5" ht="15.75" hidden="1" customHeight="1" x14ac:dyDescent="0.35">
      <c r="A1117" s="4"/>
      <c r="B1117" s="104"/>
      <c r="C1117" s="104"/>
      <c r="D1117" s="706"/>
      <c r="E1117" s="696">
        <f>'Verification Report'!O1119</f>
        <v>0</v>
      </c>
    </row>
    <row r="1118" spans="1:5" ht="15.75" hidden="1" customHeight="1" x14ac:dyDescent="0.35">
      <c r="A1118" s="4"/>
      <c r="C1118" s="104"/>
      <c r="D1118" s="381" t="s">
        <v>3896</v>
      </c>
      <c r="E1118" s="85"/>
    </row>
    <row r="1119" spans="1:5" ht="15.75" hidden="1" customHeight="1" x14ac:dyDescent="0.35">
      <c r="A1119" s="4"/>
      <c r="C1119" s="104"/>
      <c r="D1119" s="382" t="s">
        <v>3897</v>
      </c>
      <c r="E1119" s="85"/>
    </row>
    <row r="1120" spans="1:5" ht="15.75" hidden="1" customHeight="1" x14ac:dyDescent="0.35">
      <c r="A1120" s="4"/>
      <c r="C1120" s="104"/>
      <c r="D1120" s="382" t="s">
        <v>3898</v>
      </c>
      <c r="E1120" s="85"/>
    </row>
    <row r="1121" spans="1:5" ht="15.75" hidden="1" customHeight="1" x14ac:dyDescent="0.35">
      <c r="A1121" s="4"/>
      <c r="C1121" s="104"/>
      <c r="D1121" s="382" t="s">
        <v>3899</v>
      </c>
      <c r="E1121" s="85"/>
    </row>
    <row r="1122" spans="1:5" ht="15.75" hidden="1" customHeight="1" thickBot="1" x14ac:dyDescent="0.4">
      <c r="A1122" s="183"/>
      <c r="B1122" s="58"/>
      <c r="C1122" s="223"/>
      <c r="D1122" s="372" t="s">
        <v>3900</v>
      </c>
      <c r="E1122" s="184"/>
    </row>
    <row r="1123" spans="1:5" ht="15" hidden="1" thickBot="1" x14ac:dyDescent="0.4">
      <c r="A1123" s="32">
        <v>703.6</v>
      </c>
      <c r="B1123" s="104"/>
      <c r="C1123" s="104"/>
      <c r="D1123" s="110" t="s">
        <v>1128</v>
      </c>
      <c r="E1123" s="85"/>
    </row>
    <row r="1124" spans="1:5" ht="15" hidden="1" customHeight="1" x14ac:dyDescent="0.35">
      <c r="A1124" s="32" t="s">
        <v>1129</v>
      </c>
      <c r="B1124" s="104"/>
      <c r="C1124" s="104"/>
      <c r="D1124" s="783" t="s">
        <v>1130</v>
      </c>
      <c r="E1124" s="85"/>
    </row>
    <row r="1125" spans="1:5" ht="15" hidden="1" thickBot="1" x14ac:dyDescent="0.4">
      <c r="A1125" s="32"/>
      <c r="B1125" s="104"/>
      <c r="C1125" s="104"/>
      <c r="D1125" s="783"/>
      <c r="E1125" s="85"/>
    </row>
    <row r="1126" spans="1:5" ht="15" hidden="1" customHeight="1" x14ac:dyDescent="0.35">
      <c r="A1126" s="4"/>
      <c r="B1126" s="175" t="s">
        <v>270</v>
      </c>
      <c r="C1126" s="104"/>
      <c r="D1126" s="747" t="s">
        <v>3877</v>
      </c>
      <c r="E1126" s="696">
        <f ca="1">'Verification Report'!O1128</f>
        <v>0</v>
      </c>
    </row>
    <row r="1127" spans="1:5" ht="15.75" hidden="1" customHeight="1" x14ac:dyDescent="0.35">
      <c r="A1127" s="4"/>
      <c r="B1127" s="359"/>
      <c r="C1127" s="214"/>
      <c r="D1127" s="786"/>
      <c r="E1127" s="697">
        <f>'Verification Report'!O1129</f>
        <v>0</v>
      </c>
    </row>
    <row r="1128" spans="1:5" ht="15" hidden="1" customHeight="1" x14ac:dyDescent="0.35">
      <c r="A1128" s="4"/>
      <c r="B1128" s="378" t="s">
        <v>272</v>
      </c>
      <c r="C1128" s="320"/>
      <c r="D1128" s="742" t="s">
        <v>1131</v>
      </c>
      <c r="E1128" s="713">
        <f ca="1">'Verification Report'!O1130</f>
        <v>0</v>
      </c>
    </row>
    <row r="1129" spans="1:5" ht="15.75" hidden="1" customHeight="1" x14ac:dyDescent="0.35">
      <c r="A1129" s="4"/>
      <c r="B1129" s="214"/>
      <c r="C1129" s="214"/>
      <c r="D1129" s="709"/>
      <c r="E1129" s="697">
        <f>'Verification Report'!O1131</f>
        <v>0</v>
      </c>
    </row>
    <row r="1130" spans="1:5" ht="15" hidden="1" customHeight="1" x14ac:dyDescent="0.35">
      <c r="A1130" s="4"/>
      <c r="B1130" s="175" t="s">
        <v>274</v>
      </c>
      <c r="C1130" s="104"/>
      <c r="D1130" s="707" t="s">
        <v>1132</v>
      </c>
      <c r="E1130" s="696">
        <f ca="1">'Verification Report'!O1132</f>
        <v>0</v>
      </c>
    </row>
    <row r="1131" spans="1:5" ht="15.75" hidden="1" customHeight="1" x14ac:dyDescent="0.35">
      <c r="A1131" s="155"/>
      <c r="B1131" s="214"/>
      <c r="C1131" s="214"/>
      <c r="D1131" s="709"/>
      <c r="E1131" s="697">
        <f>'Verification Report'!O1133</f>
        <v>0</v>
      </c>
    </row>
    <row r="1132" spans="1:5" ht="15" hidden="1" thickBot="1" x14ac:dyDescent="0.4">
      <c r="A1132" s="34" t="s">
        <v>1133</v>
      </c>
      <c r="B1132" s="104"/>
      <c r="C1132" s="104"/>
      <c r="D1132" s="110" t="s">
        <v>1134</v>
      </c>
      <c r="E1132" s="85"/>
    </row>
    <row r="1133" spans="1:5" ht="15" hidden="1" thickBot="1" x14ac:dyDescent="0.4">
      <c r="A1133" s="4"/>
      <c r="B1133" s="359" t="s">
        <v>270</v>
      </c>
      <c r="C1133" s="214"/>
      <c r="D1133" s="381" t="s">
        <v>1135</v>
      </c>
      <c r="E1133" s="342">
        <f ca="1">'Verification Report'!O1135</f>
        <v>0</v>
      </c>
    </row>
    <row r="1134" spans="1:5" ht="15" hidden="1" thickBot="1" x14ac:dyDescent="0.4">
      <c r="A1134" s="4"/>
      <c r="B1134" s="379" t="s">
        <v>272</v>
      </c>
      <c r="C1134" s="220"/>
      <c r="D1134" s="220" t="s">
        <v>1136</v>
      </c>
      <c r="E1134" s="313">
        <f ca="1">'Verification Report'!O1136</f>
        <v>0</v>
      </c>
    </row>
    <row r="1135" spans="1:5" ht="15.75" hidden="1" customHeight="1" x14ac:dyDescent="0.35">
      <c r="A1135" s="4"/>
      <c r="B1135" s="175" t="s">
        <v>274</v>
      </c>
      <c r="C1135" s="104"/>
      <c r="D1135" s="104" t="s">
        <v>1137</v>
      </c>
      <c r="E1135" s="85">
        <f ca="1">'Verification Report'!O1137</f>
        <v>0</v>
      </c>
    </row>
    <row r="1136" spans="1:5" ht="15.75" hidden="1" customHeight="1" thickBot="1" x14ac:dyDescent="0.4">
      <c r="A1136" s="183"/>
      <c r="B1136" s="348"/>
      <c r="C1136" s="223"/>
      <c r="D1136" s="122" t="s">
        <v>3872</v>
      </c>
      <c r="E1136" s="184"/>
    </row>
    <row r="1137" spans="1:5" ht="15" hidden="1" thickBot="1" x14ac:dyDescent="0.4">
      <c r="A1137" s="33">
        <v>703.7</v>
      </c>
      <c r="B1137" s="104"/>
      <c r="C1137" s="104"/>
      <c r="D1137" s="110" t="s">
        <v>1138</v>
      </c>
      <c r="E1137" s="85"/>
    </row>
    <row r="1138" spans="1:5" ht="15" hidden="1" customHeight="1" x14ac:dyDescent="0.35">
      <c r="A1138" s="33" t="s">
        <v>1139</v>
      </c>
      <c r="B1138" s="104"/>
      <c r="C1138" s="104"/>
      <c r="D1138" s="706" t="s">
        <v>1140</v>
      </c>
      <c r="E1138" s="696">
        <f ca="1">'Verification Report'!O1140</f>
        <v>0</v>
      </c>
    </row>
    <row r="1139" spans="1:5" ht="15" hidden="1" thickBot="1" x14ac:dyDescent="0.4">
      <c r="A1139" s="4"/>
      <c r="B1139" s="104"/>
      <c r="C1139" s="104"/>
      <c r="D1139" s="706"/>
      <c r="E1139" s="696">
        <f>'Verification Report'!O1141</f>
        <v>0</v>
      </c>
    </row>
    <row r="1140" spans="1:5" ht="15" hidden="1" customHeight="1" x14ac:dyDescent="0.35">
      <c r="A1140" s="4"/>
      <c r="B1140" s="175" t="s">
        <v>270</v>
      </c>
      <c r="C1140" s="104"/>
      <c r="D1140" s="707" t="s">
        <v>1141</v>
      </c>
      <c r="E1140" s="85"/>
    </row>
    <row r="1141" spans="1:5" ht="15.75" hidden="1" customHeight="1" x14ac:dyDescent="0.35">
      <c r="A1141" s="4"/>
      <c r="B1141" s="359"/>
      <c r="C1141" s="214"/>
      <c r="D1141" s="709"/>
      <c r="E1141" s="85"/>
    </row>
    <row r="1142" spans="1:5" ht="15" hidden="1" customHeight="1" x14ac:dyDescent="0.35">
      <c r="A1142" s="4"/>
      <c r="B1142" s="378" t="s">
        <v>272</v>
      </c>
      <c r="C1142" s="320"/>
      <c r="D1142" s="742" t="s">
        <v>1142</v>
      </c>
      <c r="E1142" s="85"/>
    </row>
    <row r="1143" spans="1:5" ht="15.75" hidden="1" customHeight="1" x14ac:dyDescent="0.35">
      <c r="A1143" s="4"/>
      <c r="B1143" s="359"/>
      <c r="C1143" s="214"/>
      <c r="D1143" s="709"/>
      <c r="E1143" s="85"/>
    </row>
    <row r="1144" spans="1:5" ht="15" hidden="1" customHeight="1" x14ac:dyDescent="0.35">
      <c r="A1144" s="4"/>
      <c r="B1144" s="378" t="s">
        <v>274</v>
      </c>
      <c r="C1144" s="320"/>
      <c r="D1144" s="742" t="s">
        <v>1143</v>
      </c>
      <c r="E1144" s="85"/>
    </row>
    <row r="1145" spans="1:5" ht="15.75" hidden="1" customHeight="1" x14ac:dyDescent="0.35">
      <c r="A1145" s="4"/>
      <c r="B1145" s="214"/>
      <c r="C1145" s="214"/>
      <c r="D1145" s="709"/>
      <c r="E1145" s="85"/>
    </row>
    <row r="1146" spans="1:5" ht="15" hidden="1" customHeight="1" x14ac:dyDescent="0.35">
      <c r="A1146" s="4"/>
      <c r="B1146" s="378" t="s">
        <v>283</v>
      </c>
      <c r="C1146" s="320"/>
      <c r="D1146" s="742" t="s">
        <v>1144</v>
      </c>
      <c r="E1146" s="85"/>
    </row>
    <row r="1147" spans="1:5" ht="15.75" hidden="1" customHeight="1" x14ac:dyDescent="0.35">
      <c r="A1147" s="4"/>
      <c r="B1147" s="214"/>
      <c r="C1147" s="214"/>
      <c r="D1147" s="709"/>
      <c r="E1147" s="85"/>
    </row>
    <row r="1148" spans="1:5" ht="15" hidden="1" customHeight="1" x14ac:dyDescent="0.35">
      <c r="A1148" s="4"/>
      <c r="B1148" s="378" t="s">
        <v>289</v>
      </c>
      <c r="C1148" s="320"/>
      <c r="D1148" s="742" t="s">
        <v>1145</v>
      </c>
      <c r="E1148" s="85"/>
    </row>
    <row r="1149" spans="1:5" ht="15.75" hidden="1" customHeight="1" x14ac:dyDescent="0.35">
      <c r="A1149" s="4"/>
      <c r="B1149" s="214"/>
      <c r="C1149" s="214"/>
      <c r="D1149" s="709"/>
      <c r="E1149" s="85"/>
    </row>
    <row r="1150" spans="1:5" ht="15" hidden="1" thickBot="1" x14ac:dyDescent="0.4">
      <c r="A1150" s="4"/>
      <c r="B1150" s="175" t="s">
        <v>291</v>
      </c>
      <c r="C1150" s="104"/>
      <c r="D1150" s="104" t="s">
        <v>1146</v>
      </c>
      <c r="E1150" s="85"/>
    </row>
    <row r="1151" spans="1:5" ht="15" hidden="1" customHeight="1" x14ac:dyDescent="0.35">
      <c r="A1151" s="4"/>
      <c r="B1151" s="104"/>
      <c r="C1151" s="175" t="s">
        <v>121</v>
      </c>
      <c r="D1151" s="723" t="s">
        <v>1147</v>
      </c>
      <c r="E1151" s="85"/>
    </row>
    <row r="1152" spans="1:5" ht="15.75" hidden="1" customHeight="1" x14ac:dyDescent="0.35">
      <c r="A1152" s="4"/>
      <c r="B1152" s="104"/>
      <c r="C1152" s="175"/>
      <c r="D1152" s="723"/>
      <c r="E1152" s="85"/>
    </row>
    <row r="1153" spans="1:5" ht="15" hidden="1" thickBot="1" x14ac:dyDescent="0.4">
      <c r="A1153" s="4"/>
      <c r="B1153" s="104"/>
      <c r="C1153" s="175" t="s">
        <v>122</v>
      </c>
      <c r="D1153" s="104" t="s">
        <v>1148</v>
      </c>
      <c r="E1153" s="85"/>
    </row>
    <row r="1154" spans="1:5" ht="15" hidden="1" customHeight="1" x14ac:dyDescent="0.35">
      <c r="A1154" s="4"/>
      <c r="B1154" s="104"/>
      <c r="C1154" s="176" t="s">
        <v>123</v>
      </c>
      <c r="D1154" s="707" t="s">
        <v>1149</v>
      </c>
      <c r="E1154" s="85"/>
    </row>
    <row r="1155" spans="1:5" ht="15.75" hidden="1" customHeight="1" x14ac:dyDescent="0.35">
      <c r="A1155" s="4"/>
      <c r="B1155" s="214"/>
      <c r="C1155" s="214"/>
      <c r="D1155" s="709"/>
      <c r="E1155" s="85"/>
    </row>
    <row r="1156" spans="1:5" ht="15" hidden="1" customHeight="1" x14ac:dyDescent="0.35">
      <c r="A1156" s="4"/>
      <c r="B1156" s="378" t="s">
        <v>403</v>
      </c>
      <c r="C1156" s="320"/>
      <c r="D1156" s="742" t="s">
        <v>3874</v>
      </c>
      <c r="E1156" s="85"/>
    </row>
    <row r="1157" spans="1:5" ht="15.75" hidden="1" customHeight="1" x14ac:dyDescent="0.35">
      <c r="A1157" s="4"/>
      <c r="B1157" s="104"/>
      <c r="C1157" s="104"/>
      <c r="D1157" s="707"/>
      <c r="E1157" s="85"/>
    </row>
    <row r="1158" spans="1:5" ht="15.75" hidden="1" customHeight="1" x14ac:dyDescent="0.35">
      <c r="A1158" s="4"/>
      <c r="B1158" s="214"/>
      <c r="C1158" s="214"/>
      <c r="D1158" t="s">
        <v>3875</v>
      </c>
      <c r="E1158" s="85"/>
    </row>
    <row r="1159" spans="1:5" ht="15" hidden="1" thickBot="1" x14ac:dyDescent="0.4">
      <c r="A1159" s="4"/>
      <c r="B1159" s="379" t="s">
        <v>453</v>
      </c>
      <c r="C1159" s="220"/>
      <c r="D1159" s="220" t="s">
        <v>1150</v>
      </c>
      <c r="E1159" s="85"/>
    </row>
    <row r="1160" spans="1:5" ht="15" hidden="1" thickBot="1" x14ac:dyDescent="0.4">
      <c r="A1160" s="4"/>
      <c r="B1160" s="175" t="s">
        <v>455</v>
      </c>
      <c r="C1160" s="104"/>
      <c r="D1160" s="104" t="s">
        <v>1151</v>
      </c>
      <c r="E1160" s="85"/>
    </row>
    <row r="1161" spans="1:5" ht="15" hidden="1" customHeight="1" x14ac:dyDescent="0.35">
      <c r="A1161" s="4"/>
      <c r="B1161" s="104"/>
      <c r="C1161" s="104"/>
      <c r="D1161" s="714" t="s">
        <v>3871</v>
      </c>
      <c r="E1161" s="85"/>
    </row>
    <row r="1162" spans="1:5" ht="15.75" hidden="1" customHeight="1" x14ac:dyDescent="0.35">
      <c r="A1162" s="4"/>
      <c r="B1162" s="104"/>
      <c r="C1162" s="104"/>
      <c r="D1162" s="714"/>
      <c r="E1162" s="85"/>
    </row>
    <row r="1163" spans="1:5" ht="15.75" hidden="1" customHeight="1" x14ac:dyDescent="0.35">
      <c r="A1163" s="4"/>
      <c r="B1163" s="104"/>
      <c r="C1163" s="104"/>
      <c r="D1163" s="714"/>
      <c r="E1163" s="85"/>
    </row>
    <row r="1164" spans="1:5" ht="15.75" hidden="1" customHeight="1" x14ac:dyDescent="0.35">
      <c r="A1164" s="4"/>
      <c r="B1164" s="104"/>
      <c r="C1164" s="104"/>
      <c r="D1164" s="714"/>
      <c r="E1164" s="85"/>
    </row>
    <row r="1165" spans="1:5" ht="15.75" hidden="1" customHeight="1" x14ac:dyDescent="0.35">
      <c r="A1165" s="155"/>
      <c r="B1165" s="214"/>
      <c r="C1165" s="214"/>
      <c r="D1165" s="755"/>
      <c r="E1165" s="342"/>
    </row>
    <row r="1166" spans="1:5" ht="15" hidden="1" customHeight="1" x14ac:dyDescent="0.35">
      <c r="A1166" s="362" t="s">
        <v>1152</v>
      </c>
      <c r="B1166" s="320"/>
      <c r="C1166" s="320"/>
      <c r="D1166" s="753" t="s">
        <v>1153</v>
      </c>
      <c r="E1166" s="713">
        <f ca="1">'Verification Report'!O1168</f>
        <v>0</v>
      </c>
    </row>
    <row r="1167" spans="1:5" ht="15.75" hidden="1" customHeight="1" x14ac:dyDescent="0.35">
      <c r="A1167" s="155"/>
      <c r="B1167" s="214"/>
      <c r="C1167" s="214"/>
      <c r="D1167" s="739"/>
      <c r="E1167" s="697">
        <f>'Verification Report'!O1169</f>
        <v>0</v>
      </c>
    </row>
    <row r="1168" spans="1:5" ht="15" hidden="1" customHeight="1" x14ac:dyDescent="0.35">
      <c r="A1168" s="34" t="s">
        <v>1154</v>
      </c>
      <c r="B1168" s="104"/>
      <c r="C1168" s="104"/>
      <c r="D1168" s="706" t="s">
        <v>1155</v>
      </c>
      <c r="E1168" s="696">
        <f ca="1">'Verification Report'!O1170</f>
        <v>0</v>
      </c>
    </row>
    <row r="1169" spans="1:5" ht="15" hidden="1" thickBot="1" x14ac:dyDescent="0.4">
      <c r="A1169" s="4"/>
      <c r="B1169" s="104"/>
      <c r="C1169" s="104"/>
      <c r="D1169" s="706"/>
      <c r="E1169" s="696">
        <f>'Verification Report'!O1171</f>
        <v>0</v>
      </c>
    </row>
    <row r="1170" spans="1:5" ht="15" hidden="1" thickBot="1" x14ac:dyDescent="0.4">
      <c r="A1170" s="4"/>
      <c r="B1170" s="104"/>
      <c r="C1170" s="104"/>
      <c r="D1170" s="107" t="s">
        <v>1156</v>
      </c>
      <c r="E1170" s="85"/>
    </row>
    <row r="1171" spans="1:5" ht="15" hidden="1" thickBot="1" x14ac:dyDescent="0.4">
      <c r="A1171" s="4"/>
      <c r="B1171" s="104"/>
      <c r="C1171" s="104"/>
      <c r="D1171" s="107" t="s">
        <v>1157</v>
      </c>
      <c r="E1171" s="85"/>
    </row>
    <row r="1172" spans="1:5" ht="15" hidden="1" customHeight="1" x14ac:dyDescent="0.35">
      <c r="A1172" s="4"/>
      <c r="B1172" s="179" t="s">
        <v>270</v>
      </c>
      <c r="C1172" s="104"/>
      <c r="D1172" s="707" t="s">
        <v>1158</v>
      </c>
      <c r="E1172" s="85"/>
    </row>
    <row r="1173" spans="1:5" ht="15" hidden="1" thickBot="1" x14ac:dyDescent="0.4">
      <c r="A1173" s="4"/>
      <c r="B1173" s="104"/>
      <c r="C1173" s="104"/>
      <c r="D1173" s="707"/>
      <c r="E1173" s="85"/>
    </row>
    <row r="1174" spans="1:5" ht="15" hidden="1" customHeight="1" x14ac:dyDescent="0.35">
      <c r="A1174" s="4"/>
      <c r="B1174" s="104"/>
      <c r="C1174" s="175" t="s">
        <v>121</v>
      </c>
      <c r="D1174" s="707" t="s">
        <v>1159</v>
      </c>
      <c r="E1174" s="85"/>
    </row>
    <row r="1175" spans="1:5" ht="15.75" hidden="1" customHeight="1" x14ac:dyDescent="0.35">
      <c r="A1175" s="4"/>
      <c r="B1175" s="104"/>
      <c r="C1175" s="104"/>
      <c r="D1175" s="707"/>
      <c r="E1175" s="85"/>
    </row>
    <row r="1176" spans="1:5" ht="15" hidden="1" thickBot="1" x14ac:dyDescent="0.4">
      <c r="A1176" s="4"/>
      <c r="B1176" s="104"/>
      <c r="C1176" s="175" t="s">
        <v>122</v>
      </c>
      <c r="D1176" s="104" t="s">
        <v>1160</v>
      </c>
      <c r="E1176" s="85"/>
    </row>
    <row r="1177" spans="1:5" ht="15" hidden="1" thickBot="1" x14ac:dyDescent="0.4">
      <c r="A1177" s="4"/>
      <c r="B1177" s="104"/>
      <c r="C1177" s="176" t="s">
        <v>123</v>
      </c>
      <c r="D1177" s="104" t="s">
        <v>1161</v>
      </c>
      <c r="E1177" s="85"/>
    </row>
    <row r="1178" spans="1:5" ht="15" hidden="1" customHeight="1" x14ac:dyDescent="0.35">
      <c r="A1178" s="4"/>
      <c r="B1178" s="104"/>
      <c r="C1178" s="110" t="s">
        <v>420</v>
      </c>
      <c r="D1178" s="707" t="s">
        <v>1162</v>
      </c>
      <c r="E1178" s="85"/>
    </row>
    <row r="1179" spans="1:5" ht="15.75" hidden="1" customHeight="1" x14ac:dyDescent="0.35">
      <c r="A1179" s="4"/>
      <c r="B1179" s="214"/>
      <c r="C1179" s="214"/>
      <c r="D1179" s="709"/>
      <c r="E1179" s="85"/>
    </row>
    <row r="1180" spans="1:5" ht="15" hidden="1" customHeight="1" x14ac:dyDescent="0.35">
      <c r="A1180" s="4"/>
      <c r="B1180" s="179" t="s">
        <v>272</v>
      </c>
      <c r="C1180" s="104"/>
      <c r="D1180" s="707" t="s">
        <v>1163</v>
      </c>
      <c r="E1180" s="85"/>
    </row>
    <row r="1181" spans="1:5" ht="15.75" hidden="1" customHeight="1" x14ac:dyDescent="0.35">
      <c r="A1181" s="4"/>
      <c r="B1181" s="104"/>
      <c r="C1181" s="104"/>
      <c r="D1181" s="707"/>
      <c r="E1181" s="85"/>
    </row>
    <row r="1182" spans="1:5" ht="15.75" hidden="1" customHeight="1" x14ac:dyDescent="0.35">
      <c r="A1182" s="4"/>
      <c r="B1182" s="214"/>
      <c r="C1182" s="214"/>
      <c r="D1182" s="165" t="s">
        <v>1164</v>
      </c>
      <c r="E1182" s="85"/>
    </row>
    <row r="1183" spans="1:5" ht="15" hidden="1" thickBot="1" x14ac:dyDescent="0.4">
      <c r="A1183" s="4"/>
      <c r="B1183" s="384" t="s">
        <v>274</v>
      </c>
      <c r="C1183" s="220"/>
      <c r="D1183" s="220" t="s">
        <v>1165</v>
      </c>
      <c r="E1183" s="85"/>
    </row>
    <row r="1184" spans="1:5" ht="15" hidden="1" customHeight="1" x14ac:dyDescent="0.35">
      <c r="A1184" s="4"/>
      <c r="B1184" s="385" t="s">
        <v>283</v>
      </c>
      <c r="C1184" s="320"/>
      <c r="D1184" s="742" t="s">
        <v>1166</v>
      </c>
      <c r="E1184" s="85"/>
    </row>
    <row r="1185" spans="1:5" ht="15.75" hidden="1" customHeight="1" x14ac:dyDescent="0.35">
      <c r="A1185" s="4"/>
      <c r="B1185" s="214"/>
      <c r="C1185" s="214"/>
      <c r="D1185" s="709"/>
      <c r="E1185" s="85"/>
    </row>
    <row r="1186" spans="1:5" ht="15" hidden="1" customHeight="1" x14ac:dyDescent="0.35">
      <c r="A1186" s="4"/>
      <c r="B1186" s="179" t="s">
        <v>289</v>
      </c>
      <c r="C1186" s="104"/>
      <c r="D1186" s="707" t="s">
        <v>1167</v>
      </c>
      <c r="E1186" s="85"/>
    </row>
    <row r="1187" spans="1:5" ht="15" hidden="1" thickBot="1" x14ac:dyDescent="0.4">
      <c r="A1187" s="4"/>
      <c r="B1187" s="104"/>
      <c r="C1187" s="104"/>
      <c r="D1187" s="707"/>
      <c r="E1187" s="85"/>
    </row>
    <row r="1188" spans="1:5" ht="15" hidden="1" thickBot="1" x14ac:dyDescent="0.4">
      <c r="A1188" s="4"/>
      <c r="B1188" s="104"/>
      <c r="C1188" s="104"/>
      <c r="D1188" s="707"/>
      <c r="E1188" s="85"/>
    </row>
    <row r="1189" spans="1:5" ht="15" hidden="1" customHeight="1" x14ac:dyDescent="0.35">
      <c r="A1189" s="4"/>
      <c r="B1189" s="104"/>
      <c r="C1189" s="175" t="s">
        <v>121</v>
      </c>
      <c r="D1189" s="707" t="s">
        <v>1168</v>
      </c>
      <c r="E1189" s="85"/>
    </row>
    <row r="1190" spans="1:5" ht="15.75" hidden="1" customHeight="1" x14ac:dyDescent="0.35">
      <c r="A1190" s="4"/>
      <c r="B1190" s="104"/>
      <c r="C1190" s="104"/>
      <c r="D1190" s="707"/>
      <c r="E1190" s="85"/>
    </row>
    <row r="1191" spans="1:5" ht="15" hidden="1" customHeight="1" x14ac:dyDescent="0.35">
      <c r="A1191" s="4"/>
      <c r="B1191" s="104"/>
      <c r="C1191" s="175" t="s">
        <v>122</v>
      </c>
      <c r="D1191" s="707" t="s">
        <v>1169</v>
      </c>
      <c r="E1191" s="85"/>
    </row>
    <row r="1192" spans="1:5" ht="15.75" hidden="1" customHeight="1" x14ac:dyDescent="0.35">
      <c r="A1192" s="4"/>
      <c r="B1192" s="214"/>
      <c r="C1192" s="214"/>
      <c r="D1192" s="709"/>
      <c r="E1192" s="85"/>
    </row>
    <row r="1193" spans="1:5" ht="15" hidden="1" customHeight="1" x14ac:dyDescent="0.35">
      <c r="A1193" s="4"/>
      <c r="B1193" s="179" t="s">
        <v>291</v>
      </c>
      <c r="C1193" s="104"/>
      <c r="D1193" s="707" t="s">
        <v>1170</v>
      </c>
      <c r="E1193" s="85"/>
    </row>
    <row r="1194" spans="1:5" ht="15.75" hidden="1" customHeight="1" x14ac:dyDescent="0.35">
      <c r="A1194" s="155"/>
      <c r="B1194" s="214"/>
      <c r="C1194" s="214"/>
      <c r="D1194" s="709"/>
      <c r="E1194" s="342"/>
    </row>
    <row r="1195" spans="1:5" ht="15" hidden="1" customHeight="1" x14ac:dyDescent="0.35">
      <c r="A1195" s="34" t="s">
        <v>1171</v>
      </c>
      <c r="B1195" s="104"/>
      <c r="C1195" s="104"/>
      <c r="D1195" s="738" t="s">
        <v>1172</v>
      </c>
      <c r="E1195" s="696">
        <f ca="1">'Verification Report'!O1197</f>
        <v>0</v>
      </c>
    </row>
    <row r="1196" spans="1:5" ht="15" hidden="1" thickBot="1" x14ac:dyDescent="0.4">
      <c r="A1196" s="4"/>
      <c r="B1196" s="104"/>
      <c r="C1196" s="104"/>
      <c r="D1196" s="738"/>
      <c r="E1196" s="696">
        <f>'Verification Report'!O1198</f>
        <v>0</v>
      </c>
    </row>
    <row r="1197" spans="1:5" ht="15" hidden="1" thickBot="1" x14ac:dyDescent="0.4">
      <c r="A1197" s="4"/>
      <c r="B1197" s="104"/>
      <c r="C1197" s="104"/>
      <c r="D1197" s="104" t="s">
        <v>1173</v>
      </c>
      <c r="E1197" s="85"/>
    </row>
    <row r="1198" spans="1:5" ht="15" hidden="1" customHeight="1" x14ac:dyDescent="0.35">
      <c r="A1198" s="4"/>
      <c r="B1198" s="179" t="s">
        <v>270</v>
      </c>
      <c r="C1198" s="104"/>
      <c r="D1198" s="707" t="s">
        <v>1174</v>
      </c>
      <c r="E1198" s="85"/>
    </row>
    <row r="1199" spans="1:5" ht="15.75" hidden="1" customHeight="1" x14ac:dyDescent="0.35">
      <c r="A1199" s="4"/>
      <c r="B1199" s="214"/>
      <c r="C1199" s="214"/>
      <c r="D1199" s="709"/>
      <c r="E1199" s="85"/>
    </row>
    <row r="1200" spans="1:5" ht="15" hidden="1" customHeight="1" x14ac:dyDescent="0.35">
      <c r="A1200" s="4"/>
      <c r="B1200" s="179" t="s">
        <v>272</v>
      </c>
      <c r="C1200" s="104"/>
      <c r="D1200" s="723" t="s">
        <v>1175</v>
      </c>
      <c r="E1200" s="85"/>
    </row>
    <row r="1201" spans="1:5" ht="15" hidden="1" thickBot="1" x14ac:dyDescent="0.4">
      <c r="A1201" s="4"/>
      <c r="B1201" s="104"/>
      <c r="C1201" s="104"/>
      <c r="D1201" s="723"/>
      <c r="E1201" s="85"/>
    </row>
    <row r="1202" spans="1:5" ht="15" hidden="1" customHeight="1" x14ac:dyDescent="0.35">
      <c r="A1202" s="4"/>
      <c r="B1202" s="104"/>
      <c r="C1202" s="175" t="s">
        <v>121</v>
      </c>
      <c r="D1202" s="707" t="s">
        <v>1176</v>
      </c>
      <c r="E1202" s="85"/>
    </row>
    <row r="1203" spans="1:5" ht="15.75" hidden="1" customHeight="1" x14ac:dyDescent="0.35">
      <c r="A1203" s="4"/>
      <c r="B1203" s="104"/>
      <c r="C1203" s="104"/>
      <c r="D1203" s="707"/>
      <c r="E1203" s="85"/>
    </row>
    <row r="1204" spans="1:5" ht="15.75" hidden="1" customHeight="1" x14ac:dyDescent="0.35">
      <c r="A1204" s="4"/>
      <c r="B1204" s="104"/>
      <c r="C1204" s="214"/>
      <c r="D1204" s="709"/>
      <c r="E1204" s="85"/>
    </row>
    <row r="1205" spans="1:5" ht="15" hidden="1" customHeight="1" x14ac:dyDescent="0.35">
      <c r="A1205" s="4"/>
      <c r="B1205" s="104"/>
      <c r="C1205" s="175" t="s">
        <v>122</v>
      </c>
      <c r="D1205" s="707" t="s">
        <v>1177</v>
      </c>
      <c r="E1205" s="85"/>
    </row>
    <row r="1206" spans="1:5" ht="15.75" hidden="1" customHeight="1" x14ac:dyDescent="0.35">
      <c r="A1206" s="4"/>
      <c r="B1206" s="104"/>
      <c r="C1206" s="104"/>
      <c r="D1206" s="707"/>
      <c r="E1206" s="85"/>
    </row>
    <row r="1207" spans="1:5" ht="15" hidden="1" customHeight="1" x14ac:dyDescent="0.35">
      <c r="A1207" s="4"/>
      <c r="B1207" s="104"/>
      <c r="C1207" s="107" t="s">
        <v>982</v>
      </c>
      <c r="D1207" s="707" t="s">
        <v>1178</v>
      </c>
      <c r="E1207" s="85"/>
    </row>
    <row r="1208" spans="1:5" ht="15.75" hidden="1" customHeight="1" x14ac:dyDescent="0.35">
      <c r="A1208" s="4"/>
      <c r="B1208" s="104"/>
      <c r="C1208" s="181"/>
      <c r="D1208" s="707"/>
      <c r="E1208" s="85"/>
    </row>
    <row r="1209" spans="1:5" ht="15" hidden="1" customHeight="1" x14ac:dyDescent="0.35">
      <c r="A1209" s="4"/>
      <c r="B1209" s="104"/>
      <c r="C1209" s="107" t="s">
        <v>1179</v>
      </c>
      <c r="D1209" s="707" t="s">
        <v>1180</v>
      </c>
      <c r="E1209" s="85"/>
    </row>
    <row r="1210" spans="1:5" ht="15.75" hidden="1" customHeight="1" x14ac:dyDescent="0.35">
      <c r="A1210" s="4"/>
      <c r="B1210" s="104"/>
      <c r="C1210" s="181"/>
      <c r="D1210" s="707"/>
      <c r="E1210" s="85"/>
    </row>
    <row r="1211" spans="1:5" ht="15" hidden="1" customHeight="1" x14ac:dyDescent="0.35">
      <c r="A1211" s="4"/>
      <c r="B1211" s="104"/>
      <c r="C1211" s="107" t="s">
        <v>1181</v>
      </c>
      <c r="D1211" s="707" t="s">
        <v>1182</v>
      </c>
      <c r="E1211" s="85"/>
    </row>
    <row r="1212" spans="1:5" ht="15.75" hidden="1" customHeight="1" x14ac:dyDescent="0.35">
      <c r="A1212" s="4"/>
      <c r="B1212" s="104"/>
      <c r="C1212" s="214"/>
      <c r="D1212" s="709"/>
      <c r="E1212" s="85"/>
    </row>
    <row r="1213" spans="1:5" ht="15" hidden="1" customHeight="1" x14ac:dyDescent="0.35">
      <c r="A1213" s="4"/>
      <c r="B1213" s="104"/>
      <c r="C1213" s="175" t="s">
        <v>123</v>
      </c>
      <c r="D1213" s="707" t="s">
        <v>1183</v>
      </c>
      <c r="E1213" s="85"/>
    </row>
    <row r="1214" spans="1:5" ht="15.75" hidden="1" customHeight="1" x14ac:dyDescent="0.35">
      <c r="A1214" s="4"/>
      <c r="B1214" s="104"/>
      <c r="C1214" s="104"/>
      <c r="D1214" s="707"/>
      <c r="E1214" s="85"/>
    </row>
    <row r="1215" spans="1:5" ht="15.75" hidden="1" customHeight="1" x14ac:dyDescent="0.35">
      <c r="A1215" s="4"/>
      <c r="B1215" s="214"/>
      <c r="C1215" s="214"/>
      <c r="D1215" s="709"/>
      <c r="E1215" s="85"/>
    </row>
    <row r="1216" spans="1:5" ht="15" hidden="1" customHeight="1" x14ac:dyDescent="0.35">
      <c r="A1216" s="4"/>
      <c r="B1216" s="179" t="s">
        <v>274</v>
      </c>
      <c r="C1216" s="104"/>
      <c r="D1216" s="707" t="s">
        <v>1184</v>
      </c>
      <c r="E1216" s="85"/>
    </row>
    <row r="1217" spans="1:5" ht="15.75" hidden="1" customHeight="1" x14ac:dyDescent="0.35">
      <c r="A1217" s="4"/>
      <c r="B1217" s="104"/>
      <c r="C1217" s="104"/>
      <c r="D1217" s="707"/>
      <c r="E1217" s="85"/>
    </row>
    <row r="1218" spans="1:5" ht="19" hidden="1" thickBot="1" x14ac:dyDescent="0.5">
      <c r="A1218" s="10" t="s">
        <v>1185</v>
      </c>
      <c r="B1218" s="47"/>
      <c r="C1218" s="47"/>
      <c r="D1218" s="47"/>
      <c r="E1218" s="340"/>
    </row>
    <row r="1219" spans="1:5" ht="15" hidden="1" customHeight="1" x14ac:dyDescent="0.35">
      <c r="A1219" s="32">
        <v>704.1</v>
      </c>
      <c r="B1219" s="104"/>
      <c r="C1219" s="104"/>
      <c r="D1219" s="706" t="s">
        <v>1186</v>
      </c>
      <c r="E1219" s="696">
        <f>'Verification Report'!O1221</f>
        <v>54</v>
      </c>
    </row>
    <row r="1220" spans="1:5" ht="15.75" hidden="1" customHeight="1" x14ac:dyDescent="0.35">
      <c r="A1220" s="4"/>
      <c r="B1220" s="104"/>
      <c r="C1220" s="104"/>
      <c r="D1220" s="706"/>
      <c r="E1220" s="696">
        <f>'Verification Report'!O1222</f>
        <v>0</v>
      </c>
    </row>
    <row r="1221" spans="1:5" ht="15" hidden="1" customHeight="1" x14ac:dyDescent="0.35">
      <c r="A1221" s="4"/>
      <c r="B1221" s="104"/>
      <c r="C1221" s="104"/>
      <c r="D1221" s="706"/>
      <c r="E1221" s="696">
        <f>'Verification Report'!O1223</f>
        <v>0</v>
      </c>
    </row>
    <row r="1222" spans="1:5" ht="15.75" hidden="1" customHeight="1" x14ac:dyDescent="0.35">
      <c r="A1222" s="155"/>
      <c r="B1222" s="214"/>
      <c r="C1222" s="214"/>
      <c r="D1222" s="739"/>
      <c r="E1222" s="696">
        <f>'Verification Report'!O1224</f>
        <v>0</v>
      </c>
    </row>
    <row r="1223" spans="1:5" ht="15" hidden="1" customHeight="1" x14ac:dyDescent="0.35">
      <c r="A1223" s="32">
        <v>704.2</v>
      </c>
      <c r="B1223" s="104"/>
      <c r="C1223" s="104"/>
      <c r="D1223" s="706" t="s">
        <v>1187</v>
      </c>
      <c r="E1223" s="696">
        <f>'Verification Report'!O1225</f>
        <v>0</v>
      </c>
    </row>
    <row r="1224" spans="1:5" ht="15.75" hidden="1" customHeight="1" x14ac:dyDescent="0.35">
      <c r="A1224" s="4"/>
      <c r="B1224" s="104"/>
      <c r="C1224" s="104"/>
      <c r="D1224" s="706"/>
      <c r="E1224" s="696">
        <f>'Verification Report'!O1226</f>
        <v>0</v>
      </c>
    </row>
    <row r="1225" spans="1:5" ht="15.75" hidden="1" customHeight="1" x14ac:dyDescent="0.35">
      <c r="A1225" s="4"/>
      <c r="B1225" s="104"/>
      <c r="C1225" s="104"/>
      <c r="D1225" s="706"/>
      <c r="E1225" s="696">
        <f>'Verification Report'!O1227</f>
        <v>0</v>
      </c>
    </row>
    <row r="1226" spans="1:5" ht="15.75" hidden="1" customHeight="1" x14ac:dyDescent="0.35">
      <c r="A1226" s="4"/>
      <c r="B1226" s="104"/>
      <c r="C1226" s="104"/>
      <c r="D1226" s="281" t="s">
        <v>4714</v>
      </c>
      <c r="E1226" s="696">
        <f>'Verification Report'!O1228</f>
        <v>0</v>
      </c>
    </row>
    <row r="1227" spans="1:5" ht="19" hidden="1" thickBot="1" x14ac:dyDescent="0.5">
      <c r="A1227" s="10" t="s">
        <v>1188</v>
      </c>
      <c r="B1227" s="47"/>
      <c r="C1227" s="47"/>
      <c r="D1227" s="47"/>
      <c r="E1227" s="340"/>
    </row>
    <row r="1228" spans="1:5" ht="15" hidden="1" thickBot="1" x14ac:dyDescent="0.4">
      <c r="A1228" s="32">
        <v>705.2</v>
      </c>
      <c r="B1228" s="104"/>
      <c r="C1228" s="104"/>
      <c r="D1228" s="110" t="s">
        <v>1189</v>
      </c>
      <c r="E1228" s="85"/>
    </row>
    <row r="1229" spans="1:5" ht="15" hidden="1" thickBot="1" x14ac:dyDescent="0.4">
      <c r="A1229" s="34" t="s">
        <v>1190</v>
      </c>
      <c r="B1229" s="104"/>
      <c r="C1229" s="104"/>
      <c r="D1229" s="110" t="s">
        <v>1191</v>
      </c>
      <c r="E1229" s="85"/>
    </row>
    <row r="1230" spans="1:5" ht="15" hidden="1" customHeight="1" x14ac:dyDescent="0.35">
      <c r="A1230" s="34"/>
      <c r="B1230" s="104"/>
      <c r="C1230" s="104"/>
      <c r="D1230" s="772" t="s">
        <v>1192</v>
      </c>
      <c r="E1230" s="85"/>
    </row>
    <row r="1231" spans="1:5" ht="15" hidden="1" thickBot="1" x14ac:dyDescent="0.4">
      <c r="A1231" s="34"/>
      <c r="B1231" s="104"/>
      <c r="C1231" s="104"/>
      <c r="D1231" s="772"/>
      <c r="E1231" s="85"/>
    </row>
    <row r="1232" spans="1:5" ht="15" hidden="1" customHeight="1" x14ac:dyDescent="0.35">
      <c r="A1232" s="34" t="s">
        <v>1193</v>
      </c>
      <c r="B1232" s="104"/>
      <c r="C1232" s="104"/>
      <c r="D1232" s="706" t="s">
        <v>1194</v>
      </c>
      <c r="E1232" s="696">
        <f ca="1">'Verification Report'!O1234</f>
        <v>0</v>
      </c>
    </row>
    <row r="1233" spans="1:5" ht="15.75" hidden="1" customHeight="1" x14ac:dyDescent="0.35">
      <c r="A1233" s="4"/>
      <c r="B1233" s="104"/>
      <c r="C1233" s="104"/>
      <c r="D1233" s="706"/>
      <c r="E1233" s="696">
        <f>'Verification Report'!O1235</f>
        <v>0</v>
      </c>
    </row>
    <row r="1234" spans="1:5" ht="15.75" hidden="1" customHeight="1" x14ac:dyDescent="0.35">
      <c r="A1234" s="4"/>
      <c r="B1234" s="373" t="s">
        <v>270</v>
      </c>
      <c r="C1234" s="214"/>
      <c r="D1234" s="214" t="s">
        <v>1195</v>
      </c>
      <c r="E1234" s="85"/>
    </row>
    <row r="1235" spans="1:5" ht="15.75" hidden="1" customHeight="1" x14ac:dyDescent="0.35">
      <c r="A1235" s="155"/>
      <c r="B1235" s="373" t="s">
        <v>272</v>
      </c>
      <c r="C1235" s="214"/>
      <c r="D1235" s="214" t="s">
        <v>1196</v>
      </c>
      <c r="E1235" s="85"/>
    </row>
    <row r="1236" spans="1:5" ht="15" hidden="1" customHeight="1" x14ac:dyDescent="0.35">
      <c r="A1236" s="34" t="s">
        <v>1197</v>
      </c>
      <c r="B1236" s="179"/>
      <c r="C1236" s="104"/>
      <c r="D1236" s="706" t="s">
        <v>1198</v>
      </c>
      <c r="E1236" s="696">
        <f>'Verification Report'!O1238</f>
        <v>0</v>
      </c>
    </row>
    <row r="1237" spans="1:5" ht="15.75" hidden="1" customHeight="1" x14ac:dyDescent="0.35">
      <c r="A1237" s="155"/>
      <c r="B1237" s="214"/>
      <c r="C1237" s="214"/>
      <c r="D1237" s="739"/>
      <c r="E1237" s="697">
        <f>'Verification Report'!O1239</f>
        <v>0</v>
      </c>
    </row>
    <row r="1238" spans="1:5" ht="15" hidden="1" thickBot="1" x14ac:dyDescent="0.4">
      <c r="A1238" s="34" t="s">
        <v>1199</v>
      </c>
      <c r="B1238" s="104"/>
      <c r="C1238" s="104"/>
      <c r="D1238" s="110" t="s">
        <v>1200</v>
      </c>
      <c r="E1238" s="85"/>
    </row>
    <row r="1239" spans="1:5" ht="15" hidden="1" customHeight="1" x14ac:dyDescent="0.35">
      <c r="A1239" s="4"/>
      <c r="B1239" s="179" t="s">
        <v>270</v>
      </c>
      <c r="C1239" s="104"/>
      <c r="D1239" s="707" t="s">
        <v>1201</v>
      </c>
      <c r="E1239" s="696">
        <f ca="1">'Verification Report'!O1241</f>
        <v>0</v>
      </c>
    </row>
    <row r="1240" spans="1:5" ht="15.75" hidden="1" customHeight="1" x14ac:dyDescent="0.35">
      <c r="A1240" s="4"/>
      <c r="B1240" s="104"/>
      <c r="C1240" s="104"/>
      <c r="D1240" s="707"/>
      <c r="E1240" s="696">
        <f>'Verification Report'!O1242</f>
        <v>0</v>
      </c>
    </row>
    <row r="1241" spans="1:5" ht="15.75" hidden="1" customHeight="1" x14ac:dyDescent="0.35">
      <c r="A1241" s="4"/>
      <c r="B1241" s="104"/>
      <c r="C1241" s="175" t="s">
        <v>121</v>
      </c>
      <c r="D1241" s="104" t="s">
        <v>1195</v>
      </c>
      <c r="E1241" s="85"/>
    </row>
    <row r="1242" spans="1:5" ht="15.75" hidden="1" customHeight="1" x14ac:dyDescent="0.35">
      <c r="A1242" s="4"/>
      <c r="B1242" s="214"/>
      <c r="C1242" s="359" t="s">
        <v>122</v>
      </c>
      <c r="D1242" s="214" t="s">
        <v>1196</v>
      </c>
      <c r="E1242" s="85"/>
    </row>
    <row r="1243" spans="1:5" ht="15" hidden="1" customHeight="1" x14ac:dyDescent="0.35">
      <c r="A1243" s="4"/>
      <c r="B1243" s="179" t="s">
        <v>272</v>
      </c>
      <c r="C1243" s="104"/>
      <c r="D1243" s="707" t="s">
        <v>1202</v>
      </c>
      <c r="E1243" s="696">
        <f ca="1">'Verification Report'!O1245</f>
        <v>0</v>
      </c>
    </row>
    <row r="1244" spans="1:5" ht="15.75" hidden="1" customHeight="1" x14ac:dyDescent="0.35">
      <c r="A1244" s="4"/>
      <c r="B1244" s="104"/>
      <c r="C1244" s="104"/>
      <c r="D1244" s="707"/>
      <c r="E1244" s="696">
        <f>'Verification Report'!O1246</f>
        <v>0</v>
      </c>
    </row>
    <row r="1245" spans="1:5" ht="15.75" hidden="1" customHeight="1" x14ac:dyDescent="0.35">
      <c r="A1245" s="4"/>
      <c r="B1245" s="104"/>
      <c r="C1245" s="104"/>
      <c r="D1245" s="707"/>
      <c r="E1245" s="696">
        <f>'Verification Report'!O1247</f>
        <v>0</v>
      </c>
    </row>
    <row r="1246" spans="1:5" ht="15.75" hidden="1" customHeight="1" x14ac:dyDescent="0.35">
      <c r="A1246" s="4"/>
      <c r="B1246" s="104"/>
      <c r="C1246" s="175" t="s">
        <v>121</v>
      </c>
      <c r="D1246" s="104" t="s">
        <v>1203</v>
      </c>
      <c r="E1246" s="85"/>
    </row>
    <row r="1247" spans="1:5" ht="15.75" hidden="1" customHeight="1" x14ac:dyDescent="0.35">
      <c r="A1247" s="155"/>
      <c r="B1247" s="214"/>
      <c r="C1247" s="359" t="s">
        <v>122</v>
      </c>
      <c r="D1247" s="214" t="s">
        <v>1204</v>
      </c>
      <c r="E1247" s="342"/>
    </row>
    <row r="1248" spans="1:5" ht="15" hidden="1" customHeight="1" x14ac:dyDescent="0.35">
      <c r="A1248" s="34" t="s">
        <v>1205</v>
      </c>
      <c r="B1248" s="104"/>
      <c r="C1248" s="104"/>
      <c r="D1248" s="706" t="s">
        <v>1206</v>
      </c>
      <c r="E1248" s="696">
        <f ca="1">'Verification Report'!O1250</f>
        <v>0</v>
      </c>
    </row>
    <row r="1249" spans="1:5" ht="15.75" hidden="1" customHeight="1" x14ac:dyDescent="0.35">
      <c r="A1249" s="4"/>
      <c r="B1249" s="104"/>
      <c r="C1249" s="104"/>
      <c r="D1249" s="706"/>
      <c r="E1249" s="696">
        <f>'Verification Report'!O1251</f>
        <v>0</v>
      </c>
    </row>
    <row r="1250" spans="1:5" ht="15.75" hidden="1" customHeight="1" x14ac:dyDescent="0.35">
      <c r="A1250" s="4"/>
      <c r="B1250" s="104"/>
      <c r="C1250" s="104"/>
      <c r="D1250" s="706"/>
      <c r="E1250" s="696">
        <f>'Verification Report'!O1252</f>
        <v>0</v>
      </c>
    </row>
    <row r="1251" spans="1:5" ht="15.75" hidden="1" customHeight="1" x14ac:dyDescent="0.35">
      <c r="A1251" s="4"/>
      <c r="B1251" s="373" t="s">
        <v>270</v>
      </c>
      <c r="C1251" s="214"/>
      <c r="D1251" s="214" t="s">
        <v>1203</v>
      </c>
      <c r="E1251" s="85"/>
    </row>
    <row r="1252" spans="1:5" ht="15.75" hidden="1" customHeight="1" x14ac:dyDescent="0.35">
      <c r="A1252" s="155"/>
      <c r="B1252" s="373" t="s">
        <v>272</v>
      </c>
      <c r="C1252" s="214"/>
      <c r="D1252" s="214" t="s">
        <v>1207</v>
      </c>
      <c r="E1252" s="342"/>
    </row>
    <row r="1253" spans="1:5" ht="15" hidden="1" customHeight="1" x14ac:dyDescent="0.35">
      <c r="A1253" s="362" t="s">
        <v>1208</v>
      </c>
      <c r="B1253" s="320"/>
      <c r="C1253" s="320"/>
      <c r="D1253" s="753" t="s">
        <v>1209</v>
      </c>
      <c r="E1253" s="713">
        <f>'Verification Report'!O1255</f>
        <v>0</v>
      </c>
    </row>
    <row r="1254" spans="1:5" ht="15.75" hidden="1" customHeight="1" x14ac:dyDescent="0.35">
      <c r="A1254" s="4"/>
      <c r="B1254" s="104"/>
      <c r="C1254" s="104"/>
      <c r="D1254" s="706"/>
      <c r="E1254" s="696">
        <f>'Verification Report'!O1256</f>
        <v>0</v>
      </c>
    </row>
    <row r="1255" spans="1:5" ht="15.75" hidden="1" customHeight="1" x14ac:dyDescent="0.35">
      <c r="A1255" s="155"/>
      <c r="B1255" s="214"/>
      <c r="C1255" s="214"/>
      <c r="D1255" s="165" t="s">
        <v>1098</v>
      </c>
      <c r="E1255" s="342"/>
    </row>
    <row r="1256" spans="1:5" ht="15" hidden="1" customHeight="1" x14ac:dyDescent="0.35">
      <c r="A1256" s="362" t="s">
        <v>1210</v>
      </c>
      <c r="B1256" s="320"/>
      <c r="C1256" s="320"/>
      <c r="D1256" s="753" t="s">
        <v>1211</v>
      </c>
      <c r="E1256" s="713">
        <f>'Verification Report'!O1258</f>
        <v>0</v>
      </c>
    </row>
    <row r="1257" spans="1:5" ht="15.75" hidden="1" customHeight="1" x14ac:dyDescent="0.35">
      <c r="A1257" s="155"/>
      <c r="B1257" s="214"/>
      <c r="C1257" s="214"/>
      <c r="D1257" s="739"/>
      <c r="E1257" s="697">
        <f>'Verification Report'!O1259</f>
        <v>0</v>
      </c>
    </row>
    <row r="1258" spans="1:5" ht="15" hidden="1" customHeight="1" x14ac:dyDescent="0.35">
      <c r="A1258" s="34" t="s">
        <v>1212</v>
      </c>
      <c r="B1258" s="104"/>
      <c r="C1258" s="104"/>
      <c r="D1258" s="706" t="s">
        <v>1213</v>
      </c>
      <c r="E1258" s="696">
        <f>'Verification Report'!O1260</f>
        <v>0</v>
      </c>
    </row>
    <row r="1259" spans="1:5" ht="15.75" hidden="1" customHeight="1" x14ac:dyDescent="0.35">
      <c r="A1259" s="4"/>
      <c r="B1259" s="104"/>
      <c r="C1259" s="104"/>
      <c r="D1259" s="706"/>
      <c r="E1259" s="696">
        <f>'Verification Report'!O1261</f>
        <v>0</v>
      </c>
    </row>
    <row r="1260" spans="1:5" ht="15.75" hidden="1" customHeight="1" thickBot="1" x14ac:dyDescent="0.4">
      <c r="A1260" s="183"/>
      <c r="B1260" s="223"/>
      <c r="C1260" s="223"/>
      <c r="D1260" s="710"/>
      <c r="E1260" s="695">
        <f>'Verification Report'!O1262</f>
        <v>0</v>
      </c>
    </row>
    <row r="1261" spans="1:5" ht="15.5" hidden="1" thickTop="1" thickBot="1" x14ac:dyDescent="0.4">
      <c r="A1261" s="274">
        <v>705.3</v>
      </c>
      <c r="B1261" s="350"/>
      <c r="C1261" s="350"/>
      <c r="D1261" s="276" t="s">
        <v>1214</v>
      </c>
      <c r="E1261" s="343">
        <f>'Verification Report'!O1263</f>
        <v>0</v>
      </c>
    </row>
    <row r="1262" spans="1:5" ht="15.75" hidden="1" customHeight="1" thickTop="1" x14ac:dyDescent="0.35">
      <c r="A1262" s="123">
        <v>705.4</v>
      </c>
      <c r="B1262" s="349"/>
      <c r="C1262" s="349"/>
      <c r="D1262" s="711" t="s">
        <v>1215</v>
      </c>
      <c r="E1262" s="694">
        <f>'Verification Report'!O1264</f>
        <v>2</v>
      </c>
    </row>
    <row r="1263" spans="1:5" ht="15.75" hidden="1" customHeight="1" x14ac:dyDescent="0.35">
      <c r="A1263" s="4"/>
      <c r="B1263" s="104"/>
      <c r="C1263" s="104"/>
      <c r="D1263" s="706"/>
      <c r="E1263" s="696">
        <f>'Verification Report'!O1265</f>
        <v>0</v>
      </c>
    </row>
    <row r="1264" spans="1:5" ht="15.75" hidden="1" customHeight="1" thickBot="1" x14ac:dyDescent="0.4">
      <c r="A1264" s="183"/>
      <c r="B1264" s="223"/>
      <c r="C1264" s="223"/>
      <c r="D1264" s="710"/>
      <c r="E1264" s="695">
        <f>'Verification Report'!O1266</f>
        <v>0</v>
      </c>
    </row>
    <row r="1265" spans="1:5" ht="15" hidden="1" thickBot="1" x14ac:dyDescent="0.4">
      <c r="A1265" s="32">
        <v>705.5</v>
      </c>
      <c r="B1265" s="104"/>
      <c r="C1265" s="104"/>
      <c r="D1265" s="110" t="s">
        <v>1216</v>
      </c>
      <c r="E1265" s="85"/>
    </row>
    <row r="1266" spans="1:5" ht="15" hidden="1" customHeight="1" x14ac:dyDescent="0.35">
      <c r="A1266" s="34" t="s">
        <v>1217</v>
      </c>
      <c r="B1266" s="104"/>
      <c r="C1266" s="104"/>
      <c r="D1266" s="706" t="s">
        <v>1218</v>
      </c>
      <c r="E1266" s="696">
        <f>'Verification Report'!O1268</f>
        <v>1</v>
      </c>
    </row>
    <row r="1267" spans="1:5" ht="15.75" hidden="1" customHeight="1" x14ac:dyDescent="0.35">
      <c r="A1267" s="4"/>
      <c r="B1267" s="104"/>
      <c r="C1267" s="104"/>
      <c r="D1267" s="706"/>
      <c r="E1267" s="696">
        <f>'Verification Report'!O1269</f>
        <v>0</v>
      </c>
    </row>
    <row r="1268" spans="1:5" ht="15.75" hidden="1" customHeight="1" x14ac:dyDescent="0.35">
      <c r="A1268" s="4"/>
      <c r="B1268" s="104"/>
      <c r="C1268" s="104"/>
      <c r="D1268" s="706"/>
      <c r="E1268" s="696">
        <f>'Verification Report'!O1270</f>
        <v>0</v>
      </c>
    </row>
    <row r="1269" spans="1:5" ht="15.75" hidden="1" customHeight="1" x14ac:dyDescent="0.35">
      <c r="A1269" s="4"/>
      <c r="B1269" s="104"/>
      <c r="C1269" s="104"/>
      <c r="D1269" s="706"/>
      <c r="E1269" s="696">
        <f>'Verification Report'!O1271</f>
        <v>0</v>
      </c>
    </row>
    <row r="1270" spans="1:5" ht="15.75" hidden="1" customHeight="1" x14ac:dyDescent="0.35">
      <c r="A1270" s="155"/>
      <c r="B1270" s="214"/>
      <c r="C1270" s="214"/>
      <c r="D1270" s="739"/>
      <c r="E1270" s="697">
        <f>'Verification Report'!O1272</f>
        <v>0</v>
      </c>
    </row>
    <row r="1271" spans="1:5" ht="15" hidden="1" customHeight="1" x14ac:dyDescent="0.35">
      <c r="A1271" s="34" t="s">
        <v>1219</v>
      </c>
      <c r="B1271" s="104"/>
      <c r="C1271" s="104"/>
      <c r="D1271" s="706" t="s">
        <v>1220</v>
      </c>
      <c r="E1271" s="696">
        <f>'Verification Report'!O1273</f>
        <v>3</v>
      </c>
    </row>
    <row r="1272" spans="1:5" ht="15.75" hidden="1" customHeight="1" x14ac:dyDescent="0.35">
      <c r="A1272" s="4"/>
      <c r="B1272" s="104"/>
      <c r="C1272" s="104"/>
      <c r="D1272" s="706"/>
      <c r="E1272" s="696">
        <f>'Verification Report'!O1274</f>
        <v>0</v>
      </c>
    </row>
    <row r="1273" spans="1:5" ht="15" hidden="1" thickBot="1" x14ac:dyDescent="0.4">
      <c r="A1273" s="4"/>
      <c r="B1273" s="179" t="s">
        <v>270</v>
      </c>
      <c r="C1273" s="104"/>
      <c r="D1273" s="104" t="s">
        <v>1221</v>
      </c>
      <c r="E1273" s="85"/>
    </row>
    <row r="1274" spans="1:5" ht="15" hidden="1" thickBot="1" x14ac:dyDescent="0.4">
      <c r="A1274" s="4"/>
      <c r="B1274" s="373" t="s">
        <v>272</v>
      </c>
      <c r="C1274" s="214"/>
      <c r="D1274" s="214" t="s">
        <v>1222</v>
      </c>
      <c r="E1274" s="85"/>
    </row>
    <row r="1275" spans="1:5" ht="15" hidden="1" thickBot="1" x14ac:dyDescent="0.4">
      <c r="A1275" s="4"/>
      <c r="B1275" s="384" t="s">
        <v>274</v>
      </c>
      <c r="C1275" s="220"/>
      <c r="D1275" s="220" t="s">
        <v>1223</v>
      </c>
      <c r="E1275" s="85"/>
    </row>
    <row r="1276" spans="1:5" ht="15" hidden="1" thickBot="1" x14ac:dyDescent="0.4">
      <c r="A1276" s="4"/>
      <c r="B1276" s="384" t="s">
        <v>283</v>
      </c>
      <c r="C1276" s="220"/>
      <c r="D1276" s="220" t="s">
        <v>1224</v>
      </c>
      <c r="E1276" s="85"/>
    </row>
    <row r="1277" spans="1:5" ht="15" hidden="1" thickBot="1" x14ac:dyDescent="0.4">
      <c r="A1277" s="4"/>
      <c r="B1277" s="384" t="s">
        <v>289</v>
      </c>
      <c r="C1277" s="220"/>
      <c r="D1277" s="220" t="s">
        <v>1225</v>
      </c>
      <c r="E1277" s="85"/>
    </row>
    <row r="1278" spans="1:5" ht="15" hidden="1" thickBot="1" x14ac:dyDescent="0.4">
      <c r="A1278" s="183"/>
      <c r="B1278" s="375" t="s">
        <v>291</v>
      </c>
      <c r="C1278" s="223"/>
      <c r="D1278" s="223" t="s">
        <v>1226</v>
      </c>
      <c r="E1278" s="184"/>
    </row>
    <row r="1279" spans="1:5" ht="15" hidden="1" thickBot="1" x14ac:dyDescent="0.4">
      <c r="A1279" s="33">
        <v>705.6</v>
      </c>
      <c r="B1279" s="104"/>
      <c r="C1279" s="104"/>
      <c r="D1279" s="110" t="s">
        <v>1227</v>
      </c>
      <c r="E1279" s="85"/>
    </row>
    <row r="1280" spans="1:5" ht="15" hidden="1" customHeight="1" x14ac:dyDescent="0.35">
      <c r="A1280" s="34" t="s">
        <v>1228</v>
      </c>
      <c r="B1280" s="104"/>
      <c r="C1280" s="104"/>
      <c r="D1280" s="706" t="s">
        <v>1229</v>
      </c>
      <c r="E1280" s="696">
        <f>'Verification Report'!O1282</f>
        <v>3</v>
      </c>
    </row>
    <row r="1281" spans="1:5" ht="15.75" hidden="1" customHeight="1" x14ac:dyDescent="0.35">
      <c r="A1281" s="4"/>
      <c r="B1281" s="104"/>
      <c r="C1281" s="104"/>
      <c r="D1281" s="706"/>
      <c r="E1281" s="696">
        <f>'Verification Report'!O1283</f>
        <v>0</v>
      </c>
    </row>
    <row r="1282" spans="1:5" ht="15.75" hidden="1" customHeight="1" x14ac:dyDescent="0.35">
      <c r="A1282" s="4"/>
      <c r="B1282" s="104"/>
      <c r="C1282" s="104"/>
      <c r="D1282" s="706"/>
      <c r="E1282" s="696">
        <f>'Verification Report'!O1284</f>
        <v>0</v>
      </c>
    </row>
    <row r="1283" spans="1:5" ht="15.75" hidden="1" customHeight="1" x14ac:dyDescent="0.35">
      <c r="A1283" s="4"/>
      <c r="B1283" s="104"/>
      <c r="C1283" s="104"/>
      <c r="D1283" s="706"/>
      <c r="E1283" s="696">
        <f>'Verification Report'!O1285</f>
        <v>0</v>
      </c>
    </row>
    <row r="1284" spans="1:5" ht="15.75" hidden="1" customHeight="1" x14ac:dyDescent="0.35">
      <c r="A1284" s="4"/>
      <c r="B1284" s="104"/>
      <c r="C1284" s="104"/>
      <c r="D1284" s="706"/>
      <c r="E1284" s="696">
        <f>'Verification Report'!O1286</f>
        <v>0</v>
      </c>
    </row>
    <row r="1285" spans="1:5" ht="15.75" hidden="1" customHeight="1" x14ac:dyDescent="0.35">
      <c r="A1285" s="155"/>
      <c r="B1285" s="214"/>
      <c r="C1285" s="214"/>
      <c r="D1285" s="739"/>
      <c r="E1285" s="697">
        <f>'Verification Report'!O1287</f>
        <v>0</v>
      </c>
    </row>
    <row r="1286" spans="1:5" ht="15" hidden="1" thickBot="1" x14ac:dyDescent="0.4">
      <c r="A1286" s="34" t="s">
        <v>3863</v>
      </c>
      <c r="B1286" s="104"/>
      <c r="C1286" s="104"/>
      <c r="D1286" s="110" t="s">
        <v>3864</v>
      </c>
      <c r="E1286" s="85"/>
    </row>
    <row r="1287" spans="1:5" ht="15" hidden="1" customHeight="1" x14ac:dyDescent="0.35">
      <c r="A1287" s="34" t="s">
        <v>1231</v>
      </c>
      <c r="B1287" s="104"/>
      <c r="C1287" s="104"/>
      <c r="D1287" s="706" t="s">
        <v>1232</v>
      </c>
      <c r="E1287" s="85"/>
    </row>
    <row r="1288" spans="1:5" ht="15" hidden="1" thickBot="1" x14ac:dyDescent="0.4">
      <c r="A1288" s="4"/>
      <c r="B1288" s="104"/>
      <c r="C1288" s="104"/>
      <c r="D1288" s="706"/>
      <c r="E1288" s="85"/>
    </row>
    <row r="1289" spans="1:5" ht="15" hidden="1" thickBot="1" x14ac:dyDescent="0.4">
      <c r="A1289" s="4"/>
      <c r="B1289" s="104"/>
      <c r="C1289" s="104"/>
      <c r="D1289" s="706"/>
      <c r="E1289" s="85"/>
    </row>
    <row r="1290" spans="1:5" ht="15" hidden="1" customHeight="1" x14ac:dyDescent="0.35">
      <c r="A1290" s="4"/>
      <c r="B1290" s="104"/>
      <c r="C1290" s="104"/>
      <c r="D1290" s="752" t="s">
        <v>1230</v>
      </c>
      <c r="E1290" s="85"/>
    </row>
    <row r="1291" spans="1:5" ht="15" hidden="1" thickBot="1" x14ac:dyDescent="0.4">
      <c r="A1291" s="4"/>
      <c r="B1291" s="104"/>
      <c r="C1291" s="104"/>
      <c r="D1291" s="752"/>
      <c r="E1291" s="85"/>
    </row>
    <row r="1292" spans="1:5" ht="15" hidden="1" thickBot="1" x14ac:dyDescent="0.4">
      <c r="A1292" s="4"/>
      <c r="B1292" s="104"/>
      <c r="C1292" s="104"/>
      <c r="D1292" s="107" t="s">
        <v>3866</v>
      </c>
      <c r="E1292" s="85"/>
    </row>
    <row r="1293" spans="1:5" ht="15" hidden="1" thickBot="1" x14ac:dyDescent="0.4">
      <c r="A1293" s="4"/>
      <c r="B1293" s="179" t="s">
        <v>270</v>
      </c>
      <c r="C1293" s="104"/>
      <c r="D1293" s="104" t="s">
        <v>1233</v>
      </c>
      <c r="E1293" s="697">
        <f>'Verification Report'!O1295</f>
        <v>0</v>
      </c>
    </row>
    <row r="1294" spans="1:5" ht="15" hidden="1" thickBot="1" x14ac:dyDescent="0.4">
      <c r="A1294" s="4"/>
      <c r="B1294" s="179"/>
      <c r="C1294" s="104"/>
      <c r="D1294" s="104"/>
      <c r="E1294" s="697"/>
    </row>
    <row r="1295" spans="1:5" ht="15" hidden="1" thickBot="1" x14ac:dyDescent="0.4">
      <c r="A1295" s="4"/>
      <c r="B1295" s="373"/>
      <c r="C1295" s="214"/>
      <c r="D1295" s="214"/>
      <c r="E1295" s="697"/>
    </row>
    <row r="1296" spans="1:5" ht="15.75" hidden="1" customHeight="1" x14ac:dyDescent="0.35">
      <c r="A1296" s="4"/>
      <c r="B1296" s="179" t="s">
        <v>272</v>
      </c>
      <c r="C1296" s="104"/>
      <c r="D1296" s="104" t="s">
        <v>1234</v>
      </c>
      <c r="E1296" s="85">
        <f>'Verification Report'!O1298</f>
        <v>0</v>
      </c>
    </row>
    <row r="1297" spans="1:5" ht="15" hidden="1" customHeight="1" x14ac:dyDescent="0.35">
      <c r="A1297" s="4"/>
      <c r="B1297" s="179"/>
      <c r="C1297" s="104"/>
      <c r="D1297" s="714" t="s">
        <v>3867</v>
      </c>
      <c r="E1297" s="85"/>
    </row>
    <row r="1298" spans="1:5" ht="15.75" hidden="1" customHeight="1" x14ac:dyDescent="0.35">
      <c r="A1298" s="155"/>
      <c r="B1298" s="373"/>
      <c r="C1298" s="214"/>
      <c r="D1298" s="755"/>
      <c r="E1298" s="85"/>
    </row>
    <row r="1299" spans="1:5" ht="15" hidden="1" customHeight="1" x14ac:dyDescent="0.35">
      <c r="A1299" s="34" t="s">
        <v>1235</v>
      </c>
      <c r="B1299" s="104"/>
      <c r="C1299" s="104"/>
      <c r="D1299" s="706" t="s">
        <v>1236</v>
      </c>
      <c r="E1299" s="696">
        <f>'Verification Report'!O1301</f>
        <v>0</v>
      </c>
    </row>
    <row r="1300" spans="1:5" ht="15.75" hidden="1" customHeight="1" x14ac:dyDescent="0.35">
      <c r="A1300" s="4"/>
      <c r="B1300" s="104"/>
      <c r="C1300" s="104"/>
      <c r="D1300" s="706"/>
      <c r="E1300" s="696">
        <f>'Verification Report'!O1302</f>
        <v>0</v>
      </c>
    </row>
    <row r="1301" spans="1:5" ht="15.75" hidden="1" customHeight="1" x14ac:dyDescent="0.35">
      <c r="A1301" s="4"/>
      <c r="B1301" s="104"/>
      <c r="C1301" s="104"/>
      <c r="D1301" s="706"/>
      <c r="E1301" s="696">
        <f>'Verification Report'!O1303</f>
        <v>0</v>
      </c>
    </row>
    <row r="1302" spans="1:5" ht="15" hidden="1" customHeight="1" x14ac:dyDescent="0.35">
      <c r="A1302" s="4"/>
      <c r="B1302" s="179" t="s">
        <v>270</v>
      </c>
      <c r="C1302" s="104"/>
      <c r="D1302" s="707" t="s">
        <v>1237</v>
      </c>
      <c r="E1302" s="85"/>
    </row>
    <row r="1303" spans="1:5" ht="15.75" hidden="1" customHeight="1" x14ac:dyDescent="0.35">
      <c r="A1303" s="4"/>
      <c r="B1303" s="373"/>
      <c r="C1303" s="214"/>
      <c r="D1303" s="709"/>
      <c r="E1303" s="85"/>
    </row>
    <row r="1304" spans="1:5" ht="15.75" hidden="1" customHeight="1" x14ac:dyDescent="0.35">
      <c r="A1304" s="4"/>
      <c r="B1304" s="179" t="s">
        <v>272</v>
      </c>
      <c r="C1304" s="104"/>
      <c r="D1304" s="104" t="s">
        <v>1238</v>
      </c>
      <c r="E1304" s="85"/>
    </row>
    <row r="1305" spans="1:5" ht="15" hidden="1" customHeight="1" x14ac:dyDescent="0.35">
      <c r="A1305" s="4"/>
      <c r="B1305" s="179"/>
      <c r="C1305" s="104"/>
      <c r="D1305" s="714" t="s">
        <v>3868</v>
      </c>
      <c r="E1305" s="85"/>
    </row>
    <row r="1306" spans="1:5" ht="15.75" hidden="1" customHeight="1" x14ac:dyDescent="0.35">
      <c r="A1306" s="155"/>
      <c r="B1306" s="373"/>
      <c r="C1306" s="214"/>
      <c r="D1306" s="755"/>
      <c r="E1306" s="85"/>
    </row>
    <row r="1307" spans="1:5" ht="15.75" hidden="1" customHeight="1" x14ac:dyDescent="0.35">
      <c r="A1307" s="34" t="s">
        <v>1239</v>
      </c>
      <c r="B1307" s="104"/>
      <c r="C1307" s="104"/>
      <c r="D1307" s="110" t="s">
        <v>1240</v>
      </c>
      <c r="E1307" s="696">
        <f ca="1">'Verification Report'!O1309</f>
        <v>0</v>
      </c>
    </row>
    <row r="1308" spans="1:5" ht="15.75" hidden="1" customHeight="1" x14ac:dyDescent="0.35">
      <c r="A1308" s="4"/>
      <c r="B1308" s="104"/>
      <c r="C1308" s="104"/>
      <c r="D1308" s="107" t="s">
        <v>1241</v>
      </c>
      <c r="E1308" s="696">
        <f>'Verification Report'!O1310</f>
        <v>0</v>
      </c>
    </row>
    <row r="1309" spans="1:5" ht="15.75" hidden="1" customHeight="1" x14ac:dyDescent="0.35">
      <c r="A1309" s="4"/>
      <c r="B1309" s="104"/>
      <c r="C1309" s="104"/>
      <c r="D1309" s="107" t="s">
        <v>3775</v>
      </c>
      <c r="E1309" s="696">
        <f>'Verification Report'!O1311</f>
        <v>0</v>
      </c>
    </row>
    <row r="1310" spans="1:5" ht="15.75" hidden="1" customHeight="1" x14ac:dyDescent="0.35">
      <c r="A1310" s="4"/>
      <c r="B1310" s="373" t="s">
        <v>270</v>
      </c>
      <c r="C1310" s="214"/>
      <c r="D1310" s="214" t="s">
        <v>3776</v>
      </c>
      <c r="E1310" s="85"/>
    </row>
    <row r="1311" spans="1:5" ht="15" hidden="1" customHeight="1" x14ac:dyDescent="0.35">
      <c r="A1311" s="4"/>
      <c r="B1311" s="179" t="s">
        <v>272</v>
      </c>
      <c r="C1311" s="104"/>
      <c r="D1311" s="707" t="s">
        <v>3777</v>
      </c>
      <c r="E1311" s="85"/>
    </row>
    <row r="1312" spans="1:5" ht="15.75" hidden="1" customHeight="1" x14ac:dyDescent="0.35">
      <c r="A1312" s="155"/>
      <c r="B1312" s="119"/>
      <c r="C1312" s="214"/>
      <c r="D1312" s="709"/>
      <c r="E1312" s="342"/>
    </row>
    <row r="1313" spans="1:5" ht="15" hidden="1" customHeight="1" x14ac:dyDescent="0.35">
      <c r="A1313" s="34" t="s">
        <v>3774</v>
      </c>
      <c r="B1313" s="104"/>
      <c r="C1313" s="104"/>
      <c r="D1313" s="783" t="s">
        <v>3778</v>
      </c>
      <c r="E1313" s="713">
        <f>'Verification Report'!O1315</f>
        <v>0</v>
      </c>
    </row>
    <row r="1314" spans="1:5" ht="15" hidden="1" thickBot="1" x14ac:dyDescent="0.4">
      <c r="A1314" s="4"/>
      <c r="B1314" s="104"/>
      <c r="C1314" s="104"/>
      <c r="D1314" s="783"/>
      <c r="E1314" s="696">
        <f>'Verification Report'!O1316</f>
        <v>0</v>
      </c>
    </row>
    <row r="1315" spans="1:5" ht="15" hidden="1" thickBot="1" x14ac:dyDescent="0.4">
      <c r="A1315" s="4"/>
      <c r="B1315" s="104"/>
      <c r="C1315" s="104"/>
      <c r="D1315" s="107" t="s">
        <v>1241</v>
      </c>
      <c r="E1315" s="85"/>
    </row>
    <row r="1316" spans="1:5" ht="15" hidden="1" thickBot="1" x14ac:dyDescent="0.4">
      <c r="A1316" s="4"/>
      <c r="B1316" s="104"/>
      <c r="C1316" s="175" t="s">
        <v>121</v>
      </c>
      <c r="D1316" s="104" t="s">
        <v>1242</v>
      </c>
      <c r="E1316" s="85"/>
    </row>
    <row r="1317" spans="1:5" ht="15" hidden="1" thickBot="1" x14ac:dyDescent="0.4">
      <c r="A1317" s="4"/>
      <c r="B1317" s="104"/>
      <c r="C1317" s="175" t="s">
        <v>122</v>
      </c>
      <c r="D1317" s="104" t="s">
        <v>1243</v>
      </c>
      <c r="E1317" s="85"/>
    </row>
    <row r="1318" spans="1:5" ht="15" hidden="1" thickBot="1" x14ac:dyDescent="0.4">
      <c r="A1318" s="4"/>
      <c r="B1318" s="104"/>
      <c r="C1318" s="176" t="s">
        <v>123</v>
      </c>
      <c r="D1318" s="104" t="s">
        <v>1244</v>
      </c>
      <c r="E1318" s="85"/>
    </row>
    <row r="1319" spans="1:5" ht="15" hidden="1" thickBot="1" x14ac:dyDescent="0.4">
      <c r="A1319" s="4"/>
      <c r="B1319" s="104"/>
      <c r="C1319" s="110" t="s">
        <v>420</v>
      </c>
      <c r="D1319" s="104" t="s">
        <v>1245</v>
      </c>
      <c r="E1319" s="85"/>
    </row>
    <row r="1320" spans="1:5" ht="15" hidden="1" thickBot="1" x14ac:dyDescent="0.4">
      <c r="A1320" s="4"/>
      <c r="B1320" s="104"/>
      <c r="C1320" s="110" t="s">
        <v>575</v>
      </c>
      <c r="D1320" s="104" t="s">
        <v>1246</v>
      </c>
      <c r="E1320" s="85"/>
    </row>
    <row r="1321" spans="1:5" ht="15" hidden="1" thickBot="1" x14ac:dyDescent="0.4">
      <c r="A1321" s="4"/>
      <c r="B1321" s="104"/>
      <c r="C1321" s="176" t="s">
        <v>642</v>
      </c>
      <c r="D1321" s="104" t="s">
        <v>1247</v>
      </c>
      <c r="E1321" s="85"/>
    </row>
    <row r="1322" spans="1:5" ht="15" hidden="1" customHeight="1" x14ac:dyDescent="0.35">
      <c r="A1322" s="4"/>
      <c r="B1322" s="104"/>
      <c r="C1322" s="110" t="s">
        <v>644</v>
      </c>
      <c r="D1322" s="723" t="s">
        <v>1248</v>
      </c>
      <c r="E1322" s="85"/>
    </row>
    <row r="1323" spans="1:5" ht="15.75" hidden="1" customHeight="1" x14ac:dyDescent="0.35">
      <c r="A1323" s="155"/>
      <c r="B1323" s="214"/>
      <c r="C1323" s="361"/>
      <c r="D1323" s="724"/>
      <c r="E1323" s="85"/>
    </row>
    <row r="1324" spans="1:5" ht="15" hidden="1" thickBot="1" x14ac:dyDescent="0.4">
      <c r="A1324" s="34" t="s">
        <v>1249</v>
      </c>
      <c r="B1324" s="104"/>
      <c r="C1324" s="104"/>
      <c r="D1324" s="180" t="s">
        <v>1250</v>
      </c>
      <c r="E1324" s="85"/>
    </row>
    <row r="1325" spans="1:5" ht="15" hidden="1" customHeight="1" x14ac:dyDescent="0.35">
      <c r="A1325" s="34" t="s">
        <v>1251</v>
      </c>
      <c r="B1325" s="104"/>
      <c r="C1325" s="104"/>
      <c r="D1325" s="781" t="s">
        <v>1252</v>
      </c>
      <c r="E1325" s="696">
        <f ca="1">'Verification Report'!O1327</f>
        <v>0</v>
      </c>
    </row>
    <row r="1326" spans="1:5" ht="15.75" hidden="1" customHeight="1" x14ac:dyDescent="0.35">
      <c r="A1326" s="363"/>
      <c r="B1326" s="214"/>
      <c r="C1326" s="214"/>
      <c r="D1326" s="782"/>
      <c r="E1326" s="697">
        <f>'Verification Report'!O1328</f>
        <v>0</v>
      </c>
    </row>
    <row r="1327" spans="1:5" ht="15" hidden="1" customHeight="1" x14ac:dyDescent="0.35">
      <c r="A1327" s="34" t="s">
        <v>1253</v>
      </c>
      <c r="B1327" s="104"/>
      <c r="C1327" s="104"/>
      <c r="D1327" s="780" t="s">
        <v>1254</v>
      </c>
      <c r="E1327" s="696">
        <f ca="1">'Verification Report'!O1329</f>
        <v>0</v>
      </c>
    </row>
    <row r="1328" spans="1:5" ht="15.75" hidden="1" customHeight="1" thickBot="1" x14ac:dyDescent="0.4">
      <c r="A1328" s="183"/>
      <c r="B1328" s="223"/>
      <c r="C1328" s="223"/>
      <c r="D1328" s="784"/>
      <c r="E1328" s="695">
        <f>'Verification Report'!O1330</f>
        <v>0</v>
      </c>
    </row>
    <row r="1329" spans="1:5" ht="15.75" hidden="1" customHeight="1" thickTop="1" x14ac:dyDescent="0.35">
      <c r="A1329" s="32">
        <v>705.7</v>
      </c>
      <c r="B1329" s="104"/>
      <c r="C1329" s="104"/>
      <c r="D1329" s="780" t="s">
        <v>1255</v>
      </c>
      <c r="E1329" s="696">
        <f ca="1">'Verification Report'!O1331</f>
        <v>0</v>
      </c>
    </row>
    <row r="1330" spans="1:5" ht="15.75" hidden="1" customHeight="1" x14ac:dyDescent="0.35">
      <c r="A1330" s="4"/>
      <c r="B1330" s="104"/>
      <c r="C1330" s="104"/>
      <c r="D1330" s="780"/>
      <c r="E1330" s="696">
        <f>'Verification Report'!O1332</f>
        <v>0</v>
      </c>
    </row>
    <row r="1331" spans="1:5" ht="15.75" hidden="1" customHeight="1" x14ac:dyDescent="0.35">
      <c r="A1331" s="4"/>
      <c r="B1331" s="104"/>
      <c r="C1331" s="104"/>
      <c r="D1331" s="780"/>
      <c r="E1331" s="696">
        <f>'Verification Report'!O1333</f>
        <v>0</v>
      </c>
    </row>
    <row r="1332" spans="1:5" ht="15.75" hidden="1" customHeight="1" x14ac:dyDescent="0.35">
      <c r="A1332" s="4"/>
      <c r="B1332" s="104"/>
      <c r="C1332" s="104"/>
      <c r="D1332" s="780"/>
      <c r="E1332" s="696">
        <f>'Verification Report'!O1334</f>
        <v>0</v>
      </c>
    </row>
    <row r="1333" spans="1:5" ht="19" hidden="1" thickBot="1" x14ac:dyDescent="0.5">
      <c r="A1333" s="10" t="s">
        <v>1256</v>
      </c>
      <c r="B1333" s="47"/>
      <c r="C1333" s="47"/>
      <c r="D1333" s="47"/>
      <c r="E1333" s="340"/>
    </row>
    <row r="1334" spans="1:5" ht="15" hidden="1" customHeight="1" x14ac:dyDescent="0.35">
      <c r="A1334" s="32">
        <v>706.1</v>
      </c>
      <c r="B1334" s="104"/>
      <c r="C1334" s="104"/>
      <c r="D1334" s="706" t="s">
        <v>1257</v>
      </c>
      <c r="E1334" s="696">
        <f>'Verification Report'!O1336</f>
        <v>1</v>
      </c>
    </row>
    <row r="1335" spans="1:5" ht="15" hidden="1" thickBot="1" x14ac:dyDescent="0.4">
      <c r="A1335" s="4"/>
      <c r="B1335" s="104"/>
      <c r="C1335" s="104"/>
      <c r="D1335" s="706"/>
      <c r="E1335" s="696">
        <f>'Verification Report'!O1337</f>
        <v>0</v>
      </c>
    </row>
    <row r="1336" spans="1:5" ht="15" hidden="1" thickBot="1" x14ac:dyDescent="0.4">
      <c r="A1336" s="4"/>
      <c r="B1336" s="373" t="s">
        <v>270</v>
      </c>
      <c r="C1336" s="214"/>
      <c r="D1336" s="214" t="s">
        <v>1258</v>
      </c>
      <c r="E1336" s="85"/>
    </row>
    <row r="1337" spans="1:5" ht="15" hidden="1" thickBot="1" x14ac:dyDescent="0.4">
      <c r="A1337" s="4"/>
      <c r="B1337" s="384" t="s">
        <v>272</v>
      </c>
      <c r="C1337" s="220"/>
      <c r="D1337" s="220" t="s">
        <v>1259</v>
      </c>
      <c r="E1337" s="85"/>
    </row>
    <row r="1338" spans="1:5" ht="15" hidden="1" thickBot="1" x14ac:dyDescent="0.4">
      <c r="A1338" s="4"/>
      <c r="B1338" s="384" t="s">
        <v>274</v>
      </c>
      <c r="C1338" s="220"/>
      <c r="D1338" s="220" t="s">
        <v>1260</v>
      </c>
      <c r="E1338" s="85"/>
    </row>
    <row r="1339" spans="1:5" ht="15" hidden="1" customHeight="1" x14ac:dyDescent="0.35">
      <c r="A1339" s="4"/>
      <c r="B1339" s="385" t="s">
        <v>283</v>
      </c>
      <c r="C1339" s="320"/>
      <c r="D1339" s="757" t="s">
        <v>1261</v>
      </c>
      <c r="E1339" s="85"/>
    </row>
    <row r="1340" spans="1:5" ht="15.75" hidden="1" customHeight="1" x14ac:dyDescent="0.35">
      <c r="A1340" s="4"/>
      <c r="B1340" s="373"/>
      <c r="C1340" s="214"/>
      <c r="D1340" s="724"/>
      <c r="E1340" s="85"/>
    </row>
    <row r="1341" spans="1:5" ht="15" hidden="1" thickBot="1" x14ac:dyDescent="0.4">
      <c r="A1341" s="183"/>
      <c r="B1341" s="375" t="s">
        <v>289</v>
      </c>
      <c r="C1341" s="223"/>
      <c r="D1341" s="223" t="s">
        <v>1262</v>
      </c>
      <c r="E1341" s="184"/>
    </row>
    <row r="1342" spans="1:5" ht="15.75" hidden="1" customHeight="1" thickTop="1" x14ac:dyDescent="0.35">
      <c r="A1342" s="32">
        <v>706.2</v>
      </c>
      <c r="B1342" s="104"/>
      <c r="C1342" s="104"/>
      <c r="D1342" s="783" t="s">
        <v>1263</v>
      </c>
      <c r="E1342" s="85"/>
    </row>
    <row r="1343" spans="1:5" ht="15" hidden="1" thickBot="1" x14ac:dyDescent="0.4">
      <c r="A1343" s="32"/>
      <c r="B1343" s="104"/>
      <c r="C1343" s="104"/>
      <c r="D1343" s="783"/>
      <c r="E1343" s="85"/>
    </row>
    <row r="1344" spans="1:5" ht="15" hidden="1" customHeight="1" x14ac:dyDescent="0.35">
      <c r="A1344" s="4"/>
      <c r="B1344" s="179" t="s">
        <v>270</v>
      </c>
      <c r="C1344" s="104"/>
      <c r="D1344" s="707" t="s">
        <v>1264</v>
      </c>
      <c r="E1344" s="696">
        <f>'Verification Report'!O1346</f>
        <v>0</v>
      </c>
    </row>
    <row r="1345" spans="1:5" ht="15.75" hidden="1" customHeight="1" x14ac:dyDescent="0.35">
      <c r="A1345" s="4"/>
      <c r="B1345" s="104"/>
      <c r="C1345" s="104"/>
      <c r="D1345" s="707"/>
      <c r="E1345" s="696">
        <f>'Verification Report'!O1347</f>
        <v>0</v>
      </c>
    </row>
    <row r="1346" spans="1:5" ht="15.75" hidden="1" customHeight="1" x14ac:dyDescent="0.35">
      <c r="A1346" s="4"/>
      <c r="B1346" s="214"/>
      <c r="C1346" s="214"/>
      <c r="D1346" s="709"/>
      <c r="E1346" s="696">
        <f>'Verification Report'!O1348</f>
        <v>0</v>
      </c>
    </row>
    <row r="1347" spans="1:5" ht="15" hidden="1" customHeight="1" x14ac:dyDescent="0.35">
      <c r="A1347" s="4"/>
      <c r="B1347" s="179" t="s">
        <v>272</v>
      </c>
      <c r="C1347" s="104"/>
      <c r="D1347" s="707" t="s">
        <v>1265</v>
      </c>
      <c r="E1347" s="696">
        <f ca="1">'Verification Report'!O1349</f>
        <v>0</v>
      </c>
    </row>
    <row r="1348" spans="1:5" ht="15.75" hidden="1" customHeight="1" x14ac:dyDescent="0.35">
      <c r="A1348" s="4"/>
      <c r="B1348" s="104"/>
      <c r="C1348" s="104"/>
      <c r="D1348" s="707"/>
      <c r="E1348" s="696">
        <f>'Verification Report'!O1350</f>
        <v>0</v>
      </c>
    </row>
    <row r="1349" spans="1:5" ht="15.75" hidden="1" customHeight="1" x14ac:dyDescent="0.35">
      <c r="A1349" s="4"/>
      <c r="B1349" s="104"/>
      <c r="C1349" s="104"/>
      <c r="D1349" s="707"/>
      <c r="E1349" s="696">
        <f>'Verification Report'!O1351</f>
        <v>0</v>
      </c>
    </row>
    <row r="1350" spans="1:5" ht="15" hidden="1" customHeight="1" x14ac:dyDescent="0.35">
      <c r="A1350" s="4"/>
      <c r="B1350" s="104"/>
      <c r="C1350" s="175" t="s">
        <v>121</v>
      </c>
      <c r="D1350" s="707" t="s">
        <v>1266</v>
      </c>
      <c r="E1350" s="85"/>
    </row>
    <row r="1351" spans="1:5" ht="15.75" hidden="1" customHeight="1" x14ac:dyDescent="0.35">
      <c r="A1351" s="4"/>
      <c r="B1351" s="104"/>
      <c r="C1351" s="359"/>
      <c r="D1351" s="709"/>
      <c r="E1351" s="85"/>
    </row>
    <row r="1352" spans="1:5" ht="15" hidden="1" customHeight="1" x14ac:dyDescent="0.35">
      <c r="A1352" s="4"/>
      <c r="B1352" s="104"/>
      <c r="C1352" s="175" t="s">
        <v>122</v>
      </c>
      <c r="D1352" s="707" t="s">
        <v>1267</v>
      </c>
      <c r="E1352" s="85"/>
    </row>
    <row r="1353" spans="1:5" ht="15.75" hidden="1" customHeight="1" thickBot="1" x14ac:dyDescent="0.4">
      <c r="A1353" s="183"/>
      <c r="B1353" s="223"/>
      <c r="C1353" s="223"/>
      <c r="D1353" s="708"/>
      <c r="E1353" s="184"/>
    </row>
    <row r="1354" spans="1:5" ht="15.75" hidden="1" customHeight="1" thickTop="1" x14ac:dyDescent="0.35">
      <c r="A1354" s="32">
        <v>706.3</v>
      </c>
      <c r="B1354" s="104"/>
      <c r="C1354" s="104"/>
      <c r="D1354" s="783" t="s">
        <v>1268</v>
      </c>
      <c r="E1354" s="696">
        <f>'Verification Report'!O1356</f>
        <v>0</v>
      </c>
    </row>
    <row r="1355" spans="1:5" ht="15.75" hidden="1" customHeight="1" x14ac:dyDescent="0.35">
      <c r="A1355" s="32"/>
      <c r="B1355" s="104"/>
      <c r="C1355" s="104"/>
      <c r="D1355" s="783"/>
      <c r="E1355" s="696">
        <f>'Verification Report'!O1357</f>
        <v>0</v>
      </c>
    </row>
    <row r="1356" spans="1:5" ht="15.75" hidden="1" customHeight="1" x14ac:dyDescent="0.35">
      <c r="A1356" s="4"/>
      <c r="B1356" s="104"/>
      <c r="C1356" s="104"/>
      <c r="D1356" s="181" t="s">
        <v>1269</v>
      </c>
      <c r="E1356" s="85"/>
    </row>
    <row r="1357" spans="1:5" ht="15.75" hidden="1" customHeight="1" x14ac:dyDescent="0.35">
      <c r="A1357" s="4"/>
      <c r="B1357" s="104"/>
      <c r="C1357" s="104"/>
      <c r="D1357" s="181" t="s">
        <v>1270</v>
      </c>
      <c r="E1357" s="85"/>
    </row>
    <row r="1358" spans="1:5" ht="15" hidden="1" customHeight="1" x14ac:dyDescent="0.35">
      <c r="A1358" s="4"/>
      <c r="C1358" s="182"/>
      <c r="D1358" s="752" t="s">
        <v>1271</v>
      </c>
      <c r="E1358" s="85"/>
    </row>
    <row r="1359" spans="1:5" ht="15.75" hidden="1" customHeight="1" x14ac:dyDescent="0.35">
      <c r="A1359" s="4"/>
      <c r="C1359" s="182"/>
      <c r="D1359" s="752"/>
      <c r="E1359" s="85"/>
    </row>
    <row r="1360" spans="1:5" ht="15" hidden="1" customHeight="1" x14ac:dyDescent="0.35">
      <c r="A1360" s="4"/>
      <c r="B1360" s="104"/>
      <c r="D1360" s="752" t="s">
        <v>1272</v>
      </c>
      <c r="E1360" s="85"/>
    </row>
    <row r="1361" spans="1:5" ht="15.75" hidden="1" customHeight="1" x14ac:dyDescent="0.35">
      <c r="A1361" s="4"/>
      <c r="B1361" s="104"/>
      <c r="D1361" s="752"/>
      <c r="E1361" s="85"/>
    </row>
    <row r="1362" spans="1:5" ht="15" hidden="1" thickBot="1" x14ac:dyDescent="0.4">
      <c r="A1362" s="4"/>
      <c r="B1362" s="373" t="s">
        <v>270</v>
      </c>
      <c r="C1362" s="214"/>
      <c r="D1362" s="214" t="s">
        <v>1135</v>
      </c>
      <c r="E1362" s="85"/>
    </row>
    <row r="1363" spans="1:5" ht="15" hidden="1" thickBot="1" x14ac:dyDescent="0.4">
      <c r="A1363" s="4"/>
      <c r="B1363" s="384" t="s">
        <v>272</v>
      </c>
      <c r="C1363" s="220"/>
      <c r="D1363" s="220" t="s">
        <v>1273</v>
      </c>
      <c r="E1363" s="85"/>
    </row>
    <row r="1364" spans="1:5" ht="15" hidden="1" thickBot="1" x14ac:dyDescent="0.4">
      <c r="A1364" s="4"/>
      <c r="B1364" s="384" t="s">
        <v>274</v>
      </c>
      <c r="C1364" s="220"/>
      <c r="D1364" s="220" t="s">
        <v>1136</v>
      </c>
      <c r="E1364" s="85"/>
    </row>
    <row r="1365" spans="1:5" ht="15" hidden="1" thickBot="1" x14ac:dyDescent="0.4">
      <c r="A1365" s="4"/>
      <c r="B1365" s="384" t="s">
        <v>283</v>
      </c>
      <c r="C1365" s="220"/>
      <c r="D1365" s="220" t="s">
        <v>1274</v>
      </c>
      <c r="E1365" s="85"/>
    </row>
    <row r="1366" spans="1:5" ht="15" hidden="1" thickBot="1" x14ac:dyDescent="0.4">
      <c r="A1366" s="4"/>
      <c r="B1366" s="384" t="s">
        <v>289</v>
      </c>
      <c r="C1366" s="220"/>
      <c r="D1366" s="220" t="s">
        <v>1275</v>
      </c>
      <c r="E1366" s="85"/>
    </row>
    <row r="1367" spans="1:5" ht="15" hidden="1" thickBot="1" x14ac:dyDescent="0.4">
      <c r="A1367" s="4"/>
      <c r="B1367" s="384" t="s">
        <v>291</v>
      </c>
      <c r="C1367" s="220"/>
      <c r="D1367" s="220" t="s">
        <v>1276</v>
      </c>
      <c r="E1367" s="85"/>
    </row>
    <row r="1368" spans="1:5" ht="15" hidden="1" thickBot="1" x14ac:dyDescent="0.4">
      <c r="A1368" s="4"/>
      <c r="B1368" s="384" t="s">
        <v>403</v>
      </c>
      <c r="C1368" s="220"/>
      <c r="D1368" s="220" t="s">
        <v>1277</v>
      </c>
      <c r="E1368" s="85"/>
    </row>
    <row r="1369" spans="1:5" ht="15" hidden="1" thickBot="1" x14ac:dyDescent="0.4">
      <c r="A1369" s="183"/>
      <c r="B1369" s="375" t="s">
        <v>453</v>
      </c>
      <c r="C1369" s="223"/>
      <c r="D1369" s="223" t="s">
        <v>1278</v>
      </c>
      <c r="E1369" s="184"/>
    </row>
    <row r="1370" spans="1:5" ht="15" hidden="1" thickBot="1" x14ac:dyDescent="0.4">
      <c r="A1370" s="32">
        <v>706.4</v>
      </c>
      <c r="B1370" s="104"/>
      <c r="C1370" s="104"/>
      <c r="D1370" s="110" t="s">
        <v>1279</v>
      </c>
      <c r="E1370" s="85"/>
    </row>
    <row r="1371" spans="1:5" ht="15" hidden="1" thickBot="1" x14ac:dyDescent="0.4">
      <c r="A1371" s="32" t="s">
        <v>1280</v>
      </c>
      <c r="B1371" s="104"/>
      <c r="C1371" s="104"/>
      <c r="D1371" s="110" t="s">
        <v>1281</v>
      </c>
      <c r="E1371" s="85"/>
    </row>
    <row r="1372" spans="1:5" ht="15" hidden="1" customHeight="1" x14ac:dyDescent="0.35">
      <c r="A1372" s="4"/>
      <c r="B1372" s="179" t="s">
        <v>270</v>
      </c>
      <c r="C1372" s="104"/>
      <c r="D1372" s="707" t="s">
        <v>1282</v>
      </c>
      <c r="E1372" s="696">
        <f>'Verification Report'!O1374</f>
        <v>0</v>
      </c>
    </row>
    <row r="1373" spans="1:5" ht="15.75" hidden="1" customHeight="1" x14ac:dyDescent="0.35">
      <c r="A1373" s="4"/>
      <c r="B1373" s="373"/>
      <c r="C1373" s="214"/>
      <c r="D1373" s="709"/>
      <c r="E1373" s="697">
        <f>'Verification Report'!O1375</f>
        <v>0</v>
      </c>
    </row>
    <row r="1374" spans="1:5" ht="15" hidden="1" customHeight="1" x14ac:dyDescent="0.35">
      <c r="A1374" s="4"/>
      <c r="B1374" s="179" t="s">
        <v>272</v>
      </c>
      <c r="C1374" s="104"/>
      <c r="D1374" s="707" t="s">
        <v>1283</v>
      </c>
      <c r="E1374" s="696">
        <f>'Verification Report'!O1376</f>
        <v>0</v>
      </c>
    </row>
    <row r="1375" spans="1:5" ht="15.75" hidden="1" customHeight="1" x14ac:dyDescent="0.35">
      <c r="A1375" s="155"/>
      <c r="B1375" s="214"/>
      <c r="C1375" s="214"/>
      <c r="D1375" s="709"/>
      <c r="E1375" s="697">
        <f>'Verification Report'!O1377</f>
        <v>0</v>
      </c>
    </row>
    <row r="1376" spans="1:5" ht="15" hidden="1" customHeight="1" x14ac:dyDescent="0.35">
      <c r="A1376" s="135" t="s">
        <v>1284</v>
      </c>
      <c r="B1376" s="320"/>
      <c r="C1376" s="320"/>
      <c r="D1376" s="753" t="s">
        <v>1285</v>
      </c>
      <c r="E1376" s="713">
        <f>'Verification Report'!O1378</f>
        <v>0</v>
      </c>
    </row>
    <row r="1377" spans="1:5" ht="15.75" hidden="1" customHeight="1" thickBot="1" x14ac:dyDescent="0.4">
      <c r="A1377" s="183"/>
      <c r="B1377" s="223"/>
      <c r="C1377" s="223"/>
      <c r="D1377" s="710"/>
      <c r="E1377" s="695">
        <f>'Verification Report'!O1379</f>
        <v>0</v>
      </c>
    </row>
    <row r="1378" spans="1:5" ht="15.75" hidden="1" customHeight="1" thickTop="1" x14ac:dyDescent="0.35">
      <c r="A1378" s="123">
        <v>706.5</v>
      </c>
      <c r="B1378" s="349"/>
      <c r="C1378" s="349"/>
      <c r="D1378" s="711" t="s">
        <v>1286</v>
      </c>
      <c r="E1378" s="694">
        <f>'Verification Report'!O1380</f>
        <v>0</v>
      </c>
    </row>
    <row r="1379" spans="1:5" ht="15.75" hidden="1" customHeight="1" x14ac:dyDescent="0.35">
      <c r="A1379" s="4"/>
      <c r="B1379" s="104"/>
      <c r="C1379" s="104"/>
      <c r="D1379" s="706"/>
      <c r="E1379" s="696">
        <f>'Verification Report'!O1381</f>
        <v>0</v>
      </c>
    </row>
    <row r="1380" spans="1:5" ht="15.75" hidden="1" customHeight="1" x14ac:dyDescent="0.35">
      <c r="A1380" s="4"/>
      <c r="B1380" s="104"/>
      <c r="C1380" s="104"/>
      <c r="D1380" s="706"/>
      <c r="E1380" s="696">
        <f>'Verification Report'!O1382</f>
        <v>0</v>
      </c>
    </row>
    <row r="1381" spans="1:5" ht="15.75" hidden="1" customHeight="1" x14ac:dyDescent="0.35">
      <c r="A1381" s="4"/>
      <c r="B1381" s="104"/>
      <c r="C1381" s="104"/>
      <c r="D1381" s="706"/>
      <c r="E1381" s="696">
        <f>'Verification Report'!O1383</f>
        <v>0</v>
      </c>
    </row>
    <row r="1382" spans="1:5" ht="15" hidden="1" customHeight="1" x14ac:dyDescent="0.35">
      <c r="A1382" s="4"/>
      <c r="B1382" s="104"/>
      <c r="C1382" s="104"/>
      <c r="D1382" s="752" t="s">
        <v>1287</v>
      </c>
      <c r="E1382" s="85"/>
    </row>
    <row r="1383" spans="1:5" ht="15.75" hidden="1" customHeight="1" x14ac:dyDescent="0.35">
      <c r="A1383" s="4"/>
      <c r="B1383" s="104"/>
      <c r="C1383" s="104"/>
      <c r="D1383" s="752"/>
      <c r="E1383" s="85"/>
    </row>
    <row r="1384" spans="1:5" ht="15.75" hidden="1" customHeight="1" x14ac:dyDescent="0.35">
      <c r="A1384" s="4"/>
      <c r="B1384" s="104"/>
      <c r="C1384" s="104"/>
      <c r="D1384" s="752"/>
      <c r="E1384" s="85"/>
    </row>
    <row r="1385" spans="1:5" ht="15" hidden="1" customHeight="1" x14ac:dyDescent="0.35">
      <c r="A1385" s="4"/>
      <c r="B1385" s="104"/>
      <c r="C1385" s="104"/>
      <c r="D1385" s="752" t="s">
        <v>1288</v>
      </c>
      <c r="E1385" s="85"/>
    </row>
    <row r="1386" spans="1:5" ht="15.75" hidden="1" customHeight="1" thickBot="1" x14ac:dyDescent="0.4">
      <c r="A1386" s="183"/>
      <c r="B1386" s="223"/>
      <c r="C1386" s="223"/>
      <c r="D1386" s="779"/>
      <c r="E1386" s="184"/>
    </row>
    <row r="1387" spans="1:5" ht="15.75" hidden="1" customHeight="1" thickTop="1" x14ac:dyDescent="0.35">
      <c r="A1387" s="123">
        <v>706.6</v>
      </c>
      <c r="B1387" s="349"/>
      <c r="C1387" s="349"/>
      <c r="D1387" s="711" t="s">
        <v>1289</v>
      </c>
      <c r="E1387" s="694">
        <f ca="1">'Verification Report'!O1389</f>
        <v>0</v>
      </c>
    </row>
    <row r="1388" spans="1:5" ht="15.75" hidden="1" customHeight="1" thickBot="1" x14ac:dyDescent="0.4">
      <c r="A1388" s="183"/>
      <c r="B1388" s="223"/>
      <c r="C1388" s="223"/>
      <c r="D1388" s="710"/>
      <c r="E1388" s="695">
        <f>'Verification Report'!O1390</f>
        <v>0</v>
      </c>
    </row>
    <row r="1389" spans="1:5" ht="15.75" hidden="1" customHeight="1" thickTop="1" x14ac:dyDescent="0.35">
      <c r="A1389" s="32">
        <v>706.7</v>
      </c>
      <c r="B1389" s="104"/>
      <c r="C1389" s="104"/>
      <c r="D1389" s="706" t="s">
        <v>1290</v>
      </c>
      <c r="E1389" s="85"/>
    </row>
    <row r="1390" spans="1:5" ht="15" hidden="1" thickBot="1" x14ac:dyDescent="0.4">
      <c r="A1390" s="4"/>
      <c r="B1390" s="104"/>
      <c r="C1390" s="104"/>
      <c r="D1390" s="706"/>
      <c r="E1390" s="85"/>
    </row>
    <row r="1391" spans="1:5" ht="15" hidden="1" thickBot="1" x14ac:dyDescent="0.4">
      <c r="A1391" s="4"/>
      <c r="B1391" s="373" t="s">
        <v>270</v>
      </c>
      <c r="C1391" s="214"/>
      <c r="D1391" s="214" t="s">
        <v>1291</v>
      </c>
      <c r="E1391" s="342">
        <f>'Verification Report'!O1393</f>
        <v>0</v>
      </c>
    </row>
    <row r="1392" spans="1:5" ht="15.75" hidden="1" customHeight="1" x14ac:dyDescent="0.35">
      <c r="A1392" s="4"/>
      <c r="B1392" s="179" t="s">
        <v>272</v>
      </c>
      <c r="C1392" s="104"/>
      <c r="D1392" s="104" t="s">
        <v>1292</v>
      </c>
      <c r="E1392" s="85">
        <f>'Verification Report'!O1394</f>
        <v>0</v>
      </c>
    </row>
    <row r="1393" spans="1:5" ht="15" hidden="1" customHeight="1" x14ac:dyDescent="0.35">
      <c r="A1393" s="4"/>
      <c r="B1393" s="104"/>
      <c r="C1393" s="104"/>
      <c r="D1393" s="706" t="s">
        <v>1293</v>
      </c>
      <c r="E1393" s="85"/>
    </row>
    <row r="1394" spans="1:5" ht="15.75" hidden="1" customHeight="1" thickBot="1" x14ac:dyDescent="0.4">
      <c r="A1394" s="183"/>
      <c r="B1394" s="223"/>
      <c r="C1394" s="223"/>
      <c r="D1394" s="710"/>
      <c r="E1394" s="184"/>
    </row>
    <row r="1395" spans="1:5" ht="15.75" hidden="1" customHeight="1" thickTop="1" x14ac:dyDescent="0.35">
      <c r="A1395" s="123">
        <v>706.8</v>
      </c>
      <c r="B1395" s="349"/>
      <c r="C1395" s="349"/>
      <c r="D1395" s="711" t="s">
        <v>1294</v>
      </c>
      <c r="E1395" s="694">
        <f>'Verification Report'!O1397</f>
        <v>0</v>
      </c>
    </row>
    <row r="1396" spans="1:5" ht="15.75" hidden="1" customHeight="1" x14ac:dyDescent="0.35">
      <c r="A1396" s="4"/>
      <c r="B1396" s="104"/>
      <c r="C1396" s="104"/>
      <c r="D1396" s="706"/>
      <c r="E1396" s="696">
        <f>'Verification Report'!O1398</f>
        <v>0</v>
      </c>
    </row>
    <row r="1397" spans="1:5" ht="15.75" hidden="1" customHeight="1" thickBot="1" x14ac:dyDescent="0.4">
      <c r="A1397" s="183"/>
      <c r="B1397" s="223"/>
      <c r="C1397" s="223"/>
      <c r="D1397" s="710"/>
      <c r="E1397" s="695">
        <f>'Verification Report'!O1399</f>
        <v>0</v>
      </c>
    </row>
    <row r="1398" spans="1:5" ht="15.75" hidden="1" customHeight="1" thickTop="1" x14ac:dyDescent="0.35">
      <c r="A1398" s="32">
        <v>706.9</v>
      </c>
      <c r="B1398" s="104"/>
      <c r="C1398" s="104"/>
      <c r="D1398" s="706" t="s">
        <v>1295</v>
      </c>
      <c r="E1398" s="696">
        <f>'Verification Report'!O1400</f>
        <v>0</v>
      </c>
    </row>
    <row r="1399" spans="1:5" ht="15.75" hidden="1" customHeight="1" x14ac:dyDescent="0.35">
      <c r="A1399" s="4"/>
      <c r="B1399" s="104"/>
      <c r="C1399" s="104"/>
      <c r="D1399" s="706"/>
      <c r="E1399" s="696">
        <f>'Verification Report'!O1401</f>
        <v>0</v>
      </c>
    </row>
    <row r="1400" spans="1:5" ht="15.75" hidden="1" customHeight="1" x14ac:dyDescent="0.35">
      <c r="A1400" s="4"/>
      <c r="B1400" s="104"/>
      <c r="C1400" s="104"/>
      <c r="D1400" s="706"/>
      <c r="E1400" s="696">
        <f>'Verification Report'!O1402</f>
        <v>0</v>
      </c>
    </row>
    <row r="1401" spans="1:5" ht="15" hidden="1" customHeight="1" x14ac:dyDescent="0.35">
      <c r="A1401" s="4"/>
      <c r="B1401" s="104"/>
      <c r="C1401" s="104"/>
      <c r="D1401" s="706" t="s">
        <v>1296</v>
      </c>
      <c r="E1401" s="44"/>
    </row>
    <row r="1402" spans="1:5" ht="15.75" hidden="1" customHeight="1" x14ac:dyDescent="0.35">
      <c r="A1402" s="4"/>
      <c r="B1402" s="104"/>
      <c r="C1402" s="104"/>
      <c r="D1402" s="706"/>
      <c r="E1402" s="44"/>
    </row>
    <row r="1403" spans="1:5" ht="19" hidden="1" thickBot="1" x14ac:dyDescent="0.5">
      <c r="A1403" s="14" t="s">
        <v>841</v>
      </c>
      <c r="B1403" s="14"/>
      <c r="C1403" s="14"/>
      <c r="D1403" s="15"/>
      <c r="E1403" s="16"/>
    </row>
    <row r="1404" spans="1:5" ht="15" hidden="1" thickBot="1" x14ac:dyDescent="0.4">
      <c r="A1404" s="271" t="s">
        <v>842</v>
      </c>
      <c r="B1404" s="183"/>
      <c r="C1404" s="183"/>
      <c r="D1404" s="272" t="s">
        <v>843</v>
      </c>
      <c r="E1404" s="80"/>
    </row>
    <row r="1405" spans="1:5" ht="15.75" hidden="1" customHeight="1" thickTop="1" x14ac:dyDescent="0.35">
      <c r="A1405" s="32">
        <v>801.1</v>
      </c>
      <c r="B1405" s="4"/>
      <c r="C1405" s="4"/>
      <c r="D1405" s="706" t="s">
        <v>844</v>
      </c>
      <c r="E1405" s="696">
        <f ca="1">'Verification Report'!O1407</f>
        <v>0</v>
      </c>
    </row>
    <row r="1406" spans="1:5" ht="15" hidden="1" thickBot="1" x14ac:dyDescent="0.4">
      <c r="A1406" s="32"/>
      <c r="B1406" s="4"/>
      <c r="C1406" s="4"/>
      <c r="D1406" s="706"/>
      <c r="E1406" s="696">
        <f>'Verification Report'!O1408</f>
        <v>0</v>
      </c>
    </row>
    <row r="1407" spans="1:5" ht="15" hidden="1" thickBot="1" x14ac:dyDescent="0.4">
      <c r="A1407" s="32"/>
      <c r="B1407" s="4"/>
      <c r="C1407" s="4"/>
      <c r="D1407" s="706"/>
      <c r="E1407" s="696">
        <f>'Verification Report'!O1409</f>
        <v>0</v>
      </c>
    </row>
    <row r="1408" spans="1:5" ht="15" hidden="1" thickBot="1" x14ac:dyDescent="0.4">
      <c r="A1408" s="32"/>
      <c r="B1408" s="4"/>
      <c r="C1408" s="4"/>
      <c r="D1408" s="706"/>
      <c r="E1408" s="696">
        <f>'Verification Report'!O1410</f>
        <v>0</v>
      </c>
    </row>
    <row r="1409" spans="1:5" ht="15" hidden="1" thickBot="1" x14ac:dyDescent="0.4">
      <c r="A1409" s="32"/>
      <c r="B1409" s="4"/>
      <c r="C1409" s="4"/>
      <c r="D1409" s="706"/>
      <c r="E1409" s="696">
        <f>'Verification Report'!O1411</f>
        <v>0</v>
      </c>
    </row>
    <row r="1410" spans="1:5" ht="15" hidden="1" customHeight="1" x14ac:dyDescent="0.35">
      <c r="A1410" s="32"/>
      <c r="B1410" s="4"/>
      <c r="C1410" s="4"/>
      <c r="D1410" s="791" t="s">
        <v>845</v>
      </c>
      <c r="E1410" s="85"/>
    </row>
    <row r="1411" spans="1:5" ht="15" hidden="1" thickBot="1" x14ac:dyDescent="0.4">
      <c r="A1411" s="32"/>
      <c r="B1411" s="4"/>
      <c r="C1411" s="4"/>
      <c r="D1411" s="791"/>
      <c r="E1411" s="85"/>
    </row>
    <row r="1412" spans="1:5" ht="15" hidden="1" thickBot="1" x14ac:dyDescent="0.4">
      <c r="A1412" s="32"/>
      <c r="B1412" s="4"/>
      <c r="C1412" s="4"/>
      <c r="D1412" s="791"/>
      <c r="E1412" s="85"/>
    </row>
    <row r="1413" spans="1:5" ht="15" hidden="1" customHeight="1" x14ac:dyDescent="0.35">
      <c r="A1413" s="32"/>
      <c r="B1413" s="4"/>
      <c r="C1413" s="4"/>
      <c r="D1413" s="791" t="s">
        <v>846</v>
      </c>
      <c r="E1413" s="85"/>
    </row>
    <row r="1414" spans="1:5" ht="15" hidden="1" thickBot="1" x14ac:dyDescent="0.4">
      <c r="A1414" s="32"/>
      <c r="B1414" s="4"/>
      <c r="C1414" s="4"/>
      <c r="D1414" s="791"/>
      <c r="E1414" s="85"/>
    </row>
    <row r="1415" spans="1:5" ht="15" hidden="1" thickBot="1" x14ac:dyDescent="0.4">
      <c r="A1415" s="32"/>
      <c r="B1415" s="4"/>
      <c r="C1415" s="4"/>
      <c r="D1415" s="791"/>
      <c r="E1415" s="85"/>
    </row>
    <row r="1416" spans="1:5" ht="15" hidden="1" thickBot="1" x14ac:dyDescent="0.4">
      <c r="A1416" s="32"/>
      <c r="B1416" s="4"/>
      <c r="C1416" s="4"/>
      <c r="D1416" s="105" t="s">
        <v>847</v>
      </c>
      <c r="E1416" s="85"/>
    </row>
    <row r="1417" spans="1:5" ht="15" hidden="1" thickBot="1" x14ac:dyDescent="0.4">
      <c r="A1417" s="32"/>
      <c r="B1417" s="4"/>
      <c r="C1417" s="4"/>
      <c r="D1417" t="s">
        <v>3779</v>
      </c>
      <c r="E1417" s="85"/>
    </row>
    <row r="1418" spans="1:5" ht="15" hidden="1" thickBot="1" x14ac:dyDescent="0.4">
      <c r="A1418" s="32"/>
      <c r="B1418" s="4"/>
      <c r="C1418" s="4"/>
      <c r="D1418" t="s">
        <v>3780</v>
      </c>
      <c r="E1418" s="85"/>
    </row>
    <row r="1419" spans="1:5" ht="15" hidden="1" customHeight="1" x14ac:dyDescent="0.35">
      <c r="A1419" s="32"/>
      <c r="B1419" s="19" t="s">
        <v>270</v>
      </c>
      <c r="C1419" s="4"/>
      <c r="D1419" s="707" t="s">
        <v>848</v>
      </c>
      <c r="E1419" s="85"/>
    </row>
    <row r="1420" spans="1:5" ht="15.75" hidden="1" customHeight="1" x14ac:dyDescent="0.35">
      <c r="A1420" s="32"/>
      <c r="B1420" s="148"/>
      <c r="C1420" s="155"/>
      <c r="D1420" s="709"/>
      <c r="E1420" s="85"/>
    </row>
    <row r="1421" spans="1:5" ht="15" hidden="1" customHeight="1" x14ac:dyDescent="0.35">
      <c r="A1421" s="32"/>
      <c r="B1421" s="19" t="s">
        <v>272</v>
      </c>
      <c r="C1421" s="4"/>
      <c r="D1421" s="707" t="s">
        <v>849</v>
      </c>
      <c r="E1421" s="85"/>
    </row>
    <row r="1422" spans="1:5" ht="15.75" hidden="1" customHeight="1" x14ac:dyDescent="0.35">
      <c r="A1422" s="32"/>
      <c r="B1422" s="148"/>
      <c r="C1422" s="155"/>
      <c r="D1422" s="709"/>
      <c r="E1422" s="85"/>
    </row>
    <row r="1423" spans="1:5" ht="15" hidden="1" customHeight="1" x14ac:dyDescent="0.35">
      <c r="A1423" s="32"/>
      <c r="B1423" s="19" t="s">
        <v>274</v>
      </c>
      <c r="C1423" s="4"/>
      <c r="D1423" s="707" t="s">
        <v>850</v>
      </c>
      <c r="E1423" s="85"/>
    </row>
    <row r="1424" spans="1:5" ht="15.75" hidden="1" customHeight="1" x14ac:dyDescent="0.35">
      <c r="A1424" s="32"/>
      <c r="B1424" s="148"/>
      <c r="C1424" s="155"/>
      <c r="D1424" s="709"/>
      <c r="E1424" s="85"/>
    </row>
    <row r="1425" spans="1:5" ht="15" hidden="1" customHeight="1" x14ac:dyDescent="0.35">
      <c r="A1425" s="32"/>
      <c r="B1425" s="19" t="s">
        <v>283</v>
      </c>
      <c r="C1425" s="4"/>
      <c r="D1425" s="707" t="s">
        <v>851</v>
      </c>
      <c r="E1425" s="85"/>
    </row>
    <row r="1426" spans="1:5" ht="15.75" hidden="1" customHeight="1" x14ac:dyDescent="0.35">
      <c r="A1426" s="32"/>
      <c r="B1426" s="4"/>
      <c r="C1426" s="4"/>
      <c r="D1426" s="707"/>
      <c r="E1426" s="85"/>
    </row>
    <row r="1427" spans="1:5" ht="15.75" hidden="1" customHeight="1" x14ac:dyDescent="0.35">
      <c r="A1427" s="32"/>
      <c r="B1427" s="4"/>
      <c r="C1427" s="4"/>
      <c r="D1427" s="707"/>
      <c r="E1427" s="85"/>
    </row>
    <row r="1428" spans="1:5" ht="15" hidden="1" customHeight="1" x14ac:dyDescent="0.35">
      <c r="A1428" s="4"/>
      <c r="B1428" s="4"/>
      <c r="C1428" s="19" t="s">
        <v>121</v>
      </c>
      <c r="D1428" s="707" t="s">
        <v>852</v>
      </c>
      <c r="E1428" s="85"/>
    </row>
    <row r="1429" spans="1:5" ht="15.75" hidden="1" customHeight="1" x14ac:dyDescent="0.35">
      <c r="A1429" s="32"/>
      <c r="B1429" s="155"/>
      <c r="C1429" s="155"/>
      <c r="D1429" s="709"/>
      <c r="E1429" s="85"/>
    </row>
    <row r="1430" spans="1:5" ht="15" hidden="1" customHeight="1" x14ac:dyDescent="0.35">
      <c r="A1430" s="32"/>
      <c r="B1430" s="19" t="s">
        <v>289</v>
      </c>
      <c r="C1430" s="4"/>
      <c r="D1430" s="707" t="s">
        <v>854</v>
      </c>
      <c r="E1430" s="85"/>
    </row>
    <row r="1431" spans="1:5" ht="15.75" hidden="1" customHeight="1" x14ac:dyDescent="0.35">
      <c r="A1431" s="32"/>
      <c r="B1431" s="4"/>
      <c r="C1431" s="4"/>
      <c r="D1431" s="707"/>
      <c r="E1431" s="85"/>
    </row>
    <row r="1432" spans="1:5" ht="15.75" hidden="1" customHeight="1" x14ac:dyDescent="0.35">
      <c r="A1432" s="32"/>
      <c r="B1432" s="4"/>
      <c r="C1432" s="4"/>
      <c r="D1432" s="707"/>
      <c r="E1432" s="85"/>
    </row>
    <row r="1433" spans="1:5" ht="15.75" hidden="1" customHeight="1" x14ac:dyDescent="0.35">
      <c r="A1433" s="32"/>
      <c r="B1433" s="4"/>
      <c r="C1433" s="4"/>
      <c r="D1433" s="707"/>
      <c r="E1433" s="85"/>
    </row>
    <row r="1434" spans="1:5" ht="15.75" hidden="1" customHeight="1" x14ac:dyDescent="0.35">
      <c r="A1434" s="32"/>
      <c r="B1434" s="155"/>
      <c r="C1434" s="155"/>
      <c r="D1434" s="709"/>
      <c r="E1434" s="342"/>
    </row>
    <row r="1435" spans="1:5" ht="15" hidden="1" customHeight="1" x14ac:dyDescent="0.35">
      <c r="A1435" s="32"/>
      <c r="B1435" s="19" t="s">
        <v>291</v>
      </c>
      <c r="C1435" s="4"/>
      <c r="D1435" s="707" t="s">
        <v>855</v>
      </c>
      <c r="E1435" s="696">
        <f>'Verification Report'!O1437</f>
        <v>0</v>
      </c>
    </row>
    <row r="1436" spans="1:5" ht="15.75" hidden="1" customHeight="1" x14ac:dyDescent="0.35">
      <c r="A1436" s="32"/>
      <c r="B1436" s="4"/>
      <c r="C1436" s="4"/>
      <c r="D1436" s="707"/>
      <c r="E1436" s="696">
        <f>'Verification Report'!O1438</f>
        <v>0</v>
      </c>
    </row>
    <row r="1437" spans="1:5" ht="15.75" hidden="1" customHeight="1" thickBot="1" x14ac:dyDescent="0.4">
      <c r="A1437" s="132"/>
      <c r="B1437" s="183"/>
      <c r="C1437" s="183"/>
      <c r="D1437" s="708"/>
      <c r="E1437" s="695">
        <f>'Verification Report'!O1439</f>
        <v>0</v>
      </c>
    </row>
    <row r="1438" spans="1:5" ht="15.75" hidden="1" customHeight="1" thickTop="1" x14ac:dyDescent="0.35">
      <c r="A1438" s="32">
        <v>801.2</v>
      </c>
      <c r="B1438" s="4"/>
      <c r="C1438" s="4"/>
      <c r="D1438" s="706" t="s">
        <v>856</v>
      </c>
      <c r="E1438" s="85"/>
    </row>
    <row r="1439" spans="1:5" ht="15" hidden="1" thickBot="1" x14ac:dyDescent="0.4">
      <c r="A1439" s="32"/>
      <c r="B1439" s="4"/>
      <c r="C1439" s="4"/>
      <c r="D1439" s="706"/>
      <c r="E1439" s="85"/>
    </row>
    <row r="1440" spans="1:5" ht="15" hidden="1" thickBot="1" x14ac:dyDescent="0.4">
      <c r="A1440" s="32"/>
      <c r="B1440" s="148" t="s">
        <v>270</v>
      </c>
      <c r="C1440" s="155"/>
      <c r="D1440" s="214" t="s">
        <v>857</v>
      </c>
      <c r="E1440" s="342">
        <f>'Verification Report'!O1442</f>
        <v>2</v>
      </c>
    </row>
    <row r="1441" spans="1:5" ht="15.75" hidden="1" customHeight="1" x14ac:dyDescent="0.35">
      <c r="A1441" s="32"/>
      <c r="B1441" s="148" t="s">
        <v>272</v>
      </c>
      <c r="C1441" s="155"/>
      <c r="D1441" s="214" t="s">
        <v>858</v>
      </c>
      <c r="E1441" s="696">
        <f ca="1">'Verification Report'!O1443</f>
        <v>0</v>
      </c>
    </row>
    <row r="1442" spans="1:5" ht="15.75" hidden="1" customHeight="1" x14ac:dyDescent="0.35">
      <c r="A1442" s="32"/>
      <c r="B1442" s="19" t="s">
        <v>274</v>
      </c>
      <c r="C1442" s="4"/>
      <c r="D1442" s="104" t="s">
        <v>859</v>
      </c>
      <c r="E1442" s="696">
        <f>'Verification Report'!O1444</f>
        <v>0</v>
      </c>
    </row>
    <row r="1443" spans="1:5" ht="15" hidden="1" customHeight="1" x14ac:dyDescent="0.35">
      <c r="A1443" s="32"/>
      <c r="B1443" s="19"/>
      <c r="C1443" s="4"/>
      <c r="D1443" s="744" t="s">
        <v>3824</v>
      </c>
      <c r="E1443" s="85"/>
    </row>
    <row r="1444" spans="1:5" ht="15.75" hidden="1" customHeight="1" x14ac:dyDescent="0.35">
      <c r="A1444" s="32"/>
      <c r="B1444" s="19"/>
      <c r="C1444" s="4"/>
      <c r="D1444" s="754"/>
      <c r="E1444" s="85"/>
    </row>
    <row r="1445" spans="1:5" ht="15" hidden="1" customHeight="1" x14ac:dyDescent="0.35">
      <c r="A1445" s="32"/>
      <c r="D1445" s="714" t="s">
        <v>3825</v>
      </c>
      <c r="E1445" s="85"/>
    </row>
    <row r="1446" spans="1:5" ht="15.75" hidden="1" customHeight="1" thickBot="1" x14ac:dyDescent="0.4">
      <c r="A1446" s="132"/>
      <c r="B1446" s="58"/>
      <c r="C1446" s="58"/>
      <c r="D1446" s="788"/>
      <c r="E1446" s="184"/>
    </row>
    <row r="1447" spans="1:5" ht="15" hidden="1" thickBot="1" x14ac:dyDescent="0.4">
      <c r="A1447" s="32">
        <v>801.3</v>
      </c>
      <c r="B1447" s="4"/>
      <c r="C1447" s="4"/>
      <c r="D1447" s="110" t="s">
        <v>860</v>
      </c>
      <c r="E1447" s="85"/>
    </row>
    <row r="1448" spans="1:5" ht="15" hidden="1" customHeight="1" x14ac:dyDescent="0.35">
      <c r="A1448" s="32"/>
      <c r="B1448" s="19" t="s">
        <v>270</v>
      </c>
      <c r="C1448" s="4"/>
      <c r="D1448" s="707" t="s">
        <v>862</v>
      </c>
      <c r="E1448" s="696">
        <f ca="1">'Verification Report'!O1450</f>
        <v>5</v>
      </c>
    </row>
    <row r="1449" spans="1:5" ht="15.75" hidden="1" customHeight="1" x14ac:dyDescent="0.35">
      <c r="A1449" s="32"/>
      <c r="B1449" s="4"/>
      <c r="C1449" s="4"/>
      <c r="D1449" s="707"/>
      <c r="E1449" s="696">
        <f>'Verification Report'!O1451</f>
        <v>0</v>
      </c>
    </row>
    <row r="1450" spans="1:5" ht="15" hidden="1" customHeight="1" x14ac:dyDescent="0.35">
      <c r="A1450" s="32"/>
      <c r="B1450" s="4"/>
      <c r="C1450" s="4"/>
      <c r="D1450" s="707"/>
      <c r="E1450" s="696">
        <f>'Verification Report'!O1452</f>
        <v>0</v>
      </c>
    </row>
    <row r="1451" spans="1:5" ht="15.75" hidden="1" customHeight="1" x14ac:dyDescent="0.35">
      <c r="A1451" s="32"/>
      <c r="B1451" s="4"/>
      <c r="C1451" s="4"/>
      <c r="D1451" s="707"/>
      <c r="E1451" s="696">
        <f>'Verification Report'!O1453</f>
        <v>0</v>
      </c>
    </row>
    <row r="1452" spans="1:5" ht="15.75" hidden="1" customHeight="1" x14ac:dyDescent="0.35">
      <c r="A1452" s="32"/>
      <c r="B1452" s="4"/>
      <c r="C1452" s="4"/>
      <c r="D1452" s="707"/>
      <c r="E1452" s="696">
        <f>'Verification Report'!O1454</f>
        <v>0</v>
      </c>
    </row>
    <row r="1453" spans="1:5" ht="15.75" hidden="1" customHeight="1" x14ac:dyDescent="0.35">
      <c r="A1453" s="32"/>
      <c r="B1453" s="4"/>
      <c r="C1453" s="4"/>
      <c r="D1453" s="707"/>
      <c r="E1453" s="696">
        <f>'Verification Report'!O1455</f>
        <v>0</v>
      </c>
    </row>
    <row r="1454" spans="1:5" ht="15" hidden="1" customHeight="1" x14ac:dyDescent="0.35">
      <c r="A1454" s="32"/>
      <c r="B1454" s="4"/>
      <c r="C1454" s="4"/>
      <c r="D1454" s="752" t="s">
        <v>864</v>
      </c>
      <c r="E1454" s="85"/>
    </row>
    <row r="1455" spans="1:5" ht="15.75" hidden="1" customHeight="1" x14ac:dyDescent="0.35">
      <c r="A1455" s="32"/>
      <c r="B1455" s="4"/>
      <c r="C1455" s="4"/>
      <c r="D1455" s="752"/>
      <c r="E1455" s="85"/>
    </row>
    <row r="1456" spans="1:5" ht="15.75" hidden="1" customHeight="1" x14ac:dyDescent="0.35">
      <c r="A1456" s="32"/>
      <c r="B1456" s="155"/>
      <c r="C1456" s="155"/>
      <c r="D1456" s="790"/>
      <c r="E1456" s="342"/>
    </row>
    <row r="1457" spans="1:5" ht="15" hidden="1" customHeight="1" x14ac:dyDescent="0.35">
      <c r="A1457" s="32"/>
      <c r="B1457" s="19" t="s">
        <v>272</v>
      </c>
      <c r="C1457" s="4"/>
      <c r="D1457" s="707" t="s">
        <v>866</v>
      </c>
      <c r="E1457" s="696">
        <f ca="1">'Verification Report'!O1459</f>
        <v>10</v>
      </c>
    </row>
    <row r="1458" spans="1:5" ht="15.75" hidden="1" customHeight="1" x14ac:dyDescent="0.35">
      <c r="A1458" s="32"/>
      <c r="B1458" s="4"/>
      <c r="C1458" s="4"/>
      <c r="D1458" s="707"/>
      <c r="E1458" s="696">
        <f>'Verification Report'!O1460</f>
        <v>0</v>
      </c>
    </row>
    <row r="1459" spans="1:5" ht="15.75" hidden="1" customHeight="1" x14ac:dyDescent="0.35">
      <c r="A1459" s="4"/>
      <c r="B1459" s="4"/>
      <c r="C1459" s="19" t="s">
        <v>121</v>
      </c>
      <c r="D1459" s="104" t="s">
        <v>867</v>
      </c>
      <c r="E1459" s="85"/>
    </row>
    <row r="1460" spans="1:5" ht="15.75" hidden="1" customHeight="1" x14ac:dyDescent="0.35">
      <c r="A1460" s="4"/>
      <c r="B1460" s="4"/>
      <c r="C1460" s="19" t="s">
        <v>122</v>
      </c>
      <c r="D1460" s="104" t="s">
        <v>869</v>
      </c>
      <c r="E1460" s="85"/>
    </row>
    <row r="1461" spans="1:5" ht="15.75" hidden="1" customHeight="1" x14ac:dyDescent="0.35">
      <c r="A1461" s="4"/>
      <c r="B1461" s="155"/>
      <c r="C1461" s="148" t="s">
        <v>123</v>
      </c>
      <c r="D1461" s="214" t="s">
        <v>871</v>
      </c>
      <c r="E1461" s="342"/>
    </row>
    <row r="1462" spans="1:5" ht="26.25" hidden="1" customHeight="1" x14ac:dyDescent="0.35">
      <c r="A1462" s="32"/>
      <c r="B1462" s="19" t="s">
        <v>274</v>
      </c>
      <c r="C1462" s="4"/>
      <c r="D1462" s="104" t="s">
        <v>873</v>
      </c>
      <c r="E1462" s="696">
        <f ca="1">'Verification Report'!O1464</f>
        <v>0</v>
      </c>
    </row>
    <row r="1463" spans="1:5" ht="15.75" hidden="1" customHeight="1" thickBot="1" x14ac:dyDescent="0.4">
      <c r="A1463" s="132"/>
      <c r="B1463" s="183"/>
      <c r="C1463" s="183"/>
      <c r="D1463" s="273" t="s">
        <v>874</v>
      </c>
      <c r="E1463" s="695">
        <f>'Verification Report'!O1465</f>
        <v>0</v>
      </c>
    </row>
    <row r="1464" spans="1:5" ht="15.5" hidden="1" thickTop="1" thickBot="1" x14ac:dyDescent="0.4">
      <c r="A1464" s="123">
        <v>801.4</v>
      </c>
      <c r="B1464" s="124"/>
      <c r="C1464" s="124"/>
      <c r="D1464" s="222" t="s">
        <v>876</v>
      </c>
      <c r="E1464" s="341"/>
    </row>
    <row r="1465" spans="1:5" ht="15" hidden="1" customHeight="1" x14ac:dyDescent="0.35">
      <c r="A1465" s="32" t="s">
        <v>877</v>
      </c>
      <c r="B1465" s="4"/>
      <c r="C1465" s="4"/>
      <c r="D1465" s="706" t="s">
        <v>878</v>
      </c>
      <c r="E1465" s="85"/>
    </row>
    <row r="1466" spans="1:5" ht="15" hidden="1" thickBot="1" x14ac:dyDescent="0.4">
      <c r="A1466" s="32"/>
      <c r="B1466" s="4"/>
      <c r="C1466" s="4"/>
      <c r="D1466" s="706"/>
      <c r="E1466" s="85"/>
    </row>
    <row r="1467" spans="1:5" ht="15.75" hidden="1" customHeight="1" x14ac:dyDescent="0.35">
      <c r="A1467" s="32"/>
      <c r="B1467" s="19" t="s">
        <v>270</v>
      </c>
      <c r="C1467" s="4"/>
      <c r="D1467" s="104" t="s">
        <v>879</v>
      </c>
      <c r="E1467" s="696">
        <f ca="1">'Verification Report'!O1469</f>
        <v>3</v>
      </c>
    </row>
    <row r="1468" spans="1:5" ht="15" hidden="1" customHeight="1" x14ac:dyDescent="0.35">
      <c r="A1468" s="32"/>
      <c r="B1468" s="4"/>
      <c r="C1468" s="4"/>
      <c r="D1468" s="752" t="s">
        <v>880</v>
      </c>
      <c r="E1468" s="696">
        <f>'Verification Report'!O1470</f>
        <v>0</v>
      </c>
    </row>
    <row r="1469" spans="1:5" ht="15.75" hidden="1" customHeight="1" x14ac:dyDescent="0.35">
      <c r="A1469" s="32"/>
      <c r="B1469" s="4"/>
      <c r="C1469" s="4"/>
      <c r="D1469" s="752"/>
      <c r="E1469" s="696">
        <f>'Verification Report'!O1471</f>
        <v>0</v>
      </c>
    </row>
    <row r="1470" spans="1:5" ht="15.75" hidden="1" customHeight="1" x14ac:dyDescent="0.35">
      <c r="A1470" s="32"/>
      <c r="B1470" s="155"/>
      <c r="C1470" s="155"/>
      <c r="D1470" s="790"/>
      <c r="E1470" s="697">
        <f>'Verification Report'!O1472</f>
        <v>0</v>
      </c>
    </row>
    <row r="1471" spans="1:5" ht="15" hidden="1" thickBot="1" x14ac:dyDescent="0.4">
      <c r="A1471" s="161"/>
      <c r="B1471" s="148" t="s">
        <v>272</v>
      </c>
      <c r="C1471" s="155"/>
      <c r="D1471" s="214" t="s">
        <v>881</v>
      </c>
      <c r="E1471" s="342">
        <f>'Verification Report'!O1473</f>
        <v>6</v>
      </c>
    </row>
    <row r="1472" spans="1:5" ht="15" hidden="1" customHeight="1" x14ac:dyDescent="0.35">
      <c r="A1472" s="32" t="s">
        <v>882</v>
      </c>
      <c r="B1472" s="4"/>
      <c r="C1472" s="4"/>
      <c r="D1472" s="706" t="s">
        <v>883</v>
      </c>
      <c r="E1472" s="696">
        <f ca="1">'Verification Report'!O1474</f>
        <v>0</v>
      </c>
    </row>
    <row r="1473" spans="1:5" ht="15.75" hidden="1" customHeight="1" x14ac:dyDescent="0.35">
      <c r="A1473" s="32"/>
      <c r="B1473" s="4"/>
      <c r="C1473" s="4"/>
      <c r="D1473" s="706"/>
      <c r="E1473" s="696">
        <f>'Verification Report'!O1475</f>
        <v>0</v>
      </c>
    </row>
    <row r="1474" spans="1:5" ht="15.75" hidden="1" customHeight="1" thickBot="1" x14ac:dyDescent="0.4">
      <c r="A1474" s="132"/>
      <c r="B1474" s="183"/>
      <c r="C1474" s="183"/>
      <c r="D1474" s="273" t="s">
        <v>884</v>
      </c>
      <c r="E1474" s="695">
        <f>'Verification Report'!O1476</f>
        <v>0</v>
      </c>
    </row>
    <row r="1475" spans="1:5" ht="15.75" hidden="1" customHeight="1" thickTop="1" x14ac:dyDescent="0.35">
      <c r="A1475" s="32">
        <v>801.5</v>
      </c>
      <c r="B1475" s="4"/>
      <c r="C1475" s="4"/>
      <c r="D1475" s="783" t="s">
        <v>885</v>
      </c>
      <c r="E1475" s="85"/>
    </row>
    <row r="1476" spans="1:5" ht="15" hidden="1" thickBot="1" x14ac:dyDescent="0.4">
      <c r="A1476" s="32"/>
      <c r="B1476" s="4"/>
      <c r="C1476" s="4"/>
      <c r="D1476" s="783"/>
      <c r="E1476" s="85"/>
    </row>
    <row r="1477" spans="1:5" ht="15" hidden="1" customHeight="1" x14ac:dyDescent="0.35">
      <c r="A1477" s="32"/>
      <c r="B1477" s="19" t="s">
        <v>270</v>
      </c>
      <c r="C1477" s="4"/>
      <c r="D1477" s="723" t="s">
        <v>886</v>
      </c>
      <c r="E1477" s="85"/>
    </row>
    <row r="1478" spans="1:5" ht="15.75" hidden="1" customHeight="1" x14ac:dyDescent="0.35">
      <c r="A1478" s="32"/>
      <c r="B1478" s="148"/>
      <c r="C1478" s="155"/>
      <c r="D1478" s="724"/>
      <c r="E1478" s="342"/>
    </row>
    <row r="1479" spans="1:5" ht="15" hidden="1" customHeight="1" x14ac:dyDescent="0.35">
      <c r="A1479" s="32"/>
      <c r="B1479" s="19" t="s">
        <v>272</v>
      </c>
      <c r="C1479" s="4"/>
      <c r="D1479" s="707" t="s">
        <v>887</v>
      </c>
      <c r="E1479" s="696">
        <f ca="1">'Verification Report'!O1481</f>
        <v>6</v>
      </c>
    </row>
    <row r="1480" spans="1:5" ht="15.75" hidden="1" customHeight="1" x14ac:dyDescent="0.35">
      <c r="A1480" s="32"/>
      <c r="B1480" s="4"/>
      <c r="C1480" s="4"/>
      <c r="D1480" s="707"/>
      <c r="E1480" s="696">
        <f>'Verification Report'!O1482</f>
        <v>0</v>
      </c>
    </row>
    <row r="1481" spans="1:5" ht="15.75" hidden="1" customHeight="1" x14ac:dyDescent="0.35">
      <c r="A1481" s="32"/>
      <c r="B1481" s="4"/>
      <c r="C1481" s="4"/>
      <c r="D1481" s="707"/>
      <c r="E1481" s="696">
        <f>'Verification Report'!O1483</f>
        <v>0</v>
      </c>
    </row>
    <row r="1482" spans="1:5" ht="15" hidden="1" customHeight="1" x14ac:dyDescent="0.35">
      <c r="A1482" s="32"/>
      <c r="B1482" s="4"/>
      <c r="C1482" s="4"/>
      <c r="D1482" s="752" t="s">
        <v>888</v>
      </c>
      <c r="E1482" s="85"/>
    </row>
    <row r="1483" spans="1:5" ht="15.75" hidden="1" customHeight="1" x14ac:dyDescent="0.35">
      <c r="A1483" s="32"/>
      <c r="B1483" s="4"/>
      <c r="C1483" s="4"/>
      <c r="D1483" s="752"/>
      <c r="E1483" s="85"/>
    </row>
    <row r="1484" spans="1:5" ht="15.75" hidden="1" customHeight="1" x14ac:dyDescent="0.35">
      <c r="A1484" s="32"/>
      <c r="B1484" s="155"/>
      <c r="C1484" s="155"/>
      <c r="D1484" s="790"/>
      <c r="E1484" s="342"/>
    </row>
    <row r="1485" spans="1:5" ht="15" hidden="1" thickBot="1" x14ac:dyDescent="0.4">
      <c r="A1485" s="32"/>
      <c r="B1485" s="148" t="s">
        <v>274</v>
      </c>
      <c r="C1485" s="155"/>
      <c r="D1485" s="214" t="s">
        <v>889</v>
      </c>
      <c r="E1485" s="342">
        <f ca="1">'Verification Report'!O1487</f>
        <v>5</v>
      </c>
    </row>
    <row r="1486" spans="1:5" ht="15" hidden="1" customHeight="1" x14ac:dyDescent="0.35">
      <c r="A1486" s="32"/>
      <c r="B1486" s="19" t="s">
        <v>283</v>
      </c>
      <c r="C1486" s="4"/>
      <c r="D1486" s="707" t="s">
        <v>890</v>
      </c>
      <c r="E1486" s="85"/>
    </row>
    <row r="1487" spans="1:5" ht="15" hidden="1" thickBot="1" x14ac:dyDescent="0.4">
      <c r="A1487" s="32"/>
      <c r="B1487" s="4"/>
      <c r="C1487" s="4"/>
      <c r="D1487" s="707"/>
      <c r="E1487" s="85"/>
    </row>
    <row r="1488" spans="1:5" ht="15.75" hidden="1" customHeight="1" x14ac:dyDescent="0.35">
      <c r="A1488" s="4"/>
      <c r="B1488" s="4"/>
      <c r="C1488" s="19" t="s">
        <v>121</v>
      </c>
      <c r="D1488" s="104" t="s">
        <v>891</v>
      </c>
      <c r="E1488" s="696">
        <f ca="1">'Verification Report'!O1490</f>
        <v>0</v>
      </c>
    </row>
    <row r="1489" spans="1:5" ht="15" hidden="1" customHeight="1" x14ac:dyDescent="0.35">
      <c r="A1489" s="4"/>
      <c r="B1489" s="4"/>
      <c r="C1489" s="4"/>
      <c r="D1489" s="752" t="s">
        <v>893</v>
      </c>
      <c r="E1489" s="696">
        <f>'Verification Report'!O1491</f>
        <v>0</v>
      </c>
    </row>
    <row r="1490" spans="1:5" ht="15.75" hidden="1" customHeight="1" x14ac:dyDescent="0.35">
      <c r="A1490" s="4"/>
      <c r="B1490" s="4"/>
      <c r="C1490" s="4"/>
      <c r="D1490" s="752"/>
      <c r="E1490" s="696">
        <f>'Verification Report'!O1492</f>
        <v>0</v>
      </c>
    </row>
    <row r="1491" spans="1:5" ht="15.75" hidden="1" customHeight="1" x14ac:dyDescent="0.35">
      <c r="A1491" s="4"/>
      <c r="B1491" s="4"/>
      <c r="C1491" s="155"/>
      <c r="D1491" s="790"/>
      <c r="E1491" s="697">
        <f>'Verification Report'!O1493</f>
        <v>0</v>
      </c>
    </row>
    <row r="1492" spans="1:5" ht="15" hidden="1" customHeight="1" x14ac:dyDescent="0.35">
      <c r="A1492" s="4"/>
      <c r="B1492" s="4"/>
      <c r="C1492" s="19" t="s">
        <v>122</v>
      </c>
      <c r="D1492" s="707" t="s">
        <v>894</v>
      </c>
      <c r="E1492" s="696">
        <f>'Verification Report'!O1494</f>
        <v>0</v>
      </c>
    </row>
    <row r="1493" spans="1:5" ht="15.75" hidden="1" customHeight="1" x14ac:dyDescent="0.35">
      <c r="A1493" s="4"/>
      <c r="B1493" s="4"/>
      <c r="C1493" s="148"/>
      <c r="D1493" s="709"/>
      <c r="E1493" s="697">
        <f>'Verification Report'!O1495</f>
        <v>0</v>
      </c>
    </row>
    <row r="1494" spans="1:5" ht="15" hidden="1" thickBot="1" x14ac:dyDescent="0.4">
      <c r="A1494" s="183"/>
      <c r="B1494" s="183"/>
      <c r="C1494" s="133" t="s">
        <v>123</v>
      </c>
      <c r="D1494" s="223" t="s">
        <v>895</v>
      </c>
      <c r="E1494" s="184">
        <f>'Verification Report'!O1496</f>
        <v>0</v>
      </c>
    </row>
    <row r="1495" spans="1:5" ht="15" hidden="1" thickBot="1" x14ac:dyDescent="0.4">
      <c r="A1495" s="32">
        <v>801.6</v>
      </c>
      <c r="B1495" s="4"/>
      <c r="C1495" s="4"/>
      <c r="D1495" s="110" t="s">
        <v>897</v>
      </c>
      <c r="E1495" s="85"/>
    </row>
    <row r="1496" spans="1:5" ht="15" hidden="1" customHeight="1" x14ac:dyDescent="0.35">
      <c r="A1496" s="32" t="s">
        <v>898</v>
      </c>
      <c r="B1496" s="4"/>
      <c r="C1496" s="4"/>
      <c r="D1496" s="706" t="s">
        <v>899</v>
      </c>
      <c r="E1496" s="696">
        <f>'Verification Report'!O1498</f>
        <v>0</v>
      </c>
    </row>
    <row r="1497" spans="1:5" ht="15.75" hidden="1" customHeight="1" x14ac:dyDescent="0.35">
      <c r="A1497" s="32"/>
      <c r="B1497" s="4"/>
      <c r="C1497" s="4"/>
      <c r="D1497" s="706"/>
      <c r="E1497" s="696">
        <f>'Verification Report'!O1499</f>
        <v>0</v>
      </c>
    </row>
    <row r="1498" spans="1:5" ht="15.75" hidden="1" customHeight="1" x14ac:dyDescent="0.35">
      <c r="A1498" s="161"/>
      <c r="B1498" s="155"/>
      <c r="C1498" s="155"/>
      <c r="D1498" s="739"/>
      <c r="E1498" s="697">
        <f>'Verification Report'!O1500</f>
        <v>0</v>
      </c>
    </row>
    <row r="1499" spans="1:5" ht="15" hidden="1" thickBot="1" x14ac:dyDescent="0.4">
      <c r="A1499" s="32" t="s">
        <v>900</v>
      </c>
      <c r="B1499" s="4"/>
      <c r="C1499" s="4"/>
      <c r="D1499" s="110" t="s">
        <v>901</v>
      </c>
      <c r="E1499" s="85"/>
    </row>
    <row r="1500" spans="1:5" ht="15" hidden="1" thickBot="1" x14ac:dyDescent="0.4">
      <c r="A1500" s="32"/>
      <c r="B1500" s="148" t="s">
        <v>270</v>
      </c>
      <c r="C1500" s="155"/>
      <c r="D1500" s="214" t="s">
        <v>902</v>
      </c>
      <c r="E1500" s="342">
        <f>'Verification Report'!O1502</f>
        <v>0</v>
      </c>
    </row>
    <row r="1501" spans="1:5" ht="15" hidden="1" thickBot="1" x14ac:dyDescent="0.4">
      <c r="A1501" s="32"/>
      <c r="B1501" s="148" t="s">
        <v>272</v>
      </c>
      <c r="C1501" s="155"/>
      <c r="D1501" s="214" t="s">
        <v>903</v>
      </c>
      <c r="E1501" s="342">
        <f>'Verification Report'!O1503</f>
        <v>0</v>
      </c>
    </row>
    <row r="1502" spans="1:5" ht="15" hidden="1" customHeight="1" x14ac:dyDescent="0.35">
      <c r="A1502" s="32"/>
      <c r="B1502" s="19" t="s">
        <v>274</v>
      </c>
      <c r="C1502" s="4"/>
      <c r="D1502" s="707" t="s">
        <v>904</v>
      </c>
      <c r="E1502" s="696">
        <f>'Verification Report'!O1504</f>
        <v>0</v>
      </c>
    </row>
    <row r="1503" spans="1:5" ht="15.75" hidden="1" customHeight="1" x14ac:dyDescent="0.35">
      <c r="A1503" s="161"/>
      <c r="B1503" s="155"/>
      <c r="C1503" s="155"/>
      <c r="D1503" s="709"/>
      <c r="E1503" s="697">
        <f>'Verification Report'!O1505</f>
        <v>0</v>
      </c>
    </row>
    <row r="1504" spans="1:5" ht="15" hidden="1" customHeight="1" x14ac:dyDescent="0.35">
      <c r="A1504" s="32" t="s">
        <v>905</v>
      </c>
      <c r="B1504" s="4"/>
      <c r="C1504" s="4"/>
      <c r="D1504" s="706" t="s">
        <v>906</v>
      </c>
      <c r="E1504" s="85"/>
    </row>
    <row r="1505" spans="1:5" ht="15.75" hidden="1" customHeight="1" x14ac:dyDescent="0.35">
      <c r="A1505" s="32"/>
      <c r="B1505" s="4"/>
      <c r="C1505" s="4"/>
      <c r="D1505" s="706"/>
      <c r="E1505" s="85"/>
    </row>
    <row r="1506" spans="1:5" ht="15.75" hidden="1" customHeight="1" x14ac:dyDescent="0.35">
      <c r="A1506" s="161"/>
      <c r="B1506" s="155"/>
      <c r="C1506" s="155"/>
      <c r="D1506" s="739"/>
      <c r="E1506" s="342"/>
    </row>
    <row r="1507" spans="1:5" ht="15" hidden="1" customHeight="1" x14ac:dyDescent="0.35">
      <c r="A1507" s="32" t="s">
        <v>907</v>
      </c>
      <c r="B1507" s="4"/>
      <c r="C1507" s="4"/>
      <c r="D1507" s="783" t="s">
        <v>908</v>
      </c>
      <c r="E1507" s="85"/>
    </row>
    <row r="1508" spans="1:5" ht="15" hidden="1" thickBot="1" x14ac:dyDescent="0.4">
      <c r="A1508" s="32"/>
      <c r="B1508" s="4"/>
      <c r="C1508" s="4"/>
      <c r="D1508" s="783"/>
      <c r="E1508" s="85"/>
    </row>
    <row r="1509" spans="1:5" ht="15" hidden="1" thickBot="1" x14ac:dyDescent="0.4">
      <c r="A1509" s="32"/>
      <c r="B1509" s="4"/>
      <c r="C1509" s="4"/>
      <c r="D1509" s="107" t="s">
        <v>909</v>
      </c>
      <c r="E1509" s="85"/>
    </row>
    <row r="1510" spans="1:5" ht="15" hidden="1" customHeight="1" x14ac:dyDescent="0.35">
      <c r="A1510" s="32"/>
      <c r="B1510" s="19" t="s">
        <v>270</v>
      </c>
      <c r="C1510" s="4"/>
      <c r="D1510" s="707" t="s">
        <v>910</v>
      </c>
      <c r="E1510" s="696">
        <f>'Verification Report'!O1512</f>
        <v>0</v>
      </c>
    </row>
    <row r="1511" spans="1:5" ht="15.75" hidden="1" customHeight="1" x14ac:dyDescent="0.35">
      <c r="A1511" s="32"/>
      <c r="B1511" s="155"/>
      <c r="C1511" s="155"/>
      <c r="D1511" s="709"/>
      <c r="E1511" s="696">
        <f>'Verification Report'!O1513</f>
        <v>0</v>
      </c>
    </row>
    <row r="1512" spans="1:5" ht="15" hidden="1" thickBot="1" x14ac:dyDescent="0.4">
      <c r="A1512" s="32"/>
      <c r="B1512" s="148" t="s">
        <v>272</v>
      </c>
      <c r="C1512" s="155"/>
      <c r="D1512" s="214" t="s">
        <v>911</v>
      </c>
      <c r="E1512" s="697">
        <f>'Verification Report'!O1514</f>
        <v>0</v>
      </c>
    </row>
    <row r="1513" spans="1:5" ht="15" hidden="1" customHeight="1" x14ac:dyDescent="0.35">
      <c r="A1513" s="32"/>
      <c r="B1513" s="19" t="s">
        <v>274</v>
      </c>
      <c r="C1513" s="4"/>
      <c r="D1513" s="707" t="s">
        <v>912</v>
      </c>
      <c r="E1513" s="696">
        <f ca="1">'Verification Report'!O1515</f>
        <v>0</v>
      </c>
    </row>
    <row r="1514" spans="1:5" ht="15.75" hidden="1" customHeight="1" x14ac:dyDescent="0.35">
      <c r="A1514" s="32"/>
      <c r="B1514" s="4"/>
      <c r="C1514" s="4"/>
      <c r="D1514" s="707"/>
      <c r="E1514" s="696">
        <f>'Verification Report'!O1516</f>
        <v>0</v>
      </c>
    </row>
    <row r="1515" spans="1:5" ht="15" hidden="1" customHeight="1" x14ac:dyDescent="0.35">
      <c r="A1515" s="32"/>
      <c r="B1515" s="4"/>
      <c r="C1515" s="4"/>
      <c r="D1515" s="714" t="s">
        <v>3847</v>
      </c>
      <c r="E1515" s="85"/>
    </row>
    <row r="1516" spans="1:5" ht="15.75" hidden="1" customHeight="1" x14ac:dyDescent="0.35">
      <c r="A1516" s="161"/>
      <c r="B1516" s="155"/>
      <c r="C1516" s="155"/>
      <c r="D1516" s="755"/>
      <c r="E1516" s="342"/>
    </row>
    <row r="1517" spans="1:5" ht="15" hidden="1" customHeight="1" x14ac:dyDescent="0.35">
      <c r="A1517" s="32" t="s">
        <v>913</v>
      </c>
      <c r="B1517" s="4"/>
      <c r="C1517" s="4"/>
      <c r="D1517" s="706" t="s">
        <v>914</v>
      </c>
      <c r="E1517" s="696">
        <f>'Verification Report'!O1519</f>
        <v>0</v>
      </c>
    </row>
    <row r="1518" spans="1:5" ht="15.75" hidden="1" customHeight="1" thickBot="1" x14ac:dyDescent="0.4">
      <c r="A1518" s="132"/>
      <c r="B1518" s="183"/>
      <c r="C1518" s="183"/>
      <c r="D1518" s="710"/>
      <c r="E1518" s="695">
        <f>'Verification Report'!O1520</f>
        <v>0</v>
      </c>
    </row>
    <row r="1519" spans="1:5" ht="15.75" hidden="1" customHeight="1" thickTop="1" x14ac:dyDescent="0.35">
      <c r="A1519" s="123">
        <v>801.7</v>
      </c>
      <c r="B1519" s="124"/>
      <c r="C1519" s="124"/>
      <c r="D1519" s="794" t="s">
        <v>915</v>
      </c>
      <c r="E1519" s="341"/>
    </row>
    <row r="1520" spans="1:5" ht="15" hidden="1" thickBot="1" x14ac:dyDescent="0.4">
      <c r="A1520" s="32"/>
      <c r="B1520" s="4"/>
      <c r="C1520" s="4"/>
      <c r="D1520" s="795"/>
      <c r="E1520" s="85"/>
    </row>
    <row r="1521" spans="1:5" ht="15.75" hidden="1" customHeight="1" x14ac:dyDescent="0.35">
      <c r="A1521" s="32" t="s">
        <v>1304</v>
      </c>
      <c r="B1521" s="4"/>
      <c r="C1521" s="4"/>
      <c r="D1521" s="352" t="s">
        <v>1305</v>
      </c>
      <c r="E1521" s="85">
        <f ca="1">'Verification Report'!O1523</f>
        <v>0</v>
      </c>
    </row>
    <row r="1522" spans="1:5" ht="15.75" hidden="1" customHeight="1" x14ac:dyDescent="0.35">
      <c r="A1522" s="32"/>
      <c r="B1522" s="148" t="s">
        <v>270</v>
      </c>
      <c r="C1522" s="155"/>
      <c r="D1522" s="214" t="s">
        <v>916</v>
      </c>
      <c r="E1522" s="85"/>
    </row>
    <row r="1523" spans="1:5" ht="15" hidden="1" customHeight="1" x14ac:dyDescent="0.35">
      <c r="A1523" s="32"/>
      <c r="B1523" s="19" t="s">
        <v>272</v>
      </c>
      <c r="C1523" s="4"/>
      <c r="D1523" s="707" t="s">
        <v>917</v>
      </c>
      <c r="E1523" s="85"/>
    </row>
    <row r="1524" spans="1:5" ht="15.75" hidden="1" customHeight="1" x14ac:dyDescent="0.35">
      <c r="A1524" s="32"/>
      <c r="B1524" s="4"/>
      <c r="C1524" s="4"/>
      <c r="D1524" s="707"/>
      <c r="E1524" s="85"/>
    </row>
    <row r="1525" spans="1:5" ht="15.75" hidden="1" customHeight="1" x14ac:dyDescent="0.35">
      <c r="A1525" s="4"/>
      <c r="B1525" s="4"/>
      <c r="C1525" s="148" t="s">
        <v>121</v>
      </c>
      <c r="D1525" s="214" t="s">
        <v>918</v>
      </c>
      <c r="E1525" s="85"/>
    </row>
    <row r="1526" spans="1:5" ht="15.75" hidden="1" customHeight="1" x14ac:dyDescent="0.35">
      <c r="A1526" s="4"/>
      <c r="B1526" s="4"/>
      <c r="C1526" s="148" t="s">
        <v>122</v>
      </c>
      <c r="D1526" s="214" t="s">
        <v>919</v>
      </c>
      <c r="E1526" s="85"/>
    </row>
    <row r="1527" spans="1:5" ht="15" hidden="1" customHeight="1" x14ac:dyDescent="0.35">
      <c r="A1527" s="4"/>
      <c r="B1527" s="4"/>
      <c r="C1527" s="19" t="s">
        <v>123</v>
      </c>
      <c r="D1527" s="707" t="s">
        <v>920</v>
      </c>
      <c r="E1527" s="85"/>
    </row>
    <row r="1528" spans="1:5" ht="15.75" hidden="1" customHeight="1" x14ac:dyDescent="0.35">
      <c r="A1528" s="4"/>
      <c r="B1528" s="4"/>
      <c r="C1528" s="155"/>
      <c r="D1528" s="709"/>
      <c r="E1528" s="85"/>
    </row>
    <row r="1529" spans="1:5" ht="15" hidden="1" customHeight="1" x14ac:dyDescent="0.35">
      <c r="A1529" s="4"/>
      <c r="B1529" s="4"/>
      <c r="C1529" s="19" t="s">
        <v>420</v>
      </c>
      <c r="D1529" s="707" t="s">
        <v>921</v>
      </c>
      <c r="E1529" s="85"/>
    </row>
    <row r="1530" spans="1:5" ht="15.75" hidden="1" customHeight="1" x14ac:dyDescent="0.35">
      <c r="A1530" s="32"/>
      <c r="B1530" s="4"/>
      <c r="C1530" s="4"/>
      <c r="D1530" s="707"/>
      <c r="E1530" s="85"/>
    </row>
    <row r="1531" spans="1:5" ht="15.75" hidden="1" customHeight="1" x14ac:dyDescent="0.35">
      <c r="A1531" s="161"/>
      <c r="B1531" s="155"/>
      <c r="C1531" s="155"/>
      <c r="D1531" s="709"/>
      <c r="E1531" s="342"/>
    </row>
    <row r="1532" spans="1:5" ht="15" hidden="1" customHeight="1" x14ac:dyDescent="0.35">
      <c r="A1532" s="32" t="s">
        <v>922</v>
      </c>
      <c r="B1532" s="4"/>
      <c r="C1532" s="4"/>
      <c r="D1532" s="706" t="s">
        <v>923</v>
      </c>
      <c r="E1532" s="696">
        <f ca="1">'Verification Report'!O1534</f>
        <v>0</v>
      </c>
    </row>
    <row r="1533" spans="1:5" ht="15" hidden="1" thickBot="1" x14ac:dyDescent="0.4">
      <c r="A1533" s="32"/>
      <c r="B1533" s="4"/>
      <c r="C1533" s="4"/>
      <c r="D1533" s="706"/>
      <c r="E1533" s="696">
        <f>'Verification Report'!O1535</f>
        <v>0</v>
      </c>
    </row>
    <row r="1534" spans="1:5" ht="15" hidden="1" thickBot="1" x14ac:dyDescent="0.4">
      <c r="A1534" s="32"/>
      <c r="B1534" s="4"/>
      <c r="C1534" s="4"/>
      <c r="D1534" s="706"/>
      <c r="E1534" s="696">
        <f>'Verification Report'!O1536</f>
        <v>0</v>
      </c>
    </row>
    <row r="1535" spans="1:5" ht="26.25" hidden="1" customHeight="1" x14ac:dyDescent="0.35">
      <c r="A1535" s="32"/>
      <c r="B1535" s="19" t="s">
        <v>270</v>
      </c>
      <c r="C1535" s="4"/>
      <c r="D1535" s="104" t="s">
        <v>924</v>
      </c>
      <c r="E1535" s="85"/>
    </row>
    <row r="1536" spans="1:5" ht="15.75" hidden="1" customHeight="1" x14ac:dyDescent="0.35">
      <c r="A1536" s="32"/>
      <c r="B1536" s="155"/>
      <c r="C1536" s="155"/>
      <c r="D1536" s="165" t="s">
        <v>925</v>
      </c>
      <c r="E1536" s="85"/>
    </row>
    <row r="1537" spans="1:5" ht="15" hidden="1" thickBot="1" x14ac:dyDescent="0.4">
      <c r="A1537" s="132"/>
      <c r="B1537" s="133" t="s">
        <v>272</v>
      </c>
      <c r="C1537" s="183"/>
      <c r="D1537" s="223" t="s">
        <v>926</v>
      </c>
      <c r="E1537" s="184"/>
    </row>
    <row r="1538" spans="1:5" ht="15.75" hidden="1" customHeight="1" thickTop="1" x14ac:dyDescent="0.35">
      <c r="A1538" s="32">
        <v>801.8</v>
      </c>
      <c r="B1538" s="4"/>
      <c r="C1538" s="4"/>
      <c r="D1538" s="706" t="s">
        <v>927</v>
      </c>
      <c r="E1538" s="694">
        <f>'Verification Report'!O1540</f>
        <v>0</v>
      </c>
    </row>
    <row r="1539" spans="1:5" ht="15.75" hidden="1" customHeight="1" x14ac:dyDescent="0.35">
      <c r="A1539" s="32"/>
      <c r="B1539" s="4"/>
      <c r="C1539" s="4"/>
      <c r="D1539" s="706"/>
      <c r="E1539" s="696">
        <f>'Verification Report'!O1541</f>
        <v>0</v>
      </c>
    </row>
    <row r="1540" spans="1:5" ht="19" hidden="1" thickBot="1" x14ac:dyDescent="0.5">
      <c r="A1540" s="10" t="s">
        <v>928</v>
      </c>
      <c r="B1540" s="15"/>
      <c r="C1540" s="15"/>
      <c r="D1540" s="174"/>
      <c r="E1540" s="340"/>
    </row>
    <row r="1541" spans="1:5" ht="15" hidden="1" customHeight="1" x14ac:dyDescent="0.35">
      <c r="A1541" s="32">
        <v>802.1</v>
      </c>
      <c r="B1541" s="4"/>
      <c r="C1541" s="4"/>
      <c r="D1541" s="706" t="s">
        <v>929</v>
      </c>
      <c r="E1541" s="696">
        <f ca="1">'Verification Report'!O1543</f>
        <v>0</v>
      </c>
    </row>
    <row r="1542" spans="1:5" ht="15" hidden="1" thickBot="1" x14ac:dyDescent="0.4">
      <c r="A1542" s="32"/>
      <c r="B1542" s="4"/>
      <c r="C1542" s="4"/>
      <c r="D1542" s="706"/>
      <c r="E1542" s="696">
        <f>'Verification Report'!O1544</f>
        <v>0</v>
      </c>
    </row>
    <row r="1543" spans="1:5" ht="15" hidden="1" thickBot="1" x14ac:dyDescent="0.4">
      <c r="A1543" s="32"/>
      <c r="B1543" s="4"/>
      <c r="C1543" s="4"/>
      <c r="D1543" s="107" t="s">
        <v>930</v>
      </c>
      <c r="E1543" s="696">
        <f>'Verification Report'!O1545</f>
        <v>0</v>
      </c>
    </row>
    <row r="1544" spans="1:5" ht="15" hidden="1" thickBot="1" x14ac:dyDescent="0.4">
      <c r="A1544" s="32"/>
      <c r="B1544" s="4"/>
      <c r="C1544" s="4"/>
      <c r="D1544" s="107" t="s">
        <v>931</v>
      </c>
      <c r="E1544" s="85"/>
    </row>
    <row r="1545" spans="1:5" ht="15.75" hidden="1" customHeight="1" x14ac:dyDescent="0.35">
      <c r="A1545" s="32"/>
      <c r="B1545" s="19" t="s">
        <v>270</v>
      </c>
      <c r="C1545" s="4"/>
      <c r="D1545" s="104" t="s">
        <v>932</v>
      </c>
      <c r="E1545" s="85"/>
    </row>
    <row r="1546" spans="1:5" ht="15.75" hidden="1" customHeight="1" x14ac:dyDescent="0.35">
      <c r="A1546" s="32"/>
      <c r="B1546" s="155"/>
      <c r="C1546" s="155"/>
      <c r="D1546" s="165" t="s">
        <v>933</v>
      </c>
      <c r="E1546" s="85"/>
    </row>
    <row r="1547" spans="1:5" ht="15" hidden="1" thickBot="1" x14ac:dyDescent="0.4">
      <c r="A1547" s="132"/>
      <c r="B1547" s="133" t="s">
        <v>272</v>
      </c>
      <c r="C1547" s="183"/>
      <c r="D1547" s="223" t="s">
        <v>934</v>
      </c>
      <c r="E1547" s="184"/>
    </row>
    <row r="1548" spans="1:5" ht="15.75" hidden="1" customHeight="1" thickTop="1" x14ac:dyDescent="0.35">
      <c r="A1548" s="123">
        <v>802.2</v>
      </c>
      <c r="B1548" s="124"/>
      <c r="C1548" s="124"/>
      <c r="D1548" s="711" t="s">
        <v>935</v>
      </c>
      <c r="E1548" s="694">
        <f>'Verification Report'!O1550</f>
        <v>0</v>
      </c>
    </row>
    <row r="1549" spans="1:5" ht="15.75" hidden="1" customHeight="1" x14ac:dyDescent="0.35">
      <c r="A1549" s="32"/>
      <c r="B1549" s="4"/>
      <c r="C1549" s="4"/>
      <c r="D1549" s="706"/>
      <c r="E1549" s="696">
        <f>'Verification Report'!O1551</f>
        <v>0</v>
      </c>
    </row>
    <row r="1550" spans="1:5" ht="15.75" hidden="1" customHeight="1" thickBot="1" x14ac:dyDescent="0.4">
      <c r="A1550" s="132"/>
      <c r="B1550" s="183"/>
      <c r="C1550" s="183"/>
      <c r="D1550" s="710"/>
      <c r="E1550" s="695">
        <f>'Verification Report'!O1552</f>
        <v>0</v>
      </c>
    </row>
    <row r="1551" spans="1:5" ht="15.75" hidden="1" customHeight="1" thickTop="1" x14ac:dyDescent="0.35">
      <c r="A1551" s="32">
        <v>802.3</v>
      </c>
      <c r="B1551" s="4"/>
      <c r="C1551" s="4"/>
      <c r="D1551" s="783" t="s">
        <v>937</v>
      </c>
      <c r="E1551" s="696">
        <f>'Verification Report'!O1553</f>
        <v>0</v>
      </c>
    </row>
    <row r="1552" spans="1:5" ht="15" hidden="1" thickBot="1" x14ac:dyDescent="0.4">
      <c r="A1552" s="32"/>
      <c r="B1552" s="4"/>
      <c r="C1552" s="4"/>
      <c r="D1552" s="783"/>
      <c r="E1552" s="696">
        <f>'Verification Report'!O1554</f>
        <v>0</v>
      </c>
    </row>
    <row r="1553" spans="1:5" ht="15" hidden="1" thickBot="1" x14ac:dyDescent="0.4">
      <c r="A1553" s="32"/>
      <c r="B1553" s="4"/>
      <c r="C1553" s="4"/>
      <c r="D1553" s="783"/>
      <c r="E1553" s="696">
        <f>'Verification Report'!O1555</f>
        <v>0</v>
      </c>
    </row>
    <row r="1554" spans="1:5" ht="15" hidden="1" thickBot="1" x14ac:dyDescent="0.4">
      <c r="A1554" s="32"/>
      <c r="B1554" s="148" t="s">
        <v>270</v>
      </c>
      <c r="C1554" s="155"/>
      <c r="D1554" s="214" t="s">
        <v>938</v>
      </c>
      <c r="E1554" s="85"/>
    </row>
    <row r="1555" spans="1:5" ht="15" hidden="1" thickBot="1" x14ac:dyDescent="0.4">
      <c r="A1555" s="132"/>
      <c r="B1555" s="133" t="s">
        <v>272</v>
      </c>
      <c r="C1555" s="183"/>
      <c r="D1555" s="223" t="s">
        <v>939</v>
      </c>
      <c r="E1555" s="184"/>
    </row>
    <row r="1556" spans="1:5" ht="15.75" hidden="1" customHeight="1" thickTop="1" x14ac:dyDescent="0.35">
      <c r="A1556" s="123">
        <v>802.4</v>
      </c>
      <c r="B1556" s="124"/>
      <c r="C1556" s="124"/>
      <c r="D1556" s="711" t="s">
        <v>940</v>
      </c>
      <c r="E1556" s="694">
        <f>'Verification Report'!O1558</f>
        <v>0</v>
      </c>
    </row>
    <row r="1557" spans="1:5" ht="15.75" hidden="1" customHeight="1" x14ac:dyDescent="0.35">
      <c r="A1557" s="32"/>
      <c r="B1557" s="4"/>
      <c r="C1557" s="4"/>
      <c r="D1557" s="706"/>
      <c r="E1557" s="696">
        <f>'Verification Report'!O1559</f>
        <v>0</v>
      </c>
    </row>
    <row r="1558" spans="1:5" ht="15.75" hidden="1" customHeight="1" thickBot="1" x14ac:dyDescent="0.4">
      <c r="A1558" s="132"/>
      <c r="B1558" s="183"/>
      <c r="C1558" s="183"/>
      <c r="D1558" s="710"/>
      <c r="E1558" s="695">
        <f>'Verification Report'!O1560</f>
        <v>0</v>
      </c>
    </row>
    <row r="1559" spans="1:5" ht="15.75" hidden="1" customHeight="1" thickTop="1" x14ac:dyDescent="0.35">
      <c r="A1559" s="123">
        <v>802.5</v>
      </c>
      <c r="B1559" s="124"/>
      <c r="C1559" s="124"/>
      <c r="D1559" s="792" t="s">
        <v>941</v>
      </c>
      <c r="E1559" s="694">
        <f>'Verification Report'!O1561</f>
        <v>0</v>
      </c>
    </row>
    <row r="1560" spans="1:5" ht="15.75" hidden="1" customHeight="1" thickBot="1" x14ac:dyDescent="0.4">
      <c r="A1560" s="132"/>
      <c r="B1560" s="183"/>
      <c r="C1560" s="183"/>
      <c r="D1560" s="793"/>
      <c r="E1560" s="695">
        <f>'Verification Report'!O1562</f>
        <v>0</v>
      </c>
    </row>
    <row r="1561" spans="1:5" ht="15.75" hidden="1" customHeight="1" thickTop="1" x14ac:dyDescent="0.35">
      <c r="A1561" s="32">
        <v>802.6</v>
      </c>
      <c r="B1561" s="4"/>
      <c r="C1561" s="4"/>
      <c r="D1561" s="706" t="s">
        <v>942</v>
      </c>
      <c r="E1561" s="696">
        <f>'Verification Report'!O1563</f>
        <v>0</v>
      </c>
    </row>
    <row r="1562" spans="1:5" ht="15.75" hidden="1" customHeight="1" x14ac:dyDescent="0.35">
      <c r="A1562" s="32"/>
      <c r="B1562" s="4"/>
      <c r="C1562" s="4"/>
      <c r="D1562" s="706"/>
      <c r="E1562" s="696">
        <f>'Verification Report'!O1564</f>
        <v>0</v>
      </c>
    </row>
    <row r="1563" spans="1:5" ht="15.75" hidden="1" customHeight="1" x14ac:dyDescent="0.35">
      <c r="A1563" s="32"/>
      <c r="B1563" s="4"/>
      <c r="C1563" s="4"/>
      <c r="D1563" s="107" t="s">
        <v>931</v>
      </c>
      <c r="E1563" s="696">
        <f>'Verification Report'!O1565</f>
        <v>0</v>
      </c>
    </row>
    <row r="1564" spans="1:5" ht="19" hidden="1" thickBot="1" x14ac:dyDescent="0.5">
      <c r="A1564" s="14" t="s">
        <v>3345</v>
      </c>
      <c r="B1564" s="14"/>
      <c r="C1564" s="14"/>
      <c r="D1564" s="15"/>
      <c r="E1564" s="16"/>
    </row>
    <row r="1565" spans="1:5" ht="15" hidden="1" thickBot="1" x14ac:dyDescent="0.4">
      <c r="A1565" s="166">
        <v>901</v>
      </c>
      <c r="B1565" s="4"/>
      <c r="C1565" s="4"/>
      <c r="D1565" s="110" t="s">
        <v>3346</v>
      </c>
      <c r="E1565" s="43"/>
    </row>
    <row r="1566" spans="1:5" ht="15" hidden="1" thickBot="1" x14ac:dyDescent="0.4">
      <c r="A1566" s="166">
        <v>901.1</v>
      </c>
      <c r="B1566" s="4"/>
      <c r="C1566" s="4"/>
      <c r="D1566" s="110" t="s">
        <v>3347</v>
      </c>
      <c r="E1566" s="43"/>
    </row>
    <row r="1567" spans="1:5" ht="15" hidden="1" customHeight="1" x14ac:dyDescent="0.35">
      <c r="A1567" s="166" t="s">
        <v>3348</v>
      </c>
      <c r="B1567" s="4"/>
      <c r="C1567" s="4"/>
      <c r="D1567" s="706" t="s">
        <v>3349</v>
      </c>
      <c r="E1567" s="696">
        <f>'Verification Report'!O1569</f>
        <v>0</v>
      </c>
    </row>
    <row r="1568" spans="1:5" ht="15.75" hidden="1" customHeight="1" x14ac:dyDescent="0.35">
      <c r="A1568" s="108"/>
      <c r="B1568" s="4"/>
      <c r="C1568" s="4"/>
      <c r="D1568" s="706"/>
      <c r="E1568" s="696">
        <f>'Verification Report'!O1570</f>
        <v>0</v>
      </c>
    </row>
    <row r="1569" spans="1:5" ht="15.75" hidden="1" customHeight="1" x14ac:dyDescent="0.35">
      <c r="A1569" s="108"/>
      <c r="B1569" s="4"/>
      <c r="C1569" s="4"/>
      <c r="D1569" s="706"/>
      <c r="E1569" s="696">
        <f>'Verification Report'!O1571</f>
        <v>0</v>
      </c>
    </row>
    <row r="1570" spans="1:5" ht="15.75" hidden="1" customHeight="1" x14ac:dyDescent="0.35">
      <c r="A1570" s="108"/>
      <c r="B1570" s="4"/>
      <c r="C1570" s="4"/>
      <c r="D1570" s="706"/>
      <c r="E1570" s="696">
        <f>'Verification Report'!O1572</f>
        <v>0</v>
      </c>
    </row>
    <row r="1571" spans="1:5" ht="15" hidden="1" customHeight="1" x14ac:dyDescent="0.35">
      <c r="A1571" s="108"/>
      <c r="B1571" s="4"/>
      <c r="C1571" s="4"/>
      <c r="D1571" s="791" t="s">
        <v>3594</v>
      </c>
      <c r="E1571" s="696">
        <f>'Verification Report'!O1573</f>
        <v>0</v>
      </c>
    </row>
    <row r="1572" spans="1:5" ht="15.75" hidden="1" customHeight="1" x14ac:dyDescent="0.35">
      <c r="A1572" s="353"/>
      <c r="B1572" s="155"/>
      <c r="C1572" s="155"/>
      <c r="D1572" s="801"/>
      <c r="E1572" s="697">
        <f>'Verification Report'!O1574</f>
        <v>0</v>
      </c>
    </row>
    <row r="1573" spans="1:5" ht="15" hidden="1" customHeight="1" x14ac:dyDescent="0.35">
      <c r="A1573" s="135" t="s">
        <v>3350</v>
      </c>
      <c r="B1573" s="136"/>
      <c r="C1573" s="136"/>
      <c r="D1573" s="753" t="s">
        <v>3351</v>
      </c>
      <c r="E1573" s="713">
        <f>'Verification Report'!O1575</f>
        <v>5</v>
      </c>
    </row>
    <row r="1574" spans="1:5" ht="15.75" hidden="1" customHeight="1" x14ac:dyDescent="0.35">
      <c r="A1574" s="108"/>
      <c r="B1574" s="4"/>
      <c r="C1574" s="4"/>
      <c r="D1574" s="706"/>
      <c r="E1574" s="696">
        <f>'Verification Report'!O1576</f>
        <v>0</v>
      </c>
    </row>
    <row r="1575" spans="1:5" ht="15.75" hidden="1" customHeight="1" x14ac:dyDescent="0.35">
      <c r="A1575" s="353"/>
      <c r="B1575" s="155"/>
      <c r="C1575" s="155"/>
      <c r="D1575" s="121" t="s">
        <v>3922</v>
      </c>
      <c r="E1575" s="342"/>
    </row>
    <row r="1576" spans="1:5" ht="15" hidden="1" customHeight="1" x14ac:dyDescent="0.35">
      <c r="A1576" s="32" t="s">
        <v>3352</v>
      </c>
      <c r="B1576" s="4"/>
      <c r="C1576" s="4"/>
      <c r="D1576" s="706" t="s">
        <v>3353</v>
      </c>
      <c r="E1576" s="85"/>
    </row>
    <row r="1577" spans="1:5" ht="15" hidden="1" thickBot="1" x14ac:dyDescent="0.4">
      <c r="A1577" s="108"/>
      <c r="B1577" s="4"/>
      <c r="C1577" s="4"/>
      <c r="D1577" s="706"/>
      <c r="E1577" s="85"/>
    </row>
    <row r="1578" spans="1:5" ht="15.75" hidden="1" customHeight="1" x14ac:dyDescent="0.35">
      <c r="A1578" s="108"/>
      <c r="B1578" s="19" t="s">
        <v>270</v>
      </c>
      <c r="C1578" s="4"/>
      <c r="D1578" s="104" t="s">
        <v>3354</v>
      </c>
      <c r="E1578" s="85">
        <f ca="1">'Verification Report'!O1580</f>
        <v>0</v>
      </c>
    </row>
    <row r="1579" spans="1:5" ht="15.75" hidden="1" customHeight="1" x14ac:dyDescent="0.35">
      <c r="A1579" s="108"/>
      <c r="B1579" s="19"/>
      <c r="C1579" s="19" t="s">
        <v>121</v>
      </c>
      <c r="D1579" s="104" t="s">
        <v>3355</v>
      </c>
      <c r="E1579" s="85"/>
    </row>
    <row r="1580" spans="1:5" ht="15.75" hidden="1" customHeight="1" x14ac:dyDescent="0.35">
      <c r="A1580" s="108"/>
      <c r="B1580" s="148"/>
      <c r="C1580" s="148" t="s">
        <v>122</v>
      </c>
      <c r="D1580" s="214" t="s">
        <v>3356</v>
      </c>
      <c r="E1580" s="342"/>
    </row>
    <row r="1581" spans="1:5" ht="15.75" hidden="1" customHeight="1" x14ac:dyDescent="0.35">
      <c r="A1581" s="108"/>
      <c r="B1581" s="19" t="s">
        <v>272</v>
      </c>
      <c r="C1581" s="4"/>
      <c r="D1581" s="104" t="s">
        <v>3357</v>
      </c>
      <c r="E1581" s="85">
        <f ca="1">'Verification Report'!O1583</f>
        <v>0</v>
      </c>
    </row>
    <row r="1582" spans="1:5" ht="15.75" hidden="1" customHeight="1" x14ac:dyDescent="0.35">
      <c r="A1582" s="108"/>
      <c r="B1582" s="4"/>
      <c r="C1582" s="19" t="s">
        <v>121</v>
      </c>
      <c r="D1582" s="104" t="s">
        <v>3358</v>
      </c>
      <c r="E1582" s="85"/>
    </row>
    <row r="1583" spans="1:5" ht="15.75" hidden="1" customHeight="1" x14ac:dyDescent="0.35">
      <c r="A1583" s="353"/>
      <c r="B1583" s="155"/>
      <c r="C1583" s="148" t="s">
        <v>122</v>
      </c>
      <c r="D1583" s="214" t="s">
        <v>3359</v>
      </c>
      <c r="E1583" s="342"/>
    </row>
    <row r="1584" spans="1:5" ht="15" hidden="1" customHeight="1" x14ac:dyDescent="0.35">
      <c r="A1584" s="32" t="s">
        <v>3360</v>
      </c>
      <c r="B1584" s="4"/>
      <c r="C1584" s="4"/>
      <c r="D1584" s="706" t="s">
        <v>3361</v>
      </c>
      <c r="E1584" s="85"/>
    </row>
    <row r="1585" spans="1:9" ht="15.75" hidden="1" customHeight="1" x14ac:dyDescent="0.35">
      <c r="A1585" s="108"/>
      <c r="B1585" s="4"/>
      <c r="C1585" s="4"/>
      <c r="D1585" s="706"/>
      <c r="E1585" s="85"/>
    </row>
    <row r="1586" spans="1:9" ht="15.75" hidden="1" customHeight="1" x14ac:dyDescent="0.35">
      <c r="A1586" s="108"/>
      <c r="B1586" s="4"/>
      <c r="C1586" s="4"/>
      <c r="D1586" s="706"/>
      <c r="E1586" s="85"/>
    </row>
    <row r="1587" spans="1:9" ht="15.75" hidden="1" customHeight="1" x14ac:dyDescent="0.35">
      <c r="A1587" s="353"/>
      <c r="B1587" s="155"/>
      <c r="C1587" s="155"/>
      <c r="D1587" s="739"/>
      <c r="E1587" s="342"/>
    </row>
    <row r="1588" spans="1:9" ht="15" hidden="1" customHeight="1" x14ac:dyDescent="0.35">
      <c r="A1588" s="32" t="s">
        <v>3362</v>
      </c>
      <c r="B1588" s="4"/>
      <c r="C1588" s="4"/>
      <c r="D1588" s="706" t="s">
        <v>3363</v>
      </c>
      <c r="E1588" s="696">
        <f>'Verification Report'!O1590</f>
        <v>7</v>
      </c>
    </row>
    <row r="1589" spans="1:9" ht="15.75" hidden="1" customHeight="1" x14ac:dyDescent="0.35">
      <c r="A1589" s="108"/>
      <c r="B1589" s="4"/>
      <c r="C1589" s="4"/>
      <c r="D1589" s="706"/>
      <c r="E1589" s="696">
        <f>'Verification Report'!O1591</f>
        <v>0</v>
      </c>
    </row>
    <row r="1590" spans="1:9" ht="15.75" hidden="1" customHeight="1" x14ac:dyDescent="0.35">
      <c r="A1590" s="353"/>
      <c r="B1590" s="155"/>
      <c r="C1590" s="155"/>
      <c r="D1590" s="739"/>
      <c r="E1590" s="697">
        <f>'Verification Report'!O1592</f>
        <v>0</v>
      </c>
    </row>
    <row r="1591" spans="1:9" ht="15.75" hidden="1" customHeight="1" x14ac:dyDescent="0.35">
      <c r="A1591" s="32" t="s">
        <v>3364</v>
      </c>
      <c r="B1591" s="4"/>
      <c r="C1591" s="4"/>
      <c r="D1591" s="110" t="s">
        <v>3365</v>
      </c>
      <c r="E1591" s="85">
        <f ca="1">'Verification Report'!O1593</f>
        <v>0</v>
      </c>
    </row>
    <row r="1592" spans="1:9" ht="15.75" hidden="1" customHeight="1" x14ac:dyDescent="0.35">
      <c r="A1592" s="108"/>
      <c r="B1592" s="148" t="s">
        <v>270</v>
      </c>
      <c r="C1592" s="155"/>
      <c r="D1592" s="214" t="s">
        <v>3366</v>
      </c>
      <c r="E1592" s="85"/>
    </row>
    <row r="1593" spans="1:9" ht="15.75" hidden="1" customHeight="1" thickBot="1" x14ac:dyDescent="0.4">
      <c r="A1593" s="328"/>
      <c r="B1593" s="133" t="s">
        <v>272</v>
      </c>
      <c r="C1593" s="183"/>
      <c r="D1593" s="223" t="s">
        <v>3367</v>
      </c>
      <c r="E1593" s="184"/>
    </row>
    <row r="1594" spans="1:9" ht="15" thickTop="1" x14ac:dyDescent="0.35">
      <c r="A1594" s="123">
        <v>901.2</v>
      </c>
      <c r="B1594" s="124"/>
      <c r="C1594" s="124"/>
      <c r="D1594" s="222" t="s">
        <v>3368</v>
      </c>
      <c r="E1594" s="341"/>
      <c r="G1594">
        <v>1</v>
      </c>
    </row>
    <row r="1595" spans="1:9" ht="15" customHeight="1" x14ac:dyDescent="0.35">
      <c r="A1595" s="32" t="s">
        <v>3369</v>
      </c>
      <c r="B1595" s="4"/>
      <c r="C1595" s="4"/>
      <c r="D1595" s="706" t="s">
        <v>3370</v>
      </c>
      <c r="E1595" s="85"/>
      <c r="G1595">
        <v>1</v>
      </c>
      <c r="H1595" s="571"/>
      <c r="I1595" t="s">
        <v>4661</v>
      </c>
    </row>
    <row r="1596" spans="1:9" x14ac:dyDescent="0.35">
      <c r="A1596" s="108"/>
      <c r="B1596" s="4"/>
      <c r="C1596" s="4"/>
      <c r="D1596" s="706"/>
      <c r="E1596" s="85"/>
      <c r="G1596">
        <v>1</v>
      </c>
    </row>
    <row r="1597" spans="1:9" ht="15" customHeight="1" x14ac:dyDescent="0.35">
      <c r="A1597" s="108"/>
      <c r="B1597" s="19" t="s">
        <v>270</v>
      </c>
      <c r="C1597" s="4"/>
      <c r="D1597" s="707" t="s">
        <v>3371</v>
      </c>
      <c r="E1597" s="696">
        <f>'Verification Report'!O1599</f>
        <v>0</v>
      </c>
      <c r="G1597">
        <v>1</v>
      </c>
    </row>
    <row r="1598" spans="1:9" x14ac:dyDescent="0.35">
      <c r="A1598" s="108"/>
      <c r="B1598" s="4"/>
      <c r="C1598" s="4"/>
      <c r="D1598" s="707"/>
      <c r="E1598" s="696">
        <f>'Verification Report'!O1600</f>
        <v>0</v>
      </c>
      <c r="G1598">
        <v>1</v>
      </c>
    </row>
    <row r="1599" spans="1:9" x14ac:dyDescent="0.35">
      <c r="A1599" s="108"/>
      <c r="B1599" s="155"/>
      <c r="C1599" s="155"/>
      <c r="D1599" s="709"/>
      <c r="E1599" s="697">
        <f>'Verification Report'!O1601</f>
        <v>0</v>
      </c>
      <c r="G1599">
        <v>1</v>
      </c>
    </row>
    <row r="1600" spans="1:9" ht="15" customHeight="1" x14ac:dyDescent="0.35">
      <c r="A1600" s="108"/>
      <c r="B1600" s="19" t="s">
        <v>272</v>
      </c>
      <c r="C1600" s="4"/>
      <c r="D1600" s="707" t="s">
        <v>3372</v>
      </c>
      <c r="E1600" s="696">
        <f>'Verification Report'!O1602</f>
        <v>0</v>
      </c>
      <c r="G1600">
        <v>1</v>
      </c>
    </row>
    <row r="1601" spans="1:9" x14ac:dyDescent="0.35">
      <c r="A1601" s="108"/>
      <c r="B1601" s="148"/>
      <c r="C1601" s="155"/>
      <c r="D1601" s="709"/>
      <c r="E1601" s="697">
        <f>'Verification Report'!O1603</f>
        <v>0</v>
      </c>
      <c r="G1601">
        <v>1</v>
      </c>
    </row>
    <row r="1602" spans="1:9" ht="15" customHeight="1" x14ac:dyDescent="0.35">
      <c r="A1602" s="108"/>
      <c r="B1602" s="19" t="s">
        <v>274</v>
      </c>
      <c r="C1602" s="4"/>
      <c r="D1602" s="707" t="s">
        <v>3373</v>
      </c>
      <c r="E1602" s="696">
        <f>'Verification Report'!O1604</f>
        <v>0</v>
      </c>
      <c r="G1602">
        <v>1</v>
      </c>
    </row>
    <row r="1603" spans="1:9" x14ac:dyDescent="0.35">
      <c r="A1603" s="108"/>
      <c r="B1603" s="19"/>
      <c r="C1603" s="4"/>
      <c r="D1603" s="707"/>
      <c r="E1603" s="696">
        <f>'Verification Report'!O1605</f>
        <v>0</v>
      </c>
      <c r="G1603">
        <v>1</v>
      </c>
    </row>
    <row r="1604" spans="1:9" x14ac:dyDescent="0.35">
      <c r="A1604" s="108"/>
      <c r="B1604" s="148"/>
      <c r="C1604" s="155"/>
      <c r="D1604" s="709"/>
      <c r="E1604" s="697">
        <f>'Verification Report'!O1606</f>
        <v>0</v>
      </c>
      <c r="G1604">
        <v>1</v>
      </c>
    </row>
    <row r="1605" spans="1:9" ht="15" customHeight="1" x14ac:dyDescent="0.35">
      <c r="A1605" s="108"/>
      <c r="B1605" s="19" t="s">
        <v>283</v>
      </c>
      <c r="C1605" s="4"/>
      <c r="D1605" s="723" t="s">
        <v>3374</v>
      </c>
      <c r="E1605" s="696">
        <f>'Verification Report'!O1607</f>
        <v>0</v>
      </c>
      <c r="G1605">
        <v>1</v>
      </c>
    </row>
    <row r="1606" spans="1:9" x14ac:dyDescent="0.35">
      <c r="A1606" s="108"/>
      <c r="B1606" s="148"/>
      <c r="C1606" s="155"/>
      <c r="D1606" s="724"/>
      <c r="E1606" s="697">
        <f>'Verification Report'!O1608</f>
        <v>0</v>
      </c>
      <c r="G1606">
        <v>1</v>
      </c>
    </row>
    <row r="1607" spans="1:9" ht="15" customHeight="1" x14ac:dyDescent="0.35">
      <c r="A1607" s="108"/>
      <c r="B1607" s="19" t="s">
        <v>289</v>
      </c>
      <c r="C1607" s="4"/>
      <c r="D1607" s="707" t="s">
        <v>3375</v>
      </c>
      <c r="E1607" s="696">
        <f>'Verification Report'!O1609</f>
        <v>0</v>
      </c>
      <c r="G1607">
        <v>1</v>
      </c>
    </row>
    <row r="1608" spans="1:9" x14ac:dyDescent="0.35">
      <c r="A1608" s="353"/>
      <c r="B1608" s="148"/>
      <c r="C1608" s="155"/>
      <c r="D1608" s="709"/>
      <c r="E1608" s="697">
        <f>'Verification Report'!O1610</f>
        <v>0</v>
      </c>
      <c r="G1608">
        <v>1</v>
      </c>
    </row>
    <row r="1609" spans="1:9" ht="15" thickBot="1" x14ac:dyDescent="0.4">
      <c r="A1609" s="132" t="s">
        <v>3376</v>
      </c>
      <c r="B1609" s="183"/>
      <c r="C1609" s="183"/>
      <c r="D1609" s="354" t="s">
        <v>3377</v>
      </c>
      <c r="E1609" s="184">
        <f>'Verification Report'!O1611</f>
        <v>0</v>
      </c>
      <c r="G1609">
        <v>1</v>
      </c>
      <c r="H1609" s="571"/>
      <c r="I1609" t="s">
        <v>4661</v>
      </c>
    </row>
    <row r="1610" spans="1:9" ht="15" thickTop="1" x14ac:dyDescent="0.35">
      <c r="A1610" s="32">
        <v>901.3</v>
      </c>
      <c r="B1610" s="4"/>
      <c r="C1610" s="4"/>
      <c r="D1610" s="110" t="s">
        <v>3378</v>
      </c>
      <c r="E1610" s="85"/>
      <c r="G1610">
        <v>1</v>
      </c>
    </row>
    <row r="1611" spans="1:9" x14ac:dyDescent="0.35">
      <c r="A1611" s="108"/>
      <c r="B1611" s="19" t="s">
        <v>270</v>
      </c>
      <c r="C1611" s="4"/>
      <c r="D1611" s="104" t="s">
        <v>3379</v>
      </c>
      <c r="E1611" s="85"/>
      <c r="G1611">
        <v>1</v>
      </c>
      <c r="H1611" s="571"/>
      <c r="I1611" t="s">
        <v>4662</v>
      </c>
    </row>
    <row r="1612" spans="1:9" ht="15" customHeight="1" x14ac:dyDescent="0.35">
      <c r="A1612" s="108"/>
      <c r="B1612" s="4"/>
      <c r="C1612" s="19" t="s">
        <v>121</v>
      </c>
      <c r="D1612" s="707" t="s">
        <v>3380</v>
      </c>
      <c r="E1612" s="696">
        <f>'Verification Report'!O1614</f>
        <v>0</v>
      </c>
      <c r="G1612">
        <v>1</v>
      </c>
    </row>
    <row r="1613" spans="1:9" x14ac:dyDescent="0.35">
      <c r="A1613" s="108"/>
      <c r="B1613" s="4"/>
      <c r="C1613" s="148"/>
      <c r="D1613" s="709"/>
      <c r="E1613" s="697">
        <f>'Verification Report'!O1615</f>
        <v>0</v>
      </c>
      <c r="G1613">
        <v>1</v>
      </c>
    </row>
    <row r="1614" spans="1:9" ht="15" customHeight="1" x14ac:dyDescent="0.35">
      <c r="A1614" s="108"/>
      <c r="B1614" s="4"/>
      <c r="C1614" s="19" t="s">
        <v>122</v>
      </c>
      <c r="D1614" s="707" t="s">
        <v>3381</v>
      </c>
      <c r="E1614" s="696">
        <f>'Verification Report'!O1616</f>
        <v>0</v>
      </c>
      <c r="G1614">
        <v>1</v>
      </c>
    </row>
    <row r="1615" spans="1:9" x14ac:dyDescent="0.35">
      <c r="A1615" s="108"/>
      <c r="B1615" s="4"/>
      <c r="C1615" s="155"/>
      <c r="D1615" s="709"/>
      <c r="E1615" s="697">
        <f>'Verification Report'!O1617</f>
        <v>0</v>
      </c>
      <c r="G1615">
        <v>1</v>
      </c>
    </row>
    <row r="1616" spans="1:9" ht="15" customHeight="1" x14ac:dyDescent="0.35">
      <c r="A1616" s="108"/>
      <c r="B1616" s="4"/>
      <c r="C1616" s="19" t="s">
        <v>123</v>
      </c>
      <c r="D1616" s="707" t="s">
        <v>3382</v>
      </c>
      <c r="E1616" s="696">
        <f ca="1">'Verification Report'!O1618</f>
        <v>0</v>
      </c>
      <c r="G1616">
        <v>1</v>
      </c>
    </row>
    <row r="1617" spans="1:9" x14ac:dyDescent="0.35">
      <c r="A1617" s="108"/>
      <c r="B1617" s="4"/>
      <c r="C1617" s="4"/>
      <c r="D1617" s="707"/>
      <c r="E1617" s="696">
        <f>'Verification Report'!O1619</f>
        <v>0</v>
      </c>
      <c r="G1617">
        <v>1</v>
      </c>
    </row>
    <row r="1618" spans="1:9" x14ac:dyDescent="0.35">
      <c r="A1618" s="108"/>
      <c r="B1618" s="4"/>
      <c r="C1618" s="4"/>
      <c r="D1618" s="707"/>
      <c r="E1618" s="696">
        <f>'Verification Report'!O1620</f>
        <v>0</v>
      </c>
      <c r="G1618">
        <v>1</v>
      </c>
    </row>
    <row r="1619" spans="1:9" x14ac:dyDescent="0.35">
      <c r="A1619" s="108"/>
      <c r="B1619" s="4"/>
      <c r="C1619" s="4"/>
      <c r="D1619" s="707"/>
      <c r="E1619" s="696">
        <f>'Verification Report'!O1621</f>
        <v>0</v>
      </c>
      <c r="G1619">
        <v>1</v>
      </c>
    </row>
    <row r="1620" spans="1:9" x14ac:dyDescent="0.35">
      <c r="A1620" s="108"/>
      <c r="B1620" s="4"/>
      <c r="C1620" s="4"/>
      <c r="D1620" s="707"/>
      <c r="E1620" s="696">
        <f>'Verification Report'!O1622</f>
        <v>0</v>
      </c>
      <c r="G1620">
        <v>1</v>
      </c>
    </row>
    <row r="1621" spans="1:9" x14ac:dyDescent="0.35">
      <c r="A1621" s="108"/>
      <c r="B1621" s="155"/>
      <c r="C1621" s="155"/>
      <c r="D1621" s="709"/>
      <c r="E1621" s="697">
        <f>'Verification Report'!O1623</f>
        <v>0</v>
      </c>
      <c r="G1621">
        <v>1</v>
      </c>
    </row>
    <row r="1622" spans="1:9" ht="15" customHeight="1" thickBot="1" x14ac:dyDescent="0.4">
      <c r="A1622" s="328"/>
      <c r="B1622" s="133" t="s">
        <v>272</v>
      </c>
      <c r="C1622" s="183"/>
      <c r="D1622" s="223" t="s">
        <v>3383</v>
      </c>
      <c r="E1622" s="184">
        <f>'Verification Report'!O1624</f>
        <v>10</v>
      </c>
      <c r="G1622">
        <v>1</v>
      </c>
      <c r="H1622" s="571"/>
      <c r="I1622" t="s">
        <v>4662</v>
      </c>
    </row>
    <row r="1623" spans="1:9" ht="15.75" hidden="1" customHeight="1" thickTop="1" x14ac:dyDescent="0.35">
      <c r="A1623" s="32">
        <v>901.4</v>
      </c>
      <c r="B1623" s="4"/>
      <c r="C1623" s="4"/>
      <c r="D1623" s="707" t="s">
        <v>3384</v>
      </c>
      <c r="E1623" s="694">
        <f ca="1">'Verification Report'!O1625</f>
        <v>0</v>
      </c>
    </row>
    <row r="1624" spans="1:9" ht="15" hidden="1" thickTop="1" x14ac:dyDescent="0.35">
      <c r="A1624" s="108"/>
      <c r="B1624" s="4"/>
      <c r="C1624" s="4"/>
      <c r="D1624" s="707"/>
      <c r="E1624" s="696">
        <f>'Verification Report'!O1626</f>
        <v>0</v>
      </c>
    </row>
    <row r="1625" spans="1:9" ht="15" hidden="1" thickTop="1" x14ac:dyDescent="0.35">
      <c r="A1625" s="108"/>
      <c r="B1625" s="4"/>
      <c r="C1625" s="4"/>
      <c r="D1625" s="707"/>
      <c r="E1625" s="696">
        <f>'Verification Report'!O1627</f>
        <v>0</v>
      </c>
    </row>
    <row r="1626" spans="1:9" ht="15" hidden="1" customHeight="1" x14ac:dyDescent="0.35">
      <c r="A1626" s="108"/>
      <c r="B1626" s="19" t="s">
        <v>270</v>
      </c>
      <c r="C1626" s="4"/>
      <c r="D1626" s="707" t="s">
        <v>3385</v>
      </c>
    </row>
    <row r="1627" spans="1:9" ht="15.75" hidden="1" customHeight="1" x14ac:dyDescent="0.35">
      <c r="A1627" s="108"/>
      <c r="B1627" s="4"/>
      <c r="C1627" s="4"/>
      <c r="D1627" s="707"/>
      <c r="E1627" s="85"/>
    </row>
    <row r="1628" spans="1:9" ht="15.75" hidden="1" customHeight="1" x14ac:dyDescent="0.35">
      <c r="A1628" s="108"/>
      <c r="B1628" s="4"/>
      <c r="C1628" s="4"/>
      <c r="D1628" s="707"/>
      <c r="E1628" s="85"/>
    </row>
    <row r="1629" spans="1:9" ht="15.75" hidden="1" customHeight="1" x14ac:dyDescent="0.35">
      <c r="A1629" s="108"/>
      <c r="B1629" s="4"/>
      <c r="C1629" s="4"/>
      <c r="D1629" s="707"/>
      <c r="E1629" s="85"/>
    </row>
    <row r="1630" spans="1:9" ht="15.75" hidden="1" customHeight="1" x14ac:dyDescent="0.35">
      <c r="A1630" s="108"/>
      <c r="B1630" s="155"/>
      <c r="C1630" s="155"/>
      <c r="D1630" s="121" t="s">
        <v>4319</v>
      </c>
      <c r="E1630" s="85"/>
    </row>
    <row r="1631" spans="1:9" ht="15.75" hidden="1" customHeight="1" x14ac:dyDescent="0.35">
      <c r="A1631" s="108"/>
      <c r="B1631" s="4"/>
      <c r="C1631" s="4"/>
      <c r="D1631" s="104" t="s">
        <v>3907</v>
      </c>
      <c r="E1631" s="85"/>
    </row>
    <row r="1632" spans="1:9" ht="15.75" hidden="1" customHeight="1" x14ac:dyDescent="0.35">
      <c r="A1632" s="108"/>
      <c r="B1632" s="4"/>
      <c r="C1632" s="4"/>
      <c r="D1632" s="104" t="s">
        <v>3908</v>
      </c>
      <c r="E1632" s="85"/>
    </row>
    <row r="1633" spans="1:5" ht="15.75" hidden="1" customHeight="1" x14ac:dyDescent="0.35">
      <c r="A1633" s="108"/>
      <c r="B1633" s="4"/>
      <c r="C1633" s="4"/>
      <c r="D1633" s="104" t="s">
        <v>3909</v>
      </c>
      <c r="E1633" s="85"/>
    </row>
    <row r="1634" spans="1:5" ht="15.75" hidden="1" customHeight="1" x14ac:dyDescent="0.35">
      <c r="A1634" s="108"/>
      <c r="B1634" s="4"/>
      <c r="C1634" s="4"/>
      <c r="D1634" s="104" t="s">
        <v>3910</v>
      </c>
      <c r="E1634" s="85"/>
    </row>
    <row r="1635" spans="1:5" ht="15" hidden="1" customHeight="1" x14ac:dyDescent="0.35">
      <c r="A1635" s="108"/>
      <c r="B1635" s="19" t="s">
        <v>272</v>
      </c>
      <c r="C1635" s="4"/>
      <c r="D1635" s="707" t="s">
        <v>3386</v>
      </c>
      <c r="E1635" s="85"/>
    </row>
    <row r="1636" spans="1:5" ht="15.75" hidden="1" customHeight="1" x14ac:dyDescent="0.35">
      <c r="A1636" s="108"/>
      <c r="B1636" s="155"/>
      <c r="C1636" s="155"/>
      <c r="D1636" s="709"/>
      <c r="E1636" s="85"/>
    </row>
    <row r="1637" spans="1:5" ht="15.75" hidden="1" customHeight="1" x14ac:dyDescent="0.35">
      <c r="A1637" s="108"/>
      <c r="B1637" s="148" t="s">
        <v>274</v>
      </c>
      <c r="C1637" s="155"/>
      <c r="D1637" s="214" t="s">
        <v>3387</v>
      </c>
      <c r="E1637" s="85"/>
    </row>
    <row r="1638" spans="1:5" ht="15.75" hidden="1" customHeight="1" x14ac:dyDescent="0.35">
      <c r="A1638" s="108"/>
      <c r="B1638" s="148" t="s">
        <v>283</v>
      </c>
      <c r="C1638" s="155"/>
      <c r="D1638" s="214" t="s">
        <v>3388</v>
      </c>
      <c r="E1638" s="85"/>
    </row>
    <row r="1639" spans="1:5" ht="15" hidden="1" customHeight="1" x14ac:dyDescent="0.35">
      <c r="A1639" s="108"/>
      <c r="B1639" s="19" t="s">
        <v>289</v>
      </c>
      <c r="C1639" s="4"/>
      <c r="D1639" s="707" t="s">
        <v>3389</v>
      </c>
      <c r="E1639" s="85"/>
    </row>
    <row r="1640" spans="1:5" ht="15.75" hidden="1" customHeight="1" x14ac:dyDescent="0.35">
      <c r="A1640" s="108"/>
      <c r="B1640" s="148"/>
      <c r="C1640" s="155"/>
      <c r="D1640" s="709"/>
      <c r="E1640" s="85"/>
    </row>
    <row r="1641" spans="1:5" ht="16.5" hidden="1" customHeight="1" thickBot="1" x14ac:dyDescent="0.4">
      <c r="A1641" s="328"/>
      <c r="B1641" s="133" t="s">
        <v>291</v>
      </c>
      <c r="C1641" s="183"/>
      <c r="D1641" s="223" t="s">
        <v>3390</v>
      </c>
      <c r="E1641" s="184"/>
    </row>
    <row r="1642" spans="1:5" ht="15.75" hidden="1" customHeight="1" thickTop="1" x14ac:dyDescent="0.35">
      <c r="A1642" s="32">
        <v>901.5</v>
      </c>
      <c r="B1642" s="4"/>
      <c r="C1642" s="4"/>
      <c r="D1642" s="706" t="s">
        <v>3391</v>
      </c>
      <c r="E1642" s="85"/>
    </row>
    <row r="1643" spans="1:5" ht="15" hidden="1" thickTop="1" x14ac:dyDescent="0.35">
      <c r="A1643" s="108"/>
      <c r="B1643" s="4"/>
      <c r="C1643" s="4"/>
      <c r="D1643" s="706"/>
      <c r="E1643" s="85"/>
    </row>
    <row r="1644" spans="1:5" ht="15" hidden="1" thickTop="1" x14ac:dyDescent="0.35">
      <c r="A1644" s="108"/>
      <c r="B1644" s="4"/>
      <c r="C1644" s="4"/>
      <c r="D1644" s="107" t="s">
        <v>3392</v>
      </c>
      <c r="E1644" s="85"/>
    </row>
    <row r="1645" spans="1:5" ht="15" hidden="1" customHeight="1" x14ac:dyDescent="0.35">
      <c r="A1645" s="108"/>
      <c r="B1645" s="19" t="s">
        <v>270</v>
      </c>
      <c r="C1645" s="4"/>
      <c r="D1645" s="707" t="s">
        <v>3393</v>
      </c>
      <c r="E1645" s="696">
        <f>'Verification Report'!O1647</f>
        <v>0</v>
      </c>
    </row>
    <row r="1646" spans="1:5" ht="15.75" hidden="1" customHeight="1" x14ac:dyDescent="0.35">
      <c r="A1646" s="108"/>
      <c r="B1646" s="155"/>
      <c r="C1646" s="155"/>
      <c r="D1646" s="709"/>
      <c r="E1646" s="697">
        <f>'Verification Report'!O1648</f>
        <v>0</v>
      </c>
    </row>
    <row r="1647" spans="1:5" ht="15" hidden="1" customHeight="1" x14ac:dyDescent="0.35">
      <c r="A1647" s="108"/>
      <c r="B1647" s="19" t="s">
        <v>272</v>
      </c>
      <c r="C1647" s="4"/>
      <c r="D1647" s="707" t="s">
        <v>3394</v>
      </c>
      <c r="E1647" s="696">
        <f>'Verification Report'!O1649</f>
        <v>0</v>
      </c>
    </row>
    <row r="1648" spans="1:5" ht="15.75" hidden="1" customHeight="1" x14ac:dyDescent="0.35">
      <c r="A1648" s="108"/>
      <c r="B1648" s="4"/>
      <c r="C1648" s="4"/>
      <c r="D1648" s="707"/>
      <c r="E1648" s="696">
        <f>'Verification Report'!O1650</f>
        <v>0</v>
      </c>
    </row>
    <row r="1649" spans="1:5" ht="16.5" hidden="1" customHeight="1" thickBot="1" x14ac:dyDescent="0.4">
      <c r="A1649" s="328"/>
      <c r="B1649" s="183"/>
      <c r="C1649" s="183"/>
      <c r="D1649" s="708"/>
      <c r="E1649" s="695">
        <f>'Verification Report'!O1651</f>
        <v>0</v>
      </c>
    </row>
    <row r="1650" spans="1:5" ht="15.75" hidden="1" customHeight="1" thickTop="1" x14ac:dyDescent="0.35">
      <c r="A1650" s="123">
        <v>901.6</v>
      </c>
      <c r="B1650" s="124"/>
      <c r="C1650" s="124"/>
      <c r="D1650" s="711" t="s">
        <v>3395</v>
      </c>
      <c r="E1650" s="341"/>
    </row>
    <row r="1651" spans="1:5" ht="16.5" hidden="1" customHeight="1" thickBot="1" x14ac:dyDescent="0.4">
      <c r="A1651" s="328"/>
      <c r="B1651" s="183"/>
      <c r="C1651" s="183"/>
      <c r="D1651" s="710"/>
      <c r="E1651" s="184"/>
    </row>
    <row r="1652" spans="1:5" ht="15.75" hidden="1" customHeight="1" thickTop="1" x14ac:dyDescent="0.35">
      <c r="A1652" s="32">
        <v>901.7</v>
      </c>
      <c r="B1652" s="4"/>
      <c r="C1652" s="4"/>
      <c r="D1652" s="706" t="s">
        <v>3396</v>
      </c>
      <c r="E1652" s="696">
        <f>'Verification Report'!O1654</f>
        <v>0</v>
      </c>
    </row>
    <row r="1653" spans="1:5" ht="15" hidden="1" thickTop="1" x14ac:dyDescent="0.35">
      <c r="A1653" s="108"/>
      <c r="B1653" s="4"/>
      <c r="C1653" s="4"/>
      <c r="D1653" s="706"/>
      <c r="E1653" s="696">
        <f>'Verification Report'!O1655</f>
        <v>0</v>
      </c>
    </row>
    <row r="1654" spans="1:5" ht="15" hidden="1" thickTop="1" x14ac:dyDescent="0.35">
      <c r="A1654" s="108"/>
      <c r="B1654" s="4"/>
      <c r="C1654" s="4"/>
      <c r="D1654" s="706"/>
      <c r="E1654" s="696">
        <f>'Verification Report'!O1656</f>
        <v>0</v>
      </c>
    </row>
    <row r="1655" spans="1:5" ht="15" hidden="1" thickTop="1" x14ac:dyDescent="0.35">
      <c r="A1655" s="108"/>
      <c r="B1655" s="4"/>
      <c r="C1655" s="4"/>
      <c r="D1655" s="706"/>
      <c r="E1655" s="696">
        <f>'Verification Report'!O1657</f>
        <v>0</v>
      </c>
    </row>
    <row r="1656" spans="1:5" ht="15" hidden="1" thickTop="1" x14ac:dyDescent="0.35">
      <c r="A1656" s="108"/>
      <c r="B1656" s="4"/>
      <c r="C1656" s="4"/>
      <c r="D1656" s="706"/>
      <c r="E1656" s="696">
        <f>'Verification Report'!O1658</f>
        <v>0</v>
      </c>
    </row>
    <row r="1657" spans="1:5" ht="15" hidden="1" customHeight="1" x14ac:dyDescent="0.35">
      <c r="A1657" s="108"/>
      <c r="B1657" s="4"/>
      <c r="C1657" s="4"/>
      <c r="D1657" s="752" t="s">
        <v>3397</v>
      </c>
      <c r="E1657" s="696">
        <f>'Verification Report'!O1659</f>
        <v>0</v>
      </c>
    </row>
    <row r="1658" spans="1:5" ht="15" hidden="1" thickTop="1" x14ac:dyDescent="0.35">
      <c r="A1658" s="108"/>
      <c r="B1658" s="4"/>
      <c r="C1658" s="4"/>
      <c r="D1658" s="752"/>
      <c r="E1658" s="696">
        <f>'Verification Report'!O1660</f>
        <v>0</v>
      </c>
    </row>
    <row r="1659" spans="1:5" ht="15" hidden="1" customHeight="1" x14ac:dyDescent="0.35">
      <c r="A1659" s="108"/>
      <c r="B1659" s="19" t="s">
        <v>270</v>
      </c>
      <c r="C1659" s="4"/>
      <c r="D1659" s="707" t="s">
        <v>3398</v>
      </c>
      <c r="E1659" s="85"/>
    </row>
    <row r="1660" spans="1:5" ht="15.75" hidden="1" customHeight="1" x14ac:dyDescent="0.35">
      <c r="A1660" s="108"/>
      <c r="B1660" s="4"/>
      <c r="C1660" s="4"/>
      <c r="D1660" s="707"/>
      <c r="E1660" s="85"/>
    </row>
    <row r="1661" spans="1:5" ht="15.75" hidden="1" customHeight="1" x14ac:dyDescent="0.35">
      <c r="A1661" s="108"/>
      <c r="B1661" s="4"/>
      <c r="C1661" s="4"/>
      <c r="D1661" s="707"/>
      <c r="E1661" s="85"/>
    </row>
    <row r="1662" spans="1:5" ht="15.75" hidden="1" customHeight="1" x14ac:dyDescent="0.35">
      <c r="A1662" s="108"/>
      <c r="B1662" s="4"/>
      <c r="C1662" s="4"/>
      <c r="D1662" s="707"/>
      <c r="E1662" s="85"/>
    </row>
    <row r="1663" spans="1:5" ht="15.75" hidden="1" customHeight="1" x14ac:dyDescent="0.35">
      <c r="A1663" s="108"/>
      <c r="B1663" s="4"/>
      <c r="C1663" s="19" t="s">
        <v>121</v>
      </c>
      <c r="D1663" s="104" t="s">
        <v>3399</v>
      </c>
      <c r="E1663" s="85"/>
    </row>
    <row r="1664" spans="1:5" ht="15.75" hidden="1" customHeight="1" x14ac:dyDescent="0.35">
      <c r="A1664" s="108"/>
      <c r="B1664" s="4"/>
      <c r="C1664" s="19" t="s">
        <v>122</v>
      </c>
      <c r="D1664" s="104" t="s">
        <v>3400</v>
      </c>
      <c r="E1664" s="85"/>
    </row>
    <row r="1665" spans="1:5" ht="15.75" hidden="1" customHeight="1" x14ac:dyDescent="0.35">
      <c r="A1665" s="108"/>
      <c r="B1665" s="4"/>
      <c r="C1665" s="19" t="s">
        <v>123</v>
      </c>
      <c r="D1665" s="104" t="s">
        <v>3401</v>
      </c>
      <c r="E1665" s="85"/>
    </row>
    <row r="1666" spans="1:5" ht="15.75" hidden="1" customHeight="1" x14ac:dyDescent="0.35">
      <c r="A1666" s="108"/>
      <c r="B1666" s="4"/>
      <c r="C1666" s="19" t="s">
        <v>420</v>
      </c>
      <c r="D1666" s="104" t="s">
        <v>3402</v>
      </c>
      <c r="E1666" s="85"/>
    </row>
    <row r="1667" spans="1:5" ht="15.75" hidden="1" customHeight="1" x14ac:dyDescent="0.35">
      <c r="A1667" s="108"/>
      <c r="B1667" s="4"/>
      <c r="C1667" s="19" t="s">
        <v>575</v>
      </c>
      <c r="D1667" s="104" t="s">
        <v>3403</v>
      </c>
      <c r="E1667" s="85"/>
    </row>
    <row r="1668" spans="1:5" ht="15.75" hidden="1" customHeight="1" x14ac:dyDescent="0.35">
      <c r="A1668" s="108"/>
      <c r="B1668" s="155"/>
      <c r="C1668" s="148" t="s">
        <v>642</v>
      </c>
      <c r="D1668" s="214" t="s">
        <v>3404</v>
      </c>
      <c r="E1668" s="85"/>
    </row>
    <row r="1669" spans="1:5" ht="15.75" hidden="1" customHeight="1" x14ac:dyDescent="0.35">
      <c r="A1669" s="108"/>
      <c r="B1669" s="148" t="s">
        <v>272</v>
      </c>
      <c r="C1669" s="155"/>
      <c r="D1669" s="214" t="s">
        <v>4101</v>
      </c>
      <c r="E1669" s="85"/>
    </row>
    <row r="1670" spans="1:5" ht="15.75" hidden="1" customHeight="1" x14ac:dyDescent="0.35">
      <c r="A1670" s="108"/>
      <c r="B1670" s="19" t="s">
        <v>274</v>
      </c>
      <c r="C1670" s="4"/>
      <c r="D1670" s="104" t="s">
        <v>3911</v>
      </c>
      <c r="E1670" s="85"/>
    </row>
    <row r="1671" spans="1:5" ht="15" hidden="1" customHeight="1" x14ac:dyDescent="0.35">
      <c r="A1671" s="108"/>
      <c r="B1671" s="4"/>
      <c r="C1671" s="4"/>
      <c r="D1671" s="752" t="s">
        <v>3405</v>
      </c>
      <c r="E1671" s="85"/>
    </row>
    <row r="1672" spans="1:5" ht="16.5" hidden="1" customHeight="1" thickBot="1" x14ac:dyDescent="0.4">
      <c r="A1672" s="328"/>
      <c r="B1672" s="183"/>
      <c r="C1672" s="183"/>
      <c r="D1672" s="779"/>
      <c r="E1672" s="184"/>
    </row>
    <row r="1673" spans="1:5" ht="15.75" hidden="1" customHeight="1" thickTop="1" x14ac:dyDescent="0.35">
      <c r="A1673" s="123">
        <v>901.8</v>
      </c>
      <c r="B1673" s="124"/>
      <c r="C1673" s="124"/>
      <c r="D1673" s="711" t="s">
        <v>3406</v>
      </c>
      <c r="E1673" s="694">
        <f>'Verification Report'!O1675</f>
        <v>0</v>
      </c>
    </row>
    <row r="1674" spans="1:5" ht="15.75" hidden="1" customHeight="1" x14ac:dyDescent="0.35">
      <c r="A1674" s="108"/>
      <c r="B1674" s="4"/>
      <c r="C1674" s="4"/>
      <c r="D1674" s="706"/>
      <c r="E1674" s="696">
        <f>'Verification Report'!O1676</f>
        <v>0</v>
      </c>
    </row>
    <row r="1675" spans="1:5" ht="15.75" hidden="1" customHeight="1" x14ac:dyDescent="0.35">
      <c r="A1675" s="108"/>
      <c r="B1675" s="4"/>
      <c r="C1675" s="4"/>
      <c r="D1675" s="706"/>
      <c r="E1675" s="696">
        <f>'Verification Report'!O1677</f>
        <v>0</v>
      </c>
    </row>
    <row r="1676" spans="1:5" ht="15.75" hidden="1" customHeight="1" x14ac:dyDescent="0.35">
      <c r="A1676" s="108"/>
      <c r="B1676" s="4"/>
      <c r="C1676" s="4"/>
      <c r="D1676" s="706"/>
      <c r="E1676" s="696">
        <f>'Verification Report'!O1678</f>
        <v>0</v>
      </c>
    </row>
    <row r="1677" spans="1:5" ht="15.75" hidden="1" customHeight="1" x14ac:dyDescent="0.35">
      <c r="A1677" s="108"/>
      <c r="B1677" s="4"/>
      <c r="C1677" s="4"/>
      <c r="D1677" s="706"/>
      <c r="E1677" s="696">
        <f>'Verification Report'!O1679</f>
        <v>0</v>
      </c>
    </row>
    <row r="1678" spans="1:5" ht="16.5" hidden="1" customHeight="1" thickBot="1" x14ac:dyDescent="0.4">
      <c r="A1678" s="328"/>
      <c r="B1678" s="183"/>
      <c r="C1678" s="183"/>
      <c r="D1678" s="710"/>
      <c r="E1678" s="695">
        <f>'Verification Report'!O1680</f>
        <v>0</v>
      </c>
    </row>
    <row r="1679" spans="1:5" ht="15.75" hidden="1" customHeight="1" thickTop="1" x14ac:dyDescent="0.35">
      <c r="A1679" s="123">
        <v>901.9</v>
      </c>
      <c r="B1679" s="124"/>
      <c r="C1679" s="124"/>
      <c r="D1679" s="711" t="s">
        <v>3407</v>
      </c>
      <c r="E1679" s="341"/>
    </row>
    <row r="1680" spans="1:5" ht="15.75" hidden="1" customHeight="1" x14ac:dyDescent="0.35">
      <c r="A1680" s="108"/>
      <c r="B1680" s="4"/>
      <c r="C1680" s="4"/>
      <c r="D1680" s="706"/>
      <c r="E1680" s="85"/>
    </row>
    <row r="1681" spans="1:5" ht="15.75" hidden="1" customHeight="1" x14ac:dyDescent="0.35">
      <c r="A1681" s="108"/>
      <c r="B1681" s="4"/>
      <c r="C1681" s="4"/>
      <c r="D1681" s="706"/>
      <c r="E1681" s="85"/>
    </row>
    <row r="1682" spans="1:5" ht="15" hidden="1" customHeight="1" x14ac:dyDescent="0.35">
      <c r="A1682" s="32" t="s">
        <v>3408</v>
      </c>
      <c r="B1682" s="4"/>
      <c r="C1682" s="4"/>
      <c r="D1682" s="706" t="s">
        <v>3409</v>
      </c>
      <c r="E1682" s="696">
        <f>'Verification Report'!O1684</f>
        <v>0</v>
      </c>
    </row>
    <row r="1683" spans="1:5" ht="15" hidden="1" thickTop="1" x14ac:dyDescent="0.35">
      <c r="A1683" s="108"/>
      <c r="B1683" s="4"/>
      <c r="C1683" s="4"/>
      <c r="D1683" s="706"/>
      <c r="E1683" s="696">
        <f>'Verification Report'!O1685</f>
        <v>0</v>
      </c>
    </row>
    <row r="1684" spans="1:5" ht="15" hidden="1" customHeight="1" x14ac:dyDescent="0.35">
      <c r="A1684" s="108"/>
      <c r="B1684" s="19" t="s">
        <v>270</v>
      </c>
      <c r="C1684" s="4"/>
      <c r="D1684" s="707" t="s">
        <v>3410</v>
      </c>
      <c r="E1684" s="85"/>
    </row>
    <row r="1685" spans="1:5" ht="15.75" hidden="1" customHeight="1" x14ac:dyDescent="0.35">
      <c r="A1685" s="108"/>
      <c r="B1685" s="155"/>
      <c r="C1685" s="155"/>
      <c r="D1685" s="709"/>
      <c r="E1685" s="85"/>
    </row>
    <row r="1686" spans="1:5" ht="15" hidden="1" thickTop="1" x14ac:dyDescent="0.35">
      <c r="A1686" s="108"/>
      <c r="B1686" s="148" t="s">
        <v>272</v>
      </c>
      <c r="C1686" s="155"/>
      <c r="D1686" s="214" t="s">
        <v>3411</v>
      </c>
      <c r="E1686" s="85"/>
    </row>
    <row r="1687" spans="1:5" ht="15.75" hidden="1" customHeight="1" x14ac:dyDescent="0.35">
      <c r="A1687" s="108"/>
      <c r="B1687" s="19" t="s">
        <v>274</v>
      </c>
      <c r="C1687" s="4"/>
      <c r="D1687" s="104" t="s">
        <v>3412</v>
      </c>
      <c r="E1687" s="85"/>
    </row>
    <row r="1688" spans="1:5" ht="15.75" hidden="1" customHeight="1" x14ac:dyDescent="0.35">
      <c r="A1688" s="119"/>
      <c r="B1688" s="119"/>
      <c r="C1688" s="119"/>
      <c r="D1688" t="s">
        <v>3925</v>
      </c>
      <c r="E1688" s="155"/>
    </row>
    <row r="1689" spans="1:5" ht="15" hidden="1" customHeight="1" x14ac:dyDescent="0.35">
      <c r="A1689" s="135" t="s">
        <v>3413</v>
      </c>
      <c r="B1689" s="136"/>
      <c r="C1689" s="136"/>
      <c r="D1689" s="753" t="s">
        <v>3414</v>
      </c>
      <c r="E1689" s="713">
        <f>'Verification Report'!O1691</f>
        <v>0</v>
      </c>
    </row>
    <row r="1690" spans="1:5" ht="15.75" hidden="1" customHeight="1" x14ac:dyDescent="0.35">
      <c r="A1690" s="108"/>
      <c r="B1690" s="4"/>
      <c r="C1690" s="4"/>
      <c r="D1690" s="706"/>
      <c r="E1690" s="696">
        <f>'Verification Report'!O1692</f>
        <v>0</v>
      </c>
    </row>
    <row r="1691" spans="1:5" ht="15" hidden="1" customHeight="1" x14ac:dyDescent="0.35">
      <c r="A1691" s="108"/>
      <c r="B1691" s="4"/>
      <c r="C1691" s="4"/>
      <c r="D1691" s="791" t="s">
        <v>3415</v>
      </c>
      <c r="E1691" s="696">
        <f>'Verification Report'!O1693</f>
        <v>0</v>
      </c>
    </row>
    <row r="1692" spans="1:5" ht="15.75" hidden="1" customHeight="1" x14ac:dyDescent="0.35">
      <c r="A1692" s="108"/>
      <c r="B1692" s="4"/>
      <c r="C1692" s="4"/>
      <c r="D1692" s="791"/>
      <c r="E1692" s="696">
        <f>'Verification Report'!O1694</f>
        <v>0</v>
      </c>
    </row>
    <row r="1693" spans="1:5" ht="15.75" hidden="1" customHeight="1" x14ac:dyDescent="0.35">
      <c r="A1693" s="353"/>
      <c r="B1693" s="155"/>
      <c r="C1693" s="155"/>
      <c r="D1693" t="s">
        <v>4020</v>
      </c>
      <c r="E1693" s="342"/>
    </row>
    <row r="1694" spans="1:5" ht="15" hidden="1" customHeight="1" x14ac:dyDescent="0.35">
      <c r="A1694" s="32" t="s">
        <v>3416</v>
      </c>
      <c r="B1694" s="4"/>
      <c r="C1694" s="4"/>
      <c r="D1694" s="706" t="s">
        <v>3417</v>
      </c>
      <c r="E1694" s="696">
        <f>'Verification Report'!O1696</f>
        <v>0</v>
      </c>
    </row>
    <row r="1695" spans="1:5" ht="15.75" hidden="1" customHeight="1" x14ac:dyDescent="0.35">
      <c r="A1695" s="108"/>
      <c r="B1695" s="4"/>
      <c r="C1695" s="4"/>
      <c r="D1695" s="706"/>
      <c r="E1695" s="696">
        <f>'Verification Report'!O1697</f>
        <v>0</v>
      </c>
    </row>
    <row r="1696" spans="1:5" ht="15.75" hidden="1" customHeight="1" x14ac:dyDescent="0.35">
      <c r="A1696" s="108"/>
      <c r="B1696" s="4"/>
      <c r="C1696" s="4"/>
      <c r="D1696" s="706"/>
      <c r="E1696" s="696">
        <f>'Verification Report'!O1698</f>
        <v>0</v>
      </c>
    </row>
    <row r="1697" spans="1:5" ht="15.75" hidden="1" customHeight="1" x14ac:dyDescent="0.35">
      <c r="A1697" s="108"/>
      <c r="B1697" s="4"/>
      <c r="C1697" s="4"/>
      <c r="D1697" s="706"/>
      <c r="E1697" s="696">
        <f>'Verification Report'!O1699</f>
        <v>0</v>
      </c>
    </row>
    <row r="1698" spans="1:5" ht="15.75" hidden="1" customHeight="1" x14ac:dyDescent="0.35">
      <c r="A1698" s="108"/>
      <c r="B1698" s="4"/>
      <c r="C1698" s="4"/>
      <c r="D1698" s="706"/>
      <c r="E1698" s="696">
        <f>'Verification Report'!O1700</f>
        <v>0</v>
      </c>
    </row>
    <row r="1699" spans="1:5" ht="16.5" hidden="1" customHeight="1" thickBot="1" x14ac:dyDescent="0.4">
      <c r="A1699" s="328"/>
      <c r="B1699" s="183"/>
      <c r="C1699" s="183"/>
      <c r="D1699" s="710"/>
      <c r="E1699" s="695">
        <f>'Verification Report'!O1701</f>
        <v>0</v>
      </c>
    </row>
    <row r="1700" spans="1:5" ht="15.75" hidden="1" customHeight="1" thickTop="1" x14ac:dyDescent="0.35">
      <c r="A1700" s="167">
        <v>901.1</v>
      </c>
      <c r="B1700" s="4"/>
      <c r="C1700" s="4"/>
      <c r="D1700" s="706" t="s">
        <v>3418</v>
      </c>
      <c r="E1700" s="696">
        <f>'Verification Report'!O1702</f>
        <v>0</v>
      </c>
    </row>
    <row r="1701" spans="1:5" ht="15" hidden="1" thickTop="1" x14ac:dyDescent="0.35">
      <c r="A1701" s="108"/>
      <c r="B1701" s="4"/>
      <c r="C1701" s="4"/>
      <c r="D1701" s="706"/>
      <c r="E1701" s="696">
        <f>'Verification Report'!O1703</f>
        <v>0</v>
      </c>
    </row>
    <row r="1702" spans="1:5" ht="15" hidden="1" thickTop="1" x14ac:dyDescent="0.35">
      <c r="A1702" s="108"/>
      <c r="B1702" s="4"/>
      <c r="C1702" s="4"/>
      <c r="D1702" s="706"/>
      <c r="E1702" s="696">
        <f>'Verification Report'!O1704</f>
        <v>0</v>
      </c>
    </row>
    <row r="1703" spans="1:5" ht="15" hidden="1" customHeight="1" x14ac:dyDescent="0.35">
      <c r="A1703" s="108"/>
      <c r="B1703" s="19" t="s">
        <v>270</v>
      </c>
      <c r="C1703" s="4"/>
      <c r="D1703" s="707" t="s">
        <v>3419</v>
      </c>
      <c r="E1703" s="85"/>
    </row>
    <row r="1704" spans="1:5" ht="15.75" hidden="1" customHeight="1" x14ac:dyDescent="0.35">
      <c r="A1704" s="108"/>
      <c r="B1704" s="4"/>
      <c r="C1704" s="4"/>
      <c r="D1704" s="707"/>
      <c r="E1704" s="85"/>
    </row>
    <row r="1705" spans="1:5" ht="15.75" hidden="1" customHeight="1" x14ac:dyDescent="0.35">
      <c r="A1705" s="108"/>
      <c r="B1705" s="4"/>
      <c r="C1705" s="4"/>
      <c r="D1705" s="707"/>
      <c r="E1705" s="85"/>
    </row>
    <row r="1706" spans="1:5" ht="15.75" hidden="1" customHeight="1" x14ac:dyDescent="0.35">
      <c r="A1706" s="108"/>
      <c r="B1706" s="4"/>
      <c r="C1706" s="4"/>
      <c r="D1706" s="707"/>
      <c r="E1706" s="85"/>
    </row>
    <row r="1707" spans="1:5" ht="15.75" hidden="1" customHeight="1" x14ac:dyDescent="0.35">
      <c r="A1707" s="108"/>
      <c r="B1707" s="155"/>
      <c r="C1707" s="155"/>
      <c r="D1707" s="709"/>
      <c r="E1707" s="85"/>
    </row>
    <row r="1708" spans="1:5" ht="15" hidden="1" thickTop="1" x14ac:dyDescent="0.35">
      <c r="A1708" s="108"/>
      <c r="B1708" s="148" t="s">
        <v>272</v>
      </c>
      <c r="C1708" s="155"/>
      <c r="D1708" s="214" t="s">
        <v>3420</v>
      </c>
      <c r="E1708" s="85"/>
    </row>
    <row r="1709" spans="1:5" ht="15" hidden="1" customHeight="1" x14ac:dyDescent="0.35">
      <c r="A1709" s="108"/>
      <c r="B1709" s="19" t="s">
        <v>274</v>
      </c>
      <c r="C1709" s="4"/>
      <c r="D1709" s="707" t="s">
        <v>3421</v>
      </c>
      <c r="E1709" s="85"/>
    </row>
    <row r="1710" spans="1:5" ht="15.75" hidden="1" customHeight="1" x14ac:dyDescent="0.35">
      <c r="A1710" s="108"/>
      <c r="B1710" s="4"/>
      <c r="C1710" s="4"/>
      <c r="D1710" s="707"/>
      <c r="E1710" s="85"/>
    </row>
    <row r="1711" spans="1:5" ht="15.75" hidden="1" customHeight="1" x14ac:dyDescent="0.35">
      <c r="A1711" s="108"/>
      <c r="B1711" s="4"/>
      <c r="C1711" s="4"/>
      <c r="D1711" s="707"/>
      <c r="E1711" s="85"/>
    </row>
    <row r="1712" spans="1:5" ht="16.5" hidden="1" customHeight="1" thickBot="1" x14ac:dyDescent="0.4">
      <c r="A1712" s="328"/>
      <c r="B1712" s="183"/>
      <c r="C1712" s="183"/>
      <c r="D1712" t="s">
        <v>4021</v>
      </c>
      <c r="E1712" s="184"/>
    </row>
    <row r="1713" spans="1:5" ht="15.75" hidden="1" customHeight="1" thickTop="1" x14ac:dyDescent="0.35">
      <c r="A1713" s="123">
        <v>901.11</v>
      </c>
      <c r="B1713" s="124"/>
      <c r="C1713" s="124"/>
      <c r="D1713" s="711" t="s">
        <v>3422</v>
      </c>
      <c r="E1713" s="694">
        <f>'Verification Report'!O1715</f>
        <v>0</v>
      </c>
    </row>
    <row r="1714" spans="1:5" ht="15.75" hidden="1" customHeight="1" x14ac:dyDescent="0.35">
      <c r="A1714" s="108"/>
      <c r="B1714" s="4"/>
      <c r="C1714" s="4"/>
      <c r="D1714" s="706"/>
      <c r="E1714" s="696">
        <f>'Verification Report'!O1716</f>
        <v>0</v>
      </c>
    </row>
    <row r="1715" spans="1:5" ht="15.75" hidden="1" customHeight="1" x14ac:dyDescent="0.35">
      <c r="A1715" s="108"/>
      <c r="B1715" s="4"/>
      <c r="C1715" s="4"/>
      <c r="D1715" s="706"/>
      <c r="E1715" s="696">
        <f>'Verification Report'!O1717</f>
        <v>0</v>
      </c>
    </row>
    <row r="1716" spans="1:5" ht="15.75" hidden="1" customHeight="1" x14ac:dyDescent="0.35">
      <c r="A1716" s="108"/>
      <c r="B1716" s="4"/>
      <c r="C1716" s="4"/>
      <c r="D1716" s="706"/>
      <c r="E1716" s="696">
        <f>'Verification Report'!O1718</f>
        <v>0</v>
      </c>
    </row>
    <row r="1717" spans="1:5" ht="16.5" hidden="1" customHeight="1" thickBot="1" x14ac:dyDescent="0.4">
      <c r="A1717" s="328"/>
      <c r="B1717" s="183"/>
      <c r="C1717" s="183"/>
      <c r="D1717" s="710"/>
      <c r="E1717" s="695">
        <f>'Verification Report'!O1719</f>
        <v>0</v>
      </c>
    </row>
    <row r="1718" spans="1:5" ht="15.75" hidden="1" customHeight="1" thickTop="1" x14ac:dyDescent="0.35">
      <c r="A1718" s="123">
        <v>901.12</v>
      </c>
      <c r="B1718" s="124"/>
      <c r="C1718" s="124"/>
      <c r="D1718" s="711" t="s">
        <v>3423</v>
      </c>
      <c r="E1718" s="341"/>
    </row>
    <row r="1719" spans="1:5" ht="16.5" hidden="1" customHeight="1" thickBot="1" x14ac:dyDescent="0.4">
      <c r="A1719" s="328"/>
      <c r="B1719" s="183"/>
      <c r="C1719" s="183"/>
      <c r="D1719" s="710"/>
      <c r="E1719" s="184"/>
    </row>
    <row r="1720" spans="1:5" ht="15.75" hidden="1" customHeight="1" thickTop="1" x14ac:dyDescent="0.35">
      <c r="A1720" s="123">
        <v>901.13</v>
      </c>
      <c r="B1720" s="124"/>
      <c r="C1720" s="124"/>
      <c r="D1720" s="711" t="s">
        <v>3424</v>
      </c>
      <c r="E1720" s="694">
        <f ca="1">'Verification Report'!O1722</f>
        <v>0</v>
      </c>
    </row>
    <row r="1721" spans="1:5" ht="15.75" hidden="1" customHeight="1" x14ac:dyDescent="0.35">
      <c r="A1721" s="108"/>
      <c r="B1721" s="4"/>
      <c r="C1721" s="4"/>
      <c r="D1721" s="706"/>
      <c r="E1721" s="696">
        <f>'Verification Report'!O1723</f>
        <v>0</v>
      </c>
    </row>
    <row r="1722" spans="1:5" ht="26.25" hidden="1" customHeight="1" x14ac:dyDescent="0.35">
      <c r="A1722" s="108"/>
      <c r="B1722" s="148" t="s">
        <v>270</v>
      </c>
      <c r="C1722" s="155"/>
      <c r="D1722" s="214" t="s">
        <v>3425</v>
      </c>
      <c r="E1722" s="85"/>
    </row>
    <row r="1723" spans="1:5" ht="27" hidden="1" customHeight="1" thickBot="1" x14ac:dyDescent="0.4">
      <c r="A1723" s="328"/>
      <c r="B1723" s="133" t="s">
        <v>272</v>
      </c>
      <c r="C1723" s="183"/>
      <c r="D1723" s="223" t="s">
        <v>3426</v>
      </c>
      <c r="E1723" s="184"/>
    </row>
    <row r="1724" spans="1:5" ht="15.75" hidden="1" customHeight="1" thickTop="1" x14ac:dyDescent="0.35">
      <c r="A1724" s="32">
        <v>901.14</v>
      </c>
      <c r="B1724" s="4"/>
      <c r="C1724" s="4"/>
      <c r="D1724" s="706" t="s">
        <v>3427</v>
      </c>
      <c r="E1724" s="85"/>
    </row>
    <row r="1725" spans="1:5" ht="15" hidden="1" thickTop="1" x14ac:dyDescent="0.35">
      <c r="A1725" s="108"/>
      <c r="B1725" s="4"/>
      <c r="C1725" s="4"/>
      <c r="D1725" s="706"/>
      <c r="E1725" s="85"/>
    </row>
    <row r="1726" spans="1:5" ht="15" hidden="1" customHeight="1" x14ac:dyDescent="0.35">
      <c r="A1726" s="108"/>
      <c r="B1726" s="19" t="s">
        <v>270</v>
      </c>
      <c r="C1726" s="4"/>
      <c r="D1726" s="707" t="s">
        <v>3428</v>
      </c>
      <c r="E1726" s="696">
        <f ca="1">'Verification Report'!O1728</f>
        <v>0</v>
      </c>
    </row>
    <row r="1727" spans="1:5" ht="15.75" hidden="1" customHeight="1" x14ac:dyDescent="0.35">
      <c r="A1727" s="108"/>
      <c r="B1727" s="155"/>
      <c r="C1727" s="155"/>
      <c r="D1727" s="709"/>
      <c r="E1727" s="697">
        <f>'Verification Report'!O1729</f>
        <v>0</v>
      </c>
    </row>
    <row r="1728" spans="1:5" ht="15" hidden="1" customHeight="1" x14ac:dyDescent="0.35">
      <c r="A1728" s="108"/>
      <c r="B1728" s="19" t="s">
        <v>272</v>
      </c>
      <c r="C1728" s="4"/>
      <c r="D1728" s="707" t="s">
        <v>3429</v>
      </c>
      <c r="E1728" s="696">
        <f ca="1">'Verification Report'!O1730</f>
        <v>0</v>
      </c>
    </row>
    <row r="1729" spans="1:5" ht="15.75" hidden="1" customHeight="1" x14ac:dyDescent="0.35">
      <c r="A1729" s="108"/>
      <c r="B1729" s="4"/>
      <c r="C1729" s="4"/>
      <c r="D1729" s="707"/>
      <c r="E1729" s="696">
        <f>'Verification Report'!O1731</f>
        <v>0</v>
      </c>
    </row>
    <row r="1730" spans="1:5" ht="19" hidden="1" thickTop="1" x14ac:dyDescent="0.45">
      <c r="A1730" s="10" t="s">
        <v>3430</v>
      </c>
      <c r="B1730" s="15"/>
      <c r="C1730" s="15"/>
      <c r="D1730" s="47"/>
      <c r="E1730" s="340"/>
    </row>
    <row r="1731" spans="1:5" ht="15.5" hidden="1" thickTop="1" thickBot="1" x14ac:dyDescent="0.4">
      <c r="A1731" s="326">
        <v>902</v>
      </c>
      <c r="B1731" s="183"/>
      <c r="C1731" s="183"/>
      <c r="D1731" s="272" t="s">
        <v>3431</v>
      </c>
      <c r="E1731" s="184"/>
    </row>
    <row r="1732" spans="1:5" ht="15" hidden="1" thickTop="1" x14ac:dyDescent="0.35">
      <c r="A1732" s="32">
        <v>902.1</v>
      </c>
      <c r="B1732" s="4"/>
      <c r="C1732" s="4"/>
      <c r="D1732" s="110" t="s">
        <v>3432</v>
      </c>
      <c r="E1732" s="85"/>
    </row>
    <row r="1733" spans="1:5" ht="15" hidden="1" thickTop="1" x14ac:dyDescent="0.35">
      <c r="A1733" s="32" t="s">
        <v>4070</v>
      </c>
      <c r="B1733" s="4"/>
      <c r="C1733" s="4"/>
      <c r="D1733" s="110" t="s">
        <v>4071</v>
      </c>
      <c r="E1733" s="85"/>
    </row>
    <row r="1734" spans="1:5" ht="15" hidden="1" customHeight="1" x14ac:dyDescent="0.35">
      <c r="A1734" s="108"/>
      <c r="B1734" s="19" t="s">
        <v>270</v>
      </c>
      <c r="C1734" s="4"/>
      <c r="D1734" s="707" t="s">
        <v>3433</v>
      </c>
      <c r="E1734" s="85"/>
    </row>
    <row r="1735" spans="1:5" ht="15.75" hidden="1" customHeight="1" x14ac:dyDescent="0.35">
      <c r="A1735" s="108"/>
      <c r="B1735" s="4"/>
      <c r="C1735" s="4"/>
      <c r="D1735" s="707"/>
      <c r="E1735" s="85"/>
    </row>
    <row r="1736" spans="1:5" ht="15" hidden="1" customHeight="1" x14ac:dyDescent="0.35">
      <c r="A1736" s="108"/>
      <c r="B1736" s="19"/>
      <c r="C1736" s="19" t="s">
        <v>121</v>
      </c>
      <c r="D1736" s="707" t="s">
        <v>3912</v>
      </c>
      <c r="E1736" s="696">
        <f>'Verification Report'!O1738</f>
        <v>0</v>
      </c>
    </row>
    <row r="1737" spans="1:5" ht="15.75" hidden="1" customHeight="1" x14ac:dyDescent="0.35">
      <c r="A1737" s="108"/>
      <c r="B1737" s="148"/>
      <c r="C1737" s="155"/>
      <c r="D1737" s="709"/>
      <c r="E1737" s="697">
        <f>'Verification Report'!O1739</f>
        <v>0</v>
      </c>
    </row>
    <row r="1738" spans="1:5" ht="15" hidden="1" customHeight="1" x14ac:dyDescent="0.35">
      <c r="A1738" s="108"/>
      <c r="B1738" s="19" t="s">
        <v>272</v>
      </c>
      <c r="C1738" s="4"/>
      <c r="D1738" s="707" t="s">
        <v>3434</v>
      </c>
      <c r="E1738" s="85"/>
    </row>
    <row r="1739" spans="1:5" ht="15.75" hidden="1" customHeight="1" x14ac:dyDescent="0.35">
      <c r="A1739" s="108"/>
      <c r="B1739" s="148"/>
      <c r="C1739" s="155"/>
      <c r="D1739" s="709"/>
      <c r="E1739" s="342"/>
    </row>
    <row r="1740" spans="1:5" ht="15" hidden="1" customHeight="1" x14ac:dyDescent="0.35">
      <c r="A1740" s="108"/>
      <c r="B1740" s="19" t="s">
        <v>274</v>
      </c>
      <c r="C1740" s="4"/>
      <c r="D1740" s="707" t="s">
        <v>3435</v>
      </c>
      <c r="E1740" s="696">
        <f>'Verification Report'!O1742</f>
        <v>8</v>
      </c>
    </row>
    <row r="1741" spans="1:5" ht="15.75" hidden="1" customHeight="1" x14ac:dyDescent="0.35">
      <c r="A1741" s="108"/>
      <c r="B1741" s="19"/>
      <c r="C1741" s="4"/>
      <c r="D1741" s="707"/>
      <c r="E1741" s="696">
        <f>'Verification Report'!O1743</f>
        <v>0</v>
      </c>
    </row>
    <row r="1742" spans="1:5" ht="15.75" hidden="1" customHeight="1" x14ac:dyDescent="0.35">
      <c r="A1742" s="353"/>
      <c r="B1742" s="155"/>
      <c r="C1742" s="155"/>
      <c r="D1742" s="709"/>
      <c r="E1742" s="697">
        <f>'Verification Report'!O1744</f>
        <v>0</v>
      </c>
    </row>
    <row r="1743" spans="1:5" ht="15" hidden="1" customHeight="1" x14ac:dyDescent="0.35">
      <c r="A1743" s="135" t="s">
        <v>3436</v>
      </c>
      <c r="B1743" s="136"/>
      <c r="C1743" s="136"/>
      <c r="D1743" s="753" t="s">
        <v>3437</v>
      </c>
      <c r="E1743" s="713">
        <f>'Verification Report'!O1745</f>
        <v>0</v>
      </c>
    </row>
    <row r="1744" spans="1:5" ht="15.75" hidden="1" customHeight="1" x14ac:dyDescent="0.35">
      <c r="A1744" s="108"/>
      <c r="B1744" s="4"/>
      <c r="C1744" s="4"/>
      <c r="D1744" s="706"/>
      <c r="E1744" s="696">
        <f>'Verification Report'!O1746</f>
        <v>0</v>
      </c>
    </row>
    <row r="1745" spans="1:5" ht="15.75" hidden="1" customHeight="1" x14ac:dyDescent="0.35">
      <c r="A1745" s="108"/>
      <c r="B1745" s="148" t="s">
        <v>270</v>
      </c>
      <c r="C1745" s="155"/>
      <c r="D1745" s="214" t="s">
        <v>3439</v>
      </c>
      <c r="E1745" s="85"/>
    </row>
    <row r="1746" spans="1:5" ht="15.75" hidden="1" customHeight="1" x14ac:dyDescent="0.35">
      <c r="A1746" s="353"/>
      <c r="B1746" s="148" t="s">
        <v>272</v>
      </c>
      <c r="C1746" s="155"/>
      <c r="D1746" s="214" t="s">
        <v>3440</v>
      </c>
      <c r="E1746" s="342"/>
    </row>
    <row r="1747" spans="1:5" ht="15" hidden="1" customHeight="1" x14ac:dyDescent="0.35">
      <c r="A1747" s="135" t="s">
        <v>3441</v>
      </c>
      <c r="B1747" s="136"/>
      <c r="C1747" s="136"/>
      <c r="D1747" s="753" t="s">
        <v>3442</v>
      </c>
      <c r="E1747" s="713">
        <f>'Verification Report'!O1749</f>
        <v>8</v>
      </c>
    </row>
    <row r="1748" spans="1:5" ht="15.75" hidden="1" customHeight="1" x14ac:dyDescent="0.35">
      <c r="A1748" s="108"/>
      <c r="B1748" s="4"/>
      <c r="C1748" s="4"/>
      <c r="D1748" s="706"/>
      <c r="E1748" s="696">
        <f>'Verification Report'!O1750</f>
        <v>0</v>
      </c>
    </row>
    <row r="1749" spans="1:5" ht="15.75" hidden="1" customHeight="1" x14ac:dyDescent="0.35">
      <c r="A1749" s="108"/>
      <c r="B1749" s="4"/>
      <c r="C1749" s="19" t="s">
        <v>121</v>
      </c>
      <c r="D1749" s="104" t="s">
        <v>3443</v>
      </c>
      <c r="E1749" s="85"/>
    </row>
    <row r="1750" spans="1:5" ht="26.25" hidden="1" customHeight="1" x14ac:dyDescent="0.35">
      <c r="A1750" s="353"/>
      <c r="B1750" s="155"/>
      <c r="C1750" s="148" t="s">
        <v>122</v>
      </c>
      <c r="D1750" s="214" t="s">
        <v>3444</v>
      </c>
      <c r="E1750" s="342"/>
    </row>
    <row r="1751" spans="1:5" ht="15.75" hidden="1" customHeight="1" x14ac:dyDescent="0.35">
      <c r="A1751" s="135" t="s">
        <v>3445</v>
      </c>
      <c r="B1751" s="136"/>
      <c r="C1751" s="136"/>
      <c r="D1751" s="358" t="s">
        <v>3446</v>
      </c>
      <c r="E1751" s="189">
        <f>'Verification Report'!O1753</f>
        <v>0</v>
      </c>
    </row>
    <row r="1752" spans="1:5" ht="15.75" hidden="1" customHeight="1" x14ac:dyDescent="0.35">
      <c r="A1752" s="108"/>
      <c r="B1752" s="19" t="s">
        <v>270</v>
      </c>
      <c r="C1752" s="4"/>
      <c r="D1752" s="104" t="s">
        <v>3915</v>
      </c>
      <c r="E1752" s="85"/>
    </row>
    <row r="1753" spans="1:5" ht="15.75" hidden="1" customHeight="1" x14ac:dyDescent="0.35">
      <c r="A1753" s="108"/>
      <c r="B1753" s="148"/>
      <c r="C1753" s="155"/>
      <c r="D1753" s="165" t="s">
        <v>3447</v>
      </c>
      <c r="E1753" s="85"/>
    </row>
    <row r="1754" spans="1:5" ht="15.75" hidden="1" customHeight="1" x14ac:dyDescent="0.35">
      <c r="A1754" s="108"/>
      <c r="B1754" s="19" t="s">
        <v>272</v>
      </c>
      <c r="C1754" s="4"/>
      <c r="D1754" s="104" t="s">
        <v>3448</v>
      </c>
      <c r="E1754" s="85"/>
    </row>
    <row r="1755" spans="1:5" ht="15.75" hidden="1" customHeight="1" x14ac:dyDescent="0.35">
      <c r="A1755" s="353"/>
      <c r="B1755" s="155"/>
      <c r="C1755" s="155"/>
      <c r="D1755" s="165" t="s">
        <v>3447</v>
      </c>
      <c r="E1755" s="342"/>
    </row>
    <row r="1756" spans="1:5" ht="15" hidden="1" customHeight="1" x14ac:dyDescent="0.35">
      <c r="A1756" s="32" t="s">
        <v>3449</v>
      </c>
      <c r="B1756" s="4"/>
      <c r="C1756" s="4"/>
      <c r="D1756" s="706" t="s">
        <v>3450</v>
      </c>
      <c r="E1756" s="696">
        <f>'Verification Report'!O1758</f>
        <v>0</v>
      </c>
    </row>
    <row r="1757" spans="1:5" ht="15" hidden="1" thickTop="1" x14ac:dyDescent="0.35">
      <c r="A1757" s="108"/>
      <c r="B1757" s="4"/>
      <c r="C1757" s="4"/>
      <c r="D1757" s="706"/>
      <c r="E1757" s="696">
        <f>'Verification Report'!O1759</f>
        <v>0</v>
      </c>
    </row>
    <row r="1758" spans="1:5" ht="15" hidden="1" customHeight="1" x14ac:dyDescent="0.35">
      <c r="A1758" s="108"/>
      <c r="B1758" s="19" t="s">
        <v>270</v>
      </c>
      <c r="C1758" s="4"/>
      <c r="D1758" s="707" t="s">
        <v>3451</v>
      </c>
      <c r="E1758" s="85"/>
    </row>
    <row r="1759" spans="1:5" ht="15.75" hidden="1" customHeight="1" x14ac:dyDescent="0.35">
      <c r="A1759" s="108"/>
      <c r="B1759" s="148"/>
      <c r="C1759" s="155"/>
      <c r="D1759" s="709"/>
      <c r="E1759" s="85"/>
    </row>
    <row r="1760" spans="1:5" ht="15" hidden="1" customHeight="1" x14ac:dyDescent="0.35">
      <c r="A1760" s="108"/>
      <c r="B1760" s="19" t="s">
        <v>272</v>
      </c>
      <c r="C1760" s="4"/>
      <c r="D1760" s="707" t="s">
        <v>3452</v>
      </c>
      <c r="E1760" s="85"/>
    </row>
    <row r="1761" spans="1:5" ht="15.75" hidden="1" customHeight="1" x14ac:dyDescent="0.35">
      <c r="A1761" s="108"/>
      <c r="B1761" s="155"/>
      <c r="C1761" s="155"/>
      <c r="D1761" s="709"/>
      <c r="E1761" s="85"/>
    </row>
    <row r="1762" spans="1:5" ht="15" hidden="1" customHeight="1" x14ac:dyDescent="0.35">
      <c r="A1762" s="108"/>
      <c r="B1762" s="19" t="s">
        <v>274</v>
      </c>
      <c r="C1762" s="4"/>
      <c r="D1762" s="707" t="s">
        <v>3453</v>
      </c>
      <c r="E1762" s="85"/>
    </row>
    <row r="1763" spans="1:5" ht="15.75" hidden="1" customHeight="1" x14ac:dyDescent="0.35">
      <c r="A1763" s="108"/>
      <c r="B1763" s="4"/>
      <c r="C1763" s="4"/>
      <c r="D1763" s="707"/>
      <c r="E1763" s="85"/>
    </row>
    <row r="1764" spans="1:5" ht="16.5" hidden="1" customHeight="1" thickBot="1" x14ac:dyDescent="0.4">
      <c r="A1764" s="328"/>
      <c r="B1764" s="183"/>
      <c r="C1764" s="183"/>
      <c r="D1764" s="708"/>
      <c r="E1764" s="184"/>
    </row>
    <row r="1765" spans="1:5" ht="15" hidden="1" thickTop="1" x14ac:dyDescent="0.35">
      <c r="A1765" s="123">
        <v>902.2</v>
      </c>
      <c r="B1765" s="124"/>
      <c r="C1765" s="124"/>
      <c r="D1765" s="222" t="s">
        <v>3454</v>
      </c>
      <c r="E1765" s="341"/>
    </row>
    <row r="1766" spans="1:5" ht="15" hidden="1" customHeight="1" x14ac:dyDescent="0.35">
      <c r="A1766" s="32" t="s">
        <v>3917</v>
      </c>
      <c r="B1766" s="4"/>
      <c r="C1766" s="4"/>
      <c r="D1766" s="706" t="s">
        <v>4594</v>
      </c>
      <c r="E1766" s="696">
        <f ca="1">'Verification Report'!O1768</f>
        <v>3</v>
      </c>
    </row>
    <row r="1767" spans="1:5" ht="15.75" hidden="1" customHeight="1" x14ac:dyDescent="0.35">
      <c r="A1767" s="108"/>
      <c r="B1767" s="4"/>
      <c r="C1767" s="4"/>
      <c r="D1767" s="706"/>
      <c r="E1767" s="696">
        <f>'Verification Report'!O1769</f>
        <v>0</v>
      </c>
    </row>
    <row r="1768" spans="1:5" ht="15.75" hidden="1" customHeight="1" x14ac:dyDescent="0.35">
      <c r="A1768" s="108"/>
      <c r="B1768" s="4"/>
      <c r="C1768" s="4"/>
      <c r="D1768" s="706"/>
      <c r="E1768" s="696">
        <f>'Verification Report'!O1770</f>
        <v>0</v>
      </c>
    </row>
    <row r="1769" spans="1:5" ht="15" hidden="1" customHeight="1" x14ac:dyDescent="0.35">
      <c r="A1769" s="108"/>
      <c r="B1769" s="19" t="s">
        <v>270</v>
      </c>
      <c r="C1769" s="4"/>
      <c r="D1769" s="723" t="s">
        <v>3455</v>
      </c>
      <c r="E1769" s="85"/>
    </row>
    <row r="1770" spans="1:5" ht="15.75" hidden="1" customHeight="1" x14ac:dyDescent="0.35">
      <c r="A1770" s="108"/>
      <c r="B1770" s="148"/>
      <c r="C1770" s="155"/>
      <c r="D1770" s="724"/>
      <c r="E1770" s="85"/>
    </row>
    <row r="1771" spans="1:5" ht="15" hidden="1" customHeight="1" x14ac:dyDescent="0.35">
      <c r="A1771" s="108"/>
      <c r="B1771" s="19" t="s">
        <v>272</v>
      </c>
      <c r="C1771" s="4"/>
      <c r="D1771" s="707" t="s">
        <v>3456</v>
      </c>
      <c r="E1771" s="85"/>
    </row>
    <row r="1772" spans="1:5" ht="15.75" hidden="1" customHeight="1" x14ac:dyDescent="0.35">
      <c r="A1772" s="108"/>
      <c r="B1772" s="155"/>
      <c r="C1772" s="155"/>
      <c r="D1772" s="709"/>
      <c r="E1772" s="85"/>
    </row>
    <row r="1773" spans="1:5" ht="15.75" hidden="1" customHeight="1" x14ac:dyDescent="0.35">
      <c r="A1773" s="108"/>
      <c r="B1773" s="148" t="s">
        <v>274</v>
      </c>
      <c r="C1773" s="155"/>
      <c r="D1773" s="214" t="s">
        <v>3457</v>
      </c>
      <c r="E1773" s="85"/>
    </row>
    <row r="1774" spans="1:5" ht="15.75" hidden="1" customHeight="1" x14ac:dyDescent="0.35">
      <c r="A1774" s="353"/>
      <c r="B1774" s="148" t="s">
        <v>283</v>
      </c>
      <c r="C1774" s="155"/>
      <c r="D1774" s="214" t="s">
        <v>3458</v>
      </c>
      <c r="E1774" s="342"/>
    </row>
    <row r="1775" spans="1:5" ht="15" hidden="1" customHeight="1" x14ac:dyDescent="0.35">
      <c r="A1775" s="135" t="s">
        <v>3459</v>
      </c>
      <c r="B1775" s="136"/>
      <c r="C1775" s="136"/>
      <c r="D1775" s="753" t="s">
        <v>3460</v>
      </c>
      <c r="E1775" s="713">
        <f ca="1">'Verification Report'!O1777</f>
        <v>0</v>
      </c>
    </row>
    <row r="1776" spans="1:5" ht="15.75" hidden="1" customHeight="1" x14ac:dyDescent="0.35">
      <c r="A1776" s="353"/>
      <c r="B1776" s="155"/>
      <c r="C1776" s="155"/>
      <c r="D1776" s="739"/>
      <c r="E1776" s="697">
        <f>'Verification Report'!O1778</f>
        <v>0</v>
      </c>
    </row>
    <row r="1777" spans="1:5" ht="15" hidden="1" customHeight="1" x14ac:dyDescent="0.35">
      <c r="A1777" s="135" t="s">
        <v>3461</v>
      </c>
      <c r="B1777" s="136"/>
      <c r="C1777" s="136"/>
      <c r="D1777" s="753" t="s">
        <v>3462</v>
      </c>
      <c r="E1777" s="713">
        <f>'Verification Report'!O1779</f>
        <v>2</v>
      </c>
    </row>
    <row r="1778" spans="1:5" ht="15.75" hidden="1" customHeight="1" x14ac:dyDescent="0.35">
      <c r="A1778" s="108"/>
      <c r="B1778" s="4"/>
      <c r="C1778" s="4"/>
      <c r="D1778" s="706"/>
      <c r="E1778" s="696">
        <f>'Verification Report'!O1780</f>
        <v>0</v>
      </c>
    </row>
    <row r="1779" spans="1:5" ht="15.75" hidden="1" customHeight="1" x14ac:dyDescent="0.35">
      <c r="A1779" s="353"/>
      <c r="B1779" s="155"/>
      <c r="C1779" s="155"/>
      <c r="D1779" s="739"/>
      <c r="E1779" s="697">
        <f>'Verification Report'!O1781</f>
        <v>0</v>
      </c>
    </row>
    <row r="1780" spans="1:5" ht="15" hidden="1" customHeight="1" x14ac:dyDescent="0.35">
      <c r="A1780" s="32" t="s">
        <v>3463</v>
      </c>
      <c r="B1780" s="4"/>
      <c r="C1780" s="4"/>
      <c r="D1780" s="706" t="s">
        <v>3464</v>
      </c>
      <c r="E1780" s="696">
        <f>'Verification Report'!O1782</f>
        <v>0</v>
      </c>
    </row>
    <row r="1781" spans="1:5" ht="15.75" hidden="1" customHeight="1" x14ac:dyDescent="0.35">
      <c r="A1781" s="108"/>
      <c r="B1781" s="4"/>
      <c r="C1781" s="4"/>
      <c r="D1781" s="706"/>
      <c r="E1781" s="696">
        <f>'Verification Report'!O1783</f>
        <v>0</v>
      </c>
    </row>
    <row r="1782" spans="1:5" ht="16.5" hidden="1" customHeight="1" thickBot="1" x14ac:dyDescent="0.4">
      <c r="A1782" s="328"/>
      <c r="B1782" s="183"/>
      <c r="C1782" s="183"/>
      <c r="D1782" s="710"/>
      <c r="E1782" s="695">
        <f>'Verification Report'!O1784</f>
        <v>0</v>
      </c>
    </row>
    <row r="1783" spans="1:5" ht="15.75" hidden="1" customHeight="1" thickTop="1" x14ac:dyDescent="0.35">
      <c r="A1783" s="123">
        <v>902.3</v>
      </c>
      <c r="B1783" s="124"/>
      <c r="C1783" s="124"/>
      <c r="D1783" s="711" t="s">
        <v>3465</v>
      </c>
      <c r="E1783" s="341"/>
    </row>
    <row r="1784" spans="1:5" ht="15.75" hidden="1" customHeight="1" x14ac:dyDescent="0.35">
      <c r="A1784" s="108"/>
      <c r="B1784" s="4"/>
      <c r="C1784" s="4"/>
      <c r="D1784" s="706"/>
      <c r="E1784" s="85"/>
    </row>
    <row r="1785" spans="1:5" ht="15.75" hidden="1" customHeight="1" x14ac:dyDescent="0.35">
      <c r="A1785" s="108"/>
      <c r="B1785" s="19" t="s">
        <v>270</v>
      </c>
      <c r="C1785" s="4"/>
      <c r="D1785" s="104" t="s">
        <v>3466</v>
      </c>
      <c r="E1785" s="85">
        <f ca="1">'Verification Report'!O1787</f>
        <v>0</v>
      </c>
    </row>
    <row r="1786" spans="1:5" ht="15.75" hidden="1" customHeight="1" x14ac:dyDescent="0.35">
      <c r="A1786" s="108"/>
      <c r="B1786" s="4"/>
      <c r="C1786" s="19" t="s">
        <v>121</v>
      </c>
      <c r="D1786" s="104" t="s">
        <v>3467</v>
      </c>
      <c r="E1786" s="85"/>
    </row>
    <row r="1787" spans="1:5" ht="15.75" hidden="1" customHeight="1" x14ac:dyDescent="0.35">
      <c r="A1787" s="108"/>
      <c r="B1787" s="155"/>
      <c r="C1787" s="148" t="s">
        <v>122</v>
      </c>
      <c r="D1787" s="214" t="s">
        <v>3468</v>
      </c>
      <c r="E1787" s="85"/>
    </row>
    <row r="1788" spans="1:5" ht="15.75" hidden="1" customHeight="1" x14ac:dyDescent="0.35">
      <c r="A1788" s="108"/>
      <c r="B1788" s="19" t="s">
        <v>272</v>
      </c>
      <c r="C1788" s="4"/>
      <c r="D1788" s="104" t="s">
        <v>3469</v>
      </c>
      <c r="E1788" s="85"/>
    </row>
    <row r="1789" spans="1:5" ht="16.5" hidden="1" customHeight="1" thickBot="1" x14ac:dyDescent="0.4">
      <c r="A1789" s="328"/>
      <c r="B1789" s="183"/>
      <c r="C1789" s="133" t="s">
        <v>121</v>
      </c>
      <c r="D1789" s="223" t="s">
        <v>3470</v>
      </c>
      <c r="E1789" s="184">
        <f>'Verification Report'!O1791</f>
        <v>0</v>
      </c>
    </row>
    <row r="1790" spans="1:5" ht="15.75" hidden="1" customHeight="1" thickTop="1" x14ac:dyDescent="0.35">
      <c r="A1790" s="32">
        <v>902.4</v>
      </c>
      <c r="B1790" s="4"/>
      <c r="C1790" s="4"/>
      <c r="D1790" s="706" t="s">
        <v>3471</v>
      </c>
      <c r="E1790" s="696">
        <f>'Verification Report'!O1792</f>
        <v>0</v>
      </c>
    </row>
    <row r="1791" spans="1:5" ht="15" hidden="1" thickTop="1" x14ac:dyDescent="0.35">
      <c r="A1791" s="108"/>
      <c r="B1791" s="4"/>
      <c r="C1791" s="4"/>
      <c r="D1791" s="706"/>
      <c r="E1791" s="696">
        <f>'Verification Report'!O1793</f>
        <v>0</v>
      </c>
    </row>
    <row r="1792" spans="1:5" ht="15" hidden="1" customHeight="1" x14ac:dyDescent="0.35">
      <c r="A1792" s="108"/>
      <c r="B1792" s="19" t="s">
        <v>270</v>
      </c>
      <c r="C1792" s="4"/>
      <c r="D1792" s="707" t="s">
        <v>3472</v>
      </c>
      <c r="E1792" s="85"/>
    </row>
    <row r="1793" spans="1:5" ht="15.75" hidden="1" customHeight="1" x14ac:dyDescent="0.35">
      <c r="A1793" s="108"/>
      <c r="B1793" s="148"/>
      <c r="C1793" s="155"/>
      <c r="D1793" s="709"/>
      <c r="E1793" s="85"/>
    </row>
    <row r="1794" spans="1:5" ht="15" hidden="1" customHeight="1" x14ac:dyDescent="0.35">
      <c r="A1794" s="108"/>
      <c r="B1794" s="19" t="s">
        <v>272</v>
      </c>
      <c r="C1794" s="4"/>
      <c r="D1794" s="707" t="s">
        <v>3473</v>
      </c>
      <c r="E1794" s="85"/>
    </row>
    <row r="1795" spans="1:5" ht="15.75" hidden="1" customHeight="1" x14ac:dyDescent="0.35">
      <c r="A1795" s="108"/>
      <c r="B1795" s="4"/>
      <c r="C1795" s="4"/>
      <c r="D1795" s="707"/>
      <c r="E1795" s="85"/>
    </row>
    <row r="1796" spans="1:5" ht="16.5" hidden="1" customHeight="1" thickBot="1" x14ac:dyDescent="0.4">
      <c r="A1796" s="328"/>
      <c r="B1796" s="183"/>
      <c r="C1796" s="183"/>
      <c r="D1796" s="708"/>
      <c r="E1796" s="184"/>
    </row>
    <row r="1797" spans="1:5" ht="15.75" hidden="1" customHeight="1" thickTop="1" x14ac:dyDescent="0.35">
      <c r="A1797" s="123">
        <v>902.5</v>
      </c>
      <c r="B1797" s="124"/>
      <c r="C1797" s="124"/>
      <c r="D1797" s="792" t="s">
        <v>3474</v>
      </c>
      <c r="E1797" s="694">
        <f>'Verification Report'!O1799</f>
        <v>0</v>
      </c>
    </row>
    <row r="1798" spans="1:5" ht="16.5" hidden="1" customHeight="1" thickBot="1" x14ac:dyDescent="0.4">
      <c r="A1798" s="132"/>
      <c r="B1798" s="183"/>
      <c r="C1798" s="183"/>
      <c r="D1798" s="793"/>
      <c r="E1798" s="695">
        <f>'Verification Report'!O1800</f>
        <v>0</v>
      </c>
    </row>
    <row r="1799" spans="1:5" ht="15.75" hidden="1" customHeight="1" thickTop="1" x14ac:dyDescent="0.35">
      <c r="A1799" s="32">
        <v>902.6</v>
      </c>
      <c r="B1799" s="4"/>
      <c r="C1799" s="4"/>
      <c r="D1799" s="706" t="s">
        <v>3475</v>
      </c>
      <c r="E1799" s="85"/>
    </row>
    <row r="1800" spans="1:5" ht="15.75" hidden="1" customHeight="1" x14ac:dyDescent="0.35">
      <c r="A1800" s="108"/>
      <c r="B1800" s="4"/>
      <c r="C1800" s="4"/>
      <c r="D1800" s="706"/>
      <c r="E1800" s="85"/>
    </row>
    <row r="1801" spans="1:5" ht="19" hidden="1" thickTop="1" x14ac:dyDescent="0.45">
      <c r="A1801" s="10" t="s">
        <v>3476</v>
      </c>
      <c r="B1801" s="15"/>
      <c r="C1801" s="15"/>
      <c r="D1801" s="47"/>
      <c r="E1801" s="340"/>
    </row>
    <row r="1802" spans="1:5" ht="15.5" hidden="1" thickTop="1" thickBot="1" x14ac:dyDescent="0.4">
      <c r="A1802" s="326">
        <v>903</v>
      </c>
      <c r="B1802" s="183"/>
      <c r="C1802" s="183"/>
      <c r="D1802" s="272" t="s">
        <v>3477</v>
      </c>
      <c r="E1802" s="184"/>
    </row>
    <row r="1803" spans="1:5" ht="15.75" hidden="1" customHeight="1" thickTop="1" x14ac:dyDescent="0.35">
      <c r="A1803" s="327">
        <v>903.1</v>
      </c>
      <c r="B1803" s="124"/>
      <c r="C1803" s="124"/>
      <c r="D1803" s="222" t="s">
        <v>3920</v>
      </c>
      <c r="E1803" s="341">
        <f ca="1">'Verification Report'!O1805</f>
        <v>0</v>
      </c>
    </row>
    <row r="1804" spans="1:5" ht="15" hidden="1" customHeight="1" x14ac:dyDescent="0.35">
      <c r="A1804" s="108"/>
      <c r="B1804" s="19" t="s">
        <v>270</v>
      </c>
      <c r="C1804" s="4"/>
      <c r="D1804" s="707" t="s">
        <v>3918</v>
      </c>
      <c r="E1804" s="85"/>
    </row>
    <row r="1805" spans="1:5" ht="15.75" hidden="1" customHeight="1" x14ac:dyDescent="0.35">
      <c r="A1805" s="108"/>
      <c r="B1805" s="148"/>
      <c r="C1805" s="155"/>
      <c r="D1805" s="739"/>
      <c r="E1805" s="85"/>
    </row>
    <row r="1806" spans="1:5" ht="16.5" hidden="1" customHeight="1" thickBot="1" x14ac:dyDescent="0.4">
      <c r="A1806" s="328"/>
      <c r="B1806" s="133" t="s">
        <v>272</v>
      </c>
      <c r="C1806" s="183"/>
      <c r="D1806" s="223" t="s">
        <v>3919</v>
      </c>
      <c r="E1806" s="184"/>
    </row>
    <row r="1807" spans="1:5" ht="15.75" hidden="1" customHeight="1" thickTop="1" x14ac:dyDescent="0.35">
      <c r="A1807" s="123">
        <v>903.2</v>
      </c>
      <c r="B1807" s="124"/>
      <c r="C1807" s="124"/>
      <c r="D1807" s="222" t="s">
        <v>3480</v>
      </c>
      <c r="E1807" s="341">
        <f ca="1">'Verification Report'!O1809</f>
        <v>0</v>
      </c>
    </row>
    <row r="1808" spans="1:5" ht="15.75" hidden="1" customHeight="1" x14ac:dyDescent="0.35">
      <c r="A1808" s="108"/>
      <c r="B1808" s="148" t="s">
        <v>270</v>
      </c>
      <c r="C1808" s="155"/>
      <c r="D1808" s="214" t="s">
        <v>3481</v>
      </c>
      <c r="E1808" s="85"/>
    </row>
    <row r="1809" spans="1:5" ht="15" hidden="1" customHeight="1" x14ac:dyDescent="0.35">
      <c r="A1809" s="108"/>
      <c r="B1809" s="19" t="s">
        <v>272</v>
      </c>
      <c r="C1809" s="4"/>
      <c r="D1809" s="707" t="s">
        <v>3482</v>
      </c>
      <c r="E1809" s="85"/>
    </row>
    <row r="1810" spans="1:5" ht="16.5" hidden="1" customHeight="1" thickBot="1" x14ac:dyDescent="0.4">
      <c r="A1810" s="328"/>
      <c r="B1810" s="183"/>
      <c r="C1810" s="183"/>
      <c r="D1810" s="708"/>
      <c r="E1810" s="184"/>
    </row>
    <row r="1811" spans="1:5" ht="15.75" hidden="1" customHeight="1" thickTop="1" x14ac:dyDescent="0.35">
      <c r="A1811" s="32">
        <v>903.3</v>
      </c>
      <c r="B1811" s="4"/>
      <c r="C1811" s="4"/>
      <c r="D1811" s="706" t="s">
        <v>3921</v>
      </c>
      <c r="E1811" s="696">
        <f>'Verification Report'!O1813</f>
        <v>0</v>
      </c>
    </row>
    <row r="1812" spans="1:5" ht="15.75" hidden="1" customHeight="1" x14ac:dyDescent="0.35">
      <c r="A1812" s="108"/>
      <c r="B1812" s="4"/>
      <c r="C1812" s="4"/>
      <c r="D1812" s="706"/>
      <c r="E1812" s="696">
        <f>'Verification Report'!O1814</f>
        <v>0</v>
      </c>
    </row>
    <row r="1813" spans="1:5" ht="15.75" hidden="1" customHeight="1" x14ac:dyDescent="0.35">
      <c r="A1813" s="108"/>
      <c r="B1813" s="148" t="s">
        <v>270</v>
      </c>
      <c r="C1813" s="119"/>
      <c r="D1813" s="214" t="s">
        <v>3483</v>
      </c>
      <c r="E1813" s="85"/>
    </row>
    <row r="1814" spans="1:5" ht="15" hidden="1" customHeight="1" x14ac:dyDescent="0.35">
      <c r="A1814" s="108"/>
      <c r="B1814" s="19" t="s">
        <v>272</v>
      </c>
      <c r="D1814" s="723" t="s">
        <v>3484</v>
      </c>
      <c r="E1814" s="85"/>
    </row>
    <row r="1815" spans="1:5" ht="15.75" hidden="1" customHeight="1" x14ac:dyDescent="0.35">
      <c r="A1815" s="108"/>
      <c r="B1815" s="4"/>
      <c r="C1815" s="19"/>
      <c r="D1815" s="723"/>
      <c r="E1815" s="85"/>
    </row>
    <row r="1816" spans="1:5" ht="19" hidden="1" thickTop="1" x14ac:dyDescent="0.45">
      <c r="A1816" s="10" t="s">
        <v>3485</v>
      </c>
      <c r="B1816" s="15"/>
      <c r="C1816" s="15"/>
      <c r="D1816" s="47"/>
      <c r="E1816" s="340"/>
    </row>
    <row r="1817" spans="1:5" ht="15" hidden="1" customHeight="1" x14ac:dyDescent="0.35">
      <c r="A1817" s="166">
        <v>904</v>
      </c>
      <c r="B1817" s="4"/>
      <c r="C1817" s="4"/>
      <c r="D1817" s="706" t="s">
        <v>3486</v>
      </c>
      <c r="E1817" s="85"/>
    </row>
    <row r="1818" spans="1:5" ht="15.5" hidden="1" thickTop="1" thickBot="1" x14ac:dyDescent="0.4">
      <c r="A1818" s="328"/>
      <c r="B1818" s="183"/>
      <c r="C1818" s="183"/>
      <c r="D1818" s="710"/>
      <c r="E1818" s="184"/>
    </row>
    <row r="1819" spans="1:5" ht="15.75" hidden="1" customHeight="1" thickTop="1" x14ac:dyDescent="0.35">
      <c r="A1819" s="327">
        <v>904.1</v>
      </c>
      <c r="B1819" s="124"/>
      <c r="C1819" s="124"/>
      <c r="D1819" s="711" t="s">
        <v>3487</v>
      </c>
      <c r="E1819" s="694">
        <f>'Verification Report'!O1821</f>
        <v>0</v>
      </c>
    </row>
    <row r="1820" spans="1:5" ht="15.75" hidden="1" customHeight="1" x14ac:dyDescent="0.35">
      <c r="A1820" s="108"/>
      <c r="B1820" s="4"/>
      <c r="C1820" s="4"/>
      <c r="D1820" s="706"/>
      <c r="E1820" s="696">
        <f>'Verification Report'!O1822</f>
        <v>0</v>
      </c>
    </row>
    <row r="1821" spans="1:5" ht="15.75" hidden="1" customHeight="1" x14ac:dyDescent="0.35">
      <c r="A1821" s="108"/>
      <c r="B1821" s="4"/>
      <c r="C1821" s="4"/>
      <c r="D1821" s="706"/>
      <c r="E1821" s="696">
        <f>'Verification Report'!O1823</f>
        <v>0</v>
      </c>
    </row>
    <row r="1822" spans="1:5" ht="15.75" hidden="1" customHeight="1" x14ac:dyDescent="0.35">
      <c r="A1822" s="108"/>
      <c r="B1822" s="4"/>
      <c r="C1822" s="4"/>
      <c r="D1822" s="706"/>
      <c r="E1822" s="696">
        <f>'Verification Report'!O1824</f>
        <v>0</v>
      </c>
    </row>
    <row r="1823" spans="1:5" ht="16.5" hidden="1" customHeight="1" thickBot="1" x14ac:dyDescent="0.4">
      <c r="A1823" s="328"/>
      <c r="B1823" s="183"/>
      <c r="C1823" s="183"/>
      <c r="D1823" s="710"/>
      <c r="E1823" s="695">
        <f>'Verification Report'!O1825</f>
        <v>0</v>
      </c>
    </row>
    <row r="1824" spans="1:5" ht="15.75" hidden="1" customHeight="1" thickTop="1" x14ac:dyDescent="0.35">
      <c r="A1824" s="32">
        <v>904.2</v>
      </c>
      <c r="B1824" s="4"/>
      <c r="C1824" s="4"/>
      <c r="D1824" s="706" t="s">
        <v>3488</v>
      </c>
      <c r="E1824" s="696">
        <f>'Verification Report'!O1826</f>
        <v>0</v>
      </c>
    </row>
    <row r="1825" spans="1:5" ht="15.75" hidden="1" customHeight="1" x14ac:dyDescent="0.35">
      <c r="A1825" s="108"/>
      <c r="B1825" s="4"/>
      <c r="C1825" s="4"/>
      <c r="D1825" s="706"/>
      <c r="E1825" s="696">
        <f>'Verification Report'!O1827</f>
        <v>0</v>
      </c>
    </row>
    <row r="1826" spans="1:5" ht="15.75" hidden="1" customHeight="1" x14ac:dyDescent="0.35">
      <c r="A1826" s="108"/>
      <c r="B1826" s="4"/>
      <c r="C1826" s="4"/>
      <c r="D1826" s="706"/>
      <c r="E1826" s="696">
        <f>'Verification Report'!O1828</f>
        <v>0</v>
      </c>
    </row>
    <row r="1827" spans="1:5" ht="19" hidden="1" thickTop="1" x14ac:dyDescent="0.45">
      <c r="A1827" s="10" t="s">
        <v>3489</v>
      </c>
      <c r="B1827" s="15"/>
      <c r="C1827" s="15"/>
      <c r="D1827" s="47"/>
      <c r="E1827" s="340"/>
    </row>
    <row r="1828" spans="1:5" ht="15" hidden="1" customHeight="1" x14ac:dyDescent="0.35">
      <c r="A1828" s="32">
        <v>905.1</v>
      </c>
      <c r="B1828" s="4"/>
      <c r="C1828" s="4"/>
      <c r="D1828" s="706" t="s">
        <v>3490</v>
      </c>
      <c r="E1828" s="696">
        <f>'Verification Report'!O1830</f>
        <v>0</v>
      </c>
    </row>
    <row r="1829" spans="1:5" ht="15.75" hidden="1" customHeight="1" x14ac:dyDescent="0.35">
      <c r="A1829" s="108"/>
      <c r="B1829" s="4"/>
      <c r="C1829" s="4"/>
      <c r="D1829" s="706"/>
      <c r="E1829" s="696">
        <f>'Verification Report'!O1831</f>
        <v>0</v>
      </c>
    </row>
    <row r="1830" spans="1:5" ht="15.75" hidden="1" customHeight="1" x14ac:dyDescent="0.35">
      <c r="A1830" s="108"/>
      <c r="B1830" s="4"/>
      <c r="C1830" s="4"/>
      <c r="D1830" s="706"/>
      <c r="E1830" s="696">
        <f>'Verification Report'!O1832</f>
        <v>0</v>
      </c>
    </row>
    <row r="1831" spans="1:5" ht="15.75" hidden="1" customHeight="1" x14ac:dyDescent="0.35">
      <c r="A1831" s="108"/>
      <c r="B1831" s="4"/>
      <c r="C1831" s="4"/>
      <c r="D1831" s="706"/>
      <c r="E1831" s="696">
        <f>'Verification Report'!O1833</f>
        <v>0</v>
      </c>
    </row>
    <row r="1832" spans="1:5" ht="16.5" hidden="1" customHeight="1" thickBot="1" x14ac:dyDescent="0.4">
      <c r="A1832" s="328"/>
      <c r="B1832" s="183"/>
      <c r="C1832" s="183"/>
      <c r="D1832" s="710"/>
      <c r="E1832" s="695">
        <f>'Verification Report'!O1834</f>
        <v>0</v>
      </c>
    </row>
    <row r="1833" spans="1:5" ht="15.75" hidden="1" customHeight="1" thickTop="1" x14ac:dyDescent="0.35">
      <c r="A1833" s="32">
        <v>905.2</v>
      </c>
      <c r="B1833" s="4"/>
      <c r="C1833" s="4"/>
      <c r="D1833" s="706" t="s">
        <v>3491</v>
      </c>
      <c r="E1833" s="696">
        <f>'Verification Report'!O1835</f>
        <v>0</v>
      </c>
    </row>
    <row r="1834" spans="1:5" ht="15.75" hidden="1" customHeight="1" x14ac:dyDescent="0.35">
      <c r="A1834" s="108"/>
      <c r="B1834" s="4"/>
      <c r="C1834" s="4"/>
      <c r="D1834" s="706"/>
      <c r="E1834" s="696">
        <f>'Verification Report'!O1836</f>
        <v>0</v>
      </c>
    </row>
    <row r="1835" spans="1:5" ht="19" hidden="1" thickTop="1" x14ac:dyDescent="0.45">
      <c r="A1835" s="14" t="s">
        <v>3587</v>
      </c>
      <c r="B1835" s="14"/>
      <c r="C1835" s="14"/>
      <c r="D1835" s="15"/>
      <c r="E1835" s="16"/>
    </row>
    <row r="1836" spans="1:5" ht="15" hidden="1" customHeight="1" x14ac:dyDescent="0.35">
      <c r="A1836" s="166">
        <v>1001</v>
      </c>
      <c r="B1836" s="4"/>
      <c r="C1836" s="4"/>
      <c r="D1836" s="706" t="s">
        <v>3492</v>
      </c>
    </row>
    <row r="1837" spans="1:5" ht="15.5" hidden="1" thickTop="1" thickBot="1" x14ac:dyDescent="0.4">
      <c r="A1837" s="183"/>
      <c r="B1837" s="183"/>
      <c r="C1837" s="183"/>
      <c r="D1837" s="710"/>
      <c r="E1837" s="58"/>
    </row>
    <row r="1838" spans="1:5" ht="15.75" hidden="1" customHeight="1" thickTop="1" x14ac:dyDescent="0.35">
      <c r="A1838" s="33">
        <v>1001.1</v>
      </c>
      <c r="B1838" s="4"/>
      <c r="C1838" s="4"/>
      <c r="D1838" s="706" t="s">
        <v>3493</v>
      </c>
      <c r="E1838" s="696"/>
    </row>
    <row r="1839" spans="1:5" ht="15" hidden="1" thickTop="1" x14ac:dyDescent="0.35">
      <c r="A1839" s="4"/>
      <c r="B1839" s="4"/>
      <c r="C1839" s="4"/>
      <c r="D1839" s="706"/>
      <c r="E1839" s="696"/>
    </row>
    <row r="1840" spans="1:5" ht="15" hidden="1" thickTop="1" x14ac:dyDescent="0.35">
      <c r="A1840" s="4"/>
      <c r="B1840" s="4"/>
      <c r="C1840" s="4"/>
      <c r="D1840" s="168" t="s">
        <v>3586</v>
      </c>
      <c r="E1840" s="696"/>
    </row>
    <row r="1841" spans="1:5" ht="15" hidden="1" thickTop="1" x14ac:dyDescent="0.35">
      <c r="A1841" s="4"/>
      <c r="B1841" s="148" t="s">
        <v>270</v>
      </c>
      <c r="C1841" s="155"/>
      <c r="D1841" s="214" t="s">
        <v>3494</v>
      </c>
      <c r="E1841" s="85"/>
    </row>
    <row r="1842" spans="1:5" ht="15" hidden="1" thickTop="1" x14ac:dyDescent="0.35">
      <c r="A1842" s="4"/>
      <c r="B1842" s="150" t="s">
        <v>272</v>
      </c>
      <c r="C1842" s="187"/>
      <c r="D1842" s="220" t="s">
        <v>3495</v>
      </c>
      <c r="E1842" s="85"/>
    </row>
    <row r="1843" spans="1:5" ht="15" hidden="1" customHeight="1" x14ac:dyDescent="0.35">
      <c r="A1843" s="4"/>
      <c r="B1843" s="154" t="s">
        <v>274</v>
      </c>
      <c r="C1843" s="136"/>
      <c r="D1843" s="742" t="s">
        <v>3496</v>
      </c>
      <c r="E1843" s="85"/>
    </row>
    <row r="1844" spans="1:5" ht="15.75" hidden="1" customHeight="1" x14ac:dyDescent="0.35">
      <c r="A1844" s="4"/>
      <c r="B1844" s="19"/>
      <c r="C1844" s="4"/>
      <c r="D1844" s="707"/>
      <c r="E1844" s="85"/>
    </row>
    <row r="1845" spans="1:5" ht="15.75" hidden="1" customHeight="1" x14ac:dyDescent="0.35">
      <c r="A1845" s="4"/>
      <c r="B1845" s="19"/>
      <c r="C1845" s="4"/>
      <c r="D1845" s="707"/>
      <c r="E1845" s="85"/>
    </row>
    <row r="1846" spans="1:5" ht="15.75" hidden="1" customHeight="1" x14ac:dyDescent="0.35">
      <c r="A1846" s="4"/>
      <c r="B1846" s="148"/>
      <c r="C1846" s="155"/>
      <c r="D1846" s="709"/>
      <c r="E1846" s="85"/>
    </row>
    <row r="1847" spans="1:5" ht="15" hidden="1" thickTop="1" x14ac:dyDescent="0.35">
      <c r="A1847" s="4"/>
      <c r="B1847" s="150" t="s">
        <v>283</v>
      </c>
      <c r="C1847" s="187"/>
      <c r="D1847" s="220" t="s">
        <v>3497</v>
      </c>
      <c r="E1847" s="85"/>
    </row>
    <row r="1848" spans="1:5" ht="15" hidden="1" thickTop="1" x14ac:dyDescent="0.35">
      <c r="A1848" s="4"/>
      <c r="B1848" s="150" t="s">
        <v>289</v>
      </c>
      <c r="C1848" s="187"/>
      <c r="D1848" s="220" t="s">
        <v>3498</v>
      </c>
      <c r="E1848" s="85"/>
    </row>
    <row r="1849" spans="1:5" ht="15" hidden="1" customHeight="1" x14ac:dyDescent="0.35">
      <c r="A1849" s="4"/>
      <c r="B1849" s="154" t="s">
        <v>291</v>
      </c>
      <c r="C1849" s="136"/>
      <c r="D1849" s="742" t="s">
        <v>3499</v>
      </c>
      <c r="E1849" s="85"/>
    </row>
    <row r="1850" spans="1:5" ht="15.75" hidden="1" customHeight="1" x14ac:dyDescent="0.35">
      <c r="A1850" s="4"/>
      <c r="B1850" s="148"/>
      <c r="C1850" s="155"/>
      <c r="D1850" s="709"/>
      <c r="E1850" s="85"/>
    </row>
    <row r="1851" spans="1:5" ht="15" hidden="1" customHeight="1" x14ac:dyDescent="0.35">
      <c r="A1851" s="4"/>
      <c r="B1851" s="154" t="s">
        <v>403</v>
      </c>
      <c r="C1851" s="136"/>
      <c r="D1851" s="742" t="s">
        <v>3500</v>
      </c>
      <c r="E1851" s="85"/>
    </row>
    <row r="1852" spans="1:5" ht="15.75" hidden="1" customHeight="1" x14ac:dyDescent="0.35">
      <c r="A1852" s="4"/>
      <c r="B1852" s="148"/>
      <c r="C1852" s="155"/>
      <c r="D1852" s="709"/>
      <c r="E1852" s="85"/>
    </row>
    <row r="1853" spans="1:5" ht="15" hidden="1" thickTop="1" x14ac:dyDescent="0.35">
      <c r="A1853" s="4"/>
      <c r="B1853" s="150" t="s">
        <v>453</v>
      </c>
      <c r="C1853" s="187"/>
      <c r="D1853" s="220" t="s">
        <v>3501</v>
      </c>
      <c r="E1853" s="85"/>
    </row>
    <row r="1854" spans="1:5" ht="15" hidden="1" customHeight="1" x14ac:dyDescent="0.35">
      <c r="A1854" s="4"/>
      <c r="B1854" s="19" t="s">
        <v>455</v>
      </c>
      <c r="C1854" s="4"/>
      <c r="D1854" s="757" t="s">
        <v>3502</v>
      </c>
      <c r="E1854" s="85"/>
    </row>
    <row r="1855" spans="1:5" ht="15.75" hidden="1" customHeight="1" x14ac:dyDescent="0.35">
      <c r="A1855" s="4"/>
      <c r="B1855" s="19"/>
      <c r="C1855" s="4"/>
      <c r="D1855" s="724"/>
      <c r="E1855" s="85"/>
    </row>
    <row r="1856" spans="1:5" ht="15" hidden="1" thickTop="1" x14ac:dyDescent="0.35">
      <c r="A1856" s="4"/>
      <c r="B1856" s="150" t="s">
        <v>457</v>
      </c>
      <c r="C1856" s="187"/>
      <c r="D1856" s="220" t="s">
        <v>3503</v>
      </c>
      <c r="E1856" s="85"/>
    </row>
    <row r="1857" spans="1:5" ht="15" hidden="1" thickTop="1" x14ac:dyDescent="0.35">
      <c r="A1857" s="4"/>
      <c r="B1857" s="19" t="s">
        <v>459</v>
      </c>
      <c r="C1857" s="4"/>
      <c r="D1857" s="104" t="s">
        <v>3504</v>
      </c>
      <c r="E1857" s="85"/>
    </row>
    <row r="1858" spans="1:5" ht="15" hidden="1" customHeight="1" x14ac:dyDescent="0.35">
      <c r="A1858" s="4"/>
      <c r="B1858" s="154" t="s">
        <v>461</v>
      </c>
      <c r="C1858" s="136"/>
      <c r="D1858" s="742" t="s">
        <v>3505</v>
      </c>
      <c r="E1858" s="85"/>
    </row>
    <row r="1859" spans="1:5" ht="15.75" hidden="1" customHeight="1" x14ac:dyDescent="0.35">
      <c r="A1859" s="4"/>
      <c r="B1859" s="4"/>
      <c r="C1859" s="4"/>
      <c r="D1859" s="707"/>
      <c r="E1859" s="85"/>
    </row>
    <row r="1860" spans="1:5" ht="15.75" hidden="1" customHeight="1" x14ac:dyDescent="0.35">
      <c r="A1860" s="4"/>
      <c r="B1860" s="4"/>
      <c r="C1860" s="19" t="s">
        <v>121</v>
      </c>
      <c r="D1860" s="104" t="s">
        <v>3506</v>
      </c>
      <c r="E1860" s="85"/>
    </row>
    <row r="1861" spans="1:5" ht="15.75" hidden="1" customHeight="1" x14ac:dyDescent="0.35">
      <c r="A1861" s="4"/>
      <c r="B1861" s="4"/>
      <c r="C1861" s="19" t="s">
        <v>122</v>
      </c>
      <c r="D1861" s="104" t="s">
        <v>3507</v>
      </c>
      <c r="E1861" s="85"/>
    </row>
    <row r="1862" spans="1:5" ht="15" hidden="1" customHeight="1" x14ac:dyDescent="0.35">
      <c r="A1862" s="4"/>
      <c r="B1862" s="4"/>
      <c r="C1862" s="19" t="s">
        <v>123</v>
      </c>
      <c r="D1862" s="707" t="s">
        <v>3508</v>
      </c>
      <c r="E1862" s="85"/>
    </row>
    <row r="1863" spans="1:5" ht="15.75" hidden="1" customHeight="1" x14ac:dyDescent="0.35">
      <c r="A1863" s="4"/>
      <c r="B1863" s="155"/>
      <c r="C1863" s="155"/>
      <c r="D1863" s="709"/>
      <c r="E1863" s="85"/>
    </row>
    <row r="1864" spans="1:5" ht="15" hidden="1" customHeight="1" x14ac:dyDescent="0.35">
      <c r="A1864" s="4"/>
      <c r="B1864" s="154" t="s">
        <v>3509</v>
      </c>
      <c r="C1864" s="136"/>
      <c r="D1864" s="742" t="s">
        <v>3510</v>
      </c>
      <c r="E1864" s="85"/>
    </row>
    <row r="1865" spans="1:5" ht="15.75" hidden="1" customHeight="1" x14ac:dyDescent="0.35">
      <c r="A1865" s="4"/>
      <c r="B1865" s="4"/>
      <c r="C1865" s="4"/>
      <c r="D1865" s="707"/>
      <c r="E1865" s="85"/>
    </row>
    <row r="1866" spans="1:5" ht="15.75" hidden="1" customHeight="1" x14ac:dyDescent="0.35">
      <c r="A1866" s="4"/>
      <c r="B1866" s="4"/>
      <c r="C1866" s="4"/>
      <c r="D1866" s="707"/>
      <c r="E1866" s="85"/>
    </row>
    <row r="1867" spans="1:5" ht="15.75" hidden="1" customHeight="1" x14ac:dyDescent="0.35">
      <c r="A1867" s="4"/>
      <c r="B1867" s="155"/>
      <c r="C1867" s="155"/>
      <c r="D1867" s="709"/>
      <c r="E1867" s="85"/>
    </row>
    <row r="1868" spans="1:5" ht="15" hidden="1" customHeight="1" x14ac:dyDescent="0.35">
      <c r="A1868" s="4"/>
      <c r="B1868" s="154" t="s">
        <v>3511</v>
      </c>
      <c r="C1868" s="136"/>
      <c r="D1868" s="742" t="s">
        <v>3512</v>
      </c>
      <c r="E1868" s="85"/>
    </row>
    <row r="1869" spans="1:5" ht="15.75" hidden="1" customHeight="1" x14ac:dyDescent="0.35">
      <c r="A1869" s="4"/>
      <c r="B1869" s="155"/>
      <c r="C1869" s="155"/>
      <c r="D1869" s="709"/>
      <c r="E1869" s="85"/>
    </row>
    <row r="1870" spans="1:5" ht="15" hidden="1" customHeight="1" x14ac:dyDescent="0.35">
      <c r="A1870" s="4"/>
      <c r="B1870" s="154" t="s">
        <v>3513</v>
      </c>
      <c r="C1870" s="136"/>
      <c r="D1870" s="742" t="s">
        <v>3514</v>
      </c>
      <c r="E1870" s="85"/>
    </row>
    <row r="1871" spans="1:5" ht="15.75" hidden="1" customHeight="1" x14ac:dyDescent="0.35">
      <c r="A1871" s="4"/>
      <c r="B1871" s="155"/>
      <c r="C1871" s="155"/>
      <c r="D1871" s="709"/>
      <c r="E1871" s="85"/>
    </row>
    <row r="1872" spans="1:5" ht="15" hidden="1" thickTop="1" x14ac:dyDescent="0.35">
      <c r="A1872" s="4"/>
      <c r="B1872" s="150" t="s">
        <v>3515</v>
      </c>
      <c r="C1872" s="187"/>
      <c r="D1872" s="220" t="s">
        <v>3516</v>
      </c>
      <c r="E1872" s="85"/>
    </row>
    <row r="1873" spans="1:5" ht="15" hidden="1" customHeight="1" x14ac:dyDescent="0.35">
      <c r="A1873" s="4"/>
      <c r="B1873" s="154" t="s">
        <v>3517</v>
      </c>
      <c r="C1873" s="136"/>
      <c r="D1873" s="757" t="s">
        <v>3518</v>
      </c>
      <c r="E1873" s="85"/>
    </row>
    <row r="1874" spans="1:5" ht="15.75" hidden="1" customHeight="1" x14ac:dyDescent="0.35">
      <c r="A1874" s="4"/>
      <c r="B1874" s="148"/>
      <c r="C1874" s="155"/>
      <c r="D1874" s="724"/>
      <c r="E1874" s="85"/>
    </row>
    <row r="1875" spans="1:5" ht="15" hidden="1" customHeight="1" x14ac:dyDescent="0.35">
      <c r="A1875" s="4"/>
      <c r="B1875" s="154" t="s">
        <v>3519</v>
      </c>
      <c r="C1875" s="136"/>
      <c r="D1875" s="742" t="s">
        <v>3520</v>
      </c>
      <c r="E1875" s="85"/>
    </row>
    <row r="1876" spans="1:5" ht="15.75" hidden="1" customHeight="1" x14ac:dyDescent="0.35">
      <c r="A1876" s="4"/>
      <c r="B1876" s="155"/>
      <c r="C1876" s="155"/>
      <c r="D1876" s="709"/>
      <c r="E1876" s="85"/>
    </row>
    <row r="1877" spans="1:5" ht="15" hidden="1" thickTop="1" x14ac:dyDescent="0.35">
      <c r="A1877" s="4"/>
      <c r="B1877" s="150" t="s">
        <v>3521</v>
      </c>
      <c r="C1877" s="187"/>
      <c r="D1877" s="220" t="s">
        <v>3522</v>
      </c>
      <c r="E1877" s="85"/>
    </row>
    <row r="1878" spans="1:5" ht="15" hidden="1" customHeight="1" x14ac:dyDescent="0.35">
      <c r="A1878" s="4"/>
      <c r="B1878" s="154" t="s">
        <v>3523</v>
      </c>
      <c r="C1878" s="136"/>
      <c r="D1878" s="742" t="s">
        <v>3524</v>
      </c>
      <c r="E1878" s="85"/>
    </row>
    <row r="1879" spans="1:5" ht="15.75" hidden="1" customHeight="1" x14ac:dyDescent="0.35">
      <c r="A1879" s="4"/>
      <c r="B1879" s="155"/>
      <c r="C1879" s="155"/>
      <c r="D1879" s="709"/>
      <c r="E1879" s="85"/>
    </row>
    <row r="1880" spans="1:5" ht="15" hidden="1" customHeight="1" x14ac:dyDescent="0.35">
      <c r="A1880" s="4"/>
      <c r="B1880" s="154" t="s">
        <v>3525</v>
      </c>
      <c r="C1880" s="136"/>
      <c r="D1880" s="742" t="s">
        <v>3526</v>
      </c>
      <c r="E1880" s="85"/>
    </row>
    <row r="1881" spans="1:5" ht="15.75" hidden="1" customHeight="1" x14ac:dyDescent="0.35">
      <c r="A1881" s="4"/>
      <c r="B1881" s="155"/>
      <c r="C1881" s="155"/>
      <c r="D1881" s="709"/>
      <c r="E1881" s="85"/>
    </row>
    <row r="1882" spans="1:5" ht="15" hidden="1" customHeight="1" x14ac:dyDescent="0.35">
      <c r="A1882" s="4"/>
      <c r="B1882" s="154" t="s">
        <v>3527</v>
      </c>
      <c r="C1882" s="136"/>
      <c r="D1882" s="742" t="s">
        <v>3528</v>
      </c>
      <c r="E1882" s="85"/>
    </row>
    <row r="1883" spans="1:5" ht="15.75" hidden="1" customHeight="1" x14ac:dyDescent="0.35">
      <c r="A1883" s="4"/>
      <c r="B1883" s="155"/>
      <c r="C1883" s="155"/>
      <c r="D1883" s="709"/>
      <c r="E1883" s="85"/>
    </row>
    <row r="1884" spans="1:5" ht="15" hidden="1" thickTop="1" x14ac:dyDescent="0.35">
      <c r="A1884" s="4"/>
      <c r="B1884" s="150" t="s">
        <v>3529</v>
      </c>
      <c r="C1884" s="187"/>
      <c r="D1884" s="220" t="s">
        <v>3530</v>
      </c>
      <c r="E1884" s="85"/>
    </row>
    <row r="1885" spans="1:5" ht="15.5" hidden="1" thickTop="1" thickBot="1" x14ac:dyDescent="0.4">
      <c r="A1885" s="183"/>
      <c r="B1885" s="133" t="s">
        <v>3531</v>
      </c>
      <c r="C1885" s="183"/>
      <c r="D1885" s="223" t="s">
        <v>3532</v>
      </c>
      <c r="E1885" s="184"/>
    </row>
    <row r="1886" spans="1:5" ht="15.75" hidden="1" customHeight="1" thickTop="1" x14ac:dyDescent="0.35">
      <c r="A1886" s="32">
        <v>1001.2</v>
      </c>
      <c r="B1886" s="4"/>
      <c r="C1886" s="4"/>
      <c r="D1886" s="706" t="s">
        <v>3533</v>
      </c>
      <c r="E1886" s="85"/>
    </row>
    <row r="1887" spans="1:5" ht="15.75" hidden="1" customHeight="1" x14ac:dyDescent="0.35">
      <c r="A1887" s="4"/>
      <c r="B1887" s="4"/>
      <c r="C1887" s="4"/>
      <c r="D1887" s="706"/>
      <c r="E1887" s="85"/>
    </row>
    <row r="1888" spans="1:5" ht="15.75" hidden="1" customHeight="1" x14ac:dyDescent="0.35">
      <c r="A1888" s="4"/>
      <c r="B1888" s="4"/>
      <c r="C1888" s="4"/>
      <c r="D1888" s="706"/>
      <c r="E1888" s="85"/>
    </row>
    <row r="1889" spans="1:5" ht="15.75" hidden="1" customHeight="1" x14ac:dyDescent="0.35">
      <c r="A1889" s="4"/>
      <c r="B1889" s="4"/>
      <c r="C1889" s="4"/>
      <c r="D1889" s="706"/>
      <c r="E1889" s="85"/>
    </row>
    <row r="1890" spans="1:5" ht="15.75" hidden="1" customHeight="1" x14ac:dyDescent="0.35">
      <c r="A1890" s="4"/>
      <c r="B1890" s="19" t="s">
        <v>270</v>
      </c>
      <c r="C1890" s="4"/>
      <c r="D1890" s="169" t="s">
        <v>3534</v>
      </c>
      <c r="E1890" s="85"/>
    </row>
    <row r="1891" spans="1:5" ht="15.75" hidden="1" customHeight="1" x14ac:dyDescent="0.35">
      <c r="A1891" s="4"/>
      <c r="B1891" s="19" t="s">
        <v>272</v>
      </c>
      <c r="C1891" s="4"/>
      <c r="D1891" s="169" t="s">
        <v>3535</v>
      </c>
      <c r="E1891" s="85"/>
    </row>
    <row r="1892" spans="1:5" ht="15.75" hidden="1" customHeight="1" x14ac:dyDescent="0.35">
      <c r="A1892" s="4"/>
      <c r="B1892" s="19" t="s">
        <v>274</v>
      </c>
      <c r="C1892" s="4"/>
      <c r="D1892" s="169" t="s">
        <v>3536</v>
      </c>
      <c r="E1892" s="85"/>
    </row>
    <row r="1893" spans="1:5" ht="15.75" hidden="1" customHeight="1" x14ac:dyDescent="0.35">
      <c r="A1893" s="4"/>
      <c r="B1893" s="19" t="s">
        <v>283</v>
      </c>
      <c r="C1893" s="4"/>
      <c r="D1893" s="169" t="s">
        <v>3537</v>
      </c>
      <c r="E1893" s="85"/>
    </row>
    <row r="1894" spans="1:5" ht="15.75" hidden="1" customHeight="1" x14ac:dyDescent="0.35">
      <c r="A1894" s="4"/>
      <c r="B1894" s="19" t="s">
        <v>289</v>
      </c>
      <c r="C1894" s="4"/>
      <c r="D1894" s="169" t="s">
        <v>3538</v>
      </c>
      <c r="E1894" s="85"/>
    </row>
    <row r="1895" spans="1:5" ht="15.75" hidden="1" customHeight="1" x14ac:dyDescent="0.35">
      <c r="A1895" s="4"/>
      <c r="B1895" s="19" t="s">
        <v>291</v>
      </c>
      <c r="C1895" s="4"/>
      <c r="D1895" s="169" t="s">
        <v>3539</v>
      </c>
      <c r="E1895" s="85"/>
    </row>
    <row r="1896" spans="1:5" ht="15.75" hidden="1" customHeight="1" x14ac:dyDescent="0.35">
      <c r="A1896" s="4"/>
      <c r="B1896" s="19" t="s">
        <v>403</v>
      </c>
      <c r="C1896" s="4"/>
      <c r="D1896" s="169" t="s">
        <v>3540</v>
      </c>
      <c r="E1896" s="85"/>
    </row>
    <row r="1897" spans="1:5" ht="19" hidden="1" thickTop="1" x14ac:dyDescent="0.45">
      <c r="A1897" s="10" t="s">
        <v>3541</v>
      </c>
      <c r="B1897" s="15"/>
      <c r="C1897" s="15"/>
      <c r="D1897" s="173"/>
      <c r="E1897" s="340"/>
    </row>
    <row r="1898" spans="1:5" ht="15" hidden="1" customHeight="1" x14ac:dyDescent="0.35">
      <c r="A1898" s="166">
        <v>1002</v>
      </c>
      <c r="B1898" s="4"/>
      <c r="C1898" s="4"/>
      <c r="D1898" s="706" t="s">
        <v>3542</v>
      </c>
      <c r="E1898" s="85"/>
    </row>
    <row r="1899" spans="1:5" ht="15" hidden="1" thickTop="1" x14ac:dyDescent="0.35">
      <c r="A1899" s="4"/>
      <c r="B1899" s="4"/>
      <c r="C1899" s="4"/>
      <c r="D1899" s="706"/>
      <c r="E1899" s="85"/>
    </row>
    <row r="1900" spans="1:5" ht="15" hidden="1" thickTop="1" x14ac:dyDescent="0.35">
      <c r="A1900" s="4"/>
      <c r="B1900" s="4"/>
      <c r="C1900" s="4"/>
      <c r="D1900" s="706"/>
      <c r="E1900" s="85"/>
    </row>
    <row r="1901" spans="1:5" ht="15" hidden="1" thickTop="1" x14ac:dyDescent="0.35">
      <c r="A1901" s="4"/>
      <c r="B1901" s="4"/>
      <c r="C1901" s="4"/>
      <c r="D1901" s="706"/>
      <c r="E1901" s="85"/>
    </row>
    <row r="1902" spans="1:5" ht="15" hidden="1" thickTop="1" x14ac:dyDescent="0.35">
      <c r="A1902" s="4"/>
      <c r="B1902" s="4"/>
      <c r="C1902" s="4"/>
      <c r="D1902" s="706"/>
      <c r="E1902" s="85"/>
    </row>
    <row r="1903" spans="1:5" ht="15.5" hidden="1" thickTop="1" thickBot="1" x14ac:dyDescent="0.4">
      <c r="A1903" s="183"/>
      <c r="B1903" s="183"/>
      <c r="C1903" s="183"/>
      <c r="D1903" s="710"/>
      <c r="E1903" s="184"/>
    </row>
    <row r="1904" spans="1:5" ht="15.75" hidden="1" customHeight="1" thickTop="1" x14ac:dyDescent="0.35">
      <c r="A1904" s="32">
        <v>1002.1</v>
      </c>
      <c r="B1904" s="4"/>
      <c r="C1904" s="4"/>
      <c r="D1904" s="706" t="s">
        <v>3590</v>
      </c>
      <c r="E1904" s="802"/>
    </row>
    <row r="1905" spans="1:5" ht="15" hidden="1" thickTop="1" x14ac:dyDescent="0.35">
      <c r="A1905" s="4"/>
      <c r="B1905" s="4"/>
      <c r="C1905" s="4"/>
      <c r="D1905" s="706"/>
      <c r="E1905" s="802"/>
    </row>
    <row r="1906" spans="1:5" ht="15" hidden="1" thickTop="1" x14ac:dyDescent="0.35">
      <c r="A1906" s="4"/>
      <c r="B1906" s="4"/>
      <c r="C1906" s="4"/>
      <c r="D1906" s="170" t="s">
        <v>3588</v>
      </c>
      <c r="E1906" s="802"/>
    </row>
    <row r="1907" spans="1:5" ht="15" hidden="1" customHeight="1" x14ac:dyDescent="0.35">
      <c r="A1907" s="4"/>
      <c r="B1907" s="19" t="s">
        <v>270</v>
      </c>
      <c r="C1907" s="4"/>
      <c r="D1907" s="707" t="s">
        <v>3543</v>
      </c>
      <c r="E1907" s="85"/>
    </row>
    <row r="1908" spans="1:5" ht="15.75" hidden="1" customHeight="1" x14ac:dyDescent="0.35">
      <c r="A1908" s="4"/>
      <c r="B1908" s="19"/>
      <c r="C1908" s="4"/>
      <c r="D1908" s="707"/>
      <c r="E1908" s="85"/>
    </row>
    <row r="1909" spans="1:5" ht="15.75" hidden="1" customHeight="1" x14ac:dyDescent="0.35">
      <c r="A1909" s="4"/>
      <c r="B1909" s="19"/>
      <c r="C1909" s="4"/>
      <c r="D1909" s="707"/>
      <c r="E1909" s="85"/>
    </row>
    <row r="1910" spans="1:5" ht="15" hidden="1" customHeight="1" x14ac:dyDescent="0.35">
      <c r="A1910" s="4"/>
      <c r="B1910" s="154" t="s">
        <v>272</v>
      </c>
      <c r="C1910" s="136"/>
      <c r="D1910" s="742" t="s">
        <v>3544</v>
      </c>
      <c r="E1910" s="85"/>
    </row>
    <row r="1911" spans="1:5" ht="15.75" hidden="1" customHeight="1" x14ac:dyDescent="0.35">
      <c r="A1911" s="4"/>
      <c r="B1911" s="19"/>
      <c r="C1911" s="4"/>
      <c r="D1911" s="707"/>
      <c r="E1911" s="85"/>
    </row>
    <row r="1912" spans="1:5" ht="15.75" hidden="1" customHeight="1" x14ac:dyDescent="0.35">
      <c r="A1912" s="4"/>
      <c r="B1912" s="148"/>
      <c r="C1912" s="155"/>
      <c r="D1912" s="709"/>
      <c r="E1912" s="85"/>
    </row>
    <row r="1913" spans="1:5" ht="15" hidden="1" customHeight="1" x14ac:dyDescent="0.35">
      <c r="A1913" s="4"/>
      <c r="B1913" s="19" t="s">
        <v>274</v>
      </c>
      <c r="C1913" s="4"/>
      <c r="D1913" s="707" t="s">
        <v>3545</v>
      </c>
      <c r="E1913" s="85"/>
    </row>
    <row r="1914" spans="1:5" ht="15.75" hidden="1" customHeight="1" x14ac:dyDescent="0.35">
      <c r="A1914" s="4"/>
      <c r="B1914" s="19"/>
      <c r="C1914" s="4"/>
      <c r="D1914" s="707"/>
      <c r="E1914" s="85"/>
    </row>
    <row r="1915" spans="1:5" ht="15" hidden="1" thickTop="1" x14ac:dyDescent="0.35">
      <c r="A1915" s="4"/>
      <c r="B1915" s="150" t="s">
        <v>283</v>
      </c>
      <c r="C1915" s="187"/>
      <c r="D1915" s="220" t="s">
        <v>3546</v>
      </c>
      <c r="E1915" s="85"/>
    </row>
    <row r="1916" spans="1:5" ht="15" hidden="1" customHeight="1" x14ac:dyDescent="0.35">
      <c r="A1916" s="4"/>
      <c r="B1916" s="19" t="s">
        <v>289</v>
      </c>
      <c r="C1916" s="4"/>
      <c r="D1916" s="707" t="s">
        <v>3547</v>
      </c>
      <c r="E1916" s="85"/>
    </row>
    <row r="1917" spans="1:5" ht="15.75" hidden="1" customHeight="1" x14ac:dyDescent="0.35">
      <c r="A1917" s="4"/>
      <c r="B1917" s="19"/>
      <c r="C1917" s="4"/>
      <c r="D1917" s="707"/>
      <c r="E1917" s="85"/>
    </row>
    <row r="1918" spans="1:5" ht="15" hidden="1" thickTop="1" x14ac:dyDescent="0.35">
      <c r="A1918" s="4"/>
      <c r="B1918" s="150" t="s">
        <v>291</v>
      </c>
      <c r="C1918" s="187"/>
      <c r="D1918" s="220" t="s">
        <v>3504</v>
      </c>
      <c r="E1918" s="85"/>
    </row>
    <row r="1919" spans="1:5" ht="15" hidden="1" thickTop="1" x14ac:dyDescent="0.35">
      <c r="A1919" s="4"/>
      <c r="B1919" s="150" t="s">
        <v>403</v>
      </c>
      <c r="C1919" s="187"/>
      <c r="D1919" s="220" t="s">
        <v>3548</v>
      </c>
      <c r="E1919" s="85"/>
    </row>
    <row r="1920" spans="1:5" ht="15" hidden="1" customHeight="1" x14ac:dyDescent="0.35">
      <c r="A1920" s="4"/>
      <c r="B1920" s="19" t="s">
        <v>453</v>
      </c>
      <c r="C1920" s="4"/>
      <c r="D1920" s="707" t="s">
        <v>3549</v>
      </c>
      <c r="E1920" s="85"/>
    </row>
    <row r="1921" spans="1:5" ht="16.5" hidden="1" customHeight="1" thickBot="1" x14ac:dyDescent="0.4">
      <c r="A1921" s="183"/>
      <c r="B1921" s="183"/>
      <c r="C1921" s="183"/>
      <c r="D1921" s="708"/>
      <c r="E1921" s="184"/>
    </row>
    <row r="1922" spans="1:5" ht="15.75" hidden="1" customHeight="1" thickTop="1" x14ac:dyDescent="0.35">
      <c r="A1922" s="33">
        <v>1002.2</v>
      </c>
      <c r="B1922" s="4"/>
      <c r="C1922" s="4"/>
      <c r="D1922" s="706" t="s">
        <v>3591</v>
      </c>
      <c r="E1922" s="802"/>
    </row>
    <row r="1923" spans="1:5" ht="15" hidden="1" thickTop="1" x14ac:dyDescent="0.35">
      <c r="A1923" s="4"/>
      <c r="B1923" s="4"/>
      <c r="C1923" s="4"/>
      <c r="D1923" s="706"/>
      <c r="E1923" s="802"/>
    </row>
    <row r="1924" spans="1:5" ht="15" hidden="1" thickTop="1" x14ac:dyDescent="0.35">
      <c r="A1924" s="4"/>
      <c r="B1924" s="4"/>
      <c r="C1924" s="4"/>
      <c r="D1924" s="706"/>
      <c r="E1924" s="802"/>
    </row>
    <row r="1925" spans="1:5" ht="15" hidden="1" thickTop="1" x14ac:dyDescent="0.35">
      <c r="A1925" s="4"/>
      <c r="B1925" s="4"/>
      <c r="C1925" s="4"/>
      <c r="D1925" s="171" t="s">
        <v>3588</v>
      </c>
      <c r="E1925" s="802"/>
    </row>
    <row r="1926" spans="1:5" ht="15" hidden="1" customHeight="1" x14ac:dyDescent="0.35">
      <c r="A1926" s="4"/>
      <c r="B1926" s="19" t="s">
        <v>270</v>
      </c>
      <c r="C1926" s="4"/>
      <c r="D1926" s="707" t="s">
        <v>3550</v>
      </c>
      <c r="E1926" s="85"/>
    </row>
    <row r="1927" spans="1:5" ht="15.75" hidden="1" customHeight="1" x14ac:dyDescent="0.35">
      <c r="A1927" s="4"/>
      <c r="B1927" s="148"/>
      <c r="C1927" s="155"/>
      <c r="D1927" s="709"/>
      <c r="E1927" s="85"/>
    </row>
    <row r="1928" spans="1:5" ht="15" hidden="1" customHeight="1" x14ac:dyDescent="0.35">
      <c r="A1928" s="4"/>
      <c r="B1928" s="154" t="s">
        <v>272</v>
      </c>
      <c r="C1928" s="136"/>
      <c r="D1928" s="742" t="s">
        <v>3551</v>
      </c>
      <c r="E1928" s="85"/>
    </row>
    <row r="1929" spans="1:5" ht="15.75" hidden="1" customHeight="1" x14ac:dyDescent="0.35">
      <c r="A1929" s="4"/>
      <c r="B1929" s="19"/>
      <c r="C1929" s="4"/>
      <c r="D1929" s="707"/>
      <c r="E1929" s="85"/>
    </row>
    <row r="1930" spans="1:5" ht="15.75" hidden="1" customHeight="1" x14ac:dyDescent="0.35">
      <c r="A1930" s="4"/>
      <c r="B1930" s="148"/>
      <c r="C1930" s="155"/>
      <c r="D1930" s="709"/>
      <c r="E1930" s="85"/>
    </row>
    <row r="1931" spans="1:5" ht="15" hidden="1" customHeight="1" x14ac:dyDescent="0.35">
      <c r="A1931" s="4"/>
      <c r="B1931" s="154" t="s">
        <v>274</v>
      </c>
      <c r="C1931" s="136"/>
      <c r="D1931" s="742" t="s">
        <v>3520</v>
      </c>
      <c r="E1931" s="85"/>
    </row>
    <row r="1932" spans="1:5" ht="15.75" hidden="1" customHeight="1" x14ac:dyDescent="0.35">
      <c r="A1932" s="4"/>
      <c r="B1932" s="155"/>
      <c r="C1932" s="155"/>
      <c r="D1932" s="709"/>
      <c r="E1932" s="85"/>
    </row>
    <row r="1933" spans="1:5" ht="15" hidden="1" customHeight="1" x14ac:dyDescent="0.35">
      <c r="A1933" s="4"/>
      <c r="B1933" s="19" t="s">
        <v>283</v>
      </c>
      <c r="C1933" s="4"/>
      <c r="D1933" s="707" t="s">
        <v>3552</v>
      </c>
      <c r="E1933" s="85"/>
    </row>
    <row r="1934" spans="1:5" ht="15.75" hidden="1" customHeight="1" x14ac:dyDescent="0.35">
      <c r="A1934" s="4"/>
      <c r="B1934" s="4"/>
      <c r="C1934" s="4"/>
      <c r="D1934" s="707"/>
      <c r="E1934" s="85"/>
    </row>
    <row r="1935" spans="1:5" ht="15.75" hidden="1" customHeight="1" x14ac:dyDescent="0.35">
      <c r="A1935" s="4"/>
      <c r="B1935" s="4"/>
      <c r="C1935" s="4"/>
      <c r="D1935" s="707"/>
      <c r="E1935" s="85"/>
    </row>
    <row r="1936" spans="1:5" ht="15" hidden="1" customHeight="1" x14ac:dyDescent="0.35">
      <c r="A1936" s="4"/>
      <c r="B1936" s="154" t="s">
        <v>289</v>
      </c>
      <c r="C1936" s="136"/>
      <c r="D1936" s="742" t="s">
        <v>3553</v>
      </c>
      <c r="E1936" s="85"/>
    </row>
    <row r="1937" spans="1:5" ht="15.75" hidden="1" customHeight="1" x14ac:dyDescent="0.35">
      <c r="A1937" s="4"/>
      <c r="B1937" s="148"/>
      <c r="C1937" s="155"/>
      <c r="D1937" s="709"/>
      <c r="E1937" s="85"/>
    </row>
    <row r="1938" spans="1:5" ht="15" hidden="1" thickTop="1" x14ac:dyDescent="0.35">
      <c r="A1938" s="4"/>
      <c r="B1938" s="19" t="s">
        <v>291</v>
      </c>
      <c r="C1938" s="4"/>
      <c r="D1938" s="104" t="s">
        <v>3503</v>
      </c>
      <c r="E1938" s="85"/>
    </row>
    <row r="1939" spans="1:5" ht="15" hidden="1" customHeight="1" x14ac:dyDescent="0.35">
      <c r="A1939" s="4"/>
      <c r="B1939" s="154" t="s">
        <v>403</v>
      </c>
      <c r="C1939" s="136"/>
      <c r="D1939" s="742" t="s">
        <v>3554</v>
      </c>
      <c r="E1939" s="85"/>
    </row>
    <row r="1940" spans="1:5" ht="15.75" hidden="1" customHeight="1" x14ac:dyDescent="0.35">
      <c r="A1940" s="4"/>
      <c r="B1940" s="155"/>
      <c r="C1940" s="155"/>
      <c r="D1940" s="709"/>
      <c r="E1940" s="85"/>
    </row>
    <row r="1941" spans="1:5" ht="15" hidden="1" customHeight="1" x14ac:dyDescent="0.35">
      <c r="A1941" s="4"/>
      <c r="B1941" s="19" t="s">
        <v>453</v>
      </c>
      <c r="C1941" s="4"/>
      <c r="D1941" s="723" t="s">
        <v>3518</v>
      </c>
      <c r="E1941" s="85"/>
    </row>
    <row r="1942" spans="1:5" ht="15.75" hidden="1" customHeight="1" x14ac:dyDescent="0.35">
      <c r="A1942" s="4"/>
      <c r="B1942" s="19"/>
      <c r="C1942" s="4"/>
      <c r="D1942" s="723"/>
      <c r="E1942" s="85"/>
    </row>
    <row r="1943" spans="1:5" ht="15" hidden="1" thickTop="1" x14ac:dyDescent="0.35">
      <c r="A1943" s="4"/>
      <c r="B1943" s="154" t="s">
        <v>455</v>
      </c>
      <c r="C1943" s="136"/>
      <c r="D1943" s="320" t="s">
        <v>3555</v>
      </c>
      <c r="E1943" s="85"/>
    </row>
    <row r="1944" spans="1:5" ht="15" hidden="1" customHeight="1" x14ac:dyDescent="0.35">
      <c r="A1944" s="4"/>
      <c r="B1944" s="154" t="s">
        <v>457</v>
      </c>
      <c r="C1944" s="136"/>
      <c r="D1944" s="742" t="s">
        <v>3556</v>
      </c>
      <c r="E1944" s="85"/>
    </row>
    <row r="1945" spans="1:5" ht="15.75" hidden="1" customHeight="1" x14ac:dyDescent="0.35">
      <c r="A1945" s="4"/>
      <c r="B1945" s="19"/>
      <c r="C1945" s="4"/>
      <c r="D1945" s="707"/>
      <c r="E1945" s="85"/>
    </row>
    <row r="1946" spans="1:5" ht="15.75" hidden="1" customHeight="1" x14ac:dyDescent="0.35">
      <c r="A1946" s="4"/>
      <c r="B1946" s="148"/>
      <c r="C1946" s="155"/>
      <c r="D1946" s="709"/>
      <c r="E1946" s="85"/>
    </row>
    <row r="1947" spans="1:5" ht="15" hidden="1" customHeight="1" x14ac:dyDescent="0.35">
      <c r="A1947" s="4"/>
      <c r="B1947" s="19" t="s">
        <v>459</v>
      </c>
      <c r="C1947" s="4"/>
      <c r="D1947" s="723" t="s">
        <v>3557</v>
      </c>
      <c r="E1947" s="85"/>
    </row>
    <row r="1948" spans="1:5" ht="16.5" hidden="1" customHeight="1" thickBot="1" x14ac:dyDescent="0.4">
      <c r="A1948" s="183"/>
      <c r="B1948" s="133"/>
      <c r="C1948" s="183"/>
      <c r="D1948" s="762"/>
      <c r="E1948" s="184"/>
    </row>
    <row r="1949" spans="1:5" ht="15.75" hidden="1" customHeight="1" thickTop="1" x14ac:dyDescent="0.35">
      <c r="A1949" s="33">
        <v>1002.3</v>
      </c>
      <c r="B1949" s="4"/>
      <c r="C1949" s="4"/>
      <c r="D1949" s="706" t="s">
        <v>3592</v>
      </c>
      <c r="E1949" s="802"/>
    </row>
    <row r="1950" spans="1:5" ht="15" hidden="1" thickTop="1" x14ac:dyDescent="0.35">
      <c r="A1950" s="4"/>
      <c r="B1950" s="4"/>
      <c r="C1950" s="4"/>
      <c r="D1950" s="706"/>
      <c r="E1950" s="802"/>
    </row>
    <row r="1951" spans="1:5" ht="15" hidden="1" thickTop="1" x14ac:dyDescent="0.35">
      <c r="A1951" s="4"/>
      <c r="B1951" s="4"/>
      <c r="C1951" s="4"/>
      <c r="D1951" s="706"/>
      <c r="E1951" s="802"/>
    </row>
    <row r="1952" spans="1:5" ht="15" hidden="1" thickTop="1" x14ac:dyDescent="0.35">
      <c r="A1952" s="4"/>
      <c r="B1952" s="4"/>
      <c r="C1952" s="4"/>
      <c r="D1952" s="171" t="s">
        <v>3588</v>
      </c>
      <c r="E1952" s="802"/>
    </row>
    <row r="1953" spans="1:5" ht="15" hidden="1" customHeight="1" x14ac:dyDescent="0.35">
      <c r="A1953" s="4"/>
      <c r="B1953" s="19" t="s">
        <v>270</v>
      </c>
      <c r="C1953" s="4"/>
      <c r="D1953" s="707" t="s">
        <v>3558</v>
      </c>
      <c r="E1953" s="85"/>
    </row>
    <row r="1954" spans="1:5" ht="15.75" hidden="1" customHeight="1" x14ac:dyDescent="0.35">
      <c r="A1954" s="4"/>
      <c r="B1954" s="148"/>
      <c r="C1954" s="155"/>
      <c r="D1954" s="709"/>
      <c r="E1954" s="85"/>
    </row>
    <row r="1955" spans="1:5" ht="15" hidden="1" customHeight="1" x14ac:dyDescent="0.35">
      <c r="A1955" s="4"/>
      <c r="B1955" s="154" t="s">
        <v>272</v>
      </c>
      <c r="C1955" s="136"/>
      <c r="D1955" s="742" t="s">
        <v>3510</v>
      </c>
      <c r="E1955" s="85"/>
    </row>
    <row r="1956" spans="1:5" ht="15.75" hidden="1" customHeight="1" x14ac:dyDescent="0.35">
      <c r="A1956" s="4"/>
      <c r="B1956" s="4"/>
      <c r="C1956" s="4"/>
      <c r="D1956" s="707"/>
      <c r="E1956" s="85"/>
    </row>
    <row r="1957" spans="1:5" ht="15.75" hidden="1" customHeight="1" x14ac:dyDescent="0.35">
      <c r="A1957" s="4"/>
      <c r="B1957" s="4"/>
      <c r="C1957" s="4"/>
      <c r="D1957" s="707"/>
      <c r="E1957" s="85"/>
    </row>
    <row r="1958" spans="1:5" ht="15.75" hidden="1" customHeight="1" x14ac:dyDescent="0.35">
      <c r="A1958" s="4"/>
      <c r="B1958" s="155"/>
      <c r="C1958" s="155"/>
      <c r="D1958" s="709"/>
      <c r="E1958" s="85"/>
    </row>
    <row r="1959" spans="1:5" ht="15.75" hidden="1" customHeight="1" x14ac:dyDescent="0.35">
      <c r="A1959" s="4"/>
      <c r="B1959" s="154" t="s">
        <v>274</v>
      </c>
      <c r="C1959" s="136"/>
      <c r="D1959" s="190" t="s">
        <v>3559</v>
      </c>
      <c r="E1959" s="85"/>
    </row>
    <row r="1960" spans="1:5" ht="15.75" hidden="1" customHeight="1" x14ac:dyDescent="0.35">
      <c r="A1960" s="4"/>
      <c r="B1960" s="4"/>
      <c r="C1960" s="19" t="s">
        <v>121</v>
      </c>
      <c r="D1960" s="169" t="s">
        <v>3560</v>
      </c>
      <c r="E1960" s="85"/>
    </row>
    <row r="1961" spans="1:5" ht="15.75" hidden="1" customHeight="1" x14ac:dyDescent="0.35">
      <c r="A1961" s="4"/>
      <c r="B1961" s="4"/>
      <c r="C1961" s="19" t="s">
        <v>122</v>
      </c>
      <c r="D1961" s="169" t="s">
        <v>3561</v>
      </c>
      <c r="E1961" s="85"/>
    </row>
    <row r="1962" spans="1:5" ht="15.75" hidden="1" customHeight="1" x14ac:dyDescent="0.35">
      <c r="A1962" s="4"/>
      <c r="B1962" s="4"/>
      <c r="C1962" s="19" t="s">
        <v>123</v>
      </c>
      <c r="D1962" s="169" t="s">
        <v>3562</v>
      </c>
      <c r="E1962" s="85"/>
    </row>
    <row r="1963" spans="1:5" ht="15.75" hidden="1" customHeight="1" x14ac:dyDescent="0.35">
      <c r="A1963" s="4"/>
      <c r="B1963" s="4"/>
      <c r="C1963" s="19" t="s">
        <v>420</v>
      </c>
      <c r="D1963" s="169" t="s">
        <v>3563</v>
      </c>
      <c r="E1963" s="85"/>
    </row>
    <row r="1964" spans="1:5" ht="15.75" hidden="1" customHeight="1" x14ac:dyDescent="0.35">
      <c r="A1964" s="4"/>
      <c r="B1964" s="4"/>
      <c r="C1964" s="19" t="s">
        <v>575</v>
      </c>
      <c r="D1964" s="169" t="s">
        <v>3564</v>
      </c>
      <c r="E1964" s="85"/>
    </row>
    <row r="1965" spans="1:5" ht="15.75" hidden="1" customHeight="1" x14ac:dyDescent="0.35">
      <c r="A1965" s="4"/>
      <c r="B1965" s="155"/>
      <c r="C1965" s="148" t="s">
        <v>642</v>
      </c>
      <c r="D1965" s="186" t="s">
        <v>3565</v>
      </c>
      <c r="E1965" s="85"/>
    </row>
    <row r="1966" spans="1:5" ht="15" hidden="1" customHeight="1" x14ac:dyDescent="0.35">
      <c r="A1966" s="4"/>
      <c r="B1966" s="19" t="s">
        <v>283</v>
      </c>
      <c r="C1966" s="4"/>
      <c r="D1966" s="707" t="s">
        <v>3514</v>
      </c>
      <c r="E1966" s="85"/>
    </row>
    <row r="1967" spans="1:5" ht="15.75" hidden="1" customHeight="1" x14ac:dyDescent="0.35">
      <c r="A1967" s="4"/>
      <c r="B1967" s="4"/>
      <c r="C1967" s="4"/>
      <c r="D1967" s="707"/>
      <c r="E1967" s="85"/>
    </row>
    <row r="1968" spans="1:5" ht="15" hidden="1" thickTop="1" x14ac:dyDescent="0.35">
      <c r="A1968" s="4"/>
      <c r="B1968" s="150" t="s">
        <v>289</v>
      </c>
      <c r="C1968" s="187"/>
      <c r="D1968" s="188" t="s">
        <v>3516</v>
      </c>
      <c r="E1968" s="85"/>
    </row>
    <row r="1969" spans="1:5" ht="15" hidden="1" customHeight="1" x14ac:dyDescent="0.35">
      <c r="A1969" s="4"/>
      <c r="B1969" s="19" t="s">
        <v>291</v>
      </c>
      <c r="C1969" s="4"/>
      <c r="D1969" s="707" t="s">
        <v>3566</v>
      </c>
      <c r="E1969" s="85"/>
    </row>
    <row r="1970" spans="1:5" ht="15.75" hidden="1" customHeight="1" x14ac:dyDescent="0.35">
      <c r="A1970" s="4"/>
      <c r="B1970" s="19"/>
      <c r="C1970" s="4"/>
      <c r="D1970" s="707"/>
      <c r="E1970" s="85"/>
    </row>
    <row r="1971" spans="1:5" ht="15" hidden="1" thickTop="1" x14ac:dyDescent="0.35">
      <c r="A1971" s="4"/>
      <c r="B1971" s="150" t="s">
        <v>403</v>
      </c>
      <c r="C1971" s="187"/>
      <c r="D1971" s="188" t="s">
        <v>3522</v>
      </c>
      <c r="E1971" s="85"/>
    </row>
    <row r="1972" spans="1:5" ht="15" hidden="1" thickTop="1" x14ac:dyDescent="0.35">
      <c r="A1972" s="4"/>
      <c r="B1972" s="19" t="s">
        <v>453</v>
      </c>
      <c r="C1972" s="4"/>
      <c r="D1972" s="169" t="s">
        <v>3567</v>
      </c>
      <c r="E1972" s="85"/>
    </row>
    <row r="1973" spans="1:5" ht="15" hidden="1" thickTop="1" x14ac:dyDescent="0.35">
      <c r="A1973" s="4"/>
      <c r="B1973" s="150" t="s">
        <v>455</v>
      </c>
      <c r="C1973" s="187"/>
      <c r="D1973" s="188" t="s">
        <v>3568</v>
      </c>
      <c r="E1973" s="85"/>
    </row>
    <row r="1974" spans="1:5" ht="15.5" hidden="1" thickTop="1" thickBot="1" x14ac:dyDescent="0.4">
      <c r="A1974" s="183"/>
      <c r="B1974" s="133" t="s">
        <v>457</v>
      </c>
      <c r="C1974" s="183"/>
      <c r="D1974" s="185" t="s">
        <v>3569</v>
      </c>
      <c r="E1974" s="184"/>
    </row>
    <row r="1975" spans="1:5" ht="15.75" hidden="1" customHeight="1" thickTop="1" x14ac:dyDescent="0.35">
      <c r="A1975" s="33">
        <v>1002.4</v>
      </c>
      <c r="B1975" s="4"/>
      <c r="C1975" s="4"/>
      <c r="D1975" s="706" t="s">
        <v>3570</v>
      </c>
      <c r="E1975" s="85"/>
    </row>
    <row r="1976" spans="1:5" ht="15.75" hidden="1" customHeight="1" x14ac:dyDescent="0.35">
      <c r="A1976" s="4"/>
      <c r="B1976" s="4"/>
      <c r="C1976" s="4"/>
      <c r="D1976" s="706"/>
      <c r="E1976" s="85"/>
    </row>
    <row r="1977" spans="1:5" ht="15.75" hidden="1" customHeight="1" x14ac:dyDescent="0.35">
      <c r="A1977" s="4"/>
      <c r="B1977" s="4"/>
      <c r="C1977" s="4"/>
      <c r="D1977" s="706"/>
      <c r="E1977" s="85"/>
    </row>
    <row r="1978" spans="1:5" ht="15.75" hidden="1" customHeight="1" x14ac:dyDescent="0.35">
      <c r="A1978" s="4"/>
      <c r="B1978" s="4"/>
      <c r="C1978" s="4"/>
      <c r="D1978" s="706"/>
      <c r="E1978" s="85"/>
    </row>
    <row r="1979" spans="1:5" ht="15.75" hidden="1" customHeight="1" x14ac:dyDescent="0.35">
      <c r="A1979" s="4"/>
      <c r="B1979" s="4"/>
      <c r="C1979" s="4"/>
      <c r="D1979" s="706"/>
      <c r="E1979" s="85"/>
    </row>
    <row r="1980" spans="1:5" ht="15.75" hidden="1" customHeight="1" x14ac:dyDescent="0.35">
      <c r="A1980" s="4"/>
      <c r="B1980" s="19" t="s">
        <v>270</v>
      </c>
      <c r="C1980" s="4"/>
      <c r="D1980" s="169" t="s">
        <v>3560</v>
      </c>
      <c r="E1980" s="85"/>
    </row>
    <row r="1981" spans="1:5" ht="15.75" hidden="1" customHeight="1" x14ac:dyDescent="0.35">
      <c r="A1981" s="4"/>
      <c r="B1981" s="19" t="s">
        <v>272</v>
      </c>
      <c r="C1981" s="4"/>
      <c r="D1981" s="169" t="s">
        <v>3561</v>
      </c>
      <c r="E1981" s="85"/>
    </row>
    <row r="1982" spans="1:5" ht="15.75" hidden="1" customHeight="1" x14ac:dyDescent="0.35">
      <c r="A1982" s="4"/>
      <c r="B1982" s="19" t="s">
        <v>274</v>
      </c>
      <c r="C1982" s="4"/>
      <c r="D1982" s="169" t="s">
        <v>3562</v>
      </c>
      <c r="E1982" s="85"/>
    </row>
    <row r="1983" spans="1:5" ht="15.75" hidden="1" customHeight="1" x14ac:dyDescent="0.35">
      <c r="A1983" s="4"/>
      <c r="B1983" s="19" t="s">
        <v>283</v>
      </c>
      <c r="C1983" s="4"/>
      <c r="D1983" s="169" t="s">
        <v>3571</v>
      </c>
      <c r="E1983" s="85"/>
    </row>
    <row r="1984" spans="1:5" ht="15.75" hidden="1" customHeight="1" x14ac:dyDescent="0.35">
      <c r="A1984" s="4"/>
      <c r="B1984" s="19" t="s">
        <v>289</v>
      </c>
      <c r="C1984" s="4"/>
      <c r="D1984" s="169" t="s">
        <v>3572</v>
      </c>
      <c r="E1984" s="85"/>
    </row>
    <row r="1985" spans="1:5" ht="15.75" hidden="1" customHeight="1" x14ac:dyDescent="0.35">
      <c r="A1985" s="4"/>
      <c r="B1985" s="19" t="s">
        <v>291</v>
      </c>
      <c r="C1985" s="4"/>
      <c r="D1985" s="169" t="s">
        <v>3565</v>
      </c>
      <c r="E1985" s="85"/>
    </row>
    <row r="1986" spans="1:5" ht="15.75" hidden="1" customHeight="1" x14ac:dyDescent="0.35">
      <c r="A1986" s="4"/>
      <c r="B1986" s="19" t="s">
        <v>403</v>
      </c>
      <c r="C1986" s="4"/>
      <c r="D1986" s="169" t="s">
        <v>3573</v>
      </c>
      <c r="E1986" s="85"/>
    </row>
    <row r="1987" spans="1:5" ht="19" hidden="1" thickTop="1" x14ac:dyDescent="0.45">
      <c r="A1987" s="38" t="s">
        <v>3574</v>
      </c>
      <c r="B1987" s="15"/>
      <c r="C1987" s="15"/>
      <c r="D1987" s="173"/>
      <c r="E1987" s="340"/>
    </row>
    <row r="1988" spans="1:5" ht="15" hidden="1" customHeight="1" x14ac:dyDescent="0.35">
      <c r="A1988" s="441" t="s">
        <v>4357</v>
      </c>
      <c r="B1988" s="4"/>
      <c r="C1988" s="4"/>
      <c r="D1988" s="706" t="s">
        <v>3575</v>
      </c>
      <c r="E1988" s="85"/>
    </row>
    <row r="1989" spans="1:5" ht="15" hidden="1" thickTop="1" x14ac:dyDescent="0.35">
      <c r="A1989" s="109"/>
      <c r="B1989" s="4"/>
      <c r="C1989" s="4"/>
      <c r="D1989" s="706"/>
      <c r="E1989" s="85"/>
    </row>
    <row r="1990" spans="1:5" ht="15.5" hidden="1" thickTop="1" thickBot="1" x14ac:dyDescent="0.4">
      <c r="A1990" s="436"/>
      <c r="B1990" s="183"/>
      <c r="C1990" s="183"/>
      <c r="D1990" s="710"/>
      <c r="E1990" s="184"/>
    </row>
    <row r="1991" spans="1:5" ht="15" hidden="1" thickTop="1" x14ac:dyDescent="0.35">
      <c r="A1991" s="33">
        <v>1003.1</v>
      </c>
      <c r="B1991" s="4"/>
      <c r="C1991" s="4"/>
      <c r="D1991" s="172" t="s">
        <v>3576</v>
      </c>
      <c r="E1991" s="85"/>
    </row>
    <row r="1992" spans="1:5" ht="15" hidden="1" customHeight="1" x14ac:dyDescent="0.35">
      <c r="A1992" s="109"/>
      <c r="B1992" s="19" t="s">
        <v>270</v>
      </c>
      <c r="C1992" s="4"/>
      <c r="D1992" s="706" t="s">
        <v>3578</v>
      </c>
      <c r="E1992" s="85"/>
    </row>
    <row r="1993" spans="1:5" ht="15.75" hidden="1" customHeight="1" x14ac:dyDescent="0.35">
      <c r="A1993" s="109"/>
      <c r="B1993" s="148"/>
      <c r="C1993" s="155"/>
      <c r="D1993" s="739"/>
      <c r="E1993" s="85"/>
    </row>
    <row r="1994" spans="1:5" ht="15" hidden="1" customHeight="1" x14ac:dyDescent="0.35">
      <c r="A1994" s="109"/>
      <c r="B1994" s="154" t="s">
        <v>272</v>
      </c>
      <c r="C1994" s="136"/>
      <c r="D1994" s="753" t="s">
        <v>3579</v>
      </c>
      <c r="E1994" s="85"/>
    </row>
    <row r="1995" spans="1:5" ht="15.75" hidden="1" customHeight="1" x14ac:dyDescent="0.35">
      <c r="A1995" s="109"/>
      <c r="B1995" s="19"/>
      <c r="C1995" s="4"/>
      <c r="D1995" s="706"/>
      <c r="E1995" s="85"/>
    </row>
    <row r="1996" spans="1:5" ht="15.75" hidden="1" customHeight="1" x14ac:dyDescent="0.35">
      <c r="A1996" s="109"/>
      <c r="B1996" s="148"/>
      <c r="C1996" s="155"/>
      <c r="D1996" s="739"/>
      <c r="E1996" s="85"/>
    </row>
    <row r="1997" spans="1:5" ht="15" hidden="1" customHeight="1" x14ac:dyDescent="0.35">
      <c r="A1997" s="109"/>
      <c r="B1997" s="19" t="s">
        <v>274</v>
      </c>
      <c r="C1997" s="4"/>
      <c r="D1997" s="706" t="s">
        <v>3580</v>
      </c>
      <c r="E1997" s="85"/>
    </row>
    <row r="1998" spans="1:5" ht="15.75" hidden="1" customHeight="1" x14ac:dyDescent="0.35">
      <c r="A1998" s="109"/>
      <c r="B1998" s="4"/>
      <c r="C1998" s="4"/>
      <c r="D1998" s="706"/>
      <c r="E1998" s="85"/>
    </row>
    <row r="1999" spans="1:5" ht="15.75" hidden="1" customHeight="1" x14ac:dyDescent="0.35">
      <c r="A1999" s="109"/>
      <c r="B1999" s="4"/>
      <c r="C1999" s="4"/>
      <c r="D1999" s="706"/>
      <c r="E1999" s="85"/>
    </row>
    <row r="2000" spans="1:5" ht="19" hidden="1" thickTop="1" x14ac:dyDescent="0.45">
      <c r="A2000" s="38" t="s">
        <v>3581</v>
      </c>
      <c r="B2000" s="15"/>
      <c r="C2000" s="15"/>
      <c r="D2000" s="173"/>
      <c r="E2000" s="340"/>
    </row>
    <row r="2001" spans="1:5" ht="15" hidden="1" customHeight="1" x14ac:dyDescent="0.35">
      <c r="A2001" s="441" t="s">
        <v>4358</v>
      </c>
      <c r="B2001" s="4"/>
      <c r="C2001" s="4"/>
      <c r="D2001" s="706" t="s">
        <v>3582</v>
      </c>
      <c r="E2001" s="85"/>
    </row>
    <row r="2002" spans="1:5" ht="15" hidden="1" thickTop="1" x14ac:dyDescent="0.35">
      <c r="A2002" s="109"/>
      <c r="B2002" s="4"/>
      <c r="C2002" s="4"/>
      <c r="D2002" s="706"/>
      <c r="E2002" s="85"/>
    </row>
    <row r="2003" spans="1:5" ht="15" hidden="1" thickTop="1" x14ac:dyDescent="0.35">
      <c r="A2003" s="109"/>
      <c r="B2003" s="4"/>
      <c r="C2003" s="4"/>
      <c r="D2003" s="706"/>
      <c r="E2003" s="85"/>
    </row>
    <row r="2004" spans="1:5" ht="15.5" hidden="1" thickTop="1" thickBot="1" x14ac:dyDescent="0.4">
      <c r="A2004" s="436"/>
      <c r="B2004" s="183"/>
      <c r="C2004" s="183"/>
      <c r="D2004" s="710"/>
      <c r="E2004" s="184"/>
    </row>
    <row r="2005" spans="1:5" ht="15.75" hidden="1" customHeight="1" thickTop="1" x14ac:dyDescent="0.35">
      <c r="A2005" s="33">
        <v>1004.1</v>
      </c>
      <c r="B2005" s="4"/>
      <c r="C2005" s="4"/>
      <c r="D2005" s="706" t="s">
        <v>3583</v>
      </c>
      <c r="E2005" s="85"/>
    </row>
    <row r="2006" spans="1:5" hidden="1" x14ac:dyDescent="0.35">
      <c r="A2006" s="4"/>
      <c r="B2006" s="4"/>
      <c r="C2006" s="4"/>
      <c r="D2006" s="706"/>
      <c r="E2006" s="85"/>
    </row>
    <row r="2007" spans="1:5" hidden="1" x14ac:dyDescent="0.35">
      <c r="A2007" s="4"/>
      <c r="B2007" s="4"/>
      <c r="C2007" s="4"/>
      <c r="D2007" s="706"/>
      <c r="E2007" s="85"/>
    </row>
    <row r="2008" spans="1:5" hidden="1" x14ac:dyDescent="0.35">
      <c r="A2008" s="4"/>
      <c r="B2008" s="4"/>
      <c r="C2008" s="4"/>
      <c r="D2008" s="706"/>
      <c r="E2008" s="85"/>
    </row>
    <row r="2009" spans="1:5" hidden="1" x14ac:dyDescent="0.35">
      <c r="A2009" s="4"/>
      <c r="B2009" s="4"/>
      <c r="C2009" s="4"/>
      <c r="D2009" s="706"/>
      <c r="E2009" s="85"/>
    </row>
    <row r="2010" spans="1:5" ht="15" hidden="1" customHeight="1" x14ac:dyDescent="0.35">
      <c r="A2010" s="4"/>
      <c r="B2010" s="19" t="s">
        <v>270</v>
      </c>
      <c r="C2010" s="4"/>
      <c r="D2010" s="707" t="s">
        <v>4302</v>
      </c>
      <c r="E2010" s="696"/>
    </row>
    <row r="2011" spans="1:5" ht="15.75" hidden="1" customHeight="1" x14ac:dyDescent="0.35">
      <c r="A2011" s="4"/>
      <c r="B2011" s="148"/>
      <c r="C2011" s="155"/>
      <c r="D2011" s="709"/>
      <c r="E2011" s="697"/>
    </row>
    <row r="2012" spans="1:5" ht="15" hidden="1" customHeight="1" x14ac:dyDescent="0.35">
      <c r="A2012" s="4"/>
      <c r="B2012" s="154" t="s">
        <v>272</v>
      </c>
      <c r="C2012" s="136"/>
      <c r="D2012" s="742" t="s">
        <v>3585</v>
      </c>
      <c r="E2012" s="713"/>
    </row>
    <row r="2013" spans="1:5" ht="15.75" hidden="1" customHeight="1" x14ac:dyDescent="0.35">
      <c r="A2013" s="4"/>
      <c r="B2013" s="155"/>
      <c r="C2013" s="155"/>
      <c r="D2013" s="709"/>
      <c r="E2013" s="697"/>
    </row>
    <row r="2014" spans="1:5" hidden="1" x14ac:dyDescent="0.35"/>
    <row r="2015" spans="1:5" ht="15" thickTop="1" x14ac:dyDescent="0.35"/>
  </sheetData>
  <sheetProtection algorithmName="SHA-512" hashValue="88iugFl1DE8sT3Lltz9L7VHF/skfmrQ9b9HSb7YPDyxdBvOTTe6JoXmobnEueszK2TxpOmaRdeCfDuri/9DD4A==" saltValue="CA6CG5RDlDz8/TcIqa1HVg==" spinCount="100000" sheet="1" objects="1" scenarios="1" selectLockedCells="1"/>
  <autoFilter ref="G7:G2014" xr:uid="{00000000-0009-0000-0000-000010000000}">
    <filterColumn colId="0">
      <customFilters>
        <customFilter operator="notEqual" val=" "/>
      </customFilters>
    </filterColumn>
  </autoFilter>
  <mergeCells count="748">
    <mergeCell ref="D1:D3"/>
    <mergeCell ref="F6:F7"/>
    <mergeCell ref="E2010:E2011"/>
    <mergeCell ref="E2012:E2013"/>
    <mergeCell ref="E1828:E1832"/>
    <mergeCell ref="E1833:E1834"/>
    <mergeCell ref="E1838:E1840"/>
    <mergeCell ref="E1904:E1906"/>
    <mergeCell ref="E1922:E1925"/>
    <mergeCell ref="E1949:E1952"/>
    <mergeCell ref="E1780:E1782"/>
    <mergeCell ref="E1790:E1791"/>
    <mergeCell ref="E1797:E1798"/>
    <mergeCell ref="E1811:E1812"/>
    <mergeCell ref="E1819:E1823"/>
    <mergeCell ref="E1824:E1826"/>
    <mergeCell ref="E1743:E1744"/>
    <mergeCell ref="E1747:E1748"/>
    <mergeCell ref="E1756:E1757"/>
    <mergeCell ref="E1766:E1768"/>
    <mergeCell ref="E1775:E1776"/>
    <mergeCell ref="E1777:E1779"/>
    <mergeCell ref="E1713:E1717"/>
    <mergeCell ref="E1720:E1721"/>
    <mergeCell ref="E1726:E1727"/>
    <mergeCell ref="E1728:E1729"/>
    <mergeCell ref="E1736:E1737"/>
    <mergeCell ref="E1740:E1742"/>
    <mergeCell ref="E1652:E1658"/>
    <mergeCell ref="E1673:E1678"/>
    <mergeCell ref="E1682:E1683"/>
    <mergeCell ref="E1689:E1692"/>
    <mergeCell ref="E1694:E1699"/>
    <mergeCell ref="E1700:E1702"/>
    <mergeCell ref="E1532:E1534"/>
    <mergeCell ref="E1538:E1539"/>
    <mergeCell ref="E1541:E1543"/>
    <mergeCell ref="E1548:E1550"/>
    <mergeCell ref="E1551:E1553"/>
    <mergeCell ref="E1556:E1558"/>
    <mergeCell ref="E1492:E1493"/>
    <mergeCell ref="E1496:E1498"/>
    <mergeCell ref="E1502:E1503"/>
    <mergeCell ref="E1510:E1512"/>
    <mergeCell ref="E1513:E1514"/>
    <mergeCell ref="E1517:E1518"/>
    <mergeCell ref="E1448:E1453"/>
    <mergeCell ref="E1457:E1458"/>
    <mergeCell ref="E1462:E1463"/>
    <mergeCell ref="E1467:E1470"/>
    <mergeCell ref="E1472:E1474"/>
    <mergeCell ref="E1479:E1481"/>
    <mergeCell ref="E1387:E1388"/>
    <mergeCell ref="E1395:E1397"/>
    <mergeCell ref="E1398:E1400"/>
    <mergeCell ref="E1405:E1409"/>
    <mergeCell ref="E1435:E1437"/>
    <mergeCell ref="E1441:E1442"/>
    <mergeCell ref="E1347:E1349"/>
    <mergeCell ref="E1354:E1355"/>
    <mergeCell ref="E1372:E1373"/>
    <mergeCell ref="E1374:E1375"/>
    <mergeCell ref="E1376:E1377"/>
    <mergeCell ref="E1378:E1381"/>
    <mergeCell ref="E1313:E1314"/>
    <mergeCell ref="E1325:E1326"/>
    <mergeCell ref="E1327:E1328"/>
    <mergeCell ref="E1329:E1332"/>
    <mergeCell ref="E1334:E1335"/>
    <mergeCell ref="E1344:E1346"/>
    <mergeCell ref="E1262:E1264"/>
    <mergeCell ref="E1266:E1270"/>
    <mergeCell ref="E1271:E1272"/>
    <mergeCell ref="E1280:E1285"/>
    <mergeCell ref="E1299:E1301"/>
    <mergeCell ref="E1307:E1309"/>
    <mergeCell ref="E1239:E1240"/>
    <mergeCell ref="E1243:E1245"/>
    <mergeCell ref="E1248:E1250"/>
    <mergeCell ref="E1253:E1254"/>
    <mergeCell ref="E1256:E1257"/>
    <mergeCell ref="E1258:E1260"/>
    <mergeCell ref="E1293:E1295"/>
    <mergeCell ref="E1166:E1167"/>
    <mergeCell ref="E1168:E1169"/>
    <mergeCell ref="E1195:E1196"/>
    <mergeCell ref="E1219:E1226"/>
    <mergeCell ref="E1232:E1233"/>
    <mergeCell ref="E1236:E1237"/>
    <mergeCell ref="E1098:E1099"/>
    <mergeCell ref="E1110:E1111"/>
    <mergeCell ref="E1115:E1117"/>
    <mergeCell ref="E1126:E1127"/>
    <mergeCell ref="E1128:E1129"/>
    <mergeCell ref="E1130:E1131"/>
    <mergeCell ref="E1053:E1055"/>
    <mergeCell ref="E1066:E1067"/>
    <mergeCell ref="E1072:E1073"/>
    <mergeCell ref="E1074:E1075"/>
    <mergeCell ref="E1082:E1086"/>
    <mergeCell ref="E945:E950"/>
    <mergeCell ref="E952:E953"/>
    <mergeCell ref="E954:E956"/>
    <mergeCell ref="E957:E959"/>
    <mergeCell ref="E976:E980"/>
    <mergeCell ref="E1006:E1010"/>
    <mergeCell ref="E708:E715"/>
    <mergeCell ref="E716:E718"/>
    <mergeCell ref="E727:E728"/>
    <mergeCell ref="E752:E756"/>
    <mergeCell ref="E607:E612"/>
    <mergeCell ref="E616:E617"/>
    <mergeCell ref="E619:E620"/>
    <mergeCell ref="E622:E629"/>
    <mergeCell ref="E631:E637"/>
    <mergeCell ref="E647:E655"/>
    <mergeCell ref="E533:E547"/>
    <mergeCell ref="E548:E549"/>
    <mergeCell ref="E557:E558"/>
    <mergeCell ref="E573:E582"/>
    <mergeCell ref="E601:E603"/>
    <mergeCell ref="E604:E606"/>
    <mergeCell ref="E489:E491"/>
    <mergeCell ref="E498:E499"/>
    <mergeCell ref="E504:E509"/>
    <mergeCell ref="E510:E516"/>
    <mergeCell ref="E517:E519"/>
    <mergeCell ref="E521:E528"/>
    <mergeCell ref="E412:E415"/>
    <mergeCell ref="E434:E436"/>
    <mergeCell ref="E438:E441"/>
    <mergeCell ref="E448:E449"/>
    <mergeCell ref="E451:E463"/>
    <mergeCell ref="E466:E468"/>
    <mergeCell ref="E394:E397"/>
    <mergeCell ref="E398:E400"/>
    <mergeCell ref="E403:E404"/>
    <mergeCell ref="E405:E407"/>
    <mergeCell ref="E408:E409"/>
    <mergeCell ref="E410:E411"/>
    <mergeCell ref="E364:E365"/>
    <mergeCell ref="E370:E371"/>
    <mergeCell ref="E376:E377"/>
    <mergeCell ref="E382:E383"/>
    <mergeCell ref="E384:E386"/>
    <mergeCell ref="E390:E393"/>
    <mergeCell ref="E310:E312"/>
    <mergeCell ref="E315:E316"/>
    <mergeCell ref="E333:E340"/>
    <mergeCell ref="E341:E346"/>
    <mergeCell ref="E355:E356"/>
    <mergeCell ref="E357:E360"/>
    <mergeCell ref="E246:E248"/>
    <mergeCell ref="E256:E257"/>
    <mergeCell ref="E258:E263"/>
    <mergeCell ref="E268:E271"/>
    <mergeCell ref="E284:E286"/>
    <mergeCell ref="E287:E289"/>
    <mergeCell ref="E200:E203"/>
    <mergeCell ref="E204:E206"/>
    <mergeCell ref="E208:E215"/>
    <mergeCell ref="E223:E224"/>
    <mergeCell ref="E230:E231"/>
    <mergeCell ref="E236:E237"/>
    <mergeCell ref="E178:E182"/>
    <mergeCell ref="E186:E187"/>
    <mergeCell ref="E188:E189"/>
    <mergeCell ref="E193:E194"/>
    <mergeCell ref="E196:E197"/>
    <mergeCell ref="E198:E199"/>
    <mergeCell ref="E153:E154"/>
    <mergeCell ref="E155:E156"/>
    <mergeCell ref="E157:E158"/>
    <mergeCell ref="E166:E167"/>
    <mergeCell ref="E168:E169"/>
    <mergeCell ref="E170:E172"/>
    <mergeCell ref="E146:E147"/>
    <mergeCell ref="E148:E150"/>
    <mergeCell ref="E151:E152"/>
    <mergeCell ref="E100:E102"/>
    <mergeCell ref="E103:E106"/>
    <mergeCell ref="E107:E110"/>
    <mergeCell ref="E114:E115"/>
    <mergeCell ref="E123:E124"/>
    <mergeCell ref="E129:E130"/>
    <mergeCell ref="E36:E38"/>
    <mergeCell ref="E39:E40"/>
    <mergeCell ref="E45:E48"/>
    <mergeCell ref="E57:E58"/>
    <mergeCell ref="E59:E60"/>
    <mergeCell ref="E131:E132"/>
    <mergeCell ref="E133:E134"/>
    <mergeCell ref="E141:E145"/>
    <mergeCell ref="E85:E91"/>
    <mergeCell ref="E63:E64"/>
    <mergeCell ref="E65:E66"/>
    <mergeCell ref="E70:E71"/>
    <mergeCell ref="E72:E73"/>
    <mergeCell ref="E77:E78"/>
    <mergeCell ref="E83:E84"/>
    <mergeCell ref="E6:E7"/>
    <mergeCell ref="E19:E20"/>
    <mergeCell ref="E21:E22"/>
    <mergeCell ref="E23:E24"/>
    <mergeCell ref="E25:E26"/>
    <mergeCell ref="D2012:D2013"/>
    <mergeCell ref="D2001:D2004"/>
    <mergeCell ref="D2005:D2009"/>
    <mergeCell ref="D2010:D2011"/>
    <mergeCell ref="D1994:D1996"/>
    <mergeCell ref="D1997:D1999"/>
    <mergeCell ref="D1975:D1979"/>
    <mergeCell ref="D1988:D1990"/>
    <mergeCell ref="D1992:D1993"/>
    <mergeCell ref="D1966:D1967"/>
    <mergeCell ref="D1969:D1970"/>
    <mergeCell ref="D1953:D1954"/>
    <mergeCell ref="D1955:D1958"/>
    <mergeCell ref="D1947:D1948"/>
    <mergeCell ref="D1949:D1951"/>
    <mergeCell ref="D1941:D1942"/>
    <mergeCell ref="D1944:D1946"/>
    <mergeCell ref="D1936:D1937"/>
    <mergeCell ref="E27:E35"/>
    <mergeCell ref="D1939:D1940"/>
    <mergeCell ref="D1931:D1932"/>
    <mergeCell ref="D1933:D1935"/>
    <mergeCell ref="D1926:D1927"/>
    <mergeCell ref="D1928:D1930"/>
    <mergeCell ref="D1920:D1921"/>
    <mergeCell ref="D1922:D1924"/>
    <mergeCell ref="D1913:D1914"/>
    <mergeCell ref="D1916:D1917"/>
    <mergeCell ref="D1907:D1909"/>
    <mergeCell ref="D1910:D1912"/>
    <mergeCell ref="D1886:D1889"/>
    <mergeCell ref="D1898:D1903"/>
    <mergeCell ref="D1904:D1905"/>
    <mergeCell ref="D1880:D1881"/>
    <mergeCell ref="D1882:D1883"/>
    <mergeCell ref="D1875:D1876"/>
    <mergeCell ref="D1878:D1879"/>
    <mergeCell ref="D1870:D1871"/>
    <mergeCell ref="D1873:D1874"/>
    <mergeCell ref="D1864:D1867"/>
    <mergeCell ref="D1868:D1869"/>
    <mergeCell ref="D1854:D1855"/>
    <mergeCell ref="D1858:D1859"/>
    <mergeCell ref="D1862:D1863"/>
    <mergeCell ref="D1849:D1850"/>
    <mergeCell ref="D1851:D1852"/>
    <mergeCell ref="D1836:D1837"/>
    <mergeCell ref="D1838:D1839"/>
    <mergeCell ref="D1843:D1846"/>
    <mergeCell ref="D1833:D1834"/>
    <mergeCell ref="D1828:D1832"/>
    <mergeCell ref="D1824:D1826"/>
    <mergeCell ref="D1814:D1815"/>
    <mergeCell ref="D1817:D1818"/>
    <mergeCell ref="D1819:D1823"/>
    <mergeCell ref="D1809:D1810"/>
    <mergeCell ref="D1811:D1812"/>
    <mergeCell ref="D1799:D1800"/>
    <mergeCell ref="D1804:D1805"/>
    <mergeCell ref="D1797:D1798"/>
    <mergeCell ref="D1792:D1793"/>
    <mergeCell ref="D1794:D1796"/>
    <mergeCell ref="D1783:D1784"/>
    <mergeCell ref="D1790:D1791"/>
    <mergeCell ref="D1780:D1782"/>
    <mergeCell ref="D1777:D1779"/>
    <mergeCell ref="D1771:D1772"/>
    <mergeCell ref="D1775:D1776"/>
    <mergeCell ref="D1762:D1764"/>
    <mergeCell ref="D1766:D1768"/>
    <mergeCell ref="D1769:D1770"/>
    <mergeCell ref="D1758:D1759"/>
    <mergeCell ref="D1760:D1761"/>
    <mergeCell ref="D1756:D1757"/>
    <mergeCell ref="D1747:D1748"/>
    <mergeCell ref="D1743:D1744"/>
    <mergeCell ref="D1738:D1739"/>
    <mergeCell ref="D1740:D1742"/>
    <mergeCell ref="D1734:D1735"/>
    <mergeCell ref="D1736:D1737"/>
    <mergeCell ref="D1728:D1729"/>
    <mergeCell ref="D1724:D1725"/>
    <mergeCell ref="D1726:D1727"/>
    <mergeCell ref="D1718:D1719"/>
    <mergeCell ref="D1720:D1721"/>
    <mergeCell ref="D1709:D1711"/>
    <mergeCell ref="D1713:D1717"/>
    <mergeCell ref="D1700:D1702"/>
    <mergeCell ref="D1703:D1707"/>
    <mergeCell ref="D1691:D1692"/>
    <mergeCell ref="D1694:D1699"/>
    <mergeCell ref="D1684:D1685"/>
    <mergeCell ref="D1689:D1690"/>
    <mergeCell ref="D1679:D1681"/>
    <mergeCell ref="D1682:D1683"/>
    <mergeCell ref="D1673:D1678"/>
    <mergeCell ref="D1659:D1662"/>
    <mergeCell ref="D1671:D1672"/>
    <mergeCell ref="D1650:D1651"/>
    <mergeCell ref="D1652:D1656"/>
    <mergeCell ref="D1657:D1658"/>
    <mergeCell ref="D1647:D1649"/>
    <mergeCell ref="E1647:E1649"/>
    <mergeCell ref="D1642:D1643"/>
    <mergeCell ref="D1645:D1646"/>
    <mergeCell ref="D1635:D1636"/>
    <mergeCell ref="D1639:D1640"/>
    <mergeCell ref="D1623:D1625"/>
    <mergeCell ref="D1626:D1629"/>
    <mergeCell ref="D1614:D1615"/>
    <mergeCell ref="D1616:D1621"/>
    <mergeCell ref="E1614:E1615"/>
    <mergeCell ref="E1616:E1621"/>
    <mergeCell ref="E1623:E1625"/>
    <mergeCell ref="E1645:E1646"/>
    <mergeCell ref="D1607:D1608"/>
    <mergeCell ref="D1612:D1613"/>
    <mergeCell ref="D1605:D1606"/>
    <mergeCell ref="E1602:E1604"/>
    <mergeCell ref="E1605:E1606"/>
    <mergeCell ref="D1600:D1601"/>
    <mergeCell ref="D1602:D1604"/>
    <mergeCell ref="D1595:D1596"/>
    <mergeCell ref="D1597:D1599"/>
    <mergeCell ref="E1607:E1608"/>
    <mergeCell ref="E1612:E1613"/>
    <mergeCell ref="E1597:E1599"/>
    <mergeCell ref="E1600:E1601"/>
    <mergeCell ref="D1588:D1590"/>
    <mergeCell ref="D1576:D1577"/>
    <mergeCell ref="D1584:D1587"/>
    <mergeCell ref="D1573:D1574"/>
    <mergeCell ref="D1567:D1570"/>
    <mergeCell ref="D1571:D1572"/>
    <mergeCell ref="D1561:D1562"/>
    <mergeCell ref="D1559:D1560"/>
    <mergeCell ref="E1559:E1560"/>
    <mergeCell ref="E1561:E1563"/>
    <mergeCell ref="E1567:E1572"/>
    <mergeCell ref="E1573:E1574"/>
    <mergeCell ref="E1588:E1590"/>
    <mergeCell ref="D1551:D1553"/>
    <mergeCell ref="D1556:D1558"/>
    <mergeCell ref="D1548:D1550"/>
    <mergeCell ref="D1541:D1542"/>
    <mergeCell ref="D1538:D1539"/>
    <mergeCell ref="D1532:D1534"/>
    <mergeCell ref="D1519:D1520"/>
    <mergeCell ref="D1523:D1524"/>
    <mergeCell ref="D1527:D1528"/>
    <mergeCell ref="D1529:D1531"/>
    <mergeCell ref="D1517:D1518"/>
    <mergeCell ref="D1513:D1514"/>
    <mergeCell ref="D1515:D1516"/>
    <mergeCell ref="D1504:D1506"/>
    <mergeCell ref="D1507:D1508"/>
    <mergeCell ref="D1510:D1511"/>
    <mergeCell ref="D1502:D1503"/>
    <mergeCell ref="D1496:D1498"/>
    <mergeCell ref="D1492:D1493"/>
    <mergeCell ref="D1482:D1484"/>
    <mergeCell ref="D1486:D1487"/>
    <mergeCell ref="D1489:D1491"/>
    <mergeCell ref="E1488:E1491"/>
    <mergeCell ref="D1475:D1476"/>
    <mergeCell ref="D1477:D1478"/>
    <mergeCell ref="D1479:D1481"/>
    <mergeCell ref="D1472:D1473"/>
    <mergeCell ref="D1465:D1466"/>
    <mergeCell ref="D1468:D1470"/>
    <mergeCell ref="D1457:D1458"/>
    <mergeCell ref="D1448:D1453"/>
    <mergeCell ref="D1454:D1456"/>
    <mergeCell ref="D1438:D1439"/>
    <mergeCell ref="D1443:D1444"/>
    <mergeCell ref="D1445:D1446"/>
    <mergeCell ref="D1430:D1434"/>
    <mergeCell ref="D1435:D1437"/>
    <mergeCell ref="D1421:D1422"/>
    <mergeCell ref="D1423:D1424"/>
    <mergeCell ref="D1425:D1427"/>
    <mergeCell ref="D1428:D1429"/>
    <mergeCell ref="D1405:D1409"/>
    <mergeCell ref="D1410:D1412"/>
    <mergeCell ref="D1413:D1415"/>
    <mergeCell ref="D1419:D1420"/>
    <mergeCell ref="D1398:D1400"/>
    <mergeCell ref="D1401:D1402"/>
    <mergeCell ref="D1389:D1390"/>
    <mergeCell ref="D1393:D1394"/>
    <mergeCell ref="D1395:D1397"/>
    <mergeCell ref="D1387:D1388"/>
    <mergeCell ref="D1378:D1381"/>
    <mergeCell ref="D1382:D1384"/>
    <mergeCell ref="D1385:D1386"/>
    <mergeCell ref="D1376:D1377"/>
    <mergeCell ref="D1374:D1375"/>
    <mergeCell ref="D1372:D1373"/>
    <mergeCell ref="D1354:D1355"/>
    <mergeCell ref="D1358:D1359"/>
    <mergeCell ref="D1360:D1361"/>
    <mergeCell ref="D1347:D1349"/>
    <mergeCell ref="D1350:D1351"/>
    <mergeCell ref="D1352:D1353"/>
    <mergeCell ref="D1342:D1343"/>
    <mergeCell ref="D1344:D1346"/>
    <mergeCell ref="D1334:D1335"/>
    <mergeCell ref="D1339:D1340"/>
    <mergeCell ref="D1329:D1332"/>
    <mergeCell ref="D1327:D1328"/>
    <mergeCell ref="D1325:D1326"/>
    <mergeCell ref="D1313:D1314"/>
    <mergeCell ref="D1322:D1323"/>
    <mergeCell ref="D1311:D1312"/>
    <mergeCell ref="D1299:D1301"/>
    <mergeCell ref="D1302:D1303"/>
    <mergeCell ref="D1305:D1306"/>
    <mergeCell ref="D1287:D1289"/>
    <mergeCell ref="D1290:D1291"/>
    <mergeCell ref="D1297:D1298"/>
    <mergeCell ref="D1280:D1285"/>
    <mergeCell ref="D1271:D1272"/>
    <mergeCell ref="D1266:D1270"/>
    <mergeCell ref="D1262:D1264"/>
    <mergeCell ref="D1258:D1260"/>
    <mergeCell ref="D1256:D1257"/>
    <mergeCell ref="D1248:D1250"/>
    <mergeCell ref="D1253:D1254"/>
    <mergeCell ref="D1239:D1240"/>
    <mergeCell ref="D1243:D1245"/>
    <mergeCell ref="D1236:D1237"/>
    <mergeCell ref="D1230:D1231"/>
    <mergeCell ref="D1232:D1233"/>
    <mergeCell ref="D1219:D1222"/>
    <mergeCell ref="D1223:D1225"/>
    <mergeCell ref="D1211:D1212"/>
    <mergeCell ref="D1213:D1215"/>
    <mergeCell ref="D1216:D1217"/>
    <mergeCell ref="D1200:D1201"/>
    <mergeCell ref="D1202:D1204"/>
    <mergeCell ref="D1205:D1206"/>
    <mergeCell ref="D1207:D1208"/>
    <mergeCell ref="D1209:D1210"/>
    <mergeCell ref="D1195:D1196"/>
    <mergeCell ref="D1198:D1199"/>
    <mergeCell ref="D1191:D1192"/>
    <mergeCell ref="D1193:D1194"/>
    <mergeCell ref="D1184:D1185"/>
    <mergeCell ref="D1186:D1188"/>
    <mergeCell ref="D1189:D1190"/>
    <mergeCell ref="D1178:D1179"/>
    <mergeCell ref="D1180:D1181"/>
    <mergeCell ref="D1168:D1169"/>
    <mergeCell ref="D1172:D1173"/>
    <mergeCell ref="D1174:D1175"/>
    <mergeCell ref="D1161:D1165"/>
    <mergeCell ref="D1166:D1167"/>
    <mergeCell ref="D1154:D1155"/>
    <mergeCell ref="D1156:D1157"/>
    <mergeCell ref="D1148:D1149"/>
    <mergeCell ref="D1151:D1152"/>
    <mergeCell ref="D1144:D1145"/>
    <mergeCell ref="D1146:D1147"/>
    <mergeCell ref="D1140:D1141"/>
    <mergeCell ref="D1142:D1143"/>
    <mergeCell ref="D1138:D1139"/>
    <mergeCell ref="E1138:E1139"/>
    <mergeCell ref="D1130:D1131"/>
    <mergeCell ref="D1128:D1129"/>
    <mergeCell ref="D1124:D1125"/>
    <mergeCell ref="D1126:D1127"/>
    <mergeCell ref="D1115:D1117"/>
    <mergeCell ref="D1098:D1099"/>
    <mergeCell ref="D1110:D1111"/>
    <mergeCell ref="D1078:D1079"/>
    <mergeCell ref="D1082:D1086"/>
    <mergeCell ref="D1066:D1067"/>
    <mergeCell ref="D1069:D1070"/>
    <mergeCell ref="D1053:D1055"/>
    <mergeCell ref="D1061:D1064"/>
    <mergeCell ref="D1049:D1051"/>
    <mergeCell ref="D1046:D1047"/>
    <mergeCell ref="E1046:E1047"/>
    <mergeCell ref="D1029:D1031"/>
    <mergeCell ref="D1038:D1040"/>
    <mergeCell ref="D1006:D1010"/>
    <mergeCell ref="D984:D991"/>
    <mergeCell ref="D993:D1000"/>
    <mergeCell ref="D1001:D1002"/>
    <mergeCell ref="E1049:E1052"/>
    <mergeCell ref="D976:D980"/>
    <mergeCell ref="D961:D966"/>
    <mergeCell ref="D968:D975"/>
    <mergeCell ref="D957:D959"/>
    <mergeCell ref="D954:D956"/>
    <mergeCell ref="D952:D953"/>
    <mergeCell ref="D945:D950"/>
    <mergeCell ref="D936:D937"/>
    <mergeCell ref="D939:D943"/>
    <mergeCell ref="D923:D924"/>
    <mergeCell ref="D926:D931"/>
    <mergeCell ref="D932:D935"/>
    <mergeCell ref="D916:D918"/>
    <mergeCell ref="D919:D920"/>
    <mergeCell ref="E910:E914"/>
    <mergeCell ref="D906:D909"/>
    <mergeCell ref="D910:D914"/>
    <mergeCell ref="D896:D897"/>
    <mergeCell ref="D898:D899"/>
    <mergeCell ref="D903:D904"/>
    <mergeCell ref="D884:D889"/>
    <mergeCell ref="D890:D895"/>
    <mergeCell ref="D878:D880"/>
    <mergeCell ref="D881:D883"/>
    <mergeCell ref="D871:D872"/>
    <mergeCell ref="D875:D877"/>
    <mergeCell ref="D866:D867"/>
    <mergeCell ref="D868:D870"/>
    <mergeCell ref="D859:D860"/>
    <mergeCell ref="D862:D865"/>
    <mergeCell ref="D852:D853"/>
    <mergeCell ref="D854:D855"/>
    <mergeCell ref="D844:D845"/>
    <mergeCell ref="D847:D848"/>
    <mergeCell ref="D835:D837"/>
    <mergeCell ref="D838:D842"/>
    <mergeCell ref="D816:D817"/>
    <mergeCell ref="D819:D822"/>
    <mergeCell ref="D806:D810"/>
    <mergeCell ref="D812:D814"/>
    <mergeCell ref="D796:D797"/>
    <mergeCell ref="D798:D799"/>
    <mergeCell ref="D803:D805"/>
    <mergeCell ref="D788:D795"/>
    <mergeCell ref="E788:E795"/>
    <mergeCell ref="D774:D777"/>
    <mergeCell ref="D780:D781"/>
    <mergeCell ref="D782:D784"/>
    <mergeCell ref="D785:D787"/>
    <mergeCell ref="D778:D779"/>
    <mergeCell ref="D757:D764"/>
    <mergeCell ref="D766:D771"/>
    <mergeCell ref="D750:D751"/>
    <mergeCell ref="D752:D756"/>
    <mergeCell ref="D744:D747"/>
    <mergeCell ref="D748:D749"/>
    <mergeCell ref="D738:D739"/>
    <mergeCell ref="D740:D741"/>
    <mergeCell ref="D729:D733"/>
    <mergeCell ref="D734:D737"/>
    <mergeCell ref="D727:D728"/>
    <mergeCell ref="D716:D718"/>
    <mergeCell ref="D725:D726"/>
    <mergeCell ref="D703:D704"/>
    <mergeCell ref="D705:D706"/>
    <mergeCell ref="D708:D712"/>
    <mergeCell ref="D714:D715"/>
    <mergeCell ref="D683:D690"/>
    <mergeCell ref="D695:D696"/>
    <mergeCell ref="D665:D668"/>
    <mergeCell ref="D669:D671"/>
    <mergeCell ref="D678:D680"/>
    <mergeCell ref="D681:D682"/>
    <mergeCell ref="D663:D664"/>
    <mergeCell ref="D656:D662"/>
    <mergeCell ref="E656:E662"/>
    <mergeCell ref="D639:D644"/>
    <mergeCell ref="D645:D646"/>
    <mergeCell ref="D647:D649"/>
    <mergeCell ref="E663:E664"/>
    <mergeCell ref="E665:E668"/>
    <mergeCell ref="D631:D632"/>
    <mergeCell ref="D633:D635"/>
    <mergeCell ref="D636:D637"/>
    <mergeCell ref="D622:D624"/>
    <mergeCell ref="D625:D626"/>
    <mergeCell ref="D619:D620"/>
    <mergeCell ref="D614:D615"/>
    <mergeCell ref="D616:D617"/>
    <mergeCell ref="D607:D610"/>
    <mergeCell ref="D604:D605"/>
    <mergeCell ref="D590:D591"/>
    <mergeCell ref="D593:D594"/>
    <mergeCell ref="D601:D602"/>
    <mergeCell ref="D581:D582"/>
    <mergeCell ref="D584:D585"/>
    <mergeCell ref="D586:D587"/>
    <mergeCell ref="D588:D589"/>
    <mergeCell ref="D550:D552"/>
    <mergeCell ref="D554:D556"/>
    <mergeCell ref="D557:D558"/>
    <mergeCell ref="D539:D542"/>
    <mergeCell ref="D544:D545"/>
    <mergeCell ref="D546:D547"/>
    <mergeCell ref="D548:D549"/>
    <mergeCell ref="D530:D531"/>
    <mergeCell ref="D533:D538"/>
    <mergeCell ref="D521:D522"/>
    <mergeCell ref="D525:D526"/>
    <mergeCell ref="D517:D518"/>
    <mergeCell ref="D507:D509"/>
    <mergeCell ref="D510:D512"/>
    <mergeCell ref="D514:D516"/>
    <mergeCell ref="D502:D503"/>
    <mergeCell ref="D504:D505"/>
    <mergeCell ref="D493:D497"/>
    <mergeCell ref="D498:D499"/>
    <mergeCell ref="D486:D488"/>
    <mergeCell ref="D489:D491"/>
    <mergeCell ref="D479:D482"/>
    <mergeCell ref="D483:D484"/>
    <mergeCell ref="E475:E476"/>
    <mergeCell ref="E479:E482"/>
    <mergeCell ref="D469:D472"/>
    <mergeCell ref="D473:D474"/>
    <mergeCell ref="D475:D476"/>
    <mergeCell ref="D464:D465"/>
    <mergeCell ref="D466:D467"/>
    <mergeCell ref="D451:D456"/>
    <mergeCell ref="D462:D463"/>
    <mergeCell ref="D448:D449"/>
    <mergeCell ref="D443:D445"/>
    <mergeCell ref="D446:D447"/>
    <mergeCell ref="D438:D441"/>
    <mergeCell ref="D434:D436"/>
    <mergeCell ref="D416:D417"/>
    <mergeCell ref="D419:D423"/>
    <mergeCell ref="D428:D429"/>
    <mergeCell ref="D412:D415"/>
    <mergeCell ref="D410:D411"/>
    <mergeCell ref="D408:D409"/>
    <mergeCell ref="D405:D406"/>
    <mergeCell ref="D403:D404"/>
    <mergeCell ref="D394:D397"/>
    <mergeCell ref="D398:D400"/>
    <mergeCell ref="D384:D386"/>
    <mergeCell ref="D387:D388"/>
    <mergeCell ref="D390:D393"/>
    <mergeCell ref="D378:D379"/>
    <mergeCell ref="D382:D383"/>
    <mergeCell ref="D373:D375"/>
    <mergeCell ref="D376:D377"/>
    <mergeCell ref="D367:D369"/>
    <mergeCell ref="D370:D371"/>
    <mergeCell ref="D362:D363"/>
    <mergeCell ref="D364:D365"/>
    <mergeCell ref="D357:D358"/>
    <mergeCell ref="D348:D349"/>
    <mergeCell ref="D352:D354"/>
    <mergeCell ref="D355:D356"/>
    <mergeCell ref="D338:D340"/>
    <mergeCell ref="D341:D343"/>
    <mergeCell ref="D344:D346"/>
    <mergeCell ref="D331:D332"/>
    <mergeCell ref="D333:D337"/>
    <mergeCell ref="D315:D316"/>
    <mergeCell ref="D320:D321"/>
    <mergeCell ref="D324:D325"/>
    <mergeCell ref="D326:D327"/>
    <mergeCell ref="D329:D330"/>
    <mergeCell ref="D302:D304"/>
    <mergeCell ref="D310:D312"/>
    <mergeCell ref="E299:E301"/>
    <mergeCell ref="D291:D293"/>
    <mergeCell ref="D299:D301"/>
    <mergeCell ref="D287:D289"/>
    <mergeCell ref="D282:D283"/>
    <mergeCell ref="D284:D286"/>
    <mergeCell ref="D265:D267"/>
    <mergeCell ref="D268:D271"/>
    <mergeCell ref="D278:D279"/>
    <mergeCell ref="D280:D281"/>
    <mergeCell ref="D258:D263"/>
    <mergeCell ref="D256:D257"/>
    <mergeCell ref="D246:D248"/>
    <mergeCell ref="D236:D237"/>
    <mergeCell ref="D238:D240"/>
    <mergeCell ref="D241:D244"/>
    <mergeCell ref="D230:D231"/>
    <mergeCell ref="D221:D222"/>
    <mergeCell ref="D223:D224"/>
    <mergeCell ref="D218:D220"/>
    <mergeCell ref="D204:D206"/>
    <mergeCell ref="D200:D203"/>
    <mergeCell ref="D198:D199"/>
    <mergeCell ref="D196:D197"/>
    <mergeCell ref="D190:D192"/>
    <mergeCell ref="D193:D194"/>
    <mergeCell ref="D183:D184"/>
    <mergeCell ref="D186:D187"/>
    <mergeCell ref="D188:D189"/>
    <mergeCell ref="D173:D174"/>
    <mergeCell ref="D176:D177"/>
    <mergeCell ref="D178:D181"/>
    <mergeCell ref="D170:D172"/>
    <mergeCell ref="D164:D165"/>
    <mergeCell ref="D166:D167"/>
    <mergeCell ref="D168:D169"/>
    <mergeCell ref="D157:D158"/>
    <mergeCell ref="D161:D162"/>
    <mergeCell ref="D155:D156"/>
    <mergeCell ref="D153:D154"/>
    <mergeCell ref="D151:D152"/>
    <mergeCell ref="D148:D150"/>
    <mergeCell ref="D146:D147"/>
    <mergeCell ref="D141:D145"/>
    <mergeCell ref="D133:D134"/>
    <mergeCell ref="D131:D132"/>
    <mergeCell ref="D129:D130"/>
    <mergeCell ref="D119:D120"/>
    <mergeCell ref="D121:D122"/>
    <mergeCell ref="D123:D124"/>
    <mergeCell ref="D107:D110"/>
    <mergeCell ref="D114:D115"/>
    <mergeCell ref="D103:D106"/>
    <mergeCell ref="D100:D102"/>
    <mergeCell ref="D88:D89"/>
    <mergeCell ref="D93:D96"/>
    <mergeCell ref="D97:D99"/>
    <mergeCell ref="D80:D81"/>
    <mergeCell ref="D83:D84"/>
    <mergeCell ref="D85:D86"/>
    <mergeCell ref="D72:D73"/>
    <mergeCell ref="D77:D78"/>
    <mergeCell ref="D65:D66"/>
    <mergeCell ref="D70:D71"/>
    <mergeCell ref="D59:D60"/>
    <mergeCell ref="D63:D64"/>
    <mergeCell ref="D4:D5"/>
    <mergeCell ref="D19:D20"/>
    <mergeCell ref="D21:D22"/>
    <mergeCell ref="D9:D11"/>
    <mergeCell ref="A6:C7"/>
    <mergeCell ref="D6:D7"/>
    <mergeCell ref="D50:D53"/>
    <mergeCell ref="A55:D55"/>
    <mergeCell ref="D57:D58"/>
    <mergeCell ref="D45:D48"/>
    <mergeCell ref="D39:D40"/>
    <mergeCell ref="D36:D38"/>
    <mergeCell ref="D27:D30"/>
    <mergeCell ref="D25:D26"/>
    <mergeCell ref="D23:D24"/>
  </mergeCells>
  <conditionalFormatting sqref="E1949:E1952">
    <cfRule type="cellIs" dxfId="58" priority="2241" operator="greaterThan">
      <formula>0</formula>
    </cfRule>
  </conditionalFormatting>
  <conditionalFormatting sqref="E1922:E1925">
    <cfRule type="cellIs" dxfId="57" priority="2240" operator="greaterThan">
      <formula>0</formula>
    </cfRule>
  </conditionalFormatting>
  <conditionalFormatting sqref="E1904:E1906">
    <cfRule type="cellIs" dxfId="56" priority="2239" operator="greaterThan">
      <formula>0</formula>
    </cfRule>
  </conditionalFormatting>
  <conditionalFormatting sqref="F16">
    <cfRule type="notContainsBlanks" dxfId="55" priority="31">
      <formula>LEN(TRIM(F16))&gt;0</formula>
    </cfRule>
  </conditionalFormatting>
  <conditionalFormatting sqref="E13 E25 E114 E129 E135 E140:E141 E193 E195:E196 E223 E236 E246 E249 E268 E310 E315 E451 E466 E475 E477:E478 E489 E498 E500 E727 E1597 E1600 E1602 E1605 E1607 E1609 E1612 E1614 E1616 E1622">
    <cfRule type="cellIs" dxfId="54" priority="30" operator="greaterThan">
      <formula>0</formula>
    </cfRule>
  </conditionalFormatting>
  <conditionalFormatting sqref="F729">
    <cfRule type="notContainsBlanks" dxfId="53" priority="19">
      <formula>LEN(TRIM(F729))&gt;0</formula>
    </cfRule>
  </conditionalFormatting>
  <conditionalFormatting sqref="F68">
    <cfRule type="notContainsBlanks" dxfId="52" priority="28">
      <formula>LEN(TRIM(F68))&gt;0</formula>
    </cfRule>
  </conditionalFormatting>
  <conditionalFormatting sqref="F238">
    <cfRule type="notContainsBlanks" dxfId="51" priority="27">
      <formula>LEN(TRIM(F238))&gt;0</formula>
    </cfRule>
  </conditionalFormatting>
  <conditionalFormatting sqref="F241">
    <cfRule type="notContainsBlanks" dxfId="50" priority="26">
      <formula>LEN(TRIM(F241))&gt;0</formula>
    </cfRule>
  </conditionalFormatting>
  <conditionalFormatting sqref="F319:F320">
    <cfRule type="notContainsBlanks" dxfId="49" priority="25">
      <formula>LEN(TRIM(F319))&gt;0</formula>
    </cfRule>
  </conditionalFormatting>
  <conditionalFormatting sqref="F326">
    <cfRule type="notContainsBlanks" dxfId="48" priority="23">
      <formula>LEN(TRIM(F326))&gt;0</formula>
    </cfRule>
  </conditionalFormatting>
  <conditionalFormatting sqref="F416">
    <cfRule type="notContainsBlanks" dxfId="47" priority="22">
      <formula>LEN(TRIM(F416))&gt;0</formula>
    </cfRule>
  </conditionalFormatting>
  <conditionalFormatting sqref="F452">
    <cfRule type="notContainsBlanks" dxfId="46" priority="21">
      <formula>LEN(TRIM(F452))&gt;0</formula>
    </cfRule>
  </conditionalFormatting>
  <conditionalFormatting sqref="F493">
    <cfRule type="notContainsBlanks" dxfId="45" priority="20">
      <formula>LEN(TRIM(F493))&gt;0</formula>
    </cfRule>
  </conditionalFormatting>
  <conditionalFormatting sqref="H16 H25 H67 H114 H129 H135 H140:H141 H193 H195:H196 H223 H238 H241 H246 H249 H268 H310 H319:H320 H326 H416 H451 H466 H475 H477:H478 H489 H493 H498 H500 H729 H1595 H1609 H1611 H1622">
    <cfRule type="cellIs" dxfId="44" priority="9939" operator="equal">
      <formula>$H$9</formula>
    </cfRule>
    <cfRule type="cellIs" dxfId="43" priority="9940" operator="equal">
      <formula>$H$11</formula>
    </cfRule>
    <cfRule type="cellIs" dxfId="42" priority="9941" operator="equal">
      <formula>$H$10</formula>
    </cfRule>
  </conditionalFormatting>
  <dataValidations count="1">
    <dataValidation type="list" allowBlank="1" showInputMessage="1" showErrorMessage="1" sqref="H16 H500 H1609 H1611 H25 H67 H114 H129 H135 H140:H141 H193 H195:H196 H223 H238 H241 H246 H249 H268 H319:H320 H326 H416 H451 H466 H475 H477:H478 H489 H493 H498 H310 H1622 H1595 H729" xr:uid="{00000000-0002-0000-1000-000000000000}">
      <formula1>photoRevList</formula1>
    </dataValidation>
  </dataValidations>
  <pageMargins left="0.7" right="0.7" top="0.75" bottom="0.75" header="0.3" footer="0.3"/>
  <pageSetup scale="55"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M182"/>
  <sheetViews>
    <sheetView showGridLines="0" zoomScaleNormal="100" workbookViewId="0">
      <selection activeCell="H84" sqref="H84:I93"/>
    </sheetView>
  </sheetViews>
  <sheetFormatPr defaultColWidth="9.1796875" defaultRowHeight="14.5" x14ac:dyDescent="0.35"/>
  <cols>
    <col min="1" max="2" width="10.7265625" customWidth="1"/>
    <col min="3" max="3" width="43.26953125" customWidth="1"/>
    <col min="4" max="9" width="15.7265625" customWidth="1"/>
    <col min="10" max="11" width="15.7265625" hidden="1" customWidth="1"/>
  </cols>
  <sheetData>
    <row r="1" spans="1:11" x14ac:dyDescent="0.35">
      <c r="D1" s="834" t="s">
        <v>4629</v>
      </c>
      <c r="E1" s="834"/>
      <c r="F1" s="834"/>
      <c r="G1" s="834"/>
      <c r="H1" s="834"/>
      <c r="I1" s="834"/>
    </row>
    <row r="2" spans="1:11" x14ac:dyDescent="0.35">
      <c r="D2" s="834"/>
      <c r="E2" s="834"/>
      <c r="F2" s="834"/>
      <c r="G2" s="834"/>
      <c r="H2" s="834"/>
      <c r="I2" s="834"/>
    </row>
    <row r="3" spans="1:11" x14ac:dyDescent="0.35">
      <c r="D3" s="834"/>
      <c r="E3" s="834"/>
      <c r="F3" s="834"/>
      <c r="G3" s="834"/>
      <c r="H3" s="834"/>
      <c r="I3" s="834"/>
    </row>
    <row r="4" spans="1:11" x14ac:dyDescent="0.35">
      <c r="D4" s="834"/>
      <c r="E4" s="834"/>
      <c r="F4" s="834"/>
      <c r="G4" s="834"/>
      <c r="H4" s="834"/>
      <c r="I4" s="834"/>
    </row>
    <row r="5" spans="1:11" x14ac:dyDescent="0.35">
      <c r="D5" s="834"/>
      <c r="E5" s="834"/>
      <c r="F5" s="834"/>
      <c r="G5" s="834"/>
      <c r="H5" s="834"/>
      <c r="I5" s="834"/>
    </row>
    <row r="6" spans="1:11" ht="18.5" x14ac:dyDescent="0.45">
      <c r="A6" s="486"/>
      <c r="B6" s="486"/>
      <c r="C6" s="10" t="s">
        <v>4103</v>
      </c>
      <c r="D6" s="486"/>
      <c r="E6" s="486"/>
      <c r="F6" s="486"/>
      <c r="G6" s="486"/>
      <c r="H6" s="486"/>
      <c r="I6" s="486"/>
      <c r="J6" s="21" t="s">
        <v>260</v>
      </c>
      <c r="K6" s="21" t="s">
        <v>260</v>
      </c>
    </row>
    <row r="8" spans="1:11" x14ac:dyDescent="0.35">
      <c r="A8" s="960" t="s">
        <v>4104</v>
      </c>
      <c r="B8" s="960"/>
      <c r="C8" s="959" t="str">
        <f>IF('Overview (Verification)'!P60="","None entered on ""Overview (Verification)"" Sheet",'Overview (Verification)'!P60)</f>
        <v>None entered on "Overview (Verification)" Sheet</v>
      </c>
      <c r="D8" s="959"/>
      <c r="F8" s="416" t="s">
        <v>4105</v>
      </c>
      <c r="G8" s="980" t="str">
        <f ca="1">Points!R22</f>
        <v>Bronze</v>
      </c>
      <c r="H8" s="980"/>
      <c r="I8" s="980"/>
    </row>
    <row r="9" spans="1:11" ht="3" customHeight="1" x14ac:dyDescent="0.35">
      <c r="A9" s="49"/>
      <c r="B9" s="49"/>
      <c r="C9" s="3"/>
      <c r="D9" s="3"/>
      <c r="F9" s="416"/>
    </row>
    <row r="10" spans="1:11" x14ac:dyDescent="0.35">
      <c r="A10" s="960" t="s">
        <v>4106</v>
      </c>
      <c r="B10" s="960"/>
      <c r="C10" s="959" t="str">
        <f>IF('Overview (Verification)'!P8="","None entered on ""Overview (Verification)"" Sheet",'Overview (Verification)'!P8)</f>
        <v>ABC Builder</v>
      </c>
      <c r="D10" s="959"/>
      <c r="F10" s="416" t="s">
        <v>4107</v>
      </c>
      <c r="G10" s="645" t="str">
        <f>'Overview (Verification)'!P16</f>
        <v>Single-Family</v>
      </c>
      <c r="H10" s="645"/>
      <c r="I10" s="645"/>
    </row>
    <row r="11" spans="1:11" ht="3" customHeight="1" x14ac:dyDescent="0.35">
      <c r="A11" s="541"/>
      <c r="B11" s="541"/>
      <c r="C11" s="3"/>
      <c r="D11" s="431"/>
      <c r="F11" s="416"/>
      <c r="G11" s="402"/>
      <c r="H11" s="402"/>
      <c r="I11" s="402"/>
    </row>
    <row r="12" spans="1:11" x14ac:dyDescent="0.35">
      <c r="A12" s="960" t="s">
        <v>4362</v>
      </c>
      <c r="B12" s="960"/>
      <c r="C12" s="959" t="str">
        <f>IF('Overview (Verification)'!P11="","None entered on ""Overview (Verification)"" Sheet",'Overview (Verification)'!P9&amp;", "&amp;'Overview (Verification)'!P11&amp;", "&amp;'Overview (Verification)'!P12&amp;"  "&amp;'Overview (Verification)'!P14)</f>
        <v>123 Example Drive, Durham, North Carolina  27703</v>
      </c>
      <c r="D12" s="959"/>
      <c r="F12" s="416" t="s">
        <v>159</v>
      </c>
      <c r="G12" s="979">
        <f>IF('Overview (Verification)'!P17&lt;&gt;"",'Overview (Verification)'!P17,1)</f>
        <v>1</v>
      </c>
      <c r="H12" s="979"/>
      <c r="I12" s="979"/>
    </row>
    <row r="13" spans="1:11" ht="3" customHeight="1" x14ac:dyDescent="0.35">
      <c r="A13" s="541"/>
      <c r="B13" s="541"/>
      <c r="C13" s="3"/>
      <c r="D13" s="431"/>
      <c r="F13" s="416"/>
      <c r="G13" s="402"/>
      <c r="H13" s="402"/>
      <c r="I13" s="402"/>
    </row>
    <row r="14" spans="1:11" x14ac:dyDescent="0.35">
      <c r="A14" s="960" t="s">
        <v>130</v>
      </c>
      <c r="B14" s="960"/>
      <c r="C14" s="959" t="str">
        <f>IF('Overview (Verification)'!P10="","None entered on ""Overview (Verification)"" Sheet",'Overview (Verification)'!P10)</f>
        <v>Lot 1A</v>
      </c>
      <c r="D14" s="959"/>
      <c r="F14" s="416" t="s">
        <v>4598</v>
      </c>
      <c r="G14" s="645">
        <f>'Overview (Verification)'!P21</f>
        <v>2644</v>
      </c>
      <c r="H14" s="645"/>
      <c r="I14" s="645"/>
    </row>
    <row r="15" spans="1:11" ht="3" customHeight="1" x14ac:dyDescent="0.35">
      <c r="A15" s="541"/>
      <c r="B15" s="541"/>
      <c r="C15" s="3"/>
      <c r="D15" s="431"/>
      <c r="F15" s="416"/>
      <c r="G15" s="402"/>
      <c r="H15" s="402"/>
      <c r="I15" s="402"/>
    </row>
    <row r="16" spans="1:11" x14ac:dyDescent="0.35">
      <c r="A16" s="960" t="s">
        <v>3862</v>
      </c>
      <c r="B16" s="960"/>
      <c r="C16" s="959" t="str">
        <f>'Overview (Verification)'!U9&amp;" "&amp;'Overview (Verification)'!V9&amp;" "&amp;'Overview (Verification)'!W9&amp;" "&amp;'Overview (Verification)'!Y9</f>
        <v xml:space="preserve">4 Moist    </v>
      </c>
      <c r="D16" s="959"/>
      <c r="F16" s="416" t="s">
        <v>4108</v>
      </c>
      <c r="G16" s="645" t="str">
        <f>'Overview (Verification)'!P24</f>
        <v/>
      </c>
      <c r="H16" s="645"/>
      <c r="I16" s="645"/>
    </row>
    <row r="17" spans="1:10" ht="3" customHeight="1" x14ac:dyDescent="0.35">
      <c r="C17" s="2"/>
      <c r="D17" s="401"/>
      <c r="F17" s="416"/>
      <c r="G17" s="402"/>
      <c r="H17" s="402"/>
      <c r="I17" s="402"/>
    </row>
    <row r="18" spans="1:10" ht="14.5" customHeight="1" x14ac:dyDescent="0.35">
      <c r="C18" s="962" t="s">
        <v>4366</v>
      </c>
      <c r="D18" s="963"/>
      <c r="F18" s="962" t="s">
        <v>4367</v>
      </c>
      <c r="G18" s="963"/>
      <c r="H18" s="963"/>
      <c r="I18" s="963"/>
      <c r="J18" t="b">
        <f>OR(J55:J103)</f>
        <v>0</v>
      </c>
    </row>
    <row r="19" spans="1:10" x14ac:dyDescent="0.35">
      <c r="A19" s="403"/>
      <c r="B19" s="403"/>
      <c r="C19" s="403"/>
      <c r="D19" s="403"/>
      <c r="E19" s="403"/>
      <c r="F19" s="403"/>
      <c r="G19" s="403"/>
      <c r="H19" s="403"/>
      <c r="I19" s="403"/>
    </row>
    <row r="20" spans="1:10" x14ac:dyDescent="0.35">
      <c r="A20" s="403"/>
      <c r="B20" s="403"/>
      <c r="C20" s="403"/>
      <c r="D20" s="403"/>
      <c r="E20" s="964" t="str">
        <f>IF('Verification Report'!L5="Rough","Rough Points claimed by","NO LONGER VALID")</f>
        <v>NO LONGER VALID</v>
      </c>
      <c r="F20" s="403"/>
      <c r="G20" s="403"/>
      <c r="H20" s="403"/>
      <c r="I20" s="403"/>
    </row>
    <row r="21" spans="1:10" x14ac:dyDescent="0.35">
      <c r="A21" s="403"/>
      <c r="B21" s="403"/>
      <c r="C21" s="403"/>
      <c r="E21" s="965"/>
      <c r="F21" s="403"/>
      <c r="G21" s="403"/>
      <c r="H21" s="403"/>
      <c r="I21" s="403"/>
    </row>
    <row r="22" spans="1:10" ht="15" customHeight="1" x14ac:dyDescent="0.35">
      <c r="A22" s="403"/>
      <c r="B22" s="403"/>
      <c r="C22" s="387" t="s">
        <v>4109</v>
      </c>
      <c r="D22" s="404" t="s">
        <v>4110</v>
      </c>
      <c r="E22" s="404" t="s">
        <v>3764</v>
      </c>
      <c r="F22" s="387" t="s">
        <v>4111</v>
      </c>
      <c r="G22" s="387" t="s">
        <v>4112</v>
      </c>
      <c r="H22" s="387" t="s">
        <v>4113</v>
      </c>
      <c r="I22" s="387" t="s">
        <v>4114</v>
      </c>
    </row>
    <row r="23" spans="1:10" ht="3" customHeight="1" x14ac:dyDescent="0.35">
      <c r="A23" s="403"/>
      <c r="B23" s="403"/>
      <c r="C23" s="2"/>
      <c r="D23" s="44"/>
      <c r="E23" s="21"/>
    </row>
    <row r="24" spans="1:10" ht="15" customHeight="1" x14ac:dyDescent="0.35">
      <c r="A24" s="403"/>
      <c r="B24" s="403"/>
      <c r="C24" s="405" t="s">
        <v>4115</v>
      </c>
      <c r="D24" s="406">
        <f ca="1">'Design Summ.'!I13</f>
        <v>69</v>
      </c>
      <c r="E24" s="407">
        <f ca="1">Ch5PointsFinal</f>
        <v>60</v>
      </c>
      <c r="F24" s="407">
        <v>50</v>
      </c>
      <c r="G24" s="407">
        <v>64</v>
      </c>
      <c r="H24" s="407">
        <v>93</v>
      </c>
      <c r="I24" s="407">
        <v>121</v>
      </c>
    </row>
    <row r="25" spans="1:10" ht="15" customHeight="1" x14ac:dyDescent="0.35">
      <c r="A25" s="403"/>
      <c r="B25" s="403"/>
      <c r="C25" s="408" t="s">
        <v>4116</v>
      </c>
      <c r="D25" s="409">
        <f ca="1">'Design Summ.'!I14</f>
        <v>61</v>
      </c>
      <c r="E25" s="410">
        <f ca="1">Ch6PointsFinal</f>
        <v>46</v>
      </c>
      <c r="F25" s="410">
        <v>43</v>
      </c>
      <c r="G25" s="410">
        <v>59</v>
      </c>
      <c r="H25" s="410">
        <v>89</v>
      </c>
      <c r="I25" s="410">
        <v>119</v>
      </c>
    </row>
    <row r="26" spans="1:10" ht="15" customHeight="1" x14ac:dyDescent="0.35">
      <c r="A26" s="403"/>
      <c r="B26" s="403"/>
      <c r="C26" s="408" t="s">
        <v>4117</v>
      </c>
      <c r="D26" s="409">
        <f ca="1">'Design Summ.'!I15</f>
        <v>50</v>
      </c>
      <c r="E26" s="410">
        <f ca="1">Ch7PointsFinal</f>
        <v>64</v>
      </c>
      <c r="F26" s="410">
        <v>30</v>
      </c>
      <c r="G26" s="410">
        <v>45</v>
      </c>
      <c r="H26" s="410">
        <v>60</v>
      </c>
      <c r="I26" s="410">
        <v>70</v>
      </c>
    </row>
    <row r="27" spans="1:10" ht="15" customHeight="1" x14ac:dyDescent="0.35">
      <c r="A27" s="403"/>
      <c r="B27" s="403"/>
      <c r="C27" s="408" t="s">
        <v>4118</v>
      </c>
      <c r="D27" s="409">
        <f ca="1">'Design Summ.'!I16</f>
        <v>36</v>
      </c>
      <c r="E27" s="410">
        <f ca="1">Ch8PointsFinal</f>
        <v>37</v>
      </c>
      <c r="F27" s="410">
        <v>25</v>
      </c>
      <c r="G27" s="410">
        <v>39</v>
      </c>
      <c r="H27" s="410">
        <v>67</v>
      </c>
      <c r="I27" s="410">
        <v>92</v>
      </c>
    </row>
    <row r="28" spans="1:10" ht="15" customHeight="1" x14ac:dyDescent="0.35">
      <c r="A28" s="403"/>
      <c r="B28" s="403"/>
      <c r="C28" s="408" t="s">
        <v>4119</v>
      </c>
      <c r="D28" s="409">
        <f ca="1">'Design Summ.'!I17</f>
        <v>38</v>
      </c>
      <c r="E28" s="410">
        <f ca="1">Ch9PointsFinal</f>
        <v>43</v>
      </c>
      <c r="F28" s="410">
        <v>25</v>
      </c>
      <c r="G28" s="410">
        <v>42</v>
      </c>
      <c r="H28" s="410">
        <v>69</v>
      </c>
      <c r="I28" s="410">
        <v>97</v>
      </c>
    </row>
    <row r="29" spans="1:10" ht="15" customHeight="1" x14ac:dyDescent="0.35">
      <c r="A29" s="403"/>
      <c r="B29" s="403"/>
      <c r="C29" s="411" t="s">
        <v>4120</v>
      </c>
      <c r="D29" s="412">
        <f>'Design Summ.'!I18</f>
        <v>9</v>
      </c>
      <c r="E29" s="412">
        <f>Ch10PointsFinal</f>
        <v>8</v>
      </c>
      <c r="F29" s="413">
        <v>8</v>
      </c>
      <c r="G29" s="413">
        <v>10</v>
      </c>
      <c r="H29" s="413">
        <v>11</v>
      </c>
      <c r="I29" s="413">
        <v>12</v>
      </c>
    </row>
    <row r="30" spans="1:10" ht="3" customHeight="1" x14ac:dyDescent="0.35">
      <c r="A30" s="403"/>
      <c r="B30" s="403"/>
      <c r="C30" s="414"/>
      <c r="D30" s="415"/>
      <c r="E30" s="403"/>
      <c r="F30" s="403"/>
      <c r="G30" s="403"/>
      <c r="H30" s="403"/>
      <c r="I30" s="403"/>
    </row>
    <row r="31" spans="1:10" ht="3" customHeight="1" x14ac:dyDescent="0.35">
      <c r="A31" s="403"/>
      <c r="B31" s="403"/>
      <c r="C31" s="403"/>
      <c r="D31" s="415"/>
      <c r="E31" s="403"/>
      <c r="F31" s="403"/>
      <c r="G31" s="403"/>
      <c r="H31" s="403"/>
      <c r="I31" s="403"/>
    </row>
    <row r="32" spans="1:10" ht="15" customHeight="1" x14ac:dyDescent="0.35">
      <c r="A32" s="403"/>
      <c r="B32" s="403"/>
      <c r="C32" s="386" t="s">
        <v>4121</v>
      </c>
      <c r="D32" s="20">
        <f ca="1">'Design Summ.'!I21</f>
        <v>263</v>
      </c>
      <c r="E32" s="20">
        <f ca="1">SUM(E24:E29)</f>
        <v>258</v>
      </c>
      <c r="F32" s="20">
        <f>SUM(F24:F29)+Points!C22</f>
        <v>231</v>
      </c>
      <c r="G32" s="20">
        <f>SUM(G24:G29)+Points!D22</f>
        <v>334</v>
      </c>
      <c r="H32" s="20">
        <f>SUM(H24:H29)+Points!E22</f>
        <v>489</v>
      </c>
      <c r="I32" s="20">
        <f>SUM(I24:I29)+Points!F22</f>
        <v>611</v>
      </c>
    </row>
    <row r="33" spans="1:9" ht="15" customHeight="1" x14ac:dyDescent="0.35">
      <c r="A33" s="403"/>
      <c r="B33" s="403"/>
      <c r="C33" s="403"/>
      <c r="D33" s="403"/>
      <c r="E33" s="403"/>
      <c r="F33" s="403"/>
      <c r="G33" s="403"/>
      <c r="H33" s="403"/>
      <c r="I33" s="403"/>
    </row>
    <row r="34" spans="1:9" ht="15" customHeight="1" x14ac:dyDescent="0.35"/>
    <row r="35" spans="1:9" ht="15" customHeight="1" x14ac:dyDescent="0.35"/>
    <row r="36" spans="1:9" ht="3" customHeight="1" x14ac:dyDescent="0.35">
      <c r="A36" s="259"/>
      <c r="B36" s="259"/>
    </row>
    <row r="37" spans="1:9" x14ac:dyDescent="0.35">
      <c r="A37" s="648" t="s">
        <v>4364</v>
      </c>
      <c r="B37" s="648"/>
      <c r="C37" s="961" t="s">
        <v>4828</v>
      </c>
      <c r="D37" s="961"/>
      <c r="E37" s="961"/>
      <c r="F37" s="961"/>
      <c r="G37" s="961"/>
      <c r="H37" s="961"/>
      <c r="I37" s="961"/>
    </row>
    <row r="38" spans="1:9" x14ac:dyDescent="0.35">
      <c r="A38" s="648"/>
      <c r="B38" s="648"/>
      <c r="C38" s="961"/>
      <c r="D38" s="961"/>
      <c r="E38" s="961"/>
      <c r="F38" s="961"/>
      <c r="G38" s="961"/>
      <c r="H38" s="961"/>
      <c r="I38" s="961"/>
    </row>
    <row r="39" spans="1:9" x14ac:dyDescent="0.35">
      <c r="A39" s="648"/>
      <c r="B39" s="648"/>
      <c r="C39" s="961"/>
      <c r="D39" s="961"/>
      <c r="E39" s="961"/>
      <c r="F39" s="961"/>
      <c r="G39" s="961"/>
      <c r="H39" s="961"/>
      <c r="I39" s="961"/>
    </row>
    <row r="40" spans="1:9" ht="3" customHeight="1" x14ac:dyDescent="0.35">
      <c r="A40" s="259"/>
      <c r="B40" s="259"/>
    </row>
    <row r="41" spans="1:9" ht="15" customHeight="1" x14ac:dyDescent="0.35">
      <c r="A41" s="259"/>
      <c r="B41" s="416" t="s">
        <v>4122</v>
      </c>
      <c r="C41" s="966" t="s">
        <v>4830</v>
      </c>
      <c r="D41" s="966"/>
    </row>
    <row r="42" spans="1:9" ht="3" customHeight="1" x14ac:dyDescent="0.35">
      <c r="A42" s="259"/>
      <c r="B42" s="416"/>
    </row>
    <row r="43" spans="1:9" x14ac:dyDescent="0.35">
      <c r="A43" s="259"/>
      <c r="B43" s="416" t="s">
        <v>4123</v>
      </c>
      <c r="C43" s="966" t="s">
        <v>4830</v>
      </c>
      <c r="D43" s="966"/>
    </row>
    <row r="44" spans="1:9" ht="3" customHeight="1" x14ac:dyDescent="0.35">
      <c r="A44" s="259"/>
      <c r="B44" s="416"/>
    </row>
    <row r="45" spans="1:9" x14ac:dyDescent="0.35">
      <c r="A45" s="259"/>
      <c r="B45" s="416" t="s">
        <v>4124</v>
      </c>
      <c r="C45" s="966" t="s">
        <v>4830</v>
      </c>
      <c r="D45" s="966"/>
    </row>
    <row r="46" spans="1:9" ht="3" customHeight="1" x14ac:dyDescent="0.35">
      <c r="A46" s="259"/>
      <c r="B46" s="416"/>
    </row>
    <row r="47" spans="1:9" x14ac:dyDescent="0.35">
      <c r="A47" s="259"/>
      <c r="B47" s="416" t="s">
        <v>4125</v>
      </c>
      <c r="C47" s="966" t="s">
        <v>4833</v>
      </c>
      <c r="D47" s="966"/>
    </row>
    <row r="48" spans="1:9" x14ac:dyDescent="0.35">
      <c r="A48" s="259"/>
    </row>
    <row r="50" spans="1:10" x14ac:dyDescent="0.35">
      <c r="A50" s="35"/>
      <c r="B50" s="35"/>
    </row>
    <row r="51" spans="1:10" x14ac:dyDescent="0.35">
      <c r="A51" s="648" t="s">
        <v>4126</v>
      </c>
      <c r="B51" s="648"/>
      <c r="C51" s="967" t="s">
        <v>4828</v>
      </c>
      <c r="D51" s="968"/>
      <c r="E51" s="968"/>
      <c r="F51" s="968"/>
      <c r="G51" s="968"/>
      <c r="H51" s="968"/>
      <c r="I51" s="969"/>
    </row>
    <row r="52" spans="1:10" x14ac:dyDescent="0.35">
      <c r="A52" s="648"/>
      <c r="B52" s="648"/>
      <c r="C52" s="970"/>
      <c r="D52" s="971"/>
      <c r="E52" s="971"/>
      <c r="F52" s="971"/>
      <c r="G52" s="971"/>
      <c r="H52" s="971"/>
      <c r="I52" s="972"/>
    </row>
    <row r="53" spans="1:10" x14ac:dyDescent="0.35">
      <c r="A53" s="648"/>
      <c r="B53" s="648"/>
      <c r="C53" s="973"/>
      <c r="D53" s="974"/>
      <c r="E53" s="974"/>
      <c r="F53" s="974"/>
      <c r="G53" s="974"/>
      <c r="H53" s="974"/>
      <c r="I53" s="975"/>
    </row>
    <row r="54" spans="1:10" ht="3" customHeight="1" x14ac:dyDescent="0.35">
      <c r="A54" s="259"/>
      <c r="B54" s="259"/>
    </row>
    <row r="55" spans="1:10" x14ac:dyDescent="0.35">
      <c r="A55" s="648" t="s">
        <v>4122</v>
      </c>
      <c r="B55" s="648"/>
      <c r="C55" s="540" t="s">
        <v>4852</v>
      </c>
      <c r="J55" t="b">
        <f>ISBLANK(C55)</f>
        <v>0</v>
      </c>
    </row>
    <row r="56" spans="1:10" ht="3" customHeight="1" x14ac:dyDescent="0.35">
      <c r="A56" s="416"/>
      <c r="B56" s="416"/>
    </row>
    <row r="57" spans="1:10" x14ac:dyDescent="0.35">
      <c r="A57" s="648" t="s">
        <v>4123</v>
      </c>
      <c r="B57" s="648"/>
      <c r="C57" s="540" t="s">
        <v>4854</v>
      </c>
      <c r="J57" t="b">
        <f>ISBLANK(C57)</f>
        <v>0</v>
      </c>
    </row>
    <row r="58" spans="1:10" ht="3" customHeight="1" x14ac:dyDescent="0.35">
      <c r="A58" s="416"/>
      <c r="B58" s="416"/>
    </row>
    <row r="59" spans="1:10" x14ac:dyDescent="0.35">
      <c r="A59" s="648" t="s">
        <v>4124</v>
      </c>
      <c r="B59" s="648"/>
      <c r="C59" s="540" t="s">
        <v>4853</v>
      </c>
      <c r="J59" t="b">
        <f>ISBLANK(C59)</f>
        <v>0</v>
      </c>
    </row>
    <row r="60" spans="1:10" ht="3" customHeight="1" x14ac:dyDescent="0.35">
      <c r="A60" s="416"/>
      <c r="B60" s="416"/>
    </row>
    <row r="61" spans="1:10" x14ac:dyDescent="0.35">
      <c r="A61" s="648" t="s">
        <v>4127</v>
      </c>
      <c r="B61" s="648"/>
      <c r="C61" s="540" t="s">
        <v>4832</v>
      </c>
      <c r="D61" s="976" t="s">
        <v>4615</v>
      </c>
      <c r="J61" t="b">
        <f>ISBLANK(C61)</f>
        <v>0</v>
      </c>
    </row>
    <row r="62" spans="1:10" ht="3" customHeight="1" x14ac:dyDescent="0.35">
      <c r="A62" s="416"/>
      <c r="B62" s="416"/>
      <c r="D62" s="976"/>
    </row>
    <row r="63" spans="1:10" x14ac:dyDescent="0.35">
      <c r="A63" s="648" t="s">
        <v>4128</v>
      </c>
      <c r="B63" s="648"/>
      <c r="C63" s="540" t="s">
        <v>4831</v>
      </c>
      <c r="D63" s="976"/>
      <c r="J63" t="b">
        <f>ISBLANK(C63)</f>
        <v>0</v>
      </c>
    </row>
    <row r="64" spans="1:10" ht="3" customHeight="1" x14ac:dyDescent="0.35">
      <c r="A64" s="416"/>
      <c r="B64" s="416"/>
    </row>
    <row r="65" spans="1:11" x14ac:dyDescent="0.35">
      <c r="A65" s="648" t="s">
        <v>4125</v>
      </c>
      <c r="B65" s="648"/>
      <c r="C65" s="540" t="s">
        <v>4833</v>
      </c>
      <c r="D65" s="417" t="s">
        <v>4129</v>
      </c>
      <c r="J65" t="b">
        <f>ISBLANK(C65)</f>
        <v>0</v>
      </c>
    </row>
    <row r="66" spans="1:11" x14ac:dyDescent="0.35">
      <c r="D66" s="418"/>
    </row>
    <row r="68" spans="1:11" x14ac:dyDescent="0.35">
      <c r="C68" s="259" t="s">
        <v>4130</v>
      </c>
    </row>
    <row r="69" spans="1:11" x14ac:dyDescent="0.35">
      <c r="C69" s="976" t="s">
        <v>4131</v>
      </c>
      <c r="D69" s="976"/>
      <c r="E69" s="976"/>
      <c r="F69" s="976"/>
      <c r="G69" s="976"/>
      <c r="H69" s="976"/>
      <c r="I69" s="976"/>
    </row>
    <row r="71" spans="1:11" x14ac:dyDescent="0.35">
      <c r="C71" s="251" t="s">
        <v>4132</v>
      </c>
      <c r="D71" s="251" t="s">
        <v>4133</v>
      </c>
      <c r="E71" s="977" t="s">
        <v>4134</v>
      </c>
      <c r="F71" s="977"/>
      <c r="G71" s="642" t="s">
        <v>4616</v>
      </c>
      <c r="H71" s="642"/>
    </row>
    <row r="72" spans="1:11" x14ac:dyDescent="0.35">
      <c r="B72" s="6">
        <v>1</v>
      </c>
      <c r="C72" s="488"/>
      <c r="D72" s="488"/>
      <c r="E72" s="978"/>
      <c r="F72" s="978"/>
      <c r="G72" s="978"/>
      <c r="H72" s="978"/>
      <c r="J72" t="b">
        <f>AND(OR(LEN(C72)=0,LEN(D72)=0,LEN(E72)=0,LEN(G72)=0),K72)</f>
        <v>0</v>
      </c>
      <c r="K72" s="420" t="b">
        <f>OR(NOT(LEN(C72)=0),NOT(LEN(D72)=0),NOT(LEN(E72)=0),NOT(LEN(G72)=0))</f>
        <v>0</v>
      </c>
    </row>
    <row r="73" spans="1:11" x14ac:dyDescent="0.35">
      <c r="B73" s="6">
        <v>2</v>
      </c>
      <c r="C73" s="488"/>
      <c r="D73" s="488"/>
      <c r="E73" s="978"/>
      <c r="F73" s="978"/>
      <c r="G73" s="978"/>
      <c r="H73" s="978"/>
      <c r="J73" t="b">
        <f>AND(OR(LEN(C73)=0,LEN(D73)=0,LEN(E73)=0,LEN(G73)=0),K73)</f>
        <v>0</v>
      </c>
      <c r="K73" s="420" t="b">
        <f>OR(NOT(LEN(C73)=0),NOT(LEN(D73)=0),NOT(LEN(E73)=0),NOT(LEN(G73)=0))</f>
        <v>0</v>
      </c>
    </row>
    <row r="74" spans="1:11" x14ac:dyDescent="0.35">
      <c r="B74" s="6">
        <v>3</v>
      </c>
      <c r="C74" s="488"/>
      <c r="D74" s="488"/>
      <c r="E74" s="978"/>
      <c r="F74" s="978"/>
      <c r="G74" s="978"/>
      <c r="H74" s="978"/>
      <c r="J74" t="b">
        <f>AND(OR(LEN(C74)=0,LEN(D74)=0,LEN(E74)=0,LEN(G74)=0),K74)</f>
        <v>0</v>
      </c>
      <c r="K74" s="420" t="b">
        <f>OR(NOT(LEN(C74)=0),NOT(LEN(D74)=0),NOT(LEN(E74)=0),NOT(LEN(G74)=0))</f>
        <v>0</v>
      </c>
    </row>
    <row r="75" spans="1:11" x14ac:dyDescent="0.35">
      <c r="B75" s="6">
        <v>4</v>
      </c>
      <c r="C75" s="488"/>
      <c r="D75" s="488"/>
      <c r="E75" s="978"/>
      <c r="F75" s="978"/>
      <c r="G75" s="978"/>
      <c r="H75" s="978"/>
      <c r="J75" t="b">
        <f>AND(OR(LEN(C75)=0,LEN(D75)=0,LEN(E75)=0,LEN(G75)=0),K75)</f>
        <v>0</v>
      </c>
      <c r="K75" s="420" t="b">
        <f>OR(NOT(LEN(C75)=0),NOT(LEN(D75)=0),NOT(LEN(E75)=0),NOT(LEN(G75)=0))</f>
        <v>0</v>
      </c>
    </row>
    <row r="76" spans="1:11" x14ac:dyDescent="0.35">
      <c r="B76" s="6">
        <v>5</v>
      </c>
      <c r="C76" s="488"/>
      <c r="D76" s="488"/>
      <c r="E76" s="978"/>
      <c r="F76" s="978"/>
      <c r="G76" s="978"/>
      <c r="H76" s="978"/>
      <c r="J76" t="b">
        <f>AND(OR(LEN(C76)=0,LEN(D76)=0,LEN(E76)=0,LEN(G76)=0),K76)</f>
        <v>0</v>
      </c>
      <c r="K76" s="420" t="b">
        <f>OR(NOT(LEN(C76)=0),NOT(LEN(D76)=0),NOT(LEN(E76)=0),NOT(LEN(G76)=0))</f>
        <v>0</v>
      </c>
    </row>
    <row r="80" spans="1:11" x14ac:dyDescent="0.35">
      <c r="C80" s="259" t="s">
        <v>4135</v>
      </c>
    </row>
    <row r="81" spans="2:11" x14ac:dyDescent="0.35">
      <c r="C81" s="418"/>
    </row>
    <row r="83" spans="2:11" ht="26" x14ac:dyDescent="0.35">
      <c r="C83" s="836" t="s">
        <v>4137</v>
      </c>
      <c r="D83" s="836"/>
      <c r="E83" s="590" t="s">
        <v>4787</v>
      </c>
      <c r="F83" s="590" t="s">
        <v>2</v>
      </c>
      <c r="G83" s="590" t="s">
        <v>4788</v>
      </c>
      <c r="H83" s="388" t="s">
        <v>4138</v>
      </c>
      <c r="I83" s="419" t="s">
        <v>4139</v>
      </c>
      <c r="K83" s="259"/>
    </row>
    <row r="84" spans="2:11" x14ac:dyDescent="0.35">
      <c r="B84" s="6">
        <v>1</v>
      </c>
      <c r="C84" s="950"/>
      <c r="D84" s="951"/>
      <c r="E84" s="559"/>
      <c r="F84" s="957" t="str">
        <f>'Overview (Verification)'!P12</f>
        <v>North Carolina</v>
      </c>
      <c r="G84" s="559"/>
      <c r="H84" s="559"/>
      <c r="I84" s="489"/>
      <c r="J84" t="b">
        <f t="shared" ref="J84:J103" si="0">AND(OR(LEN(C84)=0,LEN(E84)=0,LEN(G84)=0,LEN(H84)=0,LEN(I84)=0),K84)</f>
        <v>0</v>
      </c>
      <c r="K84" s="420" t="b">
        <f t="shared" ref="K84:K103" si="1">OR(NOT(LEN(C84)=0),NOT(LEN(E84)=0),NOT(LEN(G84)=0),NOT(LEN(H84)=0),NOT(LEN(I84)=0))</f>
        <v>0</v>
      </c>
    </row>
    <row r="85" spans="2:11" x14ac:dyDescent="0.35">
      <c r="B85" s="6">
        <v>2</v>
      </c>
      <c r="C85" s="950"/>
      <c r="D85" s="951"/>
      <c r="E85" s="559"/>
      <c r="F85" s="958"/>
      <c r="G85" s="559"/>
      <c r="H85" s="559"/>
      <c r="I85" s="489"/>
      <c r="J85" t="b">
        <f t="shared" si="0"/>
        <v>0</v>
      </c>
      <c r="K85" s="420" t="b">
        <f t="shared" si="1"/>
        <v>0</v>
      </c>
    </row>
    <row r="86" spans="2:11" x14ac:dyDescent="0.35">
      <c r="B86" s="6">
        <v>3</v>
      </c>
      <c r="C86" s="950"/>
      <c r="D86" s="951"/>
      <c r="E86" s="559"/>
      <c r="F86" s="958"/>
      <c r="G86" s="559"/>
      <c r="H86" s="559"/>
      <c r="I86" s="489"/>
      <c r="J86" t="b">
        <f t="shared" si="0"/>
        <v>0</v>
      </c>
      <c r="K86" s="420" t="b">
        <f t="shared" si="1"/>
        <v>0</v>
      </c>
    </row>
    <row r="87" spans="2:11" x14ac:dyDescent="0.35">
      <c r="B87" s="6">
        <v>4</v>
      </c>
      <c r="C87" s="950"/>
      <c r="D87" s="951"/>
      <c r="E87" s="559"/>
      <c r="F87" s="958"/>
      <c r="G87" s="559"/>
      <c r="H87" s="559"/>
      <c r="I87" s="489"/>
      <c r="J87" t="b">
        <f t="shared" si="0"/>
        <v>0</v>
      </c>
      <c r="K87" s="420" t="b">
        <f t="shared" si="1"/>
        <v>0</v>
      </c>
    </row>
    <row r="88" spans="2:11" x14ac:dyDescent="0.35">
      <c r="B88" s="6">
        <v>5</v>
      </c>
      <c r="C88" s="950"/>
      <c r="D88" s="951"/>
      <c r="E88" s="559"/>
      <c r="F88" s="958"/>
      <c r="G88" s="559"/>
      <c r="H88" s="559"/>
      <c r="I88" s="489"/>
      <c r="J88" t="b">
        <f t="shared" si="0"/>
        <v>0</v>
      </c>
      <c r="K88" s="420" t="b">
        <f t="shared" si="1"/>
        <v>0</v>
      </c>
    </row>
    <row r="89" spans="2:11" x14ac:dyDescent="0.35">
      <c r="B89" s="6">
        <v>6</v>
      </c>
      <c r="C89" s="950"/>
      <c r="D89" s="951"/>
      <c r="E89" s="559"/>
      <c r="F89" s="958"/>
      <c r="G89" s="559"/>
      <c r="H89" s="559"/>
      <c r="I89" s="489"/>
      <c r="J89" t="b">
        <f t="shared" si="0"/>
        <v>0</v>
      </c>
      <c r="K89" s="420" t="b">
        <f t="shared" si="1"/>
        <v>0</v>
      </c>
    </row>
    <row r="90" spans="2:11" x14ac:dyDescent="0.35">
      <c r="B90" s="6">
        <v>7</v>
      </c>
      <c r="C90" s="950"/>
      <c r="D90" s="951"/>
      <c r="E90" s="559"/>
      <c r="F90" s="958"/>
      <c r="G90" s="559"/>
      <c r="H90" s="559"/>
      <c r="I90" s="489"/>
      <c r="J90" t="b">
        <f t="shared" si="0"/>
        <v>0</v>
      </c>
      <c r="K90" s="420" t="b">
        <f t="shared" si="1"/>
        <v>0</v>
      </c>
    </row>
    <row r="91" spans="2:11" x14ac:dyDescent="0.35">
      <c r="B91" s="6">
        <v>8</v>
      </c>
      <c r="C91" s="950"/>
      <c r="D91" s="951"/>
      <c r="E91" s="559"/>
      <c r="F91" s="958"/>
      <c r="G91" s="559"/>
      <c r="H91" s="559"/>
      <c r="I91" s="489"/>
      <c r="J91" t="b">
        <f t="shared" si="0"/>
        <v>0</v>
      </c>
      <c r="K91" s="420" t="b">
        <f t="shared" si="1"/>
        <v>0</v>
      </c>
    </row>
    <row r="92" spans="2:11" x14ac:dyDescent="0.35">
      <c r="B92" s="6">
        <v>9</v>
      </c>
      <c r="C92" s="950"/>
      <c r="D92" s="951"/>
      <c r="E92" s="559"/>
      <c r="F92" s="958"/>
      <c r="G92" s="559"/>
      <c r="H92" s="559"/>
      <c r="I92" s="489"/>
      <c r="J92" t="b">
        <f t="shared" si="0"/>
        <v>0</v>
      </c>
      <c r="K92" s="420" t="b">
        <f t="shared" si="1"/>
        <v>0</v>
      </c>
    </row>
    <row r="93" spans="2:11" x14ac:dyDescent="0.35">
      <c r="B93" s="6">
        <v>10</v>
      </c>
      <c r="C93" s="950"/>
      <c r="D93" s="951"/>
      <c r="E93" s="559"/>
      <c r="F93" s="958"/>
      <c r="G93" s="559"/>
      <c r="H93" s="559"/>
      <c r="I93" s="489"/>
      <c r="J93" t="b">
        <f t="shared" si="0"/>
        <v>0</v>
      </c>
      <c r="K93" s="420" t="b">
        <f t="shared" si="1"/>
        <v>0</v>
      </c>
    </row>
    <row r="94" spans="2:11" x14ac:dyDescent="0.35">
      <c r="B94" s="6">
        <v>11</v>
      </c>
      <c r="C94" s="950"/>
      <c r="D94" s="951"/>
      <c r="E94" s="559"/>
      <c r="F94" s="958"/>
      <c r="G94" s="559"/>
      <c r="H94" s="559" t="s">
        <v>4827</v>
      </c>
      <c r="I94" s="489"/>
      <c r="J94" t="b">
        <f t="shared" si="0"/>
        <v>0</v>
      </c>
      <c r="K94" s="420" t="b">
        <f t="shared" si="1"/>
        <v>0</v>
      </c>
    </row>
    <row r="95" spans="2:11" x14ac:dyDescent="0.35">
      <c r="B95" s="6">
        <v>12</v>
      </c>
      <c r="C95" s="950" t="s">
        <v>4827</v>
      </c>
      <c r="D95" s="951"/>
      <c r="E95" s="559"/>
      <c r="F95" s="958"/>
      <c r="G95" s="559"/>
      <c r="H95" s="559" t="s">
        <v>4827</v>
      </c>
      <c r="I95" s="489"/>
      <c r="J95" t="b">
        <f t="shared" si="0"/>
        <v>0</v>
      </c>
      <c r="K95" s="420" t="b">
        <f t="shared" si="1"/>
        <v>0</v>
      </c>
    </row>
    <row r="96" spans="2:11" x14ac:dyDescent="0.35">
      <c r="B96" s="6">
        <v>13</v>
      </c>
      <c r="C96" s="950" t="s">
        <v>4827</v>
      </c>
      <c r="D96" s="951"/>
      <c r="E96" s="559"/>
      <c r="F96" s="958"/>
      <c r="G96" s="559"/>
      <c r="H96" s="559" t="s">
        <v>4827</v>
      </c>
      <c r="I96" s="489"/>
      <c r="J96" t="b">
        <f t="shared" si="0"/>
        <v>0</v>
      </c>
      <c r="K96" s="420" t="b">
        <f t="shared" si="1"/>
        <v>0</v>
      </c>
    </row>
    <row r="97" spans="2:11" x14ac:dyDescent="0.35">
      <c r="B97" s="6">
        <v>14</v>
      </c>
      <c r="C97" s="950" t="s">
        <v>4827</v>
      </c>
      <c r="D97" s="951"/>
      <c r="E97" s="559"/>
      <c r="F97" s="958"/>
      <c r="G97" s="559"/>
      <c r="H97" s="559" t="s">
        <v>4827</v>
      </c>
      <c r="I97" s="489"/>
      <c r="J97" t="b">
        <f t="shared" si="0"/>
        <v>0</v>
      </c>
      <c r="K97" s="420" t="b">
        <f t="shared" si="1"/>
        <v>0</v>
      </c>
    </row>
    <row r="98" spans="2:11" x14ac:dyDescent="0.35">
      <c r="B98" s="6">
        <v>15</v>
      </c>
      <c r="C98" s="950" t="s">
        <v>4827</v>
      </c>
      <c r="D98" s="951"/>
      <c r="E98" s="559"/>
      <c r="F98" s="958"/>
      <c r="G98" s="559"/>
      <c r="H98" s="559" t="s">
        <v>4827</v>
      </c>
      <c r="I98" s="489"/>
      <c r="J98" t="b">
        <f t="shared" si="0"/>
        <v>0</v>
      </c>
      <c r="K98" s="420" t="b">
        <f t="shared" si="1"/>
        <v>0</v>
      </c>
    </row>
    <row r="99" spans="2:11" x14ac:dyDescent="0.35">
      <c r="B99" s="6">
        <v>16</v>
      </c>
      <c r="C99" s="950" t="s">
        <v>4827</v>
      </c>
      <c r="D99" s="951"/>
      <c r="E99" s="559"/>
      <c r="F99" s="958"/>
      <c r="G99" s="559"/>
      <c r="H99" s="559" t="s">
        <v>4827</v>
      </c>
      <c r="I99" s="489"/>
      <c r="J99" t="b">
        <f t="shared" si="0"/>
        <v>0</v>
      </c>
      <c r="K99" s="420" t="b">
        <f t="shared" si="1"/>
        <v>0</v>
      </c>
    </row>
    <row r="100" spans="2:11" x14ac:dyDescent="0.35">
      <c r="B100" s="6">
        <v>17</v>
      </c>
      <c r="C100" s="950" t="s">
        <v>4827</v>
      </c>
      <c r="D100" s="951"/>
      <c r="E100" s="559"/>
      <c r="F100" s="958"/>
      <c r="G100" s="559"/>
      <c r="H100" s="559" t="s">
        <v>4827</v>
      </c>
      <c r="I100" s="489"/>
      <c r="J100" t="b">
        <f t="shared" si="0"/>
        <v>0</v>
      </c>
      <c r="K100" s="420" t="b">
        <f t="shared" si="1"/>
        <v>0</v>
      </c>
    </row>
    <row r="101" spans="2:11" x14ac:dyDescent="0.35">
      <c r="B101" s="6">
        <v>18</v>
      </c>
      <c r="C101" s="950" t="s">
        <v>4827</v>
      </c>
      <c r="D101" s="951"/>
      <c r="E101" s="559"/>
      <c r="F101" s="958"/>
      <c r="G101" s="559"/>
      <c r="H101" s="559" t="s">
        <v>4827</v>
      </c>
      <c r="I101" s="489"/>
      <c r="J101" t="b">
        <f t="shared" si="0"/>
        <v>0</v>
      </c>
      <c r="K101" s="420" t="b">
        <f t="shared" si="1"/>
        <v>0</v>
      </c>
    </row>
    <row r="102" spans="2:11" x14ac:dyDescent="0.35">
      <c r="B102" s="6">
        <v>19</v>
      </c>
      <c r="C102" s="950" t="s">
        <v>4827</v>
      </c>
      <c r="D102" s="951"/>
      <c r="E102" s="559"/>
      <c r="F102" s="958"/>
      <c r="G102" s="559"/>
      <c r="H102" s="559" t="s">
        <v>4827</v>
      </c>
      <c r="I102" s="489"/>
      <c r="J102" t="b">
        <f t="shared" si="0"/>
        <v>0</v>
      </c>
      <c r="K102" s="420" t="b">
        <f t="shared" si="1"/>
        <v>0</v>
      </c>
    </row>
    <row r="103" spans="2:11" x14ac:dyDescent="0.35">
      <c r="B103" s="6">
        <v>20</v>
      </c>
      <c r="C103" s="950" t="s">
        <v>4827</v>
      </c>
      <c r="D103" s="951"/>
      <c r="E103" s="559"/>
      <c r="F103" s="958"/>
      <c r="G103" s="559"/>
      <c r="H103" s="559" t="s">
        <v>4827</v>
      </c>
      <c r="I103" s="489"/>
      <c r="J103" t="b">
        <f t="shared" si="0"/>
        <v>0</v>
      </c>
      <c r="K103" s="420" t="b">
        <f t="shared" si="1"/>
        <v>0</v>
      </c>
    </row>
    <row r="104" spans="2:11" x14ac:dyDescent="0.35">
      <c r="B104" s="6">
        <v>21</v>
      </c>
      <c r="C104" s="950"/>
      <c r="D104" s="951"/>
      <c r="E104" s="559"/>
      <c r="F104" s="958"/>
      <c r="G104" s="559"/>
      <c r="H104" s="559"/>
      <c r="I104" s="559"/>
      <c r="J104" t="b">
        <f t="shared" ref="J104:J133" si="2">AND(OR(LEN(C104)=0,LEN(E104)=0,LEN(G104)=0,LEN(H104)=0,LEN(I104)=0),K104)</f>
        <v>0</v>
      </c>
      <c r="K104" s="420" t="b">
        <f t="shared" ref="K104:K133" si="3">OR(NOT(LEN(C104)=0),NOT(LEN(E104)=0),NOT(LEN(G104)=0),NOT(LEN(H104)=0),NOT(LEN(I104)=0))</f>
        <v>0</v>
      </c>
    </row>
    <row r="105" spans="2:11" x14ac:dyDescent="0.35">
      <c r="B105" s="6">
        <v>22</v>
      </c>
      <c r="C105" s="950"/>
      <c r="D105" s="951"/>
      <c r="E105" s="559"/>
      <c r="F105" s="958"/>
      <c r="G105" s="559"/>
      <c r="H105" s="559"/>
      <c r="I105" s="559"/>
      <c r="J105" t="b">
        <f t="shared" si="2"/>
        <v>0</v>
      </c>
      <c r="K105" s="420" t="b">
        <f t="shared" si="3"/>
        <v>0</v>
      </c>
    </row>
    <row r="106" spans="2:11" x14ac:dyDescent="0.35">
      <c r="B106" s="6">
        <v>23</v>
      </c>
      <c r="C106" s="950"/>
      <c r="D106" s="951"/>
      <c r="E106" s="559"/>
      <c r="F106" s="958"/>
      <c r="G106" s="559"/>
      <c r="H106" s="559"/>
      <c r="I106" s="559"/>
      <c r="J106" t="b">
        <f t="shared" si="2"/>
        <v>0</v>
      </c>
      <c r="K106" s="420" t="b">
        <f t="shared" si="3"/>
        <v>0</v>
      </c>
    </row>
    <row r="107" spans="2:11" x14ac:dyDescent="0.35">
      <c r="B107" s="6">
        <v>24</v>
      </c>
      <c r="C107" s="950"/>
      <c r="D107" s="951"/>
      <c r="E107" s="559"/>
      <c r="F107" s="958"/>
      <c r="G107" s="559"/>
      <c r="H107" s="559"/>
      <c r="I107" s="559"/>
      <c r="J107" t="b">
        <f t="shared" si="2"/>
        <v>0</v>
      </c>
      <c r="K107" s="420" t="b">
        <f t="shared" si="3"/>
        <v>0</v>
      </c>
    </row>
    <row r="108" spans="2:11" x14ac:dyDescent="0.35">
      <c r="B108" s="6">
        <v>25</v>
      </c>
      <c r="C108" s="950"/>
      <c r="D108" s="951"/>
      <c r="E108" s="559"/>
      <c r="F108" s="958"/>
      <c r="G108" s="559"/>
      <c r="H108" s="559"/>
      <c r="I108" s="559"/>
      <c r="J108" t="b">
        <f t="shared" si="2"/>
        <v>0</v>
      </c>
      <c r="K108" s="420" t="b">
        <f t="shared" si="3"/>
        <v>0</v>
      </c>
    </row>
    <row r="109" spans="2:11" x14ac:dyDescent="0.35">
      <c r="B109" s="6">
        <v>26</v>
      </c>
      <c r="C109" s="950"/>
      <c r="D109" s="951"/>
      <c r="E109" s="559"/>
      <c r="F109" s="958"/>
      <c r="G109" s="559"/>
      <c r="H109" s="559"/>
      <c r="I109" s="559"/>
      <c r="J109" t="b">
        <f t="shared" si="2"/>
        <v>0</v>
      </c>
      <c r="K109" s="420" t="b">
        <f t="shared" si="3"/>
        <v>0</v>
      </c>
    </row>
    <row r="110" spans="2:11" x14ac:dyDescent="0.35">
      <c r="B110" s="6">
        <v>27</v>
      </c>
      <c r="C110" s="950"/>
      <c r="D110" s="951"/>
      <c r="E110" s="559"/>
      <c r="F110" s="958"/>
      <c r="G110" s="559"/>
      <c r="H110" s="559"/>
      <c r="I110" s="559"/>
      <c r="J110" t="b">
        <f t="shared" si="2"/>
        <v>0</v>
      </c>
      <c r="K110" s="420" t="b">
        <f t="shared" si="3"/>
        <v>0</v>
      </c>
    </row>
    <row r="111" spans="2:11" x14ac:dyDescent="0.35">
      <c r="B111" s="6">
        <v>28</v>
      </c>
      <c r="C111" s="950"/>
      <c r="D111" s="951"/>
      <c r="E111" s="559"/>
      <c r="F111" s="958"/>
      <c r="G111" s="559"/>
      <c r="H111" s="559"/>
      <c r="I111" s="559"/>
      <c r="J111" t="b">
        <f t="shared" si="2"/>
        <v>0</v>
      </c>
      <c r="K111" s="420" t="b">
        <f t="shared" si="3"/>
        <v>0</v>
      </c>
    </row>
    <row r="112" spans="2:11" x14ac:dyDescent="0.35">
      <c r="B112" s="6">
        <v>29</v>
      </c>
      <c r="C112" s="950"/>
      <c r="D112" s="951"/>
      <c r="E112" s="559"/>
      <c r="F112" s="958"/>
      <c r="G112" s="559"/>
      <c r="H112" s="559"/>
      <c r="I112" s="559"/>
      <c r="J112" t="b">
        <f t="shared" si="2"/>
        <v>0</v>
      </c>
      <c r="K112" s="420" t="b">
        <f t="shared" si="3"/>
        <v>0</v>
      </c>
    </row>
    <row r="113" spans="2:11" x14ac:dyDescent="0.35">
      <c r="B113" s="6">
        <v>30</v>
      </c>
      <c r="C113" s="950"/>
      <c r="D113" s="951"/>
      <c r="E113" s="559"/>
      <c r="F113" s="958"/>
      <c r="G113" s="559"/>
      <c r="H113" s="559"/>
      <c r="I113" s="559"/>
      <c r="J113" t="b">
        <f t="shared" si="2"/>
        <v>0</v>
      </c>
      <c r="K113" s="420" t="b">
        <f t="shared" si="3"/>
        <v>0</v>
      </c>
    </row>
    <row r="114" spans="2:11" x14ac:dyDescent="0.35">
      <c r="B114" s="6">
        <v>31</v>
      </c>
      <c r="C114" s="950"/>
      <c r="D114" s="951"/>
      <c r="E114" s="559"/>
      <c r="F114" s="958"/>
      <c r="G114" s="559"/>
      <c r="H114" s="559"/>
      <c r="I114" s="559"/>
      <c r="J114" t="b">
        <f t="shared" si="2"/>
        <v>0</v>
      </c>
      <c r="K114" s="420" t="b">
        <f t="shared" si="3"/>
        <v>0</v>
      </c>
    </row>
    <row r="115" spans="2:11" x14ac:dyDescent="0.35">
      <c r="B115" s="6">
        <v>32</v>
      </c>
      <c r="C115" s="950"/>
      <c r="D115" s="951"/>
      <c r="E115" s="559"/>
      <c r="F115" s="958"/>
      <c r="G115" s="559"/>
      <c r="H115" s="559"/>
      <c r="I115" s="559"/>
      <c r="J115" t="b">
        <f t="shared" si="2"/>
        <v>0</v>
      </c>
      <c r="K115" s="420" t="b">
        <f t="shared" si="3"/>
        <v>0</v>
      </c>
    </row>
    <row r="116" spans="2:11" x14ac:dyDescent="0.35">
      <c r="B116" s="6">
        <v>33</v>
      </c>
      <c r="C116" s="950"/>
      <c r="D116" s="951"/>
      <c r="E116" s="559"/>
      <c r="F116" s="958"/>
      <c r="G116" s="559"/>
      <c r="H116" s="559"/>
      <c r="I116" s="559"/>
      <c r="J116" t="b">
        <f t="shared" si="2"/>
        <v>0</v>
      </c>
      <c r="K116" s="420" t="b">
        <f t="shared" si="3"/>
        <v>0</v>
      </c>
    </row>
    <row r="117" spans="2:11" x14ac:dyDescent="0.35">
      <c r="B117" s="6">
        <v>34</v>
      </c>
      <c r="C117" s="950"/>
      <c r="D117" s="951"/>
      <c r="E117" s="559"/>
      <c r="F117" s="958"/>
      <c r="G117" s="559"/>
      <c r="H117" s="559"/>
      <c r="I117" s="559"/>
      <c r="J117" t="b">
        <f t="shared" si="2"/>
        <v>0</v>
      </c>
      <c r="K117" s="420" t="b">
        <f t="shared" si="3"/>
        <v>0</v>
      </c>
    </row>
    <row r="118" spans="2:11" x14ac:dyDescent="0.35">
      <c r="B118" s="6">
        <v>35</v>
      </c>
      <c r="C118" s="950"/>
      <c r="D118" s="951"/>
      <c r="E118" s="559"/>
      <c r="F118" s="958"/>
      <c r="G118" s="559"/>
      <c r="H118" s="559"/>
      <c r="I118" s="559"/>
      <c r="J118" t="b">
        <f t="shared" si="2"/>
        <v>0</v>
      </c>
      <c r="K118" s="420" t="b">
        <f t="shared" si="3"/>
        <v>0</v>
      </c>
    </row>
    <row r="119" spans="2:11" x14ac:dyDescent="0.35">
      <c r="B119" s="6">
        <v>36</v>
      </c>
      <c r="C119" s="950"/>
      <c r="D119" s="951"/>
      <c r="E119" s="559"/>
      <c r="F119" s="958"/>
      <c r="G119" s="559"/>
      <c r="H119" s="559"/>
      <c r="I119" s="559"/>
      <c r="J119" t="b">
        <f t="shared" si="2"/>
        <v>0</v>
      </c>
      <c r="K119" s="420" t="b">
        <f t="shared" si="3"/>
        <v>0</v>
      </c>
    </row>
    <row r="120" spans="2:11" x14ac:dyDescent="0.35">
      <c r="B120" s="6">
        <v>37</v>
      </c>
      <c r="C120" s="950"/>
      <c r="D120" s="951"/>
      <c r="E120" s="559"/>
      <c r="F120" s="958"/>
      <c r="G120" s="559"/>
      <c r="H120" s="559"/>
      <c r="I120" s="559"/>
      <c r="J120" t="b">
        <f t="shared" si="2"/>
        <v>0</v>
      </c>
      <c r="K120" s="420" t="b">
        <f t="shared" si="3"/>
        <v>0</v>
      </c>
    </row>
    <row r="121" spans="2:11" x14ac:dyDescent="0.35">
      <c r="B121" s="6">
        <v>38</v>
      </c>
      <c r="C121" s="950"/>
      <c r="D121" s="951"/>
      <c r="E121" s="559"/>
      <c r="F121" s="958"/>
      <c r="G121" s="559"/>
      <c r="H121" s="559"/>
      <c r="I121" s="559"/>
      <c r="J121" t="b">
        <f t="shared" si="2"/>
        <v>0</v>
      </c>
      <c r="K121" s="420" t="b">
        <f t="shared" si="3"/>
        <v>0</v>
      </c>
    </row>
    <row r="122" spans="2:11" x14ac:dyDescent="0.35">
      <c r="B122" s="6">
        <v>39</v>
      </c>
      <c r="C122" s="950"/>
      <c r="D122" s="951"/>
      <c r="E122" s="559"/>
      <c r="F122" s="958"/>
      <c r="G122" s="559"/>
      <c r="H122" s="559"/>
      <c r="I122" s="559"/>
      <c r="J122" t="b">
        <f t="shared" si="2"/>
        <v>0</v>
      </c>
      <c r="K122" s="420" t="b">
        <f t="shared" si="3"/>
        <v>0</v>
      </c>
    </row>
    <row r="123" spans="2:11" x14ac:dyDescent="0.35">
      <c r="B123" s="6">
        <v>40</v>
      </c>
      <c r="C123" s="950"/>
      <c r="D123" s="951"/>
      <c r="E123" s="559"/>
      <c r="F123" s="958"/>
      <c r="G123" s="559"/>
      <c r="H123" s="559"/>
      <c r="I123" s="559"/>
      <c r="J123" t="b">
        <f t="shared" si="2"/>
        <v>0</v>
      </c>
      <c r="K123" s="420" t="b">
        <f t="shared" si="3"/>
        <v>0</v>
      </c>
    </row>
    <row r="124" spans="2:11" x14ac:dyDescent="0.35">
      <c r="B124" s="6">
        <v>41</v>
      </c>
      <c r="C124" s="950"/>
      <c r="D124" s="951"/>
      <c r="E124" s="559"/>
      <c r="F124" s="958"/>
      <c r="G124" s="559"/>
      <c r="H124" s="559"/>
      <c r="I124" s="559"/>
      <c r="J124" t="b">
        <f t="shared" si="2"/>
        <v>0</v>
      </c>
      <c r="K124" s="420" t="b">
        <f t="shared" si="3"/>
        <v>0</v>
      </c>
    </row>
    <row r="125" spans="2:11" x14ac:dyDescent="0.35">
      <c r="B125" s="6">
        <v>42</v>
      </c>
      <c r="C125" s="950"/>
      <c r="D125" s="951"/>
      <c r="E125" s="559"/>
      <c r="F125" s="958"/>
      <c r="G125" s="559"/>
      <c r="H125" s="559"/>
      <c r="I125" s="559"/>
      <c r="J125" t="b">
        <f t="shared" si="2"/>
        <v>0</v>
      </c>
      <c r="K125" s="420" t="b">
        <f t="shared" si="3"/>
        <v>0</v>
      </c>
    </row>
    <row r="126" spans="2:11" x14ac:dyDescent="0.35">
      <c r="B126" s="6">
        <v>43</v>
      </c>
      <c r="C126" s="950"/>
      <c r="D126" s="951"/>
      <c r="E126" s="559"/>
      <c r="F126" s="958"/>
      <c r="G126" s="559"/>
      <c r="H126" s="559"/>
      <c r="I126" s="559"/>
      <c r="J126" t="b">
        <f t="shared" si="2"/>
        <v>0</v>
      </c>
      <c r="K126" s="420" t="b">
        <f t="shared" si="3"/>
        <v>0</v>
      </c>
    </row>
    <row r="127" spans="2:11" x14ac:dyDescent="0.35">
      <c r="B127" s="6">
        <v>44</v>
      </c>
      <c r="C127" s="950"/>
      <c r="D127" s="951"/>
      <c r="E127" s="559"/>
      <c r="F127" s="958"/>
      <c r="G127" s="559"/>
      <c r="H127" s="559"/>
      <c r="I127" s="559"/>
      <c r="J127" t="b">
        <f t="shared" si="2"/>
        <v>0</v>
      </c>
      <c r="K127" s="420" t="b">
        <f t="shared" si="3"/>
        <v>0</v>
      </c>
    </row>
    <row r="128" spans="2:11" x14ac:dyDescent="0.35">
      <c r="B128" s="6">
        <v>45</v>
      </c>
      <c r="C128" s="950"/>
      <c r="D128" s="951"/>
      <c r="E128" s="559"/>
      <c r="F128" s="958"/>
      <c r="G128" s="559"/>
      <c r="H128" s="559"/>
      <c r="I128" s="559"/>
      <c r="J128" t="b">
        <f t="shared" si="2"/>
        <v>0</v>
      </c>
      <c r="K128" s="420" t="b">
        <f t="shared" si="3"/>
        <v>0</v>
      </c>
    </row>
    <row r="129" spans="2:11" x14ac:dyDescent="0.35">
      <c r="B129" s="6">
        <v>46</v>
      </c>
      <c r="C129" s="950"/>
      <c r="D129" s="951"/>
      <c r="E129" s="559"/>
      <c r="F129" s="958"/>
      <c r="G129" s="559"/>
      <c r="H129" s="559"/>
      <c r="I129" s="559"/>
      <c r="J129" t="b">
        <f t="shared" si="2"/>
        <v>0</v>
      </c>
      <c r="K129" s="420" t="b">
        <f t="shared" si="3"/>
        <v>0</v>
      </c>
    </row>
    <row r="130" spans="2:11" x14ac:dyDescent="0.35">
      <c r="B130" s="6">
        <v>47</v>
      </c>
      <c r="C130" s="950"/>
      <c r="D130" s="951"/>
      <c r="E130" s="559"/>
      <c r="F130" s="958"/>
      <c r="G130" s="559"/>
      <c r="H130" s="559"/>
      <c r="I130" s="559"/>
      <c r="J130" t="b">
        <f t="shared" si="2"/>
        <v>0</v>
      </c>
      <c r="K130" s="420" t="b">
        <f t="shared" si="3"/>
        <v>0</v>
      </c>
    </row>
    <row r="131" spans="2:11" x14ac:dyDescent="0.35">
      <c r="B131" s="6">
        <v>48</v>
      </c>
      <c r="C131" s="950"/>
      <c r="D131" s="951"/>
      <c r="E131" s="559"/>
      <c r="F131" s="958"/>
      <c r="G131" s="559"/>
      <c r="H131" s="559"/>
      <c r="I131" s="559"/>
      <c r="J131" t="b">
        <f t="shared" si="2"/>
        <v>0</v>
      </c>
      <c r="K131" s="420" t="b">
        <f t="shared" si="3"/>
        <v>0</v>
      </c>
    </row>
    <row r="132" spans="2:11" x14ac:dyDescent="0.35">
      <c r="B132" s="6">
        <v>49</v>
      </c>
      <c r="C132" s="950"/>
      <c r="D132" s="951"/>
      <c r="E132" s="559"/>
      <c r="F132" s="958"/>
      <c r="G132" s="559"/>
      <c r="H132" s="559"/>
      <c r="I132" s="559"/>
      <c r="J132" t="b">
        <f t="shared" si="2"/>
        <v>0</v>
      </c>
      <c r="K132" s="420" t="b">
        <f t="shared" si="3"/>
        <v>0</v>
      </c>
    </row>
    <row r="133" spans="2:11" x14ac:dyDescent="0.35">
      <c r="B133" s="6">
        <v>50</v>
      </c>
      <c r="C133" s="950"/>
      <c r="D133" s="951"/>
      <c r="E133" s="559"/>
      <c r="F133" s="958"/>
      <c r="G133" s="559"/>
      <c r="H133" s="559"/>
      <c r="I133" s="559"/>
      <c r="J133" t="b">
        <f t="shared" si="2"/>
        <v>0</v>
      </c>
      <c r="K133" s="420" t="b">
        <f t="shared" si="3"/>
        <v>0</v>
      </c>
    </row>
    <row r="135" spans="2:11" x14ac:dyDescent="0.35">
      <c r="B135" s="403"/>
      <c r="C135" s="403"/>
      <c r="D135" s="403"/>
      <c r="E135" s="403"/>
      <c r="F135" s="403"/>
      <c r="G135" s="403"/>
      <c r="H135" s="403"/>
      <c r="I135" s="403"/>
    </row>
    <row r="136" spans="2:11" x14ac:dyDescent="0.35">
      <c r="B136" s="403"/>
      <c r="C136" s="580" t="s">
        <v>4140</v>
      </c>
      <c r="D136" s="403"/>
      <c r="E136" s="403"/>
      <c r="F136" s="403"/>
      <c r="G136" s="403"/>
      <c r="H136" s="403"/>
      <c r="I136" s="403"/>
      <c r="J136" s="403"/>
    </row>
    <row r="137" spans="2:11" ht="3" customHeight="1" x14ac:dyDescent="0.35">
      <c r="B137" s="403"/>
      <c r="C137" s="580"/>
      <c r="D137" s="403"/>
      <c r="E137" s="403"/>
      <c r="F137" s="403"/>
      <c r="G137" s="403"/>
      <c r="H137" s="403"/>
      <c r="I137" s="403"/>
      <c r="J137" s="403"/>
    </row>
    <row r="138" spans="2:11" x14ac:dyDescent="0.35">
      <c r="B138" s="403"/>
      <c r="C138" s="581" t="s">
        <v>4719</v>
      </c>
      <c r="D138" s="403"/>
      <c r="E138" s="403"/>
      <c r="F138" s="403"/>
      <c r="G138" s="403"/>
      <c r="H138" s="403"/>
      <c r="I138" s="403"/>
    </row>
    <row r="139" spans="2:11" ht="3" customHeight="1" x14ac:dyDescent="0.35">
      <c r="B139" s="403"/>
      <c r="C139" s="581"/>
      <c r="D139" s="403"/>
      <c r="E139" s="403"/>
      <c r="F139" s="403"/>
      <c r="G139" s="403"/>
      <c r="H139" s="403"/>
      <c r="I139" s="403"/>
    </row>
    <row r="140" spans="2:11" x14ac:dyDescent="0.35">
      <c r="B140" s="403"/>
      <c r="C140" s="581" t="s">
        <v>4793</v>
      </c>
      <c r="D140" s="403"/>
      <c r="E140" s="403"/>
      <c r="F140" s="403"/>
      <c r="G140" s="403"/>
      <c r="H140" s="403"/>
      <c r="I140" s="403"/>
    </row>
    <row r="141" spans="2:11" ht="3" customHeight="1" x14ac:dyDescent="0.35">
      <c r="B141" s="403"/>
      <c r="C141" s="581"/>
      <c r="D141" s="403"/>
      <c r="E141" s="403"/>
      <c r="F141" s="403"/>
      <c r="G141" s="403"/>
      <c r="H141" s="403"/>
      <c r="I141" s="403"/>
    </row>
    <row r="142" spans="2:11" x14ac:dyDescent="0.35">
      <c r="B142" s="403"/>
      <c r="C142" s="949" t="s">
        <v>4794</v>
      </c>
      <c r="D142" s="949"/>
      <c r="E142" s="949"/>
      <c r="F142" s="949"/>
      <c r="G142" s="949"/>
      <c r="H142" s="949"/>
      <c r="I142" s="949"/>
    </row>
    <row r="143" spans="2:11" ht="3" customHeight="1" x14ac:dyDescent="0.35">
      <c r="B143" s="403"/>
      <c r="C143" s="949"/>
      <c r="D143" s="949"/>
      <c r="E143" s="949"/>
      <c r="F143" s="949"/>
      <c r="G143" s="949"/>
      <c r="H143" s="949"/>
      <c r="I143" s="949"/>
    </row>
    <row r="144" spans="2:11" x14ac:dyDescent="0.35">
      <c r="B144" s="403"/>
      <c r="C144" s="947" t="s">
        <v>4795</v>
      </c>
      <c r="D144" s="947"/>
      <c r="E144" s="947"/>
      <c r="F144" s="947"/>
      <c r="G144" s="947"/>
      <c r="H144" s="947"/>
      <c r="I144" s="947"/>
    </row>
    <row r="145" spans="2:13" ht="3" customHeight="1" x14ac:dyDescent="0.35">
      <c r="B145" s="403"/>
      <c r="C145" s="581"/>
      <c r="D145" s="403"/>
      <c r="E145" s="403"/>
      <c r="F145" s="403"/>
      <c r="G145" s="403"/>
      <c r="H145" s="403"/>
      <c r="I145" s="403"/>
    </row>
    <row r="146" spans="2:13" x14ac:dyDescent="0.35">
      <c r="B146" s="403"/>
      <c r="C146" s="581" t="s">
        <v>4720</v>
      </c>
      <c r="D146" s="403"/>
      <c r="E146" s="403"/>
      <c r="F146" s="403"/>
      <c r="G146" s="403"/>
      <c r="H146" s="403"/>
      <c r="I146" s="403"/>
    </row>
    <row r="147" spans="2:13" ht="3" customHeight="1" x14ac:dyDescent="0.35">
      <c r="B147" s="403"/>
      <c r="C147" s="581"/>
      <c r="D147" s="403"/>
      <c r="E147" s="403"/>
      <c r="F147" s="403"/>
      <c r="G147" s="403"/>
      <c r="H147" s="403"/>
      <c r="I147" s="403"/>
    </row>
    <row r="148" spans="2:13" ht="30" customHeight="1" x14ac:dyDescent="0.35">
      <c r="B148" s="403"/>
      <c r="C148" s="948" t="s">
        <v>4721</v>
      </c>
      <c r="D148" s="948"/>
      <c r="E148" s="948"/>
      <c r="F148" s="948"/>
      <c r="G148" s="948"/>
      <c r="H148" s="948"/>
      <c r="I148" s="948"/>
      <c r="J148" s="215"/>
    </row>
    <row r="149" spans="2:13" ht="3" customHeight="1" x14ac:dyDescent="0.35">
      <c r="B149" s="403"/>
      <c r="C149" s="581"/>
      <c r="D149" s="403"/>
      <c r="E149" s="403"/>
      <c r="F149" s="403"/>
      <c r="G149" s="403"/>
      <c r="H149" s="403"/>
      <c r="I149" s="403"/>
    </row>
    <row r="150" spans="2:13" ht="30" customHeight="1" x14ac:dyDescent="0.35">
      <c r="B150" s="403"/>
      <c r="C150" s="949" t="s">
        <v>4722</v>
      </c>
      <c r="D150" s="949"/>
      <c r="E150" s="949"/>
      <c r="F150" s="949"/>
      <c r="G150" s="949"/>
      <c r="H150" s="949"/>
      <c r="I150" s="949"/>
      <c r="K150" s="582"/>
      <c r="L150" s="582"/>
      <c r="M150" s="215"/>
    </row>
    <row r="151" spans="2:13" ht="3" customHeight="1" x14ac:dyDescent="0.35">
      <c r="B151" s="403"/>
      <c r="C151" s="581"/>
      <c r="D151" s="403"/>
      <c r="E151" s="403"/>
      <c r="F151" s="403"/>
      <c r="G151" s="403"/>
      <c r="H151" s="403"/>
      <c r="I151" s="403"/>
    </row>
    <row r="152" spans="2:13" x14ac:dyDescent="0.35">
      <c r="B152" s="403"/>
      <c r="C152" s="581" t="s">
        <v>4796</v>
      </c>
      <c r="D152" s="403"/>
      <c r="E152" s="403"/>
      <c r="F152" s="403"/>
      <c r="G152" s="403"/>
      <c r="H152" s="403"/>
      <c r="I152" s="403"/>
    </row>
    <row r="155" spans="2:13" x14ac:dyDescent="0.35">
      <c r="C155" s="259" t="s">
        <v>4806</v>
      </c>
    </row>
    <row r="157" spans="2:13" x14ac:dyDescent="0.35">
      <c r="C157" s="637" t="s">
        <v>4723</v>
      </c>
      <c r="D157" s="637"/>
      <c r="E157" s="637"/>
      <c r="F157" s="637"/>
      <c r="G157" s="637"/>
      <c r="H157" s="637"/>
    </row>
    <row r="158" spans="2:13" x14ac:dyDescent="0.35">
      <c r="C158" s="637"/>
      <c r="D158" s="637"/>
      <c r="E158" s="637"/>
      <c r="F158" s="637"/>
      <c r="G158" s="637"/>
      <c r="H158" s="637"/>
    </row>
    <row r="160" spans="2:13" ht="58" x14ac:dyDescent="0.35">
      <c r="C160" s="404" t="s">
        <v>4724</v>
      </c>
      <c r="D160" s="404" t="s">
        <v>4725</v>
      </c>
      <c r="E160" s="404" t="s">
        <v>4726</v>
      </c>
      <c r="F160" s="956" t="s">
        <v>1</v>
      </c>
      <c r="G160" s="956"/>
      <c r="H160" s="956"/>
    </row>
    <row r="161" spans="2:8" x14ac:dyDescent="0.35">
      <c r="B161" s="6">
        <v>1</v>
      </c>
      <c r="C161" s="583" t="s">
        <v>4827</v>
      </c>
      <c r="D161" s="584"/>
      <c r="E161" s="584"/>
      <c r="F161" s="952" t="s">
        <v>4827</v>
      </c>
      <c r="G161" s="952"/>
      <c r="H161" s="952"/>
    </row>
    <row r="162" spans="2:8" x14ac:dyDescent="0.35">
      <c r="B162" s="6">
        <v>2</v>
      </c>
      <c r="C162" s="583" t="s">
        <v>4827</v>
      </c>
      <c r="D162" s="584"/>
      <c r="E162" s="584"/>
      <c r="F162" s="952" t="s">
        <v>4827</v>
      </c>
      <c r="G162" s="952"/>
      <c r="H162" s="952"/>
    </row>
    <row r="163" spans="2:8" x14ac:dyDescent="0.35">
      <c r="B163" s="6">
        <v>3</v>
      </c>
      <c r="C163" s="583" t="s">
        <v>4827</v>
      </c>
      <c r="D163" s="584"/>
      <c r="E163" s="584"/>
      <c r="F163" s="952" t="s">
        <v>4827</v>
      </c>
      <c r="G163" s="952"/>
      <c r="H163" s="952"/>
    </row>
    <row r="164" spans="2:8" x14ac:dyDescent="0.35">
      <c r="B164" s="6">
        <v>4</v>
      </c>
      <c r="C164" s="583" t="s">
        <v>4827</v>
      </c>
      <c r="D164" s="584"/>
      <c r="E164" s="584"/>
      <c r="F164" s="952" t="s">
        <v>4827</v>
      </c>
      <c r="G164" s="952"/>
      <c r="H164" s="952"/>
    </row>
    <row r="165" spans="2:8" x14ac:dyDescent="0.35">
      <c r="B165" s="6">
        <v>5</v>
      </c>
      <c r="C165" s="583" t="s">
        <v>4827</v>
      </c>
      <c r="D165" s="584"/>
      <c r="E165" s="584"/>
      <c r="F165" s="952" t="s">
        <v>4827</v>
      </c>
      <c r="G165" s="952"/>
      <c r="H165" s="952"/>
    </row>
    <row r="166" spans="2:8" x14ac:dyDescent="0.35">
      <c r="B166" s="6">
        <v>6</v>
      </c>
      <c r="C166" s="583" t="s">
        <v>4827</v>
      </c>
      <c r="D166" s="584"/>
      <c r="E166" s="584"/>
      <c r="F166" s="952" t="s">
        <v>4827</v>
      </c>
      <c r="G166" s="952"/>
      <c r="H166" s="952"/>
    </row>
    <row r="167" spans="2:8" x14ac:dyDescent="0.35">
      <c r="B167" s="6">
        <v>7</v>
      </c>
      <c r="C167" s="583" t="s">
        <v>4827</v>
      </c>
      <c r="D167" s="584"/>
      <c r="E167" s="584"/>
      <c r="F167" s="952" t="s">
        <v>4827</v>
      </c>
      <c r="G167" s="952"/>
      <c r="H167" s="952"/>
    </row>
    <row r="168" spans="2:8" x14ac:dyDescent="0.35">
      <c r="B168" s="6">
        <v>8</v>
      </c>
      <c r="C168" s="583" t="s">
        <v>4827</v>
      </c>
      <c r="D168" s="584"/>
      <c r="E168" s="584"/>
      <c r="F168" s="952" t="s">
        <v>4827</v>
      </c>
      <c r="G168" s="952"/>
      <c r="H168" s="952"/>
    </row>
    <row r="169" spans="2:8" x14ac:dyDescent="0.35">
      <c r="B169" s="6">
        <v>9</v>
      </c>
      <c r="C169" s="583" t="s">
        <v>4827</v>
      </c>
      <c r="D169" s="584"/>
      <c r="E169" s="584"/>
      <c r="F169" s="952" t="s">
        <v>4827</v>
      </c>
      <c r="G169" s="952"/>
      <c r="H169" s="952"/>
    </row>
    <row r="170" spans="2:8" x14ac:dyDescent="0.35">
      <c r="B170" s="6">
        <v>10</v>
      </c>
      <c r="C170" s="583" t="s">
        <v>4827</v>
      </c>
      <c r="D170" s="584"/>
      <c r="E170" s="584"/>
      <c r="F170" s="952" t="s">
        <v>4827</v>
      </c>
      <c r="G170" s="952"/>
      <c r="H170" s="952"/>
    </row>
    <row r="171" spans="2:8" x14ac:dyDescent="0.35">
      <c r="B171" s="6">
        <v>11</v>
      </c>
      <c r="C171" s="583" t="s">
        <v>4827</v>
      </c>
      <c r="D171" s="584"/>
      <c r="E171" s="584"/>
      <c r="F171" s="952" t="s">
        <v>4827</v>
      </c>
      <c r="G171" s="952"/>
      <c r="H171" s="952"/>
    </row>
    <row r="172" spans="2:8" x14ac:dyDescent="0.35">
      <c r="B172" s="6">
        <v>12</v>
      </c>
      <c r="C172" s="583" t="s">
        <v>4827</v>
      </c>
      <c r="D172" s="584"/>
      <c r="E172" s="584"/>
      <c r="F172" s="952" t="s">
        <v>4827</v>
      </c>
      <c r="G172" s="952"/>
      <c r="H172" s="952"/>
    </row>
    <row r="173" spans="2:8" x14ac:dyDescent="0.35">
      <c r="B173" s="6">
        <v>13</v>
      </c>
      <c r="C173" s="583" t="s">
        <v>4827</v>
      </c>
      <c r="D173" s="584"/>
      <c r="E173" s="584"/>
      <c r="F173" s="952" t="s">
        <v>4827</v>
      </c>
      <c r="G173" s="952"/>
      <c r="H173" s="952"/>
    </row>
    <row r="174" spans="2:8" x14ac:dyDescent="0.35">
      <c r="B174" s="6">
        <v>14</v>
      </c>
      <c r="C174" s="583" t="s">
        <v>4827</v>
      </c>
      <c r="D174" s="584"/>
      <c r="E174" s="584"/>
      <c r="F174" s="952" t="s">
        <v>4827</v>
      </c>
      <c r="G174" s="952"/>
      <c r="H174" s="952"/>
    </row>
    <row r="175" spans="2:8" x14ac:dyDescent="0.35">
      <c r="B175" s="6">
        <v>15</v>
      </c>
      <c r="C175" s="583" t="s">
        <v>4827</v>
      </c>
      <c r="D175" s="584"/>
      <c r="E175" s="584"/>
      <c r="F175" s="952" t="s">
        <v>4827</v>
      </c>
      <c r="G175" s="952"/>
      <c r="H175" s="952"/>
    </row>
    <row r="176" spans="2:8" x14ac:dyDescent="0.35">
      <c r="B176" s="6">
        <v>16</v>
      </c>
      <c r="C176" s="583" t="s">
        <v>4827</v>
      </c>
      <c r="D176" s="584"/>
      <c r="E176" s="584"/>
      <c r="F176" s="952" t="s">
        <v>4827</v>
      </c>
      <c r="G176" s="952"/>
      <c r="H176" s="952"/>
    </row>
    <row r="177" spans="3:11" x14ac:dyDescent="0.35">
      <c r="C177" s="953" t="s">
        <v>4727</v>
      </c>
      <c r="D177" s="397" t="str">
        <f>"TOTAL: "&amp;SUM(D161:D176)</f>
        <v>TOTAL: 0</v>
      </c>
      <c r="E177" s="397" t="str">
        <f>"TOTAL: "&amp;SUM(E161:E176)</f>
        <v>TOTAL: 0</v>
      </c>
      <c r="F177" s="955" t="s">
        <v>4728</v>
      </c>
      <c r="G177" s="955"/>
      <c r="H177" s="955"/>
      <c r="K177" s="314">
        <f>IFERROR(SUM(E161:E176)/SUM(D161:D176),0)</f>
        <v>0</v>
      </c>
    </row>
    <row r="178" spans="3:11" x14ac:dyDescent="0.35">
      <c r="C178" s="954"/>
      <c r="F178" s="955"/>
      <c r="G178" s="955"/>
      <c r="H178" s="955"/>
    </row>
    <row r="179" spans="3:11" x14ac:dyDescent="0.35">
      <c r="C179" s="954"/>
      <c r="F179" s="955"/>
      <c r="G179" s="955"/>
      <c r="H179" s="955"/>
    </row>
    <row r="180" spans="3:11" x14ac:dyDescent="0.35">
      <c r="C180" s="215"/>
      <c r="F180" s="955"/>
      <c r="G180" s="955"/>
      <c r="H180" s="955"/>
    </row>
    <row r="181" spans="3:11" x14ac:dyDescent="0.35">
      <c r="F181" s="955"/>
      <c r="G181" s="955"/>
      <c r="H181" s="955"/>
    </row>
    <row r="182" spans="3:11" x14ac:dyDescent="0.35">
      <c r="F182" s="955"/>
      <c r="G182" s="955"/>
      <c r="H182" s="955"/>
    </row>
  </sheetData>
  <sheetProtection algorithmName="SHA-512" hashValue="+8V3Fb/mcn4qyaFjWp7eBuvPdzgQuDifticO9w4gjtw8ZTdXYXt82XeUzLMXYk9UPkwLpwuC9WKnAcxDoAnT6g==" saltValue="VN4jpORghaUWqya8/opxBA==" spinCount="100000" sheet="1" objects="1" scenarios="1" selectLockedCells="1"/>
  <mergeCells count="127">
    <mergeCell ref="C93:D93"/>
    <mergeCell ref="C84:D84"/>
    <mergeCell ref="C85:D85"/>
    <mergeCell ref="C86:D86"/>
    <mergeCell ref="C87:D87"/>
    <mergeCell ref="C88:D88"/>
    <mergeCell ref="C89:D89"/>
    <mergeCell ref="C90:D90"/>
    <mergeCell ref="C91:D91"/>
    <mergeCell ref="C92:D92"/>
    <mergeCell ref="D1:I5"/>
    <mergeCell ref="G12:I12"/>
    <mergeCell ref="G14:I14"/>
    <mergeCell ref="G8:I8"/>
    <mergeCell ref="C10:D10"/>
    <mergeCell ref="E72:F72"/>
    <mergeCell ref="G10:I10"/>
    <mergeCell ref="C41:D41"/>
    <mergeCell ref="C43:D43"/>
    <mergeCell ref="C45:D45"/>
    <mergeCell ref="A65:B65"/>
    <mergeCell ref="C69:I69"/>
    <mergeCell ref="E71:F71"/>
    <mergeCell ref="G71:H71"/>
    <mergeCell ref="C83:D83"/>
    <mergeCell ref="G72:H72"/>
    <mergeCell ref="G73:H73"/>
    <mergeCell ref="G74:H74"/>
    <mergeCell ref="G75:H75"/>
    <mergeCell ref="G76:H76"/>
    <mergeCell ref="E73:F73"/>
    <mergeCell ref="E74:F74"/>
    <mergeCell ref="E75:F75"/>
    <mergeCell ref="E76:F76"/>
    <mergeCell ref="A53:B53"/>
    <mergeCell ref="C47:D47"/>
    <mergeCell ref="A55:B55"/>
    <mergeCell ref="A57:B57"/>
    <mergeCell ref="A59:B59"/>
    <mergeCell ref="A51:B51"/>
    <mergeCell ref="A52:B52"/>
    <mergeCell ref="C51:I53"/>
    <mergeCell ref="A61:B61"/>
    <mergeCell ref="D61:D63"/>
    <mergeCell ref="A63:B63"/>
    <mergeCell ref="A37:B37"/>
    <mergeCell ref="A38:B38"/>
    <mergeCell ref="A39:B39"/>
    <mergeCell ref="C8:D8"/>
    <mergeCell ref="A8:B8"/>
    <mergeCell ref="A10:B10"/>
    <mergeCell ref="A12:B12"/>
    <mergeCell ref="A14:B14"/>
    <mergeCell ref="A16:B16"/>
    <mergeCell ref="C12:D12"/>
    <mergeCell ref="C37:I39"/>
    <mergeCell ref="G16:I16"/>
    <mergeCell ref="F18:I18"/>
    <mergeCell ref="E20:E21"/>
    <mergeCell ref="C14:D14"/>
    <mergeCell ref="C16:D16"/>
    <mergeCell ref="C18:D18"/>
    <mergeCell ref="C157:H158"/>
    <mergeCell ref="C99:D99"/>
    <mergeCell ref="C100:D100"/>
    <mergeCell ref="C101:D101"/>
    <mergeCell ref="C102:D102"/>
    <mergeCell ref="C103:D103"/>
    <mergeCell ref="C94:D94"/>
    <mergeCell ref="C95:D95"/>
    <mergeCell ref="C96:D96"/>
    <mergeCell ref="C97:D97"/>
    <mergeCell ref="C98:D98"/>
    <mergeCell ref="F84:F133"/>
    <mergeCell ref="C104:D104"/>
    <mergeCell ref="C105:D105"/>
    <mergeCell ref="C106:D106"/>
    <mergeCell ref="C107:D107"/>
    <mergeCell ref="C108:D108"/>
    <mergeCell ref="C109:D109"/>
    <mergeCell ref="C110:D110"/>
    <mergeCell ref="C111:D111"/>
    <mergeCell ref="C112:D112"/>
    <mergeCell ref="C113:D113"/>
    <mergeCell ref="C114:D114"/>
    <mergeCell ref="C115:D115"/>
    <mergeCell ref="F165:H165"/>
    <mergeCell ref="F166:H166"/>
    <mergeCell ref="F167:H167"/>
    <mergeCell ref="F168:H168"/>
    <mergeCell ref="F169:H169"/>
    <mergeCell ref="F160:H160"/>
    <mergeCell ref="F161:H161"/>
    <mergeCell ref="F162:H162"/>
    <mergeCell ref="F163:H163"/>
    <mergeCell ref="F164:H164"/>
    <mergeCell ref="F175:H175"/>
    <mergeCell ref="F176:H176"/>
    <mergeCell ref="C177:C179"/>
    <mergeCell ref="F177:H182"/>
    <mergeCell ref="F170:H170"/>
    <mergeCell ref="F171:H171"/>
    <mergeCell ref="F172:H172"/>
    <mergeCell ref="F173:H173"/>
    <mergeCell ref="F174:H174"/>
    <mergeCell ref="C116:D116"/>
    <mergeCell ref="C117:D117"/>
    <mergeCell ref="C118:D118"/>
    <mergeCell ref="C119:D119"/>
    <mergeCell ref="C120:D120"/>
    <mergeCell ref="C121:D121"/>
    <mergeCell ref="C122:D122"/>
    <mergeCell ref="C123:D123"/>
    <mergeCell ref="C124:D124"/>
    <mergeCell ref="C144:I144"/>
    <mergeCell ref="C148:I148"/>
    <mergeCell ref="C150:I150"/>
    <mergeCell ref="C125:D125"/>
    <mergeCell ref="C126:D126"/>
    <mergeCell ref="C127:D127"/>
    <mergeCell ref="C128:D128"/>
    <mergeCell ref="C129:D129"/>
    <mergeCell ref="C130:D130"/>
    <mergeCell ref="C131:D131"/>
    <mergeCell ref="C132:D132"/>
    <mergeCell ref="C133:D133"/>
    <mergeCell ref="C142:I143"/>
  </mergeCells>
  <conditionalFormatting sqref="F24:I29 F32:I32">
    <cfRule type="cellIs" dxfId="41" priority="33" operator="lessThanOrEqual">
      <formula>$E24</formula>
    </cfRule>
  </conditionalFormatting>
  <conditionalFormatting sqref="G8">
    <cfRule type="expression" dxfId="40" priority="23">
      <formula>G8="Gold"</formula>
    </cfRule>
    <cfRule type="expression" dxfId="39" priority="24">
      <formula>G8="Silver"</formula>
    </cfRule>
    <cfRule type="expression" dxfId="38" priority="25">
      <formula>G8="Bronze"</formula>
    </cfRule>
    <cfRule type="expression" dxfId="37" priority="26">
      <formula>G8="Emerald"</formula>
    </cfRule>
  </conditionalFormatting>
  <conditionalFormatting sqref="C37 C41 C43 C45 C47 C51 C55 C57 C59 C61 C63 C65 C72:H76">
    <cfRule type="notContainsBlanks" dxfId="36" priority="19">
      <formula>LEN(TRIM(C37))&gt;0</formula>
    </cfRule>
  </conditionalFormatting>
  <conditionalFormatting sqref="C72:H76">
    <cfRule type="expression" dxfId="35" priority="4758">
      <formula>$K72</formula>
    </cfRule>
  </conditionalFormatting>
  <conditionalFormatting sqref="C177:C179">
    <cfRule type="expression" dxfId="34" priority="10">
      <formula>AND($K$178&gt;0,$K$178&lt;(1/7))</formula>
    </cfRule>
  </conditionalFormatting>
  <conditionalFormatting sqref="D177:E177">
    <cfRule type="expression" dxfId="33" priority="10216">
      <formula>$K$178&gt;=0.2</formula>
    </cfRule>
    <cfRule type="expression" dxfId="32" priority="10217">
      <formula>$K$178&gt;=(1/7)</formula>
    </cfRule>
    <cfRule type="expression" dxfId="31" priority="10218">
      <formula>$K$178&gt;0</formula>
    </cfRule>
  </conditionalFormatting>
  <conditionalFormatting sqref="F177:H182">
    <cfRule type="expression" dxfId="30" priority="10570">
      <formula>AND($K$178&gt;=(1/7),$K$178&lt;0.2)</formula>
    </cfRule>
  </conditionalFormatting>
  <conditionalFormatting sqref="F18:I18">
    <cfRule type="expression" dxfId="29" priority="10742">
      <formula>$J$18</formula>
    </cfRule>
  </conditionalFormatting>
  <conditionalFormatting sqref="C84:E133 G84:I133">
    <cfRule type="notContainsBlanks" dxfId="28" priority="3">
      <formula>LEN(TRIM(C84))&gt;0</formula>
    </cfRule>
    <cfRule type="expression" dxfId="27" priority="4">
      <formula>$K84</formula>
    </cfRule>
  </conditionalFormatting>
  <dataValidations count="1">
    <dataValidation type="whole" allowBlank="1" showInputMessage="1" showErrorMessage="1" sqref="D161:E176" xr:uid="{7C66E251-0335-4404-A42A-E25AF48BF8D3}">
      <formula1>0</formula1>
      <formula2>10000</formula2>
    </dataValidation>
  </dataValidations>
  <pageMargins left="0.7" right="0.7" top="0.75" bottom="0.75" header="0.3" footer="0.3"/>
  <pageSetup scale="56" fitToHeight="0" orientation="portrait" r:id="rId1"/>
  <rowBreaks count="1" manualBreakCount="1">
    <brk id="79"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32" stopIfTrue="1" id="{DDABF1C9-C1A1-4C38-A492-5D0883D9EF43}">
            <xm:f>Points!$Y10&lt;3</xm:f>
            <x14:dxf>
              <fill>
                <patternFill patternType="lightGray"/>
              </fill>
            </x14:dxf>
          </x14:cfRule>
          <xm:sqref>H26:H27</xm:sqref>
        </x14:conditionalFormatting>
        <x14:conditionalFormatting xmlns:xm="http://schemas.microsoft.com/office/excel/2006/main">
          <x14:cfRule type="expression" priority="31" stopIfTrue="1" id="{D71DE272-16BC-4289-8D4F-146DEF81DDC7}">
            <xm:f>Points!$Y10&lt;4</xm:f>
            <x14:dxf>
              <fill>
                <patternFill patternType="lightGray"/>
              </fill>
            </x14:dxf>
          </x14:cfRule>
          <xm:sqref>I26:I27</xm:sqref>
        </x14:conditionalFormatting>
        <x14:conditionalFormatting xmlns:xm="http://schemas.microsoft.com/office/excel/2006/main">
          <x14:cfRule type="expression" priority="28" stopIfTrue="1" id="{F8739ABB-6B55-48D6-B2F0-82315F2C898B}">
            <xm:f>MIN(Points!$Y$10:$Y$11)&lt;3</xm:f>
            <x14:dxf>
              <fill>
                <patternFill patternType="lightGray"/>
              </fill>
            </x14:dxf>
          </x14:cfRule>
          <xm:sqref>H32</xm:sqref>
        </x14:conditionalFormatting>
        <x14:conditionalFormatting xmlns:xm="http://schemas.microsoft.com/office/excel/2006/main">
          <x14:cfRule type="expression" priority="27" id="{8C727C8C-E261-4E43-A18E-EEBDB77E3D7F}">
            <xm:f>MIN(Points!$Y$10:$Y$11)&lt;4</xm:f>
            <x14:dxf>
              <fill>
                <patternFill patternType="lightGray"/>
              </fill>
            </x14:dxf>
          </x14:cfRule>
          <xm:sqref>I32</xm:sqref>
        </x14:conditionalFormatting>
        <x14:conditionalFormatting xmlns:xm="http://schemas.microsoft.com/office/excel/2006/main">
          <x14:cfRule type="expression" priority="22" id="{128E1DF5-B51E-4D75-80EB-08F9971F1789}">
            <xm:f>OR('Verification Report'!$AI$3,'Verification Report'!$AG$3)</xm:f>
            <x14:dxf>
              <font>
                <b/>
                <i val="0"/>
                <color theme="1"/>
              </font>
              <fill>
                <patternFill>
                  <bgColor rgb="FFFF0000"/>
                </patternFill>
              </fill>
            </x14:dxf>
          </x14:cfRule>
          <xm:sqref>C18:D18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K182"/>
  <sheetViews>
    <sheetView showGridLines="0" zoomScaleNormal="100" workbookViewId="0">
      <selection activeCell="C37" sqref="C37:I39"/>
    </sheetView>
  </sheetViews>
  <sheetFormatPr defaultColWidth="9.1796875" defaultRowHeight="14.5" x14ac:dyDescent="0.35"/>
  <cols>
    <col min="1" max="2" width="10.7265625" customWidth="1"/>
    <col min="3" max="3" width="43.26953125" customWidth="1"/>
    <col min="4" max="9" width="15.7265625" customWidth="1"/>
    <col min="10" max="11" width="15.7265625" hidden="1" customWidth="1"/>
  </cols>
  <sheetData>
    <row r="1" spans="1:11" x14ac:dyDescent="0.35">
      <c r="D1" s="834" t="s">
        <v>4629</v>
      </c>
      <c r="E1" s="834"/>
      <c r="F1" s="834"/>
      <c r="G1" s="834"/>
      <c r="H1" s="834"/>
      <c r="I1" s="834"/>
    </row>
    <row r="2" spans="1:11" x14ac:dyDescent="0.35">
      <c r="D2" s="834"/>
      <c r="E2" s="834"/>
      <c r="F2" s="834"/>
      <c r="G2" s="834"/>
      <c r="H2" s="834"/>
      <c r="I2" s="834"/>
    </row>
    <row r="3" spans="1:11" x14ac:dyDescent="0.35">
      <c r="D3" s="834"/>
      <c r="E3" s="834"/>
      <c r="F3" s="834"/>
      <c r="G3" s="834"/>
      <c r="H3" s="834"/>
      <c r="I3" s="834"/>
    </row>
    <row r="4" spans="1:11" x14ac:dyDescent="0.35">
      <c r="D4" s="834"/>
      <c r="E4" s="834"/>
      <c r="F4" s="834"/>
      <c r="G4" s="834"/>
      <c r="H4" s="834"/>
      <c r="I4" s="834"/>
    </row>
    <row r="5" spans="1:11" x14ac:dyDescent="0.35">
      <c r="D5" s="834"/>
      <c r="E5" s="834"/>
      <c r="F5" s="834"/>
      <c r="G5" s="834"/>
      <c r="H5" s="834"/>
      <c r="I5" s="834"/>
    </row>
    <row r="6" spans="1:11" ht="18.5" x14ac:dyDescent="0.45">
      <c r="A6" s="486"/>
      <c r="B6" s="486"/>
      <c r="C6" s="10" t="s">
        <v>4141</v>
      </c>
      <c r="D6" s="486"/>
      <c r="E6" s="486"/>
      <c r="F6" s="486"/>
      <c r="G6" s="486"/>
      <c r="H6" s="486"/>
      <c r="I6" s="486"/>
      <c r="J6" s="21" t="s">
        <v>260</v>
      </c>
      <c r="K6" s="21" t="s">
        <v>260</v>
      </c>
    </row>
    <row r="8" spans="1:11" x14ac:dyDescent="0.35">
      <c r="A8" s="648" t="s">
        <v>4104</v>
      </c>
      <c r="B8" s="648"/>
      <c r="C8" s="3" t="str">
        <f>IF('Overview (Verification)'!P60="","None entered on ""Overview (Verification)"" Sheet",'Overview (Verification)'!P60)</f>
        <v>None entered on "Overview (Verification)" Sheet</v>
      </c>
      <c r="D8" s="3"/>
      <c r="E8" s="259"/>
      <c r="F8" s="416" t="s">
        <v>4363</v>
      </c>
      <c r="G8" s="981" t="str">
        <f ca="1">Points!AC22</f>
        <v>Bronze</v>
      </c>
      <c r="H8" s="981"/>
      <c r="I8" s="981"/>
    </row>
    <row r="9" spans="1:11" ht="3" customHeight="1" x14ac:dyDescent="0.35">
      <c r="C9" s="3"/>
      <c r="D9" s="3"/>
      <c r="E9" s="259"/>
      <c r="F9" s="416"/>
      <c r="G9" s="3"/>
      <c r="H9" s="3"/>
      <c r="I9" s="3"/>
    </row>
    <row r="10" spans="1:11" x14ac:dyDescent="0.35">
      <c r="A10" s="648" t="s">
        <v>4106</v>
      </c>
      <c r="B10" s="648"/>
      <c r="C10" s="645" t="str">
        <f>IF('Overview (Verification)'!P8="","None entered on ""Overview (Verification)"" Sheet",'Overview (Verification)'!P8)</f>
        <v>ABC Builder</v>
      </c>
      <c r="D10" s="645"/>
      <c r="E10" s="259"/>
      <c r="F10" s="416" t="s">
        <v>4107</v>
      </c>
      <c r="G10" s="645" t="str">
        <f>'Overview (Verification)'!P16</f>
        <v>Single-Family</v>
      </c>
      <c r="H10" s="645"/>
      <c r="I10" s="645"/>
    </row>
    <row r="11" spans="1:11" ht="3" customHeight="1" x14ac:dyDescent="0.35">
      <c r="A11" s="259"/>
      <c r="B11" s="259"/>
      <c r="C11" s="3"/>
      <c r="D11" s="431"/>
      <c r="E11" s="259"/>
      <c r="F11" s="416"/>
      <c r="G11" s="402"/>
      <c r="H11" s="402"/>
      <c r="I11" s="402"/>
    </row>
    <row r="12" spans="1:11" x14ac:dyDescent="0.35">
      <c r="A12" s="648" t="s">
        <v>4362</v>
      </c>
      <c r="B12" s="648"/>
      <c r="C12" s="959" t="str">
        <f>IF('Overview (Verification)'!P11="","None entered on ""Overview (Verification)"" Sheet",'Overview (Verification)'!P9&amp;", "&amp;'Overview (Verification)'!P11&amp;", "&amp;'Overview (Verification)'!P12&amp;"  "&amp;'Overview (Verification)'!P14)</f>
        <v>123 Example Drive, Durham, North Carolina  27703</v>
      </c>
      <c r="D12" s="959"/>
      <c r="E12" s="259"/>
      <c r="F12" s="416" t="s">
        <v>159</v>
      </c>
      <c r="G12" s="979">
        <f>IF('Overview (Verification)'!P17&lt;&gt;"",'Overview (Verification)'!P17,1)</f>
        <v>1</v>
      </c>
      <c r="H12" s="979"/>
      <c r="I12" s="979"/>
    </row>
    <row r="13" spans="1:11" ht="3" customHeight="1" x14ac:dyDescent="0.35">
      <c r="A13" s="259"/>
      <c r="B13" s="259"/>
      <c r="C13" s="3"/>
      <c r="D13" s="431"/>
      <c r="E13" s="259"/>
      <c r="F13" s="416"/>
      <c r="G13" s="402"/>
      <c r="H13" s="402"/>
      <c r="I13" s="402"/>
    </row>
    <row r="14" spans="1:11" x14ac:dyDescent="0.35">
      <c r="A14" s="648" t="s">
        <v>130</v>
      </c>
      <c r="B14" s="648"/>
      <c r="C14" s="959" t="str">
        <f>IF('Overview (Verification)'!P10="","None entered on ""Overview (Verification)"" Sheet",'Overview (Verification)'!P10)</f>
        <v>Lot 1A</v>
      </c>
      <c r="D14" s="959"/>
      <c r="E14" s="259"/>
      <c r="F14" s="416" t="s">
        <v>4598</v>
      </c>
      <c r="G14" s="645">
        <f>'Overview (Verification)'!P21</f>
        <v>2644</v>
      </c>
      <c r="H14" s="645"/>
      <c r="I14" s="645"/>
    </row>
    <row r="15" spans="1:11" ht="3" customHeight="1" x14ac:dyDescent="0.35">
      <c r="A15" s="259"/>
      <c r="B15" s="259"/>
      <c r="C15" s="3"/>
      <c r="D15" s="431"/>
      <c r="E15" s="259"/>
      <c r="F15" s="416"/>
      <c r="G15" s="402"/>
      <c r="H15" s="402"/>
      <c r="I15" s="402"/>
    </row>
    <row r="16" spans="1:11" x14ac:dyDescent="0.35">
      <c r="A16" s="648" t="s">
        <v>3862</v>
      </c>
      <c r="B16" s="648"/>
      <c r="C16" s="959" t="str">
        <f>'Overview (Verification)'!U9&amp;" "&amp;'Overview (Verification)'!V9&amp;" "&amp;'Overview (Verification)'!W9&amp;" "&amp;'Overview (Verification)'!Y9</f>
        <v xml:space="preserve">4 Moist    </v>
      </c>
      <c r="D16" s="959"/>
      <c r="E16" s="259"/>
      <c r="F16" s="416" t="s">
        <v>4108</v>
      </c>
      <c r="G16" s="645" t="str">
        <f>'Overview (Verification)'!P24</f>
        <v/>
      </c>
      <c r="H16" s="645"/>
      <c r="I16" s="645"/>
    </row>
    <row r="17" spans="1:10" ht="3" customHeight="1" x14ac:dyDescent="0.35">
      <c r="A17" s="6"/>
      <c r="B17" s="6"/>
      <c r="C17" s="2"/>
      <c r="D17" s="2"/>
      <c r="E17" s="259"/>
      <c r="F17" s="416"/>
    </row>
    <row r="18" spans="1:10" ht="14.5" customHeight="1" x14ac:dyDescent="0.35">
      <c r="C18" s="962" t="s">
        <v>4366</v>
      </c>
      <c r="D18" s="963"/>
      <c r="F18" s="962" t="s">
        <v>4367</v>
      </c>
      <c r="G18" s="963"/>
      <c r="H18" s="963"/>
      <c r="I18" s="963"/>
      <c r="J18" t="b">
        <f>OR(J41:J93)</f>
        <v>1</v>
      </c>
    </row>
    <row r="20" spans="1:10" x14ac:dyDescent="0.35">
      <c r="A20" s="403"/>
      <c r="B20" s="403"/>
      <c r="C20" s="403"/>
      <c r="D20" s="403"/>
      <c r="E20" s="964" t="str">
        <f>IF('Verification Report'!L5="Final","Final Points claimed by","NOT YET FINAL PHASE")</f>
        <v>Final Points claimed by</v>
      </c>
      <c r="F20" s="403"/>
      <c r="G20" s="403"/>
      <c r="H20" s="403"/>
      <c r="I20" s="403"/>
    </row>
    <row r="21" spans="1:10" x14ac:dyDescent="0.35">
      <c r="A21" s="403"/>
      <c r="B21" s="403"/>
      <c r="C21" s="403"/>
      <c r="E21" s="965"/>
      <c r="F21" s="403"/>
      <c r="G21" s="403"/>
      <c r="H21" s="403"/>
      <c r="I21" s="403"/>
    </row>
    <row r="22" spans="1:10" ht="15" customHeight="1" x14ac:dyDescent="0.35">
      <c r="A22" s="403"/>
      <c r="B22" s="403"/>
      <c r="C22" s="387" t="s">
        <v>4109</v>
      </c>
      <c r="D22" s="404" t="s">
        <v>4110</v>
      </c>
      <c r="E22" s="404" t="s">
        <v>3764</v>
      </c>
      <c r="F22" s="387" t="s">
        <v>4111</v>
      </c>
      <c r="G22" s="387" t="s">
        <v>4112</v>
      </c>
      <c r="H22" s="387" t="s">
        <v>4113</v>
      </c>
      <c r="I22" s="387" t="s">
        <v>4114</v>
      </c>
    </row>
    <row r="23" spans="1:10" ht="3" customHeight="1" x14ac:dyDescent="0.35">
      <c r="A23" s="403"/>
      <c r="B23" s="403"/>
      <c r="C23" s="2"/>
      <c r="D23" s="44"/>
      <c r="E23" s="21"/>
    </row>
    <row r="24" spans="1:10" ht="15" customHeight="1" x14ac:dyDescent="0.35">
      <c r="A24" s="403"/>
      <c r="B24" s="403"/>
      <c r="C24" s="405" t="s">
        <v>4115</v>
      </c>
      <c r="D24" s="406">
        <f ca="1">'Design Summ.'!I13</f>
        <v>69</v>
      </c>
      <c r="E24" s="407">
        <f ca="1">Ch5PointsFinal</f>
        <v>60</v>
      </c>
      <c r="F24" s="407">
        <v>50</v>
      </c>
      <c r="G24" s="407">
        <v>64</v>
      </c>
      <c r="H24" s="407">
        <v>93</v>
      </c>
      <c r="I24" s="407">
        <v>121</v>
      </c>
    </row>
    <row r="25" spans="1:10" ht="15" customHeight="1" x14ac:dyDescent="0.35">
      <c r="A25" s="403"/>
      <c r="B25" s="403"/>
      <c r="C25" s="408" t="s">
        <v>4116</v>
      </c>
      <c r="D25" s="409">
        <f ca="1">'Design Summ.'!I14</f>
        <v>61</v>
      </c>
      <c r="E25" s="410">
        <f ca="1">Ch6PointsFinal</f>
        <v>46</v>
      </c>
      <c r="F25" s="410">
        <v>43</v>
      </c>
      <c r="G25" s="410">
        <v>59</v>
      </c>
      <c r="H25" s="410">
        <v>89</v>
      </c>
      <c r="I25" s="410">
        <v>119</v>
      </c>
    </row>
    <row r="26" spans="1:10" ht="15" customHeight="1" x14ac:dyDescent="0.35">
      <c r="A26" s="403"/>
      <c r="B26" s="403"/>
      <c r="C26" s="408" t="s">
        <v>4117</v>
      </c>
      <c r="D26" s="409">
        <f ca="1">'Design Summ.'!I15</f>
        <v>50</v>
      </c>
      <c r="E26" s="410">
        <f ca="1">Ch7PointsFinal</f>
        <v>64</v>
      </c>
      <c r="F26" s="410">
        <v>30</v>
      </c>
      <c r="G26" s="410">
        <v>45</v>
      </c>
      <c r="H26" s="410">
        <v>60</v>
      </c>
      <c r="I26" s="410">
        <v>70</v>
      </c>
    </row>
    <row r="27" spans="1:10" ht="15" customHeight="1" x14ac:dyDescent="0.35">
      <c r="A27" s="403"/>
      <c r="B27" s="403"/>
      <c r="C27" s="408" t="s">
        <v>4118</v>
      </c>
      <c r="D27" s="409">
        <f ca="1">'Design Summ.'!I16</f>
        <v>36</v>
      </c>
      <c r="E27" s="410">
        <f ca="1">Ch8PointsFinal</f>
        <v>37</v>
      </c>
      <c r="F27" s="410">
        <v>25</v>
      </c>
      <c r="G27" s="410">
        <v>39</v>
      </c>
      <c r="H27" s="410">
        <v>67</v>
      </c>
      <c r="I27" s="410">
        <v>92</v>
      </c>
    </row>
    <row r="28" spans="1:10" ht="15" customHeight="1" x14ac:dyDescent="0.35">
      <c r="A28" s="403"/>
      <c r="B28" s="403"/>
      <c r="C28" s="408" t="s">
        <v>4119</v>
      </c>
      <c r="D28" s="409">
        <f ca="1">'Design Summ.'!I17</f>
        <v>38</v>
      </c>
      <c r="E28" s="410">
        <f ca="1">Ch9PointsFinal</f>
        <v>43</v>
      </c>
      <c r="F28" s="410">
        <v>25</v>
      </c>
      <c r="G28" s="410">
        <v>42</v>
      </c>
      <c r="H28" s="410">
        <v>69</v>
      </c>
      <c r="I28" s="410">
        <v>97</v>
      </c>
    </row>
    <row r="29" spans="1:10" ht="15" customHeight="1" x14ac:dyDescent="0.35">
      <c r="A29" s="403"/>
      <c r="B29" s="403"/>
      <c r="C29" s="411" t="s">
        <v>4120</v>
      </c>
      <c r="D29" s="412">
        <f>'Design Summ.'!I18</f>
        <v>9</v>
      </c>
      <c r="E29" s="412">
        <f>Ch10PointsFinal</f>
        <v>8</v>
      </c>
      <c r="F29" s="413">
        <v>8</v>
      </c>
      <c r="G29" s="413">
        <v>10</v>
      </c>
      <c r="H29" s="413">
        <v>11</v>
      </c>
      <c r="I29" s="413">
        <v>12</v>
      </c>
    </row>
    <row r="30" spans="1:10" ht="3" customHeight="1" x14ac:dyDescent="0.35">
      <c r="A30" s="403"/>
      <c r="B30" s="403"/>
      <c r="C30" s="414"/>
      <c r="D30" s="415"/>
      <c r="E30" s="403"/>
      <c r="F30" s="403"/>
      <c r="G30" s="403"/>
      <c r="H30" s="403"/>
      <c r="I30" s="403"/>
    </row>
    <row r="31" spans="1:10" ht="3" customHeight="1" x14ac:dyDescent="0.35">
      <c r="A31" s="403"/>
      <c r="B31" s="403"/>
      <c r="C31" s="403"/>
      <c r="D31" s="415"/>
      <c r="E31" s="403"/>
      <c r="F31" s="403"/>
      <c r="G31" s="403"/>
      <c r="H31" s="403"/>
      <c r="I31" s="403"/>
    </row>
    <row r="32" spans="1:10" ht="15" customHeight="1" x14ac:dyDescent="0.35">
      <c r="A32" s="403"/>
      <c r="B32" s="403"/>
      <c r="C32" s="386" t="s">
        <v>4121</v>
      </c>
      <c r="D32" s="20">
        <f ca="1">'Design Summ.'!I21</f>
        <v>263</v>
      </c>
      <c r="E32" s="20">
        <f ca="1">SUM(E24:E29)</f>
        <v>258</v>
      </c>
      <c r="F32" s="20">
        <f>SUM(F24:F29)+Points!C22</f>
        <v>231</v>
      </c>
      <c r="G32" s="20">
        <f>SUM(G24:G29)+Points!D22</f>
        <v>334</v>
      </c>
      <c r="H32" s="20">
        <f>SUM(H24:H29)+Points!E22</f>
        <v>489</v>
      </c>
      <c r="I32" s="20">
        <f>SUM(I24:I29)+Points!F22</f>
        <v>611</v>
      </c>
    </row>
    <row r="33" spans="1:10" ht="15" customHeight="1" x14ac:dyDescent="0.35">
      <c r="A33" s="403"/>
      <c r="B33" s="403"/>
      <c r="C33" s="403"/>
      <c r="D33" s="403"/>
      <c r="E33" s="403"/>
      <c r="F33" s="403"/>
      <c r="G33" s="403"/>
      <c r="H33" s="403"/>
      <c r="I33" s="403"/>
    </row>
    <row r="34" spans="1:10" ht="15" customHeight="1" x14ac:dyDescent="0.35">
      <c r="A34" s="403"/>
      <c r="B34" s="403"/>
      <c r="C34" s="403"/>
      <c r="D34" s="403"/>
      <c r="E34" s="403"/>
      <c r="F34" s="403"/>
      <c r="G34" s="403"/>
      <c r="H34" s="403"/>
      <c r="I34" s="403"/>
    </row>
    <row r="35" spans="1:10" ht="15" customHeight="1" x14ac:dyDescent="0.35"/>
    <row r="36" spans="1:10" ht="3" customHeight="1" x14ac:dyDescent="0.35">
      <c r="A36" s="259"/>
      <c r="B36" s="259"/>
    </row>
    <row r="37" spans="1:10" x14ac:dyDescent="0.35">
      <c r="A37" s="648" t="s">
        <v>4364</v>
      </c>
      <c r="B37" s="648"/>
      <c r="C37" s="982" t="s">
        <v>4828</v>
      </c>
      <c r="D37" s="983"/>
      <c r="E37" s="983"/>
      <c r="F37" s="983"/>
      <c r="G37" s="983"/>
      <c r="H37" s="983"/>
      <c r="I37" s="984"/>
    </row>
    <row r="38" spans="1:10" x14ac:dyDescent="0.35">
      <c r="A38" s="648"/>
      <c r="B38" s="648"/>
      <c r="C38" s="985"/>
      <c r="D38" s="986"/>
      <c r="E38" s="986"/>
      <c r="F38" s="986"/>
      <c r="G38" s="986"/>
      <c r="H38" s="986"/>
      <c r="I38" s="987"/>
    </row>
    <row r="39" spans="1:10" x14ac:dyDescent="0.35">
      <c r="A39" s="648"/>
      <c r="B39" s="648"/>
      <c r="C39" s="988"/>
      <c r="D39" s="989"/>
      <c r="E39" s="989"/>
      <c r="F39" s="989"/>
      <c r="G39" s="989"/>
      <c r="H39" s="989"/>
      <c r="I39" s="990"/>
    </row>
    <row r="40" spans="1:10" ht="3" customHeight="1" x14ac:dyDescent="0.35">
      <c r="A40" s="259"/>
      <c r="B40" s="259"/>
    </row>
    <row r="41" spans="1:10" ht="15" customHeight="1" x14ac:dyDescent="0.35">
      <c r="A41" s="259"/>
      <c r="B41" s="416" t="s">
        <v>4122</v>
      </c>
      <c r="C41" s="991" t="s">
        <v>4830</v>
      </c>
      <c r="D41" s="991"/>
      <c r="J41" t="b">
        <f>ISBLANK(C41)</f>
        <v>0</v>
      </c>
    </row>
    <row r="42" spans="1:10" ht="3" customHeight="1" x14ac:dyDescent="0.35">
      <c r="A42" s="259"/>
      <c r="B42" s="416"/>
    </row>
    <row r="43" spans="1:10" ht="15" customHeight="1" x14ac:dyDescent="0.35">
      <c r="A43" s="259"/>
      <c r="B43" s="416" t="s">
        <v>4123</v>
      </c>
      <c r="C43" s="991" t="s">
        <v>4830</v>
      </c>
      <c r="D43" s="991"/>
      <c r="J43" t="b">
        <f>ISBLANK(C43)</f>
        <v>0</v>
      </c>
    </row>
    <row r="44" spans="1:10" ht="3" customHeight="1" x14ac:dyDescent="0.35">
      <c r="A44" s="259"/>
      <c r="B44" s="416"/>
    </row>
    <row r="45" spans="1:10" x14ac:dyDescent="0.35">
      <c r="A45" s="259"/>
      <c r="B45" s="416" t="s">
        <v>4124</v>
      </c>
      <c r="C45" s="991" t="s">
        <v>4830</v>
      </c>
      <c r="D45" s="991"/>
      <c r="J45" t="b">
        <f>ISBLANK(C45)</f>
        <v>0</v>
      </c>
    </row>
    <row r="46" spans="1:10" ht="3" customHeight="1" x14ac:dyDescent="0.35">
      <c r="A46" s="259"/>
      <c r="B46" s="416"/>
    </row>
    <row r="47" spans="1:10" x14ac:dyDescent="0.35">
      <c r="A47" s="259"/>
      <c r="B47" s="416" t="s">
        <v>4125</v>
      </c>
      <c r="C47" s="991" t="s">
        <v>4829</v>
      </c>
      <c r="D47" s="991"/>
      <c r="J47" t="b">
        <f>ISBLANK(C47)</f>
        <v>0</v>
      </c>
    </row>
    <row r="48" spans="1:10" x14ac:dyDescent="0.35">
      <c r="A48" s="259"/>
    </row>
    <row r="49" spans="1:10" x14ac:dyDescent="0.35">
      <c r="D49" s="421"/>
      <c r="E49" s="422"/>
    </row>
    <row r="50" spans="1:10" ht="15" customHeight="1" x14ac:dyDescent="0.35">
      <c r="C50" s="423"/>
      <c r="D50" s="423"/>
      <c r="E50" s="423"/>
      <c r="F50" s="423"/>
      <c r="G50" s="423"/>
      <c r="H50" s="423"/>
      <c r="I50" s="423"/>
    </row>
    <row r="51" spans="1:10" x14ac:dyDescent="0.35">
      <c r="A51" s="648" t="s">
        <v>4126</v>
      </c>
      <c r="B51" s="648"/>
      <c r="C51" s="982" t="s">
        <v>4828</v>
      </c>
      <c r="D51" s="983"/>
      <c r="E51" s="983"/>
      <c r="F51" s="983"/>
      <c r="G51" s="983"/>
      <c r="H51" s="983"/>
      <c r="I51" s="984"/>
    </row>
    <row r="52" spans="1:10" x14ac:dyDescent="0.35">
      <c r="A52" s="648"/>
      <c r="B52" s="648"/>
      <c r="C52" s="985"/>
      <c r="D52" s="986"/>
      <c r="E52" s="986"/>
      <c r="F52" s="986"/>
      <c r="G52" s="986"/>
      <c r="H52" s="986"/>
      <c r="I52" s="987"/>
    </row>
    <row r="53" spans="1:10" x14ac:dyDescent="0.35">
      <c r="A53" s="648"/>
      <c r="B53" s="648"/>
      <c r="C53" s="988"/>
      <c r="D53" s="989"/>
      <c r="E53" s="989"/>
      <c r="F53" s="989"/>
      <c r="G53" s="989"/>
      <c r="H53" s="989"/>
      <c r="I53" s="990"/>
    </row>
    <row r="54" spans="1:10" ht="3" customHeight="1" x14ac:dyDescent="0.35">
      <c r="A54" s="259"/>
      <c r="B54" s="259"/>
    </row>
    <row r="55" spans="1:10" x14ac:dyDescent="0.35">
      <c r="A55" s="648" t="s">
        <v>4122</v>
      </c>
      <c r="B55" s="648"/>
      <c r="C55" s="487" t="s">
        <v>4827</v>
      </c>
      <c r="J55" t="b">
        <f>ISBLANK(C55)</f>
        <v>0</v>
      </c>
    </row>
    <row r="56" spans="1:10" ht="3" customHeight="1" x14ac:dyDescent="0.35">
      <c r="A56" s="416"/>
      <c r="B56" s="416"/>
    </row>
    <row r="57" spans="1:10" x14ac:dyDescent="0.35">
      <c r="A57" s="648" t="s">
        <v>4123</v>
      </c>
      <c r="B57" s="648"/>
      <c r="C57" s="487" t="s">
        <v>4827</v>
      </c>
      <c r="J57" t="b">
        <f>ISBLANK(C57)</f>
        <v>0</v>
      </c>
    </row>
    <row r="58" spans="1:10" ht="3" customHeight="1" x14ac:dyDescent="0.35">
      <c r="A58" s="416"/>
      <c r="B58" s="416"/>
    </row>
    <row r="59" spans="1:10" x14ac:dyDescent="0.35">
      <c r="A59" s="648" t="s">
        <v>4124</v>
      </c>
      <c r="B59" s="648"/>
      <c r="C59" s="487" t="s">
        <v>4827</v>
      </c>
      <c r="J59" t="b">
        <f>ISBLANK(C59)</f>
        <v>0</v>
      </c>
    </row>
    <row r="60" spans="1:10" ht="3" customHeight="1" x14ac:dyDescent="0.35">
      <c r="A60" s="416"/>
      <c r="B60" s="416"/>
    </row>
    <row r="61" spans="1:10" x14ac:dyDescent="0.35">
      <c r="A61" s="648" t="s">
        <v>4127</v>
      </c>
      <c r="B61" s="648"/>
      <c r="C61" s="487" t="s">
        <v>4832</v>
      </c>
      <c r="D61" s="976" t="s">
        <v>4615</v>
      </c>
      <c r="J61" t="b">
        <f>ISBLANK(C61)</f>
        <v>0</v>
      </c>
    </row>
    <row r="62" spans="1:10" ht="3" customHeight="1" x14ac:dyDescent="0.35">
      <c r="A62" s="416"/>
      <c r="B62" s="416"/>
      <c r="D62" s="976"/>
    </row>
    <row r="63" spans="1:10" x14ac:dyDescent="0.35">
      <c r="A63" s="648" t="s">
        <v>4128</v>
      </c>
      <c r="B63" s="648"/>
      <c r="C63" s="487" t="s">
        <v>4831</v>
      </c>
      <c r="D63" s="976"/>
      <c r="J63" t="b">
        <f>ISBLANK(C63)</f>
        <v>0</v>
      </c>
    </row>
    <row r="64" spans="1:10" ht="3" customHeight="1" x14ac:dyDescent="0.35">
      <c r="A64" s="416"/>
      <c r="B64" s="416"/>
    </row>
    <row r="65" spans="1:11" x14ac:dyDescent="0.35">
      <c r="A65" s="648" t="s">
        <v>4125</v>
      </c>
      <c r="B65" s="648"/>
      <c r="C65" s="487" t="s">
        <v>4829</v>
      </c>
      <c r="D65" s="417" t="s">
        <v>4129</v>
      </c>
      <c r="E65" s="642"/>
      <c r="F65" s="642"/>
      <c r="G65" s="642"/>
      <c r="H65" s="642"/>
      <c r="I65" s="642"/>
      <c r="J65" t="b">
        <f>ISBLANK(C65)</f>
        <v>0</v>
      </c>
    </row>
    <row r="66" spans="1:11" x14ac:dyDescent="0.35">
      <c r="D66" s="418"/>
    </row>
    <row r="68" spans="1:11" x14ac:dyDescent="0.35">
      <c r="C68" s="259" t="s">
        <v>4130</v>
      </c>
    </row>
    <row r="69" spans="1:11" x14ac:dyDescent="0.35">
      <c r="C69" s="976" t="s">
        <v>4131</v>
      </c>
      <c r="D69" s="976"/>
      <c r="E69" s="976"/>
      <c r="F69" s="976"/>
      <c r="G69" s="976"/>
      <c r="H69" s="976"/>
      <c r="I69" s="976"/>
    </row>
    <row r="71" spans="1:11" x14ac:dyDescent="0.35">
      <c r="C71" s="251" t="s">
        <v>4132</v>
      </c>
      <c r="D71" s="251" t="s">
        <v>4133</v>
      </c>
      <c r="E71" s="977" t="s">
        <v>4134</v>
      </c>
      <c r="F71" s="977"/>
      <c r="G71" s="642" t="s">
        <v>4616</v>
      </c>
      <c r="H71" s="642"/>
    </row>
    <row r="72" spans="1:11" x14ac:dyDescent="0.35">
      <c r="B72" s="6">
        <v>1</v>
      </c>
      <c r="C72" s="488" t="s">
        <v>4826</v>
      </c>
      <c r="D72" s="488" t="s">
        <v>4826</v>
      </c>
      <c r="E72" s="978" t="s">
        <v>4826</v>
      </c>
      <c r="F72" s="978"/>
      <c r="G72" s="978" t="s">
        <v>4826</v>
      </c>
      <c r="H72" s="978"/>
      <c r="J72" t="b">
        <f>AND(OR(LEN(C72)=0,LEN(D72)=0,LEN(E72)=0,LEN(G72)=0),K72)</f>
        <v>0</v>
      </c>
      <c r="K72" s="420" t="b">
        <f>OR(NOT(LEN(C72)=0),NOT(LEN(D72)=0),NOT(LEN(E72)=0),NOT(LEN(G72)=0))</f>
        <v>1</v>
      </c>
    </row>
    <row r="73" spans="1:11" x14ac:dyDescent="0.35">
      <c r="B73" s="6">
        <v>2</v>
      </c>
      <c r="C73" s="488" t="s">
        <v>4826</v>
      </c>
      <c r="D73" s="488" t="s">
        <v>4826</v>
      </c>
      <c r="E73" s="978" t="s">
        <v>4826</v>
      </c>
      <c r="F73" s="978"/>
      <c r="G73" s="978" t="s">
        <v>4826</v>
      </c>
      <c r="H73" s="978"/>
      <c r="J73" t="b">
        <f t="shared" ref="J73:J76" si="0">AND(OR(LEN(C73)=0,LEN(D73)=0,LEN(E73)=0,LEN(G73)=0),K73)</f>
        <v>0</v>
      </c>
      <c r="K73" s="420" t="b">
        <f t="shared" ref="K73:K76" si="1">OR(NOT(LEN(C73)=0),NOT(LEN(D73)=0),NOT(LEN(E73)=0),NOT(LEN(G73)=0))</f>
        <v>1</v>
      </c>
    </row>
    <row r="74" spans="1:11" x14ac:dyDescent="0.35">
      <c r="B74" s="6">
        <v>3</v>
      </c>
      <c r="C74" s="488" t="s">
        <v>4826</v>
      </c>
      <c r="D74" s="488" t="s">
        <v>4826</v>
      </c>
      <c r="E74" s="978" t="s">
        <v>4826</v>
      </c>
      <c r="F74" s="978"/>
      <c r="G74" s="978" t="s">
        <v>4826</v>
      </c>
      <c r="H74" s="978"/>
      <c r="J74" t="b">
        <f t="shared" si="0"/>
        <v>0</v>
      </c>
      <c r="K74" s="420" t="b">
        <f t="shared" si="1"/>
        <v>1</v>
      </c>
    </row>
    <row r="75" spans="1:11" x14ac:dyDescent="0.35">
      <c r="B75" s="6">
        <v>4</v>
      </c>
      <c r="C75" s="488" t="s">
        <v>4826</v>
      </c>
      <c r="D75" s="488" t="s">
        <v>4826</v>
      </c>
      <c r="E75" s="978" t="s">
        <v>4826</v>
      </c>
      <c r="F75" s="978"/>
      <c r="G75" s="978" t="s">
        <v>4826</v>
      </c>
      <c r="H75" s="978"/>
      <c r="J75" t="b">
        <f t="shared" si="0"/>
        <v>0</v>
      </c>
      <c r="K75" s="420" t="b">
        <f t="shared" si="1"/>
        <v>1</v>
      </c>
    </row>
    <row r="76" spans="1:11" x14ac:dyDescent="0.35">
      <c r="B76" s="6">
        <v>5</v>
      </c>
      <c r="C76" s="488" t="s">
        <v>4826</v>
      </c>
      <c r="D76" s="488" t="s">
        <v>4826</v>
      </c>
      <c r="E76" s="978" t="s">
        <v>4826</v>
      </c>
      <c r="F76" s="978"/>
      <c r="G76" s="978" t="s">
        <v>4826</v>
      </c>
      <c r="H76" s="978"/>
      <c r="J76" t="b">
        <f t="shared" si="0"/>
        <v>0</v>
      </c>
      <c r="K76" s="420" t="b">
        <f t="shared" si="1"/>
        <v>1</v>
      </c>
    </row>
    <row r="80" spans="1:11" x14ac:dyDescent="0.35">
      <c r="C80" s="259" t="s">
        <v>4135</v>
      </c>
    </row>
    <row r="83" spans="1:11" ht="26" x14ac:dyDescent="0.35">
      <c r="C83" s="836" t="s">
        <v>4136</v>
      </c>
      <c r="D83" s="836"/>
      <c r="E83" s="590" t="s">
        <v>4787</v>
      </c>
      <c r="F83" s="590" t="s">
        <v>2</v>
      </c>
      <c r="G83" s="590" t="s">
        <v>4788</v>
      </c>
      <c r="H83" s="388" t="s">
        <v>4138</v>
      </c>
      <c r="I83" s="419" t="s">
        <v>4139</v>
      </c>
      <c r="K83" s="259"/>
    </row>
    <row r="84" spans="1:11" x14ac:dyDescent="0.35">
      <c r="A84" s="6"/>
      <c r="B84" s="6">
        <v>1</v>
      </c>
      <c r="C84" s="950" t="s">
        <v>4826</v>
      </c>
      <c r="D84" s="951"/>
      <c r="E84" s="559"/>
      <c r="F84" s="957" t="str">
        <f>'Overview (Verification)'!P12</f>
        <v>North Carolina</v>
      </c>
      <c r="G84" s="559"/>
      <c r="H84" s="559"/>
      <c r="I84" s="489" t="s">
        <v>4826</v>
      </c>
      <c r="J84" t="b">
        <f t="shared" ref="J84:J103" si="2">AND(OR(LEN(C84)=0,LEN(E84)=0,LEN(G84)=0,LEN(H84)=0,LEN(I84)=0),K84)</f>
        <v>1</v>
      </c>
      <c r="K84" s="420" t="b">
        <f t="shared" ref="K84:K103" si="3">OR(NOT(LEN(C84)=0),NOT(LEN(E84)=0),NOT(LEN(G84)=0),NOT(LEN(H84)=0),NOT(LEN(I84)=0))</f>
        <v>1</v>
      </c>
    </row>
    <row r="85" spans="1:11" x14ac:dyDescent="0.35">
      <c r="A85" s="6"/>
      <c r="B85" s="6">
        <v>2</v>
      </c>
      <c r="C85" s="950" t="s">
        <v>4826</v>
      </c>
      <c r="D85" s="951"/>
      <c r="E85" s="559"/>
      <c r="F85" s="958"/>
      <c r="G85" s="559"/>
      <c r="H85" s="559"/>
      <c r="I85" s="489" t="s">
        <v>4826</v>
      </c>
      <c r="J85" t="b">
        <f t="shared" si="2"/>
        <v>1</v>
      </c>
      <c r="K85" s="420" t="b">
        <f t="shared" si="3"/>
        <v>1</v>
      </c>
    </row>
    <row r="86" spans="1:11" x14ac:dyDescent="0.35">
      <c r="A86" s="6"/>
      <c r="B86" s="6">
        <v>3</v>
      </c>
      <c r="C86" s="950" t="s">
        <v>4826</v>
      </c>
      <c r="D86" s="951"/>
      <c r="E86" s="559"/>
      <c r="F86" s="958"/>
      <c r="G86" s="559"/>
      <c r="H86" s="559"/>
      <c r="I86" s="489" t="s">
        <v>4826</v>
      </c>
      <c r="J86" t="b">
        <f t="shared" si="2"/>
        <v>1</v>
      </c>
      <c r="K86" s="420" t="b">
        <f t="shared" si="3"/>
        <v>1</v>
      </c>
    </row>
    <row r="87" spans="1:11" x14ac:dyDescent="0.35">
      <c r="A87" s="6"/>
      <c r="B87" s="6">
        <v>4</v>
      </c>
      <c r="C87" s="950" t="s">
        <v>4826</v>
      </c>
      <c r="D87" s="951"/>
      <c r="E87" s="559"/>
      <c r="F87" s="958"/>
      <c r="G87" s="559"/>
      <c r="H87" s="559"/>
      <c r="I87" s="489" t="s">
        <v>4826</v>
      </c>
      <c r="J87" t="b">
        <f t="shared" si="2"/>
        <v>1</v>
      </c>
      <c r="K87" s="420" t="b">
        <f t="shared" si="3"/>
        <v>1</v>
      </c>
    </row>
    <row r="88" spans="1:11" x14ac:dyDescent="0.35">
      <c r="A88" s="6"/>
      <c r="B88" s="6">
        <v>5</v>
      </c>
      <c r="C88" s="950" t="s">
        <v>4826</v>
      </c>
      <c r="D88" s="951"/>
      <c r="E88" s="559"/>
      <c r="F88" s="958"/>
      <c r="G88" s="559"/>
      <c r="H88" s="559"/>
      <c r="I88" s="489" t="s">
        <v>4826</v>
      </c>
      <c r="J88" t="b">
        <f t="shared" si="2"/>
        <v>1</v>
      </c>
      <c r="K88" s="420" t="b">
        <f t="shared" si="3"/>
        <v>1</v>
      </c>
    </row>
    <row r="89" spans="1:11" x14ac:dyDescent="0.35">
      <c r="A89" s="6"/>
      <c r="B89" s="6">
        <v>6</v>
      </c>
      <c r="C89" s="950" t="s">
        <v>4826</v>
      </c>
      <c r="D89" s="951"/>
      <c r="E89" s="559"/>
      <c r="F89" s="958"/>
      <c r="G89" s="559"/>
      <c r="H89" s="559"/>
      <c r="I89" s="489" t="s">
        <v>4826</v>
      </c>
      <c r="J89" t="b">
        <f t="shared" si="2"/>
        <v>1</v>
      </c>
      <c r="K89" s="420" t="b">
        <f t="shared" si="3"/>
        <v>1</v>
      </c>
    </row>
    <row r="90" spans="1:11" x14ac:dyDescent="0.35">
      <c r="A90" s="6"/>
      <c r="B90" s="6">
        <v>7</v>
      </c>
      <c r="C90" s="950" t="s">
        <v>4826</v>
      </c>
      <c r="D90" s="951"/>
      <c r="E90" s="559"/>
      <c r="F90" s="958"/>
      <c r="G90" s="559"/>
      <c r="H90" s="559"/>
      <c r="I90" s="489" t="s">
        <v>4826</v>
      </c>
      <c r="J90" t="b">
        <f t="shared" si="2"/>
        <v>1</v>
      </c>
      <c r="K90" s="420" t="b">
        <f t="shared" si="3"/>
        <v>1</v>
      </c>
    </row>
    <row r="91" spans="1:11" x14ac:dyDescent="0.35">
      <c r="A91" s="6"/>
      <c r="B91" s="6">
        <v>8</v>
      </c>
      <c r="C91" s="950" t="s">
        <v>4826</v>
      </c>
      <c r="D91" s="951"/>
      <c r="E91" s="559"/>
      <c r="F91" s="958"/>
      <c r="G91" s="559"/>
      <c r="H91" s="559"/>
      <c r="I91" s="489" t="s">
        <v>4826</v>
      </c>
      <c r="J91" t="b">
        <f t="shared" si="2"/>
        <v>1</v>
      </c>
      <c r="K91" s="420" t="b">
        <f t="shared" si="3"/>
        <v>1</v>
      </c>
    </row>
    <row r="92" spans="1:11" x14ac:dyDescent="0.35">
      <c r="A92" s="6"/>
      <c r="B92" s="6">
        <v>9</v>
      </c>
      <c r="C92" s="950" t="s">
        <v>4826</v>
      </c>
      <c r="D92" s="951"/>
      <c r="E92" s="559"/>
      <c r="F92" s="958"/>
      <c r="G92" s="559"/>
      <c r="H92" s="559"/>
      <c r="I92" s="489" t="s">
        <v>4826</v>
      </c>
      <c r="J92" t="b">
        <f t="shared" si="2"/>
        <v>1</v>
      </c>
      <c r="K92" s="420" t="b">
        <f t="shared" si="3"/>
        <v>1</v>
      </c>
    </row>
    <row r="93" spans="1:11" x14ac:dyDescent="0.35">
      <c r="A93" s="6"/>
      <c r="B93" s="6">
        <v>10</v>
      </c>
      <c r="C93" s="950" t="s">
        <v>4826</v>
      </c>
      <c r="D93" s="951"/>
      <c r="E93" s="559"/>
      <c r="F93" s="958"/>
      <c r="G93" s="559"/>
      <c r="H93" s="559"/>
      <c r="I93" s="489" t="s">
        <v>4826</v>
      </c>
      <c r="J93" t="b">
        <f t="shared" si="2"/>
        <v>1</v>
      </c>
      <c r="K93" s="420" t="b">
        <f t="shared" si="3"/>
        <v>1</v>
      </c>
    </row>
    <row r="94" spans="1:11" x14ac:dyDescent="0.35">
      <c r="A94" s="6"/>
      <c r="B94" s="6">
        <v>11</v>
      </c>
      <c r="C94" s="950" t="s">
        <v>4827</v>
      </c>
      <c r="D94" s="951"/>
      <c r="E94" s="559"/>
      <c r="F94" s="958"/>
      <c r="G94" s="559"/>
      <c r="H94" s="559"/>
      <c r="I94" s="489"/>
      <c r="J94" t="b">
        <f t="shared" si="2"/>
        <v>0</v>
      </c>
      <c r="K94" s="420" t="b">
        <f t="shared" si="3"/>
        <v>0</v>
      </c>
    </row>
    <row r="95" spans="1:11" x14ac:dyDescent="0.35">
      <c r="A95" s="6"/>
      <c r="B95" s="6">
        <v>12</v>
      </c>
      <c r="C95" s="950" t="s">
        <v>4827</v>
      </c>
      <c r="D95" s="951"/>
      <c r="E95" s="559"/>
      <c r="F95" s="958"/>
      <c r="G95" s="559"/>
      <c r="H95" s="559"/>
      <c r="I95" s="489"/>
      <c r="J95" t="b">
        <f t="shared" si="2"/>
        <v>0</v>
      </c>
      <c r="K95" s="420" t="b">
        <f t="shared" si="3"/>
        <v>0</v>
      </c>
    </row>
    <row r="96" spans="1:11" x14ac:dyDescent="0.35">
      <c r="A96" s="6"/>
      <c r="B96" s="6">
        <v>13</v>
      </c>
      <c r="C96" s="950" t="s">
        <v>4827</v>
      </c>
      <c r="D96" s="951"/>
      <c r="E96" s="559"/>
      <c r="F96" s="958"/>
      <c r="G96" s="559"/>
      <c r="H96" s="559"/>
      <c r="I96" s="489"/>
      <c r="J96" t="b">
        <f t="shared" si="2"/>
        <v>0</v>
      </c>
      <c r="K96" s="420" t="b">
        <f t="shared" si="3"/>
        <v>0</v>
      </c>
    </row>
    <row r="97" spans="1:11" x14ac:dyDescent="0.35">
      <c r="A97" s="6"/>
      <c r="B97" s="6">
        <v>14</v>
      </c>
      <c r="C97" s="950" t="s">
        <v>4827</v>
      </c>
      <c r="D97" s="951"/>
      <c r="E97" s="559"/>
      <c r="F97" s="958"/>
      <c r="G97" s="559"/>
      <c r="H97" s="559"/>
      <c r="I97" s="489"/>
      <c r="J97" t="b">
        <f t="shared" si="2"/>
        <v>0</v>
      </c>
      <c r="K97" s="420" t="b">
        <f t="shared" si="3"/>
        <v>0</v>
      </c>
    </row>
    <row r="98" spans="1:11" x14ac:dyDescent="0.35">
      <c r="A98" s="6"/>
      <c r="B98" s="6">
        <v>15</v>
      </c>
      <c r="C98" s="950" t="s">
        <v>4827</v>
      </c>
      <c r="D98" s="951"/>
      <c r="E98" s="559"/>
      <c r="F98" s="958"/>
      <c r="G98" s="559"/>
      <c r="H98" s="559"/>
      <c r="I98" s="489"/>
      <c r="J98" t="b">
        <f t="shared" si="2"/>
        <v>0</v>
      </c>
      <c r="K98" s="420" t="b">
        <f t="shared" si="3"/>
        <v>0</v>
      </c>
    </row>
    <row r="99" spans="1:11" x14ac:dyDescent="0.35">
      <c r="A99" s="6"/>
      <c r="B99" s="6">
        <v>16</v>
      </c>
      <c r="C99" s="950" t="s">
        <v>4827</v>
      </c>
      <c r="D99" s="951"/>
      <c r="E99" s="559"/>
      <c r="F99" s="958"/>
      <c r="G99" s="559"/>
      <c r="H99" s="559"/>
      <c r="I99" s="489"/>
      <c r="J99" t="b">
        <f t="shared" si="2"/>
        <v>0</v>
      </c>
      <c r="K99" s="420" t="b">
        <f t="shared" si="3"/>
        <v>0</v>
      </c>
    </row>
    <row r="100" spans="1:11" x14ac:dyDescent="0.35">
      <c r="A100" s="6"/>
      <c r="B100" s="6">
        <v>17</v>
      </c>
      <c r="C100" s="950" t="s">
        <v>4827</v>
      </c>
      <c r="D100" s="951"/>
      <c r="E100" s="559"/>
      <c r="F100" s="958"/>
      <c r="G100" s="559"/>
      <c r="H100" s="559"/>
      <c r="I100" s="489"/>
      <c r="J100" t="b">
        <f t="shared" si="2"/>
        <v>0</v>
      </c>
      <c r="K100" s="420" t="b">
        <f t="shared" si="3"/>
        <v>0</v>
      </c>
    </row>
    <row r="101" spans="1:11" x14ac:dyDescent="0.35">
      <c r="A101" s="6"/>
      <c r="B101" s="6">
        <v>18</v>
      </c>
      <c r="C101" s="950" t="s">
        <v>4827</v>
      </c>
      <c r="D101" s="951"/>
      <c r="E101" s="559"/>
      <c r="F101" s="958"/>
      <c r="G101" s="559"/>
      <c r="H101" s="559"/>
      <c r="I101" s="489"/>
      <c r="J101" t="b">
        <f t="shared" si="2"/>
        <v>0</v>
      </c>
      <c r="K101" s="420" t="b">
        <f t="shared" si="3"/>
        <v>0</v>
      </c>
    </row>
    <row r="102" spans="1:11" x14ac:dyDescent="0.35">
      <c r="A102" s="6"/>
      <c r="B102" s="6">
        <v>19</v>
      </c>
      <c r="C102" s="950" t="s">
        <v>4827</v>
      </c>
      <c r="D102" s="951"/>
      <c r="E102" s="559"/>
      <c r="F102" s="958"/>
      <c r="G102" s="559"/>
      <c r="H102" s="559"/>
      <c r="I102" s="489"/>
      <c r="J102" t="b">
        <f t="shared" si="2"/>
        <v>0</v>
      </c>
      <c r="K102" s="420" t="b">
        <f t="shared" si="3"/>
        <v>0</v>
      </c>
    </row>
    <row r="103" spans="1:11" x14ac:dyDescent="0.35">
      <c r="A103" s="6"/>
      <c r="B103" s="6">
        <v>20</v>
      </c>
      <c r="C103" s="950" t="s">
        <v>4827</v>
      </c>
      <c r="D103" s="951"/>
      <c r="E103" s="559"/>
      <c r="F103" s="958"/>
      <c r="G103" s="559"/>
      <c r="H103" s="559"/>
      <c r="I103" s="489"/>
      <c r="J103" t="b">
        <f t="shared" si="2"/>
        <v>0</v>
      </c>
      <c r="K103" s="420" t="b">
        <f t="shared" si="3"/>
        <v>0</v>
      </c>
    </row>
    <row r="104" spans="1:11" x14ac:dyDescent="0.35">
      <c r="A104" s="6"/>
      <c r="B104" s="6">
        <v>21</v>
      </c>
      <c r="C104" s="950"/>
      <c r="D104" s="951"/>
      <c r="E104" s="559"/>
      <c r="F104" s="958"/>
      <c r="G104" s="559"/>
      <c r="H104" s="559"/>
      <c r="I104" s="559"/>
      <c r="J104" t="b">
        <f t="shared" ref="J104:J133" si="4">AND(OR(LEN(C104)=0,LEN(E104)=0,LEN(G104)=0,LEN(H104)=0,LEN(I104)=0),K104)</f>
        <v>0</v>
      </c>
      <c r="K104" s="420" t="b">
        <f t="shared" ref="K104:K133" si="5">OR(NOT(LEN(C104)=0),NOT(LEN(E104)=0),NOT(LEN(G104)=0),NOT(LEN(H104)=0),NOT(LEN(I104)=0))</f>
        <v>0</v>
      </c>
    </row>
    <row r="105" spans="1:11" x14ac:dyDescent="0.35">
      <c r="A105" s="6"/>
      <c r="B105" s="6">
        <v>22</v>
      </c>
      <c r="C105" s="950"/>
      <c r="D105" s="951"/>
      <c r="E105" s="559"/>
      <c r="F105" s="958"/>
      <c r="G105" s="559"/>
      <c r="H105" s="559"/>
      <c r="I105" s="559"/>
      <c r="J105" t="b">
        <f t="shared" si="4"/>
        <v>0</v>
      </c>
      <c r="K105" s="420" t="b">
        <f t="shared" si="5"/>
        <v>0</v>
      </c>
    </row>
    <row r="106" spans="1:11" x14ac:dyDescent="0.35">
      <c r="A106" s="6"/>
      <c r="B106" s="6">
        <v>23</v>
      </c>
      <c r="C106" s="950"/>
      <c r="D106" s="951"/>
      <c r="E106" s="559"/>
      <c r="F106" s="958"/>
      <c r="G106" s="559"/>
      <c r="H106" s="559"/>
      <c r="I106" s="559"/>
      <c r="J106" t="b">
        <f t="shared" si="4"/>
        <v>0</v>
      </c>
      <c r="K106" s="420" t="b">
        <f t="shared" si="5"/>
        <v>0</v>
      </c>
    </row>
    <row r="107" spans="1:11" x14ac:dyDescent="0.35">
      <c r="A107" s="6"/>
      <c r="B107" s="6">
        <v>24</v>
      </c>
      <c r="C107" s="950"/>
      <c r="D107" s="951"/>
      <c r="E107" s="559"/>
      <c r="F107" s="958"/>
      <c r="G107" s="559"/>
      <c r="H107" s="559"/>
      <c r="I107" s="559"/>
      <c r="J107" t="b">
        <f t="shared" si="4"/>
        <v>0</v>
      </c>
      <c r="K107" s="420" t="b">
        <f t="shared" si="5"/>
        <v>0</v>
      </c>
    </row>
    <row r="108" spans="1:11" x14ac:dyDescent="0.35">
      <c r="A108" s="6"/>
      <c r="B108" s="6">
        <v>25</v>
      </c>
      <c r="C108" s="950"/>
      <c r="D108" s="951"/>
      <c r="E108" s="559"/>
      <c r="F108" s="958"/>
      <c r="G108" s="559"/>
      <c r="H108" s="559"/>
      <c r="I108" s="559"/>
      <c r="J108" t="b">
        <f t="shared" si="4"/>
        <v>0</v>
      </c>
      <c r="K108" s="420" t="b">
        <f t="shared" si="5"/>
        <v>0</v>
      </c>
    </row>
    <row r="109" spans="1:11" x14ac:dyDescent="0.35">
      <c r="A109" s="6"/>
      <c r="B109" s="6">
        <v>26</v>
      </c>
      <c r="C109" s="950"/>
      <c r="D109" s="951"/>
      <c r="E109" s="559"/>
      <c r="F109" s="958"/>
      <c r="G109" s="559"/>
      <c r="H109" s="559"/>
      <c r="I109" s="559"/>
      <c r="J109" t="b">
        <f t="shared" si="4"/>
        <v>0</v>
      </c>
      <c r="K109" s="420" t="b">
        <f t="shared" si="5"/>
        <v>0</v>
      </c>
    </row>
    <row r="110" spans="1:11" x14ac:dyDescent="0.35">
      <c r="A110" s="6"/>
      <c r="B110" s="6">
        <v>27</v>
      </c>
      <c r="C110" s="950"/>
      <c r="D110" s="951"/>
      <c r="E110" s="559"/>
      <c r="F110" s="958"/>
      <c r="G110" s="559"/>
      <c r="H110" s="559"/>
      <c r="I110" s="559"/>
      <c r="J110" t="b">
        <f t="shared" si="4"/>
        <v>0</v>
      </c>
      <c r="K110" s="420" t="b">
        <f t="shared" si="5"/>
        <v>0</v>
      </c>
    </row>
    <row r="111" spans="1:11" x14ac:dyDescent="0.35">
      <c r="A111" s="6"/>
      <c r="B111" s="6">
        <v>28</v>
      </c>
      <c r="C111" s="950"/>
      <c r="D111" s="951"/>
      <c r="E111" s="559"/>
      <c r="F111" s="958"/>
      <c r="G111" s="559"/>
      <c r="H111" s="559"/>
      <c r="I111" s="559"/>
      <c r="J111" t="b">
        <f t="shared" si="4"/>
        <v>0</v>
      </c>
      <c r="K111" s="420" t="b">
        <f t="shared" si="5"/>
        <v>0</v>
      </c>
    </row>
    <row r="112" spans="1:11" x14ac:dyDescent="0.35">
      <c r="A112" s="6"/>
      <c r="B112" s="6">
        <v>29</v>
      </c>
      <c r="C112" s="950"/>
      <c r="D112" s="951"/>
      <c r="E112" s="559"/>
      <c r="F112" s="958"/>
      <c r="G112" s="559"/>
      <c r="H112" s="559"/>
      <c r="I112" s="559"/>
      <c r="J112" t="b">
        <f t="shared" si="4"/>
        <v>0</v>
      </c>
      <c r="K112" s="420" t="b">
        <f t="shared" si="5"/>
        <v>0</v>
      </c>
    </row>
    <row r="113" spans="1:11" x14ac:dyDescent="0.35">
      <c r="A113" s="6"/>
      <c r="B113" s="6">
        <v>30</v>
      </c>
      <c r="C113" s="950"/>
      <c r="D113" s="951"/>
      <c r="E113" s="559"/>
      <c r="F113" s="958"/>
      <c r="G113" s="559"/>
      <c r="H113" s="559"/>
      <c r="I113" s="559"/>
      <c r="J113" t="b">
        <f t="shared" si="4"/>
        <v>0</v>
      </c>
      <c r="K113" s="420" t="b">
        <f t="shared" si="5"/>
        <v>0</v>
      </c>
    </row>
    <row r="114" spans="1:11" x14ac:dyDescent="0.35">
      <c r="A114" s="6"/>
      <c r="B114" s="6">
        <v>31</v>
      </c>
      <c r="C114" s="950"/>
      <c r="D114" s="951"/>
      <c r="E114" s="559"/>
      <c r="F114" s="958"/>
      <c r="G114" s="559"/>
      <c r="H114" s="559"/>
      <c r="I114" s="559"/>
      <c r="J114" t="b">
        <f t="shared" si="4"/>
        <v>0</v>
      </c>
      <c r="K114" s="420" t="b">
        <f t="shared" si="5"/>
        <v>0</v>
      </c>
    </row>
    <row r="115" spans="1:11" x14ac:dyDescent="0.35">
      <c r="A115" s="6"/>
      <c r="B115" s="6">
        <v>32</v>
      </c>
      <c r="C115" s="950"/>
      <c r="D115" s="951"/>
      <c r="E115" s="559"/>
      <c r="F115" s="958"/>
      <c r="G115" s="559"/>
      <c r="H115" s="559"/>
      <c r="I115" s="559"/>
      <c r="J115" t="b">
        <f t="shared" si="4"/>
        <v>0</v>
      </c>
      <c r="K115" s="420" t="b">
        <f t="shared" si="5"/>
        <v>0</v>
      </c>
    </row>
    <row r="116" spans="1:11" x14ac:dyDescent="0.35">
      <c r="A116" s="6"/>
      <c r="B116" s="6">
        <v>33</v>
      </c>
      <c r="C116" s="950"/>
      <c r="D116" s="951"/>
      <c r="E116" s="559"/>
      <c r="F116" s="958"/>
      <c r="G116" s="559"/>
      <c r="H116" s="559"/>
      <c r="I116" s="559"/>
      <c r="J116" t="b">
        <f t="shared" si="4"/>
        <v>0</v>
      </c>
      <c r="K116" s="420" t="b">
        <f t="shared" si="5"/>
        <v>0</v>
      </c>
    </row>
    <row r="117" spans="1:11" x14ac:dyDescent="0.35">
      <c r="A117" s="6"/>
      <c r="B117" s="6">
        <v>34</v>
      </c>
      <c r="C117" s="950"/>
      <c r="D117" s="951"/>
      <c r="E117" s="559"/>
      <c r="F117" s="958"/>
      <c r="G117" s="559"/>
      <c r="H117" s="559"/>
      <c r="I117" s="559"/>
      <c r="J117" t="b">
        <f t="shared" si="4"/>
        <v>0</v>
      </c>
      <c r="K117" s="420" t="b">
        <f t="shared" si="5"/>
        <v>0</v>
      </c>
    </row>
    <row r="118" spans="1:11" x14ac:dyDescent="0.35">
      <c r="A118" s="6"/>
      <c r="B118" s="6">
        <v>35</v>
      </c>
      <c r="C118" s="950"/>
      <c r="D118" s="951"/>
      <c r="E118" s="559"/>
      <c r="F118" s="958"/>
      <c r="G118" s="559"/>
      <c r="H118" s="559"/>
      <c r="I118" s="559"/>
      <c r="J118" t="b">
        <f t="shared" si="4"/>
        <v>0</v>
      </c>
      <c r="K118" s="420" t="b">
        <f t="shared" si="5"/>
        <v>0</v>
      </c>
    </row>
    <row r="119" spans="1:11" x14ac:dyDescent="0.35">
      <c r="A119" s="6"/>
      <c r="B119" s="6">
        <v>36</v>
      </c>
      <c r="C119" s="950"/>
      <c r="D119" s="951"/>
      <c r="E119" s="559"/>
      <c r="F119" s="958"/>
      <c r="G119" s="559"/>
      <c r="H119" s="559"/>
      <c r="I119" s="559"/>
      <c r="J119" t="b">
        <f t="shared" si="4"/>
        <v>0</v>
      </c>
      <c r="K119" s="420" t="b">
        <f t="shared" si="5"/>
        <v>0</v>
      </c>
    </row>
    <row r="120" spans="1:11" x14ac:dyDescent="0.35">
      <c r="A120" s="6"/>
      <c r="B120" s="6">
        <v>37</v>
      </c>
      <c r="C120" s="950"/>
      <c r="D120" s="951"/>
      <c r="E120" s="559"/>
      <c r="F120" s="958"/>
      <c r="G120" s="559"/>
      <c r="H120" s="559"/>
      <c r="I120" s="559"/>
      <c r="J120" t="b">
        <f t="shared" si="4"/>
        <v>0</v>
      </c>
      <c r="K120" s="420" t="b">
        <f t="shared" si="5"/>
        <v>0</v>
      </c>
    </row>
    <row r="121" spans="1:11" x14ac:dyDescent="0.35">
      <c r="A121" s="6"/>
      <c r="B121" s="6">
        <v>38</v>
      </c>
      <c r="C121" s="950"/>
      <c r="D121" s="951"/>
      <c r="E121" s="559"/>
      <c r="F121" s="958"/>
      <c r="G121" s="559"/>
      <c r="H121" s="559"/>
      <c r="I121" s="559"/>
      <c r="J121" t="b">
        <f t="shared" si="4"/>
        <v>0</v>
      </c>
      <c r="K121" s="420" t="b">
        <f t="shared" si="5"/>
        <v>0</v>
      </c>
    </row>
    <row r="122" spans="1:11" x14ac:dyDescent="0.35">
      <c r="A122" s="6"/>
      <c r="B122" s="6">
        <v>39</v>
      </c>
      <c r="C122" s="950"/>
      <c r="D122" s="951"/>
      <c r="E122" s="559"/>
      <c r="F122" s="958"/>
      <c r="G122" s="559"/>
      <c r="H122" s="559"/>
      <c r="I122" s="559"/>
      <c r="J122" t="b">
        <f t="shared" si="4"/>
        <v>0</v>
      </c>
      <c r="K122" s="420" t="b">
        <f t="shared" si="5"/>
        <v>0</v>
      </c>
    </row>
    <row r="123" spans="1:11" x14ac:dyDescent="0.35">
      <c r="A123" s="6"/>
      <c r="B123" s="6">
        <v>40</v>
      </c>
      <c r="C123" s="950"/>
      <c r="D123" s="951"/>
      <c r="E123" s="559"/>
      <c r="F123" s="958"/>
      <c r="G123" s="559"/>
      <c r="H123" s="559"/>
      <c r="I123" s="559"/>
      <c r="J123" t="b">
        <f t="shared" si="4"/>
        <v>0</v>
      </c>
      <c r="K123" s="420" t="b">
        <f t="shared" si="5"/>
        <v>0</v>
      </c>
    </row>
    <row r="124" spans="1:11" x14ac:dyDescent="0.35">
      <c r="A124" s="6"/>
      <c r="B124" s="6">
        <v>41</v>
      </c>
      <c r="C124" s="950"/>
      <c r="D124" s="951"/>
      <c r="E124" s="559"/>
      <c r="F124" s="958"/>
      <c r="G124" s="559"/>
      <c r="H124" s="559"/>
      <c r="I124" s="559"/>
      <c r="J124" t="b">
        <f t="shared" si="4"/>
        <v>0</v>
      </c>
      <c r="K124" s="420" t="b">
        <f t="shared" si="5"/>
        <v>0</v>
      </c>
    </row>
    <row r="125" spans="1:11" x14ac:dyDescent="0.35">
      <c r="A125" s="6"/>
      <c r="B125" s="6">
        <v>42</v>
      </c>
      <c r="C125" s="950"/>
      <c r="D125" s="951"/>
      <c r="E125" s="559"/>
      <c r="F125" s="958"/>
      <c r="G125" s="559"/>
      <c r="H125" s="559"/>
      <c r="I125" s="559"/>
      <c r="J125" t="b">
        <f t="shared" si="4"/>
        <v>0</v>
      </c>
      <c r="K125" s="420" t="b">
        <f t="shared" si="5"/>
        <v>0</v>
      </c>
    </row>
    <row r="126" spans="1:11" x14ac:dyDescent="0.35">
      <c r="A126" s="6"/>
      <c r="B126" s="6">
        <v>43</v>
      </c>
      <c r="C126" s="950"/>
      <c r="D126" s="951"/>
      <c r="E126" s="559"/>
      <c r="F126" s="958"/>
      <c r="G126" s="559"/>
      <c r="H126" s="559"/>
      <c r="I126" s="559"/>
      <c r="J126" t="b">
        <f t="shared" si="4"/>
        <v>0</v>
      </c>
      <c r="K126" s="420" t="b">
        <f t="shared" si="5"/>
        <v>0</v>
      </c>
    </row>
    <row r="127" spans="1:11" x14ac:dyDescent="0.35">
      <c r="A127" s="6"/>
      <c r="B127" s="6">
        <v>44</v>
      </c>
      <c r="C127" s="950"/>
      <c r="D127" s="951"/>
      <c r="E127" s="559"/>
      <c r="F127" s="958"/>
      <c r="G127" s="559"/>
      <c r="H127" s="559"/>
      <c r="I127" s="559"/>
      <c r="J127" t="b">
        <f t="shared" si="4"/>
        <v>0</v>
      </c>
      <c r="K127" s="420" t="b">
        <f t="shared" si="5"/>
        <v>0</v>
      </c>
    </row>
    <row r="128" spans="1:11" x14ac:dyDescent="0.35">
      <c r="A128" s="6"/>
      <c r="B128" s="6">
        <v>45</v>
      </c>
      <c r="C128" s="950"/>
      <c r="D128" s="951"/>
      <c r="E128" s="559"/>
      <c r="F128" s="958"/>
      <c r="G128" s="559"/>
      <c r="H128" s="559"/>
      <c r="I128" s="559"/>
      <c r="J128" t="b">
        <f t="shared" si="4"/>
        <v>0</v>
      </c>
      <c r="K128" s="420" t="b">
        <f t="shared" si="5"/>
        <v>0</v>
      </c>
    </row>
    <row r="129" spans="1:11" x14ac:dyDescent="0.35">
      <c r="A129" s="6"/>
      <c r="B129" s="6">
        <v>46</v>
      </c>
      <c r="C129" s="950"/>
      <c r="D129" s="951"/>
      <c r="E129" s="559"/>
      <c r="F129" s="958"/>
      <c r="G129" s="559"/>
      <c r="H129" s="559"/>
      <c r="I129" s="559"/>
      <c r="J129" t="b">
        <f t="shared" si="4"/>
        <v>0</v>
      </c>
      <c r="K129" s="420" t="b">
        <f t="shared" si="5"/>
        <v>0</v>
      </c>
    </row>
    <row r="130" spans="1:11" x14ac:dyDescent="0.35">
      <c r="A130" s="6"/>
      <c r="B130" s="6">
        <v>47</v>
      </c>
      <c r="C130" s="950"/>
      <c r="D130" s="951"/>
      <c r="E130" s="559"/>
      <c r="F130" s="958"/>
      <c r="G130" s="559"/>
      <c r="H130" s="559"/>
      <c r="I130" s="559"/>
      <c r="J130" t="b">
        <f t="shared" si="4"/>
        <v>0</v>
      </c>
      <c r="K130" s="420" t="b">
        <f t="shared" si="5"/>
        <v>0</v>
      </c>
    </row>
    <row r="131" spans="1:11" x14ac:dyDescent="0.35">
      <c r="A131" s="6"/>
      <c r="B131" s="6">
        <v>48</v>
      </c>
      <c r="C131" s="950"/>
      <c r="D131" s="951"/>
      <c r="E131" s="559"/>
      <c r="F131" s="958"/>
      <c r="G131" s="559"/>
      <c r="H131" s="559"/>
      <c r="I131" s="559"/>
      <c r="J131" t="b">
        <f t="shared" si="4"/>
        <v>0</v>
      </c>
      <c r="K131" s="420" t="b">
        <f t="shared" si="5"/>
        <v>0</v>
      </c>
    </row>
    <row r="132" spans="1:11" x14ac:dyDescent="0.35">
      <c r="A132" s="6"/>
      <c r="B132" s="6">
        <v>49</v>
      </c>
      <c r="C132" s="950"/>
      <c r="D132" s="951"/>
      <c r="E132" s="559"/>
      <c r="F132" s="958"/>
      <c r="G132" s="559"/>
      <c r="H132" s="559"/>
      <c r="I132" s="559"/>
      <c r="J132" t="b">
        <f t="shared" si="4"/>
        <v>0</v>
      </c>
      <c r="K132" s="420" t="b">
        <f t="shared" si="5"/>
        <v>0</v>
      </c>
    </row>
    <row r="133" spans="1:11" x14ac:dyDescent="0.35">
      <c r="A133" s="6"/>
      <c r="B133" s="6">
        <v>50</v>
      </c>
      <c r="C133" s="950"/>
      <c r="D133" s="951"/>
      <c r="E133" s="559"/>
      <c r="F133" s="958"/>
      <c r="G133" s="559"/>
      <c r="H133" s="559"/>
      <c r="I133" s="559"/>
      <c r="J133" t="b">
        <f t="shared" si="4"/>
        <v>0</v>
      </c>
      <c r="K133" s="420" t="b">
        <f t="shared" si="5"/>
        <v>0</v>
      </c>
    </row>
    <row r="135" spans="1:11" x14ac:dyDescent="0.35">
      <c r="B135" s="403"/>
      <c r="C135" s="403"/>
      <c r="D135" s="403"/>
      <c r="E135" s="403"/>
      <c r="F135" s="403"/>
      <c r="G135" s="403"/>
      <c r="H135" s="403"/>
      <c r="I135" s="403"/>
    </row>
    <row r="136" spans="1:11" x14ac:dyDescent="0.35">
      <c r="B136" s="403"/>
      <c r="C136" s="580" t="s">
        <v>4140</v>
      </c>
      <c r="D136" s="403"/>
      <c r="E136" s="403"/>
      <c r="F136" s="403"/>
      <c r="G136" s="403"/>
      <c r="H136" s="403"/>
      <c r="I136" s="403"/>
      <c r="J136" s="403"/>
    </row>
    <row r="137" spans="1:11" ht="3" customHeight="1" x14ac:dyDescent="0.35">
      <c r="B137" s="403"/>
      <c r="C137" s="580"/>
      <c r="D137" s="403"/>
      <c r="E137" s="403"/>
      <c r="F137" s="403"/>
      <c r="G137" s="403"/>
      <c r="H137" s="403"/>
      <c r="I137" s="403"/>
      <c r="J137" s="403"/>
    </row>
    <row r="138" spans="1:11" x14ac:dyDescent="0.35">
      <c r="B138" s="403"/>
      <c r="C138" s="581" t="s">
        <v>4719</v>
      </c>
      <c r="D138" s="403"/>
      <c r="E138" s="403"/>
      <c r="F138" s="403"/>
      <c r="G138" s="403"/>
      <c r="H138" s="403"/>
      <c r="I138" s="403"/>
    </row>
    <row r="139" spans="1:11" ht="3" customHeight="1" x14ac:dyDescent="0.35">
      <c r="B139" s="403"/>
      <c r="C139" s="581"/>
      <c r="D139" s="403"/>
      <c r="E139" s="403"/>
      <c r="F139" s="403"/>
      <c r="G139" s="403"/>
      <c r="H139" s="403"/>
      <c r="I139" s="403"/>
    </row>
    <row r="140" spans="1:11" x14ac:dyDescent="0.35">
      <c r="B140" s="403"/>
      <c r="C140" s="581" t="s">
        <v>4793</v>
      </c>
      <c r="D140" s="403"/>
      <c r="E140" s="403"/>
      <c r="F140" s="403"/>
      <c r="G140" s="403"/>
      <c r="H140" s="403"/>
      <c r="I140" s="403"/>
    </row>
    <row r="141" spans="1:11" ht="3" customHeight="1" x14ac:dyDescent="0.35">
      <c r="B141" s="403"/>
      <c r="C141" s="581"/>
      <c r="D141" s="403"/>
      <c r="E141" s="403"/>
      <c r="F141" s="403"/>
      <c r="G141" s="403"/>
      <c r="H141" s="403"/>
      <c r="I141" s="403"/>
    </row>
    <row r="142" spans="1:11" x14ac:dyDescent="0.35">
      <c r="B142" s="403"/>
      <c r="C142" s="949" t="s">
        <v>4794</v>
      </c>
      <c r="D142" s="949"/>
      <c r="E142" s="949"/>
      <c r="F142" s="949"/>
      <c r="G142" s="949"/>
      <c r="H142" s="949"/>
      <c r="I142" s="949"/>
    </row>
    <row r="143" spans="1:11" ht="3" customHeight="1" x14ac:dyDescent="0.35">
      <c r="B143" s="403"/>
      <c r="C143" s="949"/>
      <c r="D143" s="949"/>
      <c r="E143" s="949"/>
      <c r="F143" s="949"/>
      <c r="G143" s="949"/>
      <c r="H143" s="949"/>
      <c r="I143" s="949"/>
    </row>
    <row r="144" spans="1:11" x14ac:dyDescent="0.35">
      <c r="B144" s="403"/>
      <c r="C144" s="947" t="s">
        <v>4795</v>
      </c>
      <c r="D144" s="947"/>
      <c r="E144" s="947"/>
      <c r="F144" s="947"/>
      <c r="G144" s="947"/>
      <c r="H144" s="947"/>
      <c r="I144" s="947"/>
    </row>
    <row r="145" spans="2:11" ht="3" customHeight="1" x14ac:dyDescent="0.35">
      <c r="B145" s="403"/>
      <c r="C145" s="581"/>
      <c r="D145" s="403"/>
      <c r="E145" s="403"/>
      <c r="F145" s="403"/>
      <c r="G145" s="403"/>
      <c r="H145" s="403"/>
      <c r="I145" s="403"/>
    </row>
    <row r="146" spans="2:11" x14ac:dyDescent="0.35">
      <c r="B146" s="403"/>
      <c r="C146" s="581" t="s">
        <v>4720</v>
      </c>
      <c r="D146" s="403"/>
      <c r="E146" s="403"/>
      <c r="F146" s="403"/>
      <c r="G146" s="403"/>
      <c r="H146" s="403"/>
      <c r="I146" s="403"/>
    </row>
    <row r="147" spans="2:11" ht="3" customHeight="1" x14ac:dyDescent="0.35">
      <c r="B147" s="403"/>
      <c r="C147" s="581"/>
      <c r="D147" s="403"/>
      <c r="E147" s="403"/>
      <c r="F147" s="403"/>
      <c r="G147" s="403"/>
      <c r="H147" s="403"/>
      <c r="I147" s="403"/>
    </row>
    <row r="148" spans="2:11" ht="30" customHeight="1" x14ac:dyDescent="0.35">
      <c r="B148" s="403"/>
      <c r="C148" s="948" t="s">
        <v>4721</v>
      </c>
      <c r="D148" s="948"/>
      <c r="E148" s="948"/>
      <c r="F148" s="948"/>
      <c r="G148" s="948"/>
      <c r="H148" s="948"/>
      <c r="I148" s="948"/>
      <c r="J148" s="215"/>
    </row>
    <row r="149" spans="2:11" ht="3" customHeight="1" x14ac:dyDescent="0.35">
      <c r="B149" s="403"/>
      <c r="C149" s="581"/>
      <c r="D149" s="403"/>
      <c r="E149" s="403"/>
      <c r="F149" s="403"/>
      <c r="G149" s="403"/>
      <c r="H149" s="403"/>
      <c r="I149" s="403"/>
    </row>
    <row r="150" spans="2:11" ht="30" customHeight="1" x14ac:dyDescent="0.35">
      <c r="B150" s="403"/>
      <c r="C150" s="949" t="s">
        <v>4722</v>
      </c>
      <c r="D150" s="949"/>
      <c r="E150" s="949"/>
      <c r="F150" s="949"/>
      <c r="G150" s="949"/>
      <c r="H150" s="949"/>
      <c r="I150" s="949"/>
      <c r="K150" s="582"/>
    </row>
    <row r="151" spans="2:11" ht="3" customHeight="1" x14ac:dyDescent="0.35">
      <c r="B151" s="403"/>
      <c r="C151" s="581"/>
      <c r="D151" s="403"/>
      <c r="E151" s="403"/>
      <c r="F151" s="403"/>
      <c r="G151" s="403"/>
      <c r="H151" s="403"/>
      <c r="I151" s="403"/>
    </row>
    <row r="152" spans="2:11" x14ac:dyDescent="0.35">
      <c r="B152" s="403"/>
      <c r="C152" s="581" t="s">
        <v>4796</v>
      </c>
      <c r="D152" s="403"/>
      <c r="E152" s="403"/>
      <c r="F152" s="403"/>
      <c r="G152" s="403"/>
      <c r="H152" s="403"/>
      <c r="I152" s="403"/>
    </row>
    <row r="155" spans="2:11" x14ac:dyDescent="0.35">
      <c r="C155" s="259" t="s">
        <v>4806</v>
      </c>
    </row>
    <row r="157" spans="2:11" x14ac:dyDescent="0.35">
      <c r="C157" s="637" t="s">
        <v>4723</v>
      </c>
      <c r="D157" s="637"/>
      <c r="E157" s="637"/>
      <c r="F157" s="637"/>
      <c r="G157" s="637"/>
      <c r="H157" s="637"/>
    </row>
    <row r="158" spans="2:11" x14ac:dyDescent="0.35">
      <c r="C158" s="637"/>
      <c r="D158" s="637"/>
      <c r="E158" s="637"/>
      <c r="F158" s="637"/>
      <c r="G158" s="637"/>
      <c r="H158" s="637"/>
    </row>
    <row r="160" spans="2:11" ht="58" x14ac:dyDescent="0.35">
      <c r="C160" s="404" t="s">
        <v>4724</v>
      </c>
      <c r="D160" s="404" t="s">
        <v>4725</v>
      </c>
      <c r="E160" s="404" t="s">
        <v>4726</v>
      </c>
      <c r="F160" s="956" t="s">
        <v>1</v>
      </c>
      <c r="G160" s="956"/>
      <c r="H160" s="956"/>
    </row>
    <row r="161" spans="2:8" x14ac:dyDescent="0.35">
      <c r="B161" s="6">
        <v>1</v>
      </c>
      <c r="C161" s="583" t="s">
        <v>4827</v>
      </c>
      <c r="D161" s="584"/>
      <c r="E161" s="584"/>
      <c r="F161" s="952" t="s">
        <v>4827</v>
      </c>
      <c r="G161" s="952"/>
      <c r="H161" s="952"/>
    </row>
    <row r="162" spans="2:8" x14ac:dyDescent="0.35">
      <c r="B162" s="6">
        <v>2</v>
      </c>
      <c r="C162" s="583" t="s">
        <v>4827</v>
      </c>
      <c r="D162" s="584"/>
      <c r="E162" s="584"/>
      <c r="F162" s="952" t="s">
        <v>4827</v>
      </c>
      <c r="G162" s="952"/>
      <c r="H162" s="952"/>
    </row>
    <row r="163" spans="2:8" x14ac:dyDescent="0.35">
      <c r="B163" s="6">
        <v>3</v>
      </c>
      <c r="C163" s="583" t="s">
        <v>4827</v>
      </c>
      <c r="D163" s="584"/>
      <c r="E163" s="584"/>
      <c r="F163" s="952" t="s">
        <v>4827</v>
      </c>
      <c r="G163" s="952"/>
      <c r="H163" s="952"/>
    </row>
    <row r="164" spans="2:8" x14ac:dyDescent="0.35">
      <c r="B164" s="6">
        <v>4</v>
      </c>
      <c r="C164" s="583" t="s">
        <v>4827</v>
      </c>
      <c r="D164" s="584"/>
      <c r="E164" s="584"/>
      <c r="F164" s="952" t="s">
        <v>4827</v>
      </c>
      <c r="G164" s="952"/>
      <c r="H164" s="952"/>
    </row>
    <row r="165" spans="2:8" x14ac:dyDescent="0.35">
      <c r="B165" s="6">
        <v>5</v>
      </c>
      <c r="C165" s="583" t="s">
        <v>4827</v>
      </c>
      <c r="D165" s="584"/>
      <c r="E165" s="584"/>
      <c r="F165" s="952" t="s">
        <v>4827</v>
      </c>
      <c r="G165" s="952"/>
      <c r="H165" s="952"/>
    </row>
    <row r="166" spans="2:8" x14ac:dyDescent="0.35">
      <c r="B166" s="6">
        <v>6</v>
      </c>
      <c r="C166" s="583" t="s">
        <v>4827</v>
      </c>
      <c r="D166" s="584"/>
      <c r="E166" s="584"/>
      <c r="F166" s="952" t="s">
        <v>4827</v>
      </c>
      <c r="G166" s="952"/>
      <c r="H166" s="952"/>
    </row>
    <row r="167" spans="2:8" x14ac:dyDescent="0.35">
      <c r="B167" s="6">
        <v>7</v>
      </c>
      <c r="C167" s="583" t="s">
        <v>4827</v>
      </c>
      <c r="D167" s="584"/>
      <c r="E167" s="584"/>
      <c r="F167" s="952" t="s">
        <v>4827</v>
      </c>
      <c r="G167" s="952"/>
      <c r="H167" s="952"/>
    </row>
    <row r="168" spans="2:8" x14ac:dyDescent="0.35">
      <c r="B168" s="6">
        <v>8</v>
      </c>
      <c r="C168" s="583" t="s">
        <v>4827</v>
      </c>
      <c r="D168" s="584"/>
      <c r="E168" s="584"/>
      <c r="F168" s="952" t="s">
        <v>4827</v>
      </c>
      <c r="G168" s="952"/>
      <c r="H168" s="952"/>
    </row>
    <row r="169" spans="2:8" x14ac:dyDescent="0.35">
      <c r="B169" s="6">
        <v>9</v>
      </c>
      <c r="C169" s="583" t="s">
        <v>4827</v>
      </c>
      <c r="D169" s="584"/>
      <c r="E169" s="584"/>
      <c r="F169" s="952" t="s">
        <v>4827</v>
      </c>
      <c r="G169" s="952"/>
      <c r="H169" s="952"/>
    </row>
    <row r="170" spans="2:8" x14ac:dyDescent="0.35">
      <c r="B170" s="6">
        <v>10</v>
      </c>
      <c r="C170" s="583" t="s">
        <v>4827</v>
      </c>
      <c r="D170" s="584"/>
      <c r="E170" s="584"/>
      <c r="F170" s="952" t="s">
        <v>4827</v>
      </c>
      <c r="G170" s="952"/>
      <c r="H170" s="952"/>
    </row>
    <row r="171" spans="2:8" x14ac:dyDescent="0.35">
      <c r="B171" s="6">
        <v>11</v>
      </c>
      <c r="C171" s="583" t="s">
        <v>4827</v>
      </c>
      <c r="D171" s="584"/>
      <c r="E171" s="584"/>
      <c r="F171" s="952" t="s">
        <v>4827</v>
      </c>
      <c r="G171" s="952"/>
      <c r="H171" s="952"/>
    </row>
    <row r="172" spans="2:8" x14ac:dyDescent="0.35">
      <c r="B172" s="6">
        <v>12</v>
      </c>
      <c r="C172" s="583" t="s">
        <v>4827</v>
      </c>
      <c r="D172" s="584"/>
      <c r="E172" s="584"/>
      <c r="F172" s="952" t="s">
        <v>4827</v>
      </c>
      <c r="G172" s="952"/>
      <c r="H172" s="952"/>
    </row>
    <row r="173" spans="2:8" x14ac:dyDescent="0.35">
      <c r="B173" s="6">
        <v>13</v>
      </c>
      <c r="C173" s="583" t="s">
        <v>4827</v>
      </c>
      <c r="D173" s="584"/>
      <c r="E173" s="584"/>
      <c r="F173" s="952" t="s">
        <v>4827</v>
      </c>
      <c r="G173" s="952"/>
      <c r="H173" s="952"/>
    </row>
    <row r="174" spans="2:8" x14ac:dyDescent="0.35">
      <c r="B174" s="6">
        <v>14</v>
      </c>
      <c r="C174" s="583" t="s">
        <v>4827</v>
      </c>
      <c r="D174" s="584"/>
      <c r="E174" s="584"/>
      <c r="F174" s="952" t="s">
        <v>4827</v>
      </c>
      <c r="G174" s="952"/>
      <c r="H174" s="952"/>
    </row>
    <row r="175" spans="2:8" x14ac:dyDescent="0.35">
      <c r="B175" s="6">
        <v>15</v>
      </c>
      <c r="C175" s="583" t="s">
        <v>4827</v>
      </c>
      <c r="D175" s="584"/>
      <c r="E175" s="584"/>
      <c r="F175" s="952" t="s">
        <v>4827</v>
      </c>
      <c r="G175" s="952"/>
      <c r="H175" s="952"/>
    </row>
    <row r="176" spans="2:8" x14ac:dyDescent="0.35">
      <c r="B176" s="6">
        <v>16</v>
      </c>
      <c r="C176" s="583" t="s">
        <v>4827</v>
      </c>
      <c r="D176" s="584"/>
      <c r="E176" s="584"/>
      <c r="F176" s="952" t="s">
        <v>4827</v>
      </c>
      <c r="G176" s="952"/>
      <c r="H176" s="952"/>
    </row>
    <row r="177" spans="3:11" ht="15" customHeight="1" x14ac:dyDescent="0.35">
      <c r="C177" s="953" t="s">
        <v>4727</v>
      </c>
      <c r="D177" s="397" t="str">
        <f>"TOTAL: "&amp;SUM(D161:D176)</f>
        <v>TOTAL: 0</v>
      </c>
      <c r="E177" s="397" t="str">
        <f>"TOTAL: "&amp;SUM(E161:E176)</f>
        <v>TOTAL: 0</v>
      </c>
      <c r="F177" s="955" t="s">
        <v>4728</v>
      </c>
      <c r="G177" s="955"/>
      <c r="H177" s="955"/>
      <c r="K177" s="314">
        <f>IFERROR(SUM(E161:E176)/SUM(D161:D176),0)</f>
        <v>0</v>
      </c>
    </row>
    <row r="178" spans="3:11" x14ac:dyDescent="0.35">
      <c r="C178" s="954"/>
      <c r="F178" s="955"/>
      <c r="G178" s="955"/>
      <c r="H178" s="955"/>
    </row>
    <row r="179" spans="3:11" x14ac:dyDescent="0.35">
      <c r="C179" s="954"/>
      <c r="F179" s="955"/>
      <c r="G179" s="955"/>
      <c r="H179" s="955"/>
    </row>
    <row r="180" spans="3:11" x14ac:dyDescent="0.35">
      <c r="C180" s="215"/>
      <c r="F180" s="955"/>
      <c r="G180" s="955"/>
      <c r="H180" s="955"/>
    </row>
    <row r="181" spans="3:11" x14ac:dyDescent="0.35">
      <c r="F181" s="955"/>
      <c r="G181" s="955"/>
      <c r="H181" s="955"/>
    </row>
    <row r="182" spans="3:11" x14ac:dyDescent="0.35">
      <c r="F182" s="955"/>
      <c r="G182" s="955"/>
      <c r="H182" s="955"/>
    </row>
  </sheetData>
  <sheetProtection algorithmName="SHA-512" hashValue="e/kKTyf0m2DULW/8MhQn/YY+3KOR/CdksjSGJxo/LhuExMd+v8Ds0PUnxkO6h/lAB4/z3OkxEei8m6ujgBON3Q==" saltValue="FyLZxNtzoeee++XZzXcNCQ==" spinCount="100000" sheet="1" objects="1" scenarios="1" selectLockedCells="1"/>
  <mergeCells count="127">
    <mergeCell ref="D1:I5"/>
    <mergeCell ref="E71:F71"/>
    <mergeCell ref="G71:H71"/>
    <mergeCell ref="C43:D43"/>
    <mergeCell ref="E72:F72"/>
    <mergeCell ref="E73:F73"/>
    <mergeCell ref="E74:F74"/>
    <mergeCell ref="E75:F75"/>
    <mergeCell ref="E76:F76"/>
    <mergeCell ref="G72:H72"/>
    <mergeCell ref="G73:H73"/>
    <mergeCell ref="G74:H74"/>
    <mergeCell ref="G75:H75"/>
    <mergeCell ref="G76:H76"/>
    <mergeCell ref="F18:I18"/>
    <mergeCell ref="C16:D16"/>
    <mergeCell ref="G16:I16"/>
    <mergeCell ref="E65:I65"/>
    <mergeCell ref="A51:B51"/>
    <mergeCell ref="A55:B55"/>
    <mergeCell ref="A57:B57"/>
    <mergeCell ref="A59:B59"/>
    <mergeCell ref="C41:D41"/>
    <mergeCell ref="A16:B16"/>
    <mergeCell ref="E20:E21"/>
    <mergeCell ref="C51:I53"/>
    <mergeCell ref="A52:B52"/>
    <mergeCell ref="A53:B53"/>
    <mergeCell ref="C45:D45"/>
    <mergeCell ref="C47:D47"/>
    <mergeCell ref="C83:D83"/>
    <mergeCell ref="C84:D84"/>
    <mergeCell ref="C99:D99"/>
    <mergeCell ref="A8:B8"/>
    <mergeCell ref="G8:I8"/>
    <mergeCell ref="A10:B10"/>
    <mergeCell ref="C10:D10"/>
    <mergeCell ref="G10:I10"/>
    <mergeCell ref="A37:B37"/>
    <mergeCell ref="C37:I39"/>
    <mergeCell ref="A38:B38"/>
    <mergeCell ref="A39:B39"/>
    <mergeCell ref="C69:I69"/>
    <mergeCell ref="A61:B61"/>
    <mergeCell ref="D61:D63"/>
    <mergeCell ref="A63:B63"/>
    <mergeCell ref="A65:B65"/>
    <mergeCell ref="A12:B12"/>
    <mergeCell ref="C12:D12"/>
    <mergeCell ref="G12:I12"/>
    <mergeCell ref="A14:B14"/>
    <mergeCell ref="C14:D14"/>
    <mergeCell ref="G14:I14"/>
    <mergeCell ref="C18:D18"/>
    <mergeCell ref="F166:H166"/>
    <mergeCell ref="C142:I143"/>
    <mergeCell ref="C157:H158"/>
    <mergeCell ref="F160:H160"/>
    <mergeCell ref="F161:H161"/>
    <mergeCell ref="C177:C179"/>
    <mergeCell ref="F177:H182"/>
    <mergeCell ref="F172:H172"/>
    <mergeCell ref="F173:H173"/>
    <mergeCell ref="F174:H174"/>
    <mergeCell ref="F175:H175"/>
    <mergeCell ref="F176:H176"/>
    <mergeCell ref="F167:H167"/>
    <mergeCell ref="F168:H168"/>
    <mergeCell ref="F169:H169"/>
    <mergeCell ref="F170:H170"/>
    <mergeCell ref="F171:H171"/>
    <mergeCell ref="C150:I150"/>
    <mergeCell ref="F162:H162"/>
    <mergeCell ref="F163:H163"/>
    <mergeCell ref="F164:H164"/>
    <mergeCell ref="F165:H165"/>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32:D132"/>
    <mergeCell ref="C133:D133"/>
    <mergeCell ref="C144:I144"/>
    <mergeCell ref="C148:I148"/>
    <mergeCell ref="F84:F133"/>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s>
  <conditionalFormatting sqref="F24:I29 F32:I32">
    <cfRule type="cellIs" dxfId="21" priority="86" operator="lessThanOrEqual">
      <formula>$E24</formula>
    </cfRule>
  </conditionalFormatting>
  <conditionalFormatting sqref="C37 C41 C43 C45 C47 C51 C55 C57 C59 C61 C63 C65">
    <cfRule type="notContainsBlanks" dxfId="20" priority="4859">
      <formula>LEN(TRIM(C37))&gt;0</formula>
    </cfRule>
  </conditionalFormatting>
  <conditionalFormatting sqref="G8">
    <cfRule type="expression" dxfId="19" priority="31">
      <formula>G8="Gold"</formula>
    </cfRule>
    <cfRule type="expression" dxfId="18" priority="32">
      <formula>G8="Silver"</formula>
    </cfRule>
    <cfRule type="expression" dxfId="17" priority="33">
      <formula>G8="Bronze"</formula>
    </cfRule>
    <cfRule type="expression" dxfId="16" priority="34">
      <formula>G8="Emerald"</formula>
    </cfRule>
  </conditionalFormatting>
  <conditionalFormatting sqref="F18:I18">
    <cfRule type="expression" dxfId="15" priority="29">
      <formula>$J$18</formula>
    </cfRule>
  </conditionalFormatting>
  <conditionalFormatting sqref="C72:H76">
    <cfRule type="notContainsBlanks" dxfId="14" priority="26">
      <formula>LEN(TRIM(C72))&gt;0</formula>
    </cfRule>
  </conditionalFormatting>
  <conditionalFormatting sqref="C72:H76">
    <cfRule type="expression" dxfId="13" priority="4861">
      <formula>$K72</formula>
    </cfRule>
  </conditionalFormatting>
  <conditionalFormatting sqref="C161:H176">
    <cfRule type="notContainsBlanks" dxfId="12" priority="8">
      <formula>LEN(TRIM(C161))&gt;0</formula>
    </cfRule>
  </conditionalFormatting>
  <conditionalFormatting sqref="F177:H182">
    <cfRule type="expression" dxfId="11" priority="3">
      <formula>AND($K$178&gt;=(1/7),$K$178&lt;0.2)</formula>
    </cfRule>
  </conditionalFormatting>
  <conditionalFormatting sqref="D177:E177">
    <cfRule type="expression" dxfId="10" priority="5">
      <formula>$K$178&gt;=0.2</formula>
    </cfRule>
    <cfRule type="expression" dxfId="9" priority="6">
      <formula>$K$178&gt;=(1/7)</formula>
    </cfRule>
    <cfRule type="expression" dxfId="8" priority="7">
      <formula>$K$178&gt;0</formula>
    </cfRule>
  </conditionalFormatting>
  <conditionalFormatting sqref="C177:C179">
    <cfRule type="expression" dxfId="7" priority="4">
      <formula>AND($K$178&gt;0,$K$178&lt;(1/7))</formula>
    </cfRule>
  </conditionalFormatting>
  <conditionalFormatting sqref="C84:E133 G84:I133">
    <cfRule type="notContainsBlanks" dxfId="6" priority="1">
      <formula>LEN(TRIM(C84))&gt;0</formula>
    </cfRule>
    <cfRule type="expression" dxfId="5" priority="2">
      <formula>$K84</formula>
    </cfRule>
  </conditionalFormatting>
  <dataValidations count="1">
    <dataValidation type="whole" allowBlank="1" showInputMessage="1" showErrorMessage="1" sqref="D161:E176" xr:uid="{8887ECBC-803F-4417-B6F8-55668C573755}">
      <formula1>0</formula1>
      <formula2>10000</formula2>
    </dataValidation>
  </dataValidations>
  <pageMargins left="0.7" right="0.7" top="0.75" bottom="0.75" header="0.3" footer="0.3"/>
  <pageSetup scale="56" fitToHeight="0" orientation="portrait" r:id="rId1"/>
  <rowBreaks count="1" manualBreakCount="1">
    <brk id="79"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85" stopIfTrue="1" id="{08A68B61-7D14-4FFB-8A40-95825A95933B}">
            <xm:f>Points!$Y10&lt;3</xm:f>
            <x14:dxf>
              <fill>
                <patternFill patternType="lightGray"/>
              </fill>
            </x14:dxf>
          </x14:cfRule>
          <xm:sqref>H26:H27</xm:sqref>
        </x14:conditionalFormatting>
        <x14:conditionalFormatting xmlns:xm="http://schemas.microsoft.com/office/excel/2006/main">
          <x14:cfRule type="expression" priority="84" stopIfTrue="1" id="{A2EC195A-93B7-440D-B4EA-6F78072ED82D}">
            <xm:f>Points!$Y10&lt;4</xm:f>
            <x14:dxf>
              <fill>
                <patternFill patternType="lightGray"/>
              </fill>
            </x14:dxf>
          </x14:cfRule>
          <xm:sqref>I26:I27</xm:sqref>
        </x14:conditionalFormatting>
        <x14:conditionalFormatting xmlns:xm="http://schemas.microsoft.com/office/excel/2006/main">
          <x14:cfRule type="expression" priority="82" stopIfTrue="1" id="{B4057145-EB82-42DB-B8E6-47B010E15B78}">
            <xm:f>MIN(Points!$Y$10:$Y$11)&lt;3</xm:f>
            <x14:dxf>
              <fill>
                <patternFill patternType="lightGray"/>
              </fill>
            </x14:dxf>
          </x14:cfRule>
          <xm:sqref>H32</xm:sqref>
        </x14:conditionalFormatting>
        <x14:conditionalFormatting xmlns:xm="http://schemas.microsoft.com/office/excel/2006/main">
          <x14:cfRule type="expression" priority="81" id="{26B4958A-7349-44B2-8E4C-C51891382655}">
            <xm:f>MIN(Points!$Y$10:$Y$11)&lt;4</xm:f>
            <x14:dxf>
              <fill>
                <patternFill patternType="lightGray"/>
              </fill>
            </x14:dxf>
          </x14:cfRule>
          <xm:sqref>I32</xm:sqref>
        </x14:conditionalFormatting>
        <x14:conditionalFormatting xmlns:xm="http://schemas.microsoft.com/office/excel/2006/main">
          <x14:cfRule type="expression" priority="30" id="{262860F8-EFFF-465D-9491-0793F5EC5685}">
            <xm:f>OR('Verification Report'!$AI$3,'Verification Report'!$AG$3)</xm:f>
            <x14:dxf>
              <font>
                <b/>
                <i val="0"/>
                <color theme="1"/>
              </font>
              <fill>
                <patternFill>
                  <bgColor rgb="FFFF0000"/>
                </patternFill>
              </fill>
            </x14:dxf>
          </x14:cfRule>
          <xm:sqref>C18:D18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U64"/>
  <sheetViews>
    <sheetView showGridLines="0" zoomScaleNormal="100" workbookViewId="0">
      <pane ySplit="6" topLeftCell="A7" activePane="bottomLeft" state="frozen"/>
      <selection pane="bottomLeft" activeCell="G10" sqref="G10:J10"/>
    </sheetView>
  </sheetViews>
  <sheetFormatPr defaultRowHeight="14.5" x14ac:dyDescent="0.35"/>
  <cols>
    <col min="5" max="5" width="16.81640625" hidden="1" customWidth="1"/>
    <col min="6" max="6" width="17.453125" hidden="1" customWidth="1"/>
  </cols>
  <sheetData>
    <row r="1" spans="1:21" x14ac:dyDescent="0.35">
      <c r="A1" s="639"/>
      <c r="B1" s="639"/>
      <c r="C1" s="639"/>
      <c r="D1" s="639" t="s">
        <v>4629</v>
      </c>
      <c r="E1" s="639"/>
      <c r="F1" s="639"/>
      <c r="G1" s="639"/>
      <c r="H1" s="639"/>
      <c r="I1" s="639"/>
      <c r="J1" s="639"/>
      <c r="K1" s="639"/>
      <c r="L1" s="639"/>
      <c r="M1" s="639"/>
      <c r="N1" s="639"/>
      <c r="O1" s="639"/>
      <c r="P1" s="639"/>
      <c r="Q1" s="639"/>
      <c r="R1" s="639"/>
      <c r="S1" s="639"/>
      <c r="T1" s="639"/>
      <c r="U1" s="639"/>
    </row>
    <row r="2" spans="1:21" x14ac:dyDescent="0.35">
      <c r="A2" s="639"/>
      <c r="B2" s="639"/>
      <c r="C2" s="639"/>
      <c r="D2" s="639"/>
      <c r="E2" s="639"/>
      <c r="F2" s="639"/>
      <c r="G2" s="639"/>
      <c r="H2" s="639"/>
      <c r="I2" s="639"/>
      <c r="J2" s="639"/>
      <c r="K2" s="639"/>
      <c r="L2" s="639"/>
      <c r="M2" s="639"/>
      <c r="N2" s="639"/>
      <c r="O2" s="639"/>
      <c r="P2" s="639"/>
      <c r="Q2" s="639"/>
      <c r="R2" s="639"/>
      <c r="S2" s="639"/>
      <c r="T2" s="639"/>
      <c r="U2" s="639"/>
    </row>
    <row r="3" spans="1:21" x14ac:dyDescent="0.35">
      <c r="A3" s="639"/>
      <c r="B3" s="639"/>
      <c r="C3" s="639"/>
      <c r="D3" s="639"/>
      <c r="E3" s="639"/>
      <c r="F3" s="639"/>
      <c r="G3" s="639"/>
      <c r="H3" s="639"/>
      <c r="I3" s="639"/>
      <c r="J3" s="639"/>
      <c r="K3" s="639"/>
      <c r="L3" s="639"/>
      <c r="M3" s="639"/>
      <c r="N3" s="639"/>
      <c r="O3" s="639"/>
      <c r="P3" s="639"/>
      <c r="Q3" s="639"/>
      <c r="R3" s="639"/>
      <c r="S3" s="639"/>
      <c r="T3" s="639"/>
      <c r="U3" s="639"/>
    </row>
    <row r="4" spans="1:21" x14ac:dyDescent="0.35">
      <c r="A4" s="639"/>
      <c r="B4" s="639"/>
      <c r="C4" s="639"/>
      <c r="D4" s="639"/>
      <c r="E4" s="639"/>
      <c r="F4" s="639"/>
      <c r="G4" s="639"/>
      <c r="H4" s="639"/>
      <c r="I4" s="639"/>
      <c r="J4" s="639"/>
      <c r="K4" s="639"/>
      <c r="L4" s="639"/>
      <c r="M4" s="639"/>
      <c r="N4" s="639"/>
      <c r="O4" s="639"/>
      <c r="P4" s="639"/>
      <c r="Q4" s="639"/>
      <c r="R4" s="639"/>
      <c r="S4" s="639"/>
      <c r="T4" s="639"/>
      <c r="U4" s="639"/>
    </row>
    <row r="5" spans="1:21" x14ac:dyDescent="0.35">
      <c r="A5" s="639"/>
      <c r="B5" s="639"/>
      <c r="C5" s="639"/>
      <c r="D5" s="639"/>
      <c r="E5" s="639"/>
      <c r="F5" s="639"/>
      <c r="G5" s="639"/>
      <c r="H5" s="639"/>
      <c r="I5" s="639"/>
      <c r="J5" s="639"/>
      <c r="K5" s="639"/>
      <c r="L5" s="639"/>
      <c r="M5" s="639"/>
      <c r="N5" s="639"/>
      <c r="O5" s="639"/>
      <c r="P5" s="639"/>
      <c r="Q5" s="639"/>
      <c r="R5" s="639"/>
      <c r="S5" s="639"/>
      <c r="T5" s="639"/>
      <c r="U5" s="639"/>
    </row>
    <row r="6" spans="1:21" ht="18.5" x14ac:dyDescent="0.45">
      <c r="A6" s="11" t="s">
        <v>4303</v>
      </c>
      <c r="B6" s="11"/>
      <c r="C6" s="11"/>
      <c r="D6" s="11"/>
      <c r="E6" t="s">
        <v>260</v>
      </c>
      <c r="F6" t="s">
        <v>260</v>
      </c>
      <c r="G6" s="11"/>
      <c r="H6" s="11"/>
      <c r="I6" s="11"/>
      <c r="J6" s="11"/>
      <c r="K6" s="11"/>
      <c r="L6" s="11"/>
      <c r="M6" s="11"/>
      <c r="N6" s="11"/>
      <c r="O6" s="11"/>
      <c r="P6" s="11"/>
      <c r="Q6" s="11"/>
      <c r="R6" s="11"/>
      <c r="S6" s="11"/>
      <c r="T6" s="11"/>
      <c r="U6" s="11"/>
    </row>
    <row r="7" spans="1:21" x14ac:dyDescent="0.35">
      <c r="E7" t="s">
        <v>246</v>
      </c>
      <c r="F7" t="s">
        <v>247</v>
      </c>
    </row>
    <row r="8" spans="1:21" x14ac:dyDescent="0.35">
      <c r="A8" s="648" t="s">
        <v>4717</v>
      </c>
      <c r="B8" s="648"/>
      <c r="C8" s="648"/>
      <c r="D8" s="648"/>
      <c r="F8" s="2" t="s">
        <v>4718</v>
      </c>
      <c r="G8" s="17"/>
    </row>
    <row r="10" spans="1:21" x14ac:dyDescent="0.35">
      <c r="A10" s="648" t="s">
        <v>124</v>
      </c>
      <c r="B10" s="648"/>
      <c r="C10" s="648"/>
      <c r="D10" s="648"/>
      <c r="E10" s="2"/>
      <c r="F10" s="2" t="s">
        <v>151</v>
      </c>
      <c r="G10" s="651" t="s">
        <v>4821</v>
      </c>
      <c r="H10" s="651"/>
      <c r="I10" s="651"/>
      <c r="J10" s="651"/>
      <c r="L10" s="654" t="s">
        <v>3862</v>
      </c>
      <c r="M10" s="655"/>
      <c r="N10" s="416"/>
      <c r="O10" s="259"/>
      <c r="P10" s="259"/>
    </row>
    <row r="11" spans="1:21" x14ac:dyDescent="0.35">
      <c r="A11" s="648" t="s">
        <v>125</v>
      </c>
      <c r="B11" s="648"/>
      <c r="C11" s="648"/>
      <c r="D11" s="648"/>
      <c r="E11" s="2"/>
      <c r="F11" s="2" t="s">
        <v>152</v>
      </c>
      <c r="G11" s="651" t="s">
        <v>4823</v>
      </c>
      <c r="H11" s="651"/>
      <c r="I11" s="651"/>
      <c r="J11" s="651"/>
      <c r="L11" s="432">
        <f>N15</f>
        <v>4</v>
      </c>
      <c r="M11" s="433" t="str">
        <f>O15</f>
        <v>Moist</v>
      </c>
      <c r="N11" s="433" t="str">
        <f>P15</f>
        <v xml:space="preserve"> </v>
      </c>
      <c r="O11" s="433"/>
      <c r="P11" s="434" t="str">
        <f>Q15</f>
        <v xml:space="preserve"> </v>
      </c>
    </row>
    <row r="12" spans="1:21" x14ac:dyDescent="0.35">
      <c r="A12" s="648" t="s">
        <v>130</v>
      </c>
      <c r="B12" s="648"/>
      <c r="C12" s="648"/>
      <c r="D12" s="648"/>
      <c r="E12" s="2"/>
      <c r="F12" s="2" t="s">
        <v>153</v>
      </c>
      <c r="G12" s="651" t="s">
        <v>4824</v>
      </c>
      <c r="H12" s="651"/>
      <c r="I12" s="651"/>
      <c r="J12" s="651"/>
    </row>
    <row r="13" spans="1:21" x14ac:dyDescent="0.35">
      <c r="A13" s="648" t="s">
        <v>126</v>
      </c>
      <c r="B13" s="648"/>
      <c r="C13" s="648"/>
      <c r="D13" s="648"/>
      <c r="E13" s="2"/>
      <c r="F13" s="2" t="s">
        <v>154</v>
      </c>
      <c r="G13" s="651" t="s">
        <v>4822</v>
      </c>
      <c r="H13" s="651"/>
      <c r="I13" s="651"/>
      <c r="J13" s="651"/>
      <c r="N13" s="6"/>
    </row>
    <row r="14" spans="1:21" x14ac:dyDescent="0.35">
      <c r="A14" s="648" t="s">
        <v>128</v>
      </c>
      <c r="B14" s="648"/>
      <c r="C14" s="648"/>
      <c r="D14" s="648"/>
      <c r="E14" s="5" t="s">
        <v>180</v>
      </c>
      <c r="F14" s="2" t="s">
        <v>155</v>
      </c>
      <c r="G14" s="667" t="s">
        <v>38</v>
      </c>
      <c r="H14" s="668"/>
      <c r="I14" s="668"/>
      <c r="J14" s="669"/>
      <c r="K14" s="594" t="s">
        <v>2</v>
      </c>
      <c r="L14" s="594" t="s">
        <v>4</v>
      </c>
      <c r="M14" s="397" t="str">
        <f>Geography!D1</f>
        <v>Radon</v>
      </c>
      <c r="N14" s="594" t="str">
        <f>Geography!E1</f>
        <v>Climate</v>
      </c>
      <c r="O14" s="594" t="str">
        <f>Geography!F1</f>
        <v>Moist</v>
      </c>
      <c r="P14" s="594" t="str">
        <f>Geography!G1</f>
        <v>WarmHumid</v>
      </c>
      <c r="Q14" s="594" t="str">
        <f>Geography!H1</f>
        <v>Tropical</v>
      </c>
    </row>
    <row r="15" spans="1:21" x14ac:dyDescent="0.35">
      <c r="A15" s="648" t="s">
        <v>127</v>
      </c>
      <c r="B15" s="648"/>
      <c r="C15" s="648"/>
      <c r="D15" s="648"/>
      <c r="E15" s="5" t="s">
        <v>181</v>
      </c>
      <c r="F15" s="2" t="s">
        <v>156</v>
      </c>
      <c r="G15" s="667" t="s">
        <v>1672</v>
      </c>
      <c r="H15" s="668"/>
      <c r="I15" s="668"/>
      <c r="J15" s="669"/>
      <c r="K15" s="595" t="str">
        <f>G14</f>
        <v>North Carolina</v>
      </c>
      <c r="L15" s="595" t="str">
        <f>IF(LEN(G15)=0,"",G15)</f>
        <v xml:space="preserve">Chatham  </v>
      </c>
      <c r="M15" s="397">
        <f>IFERROR(DGET(dbState,M14,$K$14:$L$15),"!!")</f>
        <v>3</v>
      </c>
      <c r="N15" s="594">
        <f>IFERROR(DGET(dbState,N14,$K$14:$L$15),"!!")</f>
        <v>4</v>
      </c>
      <c r="O15" s="594" t="str">
        <f>IFERROR(DGET(dbState,O14,$K$14:$L$15),"!!")</f>
        <v>Moist</v>
      </c>
      <c r="P15" s="594" t="str">
        <f>IFERROR(DGET(dbState,P14,$K$14:$L$15),"!!")</f>
        <v xml:space="preserve"> </v>
      </c>
      <c r="Q15" s="594" t="str">
        <f>IFERROR(DGET(dbState,Q14,$K$14:$L$15),"!!")</f>
        <v xml:space="preserve"> </v>
      </c>
    </row>
    <row r="16" spans="1:21" x14ac:dyDescent="0.35">
      <c r="A16" s="648" t="s">
        <v>129</v>
      </c>
      <c r="B16" s="648"/>
      <c r="C16" s="648"/>
      <c r="D16" s="648"/>
      <c r="E16" s="2"/>
      <c r="F16" s="2" t="s">
        <v>157</v>
      </c>
      <c r="G16" s="255" t="s">
        <v>4825</v>
      </c>
      <c r="H16" s="2"/>
      <c r="I16" s="2"/>
      <c r="J16" s="2"/>
    </row>
    <row r="17" spans="1:21" x14ac:dyDescent="0.35">
      <c r="A17" s="670"/>
      <c r="B17" s="670"/>
      <c r="C17" s="670"/>
      <c r="D17" s="670"/>
      <c r="E17" s="2"/>
      <c r="F17" s="2"/>
      <c r="G17" s="2"/>
      <c r="H17" s="2"/>
      <c r="I17" s="2"/>
      <c r="J17" s="2"/>
    </row>
    <row r="18" spans="1:21" x14ac:dyDescent="0.35">
      <c r="A18" s="648" t="s">
        <v>380</v>
      </c>
      <c r="B18" s="648"/>
      <c r="C18" s="648"/>
      <c r="D18" s="648"/>
      <c r="E18" s="2" t="s">
        <v>182</v>
      </c>
      <c r="F18" s="2" t="s">
        <v>158</v>
      </c>
      <c r="G18" s="652" t="s">
        <v>197</v>
      </c>
      <c r="H18" s="653"/>
      <c r="I18" s="2"/>
      <c r="J18" s="2"/>
    </row>
    <row r="19" spans="1:21" x14ac:dyDescent="0.35">
      <c r="A19" s="649" t="s">
        <v>159</v>
      </c>
      <c r="B19" s="650"/>
      <c r="C19" s="650"/>
      <c r="D19" s="650"/>
      <c r="E19" s="2"/>
      <c r="F19" s="2" t="s">
        <v>161</v>
      </c>
      <c r="G19" s="8"/>
      <c r="H19" s="2"/>
      <c r="I19" s="2"/>
      <c r="J19" s="2"/>
    </row>
    <row r="20" spans="1:21" x14ac:dyDescent="0.35">
      <c r="A20" s="649" t="s">
        <v>160</v>
      </c>
      <c r="B20" s="650"/>
      <c r="C20" s="650"/>
      <c r="D20" s="650"/>
      <c r="E20" s="2"/>
      <c r="F20" s="2" t="s">
        <v>162</v>
      </c>
      <c r="G20" s="651"/>
      <c r="H20" s="651"/>
      <c r="I20" s="651"/>
      <c r="J20" s="651"/>
    </row>
    <row r="21" spans="1:21" x14ac:dyDescent="0.35">
      <c r="A21" s="678"/>
      <c r="B21" s="678"/>
      <c r="C21" s="678"/>
      <c r="D21" s="678"/>
      <c r="E21" s="2"/>
      <c r="F21" s="2"/>
    </row>
    <row r="22" spans="1:21" x14ac:dyDescent="0.35">
      <c r="A22" s="648" t="s">
        <v>131</v>
      </c>
      <c r="B22" s="648"/>
      <c r="C22" s="648"/>
      <c r="D22" s="648"/>
      <c r="E22" s="2"/>
      <c r="F22" s="2" t="s">
        <v>163</v>
      </c>
      <c r="G22" s="7">
        <v>2644</v>
      </c>
      <c r="H22" s="3" t="s">
        <v>149</v>
      </c>
      <c r="I22" s="679" t="s">
        <v>381</v>
      </c>
      <c r="J22" s="680"/>
      <c r="K22" s="680"/>
      <c r="L22" s="680"/>
      <c r="M22" s="680"/>
      <c r="N22" s="681"/>
      <c r="O22" s="2"/>
      <c r="P22" s="2"/>
      <c r="Q22" s="2"/>
      <c r="R22" s="2"/>
      <c r="S22" s="2"/>
      <c r="T22" s="2"/>
      <c r="U22" s="2"/>
    </row>
    <row r="23" spans="1:21" x14ac:dyDescent="0.35">
      <c r="A23" s="648" t="s">
        <v>132</v>
      </c>
      <c r="B23" s="648"/>
      <c r="C23" s="648"/>
      <c r="D23" s="648"/>
      <c r="E23" s="2"/>
      <c r="F23" s="2" t="s">
        <v>164</v>
      </c>
      <c r="G23" s="7">
        <v>2644</v>
      </c>
      <c r="H23" s="3" t="s">
        <v>150</v>
      </c>
      <c r="I23" s="682"/>
      <c r="J23" s="683"/>
      <c r="K23" s="683"/>
      <c r="L23" s="683"/>
      <c r="M23" s="683"/>
      <c r="N23" s="684"/>
    </row>
    <row r="24" spans="1:21" x14ac:dyDescent="0.35">
      <c r="A24" s="648" t="s">
        <v>3743</v>
      </c>
      <c r="B24" s="648"/>
      <c r="C24" s="648"/>
      <c r="D24" s="648"/>
      <c r="E24" s="2"/>
      <c r="F24" s="2" t="s">
        <v>3721</v>
      </c>
      <c r="G24" s="7">
        <v>2</v>
      </c>
      <c r="H24" s="3"/>
      <c r="I24" s="216"/>
      <c r="J24" s="216"/>
      <c r="K24" s="216"/>
      <c r="L24" s="216"/>
      <c r="M24" s="216"/>
      <c r="N24" s="216"/>
    </row>
    <row r="25" spans="1:21" x14ac:dyDescent="0.35">
      <c r="A25" s="677"/>
      <c r="B25" s="677"/>
      <c r="C25" s="677"/>
      <c r="D25" s="677"/>
      <c r="E25" s="2"/>
      <c r="F25" s="2"/>
    </row>
    <row r="26" spans="1:21" x14ac:dyDescent="0.35">
      <c r="A26" s="648" t="s">
        <v>133</v>
      </c>
      <c r="B26" s="648"/>
      <c r="C26" s="648"/>
      <c r="D26" s="648"/>
      <c r="E26" s="2"/>
      <c r="F26" s="2" t="s">
        <v>165</v>
      </c>
      <c r="G26" s="671"/>
      <c r="H26" s="672"/>
      <c r="I26" s="672"/>
      <c r="J26" s="672"/>
      <c r="K26" s="672"/>
      <c r="L26" s="672"/>
      <c r="M26" s="672"/>
      <c r="N26" s="673"/>
    </row>
    <row r="27" spans="1:21" x14ac:dyDescent="0.35">
      <c r="A27" s="416"/>
      <c r="B27" s="416"/>
      <c r="C27" s="416"/>
      <c r="D27" s="416"/>
      <c r="E27" s="2"/>
      <c r="F27" s="2"/>
      <c r="G27" s="674"/>
      <c r="H27" s="675"/>
      <c r="I27" s="675"/>
      <c r="J27" s="675"/>
      <c r="K27" s="675"/>
      <c r="L27" s="675"/>
      <c r="M27" s="675"/>
      <c r="N27" s="676"/>
    </row>
    <row r="28" spans="1:21" x14ac:dyDescent="0.35">
      <c r="A28" s="648" t="s">
        <v>134</v>
      </c>
      <c r="B28" s="648"/>
      <c r="C28" s="648"/>
      <c r="D28" s="648"/>
      <c r="E28" s="2"/>
      <c r="F28" s="2" t="s">
        <v>166</v>
      </c>
      <c r="G28" s="8"/>
    </row>
    <row r="29" spans="1:21" x14ac:dyDescent="0.35">
      <c r="A29" s="648" t="s">
        <v>135</v>
      </c>
      <c r="B29" s="648"/>
      <c r="C29" s="648"/>
      <c r="D29" s="648"/>
      <c r="E29" s="2" t="s">
        <v>183</v>
      </c>
      <c r="F29" s="2" t="s">
        <v>167</v>
      </c>
      <c r="G29" s="659" t="s">
        <v>200</v>
      </c>
      <c r="H29" s="659"/>
      <c r="I29" s="659"/>
      <c r="J29" s="659"/>
    </row>
    <row r="30" spans="1:21" x14ac:dyDescent="0.35">
      <c r="A30" s="259"/>
      <c r="B30" s="259"/>
      <c r="C30" s="259"/>
      <c r="D30" s="259"/>
    </row>
    <row r="31" spans="1:21" x14ac:dyDescent="0.35">
      <c r="A31" s="648" t="s">
        <v>3602</v>
      </c>
      <c r="B31" s="648"/>
      <c r="C31" s="648"/>
      <c r="D31" s="648"/>
      <c r="E31" s="2" t="s">
        <v>3606</v>
      </c>
      <c r="F31" s="2" t="s">
        <v>3603</v>
      </c>
      <c r="G31" s="659" t="s">
        <v>206</v>
      </c>
      <c r="H31" s="659"/>
      <c r="I31" s="659"/>
    </row>
    <row r="32" spans="1:21" x14ac:dyDescent="0.35">
      <c r="A32" s="648" t="s">
        <v>3609</v>
      </c>
      <c r="B32" s="648"/>
      <c r="C32" s="648"/>
      <c r="D32" s="648"/>
      <c r="E32" s="2" t="s">
        <v>3607</v>
      </c>
      <c r="F32" s="2" t="s">
        <v>3604</v>
      </c>
      <c r="G32" s="651"/>
      <c r="H32" s="651"/>
      <c r="I32" s="651"/>
    </row>
    <row r="33" spans="1:9" x14ac:dyDescent="0.35">
      <c r="A33" s="648" t="s">
        <v>3610</v>
      </c>
      <c r="B33" s="648"/>
      <c r="C33" s="648"/>
      <c r="D33" s="648"/>
      <c r="E33" s="2" t="s">
        <v>3608</v>
      </c>
      <c r="F33" s="2" t="s">
        <v>3605</v>
      </c>
      <c r="G33" s="651"/>
      <c r="H33" s="651"/>
      <c r="I33" s="651"/>
    </row>
    <row r="34" spans="1:9" x14ac:dyDescent="0.35">
      <c r="A34" s="648" t="s">
        <v>136</v>
      </c>
      <c r="B34" s="648"/>
      <c r="C34" s="648"/>
      <c r="D34" s="648"/>
      <c r="E34" s="2" t="s">
        <v>184</v>
      </c>
      <c r="F34" s="2" t="s">
        <v>168</v>
      </c>
      <c r="G34" s="656"/>
      <c r="H34" s="657"/>
      <c r="I34" s="658"/>
    </row>
    <row r="35" spans="1:9" x14ac:dyDescent="0.35">
      <c r="A35" s="648" t="s">
        <v>3620</v>
      </c>
      <c r="B35" s="648"/>
      <c r="C35" s="648"/>
      <c r="D35" s="648"/>
      <c r="E35" s="2" t="s">
        <v>3621</v>
      </c>
      <c r="F35" s="2" t="s">
        <v>3622</v>
      </c>
      <c r="G35" s="659" t="s">
        <v>3626</v>
      </c>
      <c r="H35" s="659"/>
      <c r="I35" s="659"/>
    </row>
    <row r="36" spans="1:9" x14ac:dyDescent="0.35">
      <c r="A36" s="648" t="s">
        <v>3611</v>
      </c>
      <c r="B36" s="648"/>
      <c r="C36" s="648"/>
      <c r="D36" s="648"/>
      <c r="E36" s="2" t="s">
        <v>3614</v>
      </c>
      <c r="F36" s="2" t="s">
        <v>3615</v>
      </c>
      <c r="G36" s="659" t="s">
        <v>3630</v>
      </c>
      <c r="H36" s="659"/>
      <c r="I36" s="659"/>
    </row>
    <row r="37" spans="1:9" x14ac:dyDescent="0.35">
      <c r="A37" s="648" t="s">
        <v>3612</v>
      </c>
      <c r="B37" s="648"/>
      <c r="C37" s="648"/>
      <c r="D37" s="648"/>
      <c r="E37" s="2" t="s">
        <v>3616</v>
      </c>
      <c r="F37" s="2" t="s">
        <v>3617</v>
      </c>
      <c r="G37" s="656"/>
      <c r="H37" s="657"/>
      <c r="I37" s="658"/>
    </row>
    <row r="38" spans="1:9" x14ac:dyDescent="0.35">
      <c r="A38" s="648" t="s">
        <v>3613</v>
      </c>
      <c r="B38" s="648"/>
      <c r="C38" s="648"/>
      <c r="D38" s="648"/>
      <c r="E38" s="2" t="s">
        <v>3618</v>
      </c>
      <c r="F38" s="2" t="s">
        <v>3619</v>
      </c>
      <c r="G38" s="656"/>
      <c r="H38" s="657"/>
      <c r="I38" s="658"/>
    </row>
    <row r="39" spans="1:9" x14ac:dyDescent="0.35">
      <c r="A39" s="648" t="s">
        <v>3623</v>
      </c>
      <c r="B39" s="648"/>
      <c r="C39" s="648"/>
      <c r="D39" s="648"/>
      <c r="E39" s="2" t="s">
        <v>3624</v>
      </c>
      <c r="F39" s="2" t="s">
        <v>3625</v>
      </c>
      <c r="G39" s="659" t="s">
        <v>3626</v>
      </c>
      <c r="H39" s="659"/>
    </row>
    <row r="40" spans="1:9" x14ac:dyDescent="0.35">
      <c r="A40" s="259"/>
      <c r="B40" s="259"/>
      <c r="C40" s="259"/>
      <c r="D40" s="259"/>
    </row>
    <row r="41" spans="1:9" x14ac:dyDescent="0.35">
      <c r="A41" s="648" t="s">
        <v>3748</v>
      </c>
      <c r="B41" s="648"/>
      <c r="C41" s="648"/>
      <c r="D41" s="648"/>
      <c r="F41" s="2" t="s">
        <v>3750</v>
      </c>
      <c r="G41" s="7">
        <v>0.22</v>
      </c>
      <c r="H41" s="660" t="s">
        <v>3752</v>
      </c>
      <c r="I41" s="661"/>
    </row>
    <row r="42" spans="1:9" x14ac:dyDescent="0.35">
      <c r="A42" s="648" t="s">
        <v>3744</v>
      </c>
      <c r="B42" s="648"/>
      <c r="C42" s="648"/>
      <c r="D42" s="648"/>
      <c r="F42" s="2" t="s">
        <v>3746</v>
      </c>
      <c r="G42" s="8"/>
      <c r="H42" s="662"/>
      <c r="I42" s="663"/>
    </row>
    <row r="43" spans="1:9" x14ac:dyDescent="0.35">
      <c r="A43" s="648" t="s">
        <v>3749</v>
      </c>
      <c r="B43" s="648"/>
      <c r="C43" s="648"/>
      <c r="D43" s="648"/>
      <c r="F43" s="2" t="s">
        <v>3751</v>
      </c>
      <c r="G43" s="7">
        <v>0.32</v>
      </c>
      <c r="H43" s="662"/>
      <c r="I43" s="663"/>
    </row>
    <row r="44" spans="1:9" x14ac:dyDescent="0.35">
      <c r="A44" s="648" t="s">
        <v>3745</v>
      </c>
      <c r="B44" s="648"/>
      <c r="C44" s="648"/>
      <c r="D44" s="648"/>
      <c r="F44" s="2" t="s">
        <v>3747</v>
      </c>
      <c r="G44" s="8"/>
      <c r="H44" s="664"/>
      <c r="I44" s="665"/>
    </row>
    <row r="45" spans="1:9" x14ac:dyDescent="0.35">
      <c r="A45" s="648" t="s">
        <v>137</v>
      </c>
      <c r="B45" s="648"/>
      <c r="C45" s="648"/>
      <c r="D45" s="648"/>
      <c r="E45" s="2" t="s">
        <v>185</v>
      </c>
      <c r="F45" s="2" t="s">
        <v>169</v>
      </c>
      <c r="G45" s="651"/>
      <c r="H45" s="666"/>
    </row>
    <row r="46" spans="1:9" x14ac:dyDescent="0.35">
      <c r="A46" s="648" t="s">
        <v>138</v>
      </c>
      <c r="B46" s="648"/>
      <c r="C46" s="648"/>
      <c r="D46" s="648"/>
      <c r="E46" s="2" t="s">
        <v>186</v>
      </c>
      <c r="F46" s="2" t="s">
        <v>170</v>
      </c>
      <c r="G46" s="651"/>
      <c r="H46" s="651"/>
      <c r="I46" s="651"/>
    </row>
    <row r="47" spans="1:9" x14ac:dyDescent="0.35">
      <c r="A47" s="648" t="s">
        <v>139</v>
      </c>
      <c r="B47" s="648"/>
      <c r="C47" s="648"/>
      <c r="D47" s="648"/>
      <c r="E47" s="2" t="s">
        <v>187</v>
      </c>
      <c r="F47" s="2" t="s">
        <v>171</v>
      </c>
      <c r="G47" s="659" t="s">
        <v>229</v>
      </c>
      <c r="H47" s="659"/>
    </row>
    <row r="48" spans="1:9" x14ac:dyDescent="0.35">
      <c r="A48" s="648" t="s">
        <v>140</v>
      </c>
      <c r="B48" s="648"/>
      <c r="C48" s="648"/>
      <c r="D48" s="648"/>
      <c r="E48" s="2" t="s">
        <v>188</v>
      </c>
      <c r="F48" s="2" t="s">
        <v>172</v>
      </c>
      <c r="G48" s="8" t="s">
        <v>231</v>
      </c>
    </row>
    <row r="49" spans="1:21" x14ac:dyDescent="0.35">
      <c r="A49" s="648" t="s">
        <v>141</v>
      </c>
      <c r="B49" s="648"/>
      <c r="C49" s="648"/>
      <c r="D49" s="648"/>
      <c r="E49" s="2" t="s">
        <v>189</v>
      </c>
      <c r="F49" s="2" t="s">
        <v>173</v>
      </c>
      <c r="G49" s="8"/>
    </row>
    <row r="50" spans="1:21" x14ac:dyDescent="0.35">
      <c r="A50" s="677"/>
      <c r="B50" s="677"/>
      <c r="C50" s="677"/>
      <c r="D50" s="677"/>
      <c r="E50" s="2"/>
      <c r="F50" s="2"/>
      <c r="G50" s="2"/>
    </row>
    <row r="51" spans="1:21" x14ac:dyDescent="0.35">
      <c r="A51" s="648" t="s">
        <v>142</v>
      </c>
      <c r="B51" s="648"/>
      <c r="C51" s="648"/>
      <c r="D51" s="259"/>
      <c r="E51" s="2"/>
      <c r="F51" s="2"/>
      <c r="G51" s="2"/>
    </row>
    <row r="52" spans="1:21" x14ac:dyDescent="0.35">
      <c r="A52" s="648" t="s">
        <v>143</v>
      </c>
      <c r="B52" s="648"/>
      <c r="C52" s="648"/>
      <c r="D52" s="648"/>
      <c r="E52" s="2" t="s">
        <v>190</v>
      </c>
      <c r="F52" s="2" t="s">
        <v>174</v>
      </c>
      <c r="G52" s="9"/>
    </row>
    <row r="53" spans="1:21" x14ac:dyDescent="0.35">
      <c r="A53" s="648" t="s">
        <v>144</v>
      </c>
      <c r="B53" s="648"/>
      <c r="C53" s="648"/>
      <c r="D53" s="648"/>
      <c r="E53" s="2" t="s">
        <v>191</v>
      </c>
      <c r="F53" s="2" t="s">
        <v>175</v>
      </c>
      <c r="G53" s="8"/>
    </row>
    <row r="54" spans="1:21" x14ac:dyDescent="0.35">
      <c r="A54" s="648" t="s">
        <v>145</v>
      </c>
      <c r="B54" s="648"/>
      <c r="C54" s="648"/>
      <c r="D54" s="648"/>
      <c r="E54" s="2" t="s">
        <v>192</v>
      </c>
      <c r="F54" s="2" t="s">
        <v>177</v>
      </c>
      <c r="G54" s="8"/>
    </row>
    <row r="55" spans="1:21" x14ac:dyDescent="0.35">
      <c r="A55" s="648" t="s">
        <v>146</v>
      </c>
      <c r="B55" s="648"/>
      <c r="C55" s="648"/>
      <c r="D55" s="648"/>
      <c r="E55" s="2" t="s">
        <v>193</v>
      </c>
      <c r="F55" s="2" t="s">
        <v>176</v>
      </c>
      <c r="G55" s="8"/>
    </row>
    <row r="56" spans="1:21" x14ac:dyDescent="0.35">
      <c r="A56" s="685" t="s">
        <v>248</v>
      </c>
      <c r="B56" s="685"/>
      <c r="C56" s="685"/>
      <c r="D56" s="685"/>
      <c r="E56" s="2" t="s">
        <v>252</v>
      </c>
      <c r="F56" s="2" t="s">
        <v>250</v>
      </c>
      <c r="G56" s="8"/>
    </row>
    <row r="57" spans="1:21" ht="14.5" customHeight="1" x14ac:dyDescent="0.35">
      <c r="A57" s="686" t="s">
        <v>249</v>
      </c>
      <c r="B57" s="686"/>
      <c r="C57" s="686"/>
      <c r="D57" s="686"/>
      <c r="E57" s="2" t="s">
        <v>253</v>
      </c>
      <c r="F57" s="2" t="s">
        <v>251</v>
      </c>
      <c r="G57" s="8"/>
    </row>
    <row r="58" spans="1:21" x14ac:dyDescent="0.35">
      <c r="A58" s="677"/>
      <c r="B58" s="677"/>
      <c r="C58" s="677"/>
      <c r="D58" s="677"/>
      <c r="E58" s="2"/>
      <c r="F58" s="2"/>
      <c r="G58" s="2"/>
    </row>
    <row r="59" spans="1:21" x14ac:dyDescent="0.35">
      <c r="A59" s="648" t="s">
        <v>147</v>
      </c>
      <c r="B59" s="648"/>
      <c r="C59" s="648"/>
      <c r="D59" s="648"/>
      <c r="E59" s="2" t="s">
        <v>194</v>
      </c>
      <c r="F59" s="2" t="s">
        <v>178</v>
      </c>
      <c r="G59" s="651"/>
      <c r="H59" s="651"/>
    </row>
    <row r="60" spans="1:21" x14ac:dyDescent="0.35">
      <c r="A60" s="648" t="s">
        <v>148</v>
      </c>
      <c r="B60" s="648"/>
      <c r="C60" s="648"/>
      <c r="D60" s="648"/>
      <c r="E60" s="2" t="s">
        <v>195</v>
      </c>
      <c r="F60" s="2" t="s">
        <v>179</v>
      </c>
      <c r="G60" s="651"/>
      <c r="H60" s="651"/>
    </row>
    <row r="61" spans="1:21" x14ac:dyDescent="0.35">
      <c r="A61" s="416"/>
      <c r="B61" s="416"/>
      <c r="C61" s="416"/>
      <c r="D61" s="416"/>
      <c r="E61" s="2"/>
      <c r="F61" s="2"/>
    </row>
    <row r="62" spans="1:21" x14ac:dyDescent="0.35">
      <c r="A62" s="648" t="s">
        <v>4305</v>
      </c>
      <c r="B62" s="648"/>
      <c r="C62" s="648"/>
      <c r="D62" s="648"/>
      <c r="E62" s="2"/>
      <c r="F62" s="2" t="s">
        <v>4611</v>
      </c>
      <c r="G62" s="651" t="s">
        <v>4817</v>
      </c>
      <c r="H62" s="651"/>
      <c r="I62" s="651"/>
      <c r="J62" s="651"/>
    </row>
    <row r="64" spans="1:21" ht="18.5" x14ac:dyDescent="0.45">
      <c r="A64" s="634" t="s">
        <v>4562</v>
      </c>
      <c r="B64" s="634"/>
      <c r="C64" s="634"/>
      <c r="D64" s="634"/>
      <c r="E64" s="634"/>
      <c r="F64" s="634"/>
      <c r="G64" s="634"/>
      <c r="H64" s="634"/>
      <c r="I64" s="634"/>
      <c r="J64" s="634"/>
      <c r="K64" s="634"/>
      <c r="L64" s="634"/>
      <c r="M64" s="634"/>
      <c r="N64" s="634"/>
      <c r="O64" s="634"/>
      <c r="P64" s="634"/>
      <c r="Q64" s="634"/>
      <c r="R64" s="634"/>
      <c r="S64" s="634"/>
      <c r="T64" s="634"/>
      <c r="U64" s="634"/>
    </row>
  </sheetData>
  <sheetProtection algorithmName="SHA-512" hashValue="RKanBBCQnXNTooLVvRxQdruIDbVnJidMVouU/wFhyTNhcDN1CXb0NbaoZflaPSGcUoKWv8plWn/rHHbD7yEVuw==" saltValue="ZlwfXfljTZ84lvuSuPE1Zg==" spinCount="100000" sheet="1" objects="1" scenarios="1" selectLockedCells="1" autoFilter="0"/>
  <mergeCells count="81">
    <mergeCell ref="G60:H60"/>
    <mergeCell ref="G47:H47"/>
    <mergeCell ref="A55:D55"/>
    <mergeCell ref="A56:D56"/>
    <mergeCell ref="A60:D60"/>
    <mergeCell ref="A58:D58"/>
    <mergeCell ref="A50:D50"/>
    <mergeCell ref="A54:D54"/>
    <mergeCell ref="A57:D57"/>
    <mergeCell ref="A59:D59"/>
    <mergeCell ref="A51:C51"/>
    <mergeCell ref="A52:D52"/>
    <mergeCell ref="A53:D53"/>
    <mergeCell ref="A48:D48"/>
    <mergeCell ref="A49:D49"/>
    <mergeCell ref="A17:D17"/>
    <mergeCell ref="G26:N27"/>
    <mergeCell ref="A36:D36"/>
    <mergeCell ref="G20:J20"/>
    <mergeCell ref="A18:D18"/>
    <mergeCell ref="A26:D26"/>
    <mergeCell ref="A28:D28"/>
    <mergeCell ref="A29:D29"/>
    <mergeCell ref="A20:D20"/>
    <mergeCell ref="A22:D22"/>
    <mergeCell ref="A25:D25"/>
    <mergeCell ref="A21:D21"/>
    <mergeCell ref="I22:N23"/>
    <mergeCell ref="G35:I35"/>
    <mergeCell ref="A46:D46"/>
    <mergeCell ref="A41:D41"/>
    <mergeCell ref="A42:D42"/>
    <mergeCell ref="A43:D43"/>
    <mergeCell ref="A44:D44"/>
    <mergeCell ref="A45:D45"/>
    <mergeCell ref="G10:J10"/>
    <mergeCell ref="G12:J12"/>
    <mergeCell ref="G13:J13"/>
    <mergeCell ref="G14:J14"/>
    <mergeCell ref="G15:J15"/>
    <mergeCell ref="A37:D37"/>
    <mergeCell ref="A38:D38"/>
    <mergeCell ref="G36:I36"/>
    <mergeCell ref="A39:D39"/>
    <mergeCell ref="A23:D23"/>
    <mergeCell ref="A31:D31"/>
    <mergeCell ref="A32:D32"/>
    <mergeCell ref="A33:D33"/>
    <mergeCell ref="A34:D34"/>
    <mergeCell ref="G62:J62"/>
    <mergeCell ref="A62:D62"/>
    <mergeCell ref="A24:D24"/>
    <mergeCell ref="A47:D47"/>
    <mergeCell ref="G37:I37"/>
    <mergeCell ref="G38:I38"/>
    <mergeCell ref="G39:H39"/>
    <mergeCell ref="G29:J29"/>
    <mergeCell ref="G31:I31"/>
    <mergeCell ref="G32:I32"/>
    <mergeCell ref="G33:I33"/>
    <mergeCell ref="G34:I34"/>
    <mergeCell ref="G46:I46"/>
    <mergeCell ref="G59:H59"/>
    <mergeCell ref="H41:I44"/>
    <mergeCell ref="G45:H45"/>
    <mergeCell ref="A8:D8"/>
    <mergeCell ref="A64:U64"/>
    <mergeCell ref="A1:C5"/>
    <mergeCell ref="D1:U5"/>
    <mergeCell ref="A19:D19"/>
    <mergeCell ref="G11:J11"/>
    <mergeCell ref="G18:H18"/>
    <mergeCell ref="A10:D10"/>
    <mergeCell ref="A11:D11"/>
    <mergeCell ref="A12:D12"/>
    <mergeCell ref="A13:D13"/>
    <mergeCell ref="A14:D14"/>
    <mergeCell ref="A15:D15"/>
    <mergeCell ref="A16:D16"/>
    <mergeCell ref="L10:M10"/>
    <mergeCell ref="A35:D35"/>
  </mergeCells>
  <conditionalFormatting sqref="G18:H18">
    <cfRule type="expression" dxfId="4437" priority="43">
      <formula>LEN(TRIM($G$18:$H$18))&gt;0</formula>
    </cfRule>
  </conditionalFormatting>
  <conditionalFormatting sqref="G29">
    <cfRule type="expression" dxfId="4436" priority="42">
      <formula>LEN(TRIM($G$29:$I$29))&gt;0</formula>
    </cfRule>
  </conditionalFormatting>
  <conditionalFormatting sqref="G31">
    <cfRule type="expression" dxfId="4435" priority="41">
      <formula>LEN(TRIM($G$31:$H$31))&gt;0</formula>
    </cfRule>
  </conditionalFormatting>
  <conditionalFormatting sqref="G32">
    <cfRule type="expression" dxfId="4434" priority="40">
      <formula>LEN(TRIM($G$32:$H$32))&gt;0</formula>
    </cfRule>
  </conditionalFormatting>
  <conditionalFormatting sqref="G29:J29">
    <cfRule type="expression" dxfId="4433" priority="39">
      <formula>LEN(TRIM($G$29:$J$29))&gt;0</formula>
    </cfRule>
  </conditionalFormatting>
  <conditionalFormatting sqref="G31:I31">
    <cfRule type="expression" dxfId="4432" priority="38">
      <formula>LEN(TRIM($G$31:$I$31))&gt;0</formula>
    </cfRule>
  </conditionalFormatting>
  <conditionalFormatting sqref="G32:I32">
    <cfRule type="expression" dxfId="4431" priority="37">
      <formula>LEN(TRIM($G$32:$I$32))&gt;0</formula>
    </cfRule>
  </conditionalFormatting>
  <conditionalFormatting sqref="G33:I33">
    <cfRule type="expression" dxfId="4430" priority="36">
      <formula>LEN(TRIM($G$33:$I$33))&gt;0</formula>
    </cfRule>
  </conditionalFormatting>
  <conditionalFormatting sqref="G34:H34">
    <cfRule type="expression" dxfId="4429" priority="35">
      <formula>LEN(TRIM($G$34:$H$34))&gt;0</formula>
    </cfRule>
  </conditionalFormatting>
  <conditionalFormatting sqref="G45:H45">
    <cfRule type="expression" dxfId="4428" priority="34">
      <formula>LEN(TRIM($G$45:$H$45))&gt;0</formula>
    </cfRule>
  </conditionalFormatting>
  <conditionalFormatting sqref="G46">
    <cfRule type="expression" dxfId="4427" priority="33">
      <formula>LEN(TRIM($G$46:$H$46))&gt;0</formula>
    </cfRule>
  </conditionalFormatting>
  <conditionalFormatting sqref="G46:I46">
    <cfRule type="expression" dxfId="4426" priority="32">
      <formula>LEN(TRIM($G$46:$I$46))&gt;0</formula>
    </cfRule>
  </conditionalFormatting>
  <conditionalFormatting sqref="G47:H47">
    <cfRule type="expression" dxfId="4425" priority="31">
      <formula>LEN(TRIM($G$47:$H$47))&gt;0</formula>
    </cfRule>
  </conditionalFormatting>
  <conditionalFormatting sqref="G48">
    <cfRule type="expression" dxfId="4424" priority="30">
      <formula>LEN(TRIM($G$48))&gt;0</formula>
    </cfRule>
  </conditionalFormatting>
  <conditionalFormatting sqref="G49">
    <cfRule type="expression" dxfId="4423" priority="29">
      <formula>LEN(TRIM($G$49))&gt;0</formula>
    </cfRule>
  </conditionalFormatting>
  <conditionalFormatting sqref="G53">
    <cfRule type="expression" dxfId="4422" priority="27">
      <formula>LEN(TRIM($G$53))&gt;0</formula>
    </cfRule>
  </conditionalFormatting>
  <conditionalFormatting sqref="G54">
    <cfRule type="expression" dxfId="4421" priority="26">
      <formula>LEN(TRIM($G$54))&gt;0</formula>
    </cfRule>
  </conditionalFormatting>
  <conditionalFormatting sqref="G55">
    <cfRule type="expression" dxfId="4420" priority="25">
      <formula>LEN(TRIM($G$55))&gt;0</formula>
    </cfRule>
  </conditionalFormatting>
  <conditionalFormatting sqref="G56">
    <cfRule type="expression" dxfId="4419" priority="24">
      <formula>LEN(TRIM($G$56))&gt;0</formula>
    </cfRule>
  </conditionalFormatting>
  <conditionalFormatting sqref="G57">
    <cfRule type="expression" dxfId="4418" priority="23">
      <formula>LEN(TRIM($G$57))&gt;0</formula>
    </cfRule>
  </conditionalFormatting>
  <conditionalFormatting sqref="G59:H59">
    <cfRule type="expression" dxfId="4417" priority="22">
      <formula>LEN(TRIM($G$59:$H$59))&gt;0</formula>
    </cfRule>
  </conditionalFormatting>
  <conditionalFormatting sqref="G60:H60">
    <cfRule type="expression" dxfId="4416" priority="21">
      <formula>LEN(TRIM($G$60:$H$60))&gt;0</formula>
    </cfRule>
  </conditionalFormatting>
  <conditionalFormatting sqref="G60:H60">
    <cfRule type="expression" dxfId="4415" priority="20">
      <formula>LEN(TRIM($G$60:$H$60))&gt;0</formula>
    </cfRule>
  </conditionalFormatting>
  <conditionalFormatting sqref="G52">
    <cfRule type="expression" dxfId="4414" priority="19">
      <formula>LEN(TRIM($G$52))&gt;0</formula>
    </cfRule>
  </conditionalFormatting>
  <conditionalFormatting sqref="G19">
    <cfRule type="expression" dxfId="4413" priority="13">
      <formula>AND($G$18&lt;&gt;INDEX(INDIRECT($E$18),2),LEN(TRIM($G$19))&gt;0)</formula>
    </cfRule>
  </conditionalFormatting>
  <conditionalFormatting sqref="G16 G18:G20 G22:G24 G26 G52:G57 G59:G60 G10:J13 G45:G49 G28:G29 G31:G38">
    <cfRule type="notContainsBlanks" dxfId="4412" priority="17">
      <formula>LEN(TRIM(G10))&gt;0</formula>
    </cfRule>
  </conditionalFormatting>
  <conditionalFormatting sqref="G20:J20">
    <cfRule type="expression" dxfId="4411" priority="16">
      <formula>AND($G$18&lt;&gt;INDEX(INDIRECT($E$18),2),LEN(TRIM($G$20))&gt;0)</formula>
    </cfRule>
  </conditionalFormatting>
  <conditionalFormatting sqref="G15:J15">
    <cfRule type="expression" dxfId="4410" priority="15">
      <formula>$M$15&lt;&gt;"!!"</formula>
    </cfRule>
  </conditionalFormatting>
  <conditionalFormatting sqref="G62:J62">
    <cfRule type="notContainsBlanks" dxfId="4409" priority="12">
      <formula>LEN(TRIM(G62))&gt;0</formula>
    </cfRule>
  </conditionalFormatting>
  <conditionalFormatting sqref="G39">
    <cfRule type="expression" dxfId="4408" priority="11">
      <formula>LEN(TRIM($G$34:$H$34))&gt;0</formula>
    </cfRule>
  </conditionalFormatting>
  <conditionalFormatting sqref="G39">
    <cfRule type="notContainsBlanks" dxfId="4407" priority="10">
      <formula>LEN(TRIM(G39))&gt;0</formula>
    </cfRule>
  </conditionalFormatting>
  <conditionalFormatting sqref="G39:H39">
    <cfRule type="expression" dxfId="4406" priority="9">
      <formula>OR(AND(G39=INDEX(INDIRECT(E39),3),OR(AND(NOT(ISBLANK(G36)),NOT(G36=INDEX(INDIRECT(E36),6))),AND(NOT(ISBLANK(G37)),NOT(G37=INDEX(INDIRECT(E37),6))),AND(NOT(ISBLANK(G38)),NOT(G38=INDEX(INDIRECT(E38),6))))),AND(OR(G39=INDEX(INDIRECT(E39),1),G39=INDEX(INDIRECT(E39),2)),AND(OR(ISBLANK(G36),G36=INDEX(INDIRECT(E36),6)),OR(ISBLANK(G37),G37=INDEX(INDIRECT(E37),6)),OR(ISBLANK(G38),G38=INDEX(INDIRECT(E38),6)))))</formula>
    </cfRule>
  </conditionalFormatting>
  <conditionalFormatting sqref="G35:I35">
    <cfRule type="expression" dxfId="4405" priority="8">
      <formula>OR(AND(G35=INDEX(INDIRECT(E35),3),OR(AND(NOT(ISBLANK(G31)),NOT(G31=INDEX(INDIRECT(E31),8))),AND(NOT(ISBLANK(G32)),NOT(G32=INDEX(INDIRECT(E32),8))),AND(NOT(ISBLANK(G33)),NOT(G33=INDEX(INDIRECT(E33),8))))),AND(OR(G35=INDEX(INDIRECT(E35),1),G35=INDEX(INDIRECT(E35),2)),AND(OR(ISBLANK(G31),G31=INDEX(INDIRECT(E31),8)),OR(ISBLANK(G32),G32=INDEX(INDIRECT(E32),8)),OR(ISBLANK(G33),G33=INDEX(INDIRECT(E33),8)))))</formula>
    </cfRule>
  </conditionalFormatting>
  <conditionalFormatting sqref="G41">
    <cfRule type="notContainsBlanks" dxfId="4404" priority="7">
      <formula>LEN(TRIM(G41))&gt;0</formula>
    </cfRule>
  </conditionalFormatting>
  <conditionalFormatting sqref="G42">
    <cfRule type="notContainsBlanks" dxfId="4403" priority="6">
      <formula>LEN(TRIM(G42))&gt;0</formula>
    </cfRule>
  </conditionalFormatting>
  <conditionalFormatting sqref="G43">
    <cfRule type="notContainsBlanks" dxfId="4402" priority="5">
      <formula>LEN(TRIM(G43))&gt;0</formula>
    </cfRule>
  </conditionalFormatting>
  <conditionalFormatting sqref="G44">
    <cfRule type="notContainsBlanks" dxfId="4401" priority="3">
      <formula>LEN(TRIM(G44))&gt;0</formula>
    </cfRule>
  </conditionalFormatting>
  <conditionalFormatting sqref="G19:G20">
    <cfRule type="expression" dxfId="4400" priority="18">
      <formula>IF($G$18=INDEX(ddSingleOrMulti,2),TRUE,FALSE)</formula>
    </cfRule>
  </conditionalFormatting>
  <conditionalFormatting sqref="A19:D19">
    <cfRule type="expression" dxfId="4399" priority="61">
      <formula>IF($G$18=INDEX(ddSingleOrMulti,2),TRUE,FALSE)</formula>
    </cfRule>
  </conditionalFormatting>
  <conditionalFormatting sqref="A20:D20">
    <cfRule type="expression" dxfId="4398" priority="60">
      <formula>IF($G$18=INDEX(ddSingleOrMulti,2),TRUE,FALSE)</formula>
    </cfRule>
  </conditionalFormatting>
  <conditionalFormatting sqref="G19">
    <cfRule type="expression" dxfId="4397" priority="58">
      <formula>NOT($G$18=INDEX(ddSingleOrMulti,2))</formula>
    </cfRule>
  </conditionalFormatting>
  <conditionalFormatting sqref="G20">
    <cfRule type="expression" dxfId="4396" priority="57">
      <formula>NOT($G$18=INDEX(ddSingleOrMulti,2))</formula>
    </cfRule>
  </conditionalFormatting>
  <conditionalFormatting sqref="G8">
    <cfRule type="expression" dxfId="4395" priority="1">
      <formula>LEN(TRIM($G$8))&gt;0</formula>
    </cfRule>
  </conditionalFormatting>
  <dataValidations count="28">
    <dataValidation type="list" allowBlank="1" showInputMessage="1" showErrorMessage="1" error="Please use the dropdown." sqref="G18:H18" xr:uid="{00000000-0002-0000-0100-000000000000}">
      <formula1>INDIRECT($E$18)</formula1>
    </dataValidation>
    <dataValidation type="list" allowBlank="1" showInputMessage="1" showErrorMessage="1" error="Please use the dropdown." sqref="G29:J29" xr:uid="{00000000-0002-0000-0100-000001000000}">
      <formula1>INDIRECT($E$29)</formula1>
    </dataValidation>
    <dataValidation type="list" allowBlank="1" showInputMessage="1" showErrorMessage="1" error="Please use the dropdown." sqref="G31:I31" xr:uid="{00000000-0002-0000-0100-000002000000}">
      <formula1>INDIRECT($E$31)</formula1>
    </dataValidation>
    <dataValidation type="list" allowBlank="1" showInputMessage="1" showErrorMessage="1" error="Please use the dropdown." sqref="G32:I32" xr:uid="{00000000-0002-0000-0100-000003000000}">
      <formula1>INDIRECT($E$32)</formula1>
    </dataValidation>
    <dataValidation type="list" allowBlank="1" showInputMessage="1" showErrorMessage="1" error="Please use the dropdown." sqref="G33:I33" xr:uid="{00000000-0002-0000-0100-000004000000}">
      <formula1>INDIRECT($E$33)</formula1>
    </dataValidation>
    <dataValidation type="list" allowBlank="1" showInputMessage="1" showErrorMessage="1" error="Please use the dropdown." sqref="G34:I34" xr:uid="{00000000-0002-0000-0100-000005000000}">
      <formula1>INDIRECT($E$34)</formula1>
    </dataValidation>
    <dataValidation type="list" allowBlank="1" showInputMessage="1" showErrorMessage="1" error="Please use the dropdown." sqref="G45:H45" xr:uid="{00000000-0002-0000-0100-000006000000}">
      <formula1>INDIRECT($E$45)</formula1>
    </dataValidation>
    <dataValidation type="list" allowBlank="1" showInputMessage="1" showErrorMessage="1" error="Please use the dropdown." sqref="G46:I46" xr:uid="{00000000-0002-0000-0100-000007000000}">
      <formula1>INDIRECT($E$46)</formula1>
    </dataValidation>
    <dataValidation type="list" allowBlank="1" showInputMessage="1" showErrorMessage="1" error="Please use the dropdown." sqref="G47:H47" xr:uid="{00000000-0002-0000-0100-000008000000}">
      <formula1>INDIRECT($E$47)</formula1>
    </dataValidation>
    <dataValidation type="list" allowBlank="1" showInputMessage="1" showErrorMessage="1" error="Please use the dropdown." sqref="G48" xr:uid="{00000000-0002-0000-0100-000009000000}">
      <formula1>INDIRECT($E$48)</formula1>
    </dataValidation>
    <dataValidation type="list" allowBlank="1" showInputMessage="1" showErrorMessage="1" error="Please use the dropdown." sqref="G49" xr:uid="{00000000-0002-0000-0100-00000A000000}">
      <formula1>INDIRECT($E$49)</formula1>
    </dataValidation>
    <dataValidation type="list" allowBlank="1" showInputMessage="1" showErrorMessage="1" error="Please use the dropdown." sqref="G53" xr:uid="{00000000-0002-0000-0100-00000B000000}">
      <formula1>INDIRECT($E$53)</formula1>
    </dataValidation>
    <dataValidation type="list" allowBlank="1" showInputMessage="1" showErrorMessage="1" error="Please use the dropdown." sqref="G54" xr:uid="{00000000-0002-0000-0100-00000C000000}">
      <formula1>INDIRECT($E$54)</formula1>
    </dataValidation>
    <dataValidation type="list" allowBlank="1" showInputMessage="1" showErrorMessage="1" error="Please use the dropdown." sqref="G55" xr:uid="{00000000-0002-0000-0100-00000D000000}">
      <formula1>INDIRECT($E$55)</formula1>
    </dataValidation>
    <dataValidation type="list" allowBlank="1" showInputMessage="1" showErrorMessage="1" error="Please use the dropdown." sqref="G56" xr:uid="{00000000-0002-0000-0100-00000E000000}">
      <formula1>INDIRECT($E$56)</formula1>
    </dataValidation>
    <dataValidation type="list" allowBlank="1" showInputMessage="1" showErrorMessage="1" error="Please use the dropdown." sqref="G57" xr:uid="{00000000-0002-0000-0100-00000F000000}">
      <formula1>INDIRECT($E$57)</formula1>
    </dataValidation>
    <dataValidation type="list" allowBlank="1" showInputMessage="1" showErrorMessage="1" error="Please use the dropdown." sqref="G59:H59" xr:uid="{00000000-0002-0000-0100-000010000000}">
      <formula1>INDIRECT($E$59)</formula1>
    </dataValidation>
    <dataValidation type="list" allowBlank="1" showInputMessage="1" showErrorMessage="1" error="Please use the dropdown." sqref="G60:H60" xr:uid="{00000000-0002-0000-0100-000011000000}">
      <formula1>INDIRECT($E$60)</formula1>
    </dataValidation>
    <dataValidation type="list" allowBlank="1" showInputMessage="1" showErrorMessage="1" error="Please use the dropdown." sqref="G52" xr:uid="{00000000-0002-0000-0100-000012000000}">
      <formula1>INDIRECT($E$52)</formula1>
    </dataValidation>
    <dataValidation type="whole" allowBlank="1" showInputMessage="1" showErrorMessage="1" error="Must enter a whole number." sqref="G19" xr:uid="{00000000-0002-0000-0100-000013000000}">
      <formula1>0</formula1>
      <formula2>100000000000</formula2>
    </dataValidation>
    <dataValidation type="whole" allowBlank="1" showInputMessage="1" showErrorMessage="1" error="Enter a whole number between 1 and 1000." prompt="Enter the number of stories above grade." sqref="G24" xr:uid="{00000000-0002-0000-0100-000014000000}">
      <formula1>1</formula1>
      <formula2>1000</formula2>
    </dataValidation>
    <dataValidation type="list" allowBlank="1" showInputMessage="1" showErrorMessage="1" error="Please use the dropdown." sqref="G35:I35 G39:H39" xr:uid="{00000000-0002-0000-0100-000015000000}">
      <formula1>INDIRECT(E35)</formula1>
    </dataValidation>
    <dataValidation type="decimal" allowBlank="1" showInputMessage="1" showErrorMessage="1" error="Enter a decimal between 0 and 1." prompt="Enter the SHGC value." sqref="G41:G42" xr:uid="{00000000-0002-0000-0100-000016000000}">
      <formula1>0</formula1>
      <formula2>1</formula2>
    </dataValidation>
    <dataValidation type="decimal" allowBlank="1" showInputMessage="1" showErrorMessage="1" error="Enter a decimal between 0 and 1." prompt="Enter the U-value." sqref="G43:G44" xr:uid="{00000000-0002-0000-0100-000017000000}">
      <formula1>0</formula1>
      <formula2>1</formula2>
    </dataValidation>
    <dataValidation type="list" allowBlank="1" showInputMessage="1" showErrorMessage="1" error="Please use the dropdown." sqref="G36:I36" xr:uid="{00000000-0002-0000-0100-000018000000}">
      <formula1>INDIRECT($E$36)</formula1>
    </dataValidation>
    <dataValidation type="list" allowBlank="1" showInputMessage="1" showErrorMessage="1" error="Please use the dropdown." sqref="G37:I37" xr:uid="{00000000-0002-0000-0100-000019000000}">
      <formula1>INDIRECT($E$37)</formula1>
    </dataValidation>
    <dataValidation type="list" allowBlank="1" showInputMessage="1" showErrorMessage="1" error="Please use the dropdown." sqref="G38:I38" xr:uid="{00000000-0002-0000-0100-00001A000000}">
      <formula1>INDIRECT($E$38)</formula1>
    </dataValidation>
    <dataValidation type="list" allowBlank="1" showDropDown="1" showInputMessage="1" showErrorMessage="1" error="Use Checkbox" prompt="Use Checkbox" sqref="G8" xr:uid="{488DF3C8-41C2-4C67-9CB6-2B912654B5A8}">
      <formula1>TorF</formula1>
    </dataValidation>
  </dataValidations>
  <hyperlinks>
    <hyperlink ref="A64:G64" location="'Ch5'!A1" display="CLICK TO PROCEED TO CHAPTER 5 &gt;&gt;" xr:uid="{00000000-0004-0000-0100-000000000000}"/>
  </hyperlinks>
  <pageMargins left="0.7" right="0.7" top="0.75" bottom="0.75" header="0.3" footer="0.3"/>
  <pageSetup scale="5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locked="0" defaultSize="0" autoFill="0" autoLine="0" autoPict="0">
                <anchor moveWithCells="1">
                  <from>
                    <xdr:col>6</xdr:col>
                    <xdr:colOff>0</xdr:colOff>
                    <xdr:row>7</xdr:row>
                    <xdr:rowOff>0</xdr:rowOff>
                  </from>
                  <to>
                    <xdr:col>6</xdr:col>
                    <xdr:colOff>184150</xdr:colOff>
                    <xdr:row>7</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BF6E4F97-0E9D-4B17-BFCE-97D9EE33CD91}">
            <xm:f>NOT(ISERROR(MATCH(G14,Geography!$J$2:$J$57,0)))</xm:f>
            <x14:dxf>
              <fill>
                <patternFill>
                  <bgColor rgb="FF92D050"/>
                </patternFill>
              </fill>
            </x14:dxf>
          </x14:cfRule>
          <xm:sqref>G14:J14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B000000}">
          <x14:formula1>
            <xm:f>Geography!$J$2:$J$57</xm:f>
          </x14:formula1>
          <xm:sqref>G14:J14</xm:sqref>
        </x14:dataValidation>
        <x14:dataValidation type="list" allowBlank="1" showInputMessage="1" showErrorMessage="1" xr:uid="{00000000-0002-0000-0100-00001C000000}">
          <x14:formula1>
            <xm:f>OFFSET(Geography!$C$2,MATCH($G$14,Geography!$A$2:$A$3146,0)-1,0,COUNTIF(Geography!$A$2:$A$3146,$G$14),1)</xm:f>
          </x14:formula1>
          <xm:sqref>G15:J15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2:L44"/>
  <sheetViews>
    <sheetView showGridLines="0" zoomScaleNormal="100" workbookViewId="0"/>
  </sheetViews>
  <sheetFormatPr defaultColWidth="9.1796875" defaultRowHeight="14.5" x14ac:dyDescent="0.35"/>
  <sheetData>
    <row r="2" spans="2:12" ht="15.5" x14ac:dyDescent="0.35">
      <c r="B2" s="519" t="s">
        <v>4408</v>
      </c>
      <c r="C2" s="519"/>
      <c r="D2" s="518"/>
    </row>
    <row r="3" spans="2:12" x14ac:dyDescent="0.35">
      <c r="B3" s="44"/>
      <c r="C3" s="44"/>
      <c r="D3" s="44"/>
    </row>
    <row r="4" spans="2:12" ht="20" x14ac:dyDescent="0.35">
      <c r="B4" s="517" t="s">
        <v>4407</v>
      </c>
      <c r="C4" s="517"/>
      <c r="D4" s="517"/>
    </row>
    <row r="5" spans="2:12" x14ac:dyDescent="0.35">
      <c r="B5" s="516"/>
      <c r="C5" s="516"/>
      <c r="D5" s="516"/>
    </row>
    <row r="6" spans="2:12" x14ac:dyDescent="0.35">
      <c r="B6" s="1008" t="s">
        <v>4406</v>
      </c>
      <c r="C6" s="1009"/>
      <c r="D6" s="1009"/>
      <c r="E6" s="1009"/>
      <c r="F6" s="1009"/>
      <c r="G6" s="1009"/>
      <c r="H6" s="1009"/>
      <c r="I6" s="1009"/>
      <c r="J6" s="1009"/>
      <c r="K6" s="1009"/>
      <c r="L6" s="1009"/>
    </row>
    <row r="7" spans="2:12" x14ac:dyDescent="0.35">
      <c r="B7" s="1008" t="s">
        <v>4405</v>
      </c>
      <c r="C7" s="1009"/>
      <c r="D7" s="1009"/>
      <c r="E7" s="1009"/>
      <c r="F7" s="1009"/>
      <c r="G7" s="1009"/>
      <c r="H7" s="1009"/>
      <c r="I7" s="1009"/>
      <c r="J7" s="1009"/>
      <c r="K7" s="1009"/>
      <c r="L7" s="1009"/>
    </row>
    <row r="8" spans="2:12" x14ac:dyDescent="0.35">
      <c r="B8" s="1012"/>
      <c r="C8" s="1012"/>
      <c r="D8" s="1012"/>
      <c r="E8" s="1012"/>
      <c r="F8" s="1012"/>
      <c r="G8" s="1012"/>
      <c r="H8" s="1012"/>
      <c r="I8" s="1012"/>
      <c r="J8" s="1012"/>
      <c r="K8" s="1012"/>
      <c r="L8" s="1012"/>
    </row>
    <row r="9" spans="2:12" x14ac:dyDescent="0.35">
      <c r="B9" s="1007" t="s">
        <v>4404</v>
      </c>
      <c r="C9" s="1007"/>
      <c r="D9" s="1007"/>
      <c r="E9" s="1007"/>
      <c r="F9" s="1007"/>
      <c r="G9" s="1007"/>
      <c r="H9" s="1007"/>
      <c r="I9" s="1007"/>
      <c r="J9" s="1007"/>
      <c r="K9" s="1007"/>
      <c r="L9" s="1007"/>
    </row>
    <row r="10" spans="2:12" x14ac:dyDescent="0.35">
      <c r="B10" s="515"/>
      <c r="C10" s="515"/>
      <c r="D10" s="515"/>
      <c r="E10" s="515"/>
      <c r="F10" s="515"/>
      <c r="G10" s="515"/>
      <c r="H10" s="515"/>
      <c r="I10" s="515"/>
      <c r="J10" s="515"/>
      <c r="K10" s="515"/>
      <c r="L10" s="515"/>
    </row>
    <row r="11" spans="2:12" x14ac:dyDescent="0.35">
      <c r="B11" s="1007" t="s">
        <v>4403</v>
      </c>
      <c r="C11" s="1007"/>
      <c r="D11" s="1007"/>
      <c r="E11" s="1007"/>
      <c r="F11" s="1007"/>
      <c r="G11" s="1007"/>
      <c r="H11" s="1007"/>
      <c r="I11" s="1007"/>
      <c r="J11" s="1007"/>
      <c r="K11" s="1007"/>
      <c r="L11" s="1007"/>
    </row>
    <row r="12" spans="2:12" x14ac:dyDescent="0.35">
      <c r="B12" s="1007"/>
      <c r="C12" s="1007"/>
      <c r="D12" s="1007"/>
      <c r="E12" s="1007"/>
      <c r="F12" s="1007"/>
      <c r="G12" s="1007"/>
      <c r="H12" s="1007"/>
      <c r="I12" s="1007"/>
      <c r="J12" s="1007"/>
      <c r="K12" s="1007"/>
      <c r="L12" s="1007"/>
    </row>
    <row r="13" spans="2:12" x14ac:dyDescent="0.35">
      <c r="B13" s="1007"/>
      <c r="C13" s="1007"/>
      <c r="D13" s="1007"/>
      <c r="E13" s="1007"/>
      <c r="F13" s="1007"/>
      <c r="G13" s="1007"/>
      <c r="H13" s="1007"/>
      <c r="I13" s="1007"/>
      <c r="J13" s="1007"/>
      <c r="K13" s="1007"/>
      <c r="L13" s="1007"/>
    </row>
    <row r="14" spans="2:12" x14ac:dyDescent="0.35">
      <c r="B14" s="1007"/>
      <c r="C14" s="1007"/>
      <c r="D14" s="1007"/>
      <c r="E14" s="1007"/>
      <c r="F14" s="1007"/>
      <c r="G14" s="1007"/>
      <c r="H14" s="1007"/>
      <c r="I14" s="1007"/>
      <c r="J14" s="1007"/>
      <c r="K14" s="1007"/>
      <c r="L14" s="1007"/>
    </row>
    <row r="15" spans="2:12" x14ac:dyDescent="0.35">
      <c r="B15" s="515"/>
      <c r="C15" s="515"/>
      <c r="D15" s="515"/>
      <c r="E15" s="515"/>
      <c r="F15" s="515"/>
      <c r="G15" s="515"/>
      <c r="H15" s="515"/>
      <c r="I15" s="515"/>
      <c r="J15" s="515"/>
      <c r="K15" s="515"/>
      <c r="L15" s="515"/>
    </row>
    <row r="16" spans="2:12" x14ac:dyDescent="0.35">
      <c r="B16" s="1007" t="s">
        <v>4402</v>
      </c>
      <c r="C16" s="1007"/>
      <c r="D16" s="1007"/>
      <c r="E16" s="1007"/>
      <c r="F16" s="1007"/>
      <c r="G16" s="1007"/>
      <c r="H16" s="1007"/>
      <c r="I16" s="1007"/>
      <c r="J16" s="1007"/>
      <c r="K16" s="1007"/>
      <c r="L16" s="1007"/>
    </row>
    <row r="17" spans="2:12" x14ac:dyDescent="0.35">
      <c r="B17" s="1007"/>
      <c r="C17" s="1007"/>
      <c r="D17" s="1007"/>
      <c r="E17" s="1007"/>
      <c r="F17" s="1007"/>
      <c r="G17" s="1007"/>
      <c r="H17" s="1007"/>
      <c r="I17" s="1007"/>
      <c r="J17" s="1007"/>
      <c r="K17" s="1007"/>
      <c r="L17" s="1007"/>
    </row>
    <row r="18" spans="2:12" x14ac:dyDescent="0.35">
      <c r="B18" s="1007"/>
      <c r="C18" s="1007"/>
      <c r="D18" s="1007"/>
      <c r="E18" s="1007"/>
      <c r="F18" s="1007"/>
      <c r="G18" s="1007"/>
      <c r="H18" s="1007"/>
      <c r="I18" s="1007"/>
      <c r="J18" s="1007"/>
      <c r="K18" s="1007"/>
      <c r="L18" s="1007"/>
    </row>
    <row r="19" spans="2:12" x14ac:dyDescent="0.35">
      <c r="B19" s="1007"/>
      <c r="C19" s="1007"/>
      <c r="D19" s="1007"/>
      <c r="E19" s="1007"/>
      <c r="F19" s="1007"/>
      <c r="G19" s="1007"/>
      <c r="H19" s="1007"/>
      <c r="I19" s="1007"/>
      <c r="J19" s="1007"/>
      <c r="K19" s="1007"/>
      <c r="L19" s="1007"/>
    </row>
    <row r="20" spans="2:12" x14ac:dyDescent="0.35">
      <c r="B20" s="1007"/>
      <c r="C20" s="1007"/>
      <c r="D20" s="1007"/>
      <c r="E20" s="1007"/>
      <c r="F20" s="1007"/>
      <c r="G20" s="1007"/>
      <c r="H20" s="1007"/>
      <c r="I20" s="1007"/>
      <c r="J20" s="1007"/>
      <c r="K20" s="1007"/>
      <c r="L20" s="1007"/>
    </row>
    <row r="21" spans="2:12" x14ac:dyDescent="0.35">
      <c r="B21" s="514"/>
      <c r="C21" s="514"/>
      <c r="D21" s="514"/>
      <c r="E21" s="514"/>
      <c r="F21" s="514"/>
      <c r="G21" s="514"/>
      <c r="H21" s="514"/>
      <c r="I21" s="514"/>
      <c r="J21" s="514"/>
      <c r="K21" s="514"/>
      <c r="L21" s="514"/>
    </row>
    <row r="22" spans="2:12" x14ac:dyDescent="0.35">
      <c r="B22" s="1008" t="s">
        <v>4401</v>
      </c>
      <c r="C22" s="1009"/>
      <c r="D22" s="1009"/>
      <c r="E22" s="1009"/>
      <c r="F22" s="1009"/>
      <c r="G22" s="1009"/>
      <c r="H22" s="1009"/>
      <c r="I22" s="1009"/>
      <c r="J22" s="1009"/>
      <c r="K22" s="1009"/>
      <c r="L22" s="1009"/>
    </row>
    <row r="23" spans="2:12" x14ac:dyDescent="0.35">
      <c r="B23" s="1008" t="s">
        <v>4400</v>
      </c>
      <c r="C23" s="1009"/>
      <c r="D23" s="1009"/>
      <c r="E23" s="1009"/>
      <c r="F23" s="1009"/>
      <c r="G23" s="1009"/>
      <c r="H23" s="1009"/>
      <c r="I23" s="1009"/>
      <c r="J23" s="1009"/>
      <c r="K23" s="1009"/>
      <c r="L23" s="1009"/>
    </row>
    <row r="24" spans="2:12" x14ac:dyDescent="0.35">
      <c r="B24" s="1010"/>
      <c r="C24" s="1010"/>
      <c r="D24" s="1010"/>
      <c r="E24" s="1010"/>
      <c r="F24" s="1010"/>
      <c r="G24" s="1010"/>
      <c r="H24" s="1010"/>
      <c r="I24" s="1010"/>
      <c r="J24" s="1010"/>
      <c r="K24" s="1010"/>
      <c r="L24" s="1010"/>
    </row>
    <row r="25" spans="2:12" x14ac:dyDescent="0.35">
      <c r="B25" s="1007" t="s">
        <v>4399</v>
      </c>
      <c r="C25" s="1007"/>
      <c r="D25" s="1007"/>
      <c r="E25" s="1007"/>
      <c r="F25" s="1007"/>
      <c r="G25" s="1007"/>
      <c r="H25" s="1007"/>
      <c r="I25" s="1007"/>
      <c r="J25" s="1007"/>
      <c r="K25" s="1007"/>
      <c r="L25" s="1007"/>
    </row>
    <row r="26" spans="2:12" x14ac:dyDescent="0.35">
      <c r="B26" s="1007"/>
      <c r="C26" s="1007"/>
      <c r="D26" s="1007"/>
      <c r="E26" s="1007"/>
      <c r="F26" s="1007"/>
      <c r="G26" s="1007"/>
      <c r="H26" s="1007"/>
      <c r="I26" s="1007"/>
      <c r="J26" s="1007"/>
      <c r="K26" s="1007"/>
      <c r="L26" s="1007"/>
    </row>
    <row r="27" spans="2:12" x14ac:dyDescent="0.35">
      <c r="B27" s="1007"/>
      <c r="C27" s="1007"/>
      <c r="D27" s="1007"/>
      <c r="E27" s="1007"/>
      <c r="F27" s="1007"/>
      <c r="G27" s="1007"/>
      <c r="H27" s="1007"/>
      <c r="I27" s="1007"/>
      <c r="J27" s="1007"/>
      <c r="K27" s="1007"/>
      <c r="L27" s="1007"/>
    </row>
    <row r="28" spans="2:12" x14ac:dyDescent="0.35">
      <c r="B28" s="1007"/>
      <c r="C28" s="1007"/>
      <c r="D28" s="1007"/>
      <c r="E28" s="1007"/>
      <c r="F28" s="1007"/>
      <c r="G28" s="1007"/>
      <c r="H28" s="1007"/>
      <c r="I28" s="1007"/>
      <c r="J28" s="1007"/>
      <c r="K28" s="1007"/>
      <c r="L28" s="1007"/>
    </row>
    <row r="29" spans="2:12" x14ac:dyDescent="0.35">
      <c r="B29" s="513"/>
      <c r="C29" s="513"/>
      <c r="D29" s="513"/>
      <c r="E29" s="513"/>
      <c r="F29" s="513"/>
      <c r="G29" s="513"/>
      <c r="H29" s="513"/>
      <c r="I29" s="513"/>
      <c r="J29" s="513"/>
      <c r="K29" s="513"/>
      <c r="L29" s="513"/>
    </row>
    <row r="30" spans="2:12" x14ac:dyDescent="0.35">
      <c r="B30" s="1011" t="s">
        <v>4398</v>
      </c>
      <c r="C30" s="1011"/>
      <c r="D30" s="1011"/>
      <c r="E30" s="1011"/>
      <c r="F30" s="1011"/>
      <c r="G30" s="1011"/>
      <c r="H30" s="1011"/>
      <c r="I30" s="1011"/>
      <c r="J30" s="1011"/>
      <c r="K30" s="1011"/>
      <c r="L30" s="1011"/>
    </row>
    <row r="31" spans="2:12" ht="15" thickBot="1" x14ac:dyDescent="0.4">
      <c r="B31" s="1011" t="s">
        <v>4397</v>
      </c>
      <c r="C31" s="1011"/>
      <c r="D31" s="1011"/>
      <c r="E31" s="1011"/>
      <c r="F31" s="1011"/>
      <c r="G31" s="1011"/>
      <c r="H31" s="1011"/>
      <c r="I31" s="1011"/>
      <c r="J31" s="1011"/>
      <c r="K31" s="1011"/>
      <c r="L31" s="1011"/>
    </row>
    <row r="32" spans="2:12" ht="15" thickBot="1" x14ac:dyDescent="0.4">
      <c r="B32" s="1005"/>
      <c r="C32" s="1006"/>
      <c r="D32" s="1006"/>
      <c r="E32" s="1000" t="s">
        <v>4396</v>
      </c>
      <c r="F32" s="1000"/>
      <c r="G32" s="1000"/>
      <c r="H32" s="1000"/>
      <c r="I32" s="1000"/>
      <c r="J32" s="1000"/>
      <c r="K32" s="1000"/>
      <c r="L32" s="1003"/>
    </row>
    <row r="33" spans="2:12" ht="15" thickTop="1" x14ac:dyDescent="0.35">
      <c r="B33" s="995" t="s">
        <v>4395</v>
      </c>
      <c r="C33" s="996"/>
      <c r="D33" s="996"/>
      <c r="E33" s="996" t="s">
        <v>4394</v>
      </c>
      <c r="F33" s="996"/>
      <c r="G33" s="996"/>
      <c r="H33" s="996"/>
      <c r="I33" s="996" t="s">
        <v>4393</v>
      </c>
      <c r="J33" s="996"/>
      <c r="K33" s="996"/>
      <c r="L33" s="1004"/>
    </row>
    <row r="34" spans="2:12" x14ac:dyDescent="0.35">
      <c r="B34" s="997" t="s">
        <v>4392</v>
      </c>
      <c r="C34" s="998"/>
      <c r="D34" s="998"/>
      <c r="E34" s="510">
        <v>50</v>
      </c>
      <c r="F34" s="510">
        <v>80</v>
      </c>
      <c r="G34" s="510">
        <v>100</v>
      </c>
      <c r="H34" s="510">
        <v>125</v>
      </c>
      <c r="I34" s="510">
        <v>50</v>
      </c>
      <c r="J34" s="510">
        <v>80</v>
      </c>
      <c r="K34" s="510">
        <v>100</v>
      </c>
      <c r="L34" s="509">
        <v>125</v>
      </c>
    </row>
    <row r="35" spans="2:12" ht="15" thickBot="1" x14ac:dyDescent="0.4">
      <c r="B35" s="992" t="s">
        <v>4391</v>
      </c>
      <c r="C35" s="993"/>
      <c r="D35" s="993"/>
      <c r="E35" s="508">
        <v>-25</v>
      </c>
      <c r="F35" s="508">
        <v>-40</v>
      </c>
      <c r="G35" s="508">
        <v>-50</v>
      </c>
      <c r="H35" s="508">
        <v>-65</v>
      </c>
      <c r="I35" s="508">
        <v>-25</v>
      </c>
      <c r="J35" s="508">
        <v>-40</v>
      </c>
      <c r="K35" s="508">
        <v>-50</v>
      </c>
      <c r="L35" s="507">
        <v>-65</v>
      </c>
    </row>
    <row r="36" spans="2:12" ht="15" thickBot="1" x14ac:dyDescent="0.4">
      <c r="B36" s="999" t="s">
        <v>4390</v>
      </c>
      <c r="C36" s="1000"/>
      <c r="D36" s="1000"/>
      <c r="E36" s="1000" t="s">
        <v>4389</v>
      </c>
      <c r="F36" s="1000"/>
      <c r="G36" s="1000"/>
      <c r="H36" s="1000"/>
      <c r="I36" s="1000"/>
      <c r="J36" s="1000"/>
      <c r="K36" s="1000"/>
      <c r="L36" s="1003"/>
    </row>
    <row r="37" spans="2:12" ht="15" thickTop="1" x14ac:dyDescent="0.35">
      <c r="B37" s="1001" t="s">
        <v>4388</v>
      </c>
      <c r="C37" s="1002"/>
      <c r="D37" s="1002"/>
      <c r="E37" s="512" t="s">
        <v>260</v>
      </c>
      <c r="F37" s="512" t="s">
        <v>260</v>
      </c>
      <c r="G37" s="512" t="s">
        <v>260</v>
      </c>
      <c r="H37" s="512" t="s">
        <v>260</v>
      </c>
      <c r="I37" s="512" t="s">
        <v>4384</v>
      </c>
      <c r="J37" s="512" t="s">
        <v>260</v>
      </c>
      <c r="K37" s="512" t="s">
        <v>260</v>
      </c>
      <c r="L37" s="511" t="s">
        <v>260</v>
      </c>
    </row>
    <row r="38" spans="2:12" x14ac:dyDescent="0.35">
      <c r="B38" s="997" t="s">
        <v>4387</v>
      </c>
      <c r="C38" s="998"/>
      <c r="D38" s="998"/>
      <c r="E38" s="510" t="s">
        <v>4382</v>
      </c>
      <c r="F38" s="510" t="s">
        <v>4386</v>
      </c>
      <c r="G38" s="510" t="s">
        <v>260</v>
      </c>
      <c r="H38" s="510" t="s">
        <v>260</v>
      </c>
      <c r="I38" s="510" t="s">
        <v>4385</v>
      </c>
      <c r="J38" s="510" t="s">
        <v>4381</v>
      </c>
      <c r="K38" s="510" t="s">
        <v>4384</v>
      </c>
      <c r="L38" s="509" t="s">
        <v>260</v>
      </c>
    </row>
    <row r="39" spans="2:12" x14ac:dyDescent="0.35">
      <c r="B39" s="997" t="s">
        <v>4383</v>
      </c>
      <c r="C39" s="998"/>
      <c r="D39" s="998"/>
      <c r="E39" s="510" t="s">
        <v>4371</v>
      </c>
      <c r="F39" s="510" t="s">
        <v>4382</v>
      </c>
      <c r="G39" s="510" t="s">
        <v>4381</v>
      </c>
      <c r="H39" s="510" t="s">
        <v>4380</v>
      </c>
      <c r="I39" s="510" t="s">
        <v>4371</v>
      </c>
      <c r="J39" s="510" t="s">
        <v>4379</v>
      </c>
      <c r="K39" s="510" t="s">
        <v>4378</v>
      </c>
      <c r="L39" s="509" t="s">
        <v>4377</v>
      </c>
    </row>
    <row r="40" spans="2:12" x14ac:dyDescent="0.35">
      <c r="B40" s="997" t="s">
        <v>4376</v>
      </c>
      <c r="C40" s="998"/>
      <c r="D40" s="998"/>
      <c r="E40" s="510" t="s">
        <v>4371</v>
      </c>
      <c r="F40" s="510" t="s">
        <v>4371</v>
      </c>
      <c r="G40" s="510" t="s">
        <v>4375</v>
      </c>
      <c r="H40" s="510" t="s">
        <v>4374</v>
      </c>
      <c r="I40" s="510" t="s">
        <v>4371</v>
      </c>
      <c r="J40" s="510" t="s">
        <v>4371</v>
      </c>
      <c r="K40" s="510" t="s">
        <v>4371</v>
      </c>
      <c r="L40" s="509" t="s">
        <v>4373</v>
      </c>
    </row>
    <row r="41" spans="2:12" ht="15" thickBot="1" x14ac:dyDescent="0.4">
      <c r="B41" s="992" t="s">
        <v>4372</v>
      </c>
      <c r="C41" s="993"/>
      <c r="D41" s="993"/>
      <c r="E41" s="508" t="s">
        <v>4371</v>
      </c>
      <c r="F41" s="508" t="s">
        <v>4371</v>
      </c>
      <c r="G41" s="508" t="s">
        <v>4371</v>
      </c>
      <c r="H41" s="508" t="s">
        <v>4371</v>
      </c>
      <c r="I41" s="508" t="s">
        <v>4371</v>
      </c>
      <c r="J41" s="508" t="s">
        <v>4371</v>
      </c>
      <c r="K41" s="508" t="s">
        <v>4371</v>
      </c>
      <c r="L41" s="507" t="s">
        <v>4371</v>
      </c>
    </row>
    <row r="42" spans="2:12" x14ac:dyDescent="0.35">
      <c r="B42" s="994" t="s">
        <v>4370</v>
      </c>
      <c r="C42" s="994"/>
      <c r="D42" s="994"/>
      <c r="E42" s="994"/>
      <c r="F42" s="994"/>
      <c r="G42" s="994"/>
      <c r="H42" s="994"/>
      <c r="I42" s="994"/>
      <c r="J42" s="994"/>
      <c r="K42" s="994"/>
      <c r="L42" s="994"/>
    </row>
    <row r="43" spans="2:12" x14ac:dyDescent="0.35">
      <c r="B43" s="994" t="s">
        <v>4369</v>
      </c>
      <c r="C43" s="994"/>
      <c r="D43" s="994"/>
      <c r="E43" s="994"/>
      <c r="F43" s="994"/>
      <c r="G43" s="994"/>
      <c r="H43" s="994"/>
      <c r="I43" s="994"/>
      <c r="J43" s="994"/>
      <c r="K43" s="994"/>
      <c r="L43" s="994"/>
    </row>
    <row r="44" spans="2:12" x14ac:dyDescent="0.35">
      <c r="B44" s="994" t="s">
        <v>4368</v>
      </c>
      <c r="C44" s="994"/>
      <c r="D44" s="994"/>
      <c r="E44" s="994"/>
      <c r="F44" s="994"/>
      <c r="G44" s="994"/>
      <c r="H44" s="994"/>
      <c r="I44" s="994"/>
      <c r="J44" s="994"/>
      <c r="K44" s="994"/>
      <c r="L44" s="994"/>
    </row>
  </sheetData>
  <sheetProtection algorithmName="SHA-512" hashValue="o2TOnOc+9Uggpdssvzm/zGyqnyKxE1+Jyv487E4QyCW0NVc5j7uNWOD24n0GRU1DO34mcjDZ2EzfX7r8CyroWQ==" saltValue="iaKKtGBmJevrWqrR5+y5ag==" spinCount="100000" sheet="1" objects="1" scenarios="1" selectLockedCells="1" selectUnlockedCells="1"/>
  <mergeCells count="29">
    <mergeCell ref="E32:L32"/>
    <mergeCell ref="B32:D32"/>
    <mergeCell ref="B25:L28"/>
    <mergeCell ref="B6:L6"/>
    <mergeCell ref="B7:L7"/>
    <mergeCell ref="B24:L24"/>
    <mergeCell ref="B30:L30"/>
    <mergeCell ref="B31:L31"/>
    <mergeCell ref="B11:L14"/>
    <mergeCell ref="B16:L20"/>
    <mergeCell ref="B22:L22"/>
    <mergeCell ref="B8:L8"/>
    <mergeCell ref="B9:L9"/>
    <mergeCell ref="B23:L23"/>
    <mergeCell ref="B41:D41"/>
    <mergeCell ref="B44:L44"/>
    <mergeCell ref="B33:D33"/>
    <mergeCell ref="B34:D34"/>
    <mergeCell ref="B35:D35"/>
    <mergeCell ref="B36:D36"/>
    <mergeCell ref="B37:D37"/>
    <mergeCell ref="B38:D38"/>
    <mergeCell ref="B39:D39"/>
    <mergeCell ref="B40:D40"/>
    <mergeCell ref="B43:L43"/>
    <mergeCell ref="E36:L36"/>
    <mergeCell ref="E33:H33"/>
    <mergeCell ref="I33:L33"/>
    <mergeCell ref="B42:L42"/>
  </mergeCells>
  <pageMargins left="0.7" right="0.7" top="0.75" bottom="0.75" header="0.3" footer="0.3"/>
  <pageSetup scale="8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pageSetUpPr fitToPage="1"/>
  </sheetPr>
  <dimension ref="B2:L164"/>
  <sheetViews>
    <sheetView showGridLines="0" zoomScaleNormal="100" workbookViewId="0"/>
  </sheetViews>
  <sheetFormatPr defaultColWidth="9.1796875" defaultRowHeight="14.5" x14ac:dyDescent="0.35"/>
  <cols>
    <col min="2" max="11" width="9.1796875" style="49"/>
  </cols>
  <sheetData>
    <row r="2" spans="2:12" ht="15.5" x14ac:dyDescent="0.35">
      <c r="B2" s="538" t="s">
        <v>4486</v>
      </c>
    </row>
    <row r="3" spans="2:12" x14ac:dyDescent="0.35">
      <c r="B3" s="537"/>
    </row>
    <row r="4" spans="2:12" ht="20" x14ac:dyDescent="0.35">
      <c r="B4" s="1029" t="s">
        <v>4485</v>
      </c>
      <c r="C4" s="1029"/>
      <c r="D4" s="1029"/>
      <c r="E4" s="1029"/>
      <c r="F4" s="1029"/>
      <c r="G4" s="1029"/>
      <c r="H4" s="1029"/>
      <c r="I4" s="1029"/>
      <c r="J4" s="1029"/>
      <c r="K4" s="1029"/>
    </row>
    <row r="5" spans="2:12" x14ac:dyDescent="0.35">
      <c r="B5" s="536"/>
    </row>
    <row r="6" spans="2:12" ht="15" customHeight="1" x14ac:dyDescent="0.35">
      <c r="B6" s="1008" t="s">
        <v>4484</v>
      </c>
      <c r="C6" s="1009"/>
      <c r="D6" s="1009"/>
      <c r="E6" s="1009"/>
      <c r="F6" s="1009"/>
      <c r="G6" s="1009"/>
      <c r="H6" s="1009"/>
      <c r="I6" s="1009"/>
      <c r="J6" s="1009"/>
      <c r="K6" s="1009"/>
      <c r="L6" s="1009"/>
    </row>
    <row r="7" spans="2:12" ht="15.75" customHeight="1" x14ac:dyDescent="0.35">
      <c r="B7" s="1008" t="s">
        <v>4405</v>
      </c>
      <c r="C7" s="1009"/>
      <c r="D7" s="1009"/>
      <c r="E7" s="1009"/>
      <c r="F7" s="1009"/>
      <c r="G7" s="1009"/>
      <c r="H7" s="1009"/>
      <c r="I7" s="1009"/>
      <c r="J7" s="1009"/>
      <c r="K7" s="1009"/>
      <c r="L7" s="1009"/>
    </row>
    <row r="8" spans="2:12" ht="15.5" x14ac:dyDescent="0.35">
      <c r="B8" s="1013"/>
      <c r="C8" s="1013"/>
      <c r="D8" s="1013"/>
      <c r="E8" s="1013"/>
      <c r="F8" s="1013"/>
      <c r="G8" s="1013"/>
      <c r="H8" s="520"/>
    </row>
    <row r="9" spans="2:12" x14ac:dyDescent="0.35">
      <c r="B9" s="1007" t="s">
        <v>4483</v>
      </c>
      <c r="C9" s="1007"/>
      <c r="D9" s="1007"/>
      <c r="E9" s="1007"/>
      <c r="F9" s="1007"/>
      <c r="G9" s="1007"/>
      <c r="H9" s="1007"/>
      <c r="I9" s="1007"/>
      <c r="J9" s="1007"/>
      <c r="K9" s="1007"/>
      <c r="L9" s="1007"/>
    </row>
    <row r="10" spans="2:12" ht="15.5" x14ac:dyDescent="0.35">
      <c r="B10" s="1007"/>
      <c r="C10" s="1007"/>
      <c r="D10" s="1007"/>
      <c r="E10" s="1007"/>
      <c r="F10" s="1007"/>
      <c r="G10" s="1007"/>
      <c r="H10" s="520"/>
    </row>
    <row r="11" spans="2:12" x14ac:dyDescent="0.35">
      <c r="B11" s="1007" t="s">
        <v>4482</v>
      </c>
      <c r="C11" s="1007"/>
      <c r="D11" s="1007"/>
      <c r="E11" s="1007"/>
      <c r="F11" s="1007"/>
      <c r="G11" s="1007"/>
      <c r="H11" s="1007"/>
      <c r="I11" s="1007"/>
      <c r="J11" s="1007"/>
      <c r="K11" s="1007"/>
      <c r="L11" s="1007"/>
    </row>
    <row r="12" spans="2:12" ht="15.75" customHeight="1" x14ac:dyDescent="0.35">
      <c r="B12" s="1007"/>
      <c r="C12" s="1007"/>
      <c r="D12" s="1007"/>
      <c r="E12" s="1007"/>
      <c r="F12" s="1007"/>
      <c r="G12" s="1007"/>
      <c r="H12" s="1007"/>
      <c r="I12" s="1007"/>
      <c r="J12" s="1007"/>
      <c r="K12" s="1007"/>
      <c r="L12" s="1007"/>
    </row>
    <row r="13" spans="2:12" ht="15.75" customHeight="1" x14ac:dyDescent="0.35">
      <c r="B13" s="1007"/>
      <c r="C13" s="1007"/>
      <c r="D13" s="1007"/>
      <c r="E13" s="1007"/>
      <c r="F13" s="1007"/>
      <c r="G13" s="1007"/>
      <c r="H13" s="1007"/>
      <c r="I13" s="1007"/>
      <c r="J13" s="1007"/>
      <c r="K13" s="1007"/>
      <c r="L13" s="1007"/>
    </row>
    <row r="14" spans="2:12" ht="15.5" x14ac:dyDescent="0.35">
      <c r="B14" s="515"/>
      <c r="C14" s="515"/>
      <c r="D14" s="515"/>
      <c r="E14" s="515"/>
      <c r="F14" s="515"/>
      <c r="G14" s="515"/>
      <c r="H14" s="520"/>
    </row>
    <row r="15" spans="2:12" x14ac:dyDescent="0.35">
      <c r="B15" s="1007" t="s">
        <v>4481</v>
      </c>
      <c r="C15" s="1007"/>
      <c r="D15" s="1007"/>
      <c r="E15" s="1007"/>
      <c r="F15" s="1007"/>
      <c r="G15" s="1007"/>
      <c r="H15" s="1007"/>
      <c r="I15" s="1007"/>
      <c r="J15" s="1007"/>
      <c r="K15" s="1007"/>
      <c r="L15" s="1007"/>
    </row>
    <row r="16" spans="2:12" ht="15.75" customHeight="1" x14ac:dyDescent="0.35">
      <c r="B16" s="1007"/>
      <c r="C16" s="1007"/>
      <c r="D16" s="1007"/>
      <c r="E16" s="1007"/>
      <c r="F16" s="1007"/>
      <c r="G16" s="1007"/>
      <c r="H16" s="1007"/>
      <c r="I16" s="1007"/>
      <c r="J16" s="1007"/>
      <c r="K16" s="1007"/>
      <c r="L16" s="1007"/>
    </row>
    <row r="17" spans="2:12" ht="15.75" customHeight="1" x14ac:dyDescent="0.35">
      <c r="B17" s="1007"/>
      <c r="C17" s="1007"/>
      <c r="D17" s="1007"/>
      <c r="E17" s="1007"/>
      <c r="F17" s="1007"/>
      <c r="G17" s="1007"/>
      <c r="H17" s="1007"/>
      <c r="I17" s="1007"/>
      <c r="J17" s="1007"/>
      <c r="K17" s="1007"/>
      <c r="L17" s="1007"/>
    </row>
    <row r="18" spans="2:12" ht="15.75" customHeight="1" x14ac:dyDescent="0.35">
      <c r="B18" s="1007"/>
      <c r="C18" s="1007"/>
      <c r="D18" s="1007"/>
      <c r="E18" s="1007"/>
      <c r="F18" s="1007"/>
      <c r="G18" s="1007"/>
      <c r="H18" s="1007"/>
      <c r="I18" s="1007"/>
      <c r="J18" s="1007"/>
      <c r="K18" s="1007"/>
      <c r="L18" s="1007"/>
    </row>
    <row r="19" spans="2:12" ht="15.75" customHeight="1" x14ac:dyDescent="0.35">
      <c r="B19" s="1007"/>
      <c r="C19" s="1007"/>
      <c r="D19" s="1007"/>
      <c r="E19" s="1007"/>
      <c r="F19" s="1007"/>
      <c r="G19" s="1007"/>
      <c r="H19" s="1007"/>
      <c r="I19" s="1007"/>
      <c r="J19" s="1007"/>
      <c r="K19" s="1007"/>
      <c r="L19" s="1007"/>
    </row>
    <row r="20" spans="2:12" ht="15.5" x14ac:dyDescent="0.35">
      <c r="B20" s="515"/>
      <c r="C20" s="515"/>
      <c r="D20" s="515"/>
      <c r="E20" s="515"/>
      <c r="F20" s="515"/>
      <c r="G20" s="515"/>
      <c r="H20" s="520"/>
    </row>
    <row r="21" spans="2:12" ht="15" customHeight="1" x14ac:dyDescent="0.35">
      <c r="B21" s="1008" t="s">
        <v>4480</v>
      </c>
      <c r="C21" s="1009"/>
      <c r="D21" s="1009"/>
      <c r="E21" s="1009"/>
      <c r="F21" s="1009"/>
      <c r="G21" s="1009"/>
      <c r="H21" s="1009"/>
      <c r="I21" s="1009"/>
      <c r="J21" s="1009"/>
      <c r="K21" s="1009"/>
      <c r="L21" s="1009"/>
    </row>
    <row r="22" spans="2:12" ht="15.75" customHeight="1" x14ac:dyDescent="0.35">
      <c r="B22" s="1008" t="s">
        <v>4479</v>
      </c>
      <c r="C22" s="1009"/>
      <c r="D22" s="1009"/>
      <c r="E22" s="1009"/>
      <c r="F22" s="1009"/>
      <c r="G22" s="1009"/>
      <c r="H22" s="1009"/>
      <c r="I22" s="1009"/>
      <c r="J22" s="1009"/>
      <c r="K22" s="1009"/>
      <c r="L22" s="1009"/>
    </row>
    <row r="23" spans="2:12" ht="15.5" x14ac:dyDescent="0.35">
      <c r="B23" s="1007"/>
      <c r="C23" s="1007"/>
      <c r="D23" s="1007"/>
      <c r="E23" s="1007"/>
      <c r="F23" s="1007"/>
      <c r="G23" s="1030"/>
      <c r="H23" s="1030"/>
    </row>
    <row r="24" spans="2:12" x14ac:dyDescent="0.35">
      <c r="B24" s="1007" t="s">
        <v>4478</v>
      </c>
      <c r="C24" s="1007"/>
      <c r="D24" s="1007"/>
      <c r="E24" s="1007"/>
      <c r="F24" s="1007"/>
      <c r="G24" s="1007"/>
      <c r="H24" s="1007"/>
      <c r="I24" s="1007"/>
      <c r="J24" s="1007"/>
      <c r="K24" s="1007"/>
      <c r="L24" s="1007"/>
    </row>
    <row r="25" spans="2:12" ht="15.75" customHeight="1" x14ac:dyDescent="0.35">
      <c r="B25" s="1007"/>
      <c r="C25" s="1007"/>
      <c r="D25" s="1007"/>
      <c r="E25" s="1007"/>
      <c r="F25" s="1007"/>
      <c r="G25" s="1007"/>
      <c r="H25" s="1007"/>
      <c r="I25" s="1007"/>
      <c r="J25" s="1007"/>
      <c r="K25" s="1007"/>
      <c r="L25" s="1007"/>
    </row>
    <row r="26" spans="2:12" ht="15.75" customHeight="1" x14ac:dyDescent="0.35">
      <c r="B26" s="1007"/>
      <c r="C26" s="1007"/>
      <c r="D26" s="1007"/>
      <c r="E26" s="1007"/>
      <c r="F26" s="1007"/>
      <c r="G26" s="1007"/>
      <c r="H26" s="1007"/>
      <c r="I26" s="1007"/>
      <c r="J26" s="1007"/>
      <c r="K26" s="1007"/>
      <c r="L26" s="1007"/>
    </row>
    <row r="27" spans="2:12" ht="15.75" customHeight="1" x14ac:dyDescent="0.35">
      <c r="B27" s="1007"/>
      <c r="C27" s="1007"/>
      <c r="D27" s="1007"/>
      <c r="E27" s="1007"/>
      <c r="F27" s="1007"/>
      <c r="G27" s="1007"/>
      <c r="H27" s="1007"/>
      <c r="I27" s="1007"/>
      <c r="J27" s="1007"/>
      <c r="K27" s="1007"/>
      <c r="L27" s="1007"/>
    </row>
    <row r="28" spans="2:12" ht="15.5" x14ac:dyDescent="0.35">
      <c r="B28" s="513"/>
      <c r="C28" s="513"/>
      <c r="D28" s="513"/>
      <c r="E28" s="513"/>
      <c r="F28" s="513"/>
      <c r="G28" s="520"/>
      <c r="H28" s="520"/>
    </row>
    <row r="29" spans="2:12" x14ac:dyDescent="0.35">
      <c r="B29" s="515"/>
      <c r="C29" s="1007" t="s">
        <v>4477</v>
      </c>
      <c r="D29" s="1007"/>
      <c r="E29" s="1007"/>
      <c r="F29" s="1007"/>
      <c r="G29" s="1007"/>
      <c r="H29" s="1007"/>
      <c r="I29" s="1007"/>
      <c r="J29" s="1007"/>
      <c r="K29" s="1007"/>
      <c r="L29" s="1007"/>
    </row>
    <row r="30" spans="2:12" ht="15.75" customHeight="1" x14ac:dyDescent="0.35">
      <c r="B30" s="513"/>
      <c r="C30" s="1007"/>
      <c r="D30" s="1007"/>
      <c r="E30" s="1007"/>
      <c r="F30" s="1007"/>
      <c r="G30" s="1007"/>
      <c r="H30" s="1007"/>
      <c r="I30" s="1007"/>
      <c r="J30" s="1007"/>
      <c r="K30" s="1007"/>
      <c r="L30" s="1007"/>
    </row>
    <row r="31" spans="2:12" ht="15.5" x14ac:dyDescent="0.35">
      <c r="B31" s="513"/>
      <c r="C31" s="513"/>
      <c r="D31" s="515"/>
      <c r="E31" s="515"/>
      <c r="F31" s="515"/>
      <c r="G31" s="515"/>
      <c r="H31" s="520"/>
    </row>
    <row r="32" spans="2:12" x14ac:dyDescent="0.35">
      <c r="B32" s="513"/>
      <c r="C32" s="515" t="s">
        <v>4476</v>
      </c>
      <c r="D32" s="1013" t="s">
        <v>4475</v>
      </c>
      <c r="E32" s="1013"/>
      <c r="F32" s="1013"/>
      <c r="G32" s="1013"/>
      <c r="H32" s="1013"/>
      <c r="I32" s="1013"/>
      <c r="J32" s="1013"/>
      <c r="K32" s="1013"/>
      <c r="L32" s="1013"/>
    </row>
    <row r="33" spans="2:12" x14ac:dyDescent="0.35">
      <c r="B33" s="513"/>
      <c r="C33" s="515"/>
      <c r="D33" s="1013"/>
      <c r="E33" s="1013"/>
      <c r="F33" s="1013"/>
      <c r="G33" s="1013"/>
      <c r="H33" s="1013"/>
      <c r="I33" s="1013"/>
      <c r="J33" s="1013"/>
      <c r="K33" s="1013"/>
      <c r="L33" s="1013"/>
    </row>
    <row r="34" spans="2:12" x14ac:dyDescent="0.35">
      <c r="B34" s="513"/>
      <c r="C34" s="515" t="s">
        <v>4474</v>
      </c>
      <c r="D34" s="1013" t="s">
        <v>4473</v>
      </c>
      <c r="E34" s="1013"/>
      <c r="F34" s="1013"/>
      <c r="G34" s="1013"/>
      <c r="H34" s="1013"/>
      <c r="I34" s="1013"/>
      <c r="J34" s="1013"/>
      <c r="K34" s="1013"/>
      <c r="L34" s="1013"/>
    </row>
    <row r="35" spans="2:12" ht="15.75" customHeight="1" x14ac:dyDescent="0.35">
      <c r="B35" s="513"/>
      <c r="C35" s="513"/>
      <c r="D35" s="1013"/>
      <c r="E35" s="1013"/>
      <c r="F35" s="1013"/>
      <c r="G35" s="1013"/>
      <c r="H35" s="1013"/>
      <c r="I35" s="1013"/>
      <c r="J35" s="1013"/>
      <c r="K35" s="1013"/>
      <c r="L35" s="1013"/>
    </row>
    <row r="36" spans="2:12" ht="15.5" x14ac:dyDescent="0.35">
      <c r="B36" s="513"/>
      <c r="C36" s="513"/>
      <c r="D36" s="515"/>
      <c r="E36" s="515"/>
      <c r="F36" s="515"/>
      <c r="G36" s="515"/>
      <c r="H36" s="520"/>
    </row>
    <row r="37" spans="2:12" x14ac:dyDescent="0.35">
      <c r="B37" s="515"/>
      <c r="C37" s="1026" t="s">
        <v>4472</v>
      </c>
      <c r="D37" s="1026"/>
      <c r="E37" s="1026"/>
      <c r="F37" s="1026"/>
      <c r="G37" s="1026"/>
      <c r="H37" s="1026"/>
      <c r="I37" s="1026"/>
      <c r="J37" s="1026"/>
      <c r="K37" s="1026"/>
      <c r="L37" s="1026"/>
    </row>
    <row r="38" spans="2:12" ht="15.75" customHeight="1" x14ac:dyDescent="0.35">
      <c r="B38" s="513"/>
      <c r="C38" s="1026"/>
      <c r="D38" s="1026"/>
      <c r="E38" s="1026"/>
      <c r="F38" s="1026"/>
      <c r="G38" s="1026"/>
      <c r="H38" s="1026"/>
      <c r="I38" s="1026"/>
      <c r="J38" s="1026"/>
      <c r="K38" s="1026"/>
      <c r="L38" s="1026"/>
    </row>
    <row r="39" spans="2:12" ht="15.5" x14ac:dyDescent="0.35">
      <c r="B39" s="513"/>
      <c r="C39" s="513"/>
      <c r="D39" s="513"/>
      <c r="E39" s="513"/>
      <c r="F39" s="513"/>
      <c r="G39" s="520"/>
      <c r="H39" s="520"/>
    </row>
    <row r="40" spans="2:12" x14ac:dyDescent="0.35">
      <c r="B40" s="1007" t="s">
        <v>4471</v>
      </c>
      <c r="C40" s="1007"/>
      <c r="D40" s="1007"/>
      <c r="E40" s="1007"/>
      <c r="F40" s="1007"/>
      <c r="G40" s="1007"/>
      <c r="H40" s="1007"/>
      <c r="I40" s="1007"/>
      <c r="J40" s="1007"/>
      <c r="K40" s="1007"/>
      <c r="L40" s="1007"/>
    </row>
    <row r="41" spans="2:12" ht="15.75" customHeight="1" x14ac:dyDescent="0.35">
      <c r="B41" s="1007"/>
      <c r="C41" s="1007"/>
      <c r="D41" s="1007"/>
      <c r="E41" s="1007"/>
      <c r="F41" s="1007"/>
      <c r="G41" s="1007"/>
      <c r="H41" s="1007"/>
      <c r="I41" s="1007"/>
      <c r="J41" s="1007"/>
      <c r="K41" s="1007"/>
      <c r="L41" s="1007"/>
    </row>
    <row r="42" spans="2:12" ht="15.75" customHeight="1" x14ac:dyDescent="0.35">
      <c r="B42" s="1007"/>
      <c r="C42" s="1007"/>
      <c r="D42" s="1007"/>
      <c r="E42" s="1007"/>
      <c r="F42" s="1007"/>
      <c r="G42" s="1007"/>
      <c r="H42" s="1007"/>
      <c r="I42" s="1007"/>
      <c r="J42" s="1007"/>
      <c r="K42" s="1007"/>
      <c r="L42" s="1007"/>
    </row>
    <row r="43" spans="2:12" ht="15.75" customHeight="1" x14ac:dyDescent="0.35">
      <c r="B43" s="1007"/>
      <c r="C43" s="1007"/>
      <c r="D43" s="1007"/>
      <c r="E43" s="1007"/>
      <c r="F43" s="1007"/>
      <c r="G43" s="1007"/>
      <c r="H43" s="1007"/>
      <c r="I43" s="1007"/>
      <c r="J43" s="1007"/>
      <c r="K43" s="1007"/>
      <c r="L43" s="1007"/>
    </row>
    <row r="44" spans="2:12" ht="15.5" x14ac:dyDescent="0.35">
      <c r="B44" s="513"/>
      <c r="C44" s="513"/>
      <c r="D44" s="513"/>
      <c r="E44" s="513"/>
      <c r="F44" s="513"/>
      <c r="G44" s="520"/>
      <c r="H44" s="520"/>
    </row>
    <row r="45" spans="2:12" x14ac:dyDescent="0.35">
      <c r="B45" s="1007" t="s">
        <v>4470</v>
      </c>
      <c r="C45" s="1007"/>
      <c r="D45" s="1007"/>
      <c r="E45" s="1007"/>
      <c r="F45" s="1007"/>
      <c r="G45" s="1007"/>
      <c r="H45" s="1007"/>
      <c r="I45" s="1007"/>
      <c r="J45" s="1007"/>
      <c r="K45" s="1007"/>
      <c r="L45" s="1007"/>
    </row>
    <row r="46" spans="2:12" ht="15.75" customHeight="1" x14ac:dyDescent="0.35">
      <c r="B46" s="1007"/>
      <c r="C46" s="1007"/>
      <c r="D46" s="1007"/>
      <c r="E46" s="1007"/>
      <c r="F46" s="1007"/>
      <c r="G46" s="1007"/>
      <c r="H46" s="1007"/>
      <c r="I46" s="1007"/>
      <c r="J46" s="1007"/>
      <c r="K46" s="1007"/>
      <c r="L46" s="1007"/>
    </row>
    <row r="47" spans="2:12" ht="15.5" x14ac:dyDescent="0.35">
      <c r="B47" s="513"/>
      <c r="C47" s="513"/>
      <c r="D47" s="513"/>
      <c r="E47" s="513"/>
      <c r="F47" s="513"/>
      <c r="G47" s="520"/>
      <c r="H47" s="520"/>
    </row>
    <row r="48" spans="2:12" x14ac:dyDescent="0.35">
      <c r="B48" s="1028" t="s">
        <v>4469</v>
      </c>
      <c r="C48" s="1028"/>
      <c r="D48" s="1028"/>
      <c r="E48" s="1028"/>
      <c r="F48" s="1028"/>
      <c r="G48" s="1028"/>
      <c r="H48" s="1028"/>
      <c r="I48" s="1028"/>
      <c r="J48" s="1028"/>
      <c r="K48" s="1028"/>
      <c r="L48" s="1028"/>
    </row>
    <row r="49" spans="2:12" ht="15" customHeight="1" x14ac:dyDescent="0.35">
      <c r="B49" s="1028"/>
      <c r="C49" s="1028"/>
      <c r="D49" s="1028"/>
      <c r="E49" s="1028"/>
      <c r="F49" s="1028"/>
      <c r="G49" s="1028"/>
      <c r="H49" s="1028"/>
      <c r="I49" s="1028"/>
      <c r="J49" s="1028"/>
      <c r="K49" s="1028"/>
      <c r="L49" s="1028"/>
    </row>
    <row r="50" spans="2:12" ht="15" customHeight="1" x14ac:dyDescent="0.35">
      <c r="B50" s="1028"/>
      <c r="C50" s="1028"/>
      <c r="D50" s="1028"/>
      <c r="E50" s="1028"/>
      <c r="F50" s="1028"/>
      <c r="G50" s="1028"/>
      <c r="H50" s="1028"/>
      <c r="I50" s="1028"/>
      <c r="J50" s="1028"/>
      <c r="K50" s="1028"/>
      <c r="L50" s="1028"/>
    </row>
    <row r="51" spans="2:12" ht="15" customHeight="1" x14ac:dyDescent="0.35">
      <c r="B51" s="1028"/>
      <c r="C51" s="1028"/>
      <c r="D51" s="1028"/>
      <c r="E51" s="1028"/>
      <c r="F51" s="1028"/>
      <c r="G51" s="1028"/>
      <c r="H51" s="1028"/>
      <c r="I51" s="1028"/>
      <c r="J51" s="1028"/>
      <c r="K51" s="1028"/>
      <c r="L51" s="1028"/>
    </row>
    <row r="52" spans="2:12" ht="15" customHeight="1" x14ac:dyDescent="0.35">
      <c r="B52" s="1028"/>
      <c r="C52" s="1028"/>
      <c r="D52" s="1028"/>
      <c r="E52" s="1028"/>
      <c r="F52" s="1028"/>
      <c r="G52" s="1028"/>
      <c r="H52" s="1028"/>
      <c r="I52" s="1028"/>
      <c r="J52" s="1028"/>
      <c r="K52" s="1028"/>
      <c r="L52" s="1028"/>
    </row>
    <row r="53" spans="2:12" ht="15" customHeight="1" x14ac:dyDescent="0.35">
      <c r="B53" s="1028"/>
      <c r="C53" s="1028"/>
      <c r="D53" s="1028"/>
      <c r="E53" s="1028"/>
      <c r="F53" s="1028"/>
      <c r="G53" s="1028"/>
      <c r="H53" s="1028"/>
      <c r="I53" s="1028"/>
      <c r="J53" s="1028"/>
      <c r="K53" s="1028"/>
      <c r="L53" s="1028"/>
    </row>
    <row r="54" spans="2:12" ht="15" customHeight="1" x14ac:dyDescent="0.35">
      <c r="B54" s="535"/>
      <c r="C54" s="535"/>
      <c r="D54" s="535"/>
      <c r="E54" s="535"/>
      <c r="F54" s="535"/>
      <c r="G54" s="535"/>
      <c r="H54" s="520"/>
    </row>
    <row r="55" spans="2:12" ht="15" customHeight="1" x14ac:dyDescent="0.35">
      <c r="E55" s="1011" t="s">
        <v>4468</v>
      </c>
      <c r="F55" s="1011"/>
      <c r="G55" s="1011"/>
      <c r="H55" s="520"/>
    </row>
    <row r="56" spans="2:12" ht="15.5" x14ac:dyDescent="0.35">
      <c r="E56" s="1027"/>
      <c r="F56" s="1027"/>
      <c r="G56" s="1027"/>
      <c r="H56" s="520"/>
    </row>
    <row r="57" spans="2:12" ht="15.5" x14ac:dyDescent="0.35">
      <c r="E57" s="1013" t="s">
        <v>4428</v>
      </c>
      <c r="F57" s="1013"/>
      <c r="G57" s="1013"/>
      <c r="H57" s="520"/>
    </row>
    <row r="58" spans="2:12" x14ac:dyDescent="0.35">
      <c r="E58" s="526"/>
      <c r="F58" s="526"/>
      <c r="G58" s="1013" t="s">
        <v>4467</v>
      </c>
      <c r="H58" s="1013"/>
      <c r="I58" s="1013"/>
      <c r="J58" s="1013"/>
      <c r="K58" s="1013"/>
    </row>
    <row r="59" spans="2:12" x14ac:dyDescent="0.35">
      <c r="E59" s="526"/>
      <c r="F59" s="526"/>
      <c r="G59" s="1013" t="s">
        <v>4466</v>
      </c>
      <c r="H59" s="1013"/>
      <c r="I59" s="1013"/>
      <c r="J59" s="1013"/>
      <c r="K59" s="1013"/>
    </row>
    <row r="60" spans="2:12" x14ac:dyDescent="0.35">
      <c r="E60" s="526"/>
      <c r="F60" s="526"/>
      <c r="G60" s="1013" t="s">
        <v>4462</v>
      </c>
      <c r="H60" s="1013"/>
      <c r="I60" s="1013"/>
      <c r="J60" s="1013"/>
      <c r="K60" s="1013"/>
    </row>
    <row r="61" spans="2:12" ht="15.5" x14ac:dyDescent="0.35">
      <c r="E61" s="534"/>
      <c r="F61" s="534"/>
      <c r="G61" s="534"/>
      <c r="H61" s="520"/>
    </row>
    <row r="62" spans="2:12" ht="15.5" x14ac:dyDescent="0.35">
      <c r="E62" s="1011" t="s">
        <v>4465</v>
      </c>
      <c r="F62" s="1011"/>
      <c r="G62" s="1011"/>
      <c r="H62" s="520"/>
    </row>
    <row r="63" spans="2:12" ht="15.5" x14ac:dyDescent="0.35">
      <c r="E63" s="1027"/>
      <c r="F63" s="1027"/>
      <c r="G63" s="1027"/>
      <c r="H63" s="520"/>
    </row>
    <row r="64" spans="2:12" ht="15.5" x14ac:dyDescent="0.35">
      <c r="E64" s="1013" t="s">
        <v>4428</v>
      </c>
      <c r="F64" s="1013"/>
      <c r="G64" s="1013"/>
      <c r="H64" s="520"/>
    </row>
    <row r="65" spans="2:11" x14ac:dyDescent="0.35">
      <c r="E65" s="526"/>
      <c r="F65" s="526"/>
      <c r="G65" s="1013" t="s">
        <v>4464</v>
      </c>
      <c r="H65" s="1013"/>
      <c r="I65" s="1013"/>
      <c r="J65" s="1013"/>
      <c r="K65" s="1013"/>
    </row>
    <row r="66" spans="2:11" x14ac:dyDescent="0.35">
      <c r="E66" s="526"/>
      <c r="F66" s="526"/>
      <c r="G66" s="1013" t="s">
        <v>4463</v>
      </c>
      <c r="H66" s="1013"/>
      <c r="I66" s="1013"/>
      <c r="J66" s="1013"/>
      <c r="K66" s="1013"/>
    </row>
    <row r="67" spans="2:11" x14ac:dyDescent="0.35">
      <c r="E67" s="526"/>
      <c r="F67" s="526"/>
      <c r="G67" s="1013" t="s">
        <v>4462</v>
      </c>
      <c r="H67" s="1013"/>
      <c r="I67" s="1013"/>
      <c r="J67" s="1013"/>
      <c r="K67" s="1013"/>
    </row>
    <row r="68" spans="2:11" ht="15" customHeight="1" x14ac:dyDescent="0.35">
      <c r="B68" s="534"/>
      <c r="C68" s="534"/>
      <c r="D68" s="534"/>
      <c r="E68" s="534"/>
      <c r="F68" s="534"/>
      <c r="G68" s="534"/>
      <c r="H68" s="520"/>
    </row>
    <row r="69" spans="2:11" ht="15" customHeight="1" x14ac:dyDescent="0.35">
      <c r="D69" s="1011" t="s">
        <v>4461</v>
      </c>
      <c r="E69" s="1011"/>
      <c r="F69" s="1011"/>
      <c r="G69" s="1011"/>
      <c r="H69" s="1011"/>
      <c r="I69" s="1011"/>
      <c r="J69" s="1011"/>
    </row>
    <row r="70" spans="2:11" ht="15.75" customHeight="1" thickBot="1" x14ac:dyDescent="0.4">
      <c r="D70" s="1018" t="s">
        <v>4460</v>
      </c>
      <c r="E70" s="1018"/>
      <c r="F70" s="1018"/>
      <c r="G70" s="1018"/>
      <c r="H70" s="1018"/>
      <c r="I70" s="1018"/>
      <c r="J70" s="1018"/>
    </row>
    <row r="71" spans="2:11" x14ac:dyDescent="0.35">
      <c r="D71" s="1032" t="s">
        <v>4450</v>
      </c>
      <c r="E71" s="1033"/>
      <c r="F71" s="1033" t="s">
        <v>4449</v>
      </c>
      <c r="G71" s="1033"/>
      <c r="H71" s="1033"/>
      <c r="I71" s="1033"/>
      <c r="J71" s="1036"/>
    </row>
    <row r="72" spans="2:11" ht="15.75" customHeight="1" thickBot="1" x14ac:dyDescent="0.4">
      <c r="D72" s="1034" t="s">
        <v>4459</v>
      </c>
      <c r="E72" s="1035"/>
      <c r="F72" s="530" t="s">
        <v>4447</v>
      </c>
      <c r="G72" s="530" t="s">
        <v>4446</v>
      </c>
      <c r="H72" s="530" t="s">
        <v>4445</v>
      </c>
      <c r="I72" s="530" t="s">
        <v>4444</v>
      </c>
      <c r="J72" s="529" t="s">
        <v>4443</v>
      </c>
    </row>
    <row r="73" spans="2:11" ht="15.75" customHeight="1" thickTop="1" x14ac:dyDescent="0.35">
      <c r="D73" s="533" t="s">
        <v>4458</v>
      </c>
      <c r="E73" s="524"/>
      <c r="F73" s="524">
        <v>30</v>
      </c>
      <c r="G73" s="524">
        <v>45</v>
      </c>
      <c r="H73" s="524">
        <v>60</v>
      </c>
      <c r="I73" s="524">
        <v>75</v>
      </c>
      <c r="J73" s="523">
        <v>90</v>
      </c>
    </row>
    <row r="74" spans="2:11" ht="15" customHeight="1" x14ac:dyDescent="0.35">
      <c r="D74" s="533" t="s">
        <v>4457</v>
      </c>
      <c r="E74" s="524"/>
      <c r="F74" s="524">
        <v>45</v>
      </c>
      <c r="G74" s="524">
        <v>60</v>
      </c>
      <c r="H74" s="524">
        <v>75</v>
      </c>
      <c r="I74" s="524">
        <v>90</v>
      </c>
      <c r="J74" s="523">
        <v>105</v>
      </c>
    </row>
    <row r="75" spans="2:11" ht="15" customHeight="1" x14ac:dyDescent="0.35">
      <c r="D75" s="533" t="s">
        <v>4456</v>
      </c>
      <c r="E75" s="524"/>
      <c r="F75" s="524">
        <v>60</v>
      </c>
      <c r="G75" s="524">
        <v>75</v>
      </c>
      <c r="H75" s="524">
        <v>90</v>
      </c>
      <c r="I75" s="524">
        <v>105</v>
      </c>
      <c r="J75" s="523">
        <v>120</v>
      </c>
    </row>
    <row r="76" spans="2:11" ht="15" customHeight="1" x14ac:dyDescent="0.35">
      <c r="D76" s="533" t="s">
        <v>4455</v>
      </c>
      <c r="E76" s="524"/>
      <c r="F76" s="524">
        <v>75</v>
      </c>
      <c r="G76" s="524">
        <v>90</v>
      </c>
      <c r="H76" s="524">
        <v>105</v>
      </c>
      <c r="I76" s="524">
        <v>120</v>
      </c>
      <c r="J76" s="523">
        <v>135</v>
      </c>
    </row>
    <row r="77" spans="2:11" ht="15" customHeight="1" x14ac:dyDescent="0.35">
      <c r="D77" s="533" t="s">
        <v>4454</v>
      </c>
      <c r="E77" s="524"/>
      <c r="F77" s="524">
        <v>90</v>
      </c>
      <c r="G77" s="524">
        <v>105</v>
      </c>
      <c r="H77" s="524">
        <v>120</v>
      </c>
      <c r="I77" s="524">
        <v>135</v>
      </c>
      <c r="J77" s="523">
        <v>150</v>
      </c>
    </row>
    <row r="78" spans="2:11" ht="15.75" customHeight="1" thickBot="1" x14ac:dyDescent="0.4">
      <c r="D78" s="532" t="s">
        <v>4453</v>
      </c>
      <c r="E78" s="522"/>
      <c r="F78" s="522">
        <v>105</v>
      </c>
      <c r="G78" s="522">
        <v>120</v>
      </c>
      <c r="H78" s="522">
        <v>135</v>
      </c>
      <c r="I78" s="522">
        <v>150</v>
      </c>
      <c r="J78" s="521">
        <v>165</v>
      </c>
    </row>
    <row r="79" spans="2:11" ht="15.75" customHeight="1" x14ac:dyDescent="0.35">
      <c r="D79" s="531"/>
      <c r="E79" s="524"/>
      <c r="F79" s="524"/>
      <c r="G79" s="524"/>
      <c r="H79" s="524"/>
      <c r="I79" s="524"/>
      <c r="J79" s="524"/>
    </row>
    <row r="80" spans="2:11" ht="15.75" customHeight="1" x14ac:dyDescent="0.35">
      <c r="D80" s="1011" t="s">
        <v>4452</v>
      </c>
      <c r="E80" s="1011"/>
      <c r="F80" s="1011"/>
      <c r="G80" s="1011"/>
      <c r="H80" s="1011"/>
      <c r="I80" s="1011"/>
      <c r="J80" s="1011"/>
    </row>
    <row r="81" spans="2:12" ht="15.75" customHeight="1" thickBot="1" x14ac:dyDescent="0.4">
      <c r="D81" s="1018" t="s">
        <v>4451</v>
      </c>
      <c r="E81" s="1018"/>
      <c r="F81" s="1018"/>
      <c r="G81" s="1018"/>
      <c r="H81" s="1018"/>
      <c r="I81" s="1018"/>
      <c r="J81" s="1018"/>
    </row>
    <row r="82" spans="2:12" x14ac:dyDescent="0.35">
      <c r="D82" s="1032" t="s">
        <v>4450</v>
      </c>
      <c r="E82" s="1033"/>
      <c r="F82" s="1033" t="s">
        <v>4449</v>
      </c>
      <c r="G82" s="1033"/>
      <c r="H82" s="1033"/>
      <c r="I82" s="1033"/>
      <c r="J82" s="1036"/>
    </row>
    <row r="83" spans="2:12" ht="15.75" customHeight="1" thickBot="1" x14ac:dyDescent="0.4">
      <c r="D83" s="1034" t="s">
        <v>4448</v>
      </c>
      <c r="E83" s="1035"/>
      <c r="F83" s="530" t="s">
        <v>4447</v>
      </c>
      <c r="G83" s="530" t="s">
        <v>4446</v>
      </c>
      <c r="H83" s="530" t="s">
        <v>4445</v>
      </c>
      <c r="I83" s="530" t="s">
        <v>4444</v>
      </c>
      <c r="J83" s="529" t="s">
        <v>4443</v>
      </c>
    </row>
    <row r="84" spans="2:12" ht="15.75" customHeight="1" thickTop="1" x14ac:dyDescent="0.35">
      <c r="D84" s="1031" t="s">
        <v>4442</v>
      </c>
      <c r="E84" s="1027"/>
      <c r="F84" s="524">
        <v>14</v>
      </c>
      <c r="G84" s="524">
        <v>21</v>
      </c>
      <c r="H84" s="524">
        <v>28</v>
      </c>
      <c r="I84" s="524">
        <v>35</v>
      </c>
      <c r="J84" s="523">
        <v>42</v>
      </c>
    </row>
    <row r="85" spans="2:12" x14ac:dyDescent="0.35">
      <c r="D85" s="1031" t="s">
        <v>4441</v>
      </c>
      <c r="E85" s="1027"/>
      <c r="F85" s="524">
        <v>21</v>
      </c>
      <c r="G85" s="524">
        <v>28</v>
      </c>
      <c r="H85" s="524">
        <v>35</v>
      </c>
      <c r="I85" s="524">
        <v>42</v>
      </c>
      <c r="J85" s="523">
        <v>50</v>
      </c>
    </row>
    <row r="86" spans="2:12" x14ac:dyDescent="0.35">
      <c r="D86" s="1031" t="s">
        <v>4440</v>
      </c>
      <c r="E86" s="1027"/>
      <c r="F86" s="524">
        <v>28</v>
      </c>
      <c r="G86" s="524">
        <v>35</v>
      </c>
      <c r="H86" s="524">
        <v>42</v>
      </c>
      <c r="I86" s="524">
        <v>50</v>
      </c>
      <c r="J86" s="523">
        <v>57</v>
      </c>
    </row>
    <row r="87" spans="2:12" x14ac:dyDescent="0.35">
      <c r="D87" s="1031" t="s">
        <v>4439</v>
      </c>
      <c r="E87" s="1027"/>
      <c r="F87" s="524">
        <v>35</v>
      </c>
      <c r="G87" s="524">
        <v>42</v>
      </c>
      <c r="H87" s="524">
        <v>50</v>
      </c>
      <c r="I87" s="524">
        <v>57</v>
      </c>
      <c r="J87" s="523">
        <v>64</v>
      </c>
    </row>
    <row r="88" spans="2:12" x14ac:dyDescent="0.35">
      <c r="D88" s="1031" t="s">
        <v>4438</v>
      </c>
      <c r="E88" s="1027"/>
      <c r="F88" s="524">
        <v>42</v>
      </c>
      <c r="G88" s="524">
        <v>50</v>
      </c>
      <c r="H88" s="524">
        <v>57</v>
      </c>
      <c r="I88" s="524">
        <v>64</v>
      </c>
      <c r="J88" s="523">
        <v>71</v>
      </c>
    </row>
    <row r="89" spans="2:12" ht="15.75" customHeight="1" thickBot="1" x14ac:dyDescent="0.4">
      <c r="D89" s="1038" t="s">
        <v>4437</v>
      </c>
      <c r="E89" s="1039"/>
      <c r="F89" s="522">
        <v>50</v>
      </c>
      <c r="G89" s="522">
        <v>57</v>
      </c>
      <c r="H89" s="522">
        <v>64</v>
      </c>
      <c r="I89" s="522">
        <v>71</v>
      </c>
      <c r="J89" s="521">
        <v>78</v>
      </c>
    </row>
    <row r="90" spans="2:12" ht="15.75" customHeight="1" x14ac:dyDescent="0.35">
      <c r="B90" s="526"/>
      <c r="C90" s="524"/>
      <c r="D90" s="524"/>
      <c r="E90" s="524"/>
      <c r="F90" s="524"/>
      <c r="G90" s="524"/>
      <c r="H90" s="520"/>
    </row>
    <row r="91" spans="2:12" ht="15.75" customHeight="1" x14ac:dyDescent="0.35">
      <c r="B91" s="1037" t="s">
        <v>4436</v>
      </c>
      <c r="C91" s="1037"/>
      <c r="D91" s="1037"/>
      <c r="E91" s="1037"/>
      <c r="F91" s="1037"/>
      <c r="G91" s="1037"/>
      <c r="H91" s="1037"/>
      <c r="I91" s="1037"/>
      <c r="J91" s="1037"/>
      <c r="K91" s="1037"/>
      <c r="L91" s="1037"/>
    </row>
    <row r="92" spans="2:12" ht="15.75" customHeight="1" x14ac:dyDescent="0.35">
      <c r="B92" s="1037"/>
      <c r="C92" s="1037"/>
      <c r="D92" s="1037"/>
      <c r="E92" s="1037"/>
      <c r="F92" s="1037"/>
      <c r="G92" s="1037"/>
      <c r="H92" s="1037"/>
      <c r="I92" s="1037"/>
      <c r="J92" s="1037"/>
      <c r="K92" s="1037"/>
      <c r="L92" s="1037"/>
    </row>
    <row r="93" spans="2:12" ht="15.75" customHeight="1" x14ac:dyDescent="0.35">
      <c r="B93" s="528"/>
      <c r="C93"/>
      <c r="D93"/>
      <c r="E93"/>
      <c r="F93"/>
      <c r="G93"/>
      <c r="H93" s="520"/>
    </row>
    <row r="94" spans="2:12" x14ac:dyDescent="0.35">
      <c r="B94" s="1007" t="s">
        <v>4435</v>
      </c>
      <c r="C94" s="1007"/>
      <c r="D94" s="1007"/>
      <c r="E94" s="1007"/>
      <c r="F94" s="1007"/>
      <c r="G94" s="1007"/>
      <c r="H94" s="1007"/>
      <c r="I94" s="1007"/>
      <c r="J94" s="1007"/>
      <c r="K94" s="1007"/>
      <c r="L94" s="1007"/>
    </row>
    <row r="95" spans="2:12" ht="15.75" customHeight="1" x14ac:dyDescent="0.35">
      <c r="B95" s="1007"/>
      <c r="C95" s="1007"/>
      <c r="D95" s="1007"/>
      <c r="E95" s="1007"/>
      <c r="F95" s="1007"/>
      <c r="G95" s="1007"/>
      <c r="H95" s="1007"/>
      <c r="I95" s="1007"/>
      <c r="J95" s="1007"/>
      <c r="K95" s="1007"/>
      <c r="L95" s="1007"/>
    </row>
    <row r="96" spans="2:12" ht="15.75" customHeight="1" x14ac:dyDescent="0.35">
      <c r="B96" s="1007"/>
      <c r="C96" s="1007"/>
      <c r="D96" s="1007"/>
      <c r="E96" s="1007"/>
      <c r="F96" s="1007"/>
      <c r="G96" s="1007"/>
      <c r="H96" s="1007"/>
      <c r="I96" s="1007"/>
      <c r="J96" s="1007"/>
      <c r="K96" s="1007"/>
      <c r="L96" s="1007"/>
    </row>
    <row r="97" spans="2:12" ht="15.75" customHeight="1" x14ac:dyDescent="0.35">
      <c r="B97" s="1007"/>
      <c r="C97" s="1007"/>
      <c r="D97" s="1007"/>
      <c r="E97" s="1007"/>
      <c r="F97" s="1007"/>
      <c r="G97" s="1007"/>
      <c r="H97" s="1007"/>
      <c r="I97" s="1007"/>
      <c r="J97" s="1007"/>
      <c r="K97" s="1007"/>
      <c r="L97" s="1007"/>
    </row>
    <row r="98" spans="2:12" ht="15.5" x14ac:dyDescent="0.35">
      <c r="B98" s="513"/>
      <c r="C98" s="513"/>
      <c r="D98" s="513"/>
      <c r="E98" s="513"/>
      <c r="F98" s="513"/>
      <c r="G98" s="520"/>
      <c r="H98" s="520"/>
    </row>
    <row r="99" spans="2:12" x14ac:dyDescent="0.35">
      <c r="B99" s="1007" t="s">
        <v>4434</v>
      </c>
      <c r="C99" s="1007"/>
      <c r="D99" s="1007"/>
      <c r="E99" s="1007"/>
      <c r="F99" s="1007"/>
      <c r="G99" s="1007"/>
      <c r="H99" s="1007"/>
      <c r="I99" s="1007"/>
      <c r="J99" s="1007"/>
      <c r="K99" s="1007"/>
      <c r="L99" s="1007"/>
    </row>
    <row r="100" spans="2:12" ht="15.75" customHeight="1" x14ac:dyDescent="0.35">
      <c r="B100" s="1007"/>
      <c r="C100" s="1007"/>
      <c r="D100" s="1007"/>
      <c r="E100" s="1007"/>
      <c r="F100" s="1007"/>
      <c r="G100" s="1007"/>
      <c r="H100" s="1007"/>
      <c r="I100" s="1007"/>
      <c r="J100" s="1007"/>
      <c r="K100" s="1007"/>
      <c r="L100" s="1007"/>
    </row>
    <row r="101" spans="2:12" ht="15.75" customHeight="1" x14ac:dyDescent="0.35">
      <c r="B101" s="1007"/>
      <c r="C101" s="1007"/>
      <c r="D101" s="1007"/>
      <c r="E101" s="1007"/>
      <c r="F101" s="1007"/>
      <c r="G101" s="1007"/>
      <c r="H101" s="1007"/>
      <c r="I101" s="1007"/>
      <c r="J101" s="1007"/>
      <c r="K101" s="1007"/>
      <c r="L101" s="1007"/>
    </row>
    <row r="102" spans="2:12" ht="15.75" customHeight="1" x14ac:dyDescent="0.35">
      <c r="B102" s="1007"/>
      <c r="C102" s="1007"/>
      <c r="D102" s="1007"/>
      <c r="E102" s="1007"/>
      <c r="F102" s="1007"/>
      <c r="G102" s="1007"/>
      <c r="H102" s="1007"/>
      <c r="I102" s="1007"/>
      <c r="J102" s="1007"/>
      <c r="K102" s="1007"/>
      <c r="L102" s="1007"/>
    </row>
    <row r="103" spans="2:12" ht="15.5" x14ac:dyDescent="0.35">
      <c r="B103" s="513"/>
      <c r="C103" s="513"/>
      <c r="D103" s="513"/>
      <c r="E103" s="513"/>
      <c r="F103" s="513"/>
      <c r="G103" s="520"/>
      <c r="H103" s="520"/>
    </row>
    <row r="104" spans="2:12" x14ac:dyDescent="0.35">
      <c r="B104" s="1007" t="s">
        <v>4433</v>
      </c>
      <c r="C104" s="1007"/>
      <c r="D104" s="1007"/>
      <c r="E104" s="1007"/>
      <c r="F104" s="1007"/>
      <c r="G104" s="1007"/>
      <c r="H104" s="1007"/>
      <c r="I104" s="1007"/>
      <c r="J104" s="1007"/>
      <c r="K104" s="1007"/>
      <c r="L104" s="1007"/>
    </row>
    <row r="105" spans="2:12" ht="15.75" customHeight="1" x14ac:dyDescent="0.35">
      <c r="B105" s="1007"/>
      <c r="C105" s="1007"/>
      <c r="D105" s="1007"/>
      <c r="E105" s="1007"/>
      <c r="F105" s="1007"/>
      <c r="G105" s="1007"/>
      <c r="H105" s="1007"/>
      <c r="I105" s="1007"/>
      <c r="J105" s="1007"/>
      <c r="K105" s="1007"/>
      <c r="L105" s="1007"/>
    </row>
    <row r="106" spans="2:12" ht="15.75" customHeight="1" x14ac:dyDescent="0.35">
      <c r="B106" s="1007"/>
      <c r="C106" s="1007"/>
      <c r="D106" s="1007"/>
      <c r="E106" s="1007"/>
      <c r="F106" s="1007"/>
      <c r="G106" s="1007"/>
      <c r="H106" s="1007"/>
      <c r="I106" s="1007"/>
      <c r="J106" s="1007"/>
      <c r="K106" s="1007"/>
      <c r="L106" s="1007"/>
    </row>
    <row r="107" spans="2:12" ht="15.75" customHeight="1" x14ac:dyDescent="0.35">
      <c r="B107" s="1007"/>
      <c r="C107" s="1007"/>
      <c r="D107" s="1007"/>
      <c r="E107" s="1007"/>
      <c r="F107" s="1007"/>
      <c r="G107" s="1007"/>
      <c r="H107" s="1007"/>
      <c r="I107" s="1007"/>
      <c r="J107" s="1007"/>
      <c r="K107" s="1007"/>
      <c r="L107" s="1007"/>
    </row>
    <row r="108" spans="2:12" ht="15.75" customHeight="1" x14ac:dyDescent="0.35">
      <c r="B108" s="1007"/>
      <c r="C108" s="1007"/>
      <c r="D108" s="1007"/>
      <c r="E108" s="1007"/>
      <c r="F108" s="1007"/>
      <c r="G108" s="1007"/>
      <c r="H108" s="1007"/>
      <c r="I108" s="1007"/>
      <c r="J108" s="1007"/>
      <c r="K108" s="1007"/>
      <c r="L108" s="1007"/>
    </row>
    <row r="109" spans="2:12" ht="15.5" x14ac:dyDescent="0.35">
      <c r="B109" s="513"/>
      <c r="C109" s="513"/>
      <c r="D109" s="513"/>
      <c r="E109" s="513"/>
      <c r="F109" s="513"/>
      <c r="G109" s="513"/>
      <c r="H109" s="520"/>
    </row>
    <row r="110" spans="2:12" x14ac:dyDescent="0.35">
      <c r="B110" s="513"/>
      <c r="C110" s="1007" t="s">
        <v>4432</v>
      </c>
      <c r="D110" s="1007"/>
      <c r="E110" s="1007"/>
      <c r="F110" s="1007"/>
      <c r="G110" s="1007"/>
      <c r="H110" s="1007"/>
      <c r="I110" s="1007"/>
      <c r="J110" s="1007"/>
      <c r="K110" s="1007"/>
      <c r="L110" s="1007"/>
    </row>
    <row r="111" spans="2:12" ht="15.75" customHeight="1" x14ac:dyDescent="0.35">
      <c r="B111" s="513"/>
      <c r="C111" s="1007"/>
      <c r="D111" s="1007"/>
      <c r="E111" s="1007"/>
      <c r="F111" s="1007"/>
      <c r="G111" s="1007"/>
      <c r="H111" s="1007"/>
      <c r="I111" s="1007"/>
      <c r="J111" s="1007"/>
      <c r="K111" s="1007"/>
      <c r="L111" s="1007"/>
    </row>
    <row r="112" spans="2:12" ht="15.75" customHeight="1" x14ac:dyDescent="0.35">
      <c r="B112" s="513"/>
      <c r="C112" s="1007"/>
      <c r="D112" s="1007"/>
      <c r="E112" s="1007"/>
      <c r="F112" s="1007"/>
      <c r="G112" s="1007"/>
      <c r="H112" s="1007"/>
      <c r="I112" s="1007"/>
      <c r="J112" s="1007"/>
      <c r="K112" s="1007"/>
      <c r="L112" s="1007"/>
    </row>
    <row r="113" spans="2:12" ht="15.75" customHeight="1" x14ac:dyDescent="0.35">
      <c r="B113" s="513"/>
      <c r="C113" s="1007"/>
      <c r="D113" s="1007"/>
      <c r="E113" s="1007"/>
      <c r="F113" s="1007"/>
      <c r="G113" s="1007"/>
      <c r="H113" s="1007"/>
      <c r="I113" s="1007"/>
      <c r="J113" s="1007"/>
      <c r="K113" s="1007"/>
      <c r="L113" s="1007"/>
    </row>
    <row r="114" spans="2:12" ht="15.5" x14ac:dyDescent="0.35">
      <c r="B114" s="513"/>
      <c r="C114" s="513"/>
      <c r="D114" s="513"/>
      <c r="E114" s="513"/>
      <c r="F114" s="513"/>
      <c r="G114" s="513"/>
      <c r="H114" s="520"/>
    </row>
    <row r="115" spans="2:12" x14ac:dyDescent="0.35">
      <c r="B115" s="1007" t="s">
        <v>4431</v>
      </c>
      <c r="C115" s="1007"/>
      <c r="D115" s="1007"/>
      <c r="E115" s="1007"/>
      <c r="F115" s="1007"/>
      <c r="G115" s="1007"/>
      <c r="H115" s="1007"/>
      <c r="I115" s="1007"/>
      <c r="J115" s="1007"/>
      <c r="K115" s="1007"/>
      <c r="L115" s="1007"/>
    </row>
    <row r="116" spans="2:12" ht="15.75" customHeight="1" x14ac:dyDescent="0.35">
      <c r="B116" s="1007"/>
      <c r="C116" s="1007"/>
      <c r="D116" s="1007"/>
      <c r="E116" s="1007"/>
      <c r="F116" s="1007"/>
      <c r="G116" s="1007"/>
      <c r="H116" s="1007"/>
      <c r="I116" s="1007"/>
      <c r="J116" s="1007"/>
      <c r="K116" s="1007"/>
      <c r="L116" s="1007"/>
    </row>
    <row r="117" spans="2:12" ht="15.5" x14ac:dyDescent="0.35">
      <c r="B117" s="513"/>
      <c r="C117" s="513"/>
      <c r="D117" s="513"/>
      <c r="E117" s="513"/>
      <c r="F117" s="513"/>
      <c r="G117" s="513"/>
      <c r="H117" s="520"/>
    </row>
    <row r="118" spans="2:12" x14ac:dyDescent="0.35">
      <c r="B118" s="513"/>
      <c r="C118" s="1007" t="s">
        <v>4430</v>
      </c>
      <c r="D118" s="1007"/>
      <c r="E118" s="1007"/>
      <c r="F118" s="1007"/>
      <c r="G118" s="1007"/>
      <c r="H118" s="1007"/>
      <c r="I118" s="1007"/>
      <c r="J118" s="1007"/>
      <c r="K118" s="1007"/>
      <c r="L118" s="1007"/>
    </row>
    <row r="119" spans="2:12" ht="15" customHeight="1" x14ac:dyDescent="0.35">
      <c r="B119" s="513"/>
      <c r="C119" s="1007"/>
      <c r="D119" s="1007"/>
      <c r="E119" s="1007"/>
      <c r="F119" s="1007"/>
      <c r="G119" s="1007"/>
      <c r="H119" s="1007"/>
      <c r="I119" s="1007"/>
      <c r="J119" s="1007"/>
      <c r="K119" s="1007"/>
      <c r="L119" s="1007"/>
    </row>
    <row r="120" spans="2:12" ht="15" customHeight="1" x14ac:dyDescent="0.35">
      <c r="B120" s="513"/>
      <c r="C120" s="1007"/>
      <c r="D120" s="1007"/>
      <c r="E120" s="1007"/>
      <c r="F120" s="1007"/>
      <c r="G120" s="1007"/>
      <c r="H120" s="1007"/>
      <c r="I120" s="1007"/>
      <c r="J120" s="1007"/>
      <c r="K120" s="1007"/>
      <c r="L120" s="1007"/>
    </row>
    <row r="121" spans="2:12" ht="15" customHeight="1" x14ac:dyDescent="0.35">
      <c r="B121" s="513"/>
      <c r="C121" s="1007"/>
      <c r="D121" s="1007"/>
      <c r="E121" s="1007"/>
      <c r="F121" s="1007"/>
      <c r="G121" s="1007"/>
      <c r="H121" s="1007"/>
      <c r="I121" s="1007"/>
      <c r="J121" s="1007"/>
      <c r="K121" s="1007"/>
      <c r="L121" s="1007"/>
    </row>
    <row r="122" spans="2:12" ht="15" customHeight="1" x14ac:dyDescent="0.35">
      <c r="B122" s="513"/>
      <c r="C122" s="513"/>
      <c r="D122" s="513"/>
      <c r="E122" s="513"/>
      <c r="F122" s="513"/>
      <c r="G122" s="513"/>
      <c r="H122" s="520"/>
    </row>
    <row r="123" spans="2:12" ht="15" customHeight="1" x14ac:dyDescent="0.35">
      <c r="C123" s="1011" t="s">
        <v>4429</v>
      </c>
      <c r="D123" s="1011"/>
      <c r="E123" s="1011"/>
    </row>
    <row r="124" spans="2:12" ht="15" customHeight="1" x14ac:dyDescent="0.35">
      <c r="C124" s="1027"/>
      <c r="D124" s="1027"/>
      <c r="E124" s="1027"/>
    </row>
    <row r="125" spans="2:12" ht="15" customHeight="1" x14ac:dyDescent="0.35">
      <c r="C125" s="1013" t="s">
        <v>4428</v>
      </c>
      <c r="D125" s="1013"/>
      <c r="E125" s="1013"/>
    </row>
    <row r="126" spans="2:12" ht="15" customHeight="1" x14ac:dyDescent="0.35">
      <c r="C126" s="526"/>
      <c r="D126" s="513" t="s">
        <v>4422</v>
      </c>
      <c r="E126" s="1013" t="s">
        <v>4427</v>
      </c>
      <c r="F126" s="1013"/>
      <c r="G126" s="1013"/>
      <c r="H126" s="1013"/>
      <c r="I126" s="1013"/>
      <c r="J126" s="1013"/>
      <c r="K126" s="1013"/>
      <c r="L126" s="513"/>
    </row>
    <row r="127" spans="2:12" ht="15" customHeight="1" x14ac:dyDescent="0.35">
      <c r="C127" s="526"/>
      <c r="D127" s="513" t="s">
        <v>4422</v>
      </c>
      <c r="E127" s="1013" t="s">
        <v>4426</v>
      </c>
      <c r="F127" s="1013"/>
      <c r="G127" s="1013"/>
      <c r="H127" s="1013"/>
      <c r="I127" s="1013"/>
      <c r="J127" s="1013"/>
      <c r="K127" s="1013"/>
      <c r="L127" s="513"/>
    </row>
    <row r="128" spans="2:12" ht="15" customHeight="1" x14ac:dyDescent="0.35">
      <c r="C128" s="527" t="s">
        <v>4425</v>
      </c>
      <c r="D128" s="513" t="s">
        <v>4422</v>
      </c>
      <c r="E128" s="1013" t="s">
        <v>4424</v>
      </c>
      <c r="F128" s="1013"/>
      <c r="G128" s="1013"/>
      <c r="H128" s="1013"/>
      <c r="I128" s="1013"/>
      <c r="J128" s="1013"/>
      <c r="K128" s="1013"/>
      <c r="L128" s="513"/>
    </row>
    <row r="129" spans="2:12" ht="15" customHeight="1" x14ac:dyDescent="0.35">
      <c r="C129" s="527"/>
      <c r="D129" s="513"/>
      <c r="E129" s="1013"/>
      <c r="F129" s="1013"/>
      <c r="G129" s="1013"/>
      <c r="H129" s="1013"/>
      <c r="I129" s="1013"/>
      <c r="J129" s="1013"/>
      <c r="K129" s="1013"/>
      <c r="L129" s="513"/>
    </row>
    <row r="130" spans="2:12" ht="15" customHeight="1" x14ac:dyDescent="0.35">
      <c r="C130" s="526"/>
      <c r="D130" s="513" t="s">
        <v>4422</v>
      </c>
      <c r="E130" s="1013" t="s">
        <v>4423</v>
      </c>
      <c r="F130" s="1013"/>
      <c r="G130" s="1013"/>
      <c r="H130" s="1013"/>
      <c r="I130" s="1013"/>
      <c r="J130" s="1013"/>
      <c r="K130" s="1013"/>
      <c r="L130" s="513"/>
    </row>
    <row r="131" spans="2:12" ht="15" customHeight="1" x14ac:dyDescent="0.35">
      <c r="C131" s="526"/>
      <c r="D131" s="513" t="s">
        <v>4422</v>
      </c>
      <c r="E131" s="1013" t="s">
        <v>4421</v>
      </c>
      <c r="F131" s="1013"/>
      <c r="G131" s="1013"/>
      <c r="H131" s="1013"/>
      <c r="I131" s="1013"/>
      <c r="J131" s="1013"/>
      <c r="K131" s="1013"/>
      <c r="L131" s="513"/>
    </row>
    <row r="132" spans="2:12" ht="15" customHeight="1" x14ac:dyDescent="0.35">
      <c r="B132" s="513"/>
      <c r="C132" s="513"/>
      <c r="D132" s="513"/>
      <c r="H132" s="520"/>
    </row>
    <row r="133" spans="2:12" ht="15" customHeight="1" x14ac:dyDescent="0.35">
      <c r="B133" s="513"/>
      <c r="C133" s="513"/>
      <c r="D133" s="513"/>
      <c r="E133" s="513"/>
      <c r="F133" s="513"/>
      <c r="G133" s="513"/>
      <c r="H133" s="520"/>
    </row>
    <row r="134" spans="2:12" ht="15" customHeight="1" x14ac:dyDescent="0.35">
      <c r="D134" s="1011" t="s">
        <v>4420</v>
      </c>
      <c r="E134" s="1011"/>
      <c r="F134" s="1011"/>
      <c r="G134" s="1011"/>
      <c r="H134" s="1011"/>
      <c r="I134" s="1011"/>
    </row>
    <row r="135" spans="2:12" ht="15.75" customHeight="1" thickBot="1" x14ac:dyDescent="0.4">
      <c r="D135" s="1018" t="s">
        <v>4419</v>
      </c>
      <c r="E135" s="1018"/>
      <c r="F135" s="1018"/>
      <c r="G135" s="1018"/>
      <c r="H135" s="1018"/>
      <c r="I135" s="1018"/>
    </row>
    <row r="136" spans="2:12" ht="15" thickBot="1" x14ac:dyDescent="0.4">
      <c r="D136" s="1019" t="s">
        <v>4418</v>
      </c>
      <c r="E136" s="1020"/>
      <c r="F136" s="1023" t="s">
        <v>4417</v>
      </c>
      <c r="G136" s="1024"/>
      <c r="H136" s="1024"/>
      <c r="I136" s="1025"/>
    </row>
    <row r="137" spans="2:12" ht="15.75" customHeight="1" thickBot="1" x14ac:dyDescent="0.4">
      <c r="D137" s="1021"/>
      <c r="E137" s="1022"/>
      <c r="F137" s="525" t="s">
        <v>4416</v>
      </c>
      <c r="G137" s="525">
        <v>8</v>
      </c>
      <c r="H137" s="525">
        <v>12</v>
      </c>
      <c r="I137" s="525">
        <v>24</v>
      </c>
    </row>
    <row r="138" spans="2:12" ht="15.75" customHeight="1" thickTop="1" x14ac:dyDescent="0.35">
      <c r="D138" s="1016">
        <v>0.1</v>
      </c>
      <c r="E138" s="1017"/>
      <c r="F138" s="524">
        <v>1</v>
      </c>
      <c r="G138" s="524">
        <v>0.79</v>
      </c>
      <c r="H138" s="524" t="s">
        <v>4415</v>
      </c>
      <c r="I138" s="523" t="s">
        <v>4415</v>
      </c>
    </row>
    <row r="139" spans="2:12" ht="15" customHeight="1" x14ac:dyDescent="0.35">
      <c r="D139" s="1016">
        <v>0.2</v>
      </c>
      <c r="E139" s="1017"/>
      <c r="F139" s="524">
        <v>1</v>
      </c>
      <c r="G139" s="524">
        <v>0.84</v>
      </c>
      <c r="H139" s="524">
        <v>0.56000000000000005</v>
      </c>
      <c r="I139" s="523" t="s">
        <v>4415</v>
      </c>
    </row>
    <row r="140" spans="2:12" ht="15" customHeight="1" x14ac:dyDescent="0.35">
      <c r="D140" s="1016">
        <v>0.3</v>
      </c>
      <c r="E140" s="1017"/>
      <c r="F140" s="524">
        <v>1</v>
      </c>
      <c r="G140" s="524">
        <v>0.89</v>
      </c>
      <c r="H140" s="524">
        <v>0.71</v>
      </c>
      <c r="I140" s="523" t="s">
        <v>4415</v>
      </c>
    </row>
    <row r="141" spans="2:12" ht="15" customHeight="1" x14ac:dyDescent="0.35">
      <c r="D141" s="1016">
        <v>0.4</v>
      </c>
      <c r="E141" s="1017"/>
      <c r="F141" s="524">
        <v>1</v>
      </c>
      <c r="G141" s="524">
        <v>0.92</v>
      </c>
      <c r="H141" s="524">
        <v>0.81</v>
      </c>
      <c r="I141" s="523">
        <v>0.2</v>
      </c>
    </row>
    <row r="142" spans="2:12" ht="15" customHeight="1" x14ac:dyDescent="0.35">
      <c r="D142" s="1016">
        <v>0.5</v>
      </c>
      <c r="E142" s="1017"/>
      <c r="F142" s="524">
        <v>1</v>
      </c>
      <c r="G142" s="524">
        <v>0.94</v>
      </c>
      <c r="H142" s="524">
        <v>0.87</v>
      </c>
      <c r="I142" s="523">
        <v>0.52</v>
      </c>
    </row>
    <row r="143" spans="2:12" ht="15" customHeight="1" x14ac:dyDescent="0.35">
      <c r="D143" s="1016">
        <v>0.6</v>
      </c>
      <c r="E143" s="1017"/>
      <c r="F143" s="524">
        <v>1</v>
      </c>
      <c r="G143" s="524">
        <v>0.97</v>
      </c>
      <c r="H143" s="524">
        <v>0.92</v>
      </c>
      <c r="I143" s="523">
        <v>0.73</v>
      </c>
    </row>
    <row r="144" spans="2:12" ht="15" customHeight="1" x14ac:dyDescent="0.35">
      <c r="D144" s="1016">
        <v>0.7</v>
      </c>
      <c r="E144" s="1017"/>
      <c r="F144" s="524">
        <v>1</v>
      </c>
      <c r="G144" s="524">
        <v>0.98</v>
      </c>
      <c r="H144" s="524">
        <v>0.96</v>
      </c>
      <c r="I144" s="523">
        <v>0.86</v>
      </c>
    </row>
    <row r="145" spans="2:12" ht="15" customHeight="1" x14ac:dyDescent="0.35">
      <c r="D145" s="1016">
        <v>0.8</v>
      </c>
      <c r="E145" s="1017"/>
      <c r="F145" s="524">
        <v>1</v>
      </c>
      <c r="G145" s="524">
        <v>0.99</v>
      </c>
      <c r="H145" s="524">
        <v>0.98</v>
      </c>
      <c r="I145" s="523">
        <v>0.94</v>
      </c>
    </row>
    <row r="146" spans="2:12" ht="15" customHeight="1" x14ac:dyDescent="0.35">
      <c r="D146" s="1016">
        <v>0.9</v>
      </c>
      <c r="E146" s="1017"/>
      <c r="F146" s="524">
        <v>1</v>
      </c>
      <c r="G146" s="524">
        <v>1</v>
      </c>
      <c r="H146" s="524">
        <v>1</v>
      </c>
      <c r="I146" s="523">
        <v>0.99</v>
      </c>
    </row>
    <row r="147" spans="2:12" ht="15.75" customHeight="1" thickBot="1" x14ac:dyDescent="0.4">
      <c r="D147" s="1014">
        <v>1</v>
      </c>
      <c r="E147" s="1015"/>
      <c r="F147" s="522">
        <v>1</v>
      </c>
      <c r="G147" s="522">
        <v>1</v>
      </c>
      <c r="H147" s="522">
        <v>1</v>
      </c>
      <c r="I147" s="521">
        <v>1</v>
      </c>
    </row>
    <row r="148" spans="2:12" ht="15.5" x14ac:dyDescent="0.35">
      <c r="B148" s="513"/>
      <c r="C148" s="513"/>
      <c r="D148" s="513"/>
      <c r="E148" s="513"/>
      <c r="F148" s="513"/>
      <c r="G148" s="513"/>
      <c r="H148" s="520"/>
    </row>
    <row r="149" spans="2:12" ht="15" customHeight="1" x14ac:dyDescent="0.35">
      <c r="B149" s="1013" t="s">
        <v>4414</v>
      </c>
      <c r="C149" s="1013"/>
      <c r="D149" s="1013"/>
      <c r="E149" s="1013"/>
      <c r="F149" s="1013"/>
      <c r="G149" s="1013"/>
      <c r="H149" s="1013"/>
      <c r="I149" s="1013"/>
      <c r="J149" s="1013"/>
      <c r="K149" s="1013"/>
      <c r="L149" s="1013"/>
    </row>
    <row r="150" spans="2:12" ht="15" customHeight="1" x14ac:dyDescent="0.35">
      <c r="B150" s="513"/>
      <c r="C150" s="513"/>
      <c r="D150" s="513"/>
      <c r="E150" s="513"/>
      <c r="F150" s="513"/>
      <c r="G150" s="513"/>
      <c r="H150" s="520"/>
    </row>
    <row r="151" spans="2:12" x14ac:dyDescent="0.35">
      <c r="B151" s="1013" t="s">
        <v>4413</v>
      </c>
      <c r="C151" s="1013"/>
      <c r="D151" s="1013"/>
      <c r="E151" s="1013"/>
      <c r="F151" s="1013"/>
      <c r="G151" s="1013"/>
      <c r="H151" s="1013"/>
      <c r="I151" s="1013"/>
      <c r="J151" s="1013"/>
      <c r="K151" s="1013"/>
      <c r="L151" s="1013"/>
    </row>
    <row r="152" spans="2:12" ht="15.75" customHeight="1" x14ac:dyDescent="0.35">
      <c r="B152" s="1013"/>
      <c r="C152" s="1013"/>
      <c r="D152" s="1013"/>
      <c r="E152" s="1013"/>
      <c r="F152" s="1013"/>
      <c r="G152" s="1013"/>
      <c r="H152" s="1013"/>
      <c r="I152" s="1013"/>
      <c r="J152" s="1013"/>
      <c r="K152" s="1013"/>
      <c r="L152" s="1013"/>
    </row>
    <row r="153" spans="2:12" ht="15.75" customHeight="1" x14ac:dyDescent="0.35">
      <c r="B153" s="1013"/>
      <c r="C153" s="1013"/>
      <c r="D153" s="1013"/>
      <c r="E153" s="1013"/>
      <c r="F153" s="1013"/>
      <c r="G153" s="1013"/>
      <c r="H153" s="1013"/>
      <c r="I153" s="1013"/>
      <c r="J153" s="1013"/>
      <c r="K153" s="1013"/>
      <c r="L153" s="1013"/>
    </row>
    <row r="154" spans="2:12" ht="15.5" x14ac:dyDescent="0.35">
      <c r="B154" s="513"/>
      <c r="C154" s="513"/>
      <c r="D154" s="513"/>
      <c r="E154" s="513"/>
      <c r="F154" s="513"/>
      <c r="G154" s="513"/>
      <c r="H154" s="520"/>
    </row>
    <row r="155" spans="2:12" x14ac:dyDescent="0.35">
      <c r="B155" s="1007" t="s">
        <v>4412</v>
      </c>
      <c r="C155" s="1007"/>
      <c r="D155" s="1007"/>
      <c r="E155" s="1007"/>
      <c r="F155" s="1007"/>
      <c r="G155" s="1007"/>
      <c r="H155" s="1007"/>
      <c r="I155" s="1007"/>
      <c r="J155" s="1007"/>
      <c r="K155" s="1007"/>
      <c r="L155" s="1007"/>
    </row>
    <row r="156" spans="2:12" ht="15.5" x14ac:dyDescent="0.35">
      <c r="B156" s="513"/>
      <c r="C156" s="513"/>
      <c r="D156" s="513"/>
      <c r="E156" s="513"/>
      <c r="F156" s="513"/>
      <c r="G156" s="513"/>
      <c r="H156" s="520"/>
    </row>
    <row r="157" spans="2:12" x14ac:dyDescent="0.35">
      <c r="B157" s="1007" t="s">
        <v>4411</v>
      </c>
      <c r="C157" s="1007"/>
      <c r="D157" s="1007"/>
      <c r="E157" s="1007"/>
      <c r="F157" s="1007"/>
      <c r="G157" s="1007"/>
      <c r="H157" s="1007"/>
      <c r="I157" s="1007"/>
      <c r="J157" s="1007"/>
      <c r="K157" s="1007"/>
      <c r="L157" s="1007"/>
    </row>
    <row r="158" spans="2:12" ht="15.75" customHeight="1" x14ac:dyDescent="0.35">
      <c r="B158" s="1007"/>
      <c r="C158" s="1007"/>
      <c r="D158" s="1007"/>
      <c r="E158" s="1007"/>
      <c r="F158" s="1007"/>
      <c r="G158" s="1007"/>
      <c r="H158" s="1007"/>
      <c r="I158" s="1007"/>
      <c r="J158" s="1007"/>
      <c r="K158" s="1007"/>
      <c r="L158" s="1007"/>
    </row>
    <row r="159" spans="2:12" ht="15.5" x14ac:dyDescent="0.35">
      <c r="B159" s="513"/>
      <c r="C159" s="513"/>
      <c r="D159" s="513"/>
      <c r="E159" s="513"/>
      <c r="F159" s="513"/>
      <c r="G159" s="513"/>
      <c r="H159" s="520"/>
    </row>
    <row r="160" spans="2:12" x14ac:dyDescent="0.35">
      <c r="B160" s="1007" t="s">
        <v>4410</v>
      </c>
      <c r="C160" s="1007"/>
      <c r="D160" s="1007"/>
      <c r="E160" s="1007"/>
      <c r="F160" s="1007"/>
      <c r="G160" s="1007"/>
      <c r="H160" s="1007"/>
      <c r="I160" s="1007"/>
      <c r="J160" s="1007"/>
      <c r="K160" s="1007"/>
      <c r="L160" s="1007"/>
    </row>
    <row r="161" spans="2:12" ht="15.75" customHeight="1" x14ac:dyDescent="0.35">
      <c r="B161" s="1007"/>
      <c r="C161" s="1007"/>
      <c r="D161" s="1007"/>
      <c r="E161" s="1007"/>
      <c r="F161" s="1007"/>
      <c r="G161" s="1007"/>
      <c r="H161" s="1007"/>
      <c r="I161" s="1007"/>
      <c r="J161" s="1007"/>
      <c r="K161" s="1007"/>
      <c r="L161" s="1007"/>
    </row>
    <row r="162" spans="2:12" ht="15.5" x14ac:dyDescent="0.35">
      <c r="B162" s="513"/>
      <c r="C162" s="513"/>
      <c r="D162" s="513"/>
      <c r="E162" s="513"/>
      <c r="F162" s="513"/>
      <c r="G162" s="513"/>
      <c r="H162" s="520"/>
    </row>
    <row r="163" spans="2:12" x14ac:dyDescent="0.35">
      <c r="B163" s="513"/>
      <c r="C163" s="1007" t="s">
        <v>4409</v>
      </c>
      <c r="D163" s="1007"/>
      <c r="E163" s="1007"/>
      <c r="F163" s="1007"/>
      <c r="G163" s="1007"/>
      <c r="H163" s="1007"/>
      <c r="I163" s="1007"/>
      <c r="J163" s="1007"/>
      <c r="K163" s="1007"/>
      <c r="L163" s="1007"/>
    </row>
    <row r="164" spans="2:12" x14ac:dyDescent="0.35">
      <c r="C164" s="1007"/>
      <c r="D164" s="1007"/>
      <c r="E164" s="1007"/>
      <c r="F164" s="1007"/>
      <c r="G164" s="1007"/>
      <c r="H164" s="1007"/>
      <c r="I164" s="1007"/>
      <c r="J164" s="1007"/>
      <c r="K164" s="1007"/>
      <c r="L164" s="1007"/>
    </row>
  </sheetData>
  <sheetProtection algorithmName="SHA-512" hashValue="2i1H21VKjiKEvtYx6OxRcX1LG02PZrIamK9sLMd79sKTFbunZgPQ04VdHRMnmouJqiMYslPtWKU5grtJPIIyFQ==" saltValue="vjuFnq0V1Z5BalAw25mC+g==" spinCount="100000" sheet="1" objects="1" scenarios="1" selectLockedCells="1" selectUnlockedCells="1"/>
  <mergeCells count="83">
    <mergeCell ref="C123:E123"/>
    <mergeCell ref="C124:E124"/>
    <mergeCell ref="C125:E125"/>
    <mergeCell ref="F71:J71"/>
    <mergeCell ref="F82:J82"/>
    <mergeCell ref="B91:L92"/>
    <mergeCell ref="D87:E87"/>
    <mergeCell ref="D88:E88"/>
    <mergeCell ref="D89:E89"/>
    <mergeCell ref="C118:L121"/>
    <mergeCell ref="B94:L97"/>
    <mergeCell ref="B99:L102"/>
    <mergeCell ref="B104:L108"/>
    <mergeCell ref="C110:L113"/>
    <mergeCell ref="B115:L116"/>
    <mergeCell ref="D80:J80"/>
    <mergeCell ref="D85:E85"/>
    <mergeCell ref="D86:E86"/>
    <mergeCell ref="G65:K65"/>
    <mergeCell ref="G66:K66"/>
    <mergeCell ref="G67:K67"/>
    <mergeCell ref="D71:E71"/>
    <mergeCell ref="D72:E72"/>
    <mergeCell ref="D81:J81"/>
    <mergeCell ref="D82:E82"/>
    <mergeCell ref="D83:E83"/>
    <mergeCell ref="D84:E84"/>
    <mergeCell ref="B4:K4"/>
    <mergeCell ref="B8:G8"/>
    <mergeCell ref="B10:G10"/>
    <mergeCell ref="C29:L30"/>
    <mergeCell ref="D32:L33"/>
    <mergeCell ref="B6:L6"/>
    <mergeCell ref="B7:L7"/>
    <mergeCell ref="B9:L9"/>
    <mergeCell ref="B11:L13"/>
    <mergeCell ref="B15:L19"/>
    <mergeCell ref="B21:L21"/>
    <mergeCell ref="B24:L27"/>
    <mergeCell ref="B22:L22"/>
    <mergeCell ref="B23:F23"/>
    <mergeCell ref="G23:H23"/>
    <mergeCell ref="D34:L35"/>
    <mergeCell ref="C37:L38"/>
    <mergeCell ref="D69:J69"/>
    <mergeCell ref="D70:J70"/>
    <mergeCell ref="E56:G56"/>
    <mergeCell ref="E57:G57"/>
    <mergeCell ref="E62:G62"/>
    <mergeCell ref="B40:L43"/>
    <mergeCell ref="B45:L46"/>
    <mergeCell ref="B48:L53"/>
    <mergeCell ref="E55:G55"/>
    <mergeCell ref="E63:G63"/>
    <mergeCell ref="E64:G64"/>
    <mergeCell ref="G58:K58"/>
    <mergeCell ref="G59:K59"/>
    <mergeCell ref="G60:K60"/>
    <mergeCell ref="E126:K126"/>
    <mergeCell ref="E127:K127"/>
    <mergeCell ref="E128:K129"/>
    <mergeCell ref="E130:K130"/>
    <mergeCell ref="E131:K131"/>
    <mergeCell ref="D134:I134"/>
    <mergeCell ref="B149:L149"/>
    <mergeCell ref="B155:L155"/>
    <mergeCell ref="D141:E141"/>
    <mergeCell ref="D142:E142"/>
    <mergeCell ref="D143:E143"/>
    <mergeCell ref="D144:E144"/>
    <mergeCell ref="D145:E145"/>
    <mergeCell ref="D146:E146"/>
    <mergeCell ref="D138:E138"/>
    <mergeCell ref="D135:I135"/>
    <mergeCell ref="D139:E139"/>
    <mergeCell ref="D140:E140"/>
    <mergeCell ref="D136:E137"/>
    <mergeCell ref="F136:I136"/>
    <mergeCell ref="C163:L164"/>
    <mergeCell ref="B151:L153"/>
    <mergeCell ref="B157:L158"/>
    <mergeCell ref="B160:L161"/>
    <mergeCell ref="D147:E147"/>
  </mergeCells>
  <pageMargins left="0.7" right="0.7" top="0.75" bottom="0.75" header="0.3" footer="0.3"/>
  <pageSetup scale="82" fitToHeight="0" orientation="portrait" r:id="rId1"/>
  <rowBreaks count="3" manualBreakCount="3">
    <brk id="47" max="16383" man="1"/>
    <brk id="98" max="16383" man="1"/>
    <brk id="154"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B2:L79"/>
  <sheetViews>
    <sheetView showGridLines="0" zoomScaleNormal="100" workbookViewId="0"/>
  </sheetViews>
  <sheetFormatPr defaultColWidth="9.1796875" defaultRowHeight="14.5" x14ac:dyDescent="0.35"/>
  <sheetData>
    <row r="2" spans="2:12" ht="15.5" x14ac:dyDescent="0.35">
      <c r="B2" s="519" t="s">
        <v>4553</v>
      </c>
    </row>
    <row r="3" spans="2:12" ht="15.5" x14ac:dyDescent="0.35">
      <c r="B3" s="518"/>
    </row>
    <row r="4" spans="2:12" x14ac:dyDescent="0.35">
      <c r="B4" s="1040" t="s">
        <v>4552</v>
      </c>
      <c r="C4" s="1040"/>
      <c r="D4" s="1040"/>
      <c r="E4" s="1040"/>
      <c r="F4" s="1040"/>
      <c r="G4" s="1040"/>
      <c r="H4" s="1040"/>
      <c r="I4" s="1040"/>
    </row>
    <row r="5" spans="2:12" x14ac:dyDescent="0.35">
      <c r="B5" s="1040"/>
      <c r="C5" s="1040"/>
      <c r="D5" s="1040"/>
      <c r="E5" s="1040"/>
      <c r="F5" s="1040"/>
      <c r="G5" s="1040"/>
      <c r="H5" s="1040"/>
      <c r="I5" s="1040"/>
    </row>
    <row r="6" spans="2:12" x14ac:dyDescent="0.35">
      <c r="B6" s="1040"/>
      <c r="C6" s="1040"/>
      <c r="D6" s="1040"/>
      <c r="E6" s="1040"/>
      <c r="F6" s="1040"/>
      <c r="G6" s="1040"/>
      <c r="H6" s="1040"/>
      <c r="I6" s="1040"/>
    </row>
    <row r="7" spans="2:12" x14ac:dyDescent="0.35">
      <c r="B7" s="516"/>
    </row>
    <row r="8" spans="2:12" x14ac:dyDescent="0.35">
      <c r="B8" s="1008" t="s">
        <v>4551</v>
      </c>
      <c r="C8" s="1009"/>
      <c r="D8" s="1009"/>
      <c r="E8" s="1009"/>
      <c r="F8" s="1009"/>
      <c r="G8" s="1009"/>
      <c r="H8" s="1009"/>
      <c r="I8" s="1009"/>
      <c r="J8" s="1009"/>
      <c r="K8" s="1009"/>
      <c r="L8" s="1009"/>
    </row>
    <row r="9" spans="2:12" x14ac:dyDescent="0.35">
      <c r="B9" s="1008" t="s">
        <v>4405</v>
      </c>
      <c r="C9" s="1009"/>
      <c r="D9" s="1009"/>
      <c r="E9" s="1009"/>
      <c r="F9" s="1009"/>
      <c r="G9" s="1009"/>
      <c r="H9" s="1009"/>
      <c r="I9" s="1009"/>
      <c r="J9" s="1009"/>
      <c r="K9" s="1009"/>
      <c r="L9" s="1009"/>
    </row>
    <row r="10" spans="2:12" x14ac:dyDescent="0.35">
      <c r="B10" s="1012"/>
      <c r="C10" s="1012"/>
      <c r="D10" s="1012"/>
      <c r="E10" s="1012"/>
    </row>
    <row r="11" spans="2:12" x14ac:dyDescent="0.35">
      <c r="B11" s="1010" t="s">
        <v>4550</v>
      </c>
      <c r="C11" s="1010"/>
      <c r="D11" s="1010"/>
      <c r="E11" s="1010"/>
      <c r="F11" s="1010"/>
      <c r="G11" s="1010"/>
      <c r="H11" s="1010"/>
      <c r="I11" s="1010"/>
      <c r="J11" s="1010"/>
      <c r="K11" s="1010"/>
      <c r="L11" s="1010"/>
    </row>
    <row r="12" spans="2:12" x14ac:dyDescent="0.35">
      <c r="B12" s="1010"/>
      <c r="C12" s="1010"/>
      <c r="D12" s="1010"/>
      <c r="E12" s="1010"/>
    </row>
    <row r="13" spans="2:12" x14ac:dyDescent="0.35">
      <c r="B13" s="1007" t="s">
        <v>4549</v>
      </c>
      <c r="C13" s="1007"/>
      <c r="D13" s="1007"/>
      <c r="E13" s="1007"/>
      <c r="F13" s="1007"/>
      <c r="G13" s="1007"/>
      <c r="H13" s="1007"/>
      <c r="I13" s="1007"/>
      <c r="J13" s="1007"/>
      <c r="K13" s="1007"/>
      <c r="L13" s="1007"/>
    </row>
    <row r="14" spans="2:12" x14ac:dyDescent="0.35">
      <c r="B14" s="1007"/>
      <c r="C14" s="1007"/>
      <c r="D14" s="1007"/>
      <c r="E14" s="1007"/>
      <c r="F14" s="1007"/>
      <c r="G14" s="1007"/>
      <c r="H14" s="1007"/>
      <c r="I14" s="1007"/>
      <c r="J14" s="1007"/>
      <c r="K14" s="1007"/>
      <c r="L14" s="1007"/>
    </row>
    <row r="15" spans="2:12" x14ac:dyDescent="0.35">
      <c r="B15" s="1010"/>
      <c r="C15" s="1010"/>
      <c r="D15" s="1010"/>
      <c r="E15" s="1010"/>
    </row>
    <row r="16" spans="2:12" x14ac:dyDescent="0.35">
      <c r="B16" s="1008" t="s">
        <v>4548</v>
      </c>
      <c r="C16" s="1009"/>
      <c r="D16" s="1009"/>
      <c r="E16" s="1009"/>
      <c r="F16" s="1009"/>
      <c r="G16" s="1009"/>
      <c r="H16" s="1009"/>
      <c r="I16" s="1009"/>
      <c r="J16" s="1009"/>
      <c r="K16" s="1009"/>
      <c r="L16" s="1009"/>
    </row>
    <row r="17" spans="2:12" x14ac:dyDescent="0.35">
      <c r="B17" s="1008" t="s">
        <v>4547</v>
      </c>
      <c r="C17" s="1009"/>
      <c r="D17" s="1009"/>
      <c r="E17" s="1009"/>
      <c r="F17" s="1009"/>
      <c r="G17" s="1009"/>
      <c r="H17" s="1009"/>
      <c r="I17" s="1009"/>
      <c r="J17" s="1009"/>
      <c r="K17" s="1009"/>
      <c r="L17" s="1009"/>
    </row>
    <row r="18" spans="2:12" x14ac:dyDescent="0.35">
      <c r="B18" s="1010"/>
      <c r="C18" s="1010"/>
      <c r="D18" s="1010"/>
      <c r="E18" s="1010"/>
    </row>
    <row r="19" spans="2:12" x14ac:dyDescent="0.35">
      <c r="B19" s="1073" t="s">
        <v>4546</v>
      </c>
      <c r="C19" s="1073"/>
      <c r="D19" s="1073"/>
      <c r="E19" s="1073"/>
      <c r="F19" s="1073"/>
      <c r="G19" s="1073"/>
      <c r="H19" s="1073"/>
      <c r="I19" s="1073"/>
      <c r="J19" s="1073"/>
      <c r="K19" s="1073"/>
      <c r="L19" s="1073"/>
    </row>
    <row r="20" spans="2:12" ht="15" thickBot="1" x14ac:dyDescent="0.4">
      <c r="B20" s="1068" t="s">
        <v>4545</v>
      </c>
      <c r="C20" s="1068"/>
      <c r="D20" s="1068"/>
      <c r="E20" s="1068"/>
      <c r="F20" s="1068"/>
      <c r="G20" s="1068"/>
      <c r="H20" s="1068"/>
      <c r="I20" s="1068"/>
      <c r="J20" s="1068"/>
      <c r="K20" s="1068"/>
      <c r="L20" s="1068"/>
    </row>
    <row r="21" spans="2:12" ht="15" customHeight="1" x14ac:dyDescent="0.35">
      <c r="B21" s="1064" t="s">
        <v>4544</v>
      </c>
      <c r="C21" s="1065"/>
      <c r="D21" s="1066"/>
      <c r="E21" s="1064" t="s">
        <v>4543</v>
      </c>
      <c r="F21" s="1065"/>
      <c r="G21" s="1065"/>
      <c r="H21" s="1065"/>
      <c r="I21" s="1065"/>
      <c r="J21" s="1065"/>
      <c r="K21" s="1065"/>
      <c r="L21" s="1066"/>
    </row>
    <row r="22" spans="2:12" ht="15" customHeight="1" thickBot="1" x14ac:dyDescent="0.4">
      <c r="B22" s="1067"/>
      <c r="C22" s="1068"/>
      <c r="D22" s="1069"/>
      <c r="E22" s="1067"/>
      <c r="F22" s="1068"/>
      <c r="G22" s="1068"/>
      <c r="H22" s="1068"/>
      <c r="I22" s="1068"/>
      <c r="J22" s="1068"/>
      <c r="K22" s="1068"/>
      <c r="L22" s="1069"/>
    </row>
    <row r="23" spans="2:12" ht="15" customHeight="1" x14ac:dyDescent="0.35">
      <c r="B23" s="1053" t="s">
        <v>4542</v>
      </c>
      <c r="C23" s="1054"/>
      <c r="D23" s="1054"/>
      <c r="E23" s="1054" t="s">
        <v>4541</v>
      </c>
      <c r="F23" s="1054"/>
      <c r="G23" s="1054"/>
      <c r="H23" s="1054"/>
      <c r="I23" s="1054"/>
      <c r="J23" s="1054"/>
      <c r="K23" s="1054"/>
      <c r="L23" s="1074"/>
    </row>
    <row r="24" spans="2:12" ht="15" customHeight="1" x14ac:dyDescent="0.35">
      <c r="B24" s="1055"/>
      <c r="C24" s="1056"/>
      <c r="D24" s="1056"/>
      <c r="E24" s="1056"/>
      <c r="F24" s="1056"/>
      <c r="G24" s="1056"/>
      <c r="H24" s="1056"/>
      <c r="I24" s="1056"/>
      <c r="J24" s="1056"/>
      <c r="K24" s="1056"/>
      <c r="L24" s="1072"/>
    </row>
    <row r="25" spans="2:12" ht="15" customHeight="1" x14ac:dyDescent="0.35">
      <c r="B25" s="1055" t="s">
        <v>4540</v>
      </c>
      <c r="C25" s="1056"/>
      <c r="D25" s="1056"/>
      <c r="E25" s="1056" t="s">
        <v>4519</v>
      </c>
      <c r="F25" s="1056"/>
      <c r="G25" s="1056"/>
      <c r="H25" s="1056"/>
      <c r="I25" s="1056"/>
      <c r="J25" s="1056"/>
      <c r="K25" s="1056"/>
      <c r="L25" s="1072"/>
    </row>
    <row r="26" spans="2:12" ht="15" customHeight="1" x14ac:dyDescent="0.35">
      <c r="B26" s="1055" t="s">
        <v>4539</v>
      </c>
      <c r="C26" s="1056"/>
      <c r="D26" s="1056"/>
      <c r="E26" s="1056" t="s">
        <v>4538</v>
      </c>
      <c r="F26" s="1056"/>
      <c r="G26" s="1056"/>
      <c r="H26" s="1056"/>
      <c r="I26" s="1056"/>
      <c r="J26" s="1056"/>
      <c r="K26" s="1056"/>
      <c r="L26" s="1072"/>
    </row>
    <row r="27" spans="2:12" ht="15" customHeight="1" x14ac:dyDescent="0.35">
      <c r="B27" s="1055"/>
      <c r="C27" s="1056"/>
      <c r="D27" s="1056"/>
      <c r="E27" s="1056"/>
      <c r="F27" s="1056"/>
      <c r="G27" s="1056"/>
      <c r="H27" s="1056"/>
      <c r="I27" s="1056"/>
      <c r="J27" s="1056"/>
      <c r="K27" s="1056"/>
      <c r="L27" s="1072"/>
    </row>
    <row r="28" spans="2:12" ht="15" customHeight="1" x14ac:dyDescent="0.35">
      <c r="B28" s="1055" t="s">
        <v>4537</v>
      </c>
      <c r="C28" s="1056"/>
      <c r="D28" s="1056"/>
      <c r="E28" s="1056" t="s">
        <v>4512</v>
      </c>
      <c r="F28" s="1056"/>
      <c r="G28" s="1056"/>
      <c r="H28" s="1056"/>
      <c r="I28" s="1056"/>
      <c r="J28" s="1056"/>
      <c r="K28" s="1056"/>
      <c r="L28" s="1072"/>
    </row>
    <row r="29" spans="2:12" ht="15" customHeight="1" x14ac:dyDescent="0.35">
      <c r="B29" s="1055"/>
      <c r="C29" s="1056"/>
      <c r="D29" s="1056"/>
      <c r="E29" s="1056" t="s">
        <v>4504</v>
      </c>
      <c r="F29" s="1056"/>
      <c r="G29" s="1056"/>
      <c r="H29" s="1056"/>
      <c r="I29" s="1056"/>
      <c r="J29" s="1056"/>
      <c r="K29" s="1056"/>
      <c r="L29" s="1072"/>
    </row>
    <row r="30" spans="2:12" ht="15" customHeight="1" x14ac:dyDescent="0.35">
      <c r="B30" s="1055" t="s">
        <v>4536</v>
      </c>
      <c r="C30" s="1056"/>
      <c r="D30" s="1056"/>
      <c r="E30" s="1056" t="s">
        <v>4512</v>
      </c>
      <c r="F30" s="1056"/>
      <c r="G30" s="1056"/>
      <c r="H30" s="1056"/>
      <c r="I30" s="1056"/>
      <c r="J30" s="1056"/>
      <c r="K30" s="1056"/>
      <c r="L30" s="1072"/>
    </row>
    <row r="31" spans="2:12" ht="15" customHeight="1" x14ac:dyDescent="0.35">
      <c r="B31" s="1055"/>
      <c r="C31" s="1056"/>
      <c r="D31" s="1056"/>
      <c r="E31" s="1056" t="s">
        <v>4504</v>
      </c>
      <c r="F31" s="1056"/>
      <c r="G31" s="1056"/>
      <c r="H31" s="1056"/>
      <c r="I31" s="1056"/>
      <c r="J31" s="1056"/>
      <c r="K31" s="1056"/>
      <c r="L31" s="1072"/>
    </row>
    <row r="32" spans="2:12" ht="15" customHeight="1" x14ac:dyDescent="0.35">
      <c r="B32" s="1055"/>
      <c r="C32" s="1056"/>
      <c r="D32" s="1056"/>
      <c r="E32" s="1056" t="s">
        <v>4498</v>
      </c>
      <c r="F32" s="1056"/>
      <c r="G32" s="1056"/>
      <c r="H32" s="1056"/>
      <c r="I32" s="1056"/>
      <c r="J32" s="1056"/>
      <c r="K32" s="1056"/>
      <c r="L32" s="1072"/>
    </row>
    <row r="33" spans="2:12" x14ac:dyDescent="0.35">
      <c r="B33" s="1055"/>
      <c r="C33" s="1056"/>
      <c r="D33" s="1056"/>
      <c r="E33" s="1056" t="s">
        <v>4492</v>
      </c>
      <c r="F33" s="1056"/>
      <c r="G33" s="1056"/>
      <c r="H33" s="1056"/>
      <c r="I33" s="1056"/>
      <c r="J33" s="1056"/>
      <c r="K33" s="1056"/>
      <c r="L33" s="1072"/>
    </row>
    <row r="34" spans="2:12" ht="15" customHeight="1" x14ac:dyDescent="0.35">
      <c r="B34" s="1055" t="s">
        <v>4535</v>
      </c>
      <c r="C34" s="1056"/>
      <c r="D34" s="1056"/>
      <c r="E34" s="1056" t="s">
        <v>4534</v>
      </c>
      <c r="F34" s="1056"/>
      <c r="G34" s="1056"/>
      <c r="H34" s="1056"/>
      <c r="I34" s="1056"/>
      <c r="J34" s="1056"/>
      <c r="K34" s="1056"/>
      <c r="L34" s="1072"/>
    </row>
    <row r="35" spans="2:12" ht="15" customHeight="1" x14ac:dyDescent="0.35">
      <c r="B35" s="1055"/>
      <c r="C35" s="1056"/>
      <c r="D35" s="1056"/>
      <c r="E35" s="1056" t="s">
        <v>4533</v>
      </c>
      <c r="F35" s="1056"/>
      <c r="G35" s="1056"/>
      <c r="H35" s="1056"/>
      <c r="I35" s="1056"/>
      <c r="J35" s="1056"/>
      <c r="K35" s="1056"/>
      <c r="L35" s="1072"/>
    </row>
    <row r="36" spans="2:12" ht="15" customHeight="1" x14ac:dyDescent="0.35">
      <c r="B36" s="1055"/>
      <c r="C36" s="1056"/>
      <c r="D36" s="1056"/>
      <c r="E36" s="1056" t="s">
        <v>4519</v>
      </c>
      <c r="F36" s="1056"/>
      <c r="G36" s="1056"/>
      <c r="H36" s="1056"/>
      <c r="I36" s="1056"/>
      <c r="J36" s="1056"/>
      <c r="K36" s="1056"/>
      <c r="L36" s="1072"/>
    </row>
    <row r="37" spans="2:12" ht="15" customHeight="1" x14ac:dyDescent="0.35">
      <c r="B37" s="1055"/>
      <c r="C37" s="1056"/>
      <c r="D37" s="1056"/>
      <c r="E37" s="1056" t="s">
        <v>4509</v>
      </c>
      <c r="F37" s="1056"/>
      <c r="G37" s="1056"/>
      <c r="H37" s="1056"/>
      <c r="I37" s="1056"/>
      <c r="J37" s="1056"/>
      <c r="K37" s="1056"/>
      <c r="L37" s="1072"/>
    </row>
    <row r="38" spans="2:12" ht="15" customHeight="1" x14ac:dyDescent="0.35">
      <c r="B38" s="1055"/>
      <c r="C38" s="1056"/>
      <c r="D38" s="1056"/>
      <c r="E38" s="1056" t="s">
        <v>4532</v>
      </c>
      <c r="F38" s="1056"/>
      <c r="G38" s="1056"/>
      <c r="H38" s="1056"/>
      <c r="I38" s="1056"/>
      <c r="J38" s="1056"/>
      <c r="K38" s="1056"/>
      <c r="L38" s="1072"/>
    </row>
    <row r="39" spans="2:12" ht="15.75" customHeight="1" x14ac:dyDescent="0.35">
      <c r="B39" s="1055" t="s">
        <v>4531</v>
      </c>
      <c r="C39" s="1056"/>
      <c r="D39" s="1056"/>
      <c r="E39" s="1056" t="s">
        <v>4530</v>
      </c>
      <c r="F39" s="1056"/>
      <c r="G39" s="1056"/>
      <c r="H39" s="1056"/>
      <c r="I39" s="1056"/>
      <c r="J39" s="1056"/>
      <c r="K39" s="1056"/>
      <c r="L39" s="1072"/>
    </row>
    <row r="40" spans="2:12" ht="15.75" customHeight="1" thickBot="1" x14ac:dyDescent="0.4">
      <c r="B40" s="1057"/>
      <c r="C40" s="1058"/>
      <c r="D40" s="1058"/>
      <c r="E40" s="1058"/>
      <c r="F40" s="1058"/>
      <c r="G40" s="1058"/>
      <c r="H40" s="1058"/>
      <c r="I40" s="1058"/>
      <c r="J40" s="1058"/>
      <c r="K40" s="1058"/>
      <c r="L40" s="1075"/>
    </row>
    <row r="43" spans="2:12" x14ac:dyDescent="0.35">
      <c r="B43" s="1047" t="s">
        <v>4529</v>
      </c>
      <c r="C43" s="1048"/>
      <c r="D43" s="1048"/>
      <c r="E43" s="1048"/>
      <c r="F43" s="1048"/>
      <c r="G43" s="1048"/>
      <c r="H43" s="1048"/>
      <c r="I43" s="1048"/>
      <c r="J43" s="1048"/>
      <c r="K43" s="1048"/>
      <c r="L43" s="1049"/>
    </row>
    <row r="44" spans="2:12" ht="15" thickBot="1" x14ac:dyDescent="0.4">
      <c r="B44" s="1050" t="s">
        <v>4528</v>
      </c>
      <c r="C44" s="1051"/>
      <c r="D44" s="1051"/>
      <c r="E44" s="1051"/>
      <c r="F44" s="1051"/>
      <c r="G44" s="1051"/>
      <c r="H44" s="1051"/>
      <c r="I44" s="1051"/>
      <c r="J44" s="1051"/>
      <c r="K44" s="1051"/>
      <c r="L44" s="1052"/>
    </row>
    <row r="45" spans="2:12" ht="15" thickBot="1" x14ac:dyDescent="0.4">
      <c r="B45" s="1059" t="s">
        <v>4527</v>
      </c>
      <c r="C45" s="1060"/>
      <c r="D45" s="1060"/>
      <c r="E45" s="1060"/>
      <c r="F45" s="1061"/>
      <c r="G45" s="1059" t="s">
        <v>4526</v>
      </c>
      <c r="H45" s="1060"/>
      <c r="I45" s="1060"/>
      <c r="J45" s="1060"/>
      <c r="K45" s="1060"/>
      <c r="L45" s="1061"/>
    </row>
    <row r="46" spans="2:12" x14ac:dyDescent="0.35">
      <c r="B46" s="1070" t="s">
        <v>4525</v>
      </c>
      <c r="C46" s="1071"/>
      <c r="D46" s="1071"/>
      <c r="E46" s="1071"/>
      <c r="F46" s="1071"/>
      <c r="G46" s="1062" t="s">
        <v>4524</v>
      </c>
      <c r="H46" s="1062"/>
      <c r="I46" s="1062"/>
      <c r="J46" s="1062"/>
      <c r="K46" s="1062"/>
      <c r="L46" s="1063"/>
    </row>
    <row r="47" spans="2:12" x14ac:dyDescent="0.35">
      <c r="B47" s="1055"/>
      <c r="C47" s="1056"/>
      <c r="D47" s="1056"/>
      <c r="E47" s="1056"/>
      <c r="F47" s="1056"/>
      <c r="G47" s="1041" t="s">
        <v>4523</v>
      </c>
      <c r="H47" s="1041"/>
      <c r="I47" s="1041"/>
      <c r="J47" s="1041"/>
      <c r="K47" s="1041"/>
      <c r="L47" s="1042"/>
    </row>
    <row r="48" spans="2:12" x14ac:dyDescent="0.35">
      <c r="B48" s="1055"/>
      <c r="C48" s="1056"/>
      <c r="D48" s="1056"/>
      <c r="E48" s="1056"/>
      <c r="F48" s="1056"/>
      <c r="G48" s="1041" t="s">
        <v>4522</v>
      </c>
      <c r="H48" s="1041"/>
      <c r="I48" s="1041"/>
      <c r="J48" s="1041"/>
      <c r="K48" s="1041"/>
      <c r="L48" s="1042"/>
    </row>
    <row r="49" spans="2:12" x14ac:dyDescent="0.35">
      <c r="B49" s="1055"/>
      <c r="C49" s="1056"/>
      <c r="D49" s="1056"/>
      <c r="E49" s="1056"/>
      <c r="F49" s="1056"/>
      <c r="G49" s="1043" t="s">
        <v>4521</v>
      </c>
      <c r="H49" s="1043"/>
      <c r="I49" s="1043"/>
      <c r="J49" s="1043"/>
      <c r="K49" s="1043"/>
      <c r="L49" s="1044"/>
    </row>
    <row r="50" spans="2:12" x14ac:dyDescent="0.35">
      <c r="B50" s="1055"/>
      <c r="C50" s="1056"/>
      <c r="D50" s="1056"/>
      <c r="E50" s="1056"/>
      <c r="F50" s="1056"/>
      <c r="G50" s="1041" t="s">
        <v>4520</v>
      </c>
      <c r="H50" s="1041"/>
      <c r="I50" s="1041"/>
      <c r="J50" s="1041"/>
      <c r="K50" s="1041"/>
      <c r="L50" s="1042"/>
    </row>
    <row r="51" spans="2:12" x14ac:dyDescent="0.35">
      <c r="B51" s="1055" t="s">
        <v>4519</v>
      </c>
      <c r="C51" s="1056"/>
      <c r="D51" s="1056"/>
      <c r="E51" s="1056"/>
      <c r="F51" s="1056"/>
      <c r="G51" s="1041" t="s">
        <v>4518</v>
      </c>
      <c r="H51" s="1041"/>
      <c r="I51" s="1041"/>
      <c r="J51" s="1041"/>
      <c r="K51" s="1041"/>
      <c r="L51" s="1042"/>
    </row>
    <row r="52" spans="2:12" x14ac:dyDescent="0.35">
      <c r="B52" s="1055"/>
      <c r="C52" s="1056"/>
      <c r="D52" s="1056"/>
      <c r="E52" s="1056"/>
      <c r="F52" s="1056"/>
      <c r="G52" s="1041" t="s">
        <v>4517</v>
      </c>
      <c r="H52" s="1041"/>
      <c r="I52" s="1041"/>
      <c r="J52" s="1041"/>
      <c r="K52" s="1041"/>
      <c r="L52" s="1042"/>
    </row>
    <row r="53" spans="2:12" x14ac:dyDescent="0.35">
      <c r="B53" s="1055"/>
      <c r="C53" s="1056"/>
      <c r="D53" s="1056"/>
      <c r="E53" s="1056"/>
      <c r="F53" s="1056"/>
      <c r="G53" s="1041" t="s">
        <v>4516</v>
      </c>
      <c r="H53" s="1041"/>
      <c r="I53" s="1041"/>
      <c r="J53" s="1041"/>
      <c r="K53" s="1041"/>
      <c r="L53" s="1042"/>
    </row>
    <row r="54" spans="2:12" x14ac:dyDescent="0.35">
      <c r="B54" s="1055"/>
      <c r="C54" s="1056"/>
      <c r="D54" s="1056"/>
      <c r="E54" s="1056"/>
      <c r="F54" s="1056"/>
      <c r="G54" s="1041" t="s">
        <v>4515</v>
      </c>
      <c r="H54" s="1041"/>
      <c r="I54" s="1041"/>
      <c r="J54" s="1041"/>
      <c r="K54" s="1041"/>
      <c r="L54" s="1042"/>
    </row>
    <row r="55" spans="2:12" x14ac:dyDescent="0.35">
      <c r="B55" s="1055"/>
      <c r="C55" s="1056"/>
      <c r="D55" s="1056"/>
      <c r="E55" s="1056"/>
      <c r="F55" s="1056"/>
      <c r="G55" s="1043" t="s">
        <v>4514</v>
      </c>
      <c r="H55" s="1043"/>
      <c r="I55" s="1043"/>
      <c r="J55" s="1043"/>
      <c r="K55" s="1043"/>
      <c r="L55" s="1044"/>
    </row>
    <row r="56" spans="2:12" x14ac:dyDescent="0.35">
      <c r="B56" s="1055"/>
      <c r="C56" s="1056"/>
      <c r="D56" s="1056"/>
      <c r="E56" s="1056"/>
      <c r="F56" s="1056"/>
      <c r="G56" s="1041" t="s">
        <v>4513</v>
      </c>
      <c r="H56" s="1041"/>
      <c r="I56" s="1041"/>
      <c r="J56" s="1041"/>
      <c r="K56" s="1041"/>
      <c r="L56" s="1042"/>
    </row>
    <row r="57" spans="2:12" x14ac:dyDescent="0.35">
      <c r="B57" s="1055" t="s">
        <v>4512</v>
      </c>
      <c r="C57" s="1056"/>
      <c r="D57" s="1056"/>
      <c r="E57" s="1056"/>
      <c r="F57" s="1056"/>
      <c r="G57" s="1041" t="s">
        <v>4511</v>
      </c>
      <c r="H57" s="1041"/>
      <c r="I57" s="1041"/>
      <c r="J57" s="1041"/>
      <c r="K57" s="1041"/>
      <c r="L57" s="1042"/>
    </row>
    <row r="58" spans="2:12" x14ac:dyDescent="0.35">
      <c r="B58" s="1055"/>
      <c r="C58" s="1056"/>
      <c r="D58" s="1056"/>
      <c r="E58" s="1056"/>
      <c r="F58" s="1056"/>
      <c r="G58" s="1041"/>
      <c r="H58" s="1041"/>
      <c r="I58" s="1041"/>
      <c r="J58" s="1041"/>
      <c r="K58" s="1041"/>
      <c r="L58" s="1042"/>
    </row>
    <row r="59" spans="2:12" x14ac:dyDescent="0.35">
      <c r="B59" s="1055"/>
      <c r="C59" s="1056"/>
      <c r="D59" s="1056"/>
      <c r="E59" s="1056"/>
      <c r="F59" s="1056"/>
      <c r="G59" s="1043" t="s">
        <v>4510</v>
      </c>
      <c r="H59" s="1043"/>
      <c r="I59" s="1043"/>
      <c r="J59" s="1043"/>
      <c r="K59" s="1043"/>
      <c r="L59" s="1044"/>
    </row>
    <row r="60" spans="2:12" x14ac:dyDescent="0.35">
      <c r="B60" s="1055"/>
      <c r="C60" s="1056"/>
      <c r="D60" s="1056"/>
      <c r="E60" s="1056"/>
      <c r="F60" s="1056"/>
      <c r="G60" s="1041" t="s">
        <v>4487</v>
      </c>
      <c r="H60" s="1041"/>
      <c r="I60" s="1041"/>
      <c r="J60" s="1041"/>
      <c r="K60" s="1041"/>
      <c r="L60" s="1042"/>
    </row>
    <row r="61" spans="2:12" x14ac:dyDescent="0.35">
      <c r="B61" s="1055" t="s">
        <v>4509</v>
      </c>
      <c r="C61" s="1056"/>
      <c r="D61" s="1056"/>
      <c r="E61" s="1056"/>
      <c r="F61" s="1056"/>
      <c r="G61" s="1041" t="s">
        <v>4508</v>
      </c>
      <c r="H61" s="1041"/>
      <c r="I61" s="1041"/>
      <c r="J61" s="1041"/>
      <c r="K61" s="1041"/>
      <c r="L61" s="1042"/>
    </row>
    <row r="62" spans="2:12" x14ac:dyDescent="0.35">
      <c r="B62" s="1055"/>
      <c r="C62" s="1056"/>
      <c r="D62" s="1056"/>
      <c r="E62" s="1056"/>
      <c r="F62" s="1056"/>
      <c r="G62" s="1041" t="s">
        <v>4507</v>
      </c>
      <c r="H62" s="1041"/>
      <c r="I62" s="1041"/>
      <c r="J62" s="1041"/>
      <c r="K62" s="1041"/>
      <c r="L62" s="1042"/>
    </row>
    <row r="63" spans="2:12" x14ac:dyDescent="0.35">
      <c r="B63" s="1055"/>
      <c r="C63" s="1056"/>
      <c r="D63" s="1056"/>
      <c r="E63" s="1056"/>
      <c r="F63" s="1056"/>
      <c r="G63" s="1041" t="s">
        <v>4506</v>
      </c>
      <c r="H63" s="1041"/>
      <c r="I63" s="1041"/>
      <c r="J63" s="1041"/>
      <c r="K63" s="1041"/>
      <c r="L63" s="1042"/>
    </row>
    <row r="64" spans="2:12" x14ac:dyDescent="0.35">
      <c r="B64" s="1055"/>
      <c r="C64" s="1056"/>
      <c r="D64" s="1056"/>
      <c r="E64" s="1056"/>
      <c r="F64" s="1056"/>
      <c r="G64" s="1043" t="s">
        <v>4505</v>
      </c>
      <c r="H64" s="1043"/>
      <c r="I64" s="1043"/>
      <c r="J64" s="1043"/>
      <c r="K64" s="1043"/>
      <c r="L64" s="1044"/>
    </row>
    <row r="65" spans="2:12" x14ac:dyDescent="0.35">
      <c r="B65" s="1055" t="s">
        <v>4504</v>
      </c>
      <c r="C65" s="1056"/>
      <c r="D65" s="1056"/>
      <c r="E65" s="1056"/>
      <c r="F65" s="1056"/>
      <c r="G65" s="1041" t="s">
        <v>4503</v>
      </c>
      <c r="H65" s="1041"/>
      <c r="I65" s="1041"/>
      <c r="J65" s="1041"/>
      <c r="K65" s="1041"/>
      <c r="L65" s="1042"/>
    </row>
    <row r="66" spans="2:12" x14ac:dyDescent="0.35">
      <c r="B66" s="1055"/>
      <c r="C66" s="1056"/>
      <c r="D66" s="1056"/>
      <c r="E66" s="1056"/>
      <c r="F66" s="1056"/>
      <c r="G66" s="1041" t="s">
        <v>4502</v>
      </c>
      <c r="H66" s="1041"/>
      <c r="I66" s="1041"/>
      <c r="J66" s="1041"/>
      <c r="K66" s="1041"/>
      <c r="L66" s="1042"/>
    </row>
    <row r="67" spans="2:12" x14ac:dyDescent="0.35">
      <c r="B67" s="1055"/>
      <c r="C67" s="1056"/>
      <c r="D67" s="1056"/>
      <c r="E67" s="1056"/>
      <c r="F67" s="1056"/>
      <c r="G67" s="1041" t="s">
        <v>4501</v>
      </c>
      <c r="H67" s="1041"/>
      <c r="I67" s="1041"/>
      <c r="J67" s="1041"/>
      <c r="K67" s="1041"/>
      <c r="L67" s="1042"/>
    </row>
    <row r="68" spans="2:12" x14ac:dyDescent="0.35">
      <c r="B68" s="1055"/>
      <c r="C68" s="1056"/>
      <c r="D68" s="1056"/>
      <c r="E68" s="1056"/>
      <c r="F68" s="1056"/>
      <c r="G68" s="1043" t="s">
        <v>4500</v>
      </c>
      <c r="H68" s="1043"/>
      <c r="I68" s="1043"/>
      <c r="J68" s="1043"/>
      <c r="K68" s="1043"/>
      <c r="L68" s="1044"/>
    </row>
    <row r="69" spans="2:12" x14ac:dyDescent="0.35">
      <c r="B69" s="1055"/>
      <c r="C69" s="1056"/>
      <c r="D69" s="1056"/>
      <c r="E69" s="1056"/>
      <c r="F69" s="1056"/>
      <c r="G69" s="1041" t="s">
        <v>4499</v>
      </c>
      <c r="H69" s="1041"/>
      <c r="I69" s="1041"/>
      <c r="J69" s="1041"/>
      <c r="K69" s="1041"/>
      <c r="L69" s="1042"/>
    </row>
    <row r="70" spans="2:12" x14ac:dyDescent="0.35">
      <c r="B70" s="1055" t="s">
        <v>4498</v>
      </c>
      <c r="C70" s="1056"/>
      <c r="D70" s="1056"/>
      <c r="E70" s="1056"/>
      <c r="F70" s="1056"/>
      <c r="G70" s="1041" t="s">
        <v>4497</v>
      </c>
      <c r="H70" s="1041"/>
      <c r="I70" s="1041"/>
      <c r="J70" s="1041"/>
      <c r="K70" s="1041"/>
      <c r="L70" s="1042"/>
    </row>
    <row r="71" spans="2:12" x14ac:dyDescent="0.35">
      <c r="B71" s="1055"/>
      <c r="C71" s="1056"/>
      <c r="D71" s="1056"/>
      <c r="E71" s="1056"/>
      <c r="F71" s="1056"/>
      <c r="G71" s="1041" t="s">
        <v>4496</v>
      </c>
      <c r="H71" s="1041"/>
      <c r="I71" s="1041"/>
      <c r="J71" s="1041"/>
      <c r="K71" s="1041"/>
      <c r="L71" s="1042"/>
    </row>
    <row r="72" spans="2:12" x14ac:dyDescent="0.35">
      <c r="B72" s="1055"/>
      <c r="C72" s="1056"/>
      <c r="D72" s="1056"/>
      <c r="E72" s="1056"/>
      <c r="F72" s="1056"/>
      <c r="G72" s="1041" t="s">
        <v>4495</v>
      </c>
      <c r="H72" s="1041"/>
      <c r="I72" s="1041"/>
      <c r="J72" s="1041"/>
      <c r="K72" s="1041"/>
      <c r="L72" s="1042"/>
    </row>
    <row r="73" spans="2:12" x14ac:dyDescent="0.35">
      <c r="B73" s="1055"/>
      <c r="C73" s="1056"/>
      <c r="D73" s="1056"/>
      <c r="E73" s="1056"/>
      <c r="F73" s="1056"/>
      <c r="G73" s="1043" t="s">
        <v>4494</v>
      </c>
      <c r="H73" s="1043"/>
      <c r="I73" s="1043"/>
      <c r="J73" s="1043"/>
      <c r="K73" s="1043"/>
      <c r="L73" s="1044"/>
    </row>
    <row r="74" spans="2:12" x14ac:dyDescent="0.35">
      <c r="B74" s="1055"/>
      <c r="C74" s="1056"/>
      <c r="D74" s="1056"/>
      <c r="E74" s="1056"/>
      <c r="F74" s="1056"/>
      <c r="G74" s="1041" t="s">
        <v>4493</v>
      </c>
      <c r="H74" s="1041"/>
      <c r="I74" s="1041"/>
      <c r="J74" s="1041"/>
      <c r="K74" s="1041"/>
      <c r="L74" s="1042"/>
    </row>
    <row r="75" spans="2:12" x14ac:dyDescent="0.35">
      <c r="B75" s="1055" t="s">
        <v>4492</v>
      </c>
      <c r="C75" s="1056"/>
      <c r="D75" s="1056"/>
      <c r="E75" s="1056"/>
      <c r="F75" s="1056"/>
      <c r="G75" s="1041" t="s">
        <v>4491</v>
      </c>
      <c r="H75" s="1041"/>
      <c r="I75" s="1041"/>
      <c r="J75" s="1041"/>
      <c r="K75" s="1041"/>
      <c r="L75" s="1042"/>
    </row>
    <row r="76" spans="2:12" x14ac:dyDescent="0.35">
      <c r="B76" s="1055"/>
      <c r="C76" s="1056"/>
      <c r="D76" s="1056"/>
      <c r="E76" s="1056"/>
      <c r="F76" s="1056"/>
      <c r="G76" s="1041" t="s">
        <v>4490</v>
      </c>
      <c r="H76" s="1041"/>
      <c r="I76" s="1041"/>
      <c r="J76" s="1041"/>
      <c r="K76" s="1041"/>
      <c r="L76" s="1042"/>
    </row>
    <row r="77" spans="2:12" x14ac:dyDescent="0.35">
      <c r="B77" s="1055"/>
      <c r="C77" s="1056"/>
      <c r="D77" s="1056"/>
      <c r="E77" s="1056"/>
      <c r="F77" s="1056"/>
      <c r="G77" s="1041" t="s">
        <v>4489</v>
      </c>
      <c r="H77" s="1041"/>
      <c r="I77" s="1041"/>
      <c r="J77" s="1041"/>
      <c r="K77" s="1041"/>
      <c r="L77" s="1042"/>
    </row>
    <row r="78" spans="2:12" x14ac:dyDescent="0.35">
      <c r="B78" s="1055"/>
      <c r="C78" s="1056"/>
      <c r="D78" s="1056"/>
      <c r="E78" s="1056"/>
      <c r="F78" s="1056"/>
      <c r="G78" s="1043" t="s">
        <v>4488</v>
      </c>
      <c r="H78" s="1043"/>
      <c r="I78" s="1043"/>
      <c r="J78" s="1043"/>
      <c r="K78" s="1043"/>
      <c r="L78" s="1044"/>
    </row>
    <row r="79" spans="2:12" ht="15" thickBot="1" x14ac:dyDescent="0.4">
      <c r="B79" s="1057"/>
      <c r="C79" s="1058"/>
      <c r="D79" s="1058"/>
      <c r="E79" s="1058"/>
      <c r="F79" s="1058"/>
      <c r="G79" s="1045" t="s">
        <v>4487</v>
      </c>
      <c r="H79" s="1045"/>
      <c r="I79" s="1045"/>
      <c r="J79" s="1045"/>
      <c r="K79" s="1045"/>
      <c r="L79" s="1046"/>
    </row>
  </sheetData>
  <sheetProtection algorithmName="SHA-512" hashValue="oxr4vLytY/RwSGAQlTn2REAhgYB2dtrTB2yhUn3JeiLUzyTLcnZOlp5ZZcbqatWmD6gFWPyYfWl5g3/zYEb5CQ==" saltValue="Tb5riqMxUH5BXzFAx9o7nQ==" spinCount="100000" sheet="1" objects="1" scenarios="1" selectLockedCells="1" selectUnlockedCells="1"/>
  <mergeCells count="81">
    <mergeCell ref="B65:F69"/>
    <mergeCell ref="B70:F74"/>
    <mergeCell ref="B61:F64"/>
    <mergeCell ref="B19:L19"/>
    <mergeCell ref="B34:D38"/>
    <mergeCell ref="B28:D29"/>
    <mergeCell ref="B30:D33"/>
    <mergeCell ref="E25:L25"/>
    <mergeCell ref="E34:L34"/>
    <mergeCell ref="E35:L35"/>
    <mergeCell ref="E36:L36"/>
    <mergeCell ref="E37:L37"/>
    <mergeCell ref="E33:L33"/>
    <mergeCell ref="E23:L24"/>
    <mergeCell ref="E26:L27"/>
    <mergeCell ref="E39:L40"/>
    <mergeCell ref="B18:E18"/>
    <mergeCell ref="B20:L20"/>
    <mergeCell ref="B11:L11"/>
    <mergeCell ref="B13:L14"/>
    <mergeCell ref="B8:L8"/>
    <mergeCell ref="B9:L9"/>
    <mergeCell ref="B16:L16"/>
    <mergeCell ref="B17:L17"/>
    <mergeCell ref="B10:E10"/>
    <mergeCell ref="B12:E12"/>
    <mergeCell ref="B15:E15"/>
    <mergeCell ref="B25:D25"/>
    <mergeCell ref="B21:D22"/>
    <mergeCell ref="E21:L22"/>
    <mergeCell ref="B45:F45"/>
    <mergeCell ref="B46:F50"/>
    <mergeCell ref="E38:L38"/>
    <mergeCell ref="B39:D40"/>
    <mergeCell ref="E28:L28"/>
    <mergeCell ref="E29:L29"/>
    <mergeCell ref="E30:L30"/>
    <mergeCell ref="E31:L31"/>
    <mergeCell ref="E32:L32"/>
    <mergeCell ref="B51:F56"/>
    <mergeCell ref="B57:F60"/>
    <mergeCell ref="G54:L54"/>
    <mergeCell ref="G55:L55"/>
    <mergeCell ref="G56:L56"/>
    <mergeCell ref="B75:F79"/>
    <mergeCell ref="G45:L45"/>
    <mergeCell ref="G46:L46"/>
    <mergeCell ref="G47:L47"/>
    <mergeCell ref="G48:L48"/>
    <mergeCell ref="G49:L49"/>
    <mergeCell ref="G50:L50"/>
    <mergeCell ref="G51:L51"/>
    <mergeCell ref="G52:L52"/>
    <mergeCell ref="G53:L53"/>
    <mergeCell ref="G70:L70"/>
    <mergeCell ref="G59:L59"/>
    <mergeCell ref="G60:L60"/>
    <mergeCell ref="G61:L61"/>
    <mergeCell ref="G62:L62"/>
    <mergeCell ref="G63:L63"/>
    <mergeCell ref="G64:L64"/>
    <mergeCell ref="G72:L72"/>
    <mergeCell ref="G73:L73"/>
    <mergeCell ref="G74:L74"/>
    <mergeCell ref="G75:L75"/>
    <mergeCell ref="B4:I6"/>
    <mergeCell ref="G77:L77"/>
    <mergeCell ref="G78:L78"/>
    <mergeCell ref="G79:L79"/>
    <mergeCell ref="B43:L43"/>
    <mergeCell ref="B44:L44"/>
    <mergeCell ref="B23:D24"/>
    <mergeCell ref="B26:D27"/>
    <mergeCell ref="G57:L58"/>
    <mergeCell ref="G71:L71"/>
    <mergeCell ref="G76:L76"/>
    <mergeCell ref="G65:L65"/>
    <mergeCell ref="G66:L66"/>
    <mergeCell ref="G67:L67"/>
    <mergeCell ref="G68:L68"/>
    <mergeCell ref="G69:L69"/>
  </mergeCells>
  <hyperlinks>
    <hyperlink ref="G49" r:id="rId1" display="http://www.kcma.org/" xr:uid="{00000000-0004-0000-1500-000000000000}"/>
    <hyperlink ref="G55" r:id="rId2" display="http://www.carpet-rug.org/" xr:uid="{00000000-0004-0000-1500-000001000000}"/>
    <hyperlink ref="G59" r:id="rId3" display="http://www.ul.com/" xr:uid="{00000000-0004-0000-1500-000002000000}"/>
    <hyperlink ref="G64" r:id="rId4" display="http://www.rfci.com/" xr:uid="{00000000-0004-0000-1500-000003000000}"/>
    <hyperlink ref="G68" r:id="rId5" display="http://www.scscertified.com/" xr:uid="{00000000-0004-0000-1500-000004000000}"/>
    <hyperlink ref="G73" r:id="rId6" display="http://www.greenseal.org/" xr:uid="{00000000-0004-0000-1500-000005000000}"/>
    <hyperlink ref="G78" r:id="rId7" display="http://www.ul.com/" xr:uid="{00000000-0004-0000-1500-000006000000}"/>
  </hyperlinks>
  <pageMargins left="0.7" right="0.7" top="0.75" bottom="0.75" header="0.3" footer="0.3"/>
  <pageSetup scale="82" fitToHeight="0" orientation="portrait" r:id="rId8"/>
  <rowBreaks count="1" manualBreakCount="1">
    <brk id="4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B2:H12"/>
  <sheetViews>
    <sheetView showGridLines="0" zoomScaleNormal="100" workbookViewId="0"/>
  </sheetViews>
  <sheetFormatPr defaultColWidth="9.1796875" defaultRowHeight="14.5" x14ac:dyDescent="0.35"/>
  <cols>
    <col min="8" max="8" width="10.1796875" customWidth="1"/>
  </cols>
  <sheetData>
    <row r="2" spans="2:8" x14ac:dyDescent="0.35">
      <c r="B2" s="1088" t="s">
        <v>3235</v>
      </c>
      <c r="C2" s="1088"/>
      <c r="F2" s="1085" t="s">
        <v>4568</v>
      </c>
      <c r="G2" s="1086"/>
      <c r="H2" s="1087"/>
    </row>
    <row r="4" spans="2:8" x14ac:dyDescent="0.35">
      <c r="C4" s="798" t="s">
        <v>3208</v>
      </c>
      <c r="D4" s="798"/>
      <c r="E4" s="798"/>
      <c r="F4" s="798"/>
      <c r="G4" s="798"/>
      <c r="H4" s="798"/>
    </row>
    <row r="5" spans="2:8" ht="15" customHeight="1" x14ac:dyDescent="0.35">
      <c r="C5" s="1083" t="s">
        <v>3207</v>
      </c>
      <c r="D5" s="1083"/>
      <c r="E5" s="1083"/>
      <c r="F5" s="1083"/>
      <c r="G5" s="1083"/>
      <c r="H5" s="1083"/>
    </row>
    <row r="6" spans="2:8" ht="25.5" customHeight="1" x14ac:dyDescent="0.35">
      <c r="C6" s="1077" t="s">
        <v>3206</v>
      </c>
      <c r="D6" s="1078"/>
      <c r="E6" s="1077" t="s">
        <v>3205</v>
      </c>
      <c r="F6" s="1078"/>
      <c r="G6" s="1081" t="s">
        <v>3204</v>
      </c>
      <c r="H6" s="1081"/>
    </row>
    <row r="7" spans="2:8" x14ac:dyDescent="0.35">
      <c r="C7" s="1079" t="s">
        <v>3203</v>
      </c>
      <c r="D7" s="1080"/>
      <c r="E7" s="1079">
        <v>12</v>
      </c>
      <c r="F7" s="1080"/>
      <c r="G7" s="1082">
        <v>12</v>
      </c>
      <c r="H7" s="1082"/>
    </row>
    <row r="8" spans="2:8" x14ac:dyDescent="0.35">
      <c r="C8" s="1079" t="s">
        <v>3202</v>
      </c>
      <c r="D8" s="1080"/>
      <c r="E8" s="1079">
        <v>18</v>
      </c>
      <c r="F8" s="1080"/>
      <c r="G8" s="1082">
        <v>12</v>
      </c>
      <c r="H8" s="1082"/>
    </row>
    <row r="9" spans="2:8" x14ac:dyDescent="0.35">
      <c r="C9" s="1079" t="s">
        <v>3201</v>
      </c>
      <c r="D9" s="1080"/>
      <c r="E9" s="1079">
        <v>24</v>
      </c>
      <c r="F9" s="1080"/>
      <c r="G9" s="1082">
        <v>12</v>
      </c>
      <c r="H9" s="1082"/>
    </row>
    <row r="10" spans="2:8" ht="15" customHeight="1" x14ac:dyDescent="0.35">
      <c r="C10" s="843" t="s">
        <v>3238</v>
      </c>
      <c r="D10" s="843"/>
      <c r="E10" s="843"/>
      <c r="F10" s="843"/>
      <c r="G10" s="843"/>
      <c r="H10" s="843"/>
    </row>
    <row r="11" spans="2:8" x14ac:dyDescent="0.35">
      <c r="C11" s="1084" t="s">
        <v>3237</v>
      </c>
      <c r="D11" s="1084"/>
      <c r="E11" s="1084"/>
      <c r="F11" s="1084"/>
      <c r="G11" s="1084"/>
      <c r="H11" s="1084"/>
    </row>
    <row r="12" spans="2:8" x14ac:dyDescent="0.35">
      <c r="C12" s="1076" t="s">
        <v>3200</v>
      </c>
      <c r="D12" s="1076"/>
      <c r="E12" s="1076"/>
    </row>
  </sheetData>
  <sheetProtection algorithmName="SHA-512" hashValue="KhoIHvtYqGEf6fRceuIAwYBJxfQSuiZtyP2VOoBJPBiPleQEF2ynV/JQgVECNK3oTeIfdiWJQYOHWVM1xpt6IA==" saltValue="qLb3z/Py2TCjYZhO4fUL1A==" spinCount="100000" sheet="1" objects="1" scenarios="1" selectLockedCells="1"/>
  <mergeCells count="19">
    <mergeCell ref="F2:H2"/>
    <mergeCell ref="E7:F7"/>
    <mergeCell ref="E8:F8"/>
    <mergeCell ref="E9:F9"/>
    <mergeCell ref="B2:C2"/>
    <mergeCell ref="C12:E12"/>
    <mergeCell ref="C4:H4"/>
    <mergeCell ref="C6:D6"/>
    <mergeCell ref="C8:D8"/>
    <mergeCell ref="C7:D7"/>
    <mergeCell ref="C9:D9"/>
    <mergeCell ref="E6:F6"/>
    <mergeCell ref="G6:H6"/>
    <mergeCell ref="G7:H7"/>
    <mergeCell ref="G8:H8"/>
    <mergeCell ref="G9:H9"/>
    <mergeCell ref="C5:H5"/>
    <mergeCell ref="C10:H10"/>
    <mergeCell ref="C11:H11"/>
  </mergeCells>
  <hyperlinks>
    <hyperlink ref="C11:H11" location="'Figure 6(2)'!A1" display="Figure 6(2)" xr:uid="{00000000-0004-0000-1600-000000000000}"/>
    <hyperlink ref="B2:C2" location="hyptarg3" display="back to 602.1.12" xr:uid="{00000000-0004-0000-1600-000001000000}"/>
    <hyperlink ref="F2:G2" location="'Verification Report'!A1" display="back to Verification Report" xr:uid="{00000000-0004-0000-1600-000002000000}"/>
    <hyperlink ref="F2:H2" location="'Verification Report'!A1" display="back to Verification Report" xr:uid="{00000000-0004-0000-1600-000003000000}"/>
  </hyperlinks>
  <pageMargins left="0.7" right="0.7" top="0.75" bottom="0.75" header="0.3" footer="0.3"/>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B2:H9"/>
  <sheetViews>
    <sheetView showGridLines="0" zoomScaleNormal="100" workbookViewId="0"/>
  </sheetViews>
  <sheetFormatPr defaultColWidth="9.1796875" defaultRowHeight="14.5" x14ac:dyDescent="0.35"/>
  <cols>
    <col min="2" max="2" width="9.1796875" customWidth="1"/>
    <col min="4" max="4" width="11.54296875" customWidth="1"/>
    <col min="6" max="6" width="10.54296875" customWidth="1"/>
    <col min="8" max="8" width="11.26953125" customWidth="1"/>
  </cols>
  <sheetData>
    <row r="2" spans="2:8" x14ac:dyDescent="0.35">
      <c r="B2" s="1088" t="s">
        <v>3265</v>
      </c>
      <c r="C2" s="1088"/>
      <c r="F2" s="1085" t="s">
        <v>4568</v>
      </c>
      <c r="G2" s="1086"/>
      <c r="H2" s="1087"/>
    </row>
    <row r="4" spans="2:8" x14ac:dyDescent="0.35">
      <c r="C4" s="798" t="s">
        <v>3215</v>
      </c>
      <c r="D4" s="798"/>
      <c r="E4" s="798"/>
      <c r="F4" s="798"/>
      <c r="G4" s="798"/>
      <c r="H4" s="798"/>
    </row>
    <row r="5" spans="2:8" x14ac:dyDescent="0.35">
      <c r="C5" s="1083" t="s">
        <v>3214</v>
      </c>
      <c r="D5" s="1083"/>
      <c r="E5" s="1083"/>
      <c r="F5" s="1083"/>
      <c r="G5" s="1083"/>
      <c r="H5" s="1083"/>
    </row>
    <row r="6" spans="2:8" ht="24.75" customHeight="1" x14ac:dyDescent="0.35">
      <c r="C6" s="1077" t="s">
        <v>3258</v>
      </c>
      <c r="D6" s="1078"/>
      <c r="E6" s="1077" t="s">
        <v>3213</v>
      </c>
      <c r="F6" s="1078"/>
      <c r="G6" s="1081" t="s">
        <v>3212</v>
      </c>
      <c r="H6" s="1081"/>
    </row>
    <row r="7" spans="2:8" x14ac:dyDescent="0.35">
      <c r="C7" s="1079" t="s">
        <v>3211</v>
      </c>
      <c r="D7" s="1080"/>
      <c r="E7" s="1089">
        <v>1</v>
      </c>
      <c r="F7" s="1090"/>
      <c r="G7" s="1081">
        <v>2</v>
      </c>
      <c r="H7" s="1081"/>
    </row>
    <row r="8" spans="2:8" x14ac:dyDescent="0.35">
      <c r="C8" s="1079" t="s">
        <v>3210</v>
      </c>
      <c r="D8" s="1080"/>
      <c r="E8" s="1089">
        <v>2</v>
      </c>
      <c r="F8" s="1090"/>
      <c r="G8" s="1081">
        <v>4</v>
      </c>
      <c r="H8" s="1081"/>
    </row>
    <row r="9" spans="2:8" x14ac:dyDescent="0.35">
      <c r="C9" s="1079" t="s">
        <v>3209</v>
      </c>
      <c r="D9" s="1080"/>
      <c r="E9" s="1089">
        <v>3</v>
      </c>
      <c r="F9" s="1090"/>
      <c r="G9" s="1081">
        <v>6</v>
      </c>
      <c r="H9" s="1081"/>
    </row>
  </sheetData>
  <sheetProtection algorithmName="SHA-512" hashValue="UP3Md8JLu2DaZ2xmR7+QIFSkbNfIRbAXRyHxzMU+vyrP0v6DqCEYhb71jJYnoph8Kqih6Ele1Yt6FIwqhwF9Eg==" saltValue="QKcL2puRcZi8+QED6/HEYQ==" spinCount="100000" sheet="1" objects="1" scenarios="1" selectLockedCells="1"/>
  <mergeCells count="16">
    <mergeCell ref="F2:H2"/>
    <mergeCell ref="B2:C2"/>
    <mergeCell ref="C8:D8"/>
    <mergeCell ref="E8:F8"/>
    <mergeCell ref="G8:H8"/>
    <mergeCell ref="C4:H4"/>
    <mergeCell ref="C5:H5"/>
    <mergeCell ref="C6:D6"/>
    <mergeCell ref="E6:F6"/>
    <mergeCell ref="G6:H6"/>
    <mergeCell ref="C9:D9"/>
    <mergeCell ref="E9:F9"/>
    <mergeCell ref="G9:H9"/>
    <mergeCell ref="C7:D7"/>
    <mergeCell ref="E7:F7"/>
    <mergeCell ref="G7:H7"/>
  </mergeCells>
  <hyperlinks>
    <hyperlink ref="B2:C2" location="hyptarg4" display="back to 604.1" xr:uid="{00000000-0004-0000-1700-000000000000}"/>
    <hyperlink ref="F2:G2" location="'Verification Report'!A1" display="back to Verification Report" xr:uid="{00000000-0004-0000-1700-000001000000}"/>
    <hyperlink ref="F2:H2" location="'Verification Report'!A1" display="back to Verification Report" xr:uid="{00000000-0004-0000-1700-000002000000}"/>
  </hyperlinks>
  <pageMargins left="0.7" right="0.7" top="0.75" bottom="0.75" header="0.3" footer="0.3"/>
  <pageSetup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B2:G8"/>
  <sheetViews>
    <sheetView showGridLines="0" zoomScaleNormal="100" workbookViewId="0"/>
  </sheetViews>
  <sheetFormatPr defaultColWidth="9.1796875" defaultRowHeight="14.5" x14ac:dyDescent="0.35"/>
  <cols>
    <col min="4" max="4" width="15.54296875" customWidth="1"/>
    <col min="6" max="6" width="18.54296875" customWidth="1"/>
  </cols>
  <sheetData>
    <row r="2" spans="2:7" x14ac:dyDescent="0.35">
      <c r="B2" s="1088" t="s">
        <v>3325</v>
      </c>
      <c r="C2" s="1088"/>
      <c r="E2" s="1085" t="s">
        <v>4568</v>
      </c>
      <c r="F2" s="1086"/>
      <c r="G2" s="1087"/>
    </row>
    <row r="4" spans="2:7" x14ac:dyDescent="0.35">
      <c r="C4" s="798" t="s">
        <v>3220</v>
      </c>
      <c r="D4" s="798"/>
      <c r="E4" s="798"/>
      <c r="F4" s="798"/>
    </row>
    <row r="5" spans="2:7" x14ac:dyDescent="0.35">
      <c r="C5" s="1083" t="s">
        <v>3219</v>
      </c>
      <c r="D5" s="1083"/>
      <c r="E5" s="1083"/>
      <c r="F5" s="1083"/>
    </row>
    <row r="6" spans="2:7" x14ac:dyDescent="0.35">
      <c r="C6" s="1077" t="s">
        <v>3218</v>
      </c>
      <c r="D6" s="1078"/>
      <c r="E6" s="1077" t="s">
        <v>3217</v>
      </c>
      <c r="F6" s="1078"/>
    </row>
    <row r="7" spans="2:7" x14ac:dyDescent="0.35">
      <c r="C7" s="1091" t="s">
        <v>3216</v>
      </c>
      <c r="D7" s="1092"/>
      <c r="E7" s="1092"/>
      <c r="F7" s="1093"/>
    </row>
    <row r="8" spans="2:7" x14ac:dyDescent="0.35">
      <c r="C8" s="1089">
        <v>2</v>
      </c>
      <c r="D8" s="1090"/>
      <c r="E8" s="1089">
        <v>3</v>
      </c>
      <c r="F8" s="1090"/>
    </row>
  </sheetData>
  <sheetProtection algorithmName="SHA-512" hashValue="nowGw1O6scIjxmy/hsDZP4O9C85nQ59YL42rOBock5IX+nO+/bUj/aHyqepnaKn8W9imN51HAkl1AbfBVQ8lLA==" saltValue="eB8LaeEb8gID91HBUach4g==" spinCount="100000" sheet="1" objects="1" scenarios="1" selectLockedCells="1"/>
  <mergeCells count="9">
    <mergeCell ref="B2:C2"/>
    <mergeCell ref="C8:D8"/>
    <mergeCell ref="E8:F8"/>
    <mergeCell ref="C7:F7"/>
    <mergeCell ref="C4:F4"/>
    <mergeCell ref="C5:F5"/>
    <mergeCell ref="C6:D6"/>
    <mergeCell ref="E6:F6"/>
    <mergeCell ref="E2:G2"/>
  </mergeCells>
  <hyperlinks>
    <hyperlink ref="B2:C2" location="hyptarg5" display="back to 610.1.2.1" xr:uid="{00000000-0004-0000-1800-000000000000}"/>
    <hyperlink ref="E2:F2" location="'Verification Report'!A1" display="back to Verification Report" xr:uid="{00000000-0004-0000-1800-000001000000}"/>
    <hyperlink ref="E2:G2" location="'Verification Report'!A1" display="back to Verification Report" xr:uid="{00000000-0004-0000-1800-000002000000}"/>
  </hyperlinks>
  <pageMargins left="0.7" right="0.7" top="0.75" bottom="0.75" header="0.3" footer="0.3"/>
  <pageSetup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B2:G10"/>
  <sheetViews>
    <sheetView showGridLines="0" zoomScaleNormal="100" workbookViewId="0"/>
  </sheetViews>
  <sheetFormatPr defaultColWidth="9.1796875" defaultRowHeight="14.5" x14ac:dyDescent="0.35"/>
  <cols>
    <col min="3" max="3" width="16.54296875" bestFit="1" customWidth="1"/>
    <col min="4" max="5" width="15.81640625" bestFit="1" customWidth="1"/>
  </cols>
  <sheetData>
    <row r="2" spans="2:7" x14ac:dyDescent="0.35">
      <c r="B2" s="1088" t="s">
        <v>3326</v>
      </c>
      <c r="C2" s="1088"/>
      <c r="E2" s="1085" t="s">
        <v>4568</v>
      </c>
      <c r="F2" s="1086"/>
      <c r="G2" s="1087"/>
    </row>
    <row r="4" spans="2:7" x14ac:dyDescent="0.35">
      <c r="C4" s="798" t="s">
        <v>3225</v>
      </c>
      <c r="D4" s="798"/>
      <c r="E4" s="798"/>
    </row>
    <row r="5" spans="2:7" x14ac:dyDescent="0.35">
      <c r="C5" s="736" t="s">
        <v>3224</v>
      </c>
      <c r="D5" s="1083"/>
      <c r="E5" s="1083"/>
    </row>
    <row r="6" spans="2:7" ht="15" customHeight="1" x14ac:dyDescent="0.35">
      <c r="C6" s="1095" t="s">
        <v>3906</v>
      </c>
      <c r="D6" s="88" t="s">
        <v>3218</v>
      </c>
      <c r="E6" s="90" t="s">
        <v>3217</v>
      </c>
    </row>
    <row r="7" spans="2:7" ht="12.75" customHeight="1" x14ac:dyDescent="0.35">
      <c r="C7" s="1096"/>
      <c r="D7" s="1094" t="s">
        <v>3216</v>
      </c>
      <c r="E7" s="1094"/>
    </row>
    <row r="8" spans="2:7" x14ac:dyDescent="0.35">
      <c r="C8" s="86" t="s">
        <v>3223</v>
      </c>
      <c r="D8" s="89">
        <v>3</v>
      </c>
      <c r="E8" s="90">
        <v>6</v>
      </c>
    </row>
    <row r="9" spans="2:7" x14ac:dyDescent="0.35">
      <c r="C9" s="87" t="s">
        <v>3222</v>
      </c>
      <c r="D9" s="89">
        <v>4</v>
      </c>
      <c r="E9" s="90">
        <v>8</v>
      </c>
    </row>
    <row r="10" spans="2:7" x14ac:dyDescent="0.35">
      <c r="C10" s="87" t="s">
        <v>3221</v>
      </c>
      <c r="D10" s="89">
        <v>5</v>
      </c>
      <c r="E10" s="90">
        <v>10</v>
      </c>
    </row>
  </sheetData>
  <sheetProtection algorithmName="SHA-512" hashValue="yXruGi8LITNMXSD/90jeHSyG+PGg8tn4MpJflpaiaXCfiKCB/G0QuVdq4/qwF9Vkq5D5uulyRUsHGuY7zK/+Sg==" saltValue="sLrakodyy5C7mcpousq1tw==" spinCount="100000" sheet="1" objects="1" scenarios="1" selectLockedCells="1"/>
  <mergeCells count="6">
    <mergeCell ref="C4:E4"/>
    <mergeCell ref="C5:E5"/>
    <mergeCell ref="D7:E7"/>
    <mergeCell ref="B2:C2"/>
    <mergeCell ref="C6:C7"/>
    <mergeCell ref="E2:G2"/>
  </mergeCells>
  <hyperlinks>
    <hyperlink ref="B2:C2" location="hyptarg6" display="back to 610.1.2.2" xr:uid="{00000000-0004-0000-1900-000000000000}"/>
    <hyperlink ref="E2:F2" location="'Verification Report'!A1" display="back to Verification Report" xr:uid="{00000000-0004-0000-1900-000001000000}"/>
    <hyperlink ref="E2:G2" location="'Verification Report'!A1" display="back to Verification Report" xr:uid="{00000000-0004-0000-1900-000002000000}"/>
  </hyperlinks>
  <pageMargins left="0.7" right="0.7" top="0.75" bottom="0.75" header="0.3" footer="0.3"/>
  <pageSetup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A1:R37"/>
  <sheetViews>
    <sheetView showGridLines="0" zoomScaleNormal="100" workbookViewId="0"/>
  </sheetViews>
  <sheetFormatPr defaultRowHeight="14.5" x14ac:dyDescent="0.35"/>
  <sheetData>
    <row r="1" spans="1:18" ht="19" thickTop="1" x14ac:dyDescent="0.35">
      <c r="A1" s="91" t="s">
        <v>3226</v>
      </c>
      <c r="B1" s="92"/>
      <c r="C1" s="92"/>
      <c r="D1" s="92"/>
      <c r="E1" s="92"/>
      <c r="F1" s="92"/>
      <c r="G1" s="92"/>
      <c r="H1" s="92"/>
      <c r="I1" s="92"/>
      <c r="J1" s="92"/>
      <c r="K1" s="92"/>
      <c r="L1" s="92"/>
      <c r="M1" s="92"/>
      <c r="N1" s="92"/>
      <c r="O1" s="92"/>
      <c r="P1" s="92"/>
      <c r="Q1" s="92"/>
      <c r="R1" s="93"/>
    </row>
    <row r="2" spans="1:18" x14ac:dyDescent="0.35">
      <c r="A2" s="94"/>
      <c r="R2" s="95"/>
    </row>
    <row r="3" spans="1:18" ht="15" customHeight="1" x14ac:dyDescent="0.35">
      <c r="A3" s="94"/>
      <c r="B3" s="1097" t="s">
        <v>3235</v>
      </c>
      <c r="C3" s="1097"/>
      <c r="D3" s="1097" t="s">
        <v>3252</v>
      </c>
      <c r="E3" s="1097"/>
      <c r="F3" s="1097"/>
      <c r="H3" s="1085" t="s">
        <v>4568</v>
      </c>
      <c r="I3" s="1086"/>
      <c r="J3" s="1087"/>
      <c r="R3" s="95"/>
    </row>
    <row r="4" spans="1:18" x14ac:dyDescent="0.35">
      <c r="A4" s="94"/>
      <c r="R4" s="95"/>
    </row>
    <row r="5" spans="1:18" x14ac:dyDescent="0.35">
      <c r="A5" s="94"/>
      <c r="R5" s="95"/>
    </row>
    <row r="6" spans="1:18" x14ac:dyDescent="0.35">
      <c r="A6" s="94"/>
      <c r="R6" s="95"/>
    </row>
    <row r="7" spans="1:18" x14ac:dyDescent="0.35">
      <c r="A7" s="94"/>
      <c r="R7" s="95"/>
    </row>
    <row r="8" spans="1:18" x14ac:dyDescent="0.35">
      <c r="A8" s="94"/>
      <c r="R8" s="95"/>
    </row>
    <row r="9" spans="1:18" x14ac:dyDescent="0.35">
      <c r="A9" s="94"/>
      <c r="R9" s="95"/>
    </row>
    <row r="10" spans="1:18" x14ac:dyDescent="0.35">
      <c r="A10" s="94"/>
      <c r="R10" s="95"/>
    </row>
    <row r="11" spans="1:18" x14ac:dyDescent="0.35">
      <c r="A11" s="94"/>
      <c r="R11" s="95"/>
    </row>
    <row r="12" spans="1:18" x14ac:dyDescent="0.35">
      <c r="A12" s="94"/>
      <c r="R12" s="95"/>
    </row>
    <row r="13" spans="1:18" x14ac:dyDescent="0.35">
      <c r="A13" s="94"/>
      <c r="R13" s="95"/>
    </row>
    <row r="14" spans="1:18" x14ac:dyDescent="0.35">
      <c r="A14" s="94"/>
      <c r="R14" s="95"/>
    </row>
    <row r="15" spans="1:18" x14ac:dyDescent="0.35">
      <c r="A15" s="94"/>
      <c r="R15" s="95"/>
    </row>
    <row r="16" spans="1:18" x14ac:dyDescent="0.35">
      <c r="A16" s="94"/>
      <c r="R16" s="95"/>
    </row>
    <row r="17" spans="1:18" x14ac:dyDescent="0.35">
      <c r="A17" s="94"/>
      <c r="R17" s="95"/>
    </row>
    <row r="18" spans="1:18" x14ac:dyDescent="0.35">
      <c r="A18" s="94"/>
      <c r="R18" s="95"/>
    </row>
    <row r="19" spans="1:18" x14ac:dyDescent="0.35">
      <c r="A19" s="94"/>
      <c r="R19" s="95"/>
    </row>
    <row r="20" spans="1:18" x14ac:dyDescent="0.35">
      <c r="A20" s="94"/>
      <c r="R20" s="95"/>
    </row>
    <row r="21" spans="1:18" x14ac:dyDescent="0.35">
      <c r="A21" s="94"/>
      <c r="R21" s="95"/>
    </row>
    <row r="22" spans="1:18" x14ac:dyDescent="0.35">
      <c r="A22" s="94"/>
      <c r="R22" s="95"/>
    </row>
    <row r="23" spans="1:18" x14ac:dyDescent="0.35">
      <c r="A23" s="94"/>
      <c r="R23" s="95"/>
    </row>
    <row r="24" spans="1:18" x14ac:dyDescent="0.35">
      <c r="A24" s="94"/>
      <c r="R24" s="95"/>
    </row>
    <row r="25" spans="1:18" x14ac:dyDescent="0.35">
      <c r="A25" s="94"/>
      <c r="R25" s="95"/>
    </row>
    <row r="26" spans="1:18" x14ac:dyDescent="0.35">
      <c r="A26" s="94"/>
      <c r="R26" s="95"/>
    </row>
    <row r="27" spans="1:18" x14ac:dyDescent="0.35">
      <c r="A27" s="94"/>
      <c r="R27" s="95"/>
    </row>
    <row r="28" spans="1:18" x14ac:dyDescent="0.35">
      <c r="A28" s="94"/>
      <c r="R28" s="95"/>
    </row>
    <row r="29" spans="1:18" x14ac:dyDescent="0.35">
      <c r="A29" s="94"/>
      <c r="R29" s="95"/>
    </row>
    <row r="30" spans="1:18" x14ac:dyDescent="0.35">
      <c r="A30" s="94"/>
      <c r="R30" s="95"/>
    </row>
    <row r="31" spans="1:18" x14ac:dyDescent="0.35">
      <c r="A31" s="94"/>
      <c r="R31" s="95"/>
    </row>
    <row r="32" spans="1:18" x14ac:dyDescent="0.35">
      <c r="A32" s="94"/>
      <c r="R32" s="95"/>
    </row>
    <row r="33" spans="1:18" x14ac:dyDescent="0.35">
      <c r="A33" s="94"/>
      <c r="R33" s="95"/>
    </row>
    <row r="34" spans="1:18" x14ac:dyDescent="0.35">
      <c r="A34" s="94"/>
      <c r="R34" s="95"/>
    </row>
    <row r="35" spans="1:18" x14ac:dyDescent="0.35">
      <c r="A35" s="94"/>
      <c r="B35" s="6" t="s">
        <v>3227</v>
      </c>
      <c r="C35" s="210" t="s">
        <v>3228</v>
      </c>
      <c r="R35" s="95"/>
    </row>
    <row r="36" spans="1:18" ht="15" thickBot="1" x14ac:dyDescent="0.4">
      <c r="A36" s="96"/>
      <c r="B36" s="97"/>
      <c r="C36" s="97"/>
      <c r="D36" s="97"/>
      <c r="E36" s="97"/>
      <c r="F36" s="97"/>
      <c r="G36" s="97"/>
      <c r="H36" s="97"/>
      <c r="I36" s="97"/>
      <c r="J36" s="97"/>
      <c r="K36" s="97"/>
      <c r="L36" s="97"/>
      <c r="M36" s="97"/>
      <c r="N36" s="97"/>
      <c r="O36" s="97"/>
      <c r="P36" s="97"/>
      <c r="Q36" s="97"/>
      <c r="R36" s="98"/>
    </row>
    <row r="37" spans="1:18" ht="15" thickTop="1" x14ac:dyDescent="0.35"/>
  </sheetData>
  <sheetProtection algorithmName="SHA-512" hashValue="IawsHY01A9RwsCzPvRC0SHIfNMS8BdoQbGJk0N2o1yCPyqkx06OB6jszPIotFmajoMA1RPx98N26/hb4Mwrpbg==" saltValue="bumPWVb8wNGUIj91SsrURg==" spinCount="100000" sheet="1" objects="1" scenarios="1" selectLockedCells="1"/>
  <mergeCells count="3">
    <mergeCell ref="B3:C3"/>
    <mergeCell ref="D3:F3"/>
    <mergeCell ref="H3:J3"/>
  </mergeCells>
  <hyperlinks>
    <hyperlink ref="C35" r:id="rId1" xr:uid="{00000000-0004-0000-1A00-000000000000}"/>
    <hyperlink ref="B3:C3" location="hyptarg3" display="back to 602.1.12" xr:uid="{00000000-0004-0000-1A00-000001000000}"/>
    <hyperlink ref="D3" location="'Table 602.1.12'!A1" display="See Table 602.1.12" xr:uid="{00000000-0004-0000-1A00-000002000000}"/>
    <hyperlink ref="H3:I3" location="'Verification Report'!A1" display="back to Verification Report" xr:uid="{00000000-0004-0000-1A00-000003000000}"/>
    <hyperlink ref="H3:J3" location="'Verification Report'!A1" display="back to Verification Report" xr:uid="{00000000-0004-0000-1A00-000004000000}"/>
  </hyperlinks>
  <pageMargins left="0.7" right="0.7" top="0.75" bottom="0.75" header="0.3" footer="0.3"/>
  <pageSetup scale="54" fitToHeight="0"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R35"/>
  <sheetViews>
    <sheetView showGridLines="0" zoomScaleNormal="100" workbookViewId="0">
      <selection sqref="A1:R1"/>
    </sheetView>
  </sheetViews>
  <sheetFormatPr defaultColWidth="9.1796875" defaultRowHeight="14.5" x14ac:dyDescent="0.35"/>
  <sheetData>
    <row r="1" spans="1:18" ht="19" thickTop="1" x14ac:dyDescent="0.35">
      <c r="A1" s="1100" t="s">
        <v>3231</v>
      </c>
      <c r="B1" s="1101"/>
      <c r="C1" s="1101"/>
      <c r="D1" s="1101"/>
      <c r="E1" s="1101"/>
      <c r="F1" s="1101"/>
      <c r="G1" s="1101"/>
      <c r="H1" s="1101"/>
      <c r="I1" s="1101"/>
      <c r="J1" s="1101"/>
      <c r="K1" s="1101"/>
      <c r="L1" s="1101"/>
      <c r="M1" s="1101"/>
      <c r="N1" s="1101"/>
      <c r="O1" s="1101"/>
      <c r="P1" s="1101"/>
      <c r="Q1" s="1101"/>
      <c r="R1" s="1102"/>
    </row>
    <row r="2" spans="1:18" x14ac:dyDescent="0.35">
      <c r="A2" s="1098"/>
      <c r="B2" s="1099"/>
      <c r="C2" s="1099"/>
      <c r="D2" s="1099"/>
      <c r="R2" s="95"/>
    </row>
    <row r="3" spans="1:18" x14ac:dyDescent="0.35">
      <c r="A3" s="94"/>
      <c r="B3" s="1088" t="s">
        <v>3232</v>
      </c>
      <c r="C3" s="1088"/>
      <c r="E3" s="1088" t="s">
        <v>3233</v>
      </c>
      <c r="F3" s="1088"/>
      <c r="H3" s="1085" t="s">
        <v>4568</v>
      </c>
      <c r="I3" s="1086"/>
      <c r="J3" s="1087"/>
      <c r="R3" s="95"/>
    </row>
    <row r="4" spans="1:18" x14ac:dyDescent="0.35">
      <c r="A4" s="94"/>
      <c r="R4" s="95"/>
    </row>
    <row r="5" spans="1:18" x14ac:dyDescent="0.35">
      <c r="A5" s="94"/>
      <c r="R5" s="95"/>
    </row>
    <row r="6" spans="1:18" x14ac:dyDescent="0.35">
      <c r="A6" s="94"/>
      <c r="R6" s="95"/>
    </row>
    <row r="7" spans="1:18" x14ac:dyDescent="0.35">
      <c r="A7" s="94"/>
      <c r="R7" s="95"/>
    </row>
    <row r="8" spans="1:18" x14ac:dyDescent="0.35">
      <c r="A8" s="94"/>
      <c r="R8" s="95"/>
    </row>
    <row r="9" spans="1:18" x14ac:dyDescent="0.35">
      <c r="A9" s="94"/>
      <c r="R9" s="95"/>
    </row>
    <row r="10" spans="1:18" x14ac:dyDescent="0.35">
      <c r="A10" s="94"/>
      <c r="R10" s="95"/>
    </row>
    <row r="11" spans="1:18" x14ac:dyDescent="0.35">
      <c r="A11" s="94"/>
      <c r="R11" s="95"/>
    </row>
    <row r="12" spans="1:18" x14ac:dyDescent="0.35">
      <c r="A12" s="94"/>
      <c r="R12" s="95"/>
    </row>
    <row r="13" spans="1:18" x14ac:dyDescent="0.35">
      <c r="A13" s="94"/>
      <c r="R13" s="95"/>
    </row>
    <row r="14" spans="1:18" x14ac:dyDescent="0.35">
      <c r="A14" s="94"/>
      <c r="R14" s="95"/>
    </row>
    <row r="15" spans="1:18" x14ac:dyDescent="0.35">
      <c r="A15" s="94"/>
      <c r="R15" s="95"/>
    </row>
    <row r="16" spans="1:18" x14ac:dyDescent="0.35">
      <c r="A16" s="94"/>
      <c r="R16" s="95"/>
    </row>
    <row r="17" spans="1:18" x14ac:dyDescent="0.35">
      <c r="A17" s="94"/>
      <c r="R17" s="95"/>
    </row>
    <row r="18" spans="1:18" x14ac:dyDescent="0.35">
      <c r="A18" s="94"/>
      <c r="R18" s="95"/>
    </row>
    <row r="19" spans="1:18" x14ac:dyDescent="0.35">
      <c r="A19" s="94"/>
      <c r="R19" s="95"/>
    </row>
    <row r="20" spans="1:18" x14ac:dyDescent="0.35">
      <c r="A20" s="94"/>
      <c r="R20" s="95"/>
    </row>
    <row r="21" spans="1:18" x14ac:dyDescent="0.35">
      <c r="A21" s="94"/>
      <c r="R21" s="95"/>
    </row>
    <row r="22" spans="1:18" x14ac:dyDescent="0.35">
      <c r="A22" s="94"/>
      <c r="R22" s="95"/>
    </row>
    <row r="23" spans="1:18" x14ac:dyDescent="0.35">
      <c r="A23" s="94"/>
      <c r="R23" s="95"/>
    </row>
    <row r="24" spans="1:18" x14ac:dyDescent="0.35">
      <c r="A24" s="94"/>
      <c r="R24" s="95"/>
    </row>
    <row r="25" spans="1:18" x14ac:dyDescent="0.35">
      <c r="A25" s="94"/>
      <c r="R25" s="95"/>
    </row>
    <row r="26" spans="1:18" x14ac:dyDescent="0.35">
      <c r="A26" s="94"/>
      <c r="R26" s="95"/>
    </row>
    <row r="27" spans="1:18" x14ac:dyDescent="0.35">
      <c r="A27" s="94"/>
      <c r="R27" s="95"/>
    </row>
    <row r="28" spans="1:18" x14ac:dyDescent="0.35">
      <c r="A28" s="94"/>
      <c r="R28" s="95"/>
    </row>
    <row r="29" spans="1:18" x14ac:dyDescent="0.35">
      <c r="A29" s="94"/>
      <c r="R29" s="95"/>
    </row>
    <row r="30" spans="1:18" x14ac:dyDescent="0.35">
      <c r="A30" s="94"/>
      <c r="R30" s="95"/>
    </row>
    <row r="31" spans="1:18" x14ac:dyDescent="0.35">
      <c r="A31" s="94"/>
      <c r="R31" s="95"/>
    </row>
    <row r="32" spans="1:18" x14ac:dyDescent="0.35">
      <c r="A32" s="94"/>
      <c r="R32" s="95"/>
    </row>
    <row r="33" spans="1:18" x14ac:dyDescent="0.35">
      <c r="A33" s="94"/>
      <c r="B33" s="6"/>
      <c r="C33" s="99"/>
      <c r="O33" s="6" t="s">
        <v>3229</v>
      </c>
      <c r="P33" s="210" t="s">
        <v>3230</v>
      </c>
      <c r="R33" s="95"/>
    </row>
    <row r="34" spans="1:18" ht="15" thickBot="1" x14ac:dyDescent="0.4">
      <c r="A34" s="96"/>
      <c r="B34" s="97"/>
      <c r="C34" s="97"/>
      <c r="D34" s="97"/>
      <c r="E34" s="97"/>
      <c r="F34" s="97"/>
      <c r="G34" s="97"/>
      <c r="H34" s="97"/>
      <c r="I34" s="97"/>
      <c r="J34" s="97"/>
      <c r="K34" s="97"/>
      <c r="L34" s="97"/>
      <c r="M34" s="97"/>
      <c r="N34" s="97"/>
      <c r="O34" s="97"/>
      <c r="P34" s="97"/>
      <c r="Q34" s="97"/>
      <c r="R34" s="98"/>
    </row>
    <row r="35" spans="1:18" ht="15" thickTop="1" x14ac:dyDescent="0.35"/>
  </sheetData>
  <sheetProtection algorithmName="SHA-512" hashValue="jQwwPxFVMXdJ1QLyyLick02NW2c+frw4MPyvYRX1SbSCPnb/revD61zSWMFvFEDP6gqvWP/iP2WCsLvxXrd6Fw==" saltValue="GWgusc+K6c6asx/EkFnLYg==" spinCount="100000" sheet="1" objects="1" scenarios="1" selectLockedCells="1"/>
  <mergeCells count="6">
    <mergeCell ref="A2:B2"/>
    <mergeCell ref="C2:D2"/>
    <mergeCell ref="A1:R1"/>
    <mergeCell ref="B3:C3"/>
    <mergeCell ref="E3:F3"/>
    <mergeCell ref="H3:J3"/>
  </mergeCells>
  <hyperlinks>
    <hyperlink ref="P33" r:id="rId1" xr:uid="{00000000-0004-0000-1B00-000000000000}"/>
    <hyperlink ref="B3:C3" location="hyptarg1" display="back to 602.1.5" xr:uid="{00000000-0004-0000-1B00-000001000000}"/>
    <hyperlink ref="E3:F3" location="hyptarg2" display="back to 602.1.6" xr:uid="{00000000-0004-0000-1B00-000002000000}"/>
    <hyperlink ref="H3:I3" location="'Verification Report'!A1" display="back to Verification Report" xr:uid="{00000000-0004-0000-1B00-000003000000}"/>
    <hyperlink ref="H3:J3" location="'Verification Report'!A1" display="back to Verification Report" xr:uid="{00000000-0004-0000-1B00-000004000000}"/>
  </hyperlinks>
  <pageMargins left="0.7" right="0.7" top="0.75" bottom="0.75" header="0.3" footer="0.3"/>
  <pageSetup scale="54" fitToHeight="0"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2:I6"/>
  <sheetViews>
    <sheetView showGridLines="0" zoomScaleNormal="100" workbookViewId="0"/>
  </sheetViews>
  <sheetFormatPr defaultColWidth="9.1796875" defaultRowHeight="14.5" x14ac:dyDescent="0.35"/>
  <sheetData>
    <row r="2" spans="2:9" x14ac:dyDescent="0.35">
      <c r="B2" s="1088" t="s">
        <v>3753</v>
      </c>
      <c r="C2" s="1088"/>
      <c r="F2" s="1085" t="s">
        <v>4568</v>
      </c>
      <c r="G2" s="1086"/>
      <c r="H2" s="1087"/>
    </row>
    <row r="5" spans="2:9" x14ac:dyDescent="0.35">
      <c r="D5" s="798" t="s">
        <v>3653</v>
      </c>
      <c r="E5" s="798"/>
      <c r="F5" s="798"/>
      <c r="G5" s="798"/>
      <c r="H5" s="798"/>
      <c r="I5" s="798"/>
    </row>
    <row r="6" spans="2:9" x14ac:dyDescent="0.35">
      <c r="D6" s="736" t="s">
        <v>3652</v>
      </c>
      <c r="E6" s="736"/>
      <c r="F6" s="736"/>
      <c r="G6" s="736"/>
      <c r="H6" s="736"/>
      <c r="I6" s="736"/>
    </row>
  </sheetData>
  <sheetProtection algorithmName="SHA-512" hashValue="Fx5rHL7/i5drgk4ZGLM1gzxIXN5Uw2LW7EPN1LDj8dsteJoCApE9spfGah7viqKWndEmaoFamHYqP+fNtT2Kag==" saltValue="KYosDjM1LxKWZYbSFbKkPw==" spinCount="100000" sheet="1" objects="1" scenarios="1" selectLockedCells="1"/>
  <mergeCells count="4">
    <mergeCell ref="D5:I5"/>
    <mergeCell ref="D6:I6"/>
    <mergeCell ref="B2:C2"/>
    <mergeCell ref="F2:H2"/>
  </mergeCells>
  <hyperlinks>
    <hyperlink ref="B2:C2" location="hyptarg7.1" display="back to 701.4.3.2(2)" xr:uid="{00000000-0004-0000-1C00-000000000000}"/>
    <hyperlink ref="F2:G2" location="'Verification Report'!A1" display="back to Verification Report" xr:uid="{00000000-0004-0000-1C00-000001000000}"/>
    <hyperlink ref="F2:H2" location="'Verification Report'!A1" display="back to Verification Report" xr:uid="{00000000-0004-0000-1C00-000002000000}"/>
  </hyperlinks>
  <pageMargins left="0.7" right="0.7" top="0.75" bottom="0.75" header="0.3" footer="0.3"/>
  <pageSetup scale="8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1"/>
  </sheetPr>
  <dimension ref="A1:J3146"/>
  <sheetViews>
    <sheetView topLeftCell="K1" workbookViewId="0"/>
  </sheetViews>
  <sheetFormatPr defaultRowHeight="14.5" x14ac:dyDescent="0.35"/>
  <cols>
    <col min="1" max="2" width="0" hidden="1" customWidth="1"/>
    <col min="3" max="3" width="23.26953125" hidden="1" customWidth="1"/>
    <col min="4" max="10" width="0" hidden="1" customWidth="1"/>
    <col min="13" max="13" width="18.7265625" customWidth="1"/>
    <col min="14" max="14" width="19" bestFit="1" customWidth="1"/>
  </cols>
  <sheetData>
    <row r="1" spans="1:10" x14ac:dyDescent="0.35">
      <c r="A1" t="s">
        <v>2</v>
      </c>
      <c r="B1" t="s">
        <v>3</v>
      </c>
      <c r="C1" t="s">
        <v>4</v>
      </c>
      <c r="D1" t="s">
        <v>5</v>
      </c>
      <c r="E1" t="s">
        <v>6</v>
      </c>
      <c r="F1" t="s">
        <v>7</v>
      </c>
      <c r="G1" t="s">
        <v>8</v>
      </c>
      <c r="H1" t="s">
        <v>3675</v>
      </c>
      <c r="J1" t="s">
        <v>2</v>
      </c>
    </row>
    <row r="2" spans="1:10" x14ac:dyDescent="0.35">
      <c r="A2" t="s">
        <v>12</v>
      </c>
      <c r="B2" t="s">
        <v>114</v>
      </c>
      <c r="C2" t="s">
        <v>1312</v>
      </c>
      <c r="D2">
        <v>2</v>
      </c>
      <c r="E2">
        <v>3</v>
      </c>
      <c r="F2" t="s">
        <v>7</v>
      </c>
      <c r="G2" t="s">
        <v>115</v>
      </c>
      <c r="H2" t="s">
        <v>11</v>
      </c>
      <c r="J2" t="s">
        <v>12</v>
      </c>
    </row>
    <row r="3" spans="1:10" x14ac:dyDescent="0.35">
      <c r="A3" t="s">
        <v>12</v>
      </c>
      <c r="B3" t="s">
        <v>114</v>
      </c>
      <c r="C3" t="s">
        <v>1313</v>
      </c>
      <c r="D3">
        <v>3</v>
      </c>
      <c r="E3">
        <v>2</v>
      </c>
      <c r="F3" t="s">
        <v>7</v>
      </c>
      <c r="G3" t="s">
        <v>115</v>
      </c>
      <c r="H3" t="s">
        <v>11</v>
      </c>
      <c r="J3" t="s">
        <v>9</v>
      </c>
    </row>
    <row r="4" spans="1:10" x14ac:dyDescent="0.35">
      <c r="A4" t="s">
        <v>12</v>
      </c>
      <c r="B4" t="s">
        <v>114</v>
      </c>
      <c r="C4" t="s">
        <v>1314</v>
      </c>
      <c r="D4">
        <v>2</v>
      </c>
      <c r="E4">
        <v>3</v>
      </c>
      <c r="F4" t="s">
        <v>7</v>
      </c>
      <c r="G4" t="s">
        <v>115</v>
      </c>
      <c r="H4" t="s">
        <v>11</v>
      </c>
      <c r="J4" t="s">
        <v>14</v>
      </c>
    </row>
    <row r="5" spans="1:10" x14ac:dyDescent="0.35">
      <c r="A5" t="s">
        <v>12</v>
      </c>
      <c r="B5" t="s">
        <v>114</v>
      </c>
      <c r="C5" t="s">
        <v>1315</v>
      </c>
      <c r="D5">
        <v>2</v>
      </c>
      <c r="E5">
        <v>3</v>
      </c>
      <c r="F5" t="s">
        <v>7</v>
      </c>
      <c r="G5" t="s">
        <v>11</v>
      </c>
      <c r="H5" t="s">
        <v>11</v>
      </c>
      <c r="J5" t="s">
        <v>13</v>
      </c>
    </row>
    <row r="6" spans="1:10" x14ac:dyDescent="0.35">
      <c r="A6" t="s">
        <v>12</v>
      </c>
      <c r="B6" t="s">
        <v>114</v>
      </c>
      <c r="C6" t="s">
        <v>1316</v>
      </c>
      <c r="D6">
        <v>2</v>
      </c>
      <c r="E6">
        <v>3</v>
      </c>
      <c r="F6" t="s">
        <v>7</v>
      </c>
      <c r="G6" t="s">
        <v>11</v>
      </c>
      <c r="H6" t="s">
        <v>11</v>
      </c>
      <c r="J6" t="s">
        <v>15</v>
      </c>
    </row>
    <row r="7" spans="1:10" x14ac:dyDescent="0.35">
      <c r="A7" t="s">
        <v>12</v>
      </c>
      <c r="B7" t="s">
        <v>114</v>
      </c>
      <c r="C7" t="s">
        <v>1317</v>
      </c>
      <c r="D7">
        <v>2</v>
      </c>
      <c r="E7">
        <v>3</v>
      </c>
      <c r="F7" t="s">
        <v>7</v>
      </c>
      <c r="G7" t="s">
        <v>115</v>
      </c>
      <c r="H7" t="s">
        <v>11</v>
      </c>
      <c r="J7" t="s">
        <v>16</v>
      </c>
    </row>
    <row r="8" spans="1:10" x14ac:dyDescent="0.35">
      <c r="A8" t="s">
        <v>12</v>
      </c>
      <c r="B8" t="s">
        <v>114</v>
      </c>
      <c r="C8" t="s">
        <v>1318</v>
      </c>
      <c r="D8">
        <v>3</v>
      </c>
      <c r="E8">
        <v>3</v>
      </c>
      <c r="F8" t="s">
        <v>7</v>
      </c>
      <c r="G8" t="s">
        <v>115</v>
      </c>
      <c r="H8" t="s">
        <v>11</v>
      </c>
      <c r="J8" t="s">
        <v>17</v>
      </c>
    </row>
    <row r="9" spans="1:10" x14ac:dyDescent="0.35">
      <c r="A9" t="s">
        <v>12</v>
      </c>
      <c r="B9" t="s">
        <v>114</v>
      </c>
      <c r="C9" t="s">
        <v>1319</v>
      </c>
      <c r="D9">
        <v>1</v>
      </c>
      <c r="E9">
        <v>3</v>
      </c>
      <c r="F9" t="s">
        <v>7</v>
      </c>
      <c r="G9" t="s">
        <v>11</v>
      </c>
      <c r="H9" t="s">
        <v>11</v>
      </c>
      <c r="J9" t="s">
        <v>19</v>
      </c>
    </row>
    <row r="10" spans="1:10" x14ac:dyDescent="0.35">
      <c r="A10" t="s">
        <v>12</v>
      </c>
      <c r="B10" t="s">
        <v>114</v>
      </c>
      <c r="C10" t="s">
        <v>1320</v>
      </c>
      <c r="D10">
        <v>3</v>
      </c>
      <c r="E10">
        <v>3</v>
      </c>
      <c r="F10" t="s">
        <v>7</v>
      </c>
      <c r="G10" t="s">
        <v>11</v>
      </c>
      <c r="H10" t="s">
        <v>11</v>
      </c>
      <c r="J10" t="s">
        <v>18</v>
      </c>
    </row>
    <row r="11" spans="1:10" x14ac:dyDescent="0.35">
      <c r="A11" t="s">
        <v>12</v>
      </c>
      <c r="B11" t="s">
        <v>114</v>
      </c>
      <c r="C11" t="s">
        <v>1321</v>
      </c>
      <c r="D11">
        <v>2</v>
      </c>
      <c r="E11">
        <v>3</v>
      </c>
      <c r="F11" t="s">
        <v>7</v>
      </c>
      <c r="G11" t="s">
        <v>11</v>
      </c>
      <c r="H11" t="s">
        <v>11</v>
      </c>
      <c r="J11" t="s">
        <v>20</v>
      </c>
    </row>
    <row r="12" spans="1:10" x14ac:dyDescent="0.35">
      <c r="A12" t="s">
        <v>12</v>
      </c>
      <c r="B12" t="s">
        <v>114</v>
      </c>
      <c r="C12" t="s">
        <v>1322</v>
      </c>
      <c r="D12">
        <v>2</v>
      </c>
      <c r="E12">
        <v>3</v>
      </c>
      <c r="F12" t="s">
        <v>7</v>
      </c>
      <c r="G12" t="s">
        <v>11</v>
      </c>
      <c r="H12" t="s">
        <v>11</v>
      </c>
      <c r="J12" t="s">
        <v>21</v>
      </c>
    </row>
    <row r="13" spans="1:10" x14ac:dyDescent="0.35">
      <c r="A13" t="s">
        <v>12</v>
      </c>
      <c r="B13" t="s">
        <v>114</v>
      </c>
      <c r="C13" t="s">
        <v>1323</v>
      </c>
      <c r="D13">
        <v>3</v>
      </c>
      <c r="E13">
        <v>3</v>
      </c>
      <c r="F13" t="s">
        <v>7</v>
      </c>
      <c r="G13" t="s">
        <v>115</v>
      </c>
      <c r="H13" t="s">
        <v>11</v>
      </c>
      <c r="J13" t="s">
        <v>22</v>
      </c>
    </row>
    <row r="14" spans="1:10" x14ac:dyDescent="0.35">
      <c r="A14" t="s">
        <v>12</v>
      </c>
      <c r="B14" t="s">
        <v>114</v>
      </c>
      <c r="C14" t="s">
        <v>1324</v>
      </c>
      <c r="D14">
        <v>3</v>
      </c>
      <c r="E14">
        <v>3</v>
      </c>
      <c r="F14" t="s">
        <v>7</v>
      </c>
      <c r="G14" t="s">
        <v>115</v>
      </c>
      <c r="H14" t="s">
        <v>11</v>
      </c>
      <c r="J14" t="s">
        <v>24</v>
      </c>
    </row>
    <row r="15" spans="1:10" x14ac:dyDescent="0.35">
      <c r="A15" t="s">
        <v>12</v>
      </c>
      <c r="B15" t="s">
        <v>114</v>
      </c>
      <c r="C15" t="s">
        <v>1325</v>
      </c>
      <c r="D15">
        <v>1</v>
      </c>
      <c r="E15">
        <v>3</v>
      </c>
      <c r="F15" t="s">
        <v>7</v>
      </c>
      <c r="G15" t="s">
        <v>11</v>
      </c>
      <c r="H15" t="s">
        <v>11</v>
      </c>
      <c r="J15" t="s">
        <v>25</v>
      </c>
    </row>
    <row r="16" spans="1:10" x14ac:dyDescent="0.35">
      <c r="A16" t="s">
        <v>12</v>
      </c>
      <c r="B16" t="s">
        <v>114</v>
      </c>
      <c r="C16" t="s">
        <v>1326</v>
      </c>
      <c r="D16">
        <v>1</v>
      </c>
      <c r="E16">
        <v>3</v>
      </c>
      <c r="F16" t="s">
        <v>7</v>
      </c>
      <c r="G16" t="s">
        <v>11</v>
      </c>
      <c r="H16" t="s">
        <v>11</v>
      </c>
      <c r="J16" t="s">
        <v>26</v>
      </c>
    </row>
    <row r="17" spans="1:10" x14ac:dyDescent="0.35">
      <c r="A17" t="s">
        <v>12</v>
      </c>
      <c r="B17" t="s">
        <v>114</v>
      </c>
      <c r="C17" t="s">
        <v>1327</v>
      </c>
      <c r="D17">
        <v>3</v>
      </c>
      <c r="E17">
        <v>3</v>
      </c>
      <c r="F17" t="s">
        <v>7</v>
      </c>
      <c r="G17" t="s">
        <v>115</v>
      </c>
      <c r="H17" t="s">
        <v>11</v>
      </c>
      <c r="J17" t="s">
        <v>23</v>
      </c>
    </row>
    <row r="18" spans="1:10" x14ac:dyDescent="0.35">
      <c r="A18" t="s">
        <v>12</v>
      </c>
      <c r="B18" t="s">
        <v>114</v>
      </c>
      <c r="C18" t="s">
        <v>1328</v>
      </c>
      <c r="D18">
        <v>1</v>
      </c>
      <c r="E18">
        <v>3</v>
      </c>
      <c r="F18" t="s">
        <v>7</v>
      </c>
      <c r="G18" t="s">
        <v>11</v>
      </c>
      <c r="H18" t="s">
        <v>11</v>
      </c>
      <c r="J18" t="s">
        <v>27</v>
      </c>
    </row>
    <row r="19" spans="1:10" x14ac:dyDescent="0.35">
      <c r="A19" t="s">
        <v>12</v>
      </c>
      <c r="B19" t="s">
        <v>114</v>
      </c>
      <c r="C19" t="s">
        <v>1329</v>
      </c>
      <c r="D19">
        <v>3</v>
      </c>
      <c r="E19">
        <v>3</v>
      </c>
      <c r="F19" t="s">
        <v>7</v>
      </c>
      <c r="G19" t="s">
        <v>115</v>
      </c>
      <c r="H19" t="s">
        <v>11</v>
      </c>
      <c r="J19" t="s">
        <v>28</v>
      </c>
    </row>
    <row r="20" spans="1:10" x14ac:dyDescent="0.35">
      <c r="A20" t="s">
        <v>12</v>
      </c>
      <c r="B20" t="s">
        <v>114</v>
      </c>
      <c r="C20" t="s">
        <v>1330</v>
      </c>
      <c r="D20">
        <v>1</v>
      </c>
      <c r="E20">
        <v>3</v>
      </c>
      <c r="F20" t="s">
        <v>7</v>
      </c>
      <c r="G20" t="s">
        <v>11</v>
      </c>
      <c r="H20" t="s">
        <v>11</v>
      </c>
      <c r="J20" t="s">
        <v>29</v>
      </c>
    </row>
    <row r="21" spans="1:10" x14ac:dyDescent="0.35">
      <c r="A21" t="s">
        <v>12</v>
      </c>
      <c r="B21" t="s">
        <v>114</v>
      </c>
      <c r="C21" t="s">
        <v>1331</v>
      </c>
      <c r="D21">
        <v>3</v>
      </c>
      <c r="E21">
        <v>3</v>
      </c>
      <c r="F21" t="s">
        <v>7</v>
      </c>
      <c r="G21" t="s">
        <v>115</v>
      </c>
      <c r="H21" t="s">
        <v>11</v>
      </c>
      <c r="J21" t="s">
        <v>32</v>
      </c>
    </row>
    <row r="22" spans="1:10" x14ac:dyDescent="0.35">
      <c r="A22" t="s">
        <v>12</v>
      </c>
      <c r="B22" t="s">
        <v>114</v>
      </c>
      <c r="C22" t="s">
        <v>1332</v>
      </c>
      <c r="D22">
        <v>3</v>
      </c>
      <c r="E22">
        <v>3</v>
      </c>
      <c r="F22" t="s">
        <v>7</v>
      </c>
      <c r="G22" t="s">
        <v>115</v>
      </c>
      <c r="H22" t="s">
        <v>11</v>
      </c>
      <c r="J22" t="s">
        <v>31</v>
      </c>
    </row>
    <row r="23" spans="1:10" x14ac:dyDescent="0.35">
      <c r="A23" t="s">
        <v>12</v>
      </c>
      <c r="B23" t="s">
        <v>114</v>
      </c>
      <c r="C23" t="s">
        <v>1333</v>
      </c>
      <c r="D23">
        <v>2</v>
      </c>
      <c r="E23">
        <v>3</v>
      </c>
      <c r="F23" t="s">
        <v>7</v>
      </c>
      <c r="G23" t="s">
        <v>11</v>
      </c>
      <c r="H23" t="s">
        <v>11</v>
      </c>
      <c r="J23" t="s">
        <v>30</v>
      </c>
    </row>
    <row r="24" spans="1:10" x14ac:dyDescent="0.35">
      <c r="A24" t="s">
        <v>12</v>
      </c>
      <c r="B24" t="s">
        <v>114</v>
      </c>
      <c r="C24" t="s">
        <v>1334</v>
      </c>
      <c r="D24">
        <v>3</v>
      </c>
      <c r="E24">
        <v>3</v>
      </c>
      <c r="F24" t="s">
        <v>7</v>
      </c>
      <c r="G24" t="s">
        <v>115</v>
      </c>
      <c r="H24" t="s">
        <v>11</v>
      </c>
      <c r="J24" t="s">
        <v>33</v>
      </c>
    </row>
    <row r="25" spans="1:10" x14ac:dyDescent="0.35">
      <c r="A25" t="s">
        <v>12</v>
      </c>
      <c r="B25" t="s">
        <v>114</v>
      </c>
      <c r="C25" t="s">
        <v>1335</v>
      </c>
      <c r="D25">
        <v>2</v>
      </c>
      <c r="E25">
        <v>3</v>
      </c>
      <c r="F25" t="s">
        <v>7</v>
      </c>
      <c r="G25" t="s">
        <v>115</v>
      </c>
      <c r="H25" t="s">
        <v>11</v>
      </c>
      <c r="J25" t="s">
        <v>34</v>
      </c>
    </row>
    <row r="26" spans="1:10" x14ac:dyDescent="0.35">
      <c r="A26" t="s">
        <v>12</v>
      </c>
      <c r="B26" t="s">
        <v>114</v>
      </c>
      <c r="C26" t="s">
        <v>1336</v>
      </c>
      <c r="D26">
        <v>2</v>
      </c>
      <c r="E26">
        <v>3</v>
      </c>
      <c r="F26" t="s">
        <v>7</v>
      </c>
      <c r="G26" t="s">
        <v>11</v>
      </c>
      <c r="H26" t="s">
        <v>11</v>
      </c>
      <c r="J26" t="s">
        <v>36</v>
      </c>
    </row>
    <row r="27" spans="1:10" x14ac:dyDescent="0.35">
      <c r="A27" t="s">
        <v>12</v>
      </c>
      <c r="B27" t="s">
        <v>114</v>
      </c>
      <c r="C27" t="s">
        <v>1337</v>
      </c>
      <c r="D27">
        <v>2</v>
      </c>
      <c r="E27">
        <v>3</v>
      </c>
      <c r="F27" t="s">
        <v>7</v>
      </c>
      <c r="G27" t="s">
        <v>115</v>
      </c>
      <c r="H27" t="s">
        <v>11</v>
      </c>
      <c r="J27" t="s">
        <v>35</v>
      </c>
    </row>
    <row r="28" spans="1:10" x14ac:dyDescent="0.35">
      <c r="A28" t="s">
        <v>12</v>
      </c>
      <c r="B28" t="s">
        <v>114</v>
      </c>
      <c r="C28" t="s">
        <v>1338</v>
      </c>
      <c r="D28">
        <v>3</v>
      </c>
      <c r="E28">
        <v>3</v>
      </c>
      <c r="F28" t="s">
        <v>7</v>
      </c>
      <c r="G28" t="s">
        <v>115</v>
      </c>
      <c r="H28" t="s">
        <v>11</v>
      </c>
      <c r="J28" t="s">
        <v>37</v>
      </c>
    </row>
    <row r="29" spans="1:10" x14ac:dyDescent="0.35">
      <c r="A29" t="s">
        <v>12</v>
      </c>
      <c r="B29" t="s">
        <v>114</v>
      </c>
      <c r="C29" t="s">
        <v>1339</v>
      </c>
      <c r="D29">
        <v>2</v>
      </c>
      <c r="E29">
        <v>3</v>
      </c>
      <c r="F29" t="s">
        <v>7</v>
      </c>
      <c r="G29" t="s">
        <v>11</v>
      </c>
      <c r="H29" t="s">
        <v>11</v>
      </c>
      <c r="J29" t="s">
        <v>41</v>
      </c>
    </row>
    <row r="30" spans="1:10" x14ac:dyDescent="0.35">
      <c r="A30" t="s">
        <v>12</v>
      </c>
      <c r="B30" t="s">
        <v>114</v>
      </c>
      <c r="C30" t="s">
        <v>1340</v>
      </c>
      <c r="D30">
        <v>2</v>
      </c>
      <c r="E30">
        <v>3</v>
      </c>
      <c r="F30" t="s">
        <v>7</v>
      </c>
      <c r="G30" t="s">
        <v>11</v>
      </c>
      <c r="H30" t="s">
        <v>11</v>
      </c>
      <c r="J30" t="s">
        <v>45</v>
      </c>
    </row>
    <row r="31" spans="1:10" x14ac:dyDescent="0.35">
      <c r="A31" t="s">
        <v>12</v>
      </c>
      <c r="B31" t="s">
        <v>114</v>
      </c>
      <c r="C31" t="s">
        <v>1341</v>
      </c>
      <c r="D31">
        <v>1</v>
      </c>
      <c r="E31">
        <v>3</v>
      </c>
      <c r="F31" t="s">
        <v>7</v>
      </c>
      <c r="G31" t="s">
        <v>11</v>
      </c>
      <c r="H31" t="s">
        <v>11</v>
      </c>
      <c r="J31" t="s">
        <v>42</v>
      </c>
    </row>
    <row r="32" spans="1:10" x14ac:dyDescent="0.35">
      <c r="A32" t="s">
        <v>12</v>
      </c>
      <c r="B32" t="s">
        <v>114</v>
      </c>
      <c r="C32" t="s">
        <v>1342</v>
      </c>
      <c r="D32">
        <v>3</v>
      </c>
      <c r="E32">
        <v>3</v>
      </c>
      <c r="F32" t="s">
        <v>7</v>
      </c>
      <c r="G32" t="s">
        <v>115</v>
      </c>
      <c r="H32" t="s">
        <v>11</v>
      </c>
      <c r="J32" t="s">
        <v>43</v>
      </c>
    </row>
    <row r="33" spans="1:10" x14ac:dyDescent="0.35">
      <c r="A33" t="s">
        <v>12</v>
      </c>
      <c r="B33" t="s">
        <v>114</v>
      </c>
      <c r="C33" t="s">
        <v>1343</v>
      </c>
      <c r="D33">
        <v>2</v>
      </c>
      <c r="E33">
        <v>3</v>
      </c>
      <c r="F33" t="s">
        <v>7</v>
      </c>
      <c r="G33" t="s">
        <v>11</v>
      </c>
      <c r="H33" t="s">
        <v>11</v>
      </c>
      <c r="J33" t="s">
        <v>44</v>
      </c>
    </row>
    <row r="34" spans="1:10" x14ac:dyDescent="0.35">
      <c r="A34" t="s">
        <v>12</v>
      </c>
      <c r="B34" t="s">
        <v>114</v>
      </c>
      <c r="C34" t="s">
        <v>1344</v>
      </c>
      <c r="D34">
        <v>2</v>
      </c>
      <c r="E34">
        <v>3</v>
      </c>
      <c r="F34" t="s">
        <v>7</v>
      </c>
      <c r="G34" t="s">
        <v>11</v>
      </c>
      <c r="H34" t="s">
        <v>11</v>
      </c>
      <c r="J34" t="s">
        <v>46</v>
      </c>
    </row>
    <row r="35" spans="1:10" x14ac:dyDescent="0.35">
      <c r="A35" t="s">
        <v>12</v>
      </c>
      <c r="B35" t="s">
        <v>114</v>
      </c>
      <c r="C35" t="s">
        <v>1345</v>
      </c>
      <c r="D35">
        <v>3</v>
      </c>
      <c r="E35">
        <v>3</v>
      </c>
      <c r="F35" t="s">
        <v>7</v>
      </c>
      <c r="G35" t="s">
        <v>115</v>
      </c>
      <c r="H35" t="s">
        <v>11</v>
      </c>
      <c r="J35" t="s">
        <v>38</v>
      </c>
    </row>
    <row r="36" spans="1:10" x14ac:dyDescent="0.35">
      <c r="A36" t="s">
        <v>12</v>
      </c>
      <c r="B36" t="s">
        <v>114</v>
      </c>
      <c r="C36" t="s">
        <v>1346</v>
      </c>
      <c r="D36">
        <v>3</v>
      </c>
      <c r="E36">
        <v>3</v>
      </c>
      <c r="F36" t="s">
        <v>7</v>
      </c>
      <c r="G36" t="s">
        <v>115</v>
      </c>
      <c r="H36" t="s">
        <v>11</v>
      </c>
      <c r="J36" t="s">
        <v>39</v>
      </c>
    </row>
    <row r="37" spans="1:10" x14ac:dyDescent="0.35">
      <c r="A37" t="s">
        <v>12</v>
      </c>
      <c r="B37" t="s">
        <v>114</v>
      </c>
      <c r="C37" t="s">
        <v>1347</v>
      </c>
      <c r="D37">
        <v>1</v>
      </c>
      <c r="E37">
        <v>3</v>
      </c>
      <c r="F37" t="s">
        <v>7</v>
      </c>
      <c r="G37" t="s">
        <v>11</v>
      </c>
      <c r="H37" t="s">
        <v>11</v>
      </c>
      <c r="J37" t="s">
        <v>47</v>
      </c>
    </row>
    <row r="38" spans="1:10" x14ac:dyDescent="0.35">
      <c r="A38" t="s">
        <v>12</v>
      </c>
      <c r="B38" t="s">
        <v>114</v>
      </c>
      <c r="C38" t="s">
        <v>1348</v>
      </c>
      <c r="D38">
        <v>2</v>
      </c>
      <c r="E38">
        <v>3</v>
      </c>
      <c r="F38" t="s">
        <v>7</v>
      </c>
      <c r="G38" t="s">
        <v>11</v>
      </c>
      <c r="H38" t="s">
        <v>11</v>
      </c>
      <c r="J38" t="s">
        <v>48</v>
      </c>
    </row>
    <row r="39" spans="1:10" x14ac:dyDescent="0.35">
      <c r="A39" t="s">
        <v>12</v>
      </c>
      <c r="B39" t="s">
        <v>114</v>
      </c>
      <c r="C39" t="s">
        <v>1349</v>
      </c>
      <c r="D39">
        <v>2</v>
      </c>
      <c r="E39">
        <v>3</v>
      </c>
      <c r="F39" t="s">
        <v>7</v>
      </c>
      <c r="G39" t="s">
        <v>11</v>
      </c>
      <c r="H39" t="s">
        <v>11</v>
      </c>
      <c r="J39" t="s">
        <v>49</v>
      </c>
    </row>
    <row r="40" spans="1:10" x14ac:dyDescent="0.35">
      <c r="A40" t="s">
        <v>12</v>
      </c>
      <c r="B40" t="s">
        <v>114</v>
      </c>
      <c r="C40" t="s">
        <v>1350</v>
      </c>
      <c r="D40">
        <v>1</v>
      </c>
      <c r="E40">
        <v>3</v>
      </c>
      <c r="F40" t="s">
        <v>7</v>
      </c>
      <c r="G40" t="s">
        <v>11</v>
      </c>
      <c r="H40" t="s">
        <v>11</v>
      </c>
      <c r="J40" t="s">
        <v>50</v>
      </c>
    </row>
    <row r="41" spans="1:10" x14ac:dyDescent="0.35">
      <c r="A41" t="s">
        <v>12</v>
      </c>
      <c r="B41" t="s">
        <v>114</v>
      </c>
      <c r="C41" t="s">
        <v>1351</v>
      </c>
      <c r="D41">
        <v>1</v>
      </c>
      <c r="E41">
        <v>3</v>
      </c>
      <c r="F41" t="s">
        <v>7</v>
      </c>
      <c r="G41" t="s">
        <v>11</v>
      </c>
      <c r="H41" t="s">
        <v>11</v>
      </c>
      <c r="J41" t="s">
        <v>51</v>
      </c>
    </row>
    <row r="42" spans="1:10" x14ac:dyDescent="0.35">
      <c r="A42" t="s">
        <v>12</v>
      </c>
      <c r="B42" t="s">
        <v>114</v>
      </c>
      <c r="C42" t="s">
        <v>1352</v>
      </c>
      <c r="D42">
        <v>2</v>
      </c>
      <c r="E42">
        <v>3</v>
      </c>
      <c r="F42" t="s">
        <v>7</v>
      </c>
      <c r="G42" t="s">
        <v>11</v>
      </c>
      <c r="H42" t="s">
        <v>11</v>
      </c>
      <c r="J42" t="s">
        <v>52</v>
      </c>
    </row>
    <row r="43" spans="1:10" x14ac:dyDescent="0.35">
      <c r="A43" t="s">
        <v>12</v>
      </c>
      <c r="B43" t="s">
        <v>114</v>
      </c>
      <c r="C43" t="s">
        <v>1353</v>
      </c>
      <c r="D43">
        <v>1</v>
      </c>
      <c r="E43">
        <v>3</v>
      </c>
      <c r="F43" t="s">
        <v>7</v>
      </c>
      <c r="G43" t="s">
        <v>11</v>
      </c>
      <c r="H43" t="s">
        <v>11</v>
      </c>
      <c r="J43" t="s">
        <v>53</v>
      </c>
    </row>
    <row r="44" spans="1:10" x14ac:dyDescent="0.35">
      <c r="A44" t="s">
        <v>12</v>
      </c>
      <c r="B44" t="s">
        <v>114</v>
      </c>
      <c r="C44" t="s">
        <v>1354</v>
      </c>
      <c r="D44">
        <v>2</v>
      </c>
      <c r="E44">
        <v>3</v>
      </c>
      <c r="F44" t="s">
        <v>7</v>
      </c>
      <c r="G44" t="s">
        <v>115</v>
      </c>
      <c r="H44" t="s">
        <v>11</v>
      </c>
      <c r="J44" t="s">
        <v>55</v>
      </c>
    </row>
    <row r="45" spans="1:10" x14ac:dyDescent="0.35">
      <c r="A45" t="s">
        <v>12</v>
      </c>
      <c r="B45" t="s">
        <v>114</v>
      </c>
      <c r="C45" t="s">
        <v>1355</v>
      </c>
      <c r="D45">
        <v>2</v>
      </c>
      <c r="E45">
        <v>3</v>
      </c>
      <c r="F45" t="s">
        <v>7</v>
      </c>
      <c r="G45" t="s">
        <v>115</v>
      </c>
      <c r="H45" t="s">
        <v>11</v>
      </c>
      <c r="J45" t="s">
        <v>57</v>
      </c>
    </row>
    <row r="46" spans="1:10" x14ac:dyDescent="0.35">
      <c r="A46" t="s">
        <v>12</v>
      </c>
      <c r="B46" t="s">
        <v>114</v>
      </c>
      <c r="C46" t="s">
        <v>1356</v>
      </c>
      <c r="D46">
        <v>1</v>
      </c>
      <c r="E46">
        <v>3</v>
      </c>
      <c r="F46" t="s">
        <v>7</v>
      </c>
      <c r="G46" t="s">
        <v>11</v>
      </c>
      <c r="H46" t="s">
        <v>11</v>
      </c>
      <c r="J46" t="s">
        <v>58</v>
      </c>
    </row>
    <row r="47" spans="1:10" x14ac:dyDescent="0.35">
      <c r="A47" t="s">
        <v>12</v>
      </c>
      <c r="B47" t="s">
        <v>114</v>
      </c>
      <c r="C47" t="s">
        <v>1357</v>
      </c>
      <c r="D47">
        <v>3</v>
      </c>
      <c r="E47">
        <v>3</v>
      </c>
      <c r="F47" t="s">
        <v>7</v>
      </c>
      <c r="G47" t="s">
        <v>115</v>
      </c>
      <c r="H47" t="s">
        <v>11</v>
      </c>
      <c r="J47" t="s">
        <v>60</v>
      </c>
    </row>
    <row r="48" spans="1:10" x14ac:dyDescent="0.35">
      <c r="A48" t="s">
        <v>12</v>
      </c>
      <c r="B48" t="s">
        <v>114</v>
      </c>
      <c r="C48" t="s">
        <v>1358</v>
      </c>
      <c r="D48">
        <v>2</v>
      </c>
      <c r="E48">
        <v>3</v>
      </c>
      <c r="F48" t="s">
        <v>7</v>
      </c>
      <c r="G48" t="s">
        <v>11</v>
      </c>
      <c r="H48" t="s">
        <v>11</v>
      </c>
      <c r="J48" t="s">
        <v>59</v>
      </c>
    </row>
    <row r="49" spans="1:10" x14ac:dyDescent="0.35">
      <c r="A49" t="s">
        <v>12</v>
      </c>
      <c r="B49" t="s">
        <v>114</v>
      </c>
      <c r="C49" t="s">
        <v>1359</v>
      </c>
      <c r="D49">
        <v>2</v>
      </c>
      <c r="E49">
        <v>3</v>
      </c>
      <c r="F49" t="s">
        <v>7</v>
      </c>
      <c r="G49" t="s">
        <v>11</v>
      </c>
      <c r="H49" t="s">
        <v>11</v>
      </c>
      <c r="J49" t="s">
        <v>61</v>
      </c>
    </row>
    <row r="50" spans="1:10" x14ac:dyDescent="0.35">
      <c r="A50" t="s">
        <v>12</v>
      </c>
      <c r="B50" t="s">
        <v>114</v>
      </c>
      <c r="C50" t="s">
        <v>1360</v>
      </c>
      <c r="D50">
        <v>3</v>
      </c>
      <c r="E50">
        <v>2</v>
      </c>
      <c r="F50" t="s">
        <v>7</v>
      </c>
      <c r="G50" t="s">
        <v>115</v>
      </c>
      <c r="H50" t="s">
        <v>11</v>
      </c>
      <c r="J50" t="s">
        <v>63</v>
      </c>
    </row>
    <row r="51" spans="1:10" x14ac:dyDescent="0.35">
      <c r="A51" t="s">
        <v>12</v>
      </c>
      <c r="B51" t="s">
        <v>114</v>
      </c>
      <c r="C51" t="s">
        <v>1361</v>
      </c>
      <c r="D51">
        <v>3</v>
      </c>
      <c r="E51">
        <v>3</v>
      </c>
      <c r="F51" t="s">
        <v>7</v>
      </c>
      <c r="G51" t="s">
        <v>115</v>
      </c>
      <c r="H51" t="s">
        <v>11</v>
      </c>
      <c r="J51" t="s">
        <v>62</v>
      </c>
    </row>
    <row r="52" spans="1:10" x14ac:dyDescent="0.35">
      <c r="A52" t="s">
        <v>12</v>
      </c>
      <c r="B52" t="s">
        <v>114</v>
      </c>
      <c r="C52" t="s">
        <v>1362</v>
      </c>
      <c r="D52">
        <v>2</v>
      </c>
      <c r="E52">
        <v>3</v>
      </c>
      <c r="F52" t="s">
        <v>7</v>
      </c>
      <c r="G52" t="s">
        <v>115</v>
      </c>
      <c r="H52" t="s">
        <v>11</v>
      </c>
      <c r="J52" t="s">
        <v>64</v>
      </c>
    </row>
    <row r="53" spans="1:10" x14ac:dyDescent="0.35">
      <c r="A53" t="s">
        <v>12</v>
      </c>
      <c r="B53" t="s">
        <v>114</v>
      </c>
      <c r="C53" t="s">
        <v>1363</v>
      </c>
      <c r="D53">
        <v>1</v>
      </c>
      <c r="E53">
        <v>3</v>
      </c>
      <c r="F53" t="s">
        <v>7</v>
      </c>
      <c r="G53" t="s">
        <v>11</v>
      </c>
      <c r="H53" t="s">
        <v>11</v>
      </c>
      <c r="J53" t="s">
        <v>65</v>
      </c>
    </row>
    <row r="54" spans="1:10" x14ac:dyDescent="0.35">
      <c r="A54" t="s">
        <v>12</v>
      </c>
      <c r="B54" t="s">
        <v>114</v>
      </c>
      <c r="C54" t="s">
        <v>1364</v>
      </c>
      <c r="D54">
        <v>2</v>
      </c>
      <c r="E54">
        <v>3</v>
      </c>
      <c r="F54" t="s">
        <v>7</v>
      </c>
      <c r="G54" t="s">
        <v>115</v>
      </c>
      <c r="H54" t="s">
        <v>11</v>
      </c>
      <c r="J54" t="s">
        <v>66</v>
      </c>
    </row>
    <row r="55" spans="1:10" x14ac:dyDescent="0.35">
      <c r="A55" t="s">
        <v>12</v>
      </c>
      <c r="B55" t="s">
        <v>114</v>
      </c>
      <c r="C55" t="s">
        <v>1365</v>
      </c>
      <c r="D55">
        <v>2</v>
      </c>
      <c r="E55">
        <v>3</v>
      </c>
      <c r="F55" t="s">
        <v>7</v>
      </c>
      <c r="G55" t="s">
        <v>11</v>
      </c>
      <c r="H55" t="s">
        <v>11</v>
      </c>
      <c r="J55" t="s">
        <v>68</v>
      </c>
    </row>
    <row r="56" spans="1:10" x14ac:dyDescent="0.35">
      <c r="A56" t="s">
        <v>12</v>
      </c>
      <c r="B56" t="s">
        <v>114</v>
      </c>
      <c r="C56" t="s">
        <v>1366</v>
      </c>
      <c r="D56">
        <v>3</v>
      </c>
      <c r="E56">
        <v>3</v>
      </c>
      <c r="F56" t="s">
        <v>7</v>
      </c>
      <c r="G56" t="s">
        <v>115</v>
      </c>
      <c r="H56" t="s">
        <v>11</v>
      </c>
      <c r="J56" t="s">
        <v>69</v>
      </c>
    </row>
    <row r="57" spans="1:10" x14ac:dyDescent="0.35">
      <c r="A57" t="s">
        <v>12</v>
      </c>
      <c r="B57" t="s">
        <v>114</v>
      </c>
      <c r="C57" t="s">
        <v>1367</v>
      </c>
      <c r="D57">
        <v>2</v>
      </c>
      <c r="E57">
        <v>3</v>
      </c>
      <c r="F57" t="s">
        <v>7</v>
      </c>
      <c r="G57" t="s">
        <v>11</v>
      </c>
      <c r="H57" t="s">
        <v>11</v>
      </c>
      <c r="J57" t="s">
        <v>70</v>
      </c>
    </row>
    <row r="58" spans="1:10" x14ac:dyDescent="0.35">
      <c r="A58" t="s">
        <v>12</v>
      </c>
      <c r="B58" t="s">
        <v>114</v>
      </c>
      <c r="C58" t="s">
        <v>1368</v>
      </c>
      <c r="D58">
        <v>2</v>
      </c>
      <c r="E58">
        <v>3</v>
      </c>
      <c r="F58" t="s">
        <v>7</v>
      </c>
      <c r="G58" t="s">
        <v>115</v>
      </c>
      <c r="H58" t="s">
        <v>11</v>
      </c>
    </row>
    <row r="59" spans="1:10" x14ac:dyDescent="0.35">
      <c r="A59" t="s">
        <v>12</v>
      </c>
      <c r="B59" t="s">
        <v>114</v>
      </c>
      <c r="C59" t="s">
        <v>1369</v>
      </c>
      <c r="D59">
        <v>2</v>
      </c>
      <c r="E59">
        <v>3</v>
      </c>
      <c r="F59" t="s">
        <v>7</v>
      </c>
      <c r="G59" t="s">
        <v>11</v>
      </c>
      <c r="H59" t="s">
        <v>11</v>
      </c>
    </row>
    <row r="60" spans="1:10" x14ac:dyDescent="0.35">
      <c r="A60" t="s">
        <v>12</v>
      </c>
      <c r="B60" t="s">
        <v>114</v>
      </c>
      <c r="C60" t="s">
        <v>1370</v>
      </c>
      <c r="D60">
        <v>2</v>
      </c>
      <c r="E60">
        <v>3</v>
      </c>
      <c r="F60" t="s">
        <v>7</v>
      </c>
      <c r="G60" t="s">
        <v>11</v>
      </c>
      <c r="H60" t="s">
        <v>11</v>
      </c>
    </row>
    <row r="61" spans="1:10" x14ac:dyDescent="0.35">
      <c r="A61" t="s">
        <v>12</v>
      </c>
      <c r="B61" t="s">
        <v>114</v>
      </c>
      <c r="C61" t="s">
        <v>1371</v>
      </c>
      <c r="D61">
        <v>2</v>
      </c>
      <c r="E61">
        <v>3</v>
      </c>
      <c r="F61" t="s">
        <v>7</v>
      </c>
      <c r="G61" t="s">
        <v>11</v>
      </c>
      <c r="H61" t="s">
        <v>11</v>
      </c>
    </row>
    <row r="62" spans="1:10" x14ac:dyDescent="0.35">
      <c r="A62" t="s">
        <v>12</v>
      </c>
      <c r="B62" t="s">
        <v>114</v>
      </c>
      <c r="C62" t="s">
        <v>1372</v>
      </c>
      <c r="D62">
        <v>1</v>
      </c>
      <c r="E62">
        <v>3</v>
      </c>
      <c r="F62" t="s">
        <v>7</v>
      </c>
      <c r="G62" t="s">
        <v>11</v>
      </c>
      <c r="H62" t="s">
        <v>11</v>
      </c>
    </row>
    <row r="63" spans="1:10" x14ac:dyDescent="0.35">
      <c r="A63" t="s">
        <v>12</v>
      </c>
      <c r="B63" t="s">
        <v>114</v>
      </c>
      <c r="C63" t="s">
        <v>1373</v>
      </c>
      <c r="D63">
        <v>3</v>
      </c>
      <c r="E63">
        <v>3</v>
      </c>
      <c r="F63" t="s">
        <v>7</v>
      </c>
      <c r="G63" t="s">
        <v>11</v>
      </c>
      <c r="H63" t="s">
        <v>11</v>
      </c>
    </row>
    <row r="64" spans="1:10" x14ac:dyDescent="0.35">
      <c r="A64" t="s">
        <v>12</v>
      </c>
      <c r="B64" t="s">
        <v>114</v>
      </c>
      <c r="C64" t="s">
        <v>1374</v>
      </c>
      <c r="D64">
        <v>2</v>
      </c>
      <c r="E64">
        <v>3</v>
      </c>
      <c r="F64" t="s">
        <v>7</v>
      </c>
      <c r="G64" t="s">
        <v>11</v>
      </c>
      <c r="H64" t="s">
        <v>11</v>
      </c>
    </row>
    <row r="65" spans="1:8" x14ac:dyDescent="0.35">
      <c r="A65" t="s">
        <v>12</v>
      </c>
      <c r="B65" t="s">
        <v>114</v>
      </c>
      <c r="C65" t="s">
        <v>1375</v>
      </c>
      <c r="D65">
        <v>2</v>
      </c>
      <c r="E65">
        <v>3</v>
      </c>
      <c r="F65" t="s">
        <v>7</v>
      </c>
      <c r="G65" t="s">
        <v>11</v>
      </c>
      <c r="H65" t="s">
        <v>11</v>
      </c>
    </row>
    <row r="66" spans="1:8" x14ac:dyDescent="0.35">
      <c r="A66" t="s">
        <v>12</v>
      </c>
      <c r="B66" t="s">
        <v>114</v>
      </c>
      <c r="C66" t="s">
        <v>1376</v>
      </c>
      <c r="D66">
        <v>3</v>
      </c>
      <c r="E66">
        <v>3</v>
      </c>
      <c r="F66" t="s">
        <v>7</v>
      </c>
      <c r="G66" t="s">
        <v>115</v>
      </c>
      <c r="H66" t="s">
        <v>11</v>
      </c>
    </row>
    <row r="67" spans="1:8" x14ac:dyDescent="0.35">
      <c r="A67" t="s">
        <v>12</v>
      </c>
      <c r="B67" t="s">
        <v>114</v>
      </c>
      <c r="C67" t="s">
        <v>1377</v>
      </c>
      <c r="D67">
        <v>3</v>
      </c>
      <c r="E67">
        <v>3</v>
      </c>
      <c r="F67" t="s">
        <v>7</v>
      </c>
      <c r="G67" t="s">
        <v>115</v>
      </c>
      <c r="H67" t="s">
        <v>11</v>
      </c>
    </row>
    <row r="68" spans="1:8" x14ac:dyDescent="0.35">
      <c r="A68" t="s">
        <v>12</v>
      </c>
      <c r="B68" t="s">
        <v>114</v>
      </c>
      <c r="C68" t="s">
        <v>1378</v>
      </c>
      <c r="D68">
        <v>2</v>
      </c>
      <c r="E68">
        <v>3</v>
      </c>
      <c r="F68" t="s">
        <v>7</v>
      </c>
      <c r="G68" t="s">
        <v>11</v>
      </c>
      <c r="H68" t="s">
        <v>11</v>
      </c>
    </row>
    <row r="69" spans="1:8" x14ac:dyDescent="0.35">
      <c r="A69" t="s">
        <v>9</v>
      </c>
      <c r="B69" t="s">
        <v>10</v>
      </c>
      <c r="C69" t="s">
        <v>1379</v>
      </c>
      <c r="D69">
        <v>3</v>
      </c>
      <c r="E69">
        <v>7</v>
      </c>
      <c r="F69" t="s">
        <v>11</v>
      </c>
      <c r="G69" t="s">
        <v>11</v>
      </c>
      <c r="H69" t="s">
        <v>11</v>
      </c>
    </row>
    <row r="70" spans="1:8" x14ac:dyDescent="0.35">
      <c r="A70" t="s">
        <v>9</v>
      </c>
      <c r="B70" t="s">
        <v>10</v>
      </c>
      <c r="C70" t="s">
        <v>1380</v>
      </c>
      <c r="D70">
        <v>3</v>
      </c>
      <c r="E70">
        <v>7</v>
      </c>
      <c r="F70" t="s">
        <v>11</v>
      </c>
      <c r="G70" t="s">
        <v>11</v>
      </c>
      <c r="H70" t="s">
        <v>11</v>
      </c>
    </row>
    <row r="71" spans="1:8" x14ac:dyDescent="0.35">
      <c r="A71" t="s">
        <v>9</v>
      </c>
      <c r="B71" t="s">
        <v>10</v>
      </c>
      <c r="C71" t="s">
        <v>1381</v>
      </c>
      <c r="D71">
        <v>2</v>
      </c>
      <c r="E71">
        <v>7</v>
      </c>
      <c r="F71" t="s">
        <v>11</v>
      </c>
      <c r="G71" t="s">
        <v>11</v>
      </c>
      <c r="H71" t="s">
        <v>11</v>
      </c>
    </row>
    <row r="72" spans="1:8" x14ac:dyDescent="0.35">
      <c r="A72" t="s">
        <v>9</v>
      </c>
      <c r="B72" t="s">
        <v>10</v>
      </c>
      <c r="C72" t="s">
        <v>1382</v>
      </c>
      <c r="D72">
        <v>3</v>
      </c>
      <c r="E72">
        <v>8</v>
      </c>
      <c r="F72" t="s">
        <v>11</v>
      </c>
      <c r="G72" t="s">
        <v>11</v>
      </c>
      <c r="H72" t="s">
        <v>11</v>
      </c>
    </row>
    <row r="73" spans="1:8" x14ac:dyDescent="0.35">
      <c r="A73" t="s">
        <v>9</v>
      </c>
      <c r="B73" t="s">
        <v>10</v>
      </c>
      <c r="C73" t="s">
        <v>1383</v>
      </c>
      <c r="D73">
        <v>3</v>
      </c>
      <c r="E73">
        <v>7</v>
      </c>
      <c r="F73" t="s">
        <v>11</v>
      </c>
      <c r="G73" t="s">
        <v>11</v>
      </c>
      <c r="H73" t="s">
        <v>11</v>
      </c>
    </row>
    <row r="74" spans="1:8" x14ac:dyDescent="0.35">
      <c r="A74" t="s">
        <v>9</v>
      </c>
      <c r="B74" t="s">
        <v>10</v>
      </c>
      <c r="C74" t="s">
        <v>1384</v>
      </c>
      <c r="D74">
        <v>3</v>
      </c>
      <c r="E74">
        <v>7</v>
      </c>
      <c r="F74" t="s">
        <v>11</v>
      </c>
      <c r="G74" t="s">
        <v>11</v>
      </c>
      <c r="H74" t="s">
        <v>11</v>
      </c>
    </row>
    <row r="75" spans="1:8" x14ac:dyDescent="0.35">
      <c r="A75" t="s">
        <v>9</v>
      </c>
      <c r="B75" t="s">
        <v>10</v>
      </c>
      <c r="C75" t="s">
        <v>1385</v>
      </c>
      <c r="D75">
        <v>3</v>
      </c>
      <c r="E75">
        <v>8</v>
      </c>
      <c r="F75" t="s">
        <v>11</v>
      </c>
      <c r="G75" t="s">
        <v>11</v>
      </c>
      <c r="H75" t="s">
        <v>11</v>
      </c>
    </row>
    <row r="76" spans="1:8" x14ac:dyDescent="0.35">
      <c r="A76" t="s">
        <v>9</v>
      </c>
      <c r="B76" t="s">
        <v>10</v>
      </c>
      <c r="C76" t="s">
        <v>1386</v>
      </c>
      <c r="D76">
        <v>2</v>
      </c>
      <c r="E76">
        <v>8</v>
      </c>
      <c r="F76" t="s">
        <v>11</v>
      </c>
      <c r="G76" t="s">
        <v>11</v>
      </c>
      <c r="H76" t="s">
        <v>11</v>
      </c>
    </row>
    <row r="77" spans="1:8" x14ac:dyDescent="0.35">
      <c r="A77" t="s">
        <v>9</v>
      </c>
      <c r="B77" t="s">
        <v>10</v>
      </c>
      <c r="C77" t="s">
        <v>1387</v>
      </c>
      <c r="D77">
        <v>3</v>
      </c>
      <c r="E77">
        <v>7</v>
      </c>
      <c r="F77" t="s">
        <v>11</v>
      </c>
      <c r="G77" t="s">
        <v>11</v>
      </c>
      <c r="H77" t="s">
        <v>11</v>
      </c>
    </row>
    <row r="78" spans="1:8" x14ac:dyDescent="0.35">
      <c r="A78" t="s">
        <v>9</v>
      </c>
      <c r="B78" t="s">
        <v>10</v>
      </c>
      <c r="C78" t="s">
        <v>1388</v>
      </c>
      <c r="D78">
        <v>3</v>
      </c>
      <c r="E78">
        <v>7</v>
      </c>
      <c r="F78" t="s">
        <v>11</v>
      </c>
      <c r="G78" t="s">
        <v>11</v>
      </c>
      <c r="H78" t="s">
        <v>11</v>
      </c>
    </row>
    <row r="79" spans="1:8" x14ac:dyDescent="0.35">
      <c r="A79" t="s">
        <v>9</v>
      </c>
      <c r="B79" t="s">
        <v>10</v>
      </c>
      <c r="C79" t="s">
        <v>1389</v>
      </c>
      <c r="D79">
        <v>3</v>
      </c>
      <c r="E79">
        <v>7</v>
      </c>
      <c r="F79" t="s">
        <v>11</v>
      </c>
      <c r="G79" t="s">
        <v>11</v>
      </c>
      <c r="H79" t="s">
        <v>11</v>
      </c>
    </row>
    <row r="80" spans="1:8" x14ac:dyDescent="0.35">
      <c r="A80" t="s">
        <v>9</v>
      </c>
      <c r="B80" t="s">
        <v>10</v>
      </c>
      <c r="C80" t="s">
        <v>1390</v>
      </c>
      <c r="D80">
        <v>2</v>
      </c>
      <c r="E80">
        <v>7</v>
      </c>
      <c r="F80" t="s">
        <v>11</v>
      </c>
      <c r="G80" t="s">
        <v>11</v>
      </c>
      <c r="H80" t="s">
        <v>11</v>
      </c>
    </row>
    <row r="81" spans="1:8" x14ac:dyDescent="0.35">
      <c r="A81" t="s">
        <v>9</v>
      </c>
      <c r="B81" t="s">
        <v>10</v>
      </c>
      <c r="C81" t="s">
        <v>1391</v>
      </c>
      <c r="D81">
        <v>3</v>
      </c>
      <c r="E81">
        <v>7</v>
      </c>
      <c r="F81" t="s">
        <v>11</v>
      </c>
      <c r="G81" t="s">
        <v>11</v>
      </c>
      <c r="H81" t="s">
        <v>11</v>
      </c>
    </row>
    <row r="82" spans="1:8" x14ac:dyDescent="0.35">
      <c r="A82" t="s">
        <v>9</v>
      </c>
      <c r="B82" t="s">
        <v>10</v>
      </c>
      <c r="C82" t="s">
        <v>1392</v>
      </c>
      <c r="D82">
        <v>3</v>
      </c>
      <c r="E82">
        <v>7</v>
      </c>
      <c r="F82" t="s">
        <v>11</v>
      </c>
      <c r="G82" t="s">
        <v>11</v>
      </c>
      <c r="H82" t="s">
        <v>11</v>
      </c>
    </row>
    <row r="83" spans="1:8" x14ac:dyDescent="0.35">
      <c r="A83" t="s">
        <v>9</v>
      </c>
      <c r="B83" t="s">
        <v>10</v>
      </c>
      <c r="C83" t="s">
        <v>1393</v>
      </c>
      <c r="D83">
        <v>3</v>
      </c>
      <c r="E83">
        <v>7</v>
      </c>
      <c r="F83" t="s">
        <v>11</v>
      </c>
      <c r="G83" t="s">
        <v>11</v>
      </c>
      <c r="H83" t="s">
        <v>11</v>
      </c>
    </row>
    <row r="84" spans="1:8" x14ac:dyDescent="0.35">
      <c r="A84" t="s">
        <v>9</v>
      </c>
      <c r="B84" t="s">
        <v>10</v>
      </c>
      <c r="C84" t="s">
        <v>1394</v>
      </c>
      <c r="D84">
        <v>2</v>
      </c>
      <c r="E84">
        <v>7</v>
      </c>
      <c r="F84" t="s">
        <v>11</v>
      </c>
      <c r="G84" t="s">
        <v>11</v>
      </c>
      <c r="H84" t="s">
        <v>11</v>
      </c>
    </row>
    <row r="85" spans="1:8" x14ac:dyDescent="0.35">
      <c r="A85" t="s">
        <v>9</v>
      </c>
      <c r="B85" t="s">
        <v>10</v>
      </c>
      <c r="C85" t="s">
        <v>1395</v>
      </c>
      <c r="D85">
        <v>3</v>
      </c>
      <c r="E85">
        <v>8</v>
      </c>
      <c r="F85" t="s">
        <v>11</v>
      </c>
      <c r="G85" t="s">
        <v>11</v>
      </c>
      <c r="H85" t="s">
        <v>11</v>
      </c>
    </row>
    <row r="86" spans="1:8" x14ac:dyDescent="0.35">
      <c r="A86" t="s">
        <v>9</v>
      </c>
      <c r="B86" t="s">
        <v>10</v>
      </c>
      <c r="C86" t="s">
        <v>1396</v>
      </c>
      <c r="D86">
        <v>3</v>
      </c>
      <c r="E86">
        <v>8</v>
      </c>
      <c r="F86" t="s">
        <v>11</v>
      </c>
      <c r="G86" t="s">
        <v>11</v>
      </c>
      <c r="H86" t="s">
        <v>11</v>
      </c>
    </row>
    <row r="87" spans="1:8" x14ac:dyDescent="0.35">
      <c r="A87" t="s">
        <v>9</v>
      </c>
      <c r="B87" t="s">
        <v>10</v>
      </c>
      <c r="C87" t="s">
        <v>1397</v>
      </c>
      <c r="D87">
        <v>3</v>
      </c>
      <c r="E87">
        <v>8</v>
      </c>
      <c r="F87" t="s">
        <v>11</v>
      </c>
      <c r="G87" t="s">
        <v>11</v>
      </c>
      <c r="H87" t="s">
        <v>11</v>
      </c>
    </row>
    <row r="88" spans="1:8" x14ac:dyDescent="0.35">
      <c r="A88" t="s">
        <v>9</v>
      </c>
      <c r="B88" t="s">
        <v>10</v>
      </c>
      <c r="C88" t="s">
        <v>1398</v>
      </c>
      <c r="D88">
        <v>3</v>
      </c>
      <c r="E88">
        <v>7</v>
      </c>
      <c r="F88" t="s">
        <v>11</v>
      </c>
      <c r="G88" t="s">
        <v>11</v>
      </c>
      <c r="H88" t="s">
        <v>11</v>
      </c>
    </row>
    <row r="89" spans="1:8" x14ac:dyDescent="0.35">
      <c r="A89" t="s">
        <v>9</v>
      </c>
      <c r="B89" t="s">
        <v>10</v>
      </c>
      <c r="C89" t="s">
        <v>1399</v>
      </c>
      <c r="D89">
        <v>3</v>
      </c>
      <c r="E89">
        <v>7</v>
      </c>
      <c r="F89" t="s">
        <v>11</v>
      </c>
      <c r="G89" t="s">
        <v>11</v>
      </c>
      <c r="H89" t="s">
        <v>11</v>
      </c>
    </row>
    <row r="90" spans="1:8" x14ac:dyDescent="0.35">
      <c r="A90" t="s">
        <v>9</v>
      </c>
      <c r="B90" t="s">
        <v>10</v>
      </c>
      <c r="C90" t="s">
        <v>1400</v>
      </c>
      <c r="D90">
        <v>3</v>
      </c>
      <c r="E90">
        <v>7</v>
      </c>
      <c r="F90" t="s">
        <v>11</v>
      </c>
      <c r="G90" t="s">
        <v>11</v>
      </c>
      <c r="H90" t="s">
        <v>11</v>
      </c>
    </row>
    <row r="91" spans="1:8" x14ac:dyDescent="0.35">
      <c r="A91" t="s">
        <v>9</v>
      </c>
      <c r="B91" t="s">
        <v>10</v>
      </c>
      <c r="C91" t="s">
        <v>1401</v>
      </c>
      <c r="D91">
        <v>3</v>
      </c>
      <c r="E91">
        <v>7</v>
      </c>
      <c r="F91" t="s">
        <v>11</v>
      </c>
      <c r="G91" t="s">
        <v>11</v>
      </c>
      <c r="H91" t="s">
        <v>11</v>
      </c>
    </row>
    <row r="92" spans="1:8" x14ac:dyDescent="0.35">
      <c r="A92" t="s">
        <v>9</v>
      </c>
      <c r="B92" t="s">
        <v>10</v>
      </c>
      <c r="C92" t="s">
        <v>1402</v>
      </c>
      <c r="D92">
        <v>2</v>
      </c>
      <c r="E92">
        <v>8</v>
      </c>
      <c r="F92" t="s">
        <v>11</v>
      </c>
      <c r="G92" t="s">
        <v>11</v>
      </c>
      <c r="H92" t="s">
        <v>11</v>
      </c>
    </row>
    <row r="93" spans="1:8" x14ac:dyDescent="0.35">
      <c r="A93" t="s">
        <v>9</v>
      </c>
      <c r="B93" t="s">
        <v>10</v>
      </c>
      <c r="C93" t="s">
        <v>1403</v>
      </c>
      <c r="D93">
        <v>3</v>
      </c>
      <c r="E93">
        <v>7</v>
      </c>
      <c r="F93" t="s">
        <v>11</v>
      </c>
      <c r="G93" t="s">
        <v>11</v>
      </c>
      <c r="H93" t="s">
        <v>11</v>
      </c>
    </row>
    <row r="94" spans="1:8" x14ac:dyDescent="0.35">
      <c r="A94" t="s">
        <v>9</v>
      </c>
      <c r="B94" t="s">
        <v>10</v>
      </c>
      <c r="C94" t="s">
        <v>1404</v>
      </c>
      <c r="D94">
        <v>3</v>
      </c>
      <c r="E94">
        <v>8</v>
      </c>
      <c r="F94" t="s">
        <v>11</v>
      </c>
      <c r="G94" t="s">
        <v>11</v>
      </c>
      <c r="H94" t="s">
        <v>11</v>
      </c>
    </row>
    <row r="95" spans="1:8" x14ac:dyDescent="0.35">
      <c r="A95" t="s">
        <v>9</v>
      </c>
      <c r="B95" t="s">
        <v>10</v>
      </c>
      <c r="C95" t="s">
        <v>1405</v>
      </c>
      <c r="D95">
        <v>3</v>
      </c>
      <c r="E95">
        <v>7</v>
      </c>
      <c r="F95" t="s">
        <v>11</v>
      </c>
      <c r="G95" t="s">
        <v>11</v>
      </c>
      <c r="H95" t="s">
        <v>11</v>
      </c>
    </row>
    <row r="96" spans="1:8" x14ac:dyDescent="0.35">
      <c r="A96" t="s">
        <v>9</v>
      </c>
      <c r="B96" t="s">
        <v>10</v>
      </c>
      <c r="C96" t="s">
        <v>1406</v>
      </c>
      <c r="D96">
        <v>3</v>
      </c>
      <c r="E96">
        <v>7</v>
      </c>
      <c r="F96" t="s">
        <v>11</v>
      </c>
      <c r="G96" t="s">
        <v>11</v>
      </c>
      <c r="H96" t="s">
        <v>11</v>
      </c>
    </row>
    <row r="97" spans="1:8" x14ac:dyDescent="0.35">
      <c r="A97" t="s">
        <v>9</v>
      </c>
      <c r="B97" t="s">
        <v>10</v>
      </c>
      <c r="C97" t="s">
        <v>1407</v>
      </c>
      <c r="D97">
        <v>3</v>
      </c>
      <c r="E97">
        <v>8</v>
      </c>
      <c r="F97" t="s">
        <v>11</v>
      </c>
      <c r="G97" t="s">
        <v>11</v>
      </c>
      <c r="H97" t="s">
        <v>11</v>
      </c>
    </row>
    <row r="98" spans="1:8" x14ac:dyDescent="0.35">
      <c r="A98" t="s">
        <v>65</v>
      </c>
      <c r="C98" t="s">
        <v>1408</v>
      </c>
      <c r="D98" t="s">
        <v>11</v>
      </c>
      <c r="E98">
        <v>1</v>
      </c>
      <c r="F98" t="s">
        <v>7</v>
      </c>
      <c r="G98" t="s">
        <v>115</v>
      </c>
      <c r="H98" t="s">
        <v>3675</v>
      </c>
    </row>
    <row r="99" spans="1:8" x14ac:dyDescent="0.35">
      <c r="A99" t="s">
        <v>14</v>
      </c>
      <c r="B99" t="s">
        <v>86</v>
      </c>
      <c r="C99" t="s">
        <v>1409</v>
      </c>
      <c r="D99">
        <v>2</v>
      </c>
      <c r="E99">
        <v>5</v>
      </c>
      <c r="F99" t="s">
        <v>75</v>
      </c>
      <c r="G99" t="s">
        <v>11</v>
      </c>
      <c r="H99" t="s">
        <v>11</v>
      </c>
    </row>
    <row r="100" spans="1:8" x14ac:dyDescent="0.35">
      <c r="A100" t="s">
        <v>14</v>
      </c>
      <c r="B100" t="s">
        <v>86</v>
      </c>
      <c r="C100" t="s">
        <v>1410</v>
      </c>
      <c r="D100">
        <v>2</v>
      </c>
      <c r="E100">
        <v>3</v>
      </c>
      <c r="F100" t="s">
        <v>75</v>
      </c>
      <c r="G100" t="s">
        <v>11</v>
      </c>
      <c r="H100" t="s">
        <v>11</v>
      </c>
    </row>
    <row r="101" spans="1:8" x14ac:dyDescent="0.35">
      <c r="A101" t="s">
        <v>14</v>
      </c>
      <c r="B101" t="s">
        <v>86</v>
      </c>
      <c r="C101" t="s">
        <v>1411</v>
      </c>
      <c r="D101">
        <v>2</v>
      </c>
      <c r="E101">
        <v>5</v>
      </c>
      <c r="F101" t="s">
        <v>75</v>
      </c>
      <c r="G101" t="s">
        <v>11</v>
      </c>
      <c r="H101" t="s">
        <v>11</v>
      </c>
    </row>
    <row r="102" spans="1:8" x14ac:dyDescent="0.35">
      <c r="A102" t="s">
        <v>14</v>
      </c>
      <c r="B102" t="s">
        <v>86</v>
      </c>
      <c r="C102" t="s">
        <v>1412</v>
      </c>
      <c r="D102">
        <v>2</v>
      </c>
      <c r="E102">
        <v>4</v>
      </c>
      <c r="F102" t="s">
        <v>75</v>
      </c>
      <c r="G102" t="s">
        <v>11</v>
      </c>
      <c r="H102" t="s">
        <v>11</v>
      </c>
    </row>
    <row r="103" spans="1:8" x14ac:dyDescent="0.35">
      <c r="A103" t="s">
        <v>14</v>
      </c>
      <c r="B103" t="s">
        <v>86</v>
      </c>
      <c r="C103" t="s">
        <v>1413</v>
      </c>
      <c r="D103">
        <v>2</v>
      </c>
      <c r="E103">
        <v>3</v>
      </c>
      <c r="F103" t="s">
        <v>75</v>
      </c>
      <c r="G103" t="s">
        <v>11</v>
      </c>
      <c r="H103" t="s">
        <v>11</v>
      </c>
    </row>
    <row r="104" spans="1:8" x14ac:dyDescent="0.35">
      <c r="A104" t="s">
        <v>14</v>
      </c>
      <c r="B104" t="s">
        <v>86</v>
      </c>
      <c r="C104" t="s">
        <v>1414</v>
      </c>
      <c r="D104">
        <v>2</v>
      </c>
      <c r="E104">
        <v>3</v>
      </c>
      <c r="F104" t="s">
        <v>75</v>
      </c>
      <c r="G104" t="s">
        <v>11</v>
      </c>
      <c r="H104" t="s">
        <v>11</v>
      </c>
    </row>
    <row r="105" spans="1:8" x14ac:dyDescent="0.35">
      <c r="A105" t="s">
        <v>14</v>
      </c>
      <c r="B105" t="s">
        <v>86</v>
      </c>
      <c r="C105" t="s">
        <v>1415</v>
      </c>
      <c r="D105">
        <v>2</v>
      </c>
      <c r="E105">
        <v>2</v>
      </c>
      <c r="F105" t="s">
        <v>75</v>
      </c>
      <c r="G105" t="s">
        <v>11</v>
      </c>
      <c r="H105" t="s">
        <v>11</v>
      </c>
    </row>
    <row r="106" spans="1:8" x14ac:dyDescent="0.35">
      <c r="A106" t="s">
        <v>14</v>
      </c>
      <c r="B106" t="s">
        <v>86</v>
      </c>
      <c r="C106" t="s">
        <v>1416</v>
      </c>
      <c r="D106">
        <v>2</v>
      </c>
      <c r="E106">
        <v>2</v>
      </c>
      <c r="F106" t="s">
        <v>75</v>
      </c>
      <c r="G106" t="s">
        <v>11</v>
      </c>
      <c r="H106" t="s">
        <v>11</v>
      </c>
    </row>
    <row r="107" spans="1:8" x14ac:dyDescent="0.35">
      <c r="A107" t="s">
        <v>14</v>
      </c>
      <c r="B107" t="s">
        <v>86</v>
      </c>
      <c r="C107" t="s">
        <v>1417</v>
      </c>
      <c r="D107">
        <v>2</v>
      </c>
      <c r="E107">
        <v>3</v>
      </c>
      <c r="F107" t="s">
        <v>75</v>
      </c>
      <c r="G107" t="s">
        <v>11</v>
      </c>
      <c r="H107" t="s">
        <v>11</v>
      </c>
    </row>
    <row r="108" spans="1:8" x14ac:dyDescent="0.35">
      <c r="A108" t="s">
        <v>14</v>
      </c>
      <c r="B108" t="s">
        <v>86</v>
      </c>
      <c r="C108" t="s">
        <v>1418</v>
      </c>
      <c r="D108">
        <v>2</v>
      </c>
      <c r="E108">
        <v>5</v>
      </c>
      <c r="F108" t="s">
        <v>75</v>
      </c>
      <c r="G108" t="s">
        <v>11</v>
      </c>
      <c r="H108" t="s">
        <v>11</v>
      </c>
    </row>
    <row r="109" spans="1:8" x14ac:dyDescent="0.35">
      <c r="A109" t="s">
        <v>14</v>
      </c>
      <c r="B109" t="s">
        <v>86</v>
      </c>
      <c r="C109" t="s">
        <v>1419</v>
      </c>
      <c r="D109">
        <v>2</v>
      </c>
      <c r="E109">
        <v>2</v>
      </c>
      <c r="F109" t="s">
        <v>75</v>
      </c>
      <c r="G109" t="s">
        <v>11</v>
      </c>
      <c r="H109" t="s">
        <v>11</v>
      </c>
    </row>
    <row r="110" spans="1:8" x14ac:dyDescent="0.35">
      <c r="A110" t="s">
        <v>14</v>
      </c>
      <c r="B110" t="s">
        <v>86</v>
      </c>
      <c r="C110" t="s">
        <v>1420</v>
      </c>
      <c r="D110">
        <v>2</v>
      </c>
      <c r="E110">
        <v>2</v>
      </c>
      <c r="F110" t="s">
        <v>75</v>
      </c>
      <c r="G110" t="s">
        <v>11</v>
      </c>
      <c r="H110" t="s">
        <v>11</v>
      </c>
    </row>
    <row r="111" spans="1:8" x14ac:dyDescent="0.35">
      <c r="A111" t="s">
        <v>14</v>
      </c>
      <c r="B111" t="s">
        <v>86</v>
      </c>
      <c r="C111" t="s">
        <v>1421</v>
      </c>
      <c r="D111">
        <v>2</v>
      </c>
      <c r="E111">
        <v>3</v>
      </c>
      <c r="F111" t="s">
        <v>75</v>
      </c>
      <c r="G111" t="s">
        <v>11</v>
      </c>
      <c r="H111" t="s">
        <v>11</v>
      </c>
    </row>
    <row r="112" spans="1:8" x14ac:dyDescent="0.35">
      <c r="A112" t="s">
        <v>14</v>
      </c>
      <c r="B112" t="s">
        <v>86</v>
      </c>
      <c r="C112" t="s">
        <v>1422</v>
      </c>
      <c r="D112">
        <v>2</v>
      </c>
      <c r="E112">
        <v>4</v>
      </c>
      <c r="F112" t="s">
        <v>75</v>
      </c>
      <c r="G112" t="s">
        <v>11</v>
      </c>
      <c r="H112" t="s">
        <v>11</v>
      </c>
    </row>
    <row r="113" spans="1:8" x14ac:dyDescent="0.35">
      <c r="A113" t="s">
        <v>14</v>
      </c>
      <c r="B113" t="s">
        <v>86</v>
      </c>
      <c r="C113" t="s">
        <v>1423</v>
      </c>
      <c r="D113">
        <v>2</v>
      </c>
      <c r="E113">
        <v>2</v>
      </c>
      <c r="F113" t="s">
        <v>75</v>
      </c>
      <c r="G113" t="s">
        <v>11</v>
      </c>
      <c r="H113" t="s">
        <v>11</v>
      </c>
    </row>
    <row r="114" spans="1:8" x14ac:dyDescent="0.35">
      <c r="A114" t="s">
        <v>13</v>
      </c>
      <c r="B114" t="s">
        <v>104</v>
      </c>
      <c r="C114" t="s">
        <v>1424</v>
      </c>
      <c r="D114">
        <v>3</v>
      </c>
      <c r="E114">
        <v>3</v>
      </c>
      <c r="F114" t="s">
        <v>7</v>
      </c>
      <c r="G114" t="s">
        <v>11</v>
      </c>
      <c r="H114" t="s">
        <v>11</v>
      </c>
    </row>
    <row r="115" spans="1:8" x14ac:dyDescent="0.35">
      <c r="A115" t="s">
        <v>13</v>
      </c>
      <c r="B115" t="s">
        <v>104</v>
      </c>
      <c r="C115" t="s">
        <v>1425</v>
      </c>
      <c r="D115">
        <v>3</v>
      </c>
      <c r="E115">
        <v>3</v>
      </c>
      <c r="F115" t="s">
        <v>7</v>
      </c>
      <c r="G115" t="s">
        <v>11</v>
      </c>
      <c r="H115" t="s">
        <v>11</v>
      </c>
    </row>
    <row r="116" spans="1:8" x14ac:dyDescent="0.35">
      <c r="A116" t="s">
        <v>13</v>
      </c>
      <c r="B116" t="s">
        <v>104</v>
      </c>
      <c r="C116" t="s">
        <v>1426</v>
      </c>
      <c r="D116">
        <v>2</v>
      </c>
      <c r="E116">
        <v>4</v>
      </c>
      <c r="F116" t="s">
        <v>7</v>
      </c>
      <c r="G116" t="s">
        <v>11</v>
      </c>
      <c r="H116" t="s">
        <v>11</v>
      </c>
    </row>
    <row r="117" spans="1:8" x14ac:dyDescent="0.35">
      <c r="A117" t="s">
        <v>13</v>
      </c>
      <c r="B117" t="s">
        <v>104</v>
      </c>
      <c r="C117" t="s">
        <v>1427</v>
      </c>
      <c r="D117">
        <v>2</v>
      </c>
      <c r="E117">
        <v>4</v>
      </c>
      <c r="F117" t="s">
        <v>7</v>
      </c>
      <c r="G117" t="s">
        <v>11</v>
      </c>
      <c r="H117" t="s">
        <v>11</v>
      </c>
    </row>
    <row r="118" spans="1:8" x14ac:dyDescent="0.35">
      <c r="A118" t="s">
        <v>13</v>
      </c>
      <c r="B118" t="s">
        <v>104</v>
      </c>
      <c r="C118" t="s">
        <v>1428</v>
      </c>
      <c r="D118">
        <v>2</v>
      </c>
      <c r="E118">
        <v>4</v>
      </c>
      <c r="F118" t="s">
        <v>7</v>
      </c>
      <c r="G118" t="s">
        <v>11</v>
      </c>
      <c r="H118" t="s">
        <v>11</v>
      </c>
    </row>
    <row r="119" spans="1:8" x14ac:dyDescent="0.35">
      <c r="A119" t="s">
        <v>13</v>
      </c>
      <c r="B119" t="s">
        <v>104</v>
      </c>
      <c r="C119" t="s">
        <v>1429</v>
      </c>
      <c r="D119">
        <v>3</v>
      </c>
      <c r="E119">
        <v>3</v>
      </c>
      <c r="F119" t="s">
        <v>7</v>
      </c>
      <c r="G119" t="s">
        <v>11</v>
      </c>
      <c r="H119" t="s">
        <v>11</v>
      </c>
    </row>
    <row r="120" spans="1:8" x14ac:dyDescent="0.35">
      <c r="A120" t="s">
        <v>13</v>
      </c>
      <c r="B120" t="s">
        <v>104</v>
      </c>
      <c r="C120" t="s">
        <v>1319</v>
      </c>
      <c r="D120">
        <v>3</v>
      </c>
      <c r="E120">
        <v>3</v>
      </c>
      <c r="F120" t="s">
        <v>7</v>
      </c>
      <c r="G120" t="s">
        <v>11</v>
      </c>
      <c r="H120" t="s">
        <v>11</v>
      </c>
    </row>
    <row r="121" spans="1:8" x14ac:dyDescent="0.35">
      <c r="A121" t="s">
        <v>13</v>
      </c>
      <c r="B121" t="s">
        <v>104</v>
      </c>
      <c r="C121" t="s">
        <v>1430</v>
      </c>
      <c r="D121">
        <v>2</v>
      </c>
      <c r="E121">
        <v>4</v>
      </c>
      <c r="F121" t="s">
        <v>7</v>
      </c>
      <c r="G121" t="s">
        <v>11</v>
      </c>
      <c r="H121" t="s">
        <v>11</v>
      </c>
    </row>
    <row r="122" spans="1:8" x14ac:dyDescent="0.35">
      <c r="A122" t="s">
        <v>13</v>
      </c>
      <c r="B122" t="s">
        <v>104</v>
      </c>
      <c r="C122" t="s">
        <v>1431</v>
      </c>
      <c r="D122">
        <v>3</v>
      </c>
      <c r="E122">
        <v>3</v>
      </c>
      <c r="F122" t="s">
        <v>7</v>
      </c>
      <c r="G122" t="s">
        <v>11</v>
      </c>
      <c r="H122" t="s">
        <v>11</v>
      </c>
    </row>
    <row r="123" spans="1:8" x14ac:dyDescent="0.35">
      <c r="A123" t="s">
        <v>13</v>
      </c>
      <c r="B123" t="s">
        <v>104</v>
      </c>
      <c r="C123" t="s">
        <v>1432</v>
      </c>
      <c r="D123">
        <v>3</v>
      </c>
      <c r="E123">
        <v>3</v>
      </c>
      <c r="F123" t="s">
        <v>7</v>
      </c>
      <c r="G123" t="s">
        <v>11</v>
      </c>
      <c r="H123" t="s">
        <v>11</v>
      </c>
    </row>
    <row r="124" spans="1:8" x14ac:dyDescent="0.35">
      <c r="A124" t="s">
        <v>13</v>
      </c>
      <c r="B124" t="s">
        <v>104</v>
      </c>
      <c r="C124" t="s">
        <v>1325</v>
      </c>
      <c r="D124">
        <v>3</v>
      </c>
      <c r="E124">
        <v>3</v>
      </c>
      <c r="F124" t="s">
        <v>7</v>
      </c>
      <c r="G124" t="s">
        <v>11</v>
      </c>
      <c r="H124" t="s">
        <v>11</v>
      </c>
    </row>
    <row r="125" spans="1:8" x14ac:dyDescent="0.35">
      <c r="A125" t="s">
        <v>13</v>
      </c>
      <c r="B125" t="s">
        <v>104</v>
      </c>
      <c r="C125" t="s">
        <v>1326</v>
      </c>
      <c r="D125">
        <v>3</v>
      </c>
      <c r="E125">
        <v>3</v>
      </c>
      <c r="F125" t="s">
        <v>7</v>
      </c>
      <c r="G125" t="s">
        <v>11</v>
      </c>
      <c r="H125" t="s">
        <v>11</v>
      </c>
    </row>
    <row r="126" spans="1:8" x14ac:dyDescent="0.35">
      <c r="A126" t="s">
        <v>13</v>
      </c>
      <c r="B126" t="s">
        <v>104</v>
      </c>
      <c r="C126" t="s">
        <v>1433</v>
      </c>
      <c r="D126">
        <v>3</v>
      </c>
      <c r="E126">
        <v>3</v>
      </c>
      <c r="F126" t="s">
        <v>7</v>
      </c>
      <c r="G126" t="s">
        <v>11</v>
      </c>
      <c r="H126" t="s">
        <v>11</v>
      </c>
    </row>
    <row r="127" spans="1:8" x14ac:dyDescent="0.35">
      <c r="A127" t="s">
        <v>13</v>
      </c>
      <c r="B127" t="s">
        <v>104</v>
      </c>
      <c r="C127" t="s">
        <v>1434</v>
      </c>
      <c r="D127">
        <v>3</v>
      </c>
      <c r="E127">
        <v>3</v>
      </c>
      <c r="F127" t="s">
        <v>7</v>
      </c>
      <c r="G127" t="s">
        <v>115</v>
      </c>
      <c r="H127" t="s">
        <v>11</v>
      </c>
    </row>
    <row r="128" spans="1:8" x14ac:dyDescent="0.35">
      <c r="A128" t="s">
        <v>13</v>
      </c>
      <c r="B128" t="s">
        <v>104</v>
      </c>
      <c r="C128" t="s">
        <v>1435</v>
      </c>
      <c r="D128">
        <v>3</v>
      </c>
      <c r="E128">
        <v>3</v>
      </c>
      <c r="F128" t="s">
        <v>7</v>
      </c>
      <c r="G128" t="s">
        <v>11</v>
      </c>
      <c r="H128" t="s">
        <v>11</v>
      </c>
    </row>
    <row r="129" spans="1:8" x14ac:dyDescent="0.35">
      <c r="A129" t="s">
        <v>13</v>
      </c>
      <c r="B129" t="s">
        <v>104</v>
      </c>
      <c r="C129" t="s">
        <v>1436</v>
      </c>
      <c r="D129">
        <v>3</v>
      </c>
      <c r="E129">
        <v>3</v>
      </c>
      <c r="F129" t="s">
        <v>7</v>
      </c>
      <c r="G129" t="s">
        <v>11</v>
      </c>
      <c r="H129" t="s">
        <v>11</v>
      </c>
    </row>
    <row r="130" spans="1:8" x14ac:dyDescent="0.35">
      <c r="A130" t="s">
        <v>13</v>
      </c>
      <c r="B130" t="s">
        <v>104</v>
      </c>
      <c r="C130" t="s">
        <v>1437</v>
      </c>
      <c r="D130">
        <v>3</v>
      </c>
      <c r="E130">
        <v>3</v>
      </c>
      <c r="F130" t="s">
        <v>7</v>
      </c>
      <c r="G130" t="s">
        <v>11</v>
      </c>
      <c r="H130" t="s">
        <v>11</v>
      </c>
    </row>
    <row r="131" spans="1:8" x14ac:dyDescent="0.35">
      <c r="A131" t="s">
        <v>13</v>
      </c>
      <c r="B131" t="s">
        <v>104</v>
      </c>
      <c r="C131" t="s">
        <v>1438</v>
      </c>
      <c r="D131">
        <v>3</v>
      </c>
      <c r="E131">
        <v>3</v>
      </c>
      <c r="F131" t="s">
        <v>7</v>
      </c>
      <c r="G131" t="s">
        <v>11</v>
      </c>
      <c r="H131" t="s">
        <v>11</v>
      </c>
    </row>
    <row r="132" spans="1:8" x14ac:dyDescent="0.35">
      <c r="A132" t="s">
        <v>13</v>
      </c>
      <c r="B132" t="s">
        <v>104</v>
      </c>
      <c r="C132" t="s">
        <v>1439</v>
      </c>
      <c r="D132">
        <v>3</v>
      </c>
      <c r="E132">
        <v>3</v>
      </c>
      <c r="F132" t="s">
        <v>7</v>
      </c>
      <c r="G132" t="s">
        <v>11</v>
      </c>
      <c r="H132" t="s">
        <v>11</v>
      </c>
    </row>
    <row r="133" spans="1:8" x14ac:dyDescent="0.35">
      <c r="A133" t="s">
        <v>13</v>
      </c>
      <c r="B133" t="s">
        <v>104</v>
      </c>
      <c r="C133" t="s">
        <v>1335</v>
      </c>
      <c r="D133">
        <v>3</v>
      </c>
      <c r="E133">
        <v>3</v>
      </c>
      <c r="F133" t="s">
        <v>7</v>
      </c>
      <c r="G133" t="s">
        <v>11</v>
      </c>
      <c r="H133" t="s">
        <v>11</v>
      </c>
    </row>
    <row r="134" spans="1:8" x14ac:dyDescent="0.35">
      <c r="A134" t="s">
        <v>13</v>
      </c>
      <c r="B134" t="s">
        <v>104</v>
      </c>
      <c r="C134" t="s">
        <v>1440</v>
      </c>
      <c r="D134">
        <v>3</v>
      </c>
      <c r="E134">
        <v>3</v>
      </c>
      <c r="F134" t="s">
        <v>7</v>
      </c>
      <c r="G134" t="s">
        <v>11</v>
      </c>
      <c r="H134" t="s">
        <v>11</v>
      </c>
    </row>
    <row r="135" spans="1:8" x14ac:dyDescent="0.35">
      <c r="A135" t="s">
        <v>13</v>
      </c>
      <c r="B135" t="s">
        <v>104</v>
      </c>
      <c r="C135" t="s">
        <v>1441</v>
      </c>
      <c r="D135">
        <v>3</v>
      </c>
      <c r="E135">
        <v>3</v>
      </c>
      <c r="F135" t="s">
        <v>7</v>
      </c>
      <c r="G135" t="s">
        <v>11</v>
      </c>
      <c r="H135" t="s">
        <v>11</v>
      </c>
    </row>
    <row r="136" spans="1:8" x14ac:dyDescent="0.35">
      <c r="A136" t="s">
        <v>13</v>
      </c>
      <c r="B136" t="s">
        <v>104</v>
      </c>
      <c r="C136" t="s">
        <v>1442</v>
      </c>
      <c r="D136">
        <v>3</v>
      </c>
      <c r="E136">
        <v>3</v>
      </c>
      <c r="F136" t="s">
        <v>7</v>
      </c>
      <c r="G136" t="s">
        <v>11</v>
      </c>
      <c r="H136" t="s">
        <v>11</v>
      </c>
    </row>
    <row r="137" spans="1:8" x14ac:dyDescent="0.35">
      <c r="A137" t="s">
        <v>13</v>
      </c>
      <c r="B137" t="s">
        <v>104</v>
      </c>
      <c r="C137" t="s">
        <v>1341</v>
      </c>
      <c r="D137">
        <v>3</v>
      </c>
      <c r="E137">
        <v>3</v>
      </c>
      <c r="F137" t="s">
        <v>7</v>
      </c>
      <c r="G137" t="s">
        <v>11</v>
      </c>
      <c r="H137" t="s">
        <v>11</v>
      </c>
    </row>
    <row r="138" spans="1:8" x14ac:dyDescent="0.35">
      <c r="A138" t="s">
        <v>13</v>
      </c>
      <c r="B138" t="s">
        <v>104</v>
      </c>
      <c r="C138" t="s">
        <v>1443</v>
      </c>
      <c r="D138">
        <v>2</v>
      </c>
      <c r="E138">
        <v>4</v>
      </c>
      <c r="F138" t="s">
        <v>7</v>
      </c>
      <c r="G138" t="s">
        <v>11</v>
      </c>
      <c r="H138" t="s">
        <v>11</v>
      </c>
    </row>
    <row r="139" spans="1:8" x14ac:dyDescent="0.35">
      <c r="A139" t="s">
        <v>13</v>
      </c>
      <c r="B139" t="s">
        <v>104</v>
      </c>
      <c r="C139" t="s">
        <v>1444</v>
      </c>
      <c r="D139">
        <v>2</v>
      </c>
      <c r="E139">
        <v>3</v>
      </c>
      <c r="F139" t="s">
        <v>7</v>
      </c>
      <c r="G139" t="s">
        <v>11</v>
      </c>
      <c r="H139" t="s">
        <v>11</v>
      </c>
    </row>
    <row r="140" spans="1:8" x14ac:dyDescent="0.35">
      <c r="A140" t="s">
        <v>13</v>
      </c>
      <c r="B140" t="s">
        <v>104</v>
      </c>
      <c r="C140" t="s">
        <v>1445</v>
      </c>
      <c r="D140">
        <v>3</v>
      </c>
      <c r="E140">
        <v>3</v>
      </c>
      <c r="F140" t="s">
        <v>7</v>
      </c>
      <c r="G140" t="s">
        <v>11</v>
      </c>
      <c r="H140" t="s">
        <v>11</v>
      </c>
    </row>
    <row r="141" spans="1:8" x14ac:dyDescent="0.35">
      <c r="A141" t="s">
        <v>13</v>
      </c>
      <c r="B141" t="s">
        <v>104</v>
      </c>
      <c r="C141" t="s">
        <v>1343</v>
      </c>
      <c r="D141">
        <v>3</v>
      </c>
      <c r="E141">
        <v>3</v>
      </c>
      <c r="F141" t="s">
        <v>7</v>
      </c>
      <c r="G141" t="s">
        <v>11</v>
      </c>
      <c r="H141" t="s">
        <v>11</v>
      </c>
    </row>
    <row r="142" spans="1:8" x14ac:dyDescent="0.35">
      <c r="A142" t="s">
        <v>13</v>
      </c>
      <c r="B142" t="s">
        <v>104</v>
      </c>
      <c r="C142" t="s">
        <v>1446</v>
      </c>
      <c r="D142">
        <v>3</v>
      </c>
      <c r="E142">
        <v>3</v>
      </c>
      <c r="F142" t="s">
        <v>7</v>
      </c>
      <c r="G142" t="s">
        <v>115</v>
      </c>
      <c r="H142" t="s">
        <v>11</v>
      </c>
    </row>
    <row r="143" spans="1:8" x14ac:dyDescent="0.35">
      <c r="A143" t="s">
        <v>13</v>
      </c>
      <c r="B143" t="s">
        <v>104</v>
      </c>
      <c r="C143" t="s">
        <v>1447</v>
      </c>
      <c r="D143">
        <v>3</v>
      </c>
      <c r="E143">
        <v>3</v>
      </c>
      <c r="F143" t="s">
        <v>7</v>
      </c>
      <c r="G143" t="s">
        <v>11</v>
      </c>
      <c r="H143" t="s">
        <v>11</v>
      </c>
    </row>
    <row r="144" spans="1:8" x14ac:dyDescent="0.35">
      <c r="A144" t="s">
        <v>13</v>
      </c>
      <c r="B144" t="s">
        <v>104</v>
      </c>
      <c r="C144" t="s">
        <v>1448</v>
      </c>
      <c r="D144">
        <v>3</v>
      </c>
      <c r="E144">
        <v>3</v>
      </c>
      <c r="F144" t="s">
        <v>7</v>
      </c>
      <c r="G144" t="s">
        <v>11</v>
      </c>
      <c r="H144" t="s">
        <v>11</v>
      </c>
    </row>
    <row r="145" spans="1:8" x14ac:dyDescent="0.35">
      <c r="A145" t="s">
        <v>13</v>
      </c>
      <c r="B145" t="s">
        <v>104</v>
      </c>
      <c r="C145" t="s">
        <v>1449</v>
      </c>
      <c r="D145">
        <v>2</v>
      </c>
      <c r="E145">
        <v>3</v>
      </c>
      <c r="F145" t="s">
        <v>7</v>
      </c>
      <c r="G145" t="s">
        <v>11</v>
      </c>
      <c r="H145" t="s">
        <v>11</v>
      </c>
    </row>
    <row r="146" spans="1:8" x14ac:dyDescent="0.35">
      <c r="A146" t="s">
        <v>13</v>
      </c>
      <c r="B146" t="s">
        <v>104</v>
      </c>
      <c r="C146" t="s">
        <v>1450</v>
      </c>
      <c r="D146">
        <v>2</v>
      </c>
      <c r="E146">
        <v>4</v>
      </c>
      <c r="F146" t="s">
        <v>7</v>
      </c>
      <c r="G146" t="s">
        <v>11</v>
      </c>
      <c r="H146" t="s">
        <v>11</v>
      </c>
    </row>
    <row r="147" spans="1:8" x14ac:dyDescent="0.35">
      <c r="A147" t="s">
        <v>13</v>
      </c>
      <c r="B147" t="s">
        <v>104</v>
      </c>
      <c r="C147" t="s">
        <v>1347</v>
      </c>
      <c r="D147">
        <v>3</v>
      </c>
      <c r="E147">
        <v>3</v>
      </c>
      <c r="F147" t="s">
        <v>7</v>
      </c>
      <c r="G147" t="s">
        <v>11</v>
      </c>
      <c r="H147" t="s">
        <v>11</v>
      </c>
    </row>
    <row r="148" spans="1:8" x14ac:dyDescent="0.35">
      <c r="A148" t="s">
        <v>13</v>
      </c>
      <c r="B148" t="s">
        <v>104</v>
      </c>
      <c r="C148" t="s">
        <v>1348</v>
      </c>
      <c r="D148">
        <v>3</v>
      </c>
      <c r="E148">
        <v>3</v>
      </c>
      <c r="F148" t="s">
        <v>7</v>
      </c>
      <c r="G148" t="s">
        <v>11</v>
      </c>
      <c r="H148" t="s">
        <v>11</v>
      </c>
    </row>
    <row r="149" spans="1:8" x14ac:dyDescent="0.35">
      <c r="A149" t="s">
        <v>13</v>
      </c>
      <c r="B149" t="s">
        <v>104</v>
      </c>
      <c r="C149" t="s">
        <v>1451</v>
      </c>
      <c r="D149">
        <v>3</v>
      </c>
      <c r="E149">
        <v>3</v>
      </c>
      <c r="F149" t="s">
        <v>7</v>
      </c>
      <c r="G149" t="s">
        <v>11</v>
      </c>
      <c r="H149" t="s">
        <v>11</v>
      </c>
    </row>
    <row r="150" spans="1:8" x14ac:dyDescent="0.35">
      <c r="A150" t="s">
        <v>13</v>
      </c>
      <c r="B150" t="s">
        <v>104</v>
      </c>
      <c r="C150" t="s">
        <v>1452</v>
      </c>
      <c r="D150">
        <v>3</v>
      </c>
      <c r="E150">
        <v>3</v>
      </c>
      <c r="F150" t="s">
        <v>7</v>
      </c>
      <c r="G150" t="s">
        <v>115</v>
      </c>
      <c r="H150" t="s">
        <v>11</v>
      </c>
    </row>
    <row r="151" spans="1:8" x14ac:dyDescent="0.35">
      <c r="A151" t="s">
        <v>13</v>
      </c>
      <c r="B151" t="s">
        <v>104</v>
      </c>
      <c r="C151" t="s">
        <v>1351</v>
      </c>
      <c r="D151">
        <v>3</v>
      </c>
      <c r="E151">
        <v>3</v>
      </c>
      <c r="F151" t="s">
        <v>7</v>
      </c>
      <c r="G151" t="s">
        <v>11</v>
      </c>
      <c r="H151" t="s">
        <v>11</v>
      </c>
    </row>
    <row r="152" spans="1:8" x14ac:dyDescent="0.35">
      <c r="A152" t="s">
        <v>13</v>
      </c>
      <c r="B152" t="s">
        <v>104</v>
      </c>
      <c r="C152" t="s">
        <v>1352</v>
      </c>
      <c r="D152">
        <v>3</v>
      </c>
      <c r="E152">
        <v>3</v>
      </c>
      <c r="F152" t="s">
        <v>7</v>
      </c>
      <c r="G152" t="s">
        <v>11</v>
      </c>
      <c r="H152" t="s">
        <v>11</v>
      </c>
    </row>
    <row r="153" spans="1:8" x14ac:dyDescent="0.35">
      <c r="A153" t="s">
        <v>13</v>
      </c>
      <c r="B153" t="s">
        <v>104</v>
      </c>
      <c r="C153" t="s">
        <v>1453</v>
      </c>
      <c r="D153">
        <v>3</v>
      </c>
      <c r="E153">
        <v>3</v>
      </c>
      <c r="F153" t="s">
        <v>7</v>
      </c>
      <c r="G153" t="s">
        <v>11</v>
      </c>
      <c r="H153" t="s">
        <v>11</v>
      </c>
    </row>
    <row r="154" spans="1:8" x14ac:dyDescent="0.35">
      <c r="A154" t="s">
        <v>13</v>
      </c>
      <c r="B154" t="s">
        <v>104</v>
      </c>
      <c r="C154" t="s">
        <v>1454</v>
      </c>
      <c r="D154">
        <v>3</v>
      </c>
      <c r="E154">
        <v>3</v>
      </c>
      <c r="F154" t="s">
        <v>7</v>
      </c>
      <c r="G154" t="s">
        <v>115</v>
      </c>
      <c r="H154" t="s">
        <v>11</v>
      </c>
    </row>
    <row r="155" spans="1:8" x14ac:dyDescent="0.35">
      <c r="A155" t="s">
        <v>13</v>
      </c>
      <c r="B155" t="s">
        <v>104</v>
      </c>
      <c r="C155" t="s">
        <v>1455</v>
      </c>
      <c r="D155">
        <v>3</v>
      </c>
      <c r="E155">
        <v>3</v>
      </c>
      <c r="F155" t="s">
        <v>7</v>
      </c>
      <c r="G155" t="s">
        <v>11</v>
      </c>
      <c r="H155" t="s">
        <v>11</v>
      </c>
    </row>
    <row r="156" spans="1:8" x14ac:dyDescent="0.35">
      <c r="A156" t="s">
        <v>13</v>
      </c>
      <c r="B156" t="s">
        <v>104</v>
      </c>
      <c r="C156" t="s">
        <v>1456</v>
      </c>
      <c r="D156">
        <v>3</v>
      </c>
      <c r="E156">
        <v>3</v>
      </c>
      <c r="F156" t="s">
        <v>7</v>
      </c>
      <c r="G156" t="s">
        <v>11</v>
      </c>
      <c r="H156" t="s">
        <v>11</v>
      </c>
    </row>
    <row r="157" spans="1:8" x14ac:dyDescent="0.35">
      <c r="A157" t="s">
        <v>13</v>
      </c>
      <c r="B157" t="s">
        <v>104</v>
      </c>
      <c r="C157" t="s">
        <v>1356</v>
      </c>
      <c r="D157">
        <v>3</v>
      </c>
      <c r="E157">
        <v>4</v>
      </c>
      <c r="F157" t="s">
        <v>7</v>
      </c>
      <c r="G157" t="s">
        <v>11</v>
      </c>
      <c r="H157" t="s">
        <v>11</v>
      </c>
    </row>
    <row r="158" spans="1:8" x14ac:dyDescent="0.35">
      <c r="A158" t="s">
        <v>13</v>
      </c>
      <c r="B158" t="s">
        <v>104</v>
      </c>
      <c r="C158" t="s">
        <v>1358</v>
      </c>
      <c r="D158">
        <v>2</v>
      </c>
      <c r="E158">
        <v>4</v>
      </c>
      <c r="F158" t="s">
        <v>7</v>
      </c>
      <c r="G158" t="s">
        <v>11</v>
      </c>
      <c r="H158" t="s">
        <v>11</v>
      </c>
    </row>
    <row r="159" spans="1:8" x14ac:dyDescent="0.35">
      <c r="A159" t="s">
        <v>13</v>
      </c>
      <c r="B159" t="s">
        <v>104</v>
      </c>
      <c r="C159" t="s">
        <v>1457</v>
      </c>
      <c r="D159">
        <v>3</v>
      </c>
      <c r="E159">
        <v>3</v>
      </c>
      <c r="F159" t="s">
        <v>7</v>
      </c>
      <c r="G159" t="s">
        <v>115</v>
      </c>
      <c r="H159" t="s">
        <v>11</v>
      </c>
    </row>
    <row r="160" spans="1:8" x14ac:dyDescent="0.35">
      <c r="A160" t="s">
        <v>13</v>
      </c>
      <c r="B160" t="s">
        <v>104</v>
      </c>
      <c r="C160" t="s">
        <v>1458</v>
      </c>
      <c r="D160">
        <v>3</v>
      </c>
      <c r="E160">
        <v>3</v>
      </c>
      <c r="F160" t="s">
        <v>7</v>
      </c>
      <c r="G160" t="s">
        <v>11</v>
      </c>
      <c r="H160" t="s">
        <v>11</v>
      </c>
    </row>
    <row r="161" spans="1:8" x14ac:dyDescent="0.35">
      <c r="A161" t="s">
        <v>13</v>
      </c>
      <c r="B161" t="s">
        <v>104</v>
      </c>
      <c r="C161" t="s">
        <v>1361</v>
      </c>
      <c r="D161">
        <v>3</v>
      </c>
      <c r="E161">
        <v>3</v>
      </c>
      <c r="F161" t="s">
        <v>7</v>
      </c>
      <c r="G161" t="s">
        <v>11</v>
      </c>
      <c r="H161" t="s">
        <v>11</v>
      </c>
    </row>
    <row r="162" spans="1:8" x14ac:dyDescent="0.35">
      <c r="A162" t="s">
        <v>13</v>
      </c>
      <c r="B162" t="s">
        <v>104</v>
      </c>
      <c r="C162" t="s">
        <v>1362</v>
      </c>
      <c r="D162">
        <v>2</v>
      </c>
      <c r="E162">
        <v>3</v>
      </c>
      <c r="F162" t="s">
        <v>7</v>
      </c>
      <c r="G162" t="s">
        <v>11</v>
      </c>
      <c r="H162" t="s">
        <v>11</v>
      </c>
    </row>
    <row r="163" spans="1:8" x14ac:dyDescent="0.35">
      <c r="A163" t="s">
        <v>13</v>
      </c>
      <c r="B163" t="s">
        <v>104</v>
      </c>
      <c r="C163" t="s">
        <v>1459</v>
      </c>
      <c r="D163">
        <v>3</v>
      </c>
      <c r="E163">
        <v>3</v>
      </c>
      <c r="F163" t="s">
        <v>7</v>
      </c>
      <c r="G163" t="s">
        <v>11</v>
      </c>
      <c r="H163" t="s">
        <v>11</v>
      </c>
    </row>
    <row r="164" spans="1:8" x14ac:dyDescent="0.35">
      <c r="A164" t="s">
        <v>13</v>
      </c>
      <c r="B164" t="s">
        <v>104</v>
      </c>
      <c r="C164" t="s">
        <v>1460</v>
      </c>
      <c r="D164">
        <v>3</v>
      </c>
      <c r="E164">
        <v>4</v>
      </c>
      <c r="F164" t="s">
        <v>7</v>
      </c>
      <c r="G164" t="s">
        <v>11</v>
      </c>
      <c r="H164" t="s">
        <v>11</v>
      </c>
    </row>
    <row r="165" spans="1:8" x14ac:dyDescent="0.35">
      <c r="A165" t="s">
        <v>13</v>
      </c>
      <c r="B165" t="s">
        <v>104</v>
      </c>
      <c r="C165" t="s">
        <v>1461</v>
      </c>
      <c r="D165">
        <v>3</v>
      </c>
      <c r="E165">
        <v>3</v>
      </c>
      <c r="F165" t="s">
        <v>7</v>
      </c>
      <c r="G165" t="s">
        <v>11</v>
      </c>
      <c r="H165" t="s">
        <v>11</v>
      </c>
    </row>
    <row r="166" spans="1:8" x14ac:dyDescent="0.35">
      <c r="A166" t="s">
        <v>13</v>
      </c>
      <c r="B166" t="s">
        <v>104</v>
      </c>
      <c r="C166" t="s">
        <v>1364</v>
      </c>
      <c r="D166">
        <v>3</v>
      </c>
      <c r="E166">
        <v>3</v>
      </c>
      <c r="F166" t="s">
        <v>7</v>
      </c>
      <c r="G166" t="s">
        <v>11</v>
      </c>
      <c r="H166" t="s">
        <v>11</v>
      </c>
    </row>
    <row r="167" spans="1:8" x14ac:dyDescent="0.35">
      <c r="A167" t="s">
        <v>13</v>
      </c>
      <c r="B167" t="s">
        <v>104</v>
      </c>
      <c r="C167" t="s">
        <v>1462</v>
      </c>
      <c r="D167">
        <v>3</v>
      </c>
      <c r="E167">
        <v>3</v>
      </c>
      <c r="F167" t="s">
        <v>7</v>
      </c>
      <c r="G167" t="s">
        <v>11</v>
      </c>
      <c r="H167" t="s">
        <v>11</v>
      </c>
    </row>
    <row r="168" spans="1:8" x14ac:dyDescent="0.35">
      <c r="A168" t="s">
        <v>13</v>
      </c>
      <c r="B168" t="s">
        <v>104</v>
      </c>
      <c r="C168" t="s">
        <v>1366</v>
      </c>
      <c r="D168">
        <v>3</v>
      </c>
      <c r="E168">
        <v>3</v>
      </c>
      <c r="F168" t="s">
        <v>7</v>
      </c>
      <c r="G168" t="s">
        <v>11</v>
      </c>
      <c r="H168" t="s">
        <v>11</v>
      </c>
    </row>
    <row r="169" spans="1:8" x14ac:dyDescent="0.35">
      <c r="A169" t="s">
        <v>13</v>
      </c>
      <c r="B169" t="s">
        <v>104</v>
      </c>
      <c r="C169" t="s">
        <v>1463</v>
      </c>
      <c r="D169">
        <v>3</v>
      </c>
      <c r="E169">
        <v>3</v>
      </c>
      <c r="F169" t="s">
        <v>7</v>
      </c>
      <c r="G169" t="s">
        <v>11</v>
      </c>
      <c r="H169" t="s">
        <v>11</v>
      </c>
    </row>
    <row r="170" spans="1:8" x14ac:dyDescent="0.35">
      <c r="A170" t="s">
        <v>13</v>
      </c>
      <c r="B170" t="s">
        <v>104</v>
      </c>
      <c r="C170" t="s">
        <v>1464</v>
      </c>
      <c r="D170">
        <v>3</v>
      </c>
      <c r="E170">
        <v>3</v>
      </c>
      <c r="F170" t="s">
        <v>7</v>
      </c>
      <c r="G170" t="s">
        <v>11</v>
      </c>
      <c r="H170" t="s">
        <v>11</v>
      </c>
    </row>
    <row r="171" spans="1:8" x14ac:dyDescent="0.35">
      <c r="A171" t="s">
        <v>13</v>
      </c>
      <c r="B171" t="s">
        <v>104</v>
      </c>
      <c r="C171" t="s">
        <v>1465</v>
      </c>
      <c r="D171">
        <v>3</v>
      </c>
      <c r="E171">
        <v>3</v>
      </c>
      <c r="F171" t="s">
        <v>7</v>
      </c>
      <c r="G171" t="s">
        <v>11</v>
      </c>
      <c r="H171" t="s">
        <v>11</v>
      </c>
    </row>
    <row r="172" spans="1:8" x14ac:dyDescent="0.35">
      <c r="A172" t="s">
        <v>13</v>
      </c>
      <c r="B172" t="s">
        <v>104</v>
      </c>
      <c r="C172" t="s">
        <v>1466</v>
      </c>
      <c r="D172">
        <v>3</v>
      </c>
      <c r="E172">
        <v>3</v>
      </c>
      <c r="F172" t="s">
        <v>7</v>
      </c>
      <c r="G172" t="s">
        <v>11</v>
      </c>
      <c r="H172" t="s">
        <v>11</v>
      </c>
    </row>
    <row r="173" spans="1:8" x14ac:dyDescent="0.35">
      <c r="A173" t="s">
        <v>13</v>
      </c>
      <c r="B173" t="s">
        <v>104</v>
      </c>
      <c r="C173" t="s">
        <v>1467</v>
      </c>
      <c r="D173">
        <v>3</v>
      </c>
      <c r="E173">
        <v>3</v>
      </c>
      <c r="F173" t="s">
        <v>7</v>
      </c>
      <c r="G173" t="s">
        <v>11</v>
      </c>
      <c r="H173" t="s">
        <v>11</v>
      </c>
    </row>
    <row r="174" spans="1:8" x14ac:dyDescent="0.35">
      <c r="A174" t="s">
        <v>13</v>
      </c>
      <c r="B174" t="s">
        <v>104</v>
      </c>
      <c r="C174" t="s">
        <v>1367</v>
      </c>
      <c r="D174">
        <v>2</v>
      </c>
      <c r="E174">
        <v>3</v>
      </c>
      <c r="F174" t="s">
        <v>7</v>
      </c>
      <c r="G174" t="s">
        <v>11</v>
      </c>
      <c r="H174" t="s">
        <v>11</v>
      </c>
    </row>
    <row r="175" spans="1:8" x14ac:dyDescent="0.35">
      <c r="A175" t="s">
        <v>13</v>
      </c>
      <c r="B175" t="s">
        <v>104</v>
      </c>
      <c r="C175" t="s">
        <v>1468</v>
      </c>
      <c r="D175">
        <v>3</v>
      </c>
      <c r="E175">
        <v>3</v>
      </c>
      <c r="F175" t="s">
        <v>7</v>
      </c>
      <c r="G175" t="s">
        <v>11</v>
      </c>
      <c r="H175" t="s">
        <v>11</v>
      </c>
    </row>
    <row r="176" spans="1:8" x14ac:dyDescent="0.35">
      <c r="A176" t="s">
        <v>13</v>
      </c>
      <c r="B176" t="s">
        <v>104</v>
      </c>
      <c r="C176" t="s">
        <v>1469</v>
      </c>
      <c r="D176">
        <v>3</v>
      </c>
      <c r="E176">
        <v>3</v>
      </c>
      <c r="F176" t="s">
        <v>7</v>
      </c>
      <c r="G176" t="s">
        <v>11</v>
      </c>
      <c r="H176" t="s">
        <v>11</v>
      </c>
    </row>
    <row r="177" spans="1:8" x14ac:dyDescent="0.35">
      <c r="A177" t="s">
        <v>13</v>
      </c>
      <c r="B177" t="s">
        <v>104</v>
      </c>
      <c r="C177" t="s">
        <v>1470</v>
      </c>
      <c r="D177">
        <v>3</v>
      </c>
      <c r="E177">
        <v>3</v>
      </c>
      <c r="F177" t="s">
        <v>7</v>
      </c>
      <c r="G177" t="s">
        <v>11</v>
      </c>
      <c r="H177" t="s">
        <v>11</v>
      </c>
    </row>
    <row r="178" spans="1:8" x14ac:dyDescent="0.35">
      <c r="A178" t="s">
        <v>13</v>
      </c>
      <c r="B178" t="s">
        <v>104</v>
      </c>
      <c r="C178" t="s">
        <v>1471</v>
      </c>
      <c r="D178">
        <v>2</v>
      </c>
      <c r="E178">
        <v>4</v>
      </c>
      <c r="F178" t="s">
        <v>7</v>
      </c>
      <c r="G178" t="s">
        <v>11</v>
      </c>
      <c r="H178" t="s">
        <v>11</v>
      </c>
    </row>
    <row r="179" spans="1:8" x14ac:dyDescent="0.35">
      <c r="A179" t="s">
        <v>13</v>
      </c>
      <c r="B179" t="s">
        <v>104</v>
      </c>
      <c r="C179" t="s">
        <v>1472</v>
      </c>
      <c r="D179">
        <v>3</v>
      </c>
      <c r="E179">
        <v>3</v>
      </c>
      <c r="F179" t="s">
        <v>7</v>
      </c>
      <c r="G179" t="s">
        <v>11</v>
      </c>
      <c r="H179" t="s">
        <v>11</v>
      </c>
    </row>
    <row r="180" spans="1:8" x14ac:dyDescent="0.35">
      <c r="A180" t="s">
        <v>13</v>
      </c>
      <c r="B180" t="s">
        <v>104</v>
      </c>
      <c r="C180" t="s">
        <v>1473</v>
      </c>
      <c r="D180">
        <v>3</v>
      </c>
      <c r="E180">
        <v>3</v>
      </c>
      <c r="F180" t="s">
        <v>7</v>
      </c>
      <c r="G180" t="s">
        <v>115</v>
      </c>
      <c r="H180" t="s">
        <v>11</v>
      </c>
    </row>
    <row r="181" spans="1:8" x14ac:dyDescent="0.35">
      <c r="A181" t="s">
        <v>13</v>
      </c>
      <c r="B181" t="s">
        <v>104</v>
      </c>
      <c r="C181" t="s">
        <v>1474</v>
      </c>
      <c r="D181">
        <v>2</v>
      </c>
      <c r="E181">
        <v>3</v>
      </c>
      <c r="F181" t="s">
        <v>7</v>
      </c>
      <c r="G181" t="s">
        <v>11</v>
      </c>
      <c r="H181" t="s">
        <v>11</v>
      </c>
    </row>
    <row r="182" spans="1:8" x14ac:dyDescent="0.35">
      <c r="A182" t="s">
        <v>13</v>
      </c>
      <c r="B182" t="s">
        <v>104</v>
      </c>
      <c r="C182" t="s">
        <v>1475</v>
      </c>
      <c r="D182">
        <v>2</v>
      </c>
      <c r="E182">
        <v>4</v>
      </c>
      <c r="F182" t="s">
        <v>7</v>
      </c>
      <c r="G182" t="s">
        <v>11</v>
      </c>
      <c r="H182" t="s">
        <v>11</v>
      </c>
    </row>
    <row r="183" spans="1:8" x14ac:dyDescent="0.35">
      <c r="A183" t="s">
        <v>13</v>
      </c>
      <c r="B183" t="s">
        <v>104</v>
      </c>
      <c r="C183" t="s">
        <v>1476</v>
      </c>
      <c r="D183">
        <v>3</v>
      </c>
      <c r="E183">
        <v>3</v>
      </c>
      <c r="F183" t="s">
        <v>7</v>
      </c>
      <c r="G183" t="s">
        <v>115</v>
      </c>
      <c r="H183" t="s">
        <v>11</v>
      </c>
    </row>
    <row r="184" spans="1:8" x14ac:dyDescent="0.35">
      <c r="A184" t="s">
        <v>13</v>
      </c>
      <c r="B184" t="s">
        <v>104</v>
      </c>
      <c r="C184" t="s">
        <v>1477</v>
      </c>
      <c r="D184">
        <v>3</v>
      </c>
      <c r="E184">
        <v>3</v>
      </c>
      <c r="F184" t="s">
        <v>7</v>
      </c>
      <c r="G184" t="s">
        <v>11</v>
      </c>
      <c r="H184" t="s">
        <v>11</v>
      </c>
    </row>
    <row r="185" spans="1:8" x14ac:dyDescent="0.35">
      <c r="A185" t="s">
        <v>13</v>
      </c>
      <c r="B185" t="s">
        <v>104</v>
      </c>
      <c r="C185" t="s">
        <v>1376</v>
      </c>
      <c r="D185">
        <v>3</v>
      </c>
      <c r="E185">
        <v>4</v>
      </c>
      <c r="F185" t="s">
        <v>7</v>
      </c>
      <c r="G185" t="s">
        <v>11</v>
      </c>
      <c r="H185" t="s">
        <v>11</v>
      </c>
    </row>
    <row r="186" spans="1:8" x14ac:dyDescent="0.35">
      <c r="A186" t="s">
        <v>13</v>
      </c>
      <c r="B186" t="s">
        <v>104</v>
      </c>
      <c r="C186" t="s">
        <v>1478</v>
      </c>
      <c r="D186">
        <v>3</v>
      </c>
      <c r="E186">
        <v>3</v>
      </c>
      <c r="F186" t="s">
        <v>7</v>
      </c>
      <c r="G186" t="s">
        <v>11</v>
      </c>
      <c r="H186" t="s">
        <v>11</v>
      </c>
    </row>
    <row r="187" spans="1:8" x14ac:dyDescent="0.35">
      <c r="A187" t="s">
        <v>13</v>
      </c>
      <c r="B187" t="s">
        <v>104</v>
      </c>
      <c r="C187" t="s">
        <v>1479</v>
      </c>
      <c r="D187">
        <v>3</v>
      </c>
      <c r="E187">
        <v>3</v>
      </c>
      <c r="F187" t="s">
        <v>7</v>
      </c>
      <c r="G187" t="s">
        <v>11</v>
      </c>
      <c r="H187" t="s">
        <v>11</v>
      </c>
    </row>
    <row r="188" spans="1:8" x14ac:dyDescent="0.35">
      <c r="A188" t="s">
        <v>13</v>
      </c>
      <c r="B188" t="s">
        <v>104</v>
      </c>
      <c r="C188" t="s">
        <v>1480</v>
      </c>
      <c r="D188">
        <v>3</v>
      </c>
      <c r="E188">
        <v>3</v>
      </c>
      <c r="F188" t="s">
        <v>7</v>
      </c>
      <c r="G188" t="s">
        <v>11</v>
      </c>
      <c r="H188" t="s">
        <v>11</v>
      </c>
    </row>
    <row r="189" spans="1:8" x14ac:dyDescent="0.35">
      <c r="A189" t="s">
        <v>15</v>
      </c>
      <c r="B189" t="s">
        <v>74</v>
      </c>
      <c r="C189" t="s">
        <v>1481</v>
      </c>
      <c r="D189">
        <v>2</v>
      </c>
      <c r="E189">
        <v>3</v>
      </c>
      <c r="F189" t="s">
        <v>105</v>
      </c>
      <c r="G189" t="s">
        <v>11</v>
      </c>
      <c r="H189" t="s">
        <v>11</v>
      </c>
    </row>
    <row r="190" spans="1:8" x14ac:dyDescent="0.35">
      <c r="A190" t="s">
        <v>15</v>
      </c>
      <c r="B190" t="s">
        <v>74</v>
      </c>
      <c r="C190" t="s">
        <v>1482</v>
      </c>
      <c r="D190">
        <v>2</v>
      </c>
      <c r="E190">
        <v>6</v>
      </c>
      <c r="F190" t="s">
        <v>75</v>
      </c>
      <c r="G190" t="s">
        <v>11</v>
      </c>
      <c r="H190" t="s">
        <v>11</v>
      </c>
    </row>
    <row r="191" spans="1:8" x14ac:dyDescent="0.35">
      <c r="A191" t="s">
        <v>15</v>
      </c>
      <c r="B191" t="s">
        <v>74</v>
      </c>
      <c r="C191" t="s">
        <v>1483</v>
      </c>
      <c r="D191">
        <v>2</v>
      </c>
      <c r="E191">
        <v>4</v>
      </c>
      <c r="F191" t="s">
        <v>75</v>
      </c>
      <c r="G191" t="s">
        <v>11</v>
      </c>
      <c r="H191" t="s">
        <v>11</v>
      </c>
    </row>
    <row r="192" spans="1:8" x14ac:dyDescent="0.35">
      <c r="A192" t="s">
        <v>15</v>
      </c>
      <c r="B192" t="s">
        <v>74</v>
      </c>
      <c r="C192" t="s">
        <v>1484</v>
      </c>
      <c r="D192">
        <v>3</v>
      </c>
      <c r="E192">
        <v>3</v>
      </c>
      <c r="F192" t="s">
        <v>75</v>
      </c>
      <c r="G192" t="s">
        <v>11</v>
      </c>
      <c r="H192" t="s">
        <v>11</v>
      </c>
    </row>
    <row r="193" spans="1:8" x14ac:dyDescent="0.35">
      <c r="A193" t="s">
        <v>15</v>
      </c>
      <c r="B193" t="s">
        <v>74</v>
      </c>
      <c r="C193" t="s">
        <v>1485</v>
      </c>
      <c r="D193">
        <v>2</v>
      </c>
      <c r="E193">
        <v>4</v>
      </c>
      <c r="F193" t="s">
        <v>75</v>
      </c>
      <c r="G193" t="s">
        <v>11</v>
      </c>
      <c r="H193" t="s">
        <v>11</v>
      </c>
    </row>
    <row r="194" spans="1:8" x14ac:dyDescent="0.35">
      <c r="A194" t="s">
        <v>15</v>
      </c>
      <c r="B194" t="s">
        <v>74</v>
      </c>
      <c r="C194" t="s">
        <v>1486</v>
      </c>
      <c r="D194">
        <v>3</v>
      </c>
      <c r="E194">
        <v>3</v>
      </c>
      <c r="F194" t="s">
        <v>75</v>
      </c>
      <c r="G194" t="s">
        <v>11</v>
      </c>
      <c r="H194" t="s">
        <v>11</v>
      </c>
    </row>
    <row r="195" spans="1:8" x14ac:dyDescent="0.35">
      <c r="A195" t="s">
        <v>15</v>
      </c>
      <c r="B195" t="s">
        <v>74</v>
      </c>
      <c r="C195" t="s">
        <v>1487</v>
      </c>
      <c r="D195">
        <v>2</v>
      </c>
      <c r="E195">
        <v>3</v>
      </c>
      <c r="F195" t="s">
        <v>75</v>
      </c>
      <c r="G195" t="s">
        <v>11</v>
      </c>
      <c r="H195" t="s">
        <v>11</v>
      </c>
    </row>
    <row r="196" spans="1:8" x14ac:dyDescent="0.35">
      <c r="A196" t="s">
        <v>15</v>
      </c>
      <c r="B196" t="s">
        <v>74</v>
      </c>
      <c r="C196" t="s">
        <v>1488</v>
      </c>
      <c r="D196">
        <v>3</v>
      </c>
      <c r="E196">
        <v>4</v>
      </c>
      <c r="F196" t="s">
        <v>105</v>
      </c>
      <c r="G196" t="s">
        <v>11</v>
      </c>
      <c r="H196" t="s">
        <v>11</v>
      </c>
    </row>
    <row r="197" spans="1:8" x14ac:dyDescent="0.35">
      <c r="A197" t="s">
        <v>15</v>
      </c>
      <c r="B197" t="s">
        <v>74</v>
      </c>
      <c r="C197" t="s">
        <v>1489</v>
      </c>
      <c r="D197">
        <v>2</v>
      </c>
      <c r="E197">
        <v>4</v>
      </c>
      <c r="F197" t="s">
        <v>75</v>
      </c>
      <c r="G197" t="s">
        <v>11</v>
      </c>
      <c r="H197" t="s">
        <v>11</v>
      </c>
    </row>
    <row r="198" spans="1:8" x14ac:dyDescent="0.35">
      <c r="A198" t="s">
        <v>15</v>
      </c>
      <c r="B198" t="s">
        <v>74</v>
      </c>
      <c r="C198" t="s">
        <v>1490</v>
      </c>
      <c r="D198">
        <v>2</v>
      </c>
      <c r="E198">
        <v>3</v>
      </c>
      <c r="F198" t="s">
        <v>75</v>
      </c>
      <c r="G198" t="s">
        <v>11</v>
      </c>
      <c r="H198" t="s">
        <v>11</v>
      </c>
    </row>
    <row r="199" spans="1:8" x14ac:dyDescent="0.35">
      <c r="A199" t="s">
        <v>15</v>
      </c>
      <c r="B199" t="s">
        <v>74</v>
      </c>
      <c r="C199" t="s">
        <v>1491</v>
      </c>
      <c r="D199">
        <v>3</v>
      </c>
      <c r="E199">
        <v>3</v>
      </c>
      <c r="F199" t="s">
        <v>75</v>
      </c>
      <c r="G199" t="s">
        <v>11</v>
      </c>
      <c r="H199" t="s">
        <v>11</v>
      </c>
    </row>
    <row r="200" spans="1:8" x14ac:dyDescent="0.35">
      <c r="A200" t="s">
        <v>15</v>
      </c>
      <c r="B200" t="s">
        <v>74</v>
      </c>
      <c r="C200" t="s">
        <v>1492</v>
      </c>
      <c r="D200">
        <v>3</v>
      </c>
      <c r="E200">
        <v>4</v>
      </c>
      <c r="F200" t="s">
        <v>105</v>
      </c>
      <c r="G200" t="s">
        <v>11</v>
      </c>
      <c r="H200" t="s">
        <v>11</v>
      </c>
    </row>
    <row r="201" spans="1:8" x14ac:dyDescent="0.35">
      <c r="A201" t="s">
        <v>15</v>
      </c>
      <c r="B201" t="s">
        <v>74</v>
      </c>
      <c r="C201" t="s">
        <v>1493</v>
      </c>
      <c r="D201">
        <v>3</v>
      </c>
      <c r="E201">
        <v>2</v>
      </c>
      <c r="F201" t="s">
        <v>75</v>
      </c>
      <c r="G201" t="s">
        <v>11</v>
      </c>
      <c r="H201" t="s">
        <v>11</v>
      </c>
    </row>
    <row r="202" spans="1:8" x14ac:dyDescent="0.35">
      <c r="A202" t="s">
        <v>15</v>
      </c>
      <c r="B202" t="s">
        <v>74</v>
      </c>
      <c r="C202" t="s">
        <v>1494</v>
      </c>
      <c r="D202">
        <v>2</v>
      </c>
      <c r="E202">
        <v>4</v>
      </c>
      <c r="F202" t="s">
        <v>75</v>
      </c>
      <c r="G202" t="s">
        <v>11</v>
      </c>
      <c r="H202" t="s">
        <v>11</v>
      </c>
    </row>
    <row r="203" spans="1:8" x14ac:dyDescent="0.35">
      <c r="A203" t="s">
        <v>15</v>
      </c>
      <c r="B203" t="s">
        <v>74</v>
      </c>
      <c r="C203" t="s">
        <v>1495</v>
      </c>
      <c r="D203">
        <v>2</v>
      </c>
      <c r="E203">
        <v>3</v>
      </c>
      <c r="F203" t="s">
        <v>75</v>
      </c>
      <c r="G203" t="s">
        <v>11</v>
      </c>
      <c r="H203" t="s">
        <v>11</v>
      </c>
    </row>
    <row r="204" spans="1:8" x14ac:dyDescent="0.35">
      <c r="A204" t="s">
        <v>15</v>
      </c>
      <c r="B204" t="s">
        <v>74</v>
      </c>
      <c r="C204" t="s">
        <v>1496</v>
      </c>
      <c r="D204">
        <v>3</v>
      </c>
      <c r="E204">
        <v>3</v>
      </c>
      <c r="F204" t="s">
        <v>75</v>
      </c>
      <c r="G204" t="s">
        <v>11</v>
      </c>
      <c r="H204" t="s">
        <v>11</v>
      </c>
    </row>
    <row r="205" spans="1:8" x14ac:dyDescent="0.35">
      <c r="A205" t="s">
        <v>15</v>
      </c>
      <c r="B205" t="s">
        <v>74</v>
      </c>
      <c r="C205" t="s">
        <v>1497</v>
      </c>
      <c r="D205">
        <v>3</v>
      </c>
      <c r="E205">
        <v>4</v>
      </c>
      <c r="F205" t="s">
        <v>75</v>
      </c>
      <c r="G205" t="s">
        <v>11</v>
      </c>
      <c r="H205" t="s">
        <v>11</v>
      </c>
    </row>
    <row r="206" spans="1:8" x14ac:dyDescent="0.35">
      <c r="A206" t="s">
        <v>15</v>
      </c>
      <c r="B206" t="s">
        <v>74</v>
      </c>
      <c r="C206" t="s">
        <v>1498</v>
      </c>
      <c r="D206">
        <v>3</v>
      </c>
      <c r="E206">
        <v>5</v>
      </c>
      <c r="F206" t="s">
        <v>75</v>
      </c>
      <c r="G206" t="s">
        <v>11</v>
      </c>
      <c r="H206" t="s">
        <v>11</v>
      </c>
    </row>
    <row r="207" spans="1:8" x14ac:dyDescent="0.35">
      <c r="A207" t="s">
        <v>15</v>
      </c>
      <c r="B207" t="s">
        <v>74</v>
      </c>
      <c r="C207" t="s">
        <v>1499</v>
      </c>
      <c r="D207">
        <v>2</v>
      </c>
      <c r="E207">
        <v>3</v>
      </c>
      <c r="F207" t="s">
        <v>75</v>
      </c>
      <c r="G207" t="s">
        <v>11</v>
      </c>
      <c r="H207" t="s">
        <v>11</v>
      </c>
    </row>
    <row r="208" spans="1:8" x14ac:dyDescent="0.35">
      <c r="A208" t="s">
        <v>15</v>
      </c>
      <c r="B208" t="s">
        <v>74</v>
      </c>
      <c r="C208" t="s">
        <v>1500</v>
      </c>
      <c r="D208">
        <v>2</v>
      </c>
      <c r="E208">
        <v>3</v>
      </c>
      <c r="F208" t="s">
        <v>75</v>
      </c>
      <c r="G208" t="s">
        <v>11</v>
      </c>
      <c r="H208" t="s">
        <v>11</v>
      </c>
    </row>
    <row r="209" spans="1:8" x14ac:dyDescent="0.35">
      <c r="A209" t="s">
        <v>15</v>
      </c>
      <c r="B209" t="s">
        <v>74</v>
      </c>
      <c r="C209" t="s">
        <v>1501</v>
      </c>
      <c r="D209">
        <v>3</v>
      </c>
      <c r="E209">
        <v>3</v>
      </c>
      <c r="F209" t="s">
        <v>105</v>
      </c>
      <c r="G209" t="s">
        <v>11</v>
      </c>
      <c r="H209" t="s">
        <v>11</v>
      </c>
    </row>
    <row r="210" spans="1:8" x14ac:dyDescent="0.35">
      <c r="A210" t="s">
        <v>15</v>
      </c>
      <c r="B210" t="s">
        <v>74</v>
      </c>
      <c r="C210" t="s">
        <v>1502</v>
      </c>
      <c r="D210">
        <v>2</v>
      </c>
      <c r="E210">
        <v>4</v>
      </c>
      <c r="F210" t="s">
        <v>75</v>
      </c>
      <c r="G210" t="s">
        <v>11</v>
      </c>
      <c r="H210" t="s">
        <v>11</v>
      </c>
    </row>
    <row r="211" spans="1:8" x14ac:dyDescent="0.35">
      <c r="A211" t="s">
        <v>15</v>
      </c>
      <c r="B211" t="s">
        <v>74</v>
      </c>
      <c r="C211" t="s">
        <v>1503</v>
      </c>
      <c r="D211">
        <v>3</v>
      </c>
      <c r="E211">
        <v>3</v>
      </c>
      <c r="F211" t="s">
        <v>105</v>
      </c>
      <c r="G211" t="s">
        <v>11</v>
      </c>
      <c r="H211" t="s">
        <v>11</v>
      </c>
    </row>
    <row r="212" spans="1:8" x14ac:dyDescent="0.35">
      <c r="A212" t="s">
        <v>15</v>
      </c>
      <c r="B212" t="s">
        <v>74</v>
      </c>
      <c r="C212" t="s">
        <v>1504</v>
      </c>
      <c r="D212">
        <v>3</v>
      </c>
      <c r="E212">
        <v>3</v>
      </c>
      <c r="F212" t="s">
        <v>75</v>
      </c>
      <c r="G212" t="s">
        <v>11</v>
      </c>
      <c r="H212" t="s">
        <v>11</v>
      </c>
    </row>
    <row r="213" spans="1:8" x14ac:dyDescent="0.35">
      <c r="A213" t="s">
        <v>15</v>
      </c>
      <c r="B213" t="s">
        <v>74</v>
      </c>
      <c r="C213" t="s">
        <v>1505</v>
      </c>
      <c r="D213">
        <v>3</v>
      </c>
      <c r="E213">
        <v>5</v>
      </c>
      <c r="F213" t="s">
        <v>75</v>
      </c>
      <c r="G213" t="s">
        <v>11</v>
      </c>
      <c r="H213" t="s">
        <v>11</v>
      </c>
    </row>
    <row r="214" spans="1:8" x14ac:dyDescent="0.35">
      <c r="A214" t="s">
        <v>15</v>
      </c>
      <c r="B214" t="s">
        <v>74</v>
      </c>
      <c r="C214" t="s">
        <v>1506</v>
      </c>
      <c r="D214">
        <v>2</v>
      </c>
      <c r="E214">
        <v>6</v>
      </c>
      <c r="F214" t="s">
        <v>75</v>
      </c>
      <c r="G214" t="s">
        <v>11</v>
      </c>
      <c r="H214" t="s">
        <v>11</v>
      </c>
    </row>
    <row r="215" spans="1:8" x14ac:dyDescent="0.35">
      <c r="A215" t="s">
        <v>15</v>
      </c>
      <c r="B215" t="s">
        <v>74</v>
      </c>
      <c r="C215" t="s">
        <v>1507</v>
      </c>
      <c r="D215">
        <v>2</v>
      </c>
      <c r="E215">
        <v>3</v>
      </c>
      <c r="F215" t="s">
        <v>105</v>
      </c>
      <c r="G215" t="s">
        <v>11</v>
      </c>
      <c r="H215" t="s">
        <v>11</v>
      </c>
    </row>
    <row r="216" spans="1:8" x14ac:dyDescent="0.35">
      <c r="A216" t="s">
        <v>15</v>
      </c>
      <c r="B216" t="s">
        <v>74</v>
      </c>
      <c r="C216" t="s">
        <v>1508</v>
      </c>
      <c r="D216">
        <v>3</v>
      </c>
      <c r="E216">
        <v>3</v>
      </c>
      <c r="F216" t="s">
        <v>105</v>
      </c>
      <c r="G216" t="s">
        <v>11</v>
      </c>
      <c r="H216" t="s">
        <v>11</v>
      </c>
    </row>
    <row r="217" spans="1:8" x14ac:dyDescent="0.35">
      <c r="A217" t="s">
        <v>15</v>
      </c>
      <c r="B217" t="s">
        <v>74</v>
      </c>
      <c r="C217" t="s">
        <v>1459</v>
      </c>
      <c r="D217">
        <v>2</v>
      </c>
      <c r="E217">
        <v>5</v>
      </c>
      <c r="F217" t="s">
        <v>75</v>
      </c>
      <c r="G217" t="s">
        <v>11</v>
      </c>
      <c r="H217" t="s">
        <v>11</v>
      </c>
    </row>
    <row r="218" spans="1:8" x14ac:dyDescent="0.35">
      <c r="A218" t="s">
        <v>15</v>
      </c>
      <c r="B218" t="s">
        <v>74</v>
      </c>
      <c r="C218" t="s">
        <v>1509</v>
      </c>
      <c r="D218">
        <v>3</v>
      </c>
      <c r="E218">
        <v>3</v>
      </c>
      <c r="F218" t="s">
        <v>75</v>
      </c>
      <c r="G218" t="s">
        <v>11</v>
      </c>
      <c r="H218" t="s">
        <v>11</v>
      </c>
    </row>
    <row r="219" spans="1:8" x14ac:dyDescent="0.35">
      <c r="A219" t="s">
        <v>15</v>
      </c>
      <c r="B219" t="s">
        <v>74</v>
      </c>
      <c r="C219" t="s">
        <v>1510</v>
      </c>
      <c r="D219">
        <v>2</v>
      </c>
      <c r="E219">
        <v>3</v>
      </c>
      <c r="F219" t="s">
        <v>75</v>
      </c>
      <c r="G219" t="s">
        <v>11</v>
      </c>
      <c r="H219" t="s">
        <v>11</v>
      </c>
    </row>
    <row r="220" spans="1:8" x14ac:dyDescent="0.35">
      <c r="A220" t="s">
        <v>15</v>
      </c>
      <c r="B220" t="s">
        <v>74</v>
      </c>
      <c r="C220" t="s">
        <v>1511</v>
      </c>
      <c r="D220">
        <v>2</v>
      </c>
      <c r="E220">
        <v>5</v>
      </c>
      <c r="F220" t="s">
        <v>75</v>
      </c>
      <c r="G220" t="s">
        <v>11</v>
      </c>
      <c r="H220" t="s">
        <v>11</v>
      </c>
    </row>
    <row r="221" spans="1:8" x14ac:dyDescent="0.35">
      <c r="A221" t="s">
        <v>15</v>
      </c>
      <c r="B221" t="s">
        <v>74</v>
      </c>
      <c r="C221" t="s">
        <v>1512</v>
      </c>
      <c r="D221">
        <v>2</v>
      </c>
      <c r="E221">
        <v>3</v>
      </c>
      <c r="F221" t="s">
        <v>75</v>
      </c>
      <c r="G221" t="s">
        <v>11</v>
      </c>
      <c r="H221" t="s">
        <v>11</v>
      </c>
    </row>
    <row r="222" spans="1:8" x14ac:dyDescent="0.35">
      <c r="A222" t="s">
        <v>15</v>
      </c>
      <c r="B222" t="s">
        <v>74</v>
      </c>
      <c r="C222" t="s">
        <v>1513</v>
      </c>
      <c r="D222">
        <v>3</v>
      </c>
      <c r="E222">
        <v>3</v>
      </c>
      <c r="F222" t="s">
        <v>75</v>
      </c>
      <c r="G222" t="s">
        <v>11</v>
      </c>
      <c r="H222" t="s">
        <v>11</v>
      </c>
    </row>
    <row r="223" spans="1:8" x14ac:dyDescent="0.35">
      <c r="A223" t="s">
        <v>15</v>
      </c>
      <c r="B223" t="s">
        <v>74</v>
      </c>
      <c r="C223" t="s">
        <v>1514</v>
      </c>
      <c r="D223">
        <v>2</v>
      </c>
      <c r="E223">
        <v>3</v>
      </c>
      <c r="F223" t="s">
        <v>105</v>
      </c>
      <c r="G223" t="s">
        <v>11</v>
      </c>
      <c r="H223" t="s">
        <v>11</v>
      </c>
    </row>
    <row r="224" spans="1:8" x14ac:dyDescent="0.35">
      <c r="A224" t="s">
        <v>15</v>
      </c>
      <c r="B224" t="s">
        <v>74</v>
      </c>
      <c r="C224" t="s">
        <v>1515</v>
      </c>
      <c r="D224">
        <v>2</v>
      </c>
      <c r="E224">
        <v>3</v>
      </c>
      <c r="F224" t="s">
        <v>75</v>
      </c>
      <c r="G224" t="s">
        <v>11</v>
      </c>
      <c r="H224" t="s">
        <v>11</v>
      </c>
    </row>
    <row r="225" spans="1:8" x14ac:dyDescent="0.35">
      <c r="A225" t="s">
        <v>15</v>
      </c>
      <c r="B225" t="s">
        <v>74</v>
      </c>
      <c r="C225" t="s">
        <v>1516</v>
      </c>
      <c r="D225">
        <v>3</v>
      </c>
      <c r="E225">
        <v>3</v>
      </c>
      <c r="F225" t="s">
        <v>75</v>
      </c>
      <c r="G225" t="s">
        <v>11</v>
      </c>
      <c r="H225" t="s">
        <v>11</v>
      </c>
    </row>
    <row r="226" spans="1:8" x14ac:dyDescent="0.35">
      <c r="A226" t="s">
        <v>15</v>
      </c>
      <c r="B226" t="s">
        <v>74</v>
      </c>
      <c r="C226" t="s">
        <v>1517</v>
      </c>
      <c r="D226">
        <v>2</v>
      </c>
      <c r="E226">
        <v>3</v>
      </c>
      <c r="F226" t="s">
        <v>105</v>
      </c>
      <c r="G226" t="s">
        <v>11</v>
      </c>
      <c r="H226" t="s">
        <v>11</v>
      </c>
    </row>
    <row r="227" spans="1:8" x14ac:dyDescent="0.35">
      <c r="A227" t="s">
        <v>15</v>
      </c>
      <c r="B227" t="s">
        <v>74</v>
      </c>
      <c r="C227" t="s">
        <v>1518</v>
      </c>
      <c r="D227">
        <v>3</v>
      </c>
      <c r="E227">
        <v>3</v>
      </c>
      <c r="F227" t="s">
        <v>75</v>
      </c>
      <c r="G227" t="s">
        <v>11</v>
      </c>
      <c r="H227" t="s">
        <v>11</v>
      </c>
    </row>
    <row r="228" spans="1:8" x14ac:dyDescent="0.35">
      <c r="A228" t="s">
        <v>15</v>
      </c>
      <c r="B228" t="s">
        <v>74</v>
      </c>
      <c r="C228" t="s">
        <v>1519</v>
      </c>
      <c r="D228">
        <v>2</v>
      </c>
      <c r="E228">
        <v>3</v>
      </c>
      <c r="F228" t="s">
        <v>105</v>
      </c>
      <c r="G228" t="s">
        <v>11</v>
      </c>
      <c r="H228" t="s">
        <v>11</v>
      </c>
    </row>
    <row r="229" spans="1:8" x14ac:dyDescent="0.35">
      <c r="A229" t="s">
        <v>15</v>
      </c>
      <c r="B229" t="s">
        <v>74</v>
      </c>
      <c r="C229" t="s">
        <v>1520</v>
      </c>
      <c r="D229">
        <v>2</v>
      </c>
      <c r="E229">
        <v>3</v>
      </c>
      <c r="F229" t="s">
        <v>105</v>
      </c>
      <c r="G229" t="s">
        <v>11</v>
      </c>
      <c r="H229" t="s">
        <v>11</v>
      </c>
    </row>
    <row r="230" spans="1:8" x14ac:dyDescent="0.35">
      <c r="A230" t="s">
        <v>15</v>
      </c>
      <c r="B230" t="s">
        <v>74</v>
      </c>
      <c r="C230" t="s">
        <v>1521</v>
      </c>
      <c r="D230">
        <v>1</v>
      </c>
      <c r="E230">
        <v>3</v>
      </c>
      <c r="F230" t="s">
        <v>105</v>
      </c>
      <c r="G230" t="s">
        <v>11</v>
      </c>
      <c r="H230" t="s">
        <v>11</v>
      </c>
    </row>
    <row r="231" spans="1:8" x14ac:dyDescent="0.35">
      <c r="A231" t="s">
        <v>15</v>
      </c>
      <c r="B231" t="s">
        <v>74</v>
      </c>
      <c r="C231" t="s">
        <v>1522</v>
      </c>
      <c r="D231">
        <v>2</v>
      </c>
      <c r="E231">
        <v>3</v>
      </c>
      <c r="F231" t="s">
        <v>105</v>
      </c>
      <c r="G231" t="s">
        <v>11</v>
      </c>
      <c r="H231" t="s">
        <v>11</v>
      </c>
    </row>
    <row r="232" spans="1:8" x14ac:dyDescent="0.35">
      <c r="A232" t="s">
        <v>15</v>
      </c>
      <c r="B232" t="s">
        <v>74</v>
      </c>
      <c r="C232" t="s">
        <v>1421</v>
      </c>
      <c r="D232">
        <v>2</v>
      </c>
      <c r="E232">
        <v>3</v>
      </c>
      <c r="F232" t="s">
        <v>105</v>
      </c>
      <c r="G232" t="s">
        <v>11</v>
      </c>
      <c r="H232" t="s">
        <v>11</v>
      </c>
    </row>
    <row r="233" spans="1:8" x14ac:dyDescent="0.35">
      <c r="A233" t="s">
        <v>15</v>
      </c>
      <c r="B233" t="s">
        <v>74</v>
      </c>
      <c r="C233" t="s">
        <v>1523</v>
      </c>
      <c r="D233">
        <v>3</v>
      </c>
      <c r="E233">
        <v>3</v>
      </c>
      <c r="F233" t="s">
        <v>75</v>
      </c>
      <c r="G233" t="s">
        <v>11</v>
      </c>
      <c r="H233" t="s">
        <v>11</v>
      </c>
    </row>
    <row r="234" spans="1:8" x14ac:dyDescent="0.35">
      <c r="A234" t="s">
        <v>15</v>
      </c>
      <c r="B234" t="s">
        <v>74</v>
      </c>
      <c r="C234" t="s">
        <v>1524</v>
      </c>
      <c r="D234">
        <v>2</v>
      </c>
      <c r="E234">
        <v>5</v>
      </c>
      <c r="F234" t="s">
        <v>75</v>
      </c>
      <c r="G234" t="s">
        <v>11</v>
      </c>
      <c r="H234" t="s">
        <v>11</v>
      </c>
    </row>
    <row r="235" spans="1:8" x14ac:dyDescent="0.35">
      <c r="A235" t="s">
        <v>15</v>
      </c>
      <c r="B235" t="s">
        <v>74</v>
      </c>
      <c r="C235" t="s">
        <v>1525</v>
      </c>
      <c r="D235">
        <v>3</v>
      </c>
      <c r="E235">
        <v>5</v>
      </c>
      <c r="F235" t="s">
        <v>75</v>
      </c>
      <c r="G235" t="s">
        <v>11</v>
      </c>
      <c r="H235" t="s">
        <v>11</v>
      </c>
    </row>
    <row r="236" spans="1:8" x14ac:dyDescent="0.35">
      <c r="A236" t="s">
        <v>15</v>
      </c>
      <c r="B236" t="s">
        <v>74</v>
      </c>
      <c r="C236" t="s">
        <v>1526</v>
      </c>
      <c r="D236">
        <v>3</v>
      </c>
      <c r="E236">
        <v>3</v>
      </c>
      <c r="F236" t="s">
        <v>75</v>
      </c>
      <c r="G236" t="s">
        <v>11</v>
      </c>
      <c r="H236" t="s">
        <v>11</v>
      </c>
    </row>
    <row r="237" spans="1:8" x14ac:dyDescent="0.35">
      <c r="A237" t="s">
        <v>15</v>
      </c>
      <c r="B237" t="s">
        <v>74</v>
      </c>
      <c r="C237" t="s">
        <v>1527</v>
      </c>
      <c r="D237">
        <v>3</v>
      </c>
      <c r="E237">
        <v>3</v>
      </c>
      <c r="F237" t="s">
        <v>105</v>
      </c>
      <c r="G237" t="s">
        <v>11</v>
      </c>
      <c r="H237" t="s">
        <v>11</v>
      </c>
    </row>
    <row r="238" spans="1:8" x14ac:dyDescent="0.35">
      <c r="A238" t="s">
        <v>15</v>
      </c>
      <c r="B238" t="s">
        <v>74</v>
      </c>
      <c r="C238" t="s">
        <v>1528</v>
      </c>
      <c r="D238">
        <v>3</v>
      </c>
      <c r="E238">
        <v>3</v>
      </c>
      <c r="F238" t="s">
        <v>75</v>
      </c>
      <c r="G238" t="s">
        <v>11</v>
      </c>
      <c r="H238" t="s">
        <v>11</v>
      </c>
    </row>
    <row r="239" spans="1:8" x14ac:dyDescent="0.35">
      <c r="A239" t="s">
        <v>15</v>
      </c>
      <c r="B239" t="s">
        <v>74</v>
      </c>
      <c r="C239" t="s">
        <v>1529</v>
      </c>
      <c r="D239">
        <v>3</v>
      </c>
      <c r="E239">
        <v>3</v>
      </c>
      <c r="F239" t="s">
        <v>75</v>
      </c>
      <c r="G239" t="s">
        <v>11</v>
      </c>
      <c r="H239" t="s">
        <v>11</v>
      </c>
    </row>
    <row r="240" spans="1:8" x14ac:dyDescent="0.35">
      <c r="A240" t="s">
        <v>15</v>
      </c>
      <c r="B240" t="s">
        <v>74</v>
      </c>
      <c r="C240" t="s">
        <v>1530</v>
      </c>
      <c r="D240">
        <v>3</v>
      </c>
      <c r="E240">
        <v>3</v>
      </c>
      <c r="F240" t="s">
        <v>75</v>
      </c>
      <c r="G240" t="s">
        <v>11</v>
      </c>
      <c r="H240" t="s">
        <v>11</v>
      </c>
    </row>
    <row r="241" spans="1:8" x14ac:dyDescent="0.35">
      <c r="A241" t="s">
        <v>15</v>
      </c>
      <c r="B241" t="s">
        <v>74</v>
      </c>
      <c r="C241" t="s">
        <v>1531</v>
      </c>
      <c r="D241">
        <v>3</v>
      </c>
      <c r="E241">
        <v>4</v>
      </c>
      <c r="F241" t="s">
        <v>75</v>
      </c>
      <c r="G241" t="s">
        <v>11</v>
      </c>
      <c r="H241" t="s">
        <v>11</v>
      </c>
    </row>
    <row r="242" spans="1:8" x14ac:dyDescent="0.35">
      <c r="A242" t="s">
        <v>15</v>
      </c>
      <c r="B242" t="s">
        <v>74</v>
      </c>
      <c r="C242" t="s">
        <v>1532</v>
      </c>
      <c r="D242">
        <v>2</v>
      </c>
      <c r="E242">
        <v>3</v>
      </c>
      <c r="F242" t="s">
        <v>75</v>
      </c>
      <c r="G242" t="s">
        <v>11</v>
      </c>
      <c r="H242" t="s">
        <v>11</v>
      </c>
    </row>
    <row r="243" spans="1:8" x14ac:dyDescent="0.35">
      <c r="A243" t="s">
        <v>15</v>
      </c>
      <c r="B243" t="s">
        <v>74</v>
      </c>
      <c r="C243" t="s">
        <v>1533</v>
      </c>
      <c r="D243">
        <v>2</v>
      </c>
      <c r="E243">
        <v>4</v>
      </c>
      <c r="F243" t="s">
        <v>75</v>
      </c>
      <c r="G243" t="s">
        <v>11</v>
      </c>
      <c r="H243" t="s">
        <v>11</v>
      </c>
    </row>
    <row r="244" spans="1:8" x14ac:dyDescent="0.35">
      <c r="A244" t="s">
        <v>15</v>
      </c>
      <c r="B244" t="s">
        <v>74</v>
      </c>
      <c r="C244" t="s">
        <v>1534</v>
      </c>
      <c r="D244">
        <v>1</v>
      </c>
      <c r="E244">
        <v>3</v>
      </c>
      <c r="F244" t="s">
        <v>105</v>
      </c>
      <c r="G244" t="s">
        <v>11</v>
      </c>
      <c r="H244" t="s">
        <v>11</v>
      </c>
    </row>
    <row r="245" spans="1:8" x14ac:dyDescent="0.35">
      <c r="A245" t="s">
        <v>15</v>
      </c>
      <c r="B245" t="s">
        <v>74</v>
      </c>
      <c r="C245" t="s">
        <v>1535</v>
      </c>
      <c r="D245">
        <v>3</v>
      </c>
      <c r="E245">
        <v>3</v>
      </c>
      <c r="F245" t="s">
        <v>75</v>
      </c>
      <c r="G245" t="s">
        <v>11</v>
      </c>
      <c r="H245" t="s">
        <v>11</v>
      </c>
    </row>
    <row r="246" spans="1:8" x14ac:dyDescent="0.35">
      <c r="A246" t="s">
        <v>15</v>
      </c>
      <c r="B246" t="s">
        <v>74</v>
      </c>
      <c r="C246" t="s">
        <v>1536</v>
      </c>
      <c r="D246">
        <v>2</v>
      </c>
      <c r="E246">
        <v>3</v>
      </c>
      <c r="F246" t="s">
        <v>75</v>
      </c>
      <c r="G246" t="s">
        <v>11</v>
      </c>
      <c r="H246" t="s">
        <v>11</v>
      </c>
    </row>
    <row r="247" spans="1:8" x14ac:dyDescent="0.35">
      <c r="A247" t="s">
        <v>16</v>
      </c>
      <c r="B247" t="s">
        <v>40</v>
      </c>
      <c r="C247" t="s">
        <v>1537</v>
      </c>
      <c r="D247">
        <v>1</v>
      </c>
      <c r="E247">
        <v>5</v>
      </c>
      <c r="F247" t="s">
        <v>75</v>
      </c>
      <c r="G247" t="s">
        <v>11</v>
      </c>
      <c r="H247" t="s">
        <v>11</v>
      </c>
    </row>
    <row r="248" spans="1:8" x14ac:dyDescent="0.35">
      <c r="A248" t="s">
        <v>16</v>
      </c>
      <c r="B248" t="s">
        <v>40</v>
      </c>
      <c r="C248" t="s">
        <v>1538</v>
      </c>
      <c r="D248">
        <v>2</v>
      </c>
      <c r="E248">
        <v>6</v>
      </c>
      <c r="F248" t="s">
        <v>75</v>
      </c>
      <c r="G248" t="s">
        <v>11</v>
      </c>
      <c r="H248" t="s">
        <v>11</v>
      </c>
    </row>
    <row r="249" spans="1:8" x14ac:dyDescent="0.35">
      <c r="A249" t="s">
        <v>16</v>
      </c>
      <c r="B249" t="s">
        <v>40</v>
      </c>
      <c r="C249" t="s">
        <v>1539</v>
      </c>
      <c r="D249">
        <v>1</v>
      </c>
      <c r="E249">
        <v>5</v>
      </c>
      <c r="F249" t="s">
        <v>75</v>
      </c>
      <c r="G249" t="s">
        <v>11</v>
      </c>
      <c r="H249" t="s">
        <v>11</v>
      </c>
    </row>
    <row r="250" spans="1:8" x14ac:dyDescent="0.35">
      <c r="A250" t="s">
        <v>16</v>
      </c>
      <c r="B250" t="s">
        <v>40</v>
      </c>
      <c r="C250" t="s">
        <v>1540</v>
      </c>
      <c r="D250">
        <v>2</v>
      </c>
      <c r="E250">
        <v>6</v>
      </c>
      <c r="F250" t="s">
        <v>75</v>
      </c>
      <c r="G250" t="s">
        <v>11</v>
      </c>
      <c r="H250" t="s">
        <v>11</v>
      </c>
    </row>
    <row r="251" spans="1:8" x14ac:dyDescent="0.35">
      <c r="A251" t="s">
        <v>16</v>
      </c>
      <c r="B251" t="s">
        <v>40</v>
      </c>
      <c r="C251" t="s">
        <v>1541</v>
      </c>
      <c r="D251">
        <v>1</v>
      </c>
      <c r="E251">
        <v>4</v>
      </c>
      <c r="F251" t="s">
        <v>75</v>
      </c>
      <c r="G251" t="s">
        <v>11</v>
      </c>
      <c r="H251" t="s">
        <v>11</v>
      </c>
    </row>
    <row r="252" spans="1:8" x14ac:dyDescent="0.35">
      <c r="A252" t="s">
        <v>16</v>
      </c>
      <c r="B252" t="s">
        <v>40</v>
      </c>
      <c r="C252" t="s">
        <v>1542</v>
      </c>
      <c r="D252">
        <v>1</v>
      </c>
      <c r="E252">
        <v>5</v>
      </c>
      <c r="F252" t="s">
        <v>75</v>
      </c>
      <c r="G252" t="s">
        <v>11</v>
      </c>
      <c r="H252" t="s">
        <v>11</v>
      </c>
    </row>
    <row r="253" spans="1:8" x14ac:dyDescent="0.35">
      <c r="A253" t="s">
        <v>16</v>
      </c>
      <c r="B253" t="s">
        <v>40</v>
      </c>
      <c r="C253" t="s">
        <v>1543</v>
      </c>
      <c r="D253">
        <v>1</v>
      </c>
      <c r="E253">
        <v>5</v>
      </c>
      <c r="F253" t="s">
        <v>75</v>
      </c>
      <c r="G253" t="s">
        <v>11</v>
      </c>
      <c r="H253" t="s">
        <v>11</v>
      </c>
    </row>
    <row r="254" spans="1:8" x14ac:dyDescent="0.35">
      <c r="A254" t="s">
        <v>16</v>
      </c>
      <c r="B254" t="s">
        <v>40</v>
      </c>
      <c r="C254" t="s">
        <v>1544</v>
      </c>
      <c r="D254">
        <v>1</v>
      </c>
      <c r="E254">
        <v>5</v>
      </c>
      <c r="F254" t="s">
        <v>75</v>
      </c>
      <c r="G254" t="s">
        <v>11</v>
      </c>
      <c r="H254" t="s">
        <v>11</v>
      </c>
    </row>
    <row r="255" spans="1:8" x14ac:dyDescent="0.35">
      <c r="A255" t="s">
        <v>16</v>
      </c>
      <c r="B255" t="s">
        <v>40</v>
      </c>
      <c r="C255" t="s">
        <v>1545</v>
      </c>
      <c r="D255">
        <v>1</v>
      </c>
      <c r="E255">
        <v>6</v>
      </c>
      <c r="F255" t="s">
        <v>75</v>
      </c>
      <c r="G255" t="s">
        <v>11</v>
      </c>
      <c r="H255" t="s">
        <v>11</v>
      </c>
    </row>
    <row r="256" spans="1:8" x14ac:dyDescent="0.35">
      <c r="A256" t="s">
        <v>16</v>
      </c>
      <c r="B256" t="s">
        <v>40</v>
      </c>
      <c r="C256" t="s">
        <v>1546</v>
      </c>
      <c r="D256">
        <v>1</v>
      </c>
      <c r="E256">
        <v>5</v>
      </c>
      <c r="F256" t="s">
        <v>75</v>
      </c>
      <c r="G256" t="s">
        <v>11</v>
      </c>
      <c r="H256" t="s">
        <v>11</v>
      </c>
    </row>
    <row r="257" spans="1:8" x14ac:dyDescent="0.35">
      <c r="A257" t="s">
        <v>16</v>
      </c>
      <c r="B257" t="s">
        <v>40</v>
      </c>
      <c r="C257" t="s">
        <v>1547</v>
      </c>
      <c r="D257">
        <v>1</v>
      </c>
      <c r="E257">
        <v>7</v>
      </c>
      <c r="F257" t="s">
        <v>11</v>
      </c>
      <c r="G257" t="s">
        <v>11</v>
      </c>
      <c r="H257" t="s">
        <v>11</v>
      </c>
    </row>
    <row r="258" spans="1:8" x14ac:dyDescent="0.35">
      <c r="A258" t="s">
        <v>16</v>
      </c>
      <c r="B258" t="s">
        <v>40</v>
      </c>
      <c r="C258" t="s">
        <v>1548</v>
      </c>
      <c r="D258">
        <v>2</v>
      </c>
      <c r="E258">
        <v>6</v>
      </c>
      <c r="F258" t="s">
        <v>75</v>
      </c>
      <c r="G258" t="s">
        <v>11</v>
      </c>
      <c r="H258" t="s">
        <v>11</v>
      </c>
    </row>
    <row r="259" spans="1:8" x14ac:dyDescent="0.35">
      <c r="A259" t="s">
        <v>16</v>
      </c>
      <c r="B259" t="s">
        <v>40</v>
      </c>
      <c r="C259" t="s">
        <v>1549</v>
      </c>
      <c r="D259">
        <v>2</v>
      </c>
      <c r="E259">
        <v>6</v>
      </c>
      <c r="F259" t="s">
        <v>75</v>
      </c>
      <c r="G259" t="s">
        <v>11</v>
      </c>
      <c r="H259" t="s">
        <v>11</v>
      </c>
    </row>
    <row r="260" spans="1:8" x14ac:dyDescent="0.35">
      <c r="A260" t="s">
        <v>16</v>
      </c>
      <c r="B260" t="s">
        <v>40</v>
      </c>
      <c r="C260" t="s">
        <v>1550</v>
      </c>
      <c r="D260">
        <v>1</v>
      </c>
      <c r="E260">
        <v>5</v>
      </c>
      <c r="F260" t="s">
        <v>75</v>
      </c>
      <c r="G260" t="s">
        <v>11</v>
      </c>
      <c r="H260" t="s">
        <v>11</v>
      </c>
    </row>
    <row r="261" spans="1:8" x14ac:dyDescent="0.35">
      <c r="A261" t="s">
        <v>16</v>
      </c>
      <c r="B261" t="s">
        <v>40</v>
      </c>
      <c r="C261" t="s">
        <v>1551</v>
      </c>
      <c r="D261">
        <v>1</v>
      </c>
      <c r="E261">
        <v>6</v>
      </c>
      <c r="F261" t="s">
        <v>75</v>
      </c>
      <c r="G261" t="s">
        <v>11</v>
      </c>
      <c r="H261" t="s">
        <v>11</v>
      </c>
    </row>
    <row r="262" spans="1:8" x14ac:dyDescent="0.35">
      <c r="A262" t="s">
        <v>16</v>
      </c>
      <c r="B262" t="s">
        <v>40</v>
      </c>
      <c r="C262" t="s">
        <v>1552</v>
      </c>
      <c r="D262">
        <v>1</v>
      </c>
      <c r="E262">
        <v>5</v>
      </c>
      <c r="F262" t="s">
        <v>75</v>
      </c>
      <c r="G262" t="s">
        <v>11</v>
      </c>
      <c r="H262" t="s">
        <v>11</v>
      </c>
    </row>
    <row r="263" spans="1:8" x14ac:dyDescent="0.35">
      <c r="A263" t="s">
        <v>16</v>
      </c>
      <c r="B263" t="s">
        <v>40</v>
      </c>
      <c r="C263" t="s">
        <v>1553</v>
      </c>
      <c r="D263">
        <v>1</v>
      </c>
      <c r="E263">
        <v>5</v>
      </c>
      <c r="F263" t="s">
        <v>75</v>
      </c>
      <c r="G263" t="s">
        <v>11</v>
      </c>
      <c r="H263" t="s">
        <v>11</v>
      </c>
    </row>
    <row r="264" spans="1:8" x14ac:dyDescent="0.35">
      <c r="A264" t="s">
        <v>16</v>
      </c>
      <c r="B264" t="s">
        <v>40</v>
      </c>
      <c r="C264" t="s">
        <v>1554</v>
      </c>
      <c r="D264">
        <v>1</v>
      </c>
      <c r="E264">
        <v>6</v>
      </c>
      <c r="F264" t="s">
        <v>75</v>
      </c>
      <c r="G264" t="s">
        <v>11</v>
      </c>
      <c r="H264" t="s">
        <v>11</v>
      </c>
    </row>
    <row r="265" spans="1:8" x14ac:dyDescent="0.35">
      <c r="A265" t="s">
        <v>16</v>
      </c>
      <c r="B265" t="s">
        <v>40</v>
      </c>
      <c r="C265" t="s">
        <v>1555</v>
      </c>
      <c r="D265">
        <v>1</v>
      </c>
      <c r="E265">
        <v>5</v>
      </c>
      <c r="F265" t="s">
        <v>75</v>
      </c>
      <c r="G265" t="s">
        <v>11</v>
      </c>
      <c r="H265" t="s">
        <v>11</v>
      </c>
    </row>
    <row r="266" spans="1:8" x14ac:dyDescent="0.35">
      <c r="A266" t="s">
        <v>16</v>
      </c>
      <c r="B266" t="s">
        <v>40</v>
      </c>
      <c r="C266" t="s">
        <v>1556</v>
      </c>
      <c r="D266">
        <v>2</v>
      </c>
      <c r="E266">
        <v>6</v>
      </c>
      <c r="F266" t="s">
        <v>75</v>
      </c>
      <c r="G266" t="s">
        <v>11</v>
      </c>
      <c r="H266" t="s">
        <v>11</v>
      </c>
    </row>
    <row r="267" spans="1:8" x14ac:dyDescent="0.35">
      <c r="A267" t="s">
        <v>16</v>
      </c>
      <c r="B267" t="s">
        <v>40</v>
      </c>
      <c r="C267" t="s">
        <v>1557</v>
      </c>
      <c r="D267">
        <v>1</v>
      </c>
      <c r="E267">
        <v>5</v>
      </c>
      <c r="F267" t="s">
        <v>75</v>
      </c>
      <c r="G267" t="s">
        <v>11</v>
      </c>
      <c r="H267" t="s">
        <v>11</v>
      </c>
    </row>
    <row r="268" spans="1:8" x14ac:dyDescent="0.35">
      <c r="A268" t="s">
        <v>16</v>
      </c>
      <c r="B268" t="s">
        <v>40</v>
      </c>
      <c r="C268" t="s">
        <v>1558</v>
      </c>
      <c r="D268">
        <v>1</v>
      </c>
      <c r="E268">
        <v>5</v>
      </c>
      <c r="F268" t="s">
        <v>75</v>
      </c>
      <c r="G268" t="s">
        <v>11</v>
      </c>
      <c r="H268" t="s">
        <v>11</v>
      </c>
    </row>
    <row r="269" spans="1:8" x14ac:dyDescent="0.35">
      <c r="A269" t="s">
        <v>16</v>
      </c>
      <c r="B269" t="s">
        <v>40</v>
      </c>
      <c r="C269" t="s">
        <v>1559</v>
      </c>
      <c r="D269">
        <v>1</v>
      </c>
      <c r="E269">
        <v>5</v>
      </c>
      <c r="F269" t="s">
        <v>75</v>
      </c>
      <c r="G269" t="s">
        <v>11</v>
      </c>
      <c r="H269" t="s">
        <v>11</v>
      </c>
    </row>
    <row r="270" spans="1:8" x14ac:dyDescent="0.35">
      <c r="A270" t="s">
        <v>16</v>
      </c>
      <c r="B270" t="s">
        <v>40</v>
      </c>
      <c r="C270" t="s">
        <v>1560</v>
      </c>
      <c r="D270">
        <v>1</v>
      </c>
      <c r="E270">
        <v>5</v>
      </c>
      <c r="F270" t="s">
        <v>75</v>
      </c>
      <c r="G270" t="s">
        <v>11</v>
      </c>
      <c r="H270" t="s">
        <v>11</v>
      </c>
    </row>
    <row r="271" spans="1:8" x14ac:dyDescent="0.35">
      <c r="A271" t="s">
        <v>16</v>
      </c>
      <c r="B271" t="s">
        <v>40</v>
      </c>
      <c r="C271" t="s">
        <v>1561</v>
      </c>
      <c r="D271">
        <v>1</v>
      </c>
      <c r="E271">
        <v>5</v>
      </c>
      <c r="F271" t="s">
        <v>75</v>
      </c>
      <c r="G271" t="s">
        <v>11</v>
      </c>
      <c r="H271" t="s">
        <v>11</v>
      </c>
    </row>
    <row r="272" spans="1:8" x14ac:dyDescent="0.35">
      <c r="A272" t="s">
        <v>16</v>
      </c>
      <c r="B272" t="s">
        <v>40</v>
      </c>
      <c r="C272" t="s">
        <v>1562</v>
      </c>
      <c r="D272">
        <v>1</v>
      </c>
      <c r="E272">
        <v>7</v>
      </c>
      <c r="F272" t="s">
        <v>11</v>
      </c>
      <c r="G272" t="s">
        <v>11</v>
      </c>
      <c r="H272" t="s">
        <v>11</v>
      </c>
    </row>
    <row r="273" spans="1:8" x14ac:dyDescent="0.35">
      <c r="A273" t="s">
        <v>16</v>
      </c>
      <c r="B273" t="s">
        <v>40</v>
      </c>
      <c r="C273" t="s">
        <v>1563</v>
      </c>
      <c r="D273">
        <v>1</v>
      </c>
      <c r="E273">
        <v>7</v>
      </c>
      <c r="F273" t="s">
        <v>11</v>
      </c>
      <c r="G273" t="s">
        <v>11</v>
      </c>
      <c r="H273" t="s">
        <v>11</v>
      </c>
    </row>
    <row r="274" spans="1:8" x14ac:dyDescent="0.35">
      <c r="A274" t="s">
        <v>16</v>
      </c>
      <c r="B274" t="s">
        <v>40</v>
      </c>
      <c r="C274" t="s">
        <v>1564</v>
      </c>
      <c r="D274">
        <v>2</v>
      </c>
      <c r="E274">
        <v>7</v>
      </c>
      <c r="F274" t="s">
        <v>11</v>
      </c>
      <c r="G274" t="s">
        <v>11</v>
      </c>
      <c r="H274" t="s">
        <v>11</v>
      </c>
    </row>
    <row r="275" spans="1:8" x14ac:dyDescent="0.35">
      <c r="A275" t="s">
        <v>16</v>
      </c>
      <c r="B275" t="s">
        <v>40</v>
      </c>
      <c r="C275" t="s">
        <v>1565</v>
      </c>
      <c r="D275">
        <v>1</v>
      </c>
      <c r="E275">
        <v>5</v>
      </c>
      <c r="F275" t="s">
        <v>75</v>
      </c>
      <c r="G275" t="s">
        <v>11</v>
      </c>
      <c r="H275" t="s">
        <v>11</v>
      </c>
    </row>
    <row r="276" spans="1:8" x14ac:dyDescent="0.35">
      <c r="A276" t="s">
        <v>16</v>
      </c>
      <c r="B276" t="s">
        <v>40</v>
      </c>
      <c r="C276" t="s">
        <v>1347</v>
      </c>
      <c r="D276">
        <v>1</v>
      </c>
      <c r="E276">
        <v>7</v>
      </c>
      <c r="F276" t="s">
        <v>11</v>
      </c>
      <c r="G276" t="s">
        <v>11</v>
      </c>
      <c r="H276" t="s">
        <v>11</v>
      </c>
    </row>
    <row r="277" spans="1:8" x14ac:dyDescent="0.35">
      <c r="A277" t="s">
        <v>16</v>
      </c>
      <c r="B277" t="s">
        <v>40</v>
      </c>
      <c r="C277" t="s">
        <v>1348</v>
      </c>
      <c r="D277">
        <v>1</v>
      </c>
      <c r="E277">
        <v>5</v>
      </c>
      <c r="F277" t="s">
        <v>75</v>
      </c>
      <c r="G277" t="s">
        <v>11</v>
      </c>
      <c r="H277" t="s">
        <v>11</v>
      </c>
    </row>
    <row r="278" spans="1:8" x14ac:dyDescent="0.35">
      <c r="A278" t="s">
        <v>16</v>
      </c>
      <c r="B278" t="s">
        <v>40</v>
      </c>
      <c r="C278" t="s">
        <v>1566</v>
      </c>
      <c r="D278">
        <v>1</v>
      </c>
      <c r="E278">
        <v>5</v>
      </c>
      <c r="F278" t="s">
        <v>75</v>
      </c>
      <c r="G278" t="s">
        <v>11</v>
      </c>
      <c r="H278" t="s">
        <v>11</v>
      </c>
    </row>
    <row r="279" spans="1:8" x14ac:dyDescent="0.35">
      <c r="A279" t="s">
        <v>16</v>
      </c>
      <c r="B279" t="s">
        <v>40</v>
      </c>
      <c r="C279" t="s">
        <v>1567</v>
      </c>
      <c r="D279">
        <v>1</v>
      </c>
      <c r="E279">
        <v>5</v>
      </c>
      <c r="F279" t="s">
        <v>75</v>
      </c>
      <c r="G279" t="s">
        <v>11</v>
      </c>
      <c r="H279" t="s">
        <v>11</v>
      </c>
    </row>
    <row r="280" spans="1:8" x14ac:dyDescent="0.35">
      <c r="A280" t="s">
        <v>16</v>
      </c>
      <c r="B280" t="s">
        <v>40</v>
      </c>
      <c r="C280" t="s">
        <v>1568</v>
      </c>
      <c r="D280">
        <v>2</v>
      </c>
      <c r="E280">
        <v>5</v>
      </c>
      <c r="F280" t="s">
        <v>75</v>
      </c>
      <c r="G280" t="s">
        <v>11</v>
      </c>
      <c r="H280" t="s">
        <v>11</v>
      </c>
    </row>
    <row r="281" spans="1:8" x14ac:dyDescent="0.35">
      <c r="A281" t="s">
        <v>16</v>
      </c>
      <c r="B281" t="s">
        <v>40</v>
      </c>
      <c r="C281" t="s">
        <v>1497</v>
      </c>
      <c r="D281">
        <v>1</v>
      </c>
      <c r="E281">
        <v>7</v>
      </c>
      <c r="F281" t="s">
        <v>11</v>
      </c>
      <c r="G281" t="s">
        <v>11</v>
      </c>
      <c r="H281" t="s">
        <v>11</v>
      </c>
    </row>
    <row r="282" spans="1:8" x14ac:dyDescent="0.35">
      <c r="A282" t="s">
        <v>16</v>
      </c>
      <c r="B282" t="s">
        <v>40</v>
      </c>
      <c r="C282" t="s">
        <v>1569</v>
      </c>
      <c r="D282">
        <v>1</v>
      </c>
      <c r="E282">
        <v>5</v>
      </c>
      <c r="F282" t="s">
        <v>75</v>
      </c>
      <c r="G282" t="s">
        <v>11</v>
      </c>
      <c r="H282" t="s">
        <v>11</v>
      </c>
    </row>
    <row r="283" spans="1:8" x14ac:dyDescent="0.35">
      <c r="A283" t="s">
        <v>16</v>
      </c>
      <c r="B283" t="s">
        <v>40</v>
      </c>
      <c r="C283" t="s">
        <v>1570</v>
      </c>
      <c r="D283">
        <v>1</v>
      </c>
      <c r="E283">
        <v>4</v>
      </c>
      <c r="F283" t="s">
        <v>75</v>
      </c>
      <c r="G283" t="s">
        <v>11</v>
      </c>
      <c r="H283" t="s">
        <v>11</v>
      </c>
    </row>
    <row r="284" spans="1:8" x14ac:dyDescent="0.35">
      <c r="A284" t="s">
        <v>16</v>
      </c>
      <c r="B284" t="s">
        <v>40</v>
      </c>
      <c r="C284" t="s">
        <v>1453</v>
      </c>
      <c r="D284">
        <v>1</v>
      </c>
      <c r="E284">
        <v>5</v>
      </c>
      <c r="F284" t="s">
        <v>75</v>
      </c>
      <c r="G284" t="s">
        <v>11</v>
      </c>
      <c r="H284" t="s">
        <v>11</v>
      </c>
    </row>
    <row r="285" spans="1:8" x14ac:dyDescent="0.35">
      <c r="A285" t="s">
        <v>16</v>
      </c>
      <c r="B285" t="s">
        <v>40</v>
      </c>
      <c r="C285" t="s">
        <v>1455</v>
      </c>
      <c r="D285">
        <v>1</v>
      </c>
      <c r="E285">
        <v>5</v>
      </c>
      <c r="F285" t="s">
        <v>75</v>
      </c>
      <c r="G285" t="s">
        <v>11</v>
      </c>
      <c r="H285" t="s">
        <v>11</v>
      </c>
    </row>
    <row r="286" spans="1:8" x14ac:dyDescent="0.35">
      <c r="A286" t="s">
        <v>16</v>
      </c>
      <c r="B286" t="s">
        <v>40</v>
      </c>
      <c r="C286" t="s">
        <v>1571</v>
      </c>
      <c r="D286">
        <v>1</v>
      </c>
      <c r="E286">
        <v>5</v>
      </c>
      <c r="F286" t="s">
        <v>75</v>
      </c>
      <c r="G286" t="s">
        <v>11</v>
      </c>
      <c r="H286" t="s">
        <v>11</v>
      </c>
    </row>
    <row r="287" spans="1:8" x14ac:dyDescent="0.35">
      <c r="A287" t="s">
        <v>16</v>
      </c>
      <c r="B287" t="s">
        <v>40</v>
      </c>
      <c r="C287" t="s">
        <v>1572</v>
      </c>
      <c r="D287">
        <v>2</v>
      </c>
      <c r="E287">
        <v>7</v>
      </c>
      <c r="F287" t="s">
        <v>11</v>
      </c>
      <c r="G287" t="s">
        <v>11</v>
      </c>
      <c r="H287" t="s">
        <v>11</v>
      </c>
    </row>
    <row r="288" spans="1:8" x14ac:dyDescent="0.35">
      <c r="A288" t="s">
        <v>16</v>
      </c>
      <c r="B288" t="s">
        <v>40</v>
      </c>
      <c r="C288" t="s">
        <v>1573</v>
      </c>
      <c r="D288">
        <v>1</v>
      </c>
      <c r="E288">
        <v>6</v>
      </c>
      <c r="F288" t="s">
        <v>75</v>
      </c>
      <c r="G288" t="s">
        <v>11</v>
      </c>
      <c r="H288" t="s">
        <v>11</v>
      </c>
    </row>
    <row r="289" spans="1:8" x14ac:dyDescent="0.35">
      <c r="A289" t="s">
        <v>16</v>
      </c>
      <c r="B289" t="s">
        <v>40</v>
      </c>
      <c r="C289" t="s">
        <v>1574</v>
      </c>
      <c r="D289">
        <v>1</v>
      </c>
      <c r="E289">
        <v>5</v>
      </c>
      <c r="F289" t="s">
        <v>75</v>
      </c>
      <c r="G289" t="s">
        <v>11</v>
      </c>
      <c r="H289" t="s">
        <v>11</v>
      </c>
    </row>
    <row r="290" spans="1:8" x14ac:dyDescent="0.35">
      <c r="A290" t="s">
        <v>16</v>
      </c>
      <c r="B290" t="s">
        <v>40</v>
      </c>
      <c r="C290" t="s">
        <v>1575</v>
      </c>
      <c r="D290">
        <v>1</v>
      </c>
      <c r="E290">
        <v>5</v>
      </c>
      <c r="F290" t="s">
        <v>75</v>
      </c>
      <c r="G290" t="s">
        <v>11</v>
      </c>
      <c r="H290" t="s">
        <v>11</v>
      </c>
    </row>
    <row r="291" spans="1:8" x14ac:dyDescent="0.35">
      <c r="A291" t="s">
        <v>16</v>
      </c>
      <c r="B291" t="s">
        <v>40</v>
      </c>
      <c r="C291" t="s">
        <v>1363</v>
      </c>
      <c r="D291">
        <v>1</v>
      </c>
      <c r="E291">
        <v>5</v>
      </c>
      <c r="F291" t="s">
        <v>75</v>
      </c>
      <c r="G291" t="s">
        <v>11</v>
      </c>
      <c r="H291" t="s">
        <v>11</v>
      </c>
    </row>
    <row r="292" spans="1:8" x14ac:dyDescent="0.35">
      <c r="A292" t="s">
        <v>16</v>
      </c>
      <c r="B292" t="s">
        <v>40</v>
      </c>
      <c r="C292" t="s">
        <v>1576</v>
      </c>
      <c r="D292">
        <v>1</v>
      </c>
      <c r="E292">
        <v>4</v>
      </c>
      <c r="F292" t="s">
        <v>75</v>
      </c>
      <c r="G292" t="s">
        <v>11</v>
      </c>
      <c r="H292" t="s">
        <v>11</v>
      </c>
    </row>
    <row r="293" spans="1:8" x14ac:dyDescent="0.35">
      <c r="A293" t="s">
        <v>16</v>
      </c>
      <c r="B293" t="s">
        <v>40</v>
      </c>
      <c r="C293" t="s">
        <v>1577</v>
      </c>
      <c r="D293">
        <v>1</v>
      </c>
      <c r="E293">
        <v>6</v>
      </c>
      <c r="F293" t="s">
        <v>75</v>
      </c>
      <c r="G293" t="s">
        <v>11</v>
      </c>
      <c r="H293" t="s">
        <v>11</v>
      </c>
    </row>
    <row r="294" spans="1:8" x14ac:dyDescent="0.35">
      <c r="A294" t="s">
        <v>16</v>
      </c>
      <c r="B294" t="s">
        <v>40</v>
      </c>
      <c r="C294" t="s">
        <v>1578</v>
      </c>
      <c r="D294">
        <v>1</v>
      </c>
      <c r="E294">
        <v>7</v>
      </c>
      <c r="F294" t="s">
        <v>11</v>
      </c>
      <c r="G294" t="s">
        <v>11</v>
      </c>
      <c r="H294" t="s">
        <v>11</v>
      </c>
    </row>
    <row r="295" spans="1:8" x14ac:dyDescent="0.35">
      <c r="A295" t="s">
        <v>16</v>
      </c>
      <c r="B295" t="s">
        <v>40</v>
      </c>
      <c r="C295" t="s">
        <v>1462</v>
      </c>
      <c r="D295">
        <v>1</v>
      </c>
      <c r="E295">
        <v>5</v>
      </c>
      <c r="F295" t="s">
        <v>75</v>
      </c>
      <c r="G295" t="s">
        <v>11</v>
      </c>
      <c r="H295" t="s">
        <v>11</v>
      </c>
    </row>
    <row r="296" spans="1:8" x14ac:dyDescent="0.35">
      <c r="A296" t="s">
        <v>16</v>
      </c>
      <c r="B296" t="s">
        <v>40</v>
      </c>
      <c r="C296" t="s">
        <v>1579</v>
      </c>
      <c r="D296">
        <v>1</v>
      </c>
      <c r="E296">
        <v>7</v>
      </c>
      <c r="F296" t="s">
        <v>11</v>
      </c>
      <c r="G296" t="s">
        <v>11</v>
      </c>
      <c r="H296" t="s">
        <v>11</v>
      </c>
    </row>
    <row r="297" spans="1:8" x14ac:dyDescent="0.35">
      <c r="A297" t="s">
        <v>16</v>
      </c>
      <c r="B297" t="s">
        <v>40</v>
      </c>
      <c r="C297" t="s">
        <v>1580</v>
      </c>
      <c r="D297">
        <v>1</v>
      </c>
      <c r="E297">
        <v>5</v>
      </c>
      <c r="F297" t="s">
        <v>75</v>
      </c>
      <c r="G297" t="s">
        <v>11</v>
      </c>
      <c r="H297" t="s">
        <v>11</v>
      </c>
    </row>
    <row r="298" spans="1:8" x14ac:dyDescent="0.35">
      <c r="A298" t="s">
        <v>16</v>
      </c>
      <c r="B298" t="s">
        <v>40</v>
      </c>
      <c r="C298" t="s">
        <v>1581</v>
      </c>
      <c r="D298">
        <v>1</v>
      </c>
      <c r="E298">
        <v>5</v>
      </c>
      <c r="F298" t="s">
        <v>75</v>
      </c>
      <c r="G298" t="s">
        <v>11</v>
      </c>
      <c r="H298" t="s">
        <v>11</v>
      </c>
    </row>
    <row r="299" spans="1:8" x14ac:dyDescent="0.35">
      <c r="A299" t="s">
        <v>16</v>
      </c>
      <c r="B299" t="s">
        <v>40</v>
      </c>
      <c r="C299" t="s">
        <v>1582</v>
      </c>
      <c r="D299">
        <v>1</v>
      </c>
      <c r="E299">
        <v>6</v>
      </c>
      <c r="F299" t="s">
        <v>75</v>
      </c>
      <c r="G299" t="s">
        <v>11</v>
      </c>
      <c r="H299" t="s">
        <v>11</v>
      </c>
    </row>
    <row r="300" spans="1:8" x14ac:dyDescent="0.35">
      <c r="A300" t="s">
        <v>16</v>
      </c>
      <c r="B300" t="s">
        <v>40</v>
      </c>
      <c r="C300" t="s">
        <v>1583</v>
      </c>
      <c r="D300">
        <v>2</v>
      </c>
      <c r="E300">
        <v>7</v>
      </c>
      <c r="F300" t="s">
        <v>11</v>
      </c>
      <c r="G300" t="s">
        <v>11</v>
      </c>
      <c r="H300" t="s">
        <v>11</v>
      </c>
    </row>
    <row r="301" spans="1:8" x14ac:dyDescent="0.35">
      <c r="A301" t="s">
        <v>16</v>
      </c>
      <c r="B301" t="s">
        <v>40</v>
      </c>
      <c r="C301" t="s">
        <v>1584</v>
      </c>
      <c r="D301">
        <v>2</v>
      </c>
      <c r="E301">
        <v>7</v>
      </c>
      <c r="F301" t="s">
        <v>11</v>
      </c>
      <c r="G301" t="s">
        <v>11</v>
      </c>
      <c r="H301" t="s">
        <v>11</v>
      </c>
    </row>
    <row r="302" spans="1:8" x14ac:dyDescent="0.35">
      <c r="A302" t="s">
        <v>16</v>
      </c>
      <c r="B302" t="s">
        <v>40</v>
      </c>
      <c r="C302" t="s">
        <v>1585</v>
      </c>
      <c r="D302">
        <v>2</v>
      </c>
      <c r="E302">
        <v>6</v>
      </c>
      <c r="F302" t="s">
        <v>75</v>
      </c>
      <c r="G302" t="s">
        <v>11</v>
      </c>
      <c r="H302" t="s">
        <v>11</v>
      </c>
    </row>
    <row r="303" spans="1:8" x14ac:dyDescent="0.35">
      <c r="A303" t="s">
        <v>16</v>
      </c>
      <c r="B303" t="s">
        <v>40</v>
      </c>
      <c r="C303" t="s">
        <v>1586</v>
      </c>
      <c r="D303">
        <v>2</v>
      </c>
      <c r="E303">
        <v>7</v>
      </c>
      <c r="F303" t="s">
        <v>11</v>
      </c>
      <c r="G303" t="s">
        <v>11</v>
      </c>
      <c r="H303" t="s">
        <v>11</v>
      </c>
    </row>
    <row r="304" spans="1:8" x14ac:dyDescent="0.35">
      <c r="A304" t="s">
        <v>16</v>
      </c>
      <c r="B304" t="s">
        <v>40</v>
      </c>
      <c r="C304" t="s">
        <v>1587</v>
      </c>
      <c r="D304">
        <v>1</v>
      </c>
      <c r="E304">
        <v>6</v>
      </c>
      <c r="F304" t="s">
        <v>75</v>
      </c>
      <c r="G304" t="s">
        <v>11</v>
      </c>
      <c r="H304" t="s">
        <v>11</v>
      </c>
    </row>
    <row r="305" spans="1:8" x14ac:dyDescent="0.35">
      <c r="A305" t="s">
        <v>16</v>
      </c>
      <c r="B305" t="s">
        <v>40</v>
      </c>
      <c r="C305" t="s">
        <v>1588</v>
      </c>
      <c r="D305">
        <v>1</v>
      </c>
      <c r="E305">
        <v>5</v>
      </c>
      <c r="F305" t="s">
        <v>75</v>
      </c>
      <c r="G305" t="s">
        <v>11</v>
      </c>
      <c r="H305" t="s">
        <v>11</v>
      </c>
    </row>
    <row r="306" spans="1:8" x14ac:dyDescent="0.35">
      <c r="A306" t="s">
        <v>16</v>
      </c>
      <c r="B306" t="s">
        <v>40</v>
      </c>
      <c r="C306" t="s">
        <v>1589</v>
      </c>
      <c r="D306">
        <v>1</v>
      </c>
      <c r="E306">
        <v>7</v>
      </c>
      <c r="F306" t="s">
        <v>11</v>
      </c>
      <c r="G306" t="s">
        <v>11</v>
      </c>
      <c r="H306" t="s">
        <v>11</v>
      </c>
    </row>
    <row r="307" spans="1:8" x14ac:dyDescent="0.35">
      <c r="A307" t="s">
        <v>16</v>
      </c>
      <c r="B307" t="s">
        <v>40</v>
      </c>
      <c r="C307" t="s">
        <v>1590</v>
      </c>
      <c r="D307">
        <v>1</v>
      </c>
      <c r="E307">
        <v>5</v>
      </c>
      <c r="F307" t="s">
        <v>75</v>
      </c>
      <c r="G307" t="s">
        <v>11</v>
      </c>
      <c r="H307" t="s">
        <v>11</v>
      </c>
    </row>
    <row r="308" spans="1:8" x14ac:dyDescent="0.35">
      <c r="A308" t="s">
        <v>16</v>
      </c>
      <c r="B308" t="s">
        <v>40</v>
      </c>
      <c r="C308" t="s">
        <v>1376</v>
      </c>
      <c r="D308">
        <v>1</v>
      </c>
      <c r="E308">
        <v>5</v>
      </c>
      <c r="F308" t="s">
        <v>75</v>
      </c>
      <c r="G308" t="s">
        <v>11</v>
      </c>
      <c r="H308" t="s">
        <v>11</v>
      </c>
    </row>
    <row r="309" spans="1:8" x14ac:dyDescent="0.35">
      <c r="A309" t="s">
        <v>16</v>
      </c>
      <c r="B309" t="s">
        <v>40</v>
      </c>
      <c r="C309" t="s">
        <v>1591</v>
      </c>
      <c r="D309">
        <v>1</v>
      </c>
      <c r="E309">
        <v>5</v>
      </c>
      <c r="F309" t="s">
        <v>75</v>
      </c>
      <c r="G309" t="s">
        <v>11</v>
      </c>
      <c r="H309" t="s">
        <v>11</v>
      </c>
    </row>
    <row r="310" spans="1:8" x14ac:dyDescent="0.35">
      <c r="A310" t="s">
        <v>16</v>
      </c>
      <c r="B310" t="s">
        <v>40</v>
      </c>
      <c r="C310" t="s">
        <v>1423</v>
      </c>
      <c r="D310">
        <v>1</v>
      </c>
      <c r="E310">
        <v>5</v>
      </c>
      <c r="F310" t="s">
        <v>75</v>
      </c>
      <c r="G310" t="s">
        <v>11</v>
      </c>
      <c r="H310" t="s">
        <v>11</v>
      </c>
    </row>
    <row r="311" spans="1:8" x14ac:dyDescent="0.35">
      <c r="A311" t="s">
        <v>17</v>
      </c>
      <c r="B311" t="s">
        <v>87</v>
      </c>
      <c r="C311" t="s">
        <v>1592</v>
      </c>
      <c r="D311">
        <v>1</v>
      </c>
      <c r="E311">
        <v>5</v>
      </c>
      <c r="F311" t="s">
        <v>7</v>
      </c>
      <c r="G311" t="s">
        <v>11</v>
      </c>
      <c r="H311" t="s">
        <v>11</v>
      </c>
    </row>
    <row r="312" spans="1:8" x14ac:dyDescent="0.35">
      <c r="A312" t="s">
        <v>17</v>
      </c>
      <c r="B312" t="s">
        <v>87</v>
      </c>
      <c r="C312" t="s">
        <v>1593</v>
      </c>
      <c r="D312">
        <v>3</v>
      </c>
      <c r="E312">
        <v>5</v>
      </c>
      <c r="F312" t="s">
        <v>7</v>
      </c>
      <c r="G312" t="s">
        <v>11</v>
      </c>
      <c r="H312" t="s">
        <v>11</v>
      </c>
    </row>
    <row r="313" spans="1:8" x14ac:dyDescent="0.35">
      <c r="A313" t="s">
        <v>17</v>
      </c>
      <c r="B313" t="s">
        <v>87</v>
      </c>
      <c r="C313" t="s">
        <v>1594</v>
      </c>
      <c r="D313">
        <v>2</v>
      </c>
      <c r="E313">
        <v>5</v>
      </c>
      <c r="F313" t="s">
        <v>7</v>
      </c>
      <c r="G313" t="s">
        <v>11</v>
      </c>
      <c r="H313" t="s">
        <v>11</v>
      </c>
    </row>
    <row r="314" spans="1:8" x14ac:dyDescent="0.35">
      <c r="A314" t="s">
        <v>17</v>
      </c>
      <c r="B314" t="s">
        <v>87</v>
      </c>
      <c r="C314" t="s">
        <v>1595</v>
      </c>
      <c r="D314">
        <v>1</v>
      </c>
      <c r="E314">
        <v>5</v>
      </c>
      <c r="F314" t="s">
        <v>7</v>
      </c>
      <c r="G314" t="s">
        <v>11</v>
      </c>
      <c r="H314" t="s">
        <v>11</v>
      </c>
    </row>
    <row r="315" spans="1:8" x14ac:dyDescent="0.35">
      <c r="A315" t="s">
        <v>17</v>
      </c>
      <c r="B315" t="s">
        <v>87</v>
      </c>
      <c r="C315" t="s">
        <v>1596</v>
      </c>
      <c r="D315">
        <v>1</v>
      </c>
      <c r="E315">
        <v>5</v>
      </c>
      <c r="F315" t="s">
        <v>7</v>
      </c>
      <c r="G315" t="s">
        <v>11</v>
      </c>
      <c r="H315" t="s">
        <v>11</v>
      </c>
    </row>
    <row r="316" spans="1:8" x14ac:dyDescent="0.35">
      <c r="A316" t="s">
        <v>17</v>
      </c>
      <c r="B316" t="s">
        <v>87</v>
      </c>
      <c r="C316" t="s">
        <v>1597</v>
      </c>
      <c r="D316">
        <v>1</v>
      </c>
      <c r="E316">
        <v>5</v>
      </c>
      <c r="F316" t="s">
        <v>7</v>
      </c>
      <c r="G316" t="s">
        <v>11</v>
      </c>
      <c r="H316" t="s">
        <v>11</v>
      </c>
    </row>
    <row r="317" spans="1:8" x14ac:dyDescent="0.35">
      <c r="A317" t="s">
        <v>17</v>
      </c>
      <c r="B317" t="s">
        <v>87</v>
      </c>
      <c r="C317" t="s">
        <v>1598</v>
      </c>
      <c r="D317">
        <v>2</v>
      </c>
      <c r="E317">
        <v>5</v>
      </c>
      <c r="F317" t="s">
        <v>7</v>
      </c>
      <c r="G317" t="s">
        <v>11</v>
      </c>
      <c r="H317" t="s">
        <v>11</v>
      </c>
    </row>
    <row r="318" spans="1:8" x14ac:dyDescent="0.35">
      <c r="A318" t="s">
        <v>17</v>
      </c>
      <c r="B318" t="s">
        <v>87</v>
      </c>
      <c r="C318" t="s">
        <v>1599</v>
      </c>
      <c r="D318">
        <v>2</v>
      </c>
      <c r="E318">
        <v>5</v>
      </c>
      <c r="F318" t="s">
        <v>7</v>
      </c>
      <c r="G318" t="s">
        <v>11</v>
      </c>
      <c r="H318" t="s">
        <v>11</v>
      </c>
    </row>
    <row r="319" spans="1:8" x14ac:dyDescent="0.35">
      <c r="A319" t="s">
        <v>19</v>
      </c>
      <c r="B319" t="s">
        <v>106</v>
      </c>
      <c r="C319" t="s">
        <v>1600</v>
      </c>
      <c r="D319">
        <v>3</v>
      </c>
      <c r="E319">
        <v>4</v>
      </c>
      <c r="F319" t="s">
        <v>7</v>
      </c>
      <c r="G319" t="s">
        <v>11</v>
      </c>
      <c r="H319" t="s">
        <v>11</v>
      </c>
    </row>
    <row r="320" spans="1:8" x14ac:dyDescent="0.35">
      <c r="A320" t="s">
        <v>19</v>
      </c>
      <c r="B320" t="s">
        <v>106</v>
      </c>
      <c r="C320" t="s">
        <v>1601</v>
      </c>
      <c r="D320">
        <v>2</v>
      </c>
      <c r="E320">
        <v>4</v>
      </c>
      <c r="F320" t="s">
        <v>7</v>
      </c>
      <c r="G320" t="s">
        <v>11</v>
      </c>
      <c r="H320" t="s">
        <v>11</v>
      </c>
    </row>
    <row r="321" spans="1:8" x14ac:dyDescent="0.35">
      <c r="A321" t="s">
        <v>19</v>
      </c>
      <c r="B321" t="s">
        <v>106</v>
      </c>
      <c r="C321" t="s">
        <v>1602</v>
      </c>
      <c r="D321">
        <v>3</v>
      </c>
      <c r="E321">
        <v>4</v>
      </c>
      <c r="F321" t="s">
        <v>7</v>
      </c>
      <c r="G321" t="s">
        <v>11</v>
      </c>
      <c r="H321" t="s">
        <v>11</v>
      </c>
    </row>
    <row r="322" spans="1:8" x14ac:dyDescent="0.35">
      <c r="A322" t="s">
        <v>18</v>
      </c>
      <c r="B322" t="s">
        <v>107</v>
      </c>
      <c r="C322" t="s">
        <v>1603</v>
      </c>
      <c r="D322">
        <v>3</v>
      </c>
      <c r="E322">
        <v>4</v>
      </c>
      <c r="F322" t="s">
        <v>7</v>
      </c>
      <c r="G322" t="s">
        <v>11</v>
      </c>
      <c r="H322" t="s">
        <v>11</v>
      </c>
    </row>
    <row r="323" spans="1:8" x14ac:dyDescent="0.35">
      <c r="A323" t="s">
        <v>20</v>
      </c>
      <c r="B323" t="s">
        <v>119</v>
      </c>
      <c r="C323" t="s">
        <v>1604</v>
      </c>
      <c r="D323">
        <v>2</v>
      </c>
      <c r="E323">
        <v>2</v>
      </c>
      <c r="F323" t="s">
        <v>7</v>
      </c>
      <c r="G323" t="s">
        <v>115</v>
      </c>
      <c r="H323" t="s">
        <v>11</v>
      </c>
    </row>
    <row r="324" spans="1:8" x14ac:dyDescent="0.35">
      <c r="A324" t="s">
        <v>20</v>
      </c>
      <c r="B324" t="s">
        <v>119</v>
      </c>
      <c r="C324" t="s">
        <v>1605</v>
      </c>
      <c r="D324">
        <v>3</v>
      </c>
      <c r="E324">
        <v>2</v>
      </c>
      <c r="F324" t="s">
        <v>7</v>
      </c>
      <c r="G324" t="s">
        <v>115</v>
      </c>
      <c r="H324" t="s">
        <v>11</v>
      </c>
    </row>
    <row r="325" spans="1:8" x14ac:dyDescent="0.35">
      <c r="A325" t="s">
        <v>20</v>
      </c>
      <c r="B325" t="s">
        <v>119</v>
      </c>
      <c r="C325" t="s">
        <v>1606</v>
      </c>
      <c r="D325">
        <v>3</v>
      </c>
      <c r="E325">
        <v>2</v>
      </c>
      <c r="F325" t="s">
        <v>7</v>
      </c>
      <c r="G325" t="s">
        <v>115</v>
      </c>
      <c r="H325" t="s">
        <v>11</v>
      </c>
    </row>
    <row r="326" spans="1:8" x14ac:dyDescent="0.35">
      <c r="A326" t="s">
        <v>20</v>
      </c>
      <c r="B326" t="s">
        <v>119</v>
      </c>
      <c r="C326" t="s">
        <v>1607</v>
      </c>
      <c r="D326">
        <v>3</v>
      </c>
      <c r="E326">
        <v>2</v>
      </c>
      <c r="F326" t="s">
        <v>7</v>
      </c>
      <c r="G326" t="s">
        <v>115</v>
      </c>
      <c r="H326" t="s">
        <v>11</v>
      </c>
    </row>
    <row r="327" spans="1:8" x14ac:dyDescent="0.35">
      <c r="A327" t="s">
        <v>20</v>
      </c>
      <c r="B327" t="s">
        <v>119</v>
      </c>
      <c r="C327" t="s">
        <v>1608</v>
      </c>
      <c r="D327">
        <v>3</v>
      </c>
      <c r="E327">
        <v>2</v>
      </c>
      <c r="F327" t="s">
        <v>7</v>
      </c>
      <c r="G327" t="s">
        <v>115</v>
      </c>
      <c r="H327" t="s">
        <v>11</v>
      </c>
    </row>
    <row r="328" spans="1:8" x14ac:dyDescent="0.35">
      <c r="A328" t="s">
        <v>20</v>
      </c>
      <c r="B328" t="s">
        <v>119</v>
      </c>
      <c r="C328" t="s">
        <v>1609</v>
      </c>
      <c r="D328">
        <v>3</v>
      </c>
      <c r="E328">
        <v>1</v>
      </c>
      <c r="F328" t="s">
        <v>7</v>
      </c>
      <c r="G328" t="s">
        <v>115</v>
      </c>
      <c r="H328" t="s">
        <v>11</v>
      </c>
    </row>
    <row r="329" spans="1:8" x14ac:dyDescent="0.35">
      <c r="A329" t="s">
        <v>20</v>
      </c>
      <c r="B329" t="s">
        <v>119</v>
      </c>
      <c r="C329" t="s">
        <v>1319</v>
      </c>
      <c r="D329">
        <v>3</v>
      </c>
      <c r="E329">
        <v>2</v>
      </c>
      <c r="F329" t="s">
        <v>7</v>
      </c>
      <c r="G329" t="s">
        <v>115</v>
      </c>
      <c r="H329" t="s">
        <v>11</v>
      </c>
    </row>
    <row r="330" spans="1:8" x14ac:dyDescent="0.35">
      <c r="A330" t="s">
        <v>20</v>
      </c>
      <c r="B330" t="s">
        <v>119</v>
      </c>
      <c r="C330" t="s">
        <v>1610</v>
      </c>
      <c r="D330">
        <v>3</v>
      </c>
      <c r="E330">
        <v>2</v>
      </c>
      <c r="F330" t="s">
        <v>7</v>
      </c>
      <c r="G330" t="s">
        <v>115</v>
      </c>
      <c r="H330" t="s">
        <v>11</v>
      </c>
    </row>
    <row r="331" spans="1:8" x14ac:dyDescent="0.35">
      <c r="A331" t="s">
        <v>20</v>
      </c>
      <c r="B331" t="s">
        <v>119</v>
      </c>
      <c r="C331" t="s">
        <v>1611</v>
      </c>
      <c r="D331">
        <v>2</v>
      </c>
      <c r="E331">
        <v>2</v>
      </c>
      <c r="F331" t="s">
        <v>7</v>
      </c>
      <c r="G331" t="s">
        <v>115</v>
      </c>
      <c r="H331" t="s">
        <v>11</v>
      </c>
    </row>
    <row r="332" spans="1:8" x14ac:dyDescent="0.35">
      <c r="A332" t="s">
        <v>20</v>
      </c>
      <c r="B332" t="s">
        <v>119</v>
      </c>
      <c r="C332" t="s">
        <v>1325</v>
      </c>
      <c r="D332">
        <v>3</v>
      </c>
      <c r="E332">
        <v>2</v>
      </c>
      <c r="F332" t="s">
        <v>7</v>
      </c>
      <c r="G332" t="s">
        <v>115</v>
      </c>
      <c r="H332" t="s">
        <v>11</v>
      </c>
    </row>
    <row r="333" spans="1:8" x14ac:dyDescent="0.35">
      <c r="A333" t="s">
        <v>20</v>
      </c>
      <c r="B333" t="s">
        <v>119</v>
      </c>
      <c r="C333" t="s">
        <v>1612</v>
      </c>
      <c r="D333">
        <v>3</v>
      </c>
      <c r="E333">
        <v>2</v>
      </c>
      <c r="F333" t="s">
        <v>7</v>
      </c>
      <c r="G333" t="s">
        <v>115</v>
      </c>
      <c r="H333" t="s">
        <v>11</v>
      </c>
    </row>
    <row r="334" spans="1:8" x14ac:dyDescent="0.35">
      <c r="A334" t="s">
        <v>20</v>
      </c>
      <c r="B334" t="s">
        <v>119</v>
      </c>
      <c r="C334" t="s">
        <v>1434</v>
      </c>
      <c r="D334">
        <v>2</v>
      </c>
      <c r="E334">
        <v>2</v>
      </c>
      <c r="F334" t="s">
        <v>7</v>
      </c>
      <c r="G334" t="s">
        <v>115</v>
      </c>
      <c r="H334" t="s">
        <v>11</v>
      </c>
    </row>
    <row r="335" spans="1:8" x14ac:dyDescent="0.35">
      <c r="A335" t="s">
        <v>20</v>
      </c>
      <c r="B335" t="s">
        <v>119</v>
      </c>
      <c r="C335" t="s">
        <v>1613</v>
      </c>
      <c r="D335">
        <v>3</v>
      </c>
      <c r="E335">
        <v>2</v>
      </c>
      <c r="F335" t="s">
        <v>7</v>
      </c>
      <c r="G335" t="s">
        <v>115</v>
      </c>
      <c r="H335" t="s">
        <v>11</v>
      </c>
    </row>
    <row r="336" spans="1:8" x14ac:dyDescent="0.35">
      <c r="A336" t="s">
        <v>20</v>
      </c>
      <c r="B336" t="s">
        <v>119</v>
      </c>
      <c r="C336" t="s">
        <v>1614</v>
      </c>
      <c r="D336">
        <v>3</v>
      </c>
      <c r="E336">
        <v>2</v>
      </c>
      <c r="F336" t="s">
        <v>7</v>
      </c>
      <c r="G336" t="s">
        <v>115</v>
      </c>
      <c r="H336" t="s">
        <v>11</v>
      </c>
    </row>
    <row r="337" spans="1:8" x14ac:dyDescent="0.35">
      <c r="A337" t="s">
        <v>20</v>
      </c>
      <c r="B337" t="s">
        <v>119</v>
      </c>
      <c r="C337" t="s">
        <v>1615</v>
      </c>
      <c r="D337">
        <v>3</v>
      </c>
      <c r="E337">
        <v>2</v>
      </c>
      <c r="F337" t="s">
        <v>7</v>
      </c>
      <c r="G337" t="s">
        <v>115</v>
      </c>
      <c r="H337" t="s">
        <v>11</v>
      </c>
    </row>
    <row r="338" spans="1:8" x14ac:dyDescent="0.35">
      <c r="A338" t="s">
        <v>20</v>
      </c>
      <c r="B338" t="s">
        <v>119</v>
      </c>
      <c r="C338" t="s">
        <v>1338</v>
      </c>
      <c r="D338">
        <v>3</v>
      </c>
      <c r="E338">
        <v>2</v>
      </c>
      <c r="F338" t="s">
        <v>7</v>
      </c>
      <c r="G338" t="s">
        <v>115</v>
      </c>
      <c r="H338" t="s">
        <v>11</v>
      </c>
    </row>
    <row r="339" spans="1:8" x14ac:dyDescent="0.35">
      <c r="A339" t="s">
        <v>20</v>
      </c>
      <c r="B339" t="s">
        <v>119</v>
      </c>
      <c r="C339" t="s">
        <v>1616</v>
      </c>
      <c r="D339">
        <v>3</v>
      </c>
      <c r="E339">
        <v>2</v>
      </c>
      <c r="F339" t="s">
        <v>7</v>
      </c>
      <c r="G339" t="s">
        <v>115</v>
      </c>
      <c r="H339" t="s">
        <v>11</v>
      </c>
    </row>
    <row r="340" spans="1:8" x14ac:dyDescent="0.35">
      <c r="A340" t="s">
        <v>20</v>
      </c>
      <c r="B340" t="s">
        <v>119</v>
      </c>
      <c r="C340" t="s">
        <v>1341</v>
      </c>
      <c r="D340">
        <v>3</v>
      </c>
      <c r="E340">
        <v>2</v>
      </c>
      <c r="F340" t="s">
        <v>7</v>
      </c>
      <c r="G340" t="s">
        <v>115</v>
      </c>
      <c r="H340" t="s">
        <v>11</v>
      </c>
    </row>
    <row r="341" spans="1:8" x14ac:dyDescent="0.35">
      <c r="A341" t="s">
        <v>20</v>
      </c>
      <c r="B341" t="s">
        <v>119</v>
      </c>
      <c r="C341" t="s">
        <v>1617</v>
      </c>
      <c r="D341">
        <v>3</v>
      </c>
      <c r="E341">
        <v>2</v>
      </c>
      <c r="F341" t="s">
        <v>7</v>
      </c>
      <c r="G341" t="s">
        <v>115</v>
      </c>
      <c r="H341" t="s">
        <v>11</v>
      </c>
    </row>
    <row r="342" spans="1:8" x14ac:dyDescent="0.35">
      <c r="A342" t="s">
        <v>20</v>
      </c>
      <c r="B342" t="s">
        <v>119</v>
      </c>
      <c r="C342" t="s">
        <v>1618</v>
      </c>
      <c r="D342">
        <v>3</v>
      </c>
      <c r="E342">
        <v>2</v>
      </c>
      <c r="F342" t="s">
        <v>7</v>
      </c>
      <c r="G342" t="s">
        <v>115</v>
      </c>
      <c r="H342" t="s">
        <v>11</v>
      </c>
    </row>
    <row r="343" spans="1:8" x14ac:dyDescent="0.35">
      <c r="A343" t="s">
        <v>20</v>
      </c>
      <c r="B343" t="s">
        <v>119</v>
      </c>
      <c r="C343" t="s">
        <v>1619</v>
      </c>
      <c r="D343">
        <v>3</v>
      </c>
      <c r="E343">
        <v>2</v>
      </c>
      <c r="F343" t="s">
        <v>7</v>
      </c>
      <c r="G343" t="s">
        <v>115</v>
      </c>
      <c r="H343" t="s">
        <v>11</v>
      </c>
    </row>
    <row r="344" spans="1:8" x14ac:dyDescent="0.35">
      <c r="A344" t="s">
        <v>20</v>
      </c>
      <c r="B344" t="s">
        <v>119</v>
      </c>
      <c r="C344" t="s">
        <v>1620</v>
      </c>
      <c r="D344">
        <v>3</v>
      </c>
      <c r="E344">
        <v>2</v>
      </c>
      <c r="F344" t="s">
        <v>7</v>
      </c>
      <c r="G344" t="s">
        <v>115</v>
      </c>
      <c r="H344" t="s">
        <v>11</v>
      </c>
    </row>
    <row r="345" spans="1:8" x14ac:dyDescent="0.35">
      <c r="A345" t="s">
        <v>20</v>
      </c>
      <c r="B345" t="s">
        <v>119</v>
      </c>
      <c r="C345" t="s">
        <v>1621</v>
      </c>
      <c r="D345">
        <v>3</v>
      </c>
      <c r="E345">
        <v>2</v>
      </c>
      <c r="F345" t="s">
        <v>7</v>
      </c>
      <c r="G345" t="s">
        <v>115</v>
      </c>
      <c r="H345" t="s">
        <v>11</v>
      </c>
    </row>
    <row r="346" spans="1:8" x14ac:dyDescent="0.35">
      <c r="A346" t="s">
        <v>20</v>
      </c>
      <c r="B346" t="s">
        <v>119</v>
      </c>
      <c r="C346" t="s">
        <v>1622</v>
      </c>
      <c r="D346">
        <v>3</v>
      </c>
      <c r="E346">
        <v>2</v>
      </c>
      <c r="F346" t="s">
        <v>7</v>
      </c>
      <c r="G346" t="s">
        <v>115</v>
      </c>
      <c r="H346" t="s">
        <v>11</v>
      </c>
    </row>
    <row r="347" spans="1:8" x14ac:dyDescent="0.35">
      <c r="A347" t="s">
        <v>20</v>
      </c>
      <c r="B347" t="s">
        <v>119</v>
      </c>
      <c r="C347" t="s">
        <v>1623</v>
      </c>
      <c r="D347">
        <v>3</v>
      </c>
      <c r="E347">
        <v>2</v>
      </c>
      <c r="F347" t="s">
        <v>7</v>
      </c>
      <c r="G347" t="s">
        <v>115</v>
      </c>
      <c r="H347" t="s">
        <v>11</v>
      </c>
    </row>
    <row r="348" spans="1:8" x14ac:dyDescent="0.35">
      <c r="A348" t="s">
        <v>20</v>
      </c>
      <c r="B348" t="s">
        <v>119</v>
      </c>
      <c r="C348" t="s">
        <v>1624</v>
      </c>
      <c r="D348">
        <v>3</v>
      </c>
      <c r="E348">
        <v>2</v>
      </c>
      <c r="F348" t="s">
        <v>7</v>
      </c>
      <c r="G348" t="s">
        <v>115</v>
      </c>
      <c r="H348" t="s">
        <v>11</v>
      </c>
    </row>
    <row r="349" spans="1:8" x14ac:dyDescent="0.35">
      <c r="A349" t="s">
        <v>20</v>
      </c>
      <c r="B349" t="s">
        <v>119</v>
      </c>
      <c r="C349" t="s">
        <v>1625</v>
      </c>
      <c r="D349">
        <v>3</v>
      </c>
      <c r="E349">
        <v>2</v>
      </c>
      <c r="F349" t="s">
        <v>7</v>
      </c>
      <c r="G349" t="s">
        <v>115</v>
      </c>
      <c r="H349" t="s">
        <v>11</v>
      </c>
    </row>
    <row r="350" spans="1:8" x14ac:dyDescent="0.35">
      <c r="A350" t="s">
        <v>20</v>
      </c>
      <c r="B350" t="s">
        <v>119</v>
      </c>
      <c r="C350" t="s">
        <v>1626</v>
      </c>
      <c r="D350">
        <v>2</v>
      </c>
      <c r="E350">
        <v>2</v>
      </c>
      <c r="F350" t="s">
        <v>7</v>
      </c>
      <c r="G350" t="s">
        <v>115</v>
      </c>
      <c r="H350" t="s">
        <v>11</v>
      </c>
    </row>
    <row r="351" spans="1:8" x14ac:dyDescent="0.35">
      <c r="A351" t="s">
        <v>20</v>
      </c>
      <c r="B351" t="s">
        <v>119</v>
      </c>
      <c r="C351" t="s">
        <v>1627</v>
      </c>
      <c r="D351">
        <v>3</v>
      </c>
      <c r="E351">
        <v>2</v>
      </c>
      <c r="F351" t="s">
        <v>7</v>
      </c>
      <c r="G351" t="s">
        <v>115</v>
      </c>
      <c r="H351" t="s">
        <v>11</v>
      </c>
    </row>
    <row r="352" spans="1:8" x14ac:dyDescent="0.35">
      <c r="A352" t="s">
        <v>20</v>
      </c>
      <c r="B352" t="s">
        <v>119</v>
      </c>
      <c r="C352" t="s">
        <v>1628</v>
      </c>
      <c r="D352">
        <v>3</v>
      </c>
      <c r="E352">
        <v>2</v>
      </c>
      <c r="F352" t="s">
        <v>7</v>
      </c>
      <c r="G352" t="s">
        <v>115</v>
      </c>
      <c r="H352" t="s">
        <v>11</v>
      </c>
    </row>
    <row r="353" spans="1:8" x14ac:dyDescent="0.35">
      <c r="A353" t="s">
        <v>20</v>
      </c>
      <c r="B353" t="s">
        <v>119</v>
      </c>
      <c r="C353" t="s">
        <v>1347</v>
      </c>
      <c r="D353">
        <v>3</v>
      </c>
      <c r="E353">
        <v>2</v>
      </c>
      <c r="F353" t="s">
        <v>7</v>
      </c>
      <c r="G353" t="s">
        <v>115</v>
      </c>
      <c r="H353" t="s">
        <v>11</v>
      </c>
    </row>
    <row r="354" spans="1:8" x14ac:dyDescent="0.35">
      <c r="A354" t="s">
        <v>20</v>
      </c>
      <c r="B354" t="s">
        <v>119</v>
      </c>
      <c r="C354" t="s">
        <v>1348</v>
      </c>
      <c r="D354">
        <v>3</v>
      </c>
      <c r="E354">
        <v>2</v>
      </c>
      <c r="F354" t="s">
        <v>7</v>
      </c>
      <c r="G354" t="s">
        <v>115</v>
      </c>
      <c r="H354" t="s">
        <v>11</v>
      </c>
    </row>
    <row r="355" spans="1:8" x14ac:dyDescent="0.35">
      <c r="A355" t="s">
        <v>20</v>
      </c>
      <c r="B355" t="s">
        <v>119</v>
      </c>
      <c r="C355" t="s">
        <v>1452</v>
      </c>
      <c r="D355">
        <v>3</v>
      </c>
      <c r="E355">
        <v>2</v>
      </c>
      <c r="F355" t="s">
        <v>7</v>
      </c>
      <c r="G355" t="s">
        <v>115</v>
      </c>
      <c r="H355" t="s">
        <v>11</v>
      </c>
    </row>
    <row r="356" spans="1:8" x14ac:dyDescent="0.35">
      <c r="A356" t="s">
        <v>20</v>
      </c>
      <c r="B356" t="s">
        <v>119</v>
      </c>
      <c r="C356" t="s">
        <v>1497</v>
      </c>
      <c r="D356">
        <v>3</v>
      </c>
      <c r="E356">
        <v>2</v>
      </c>
      <c r="F356" t="s">
        <v>7</v>
      </c>
      <c r="G356" t="s">
        <v>115</v>
      </c>
      <c r="H356" t="s">
        <v>11</v>
      </c>
    </row>
    <row r="357" spans="1:8" x14ac:dyDescent="0.35">
      <c r="A357" t="s">
        <v>20</v>
      </c>
      <c r="B357" t="s">
        <v>119</v>
      </c>
      <c r="C357" t="s">
        <v>1352</v>
      </c>
      <c r="D357">
        <v>3</v>
      </c>
      <c r="E357">
        <v>2</v>
      </c>
      <c r="F357" t="s">
        <v>7</v>
      </c>
      <c r="G357" t="s">
        <v>115</v>
      </c>
      <c r="H357" t="s">
        <v>11</v>
      </c>
    </row>
    <row r="358" spans="1:8" x14ac:dyDescent="0.35">
      <c r="A358" t="s">
        <v>20</v>
      </c>
      <c r="B358" t="s">
        <v>119</v>
      </c>
      <c r="C358" t="s">
        <v>1629</v>
      </c>
      <c r="D358">
        <v>2</v>
      </c>
      <c r="E358">
        <v>2</v>
      </c>
      <c r="F358" t="s">
        <v>7</v>
      </c>
      <c r="G358" t="s">
        <v>115</v>
      </c>
      <c r="H358" t="s">
        <v>11</v>
      </c>
    </row>
    <row r="359" spans="1:8" x14ac:dyDescent="0.35">
      <c r="A359" t="s">
        <v>20</v>
      </c>
      <c r="B359" t="s">
        <v>119</v>
      </c>
      <c r="C359" t="s">
        <v>1630</v>
      </c>
      <c r="D359">
        <v>3</v>
      </c>
      <c r="E359">
        <v>2</v>
      </c>
      <c r="F359" t="s">
        <v>7</v>
      </c>
      <c r="G359" t="s">
        <v>115</v>
      </c>
      <c r="H359" t="s">
        <v>11</v>
      </c>
    </row>
    <row r="360" spans="1:8" x14ac:dyDescent="0.35">
      <c r="A360" t="s">
        <v>20</v>
      </c>
      <c r="B360" t="s">
        <v>119</v>
      </c>
      <c r="C360" t="s">
        <v>1631</v>
      </c>
      <c r="D360">
        <v>3</v>
      </c>
      <c r="E360">
        <v>2</v>
      </c>
      <c r="F360" t="s">
        <v>7</v>
      </c>
      <c r="G360" t="s">
        <v>115</v>
      </c>
      <c r="H360" t="s">
        <v>11</v>
      </c>
    </row>
    <row r="361" spans="1:8" x14ac:dyDescent="0.35">
      <c r="A361" t="s">
        <v>20</v>
      </c>
      <c r="B361" t="s">
        <v>119</v>
      </c>
      <c r="C361" t="s">
        <v>1356</v>
      </c>
      <c r="D361">
        <v>3</v>
      </c>
      <c r="E361">
        <v>2</v>
      </c>
      <c r="F361" t="s">
        <v>7</v>
      </c>
      <c r="G361" t="s">
        <v>115</v>
      </c>
      <c r="H361" t="s">
        <v>11</v>
      </c>
    </row>
    <row r="362" spans="1:8" x14ac:dyDescent="0.35">
      <c r="A362" t="s">
        <v>20</v>
      </c>
      <c r="B362" t="s">
        <v>119</v>
      </c>
      <c r="C362" t="s">
        <v>1632</v>
      </c>
      <c r="D362">
        <v>3</v>
      </c>
      <c r="E362">
        <v>2</v>
      </c>
      <c r="F362" t="s">
        <v>7</v>
      </c>
      <c r="G362" t="s">
        <v>115</v>
      </c>
      <c r="H362" t="s">
        <v>11</v>
      </c>
    </row>
    <row r="363" spans="1:8" x14ac:dyDescent="0.35">
      <c r="A363" t="s">
        <v>20</v>
      </c>
      <c r="B363" t="s">
        <v>119</v>
      </c>
      <c r="C363" t="s">
        <v>1358</v>
      </c>
      <c r="D363">
        <v>2</v>
      </c>
      <c r="E363">
        <v>2</v>
      </c>
      <c r="F363" t="s">
        <v>7</v>
      </c>
      <c r="G363" t="s">
        <v>115</v>
      </c>
      <c r="H363" t="s">
        <v>11</v>
      </c>
    </row>
    <row r="364" spans="1:8" x14ac:dyDescent="0.35">
      <c r="A364" t="s">
        <v>20</v>
      </c>
      <c r="B364" t="s">
        <v>119</v>
      </c>
      <c r="C364" t="s">
        <v>1633</v>
      </c>
      <c r="D364">
        <v>3</v>
      </c>
      <c r="E364">
        <v>2</v>
      </c>
      <c r="F364" t="s">
        <v>7</v>
      </c>
      <c r="G364" t="s">
        <v>115</v>
      </c>
      <c r="H364" t="s">
        <v>11</v>
      </c>
    </row>
    <row r="365" spans="1:8" x14ac:dyDescent="0.35">
      <c r="A365" t="s">
        <v>20</v>
      </c>
      <c r="B365" t="s">
        <v>119</v>
      </c>
      <c r="C365" t="s">
        <v>1634</v>
      </c>
      <c r="D365">
        <v>2</v>
      </c>
      <c r="E365">
        <v>1</v>
      </c>
      <c r="F365" t="s">
        <v>7</v>
      </c>
      <c r="G365" t="s">
        <v>115</v>
      </c>
      <c r="H365" t="s">
        <v>11</v>
      </c>
    </row>
    <row r="366" spans="1:8" x14ac:dyDescent="0.35">
      <c r="A366" t="s">
        <v>20</v>
      </c>
      <c r="B366" t="s">
        <v>119</v>
      </c>
      <c r="C366" t="s">
        <v>1361</v>
      </c>
      <c r="D366">
        <v>3</v>
      </c>
      <c r="E366">
        <v>1</v>
      </c>
      <c r="F366" t="s">
        <v>7</v>
      </c>
      <c r="G366" t="s">
        <v>115</v>
      </c>
      <c r="H366" t="s">
        <v>11</v>
      </c>
    </row>
    <row r="367" spans="1:8" x14ac:dyDescent="0.35">
      <c r="A367" t="s">
        <v>20</v>
      </c>
      <c r="B367" t="s">
        <v>119</v>
      </c>
      <c r="C367" t="s">
        <v>1635</v>
      </c>
      <c r="D367">
        <v>3</v>
      </c>
      <c r="E367">
        <v>2</v>
      </c>
      <c r="F367" t="s">
        <v>7</v>
      </c>
      <c r="G367" t="s">
        <v>115</v>
      </c>
      <c r="H367" t="s">
        <v>11</v>
      </c>
    </row>
    <row r="368" spans="1:8" x14ac:dyDescent="0.35">
      <c r="A368" t="s">
        <v>20</v>
      </c>
      <c r="B368" t="s">
        <v>119</v>
      </c>
      <c r="C368" t="s">
        <v>1636</v>
      </c>
      <c r="D368">
        <v>3</v>
      </c>
      <c r="E368">
        <v>2</v>
      </c>
      <c r="F368" t="s">
        <v>7</v>
      </c>
      <c r="G368" t="s">
        <v>115</v>
      </c>
      <c r="H368" t="s">
        <v>11</v>
      </c>
    </row>
    <row r="369" spans="1:8" x14ac:dyDescent="0.35">
      <c r="A369" t="s">
        <v>20</v>
      </c>
      <c r="B369" t="s">
        <v>119</v>
      </c>
      <c r="C369" t="s">
        <v>1637</v>
      </c>
      <c r="D369">
        <v>3</v>
      </c>
      <c r="E369">
        <v>2</v>
      </c>
      <c r="F369" t="s">
        <v>7</v>
      </c>
      <c r="G369" t="s">
        <v>115</v>
      </c>
      <c r="H369" t="s">
        <v>11</v>
      </c>
    </row>
    <row r="370" spans="1:8" x14ac:dyDescent="0.35">
      <c r="A370" t="s">
        <v>20</v>
      </c>
      <c r="B370" t="s">
        <v>119</v>
      </c>
      <c r="C370" t="s">
        <v>1509</v>
      </c>
      <c r="D370">
        <v>3</v>
      </c>
      <c r="E370">
        <v>2</v>
      </c>
      <c r="F370" t="s">
        <v>7</v>
      </c>
      <c r="G370" t="s">
        <v>115</v>
      </c>
      <c r="H370" t="s">
        <v>11</v>
      </c>
    </row>
    <row r="371" spans="1:8" x14ac:dyDescent="0.35">
      <c r="A371" t="s">
        <v>20</v>
      </c>
      <c r="B371" t="s">
        <v>119</v>
      </c>
      <c r="C371" t="s">
        <v>1638</v>
      </c>
      <c r="D371">
        <v>3</v>
      </c>
      <c r="E371">
        <v>2</v>
      </c>
      <c r="F371" t="s">
        <v>7</v>
      </c>
      <c r="G371" t="s">
        <v>115</v>
      </c>
      <c r="H371" t="s">
        <v>11</v>
      </c>
    </row>
    <row r="372" spans="1:8" x14ac:dyDescent="0.35">
      <c r="A372" t="s">
        <v>20</v>
      </c>
      <c r="B372" t="s">
        <v>119</v>
      </c>
      <c r="C372" t="s">
        <v>1639</v>
      </c>
      <c r="D372">
        <v>3</v>
      </c>
      <c r="E372">
        <v>2</v>
      </c>
      <c r="F372" t="s">
        <v>7</v>
      </c>
      <c r="G372" t="s">
        <v>115</v>
      </c>
      <c r="H372" t="s">
        <v>11</v>
      </c>
    </row>
    <row r="373" spans="1:8" x14ac:dyDescent="0.35">
      <c r="A373" t="s">
        <v>20</v>
      </c>
      <c r="B373" t="s">
        <v>119</v>
      </c>
      <c r="C373" t="s">
        <v>1640</v>
      </c>
      <c r="D373">
        <v>3</v>
      </c>
      <c r="E373">
        <v>2</v>
      </c>
      <c r="F373" t="s">
        <v>7</v>
      </c>
      <c r="G373" t="s">
        <v>115</v>
      </c>
      <c r="H373" t="s">
        <v>11</v>
      </c>
    </row>
    <row r="374" spans="1:8" x14ac:dyDescent="0.35">
      <c r="A374" t="s">
        <v>20</v>
      </c>
      <c r="B374" t="s">
        <v>119</v>
      </c>
      <c r="C374" t="s">
        <v>1641</v>
      </c>
      <c r="D374">
        <v>2</v>
      </c>
      <c r="E374">
        <v>2</v>
      </c>
      <c r="F374" t="s">
        <v>7</v>
      </c>
      <c r="G374" t="s">
        <v>115</v>
      </c>
      <c r="H374" t="s">
        <v>11</v>
      </c>
    </row>
    <row r="375" spans="1:8" x14ac:dyDescent="0.35">
      <c r="A375" t="s">
        <v>20</v>
      </c>
      <c r="B375" t="s">
        <v>119</v>
      </c>
      <c r="C375" t="s">
        <v>1464</v>
      </c>
      <c r="D375">
        <v>2</v>
      </c>
      <c r="E375">
        <v>2</v>
      </c>
      <c r="F375" t="s">
        <v>7</v>
      </c>
      <c r="G375" t="s">
        <v>115</v>
      </c>
      <c r="H375" t="s">
        <v>11</v>
      </c>
    </row>
    <row r="376" spans="1:8" x14ac:dyDescent="0.35">
      <c r="A376" t="s">
        <v>20</v>
      </c>
      <c r="B376" t="s">
        <v>119</v>
      </c>
      <c r="C376" t="s">
        <v>1642</v>
      </c>
      <c r="D376">
        <v>3</v>
      </c>
      <c r="E376">
        <v>2</v>
      </c>
      <c r="F376" t="s">
        <v>7</v>
      </c>
      <c r="G376" t="s">
        <v>115</v>
      </c>
      <c r="H376" t="s">
        <v>11</v>
      </c>
    </row>
    <row r="377" spans="1:8" x14ac:dyDescent="0.35">
      <c r="A377" t="s">
        <v>20</v>
      </c>
      <c r="B377" t="s">
        <v>119</v>
      </c>
      <c r="C377" t="s">
        <v>1643</v>
      </c>
      <c r="D377">
        <v>3</v>
      </c>
      <c r="E377">
        <v>2</v>
      </c>
      <c r="F377" t="s">
        <v>7</v>
      </c>
      <c r="G377" t="s">
        <v>115</v>
      </c>
      <c r="H377" t="s">
        <v>11</v>
      </c>
    </row>
    <row r="378" spans="1:8" x14ac:dyDescent="0.35">
      <c r="A378" t="s">
        <v>20</v>
      </c>
      <c r="B378" t="s">
        <v>119</v>
      </c>
      <c r="C378" t="s">
        <v>1644</v>
      </c>
      <c r="D378">
        <v>3</v>
      </c>
      <c r="E378">
        <v>2</v>
      </c>
      <c r="F378" t="s">
        <v>7</v>
      </c>
      <c r="G378" t="s">
        <v>115</v>
      </c>
      <c r="H378" t="s">
        <v>11</v>
      </c>
    </row>
    <row r="379" spans="1:8" x14ac:dyDescent="0.35">
      <c r="A379" t="s">
        <v>20</v>
      </c>
      <c r="B379" t="s">
        <v>119</v>
      </c>
      <c r="C379" t="s">
        <v>1645</v>
      </c>
      <c r="D379">
        <v>3</v>
      </c>
      <c r="E379">
        <v>2</v>
      </c>
      <c r="F379" t="s">
        <v>7</v>
      </c>
      <c r="G379" t="s">
        <v>115</v>
      </c>
      <c r="H379" t="s">
        <v>11</v>
      </c>
    </row>
    <row r="380" spans="1:8" x14ac:dyDescent="0.35">
      <c r="A380" t="s">
        <v>20</v>
      </c>
      <c r="B380" t="s">
        <v>119</v>
      </c>
      <c r="C380" t="s">
        <v>1646</v>
      </c>
      <c r="D380">
        <v>3</v>
      </c>
      <c r="E380">
        <v>2</v>
      </c>
      <c r="F380" t="s">
        <v>7</v>
      </c>
      <c r="G380" t="s">
        <v>115</v>
      </c>
      <c r="H380" t="s">
        <v>11</v>
      </c>
    </row>
    <row r="381" spans="1:8" x14ac:dyDescent="0.35">
      <c r="A381" t="s">
        <v>20</v>
      </c>
      <c r="B381" t="s">
        <v>119</v>
      </c>
      <c r="C381" t="s">
        <v>1647</v>
      </c>
      <c r="D381">
        <v>3</v>
      </c>
      <c r="E381">
        <v>2</v>
      </c>
      <c r="F381" t="s">
        <v>7</v>
      </c>
      <c r="G381" t="s">
        <v>115</v>
      </c>
      <c r="H381" t="s">
        <v>11</v>
      </c>
    </row>
    <row r="382" spans="1:8" x14ac:dyDescent="0.35">
      <c r="A382" t="s">
        <v>20</v>
      </c>
      <c r="B382" t="s">
        <v>119</v>
      </c>
      <c r="C382" t="s">
        <v>1371</v>
      </c>
      <c r="D382">
        <v>3</v>
      </c>
      <c r="E382">
        <v>2</v>
      </c>
      <c r="F382" t="s">
        <v>7</v>
      </c>
      <c r="G382" t="s">
        <v>115</v>
      </c>
      <c r="H382" t="s">
        <v>11</v>
      </c>
    </row>
    <row r="383" spans="1:8" x14ac:dyDescent="0.35">
      <c r="A383" t="s">
        <v>20</v>
      </c>
      <c r="B383" t="s">
        <v>119</v>
      </c>
      <c r="C383" t="s">
        <v>1648</v>
      </c>
      <c r="D383">
        <v>3</v>
      </c>
      <c r="E383">
        <v>2</v>
      </c>
      <c r="F383" t="s">
        <v>7</v>
      </c>
      <c r="G383" t="s">
        <v>115</v>
      </c>
      <c r="H383" t="s">
        <v>11</v>
      </c>
    </row>
    <row r="384" spans="1:8" x14ac:dyDescent="0.35">
      <c r="A384" t="s">
        <v>20</v>
      </c>
      <c r="B384" t="s">
        <v>119</v>
      </c>
      <c r="C384" t="s">
        <v>1649</v>
      </c>
      <c r="D384">
        <v>3</v>
      </c>
      <c r="E384">
        <v>2</v>
      </c>
      <c r="F384" t="s">
        <v>7</v>
      </c>
      <c r="G384" t="s">
        <v>115</v>
      </c>
      <c r="H384" t="s">
        <v>11</v>
      </c>
    </row>
    <row r="385" spans="1:8" x14ac:dyDescent="0.35">
      <c r="A385" t="s">
        <v>20</v>
      </c>
      <c r="B385" t="s">
        <v>119</v>
      </c>
      <c r="C385" t="s">
        <v>1476</v>
      </c>
      <c r="D385">
        <v>2</v>
      </c>
      <c r="E385">
        <v>2</v>
      </c>
      <c r="F385" t="s">
        <v>7</v>
      </c>
      <c r="G385" t="s">
        <v>115</v>
      </c>
      <c r="H385" t="s">
        <v>11</v>
      </c>
    </row>
    <row r="386" spans="1:8" x14ac:dyDescent="0.35">
      <c r="A386" t="s">
        <v>20</v>
      </c>
      <c r="B386" t="s">
        <v>119</v>
      </c>
      <c r="C386" t="s">
        <v>1650</v>
      </c>
      <c r="D386">
        <v>3</v>
      </c>
      <c r="E386">
        <v>2</v>
      </c>
      <c r="F386" t="s">
        <v>7</v>
      </c>
      <c r="G386" t="s">
        <v>115</v>
      </c>
      <c r="H386" t="s">
        <v>11</v>
      </c>
    </row>
    <row r="387" spans="1:8" x14ac:dyDescent="0.35">
      <c r="A387" t="s">
        <v>20</v>
      </c>
      <c r="B387" t="s">
        <v>119</v>
      </c>
      <c r="C387" t="s">
        <v>1651</v>
      </c>
      <c r="D387">
        <v>3</v>
      </c>
      <c r="E387">
        <v>2</v>
      </c>
      <c r="F387" t="s">
        <v>7</v>
      </c>
      <c r="G387" t="s">
        <v>115</v>
      </c>
      <c r="H387" t="s">
        <v>11</v>
      </c>
    </row>
    <row r="388" spans="1:8" x14ac:dyDescent="0.35">
      <c r="A388" t="s">
        <v>20</v>
      </c>
      <c r="B388" t="s">
        <v>119</v>
      </c>
      <c r="C388" t="s">
        <v>1652</v>
      </c>
      <c r="D388">
        <v>3</v>
      </c>
      <c r="E388">
        <v>2</v>
      </c>
      <c r="F388" t="s">
        <v>7</v>
      </c>
      <c r="G388" t="s">
        <v>115</v>
      </c>
      <c r="H388" t="s">
        <v>11</v>
      </c>
    </row>
    <row r="389" spans="1:8" x14ac:dyDescent="0.35">
      <c r="A389" t="s">
        <v>20</v>
      </c>
      <c r="B389" t="s">
        <v>119</v>
      </c>
      <c r="C389" t="s">
        <v>1376</v>
      </c>
      <c r="D389">
        <v>3</v>
      </c>
      <c r="E389">
        <v>2</v>
      </c>
      <c r="F389" t="s">
        <v>7</v>
      </c>
      <c r="G389" t="s">
        <v>115</v>
      </c>
      <c r="H389" t="s">
        <v>11</v>
      </c>
    </row>
    <row r="390" spans="1:8" x14ac:dyDescent="0.35">
      <c r="A390" t="s">
        <v>21</v>
      </c>
      <c r="B390" t="s">
        <v>108</v>
      </c>
      <c r="C390" t="s">
        <v>1653</v>
      </c>
      <c r="D390">
        <v>3</v>
      </c>
      <c r="E390">
        <v>2</v>
      </c>
      <c r="F390" t="s">
        <v>7</v>
      </c>
      <c r="G390" t="s">
        <v>115</v>
      </c>
      <c r="H390" t="s">
        <v>11</v>
      </c>
    </row>
    <row r="391" spans="1:8" x14ac:dyDescent="0.35">
      <c r="A391" t="s">
        <v>21</v>
      </c>
      <c r="B391" t="s">
        <v>108</v>
      </c>
      <c r="C391" t="s">
        <v>1654</v>
      </c>
      <c r="D391">
        <v>3</v>
      </c>
      <c r="E391">
        <v>2</v>
      </c>
      <c r="F391" t="s">
        <v>7</v>
      </c>
      <c r="G391" t="s">
        <v>115</v>
      </c>
      <c r="H391" t="s">
        <v>11</v>
      </c>
    </row>
    <row r="392" spans="1:8" x14ac:dyDescent="0.35">
      <c r="A392" t="s">
        <v>21</v>
      </c>
      <c r="B392" t="s">
        <v>108</v>
      </c>
      <c r="C392" t="s">
        <v>1655</v>
      </c>
      <c r="D392">
        <v>3</v>
      </c>
      <c r="E392">
        <v>2</v>
      </c>
      <c r="F392" t="s">
        <v>7</v>
      </c>
      <c r="G392" t="s">
        <v>115</v>
      </c>
      <c r="H392" t="s">
        <v>11</v>
      </c>
    </row>
    <row r="393" spans="1:8" x14ac:dyDescent="0.35">
      <c r="A393" t="s">
        <v>21</v>
      </c>
      <c r="B393" t="s">
        <v>108</v>
      </c>
      <c r="C393" t="s">
        <v>1605</v>
      </c>
      <c r="D393">
        <v>3</v>
      </c>
      <c r="E393">
        <v>2</v>
      </c>
      <c r="F393" t="s">
        <v>7</v>
      </c>
      <c r="G393" t="s">
        <v>115</v>
      </c>
      <c r="H393" t="s">
        <v>11</v>
      </c>
    </row>
    <row r="394" spans="1:8" x14ac:dyDescent="0.35">
      <c r="A394" t="s">
        <v>21</v>
      </c>
      <c r="B394" t="s">
        <v>108</v>
      </c>
      <c r="C394" t="s">
        <v>1313</v>
      </c>
      <c r="D394">
        <v>3</v>
      </c>
      <c r="E394">
        <v>3</v>
      </c>
      <c r="F394" t="s">
        <v>7</v>
      </c>
      <c r="G394" t="s">
        <v>11</v>
      </c>
      <c r="H394" t="s">
        <v>11</v>
      </c>
    </row>
    <row r="395" spans="1:8" x14ac:dyDescent="0.35">
      <c r="A395" t="s">
        <v>21</v>
      </c>
      <c r="B395" t="s">
        <v>108</v>
      </c>
      <c r="C395" t="s">
        <v>1656</v>
      </c>
      <c r="D395">
        <v>2</v>
      </c>
      <c r="E395">
        <v>4</v>
      </c>
      <c r="F395" t="s">
        <v>7</v>
      </c>
      <c r="G395" t="s">
        <v>11</v>
      </c>
      <c r="H395" t="s">
        <v>11</v>
      </c>
    </row>
    <row r="396" spans="1:8" x14ac:dyDescent="0.35">
      <c r="A396" t="s">
        <v>21</v>
      </c>
      <c r="B396" t="s">
        <v>108</v>
      </c>
      <c r="C396" t="s">
        <v>1657</v>
      </c>
      <c r="D396">
        <v>2</v>
      </c>
      <c r="E396">
        <v>3</v>
      </c>
      <c r="F396" t="s">
        <v>7</v>
      </c>
      <c r="G396" t="s">
        <v>11</v>
      </c>
      <c r="H396" t="s">
        <v>11</v>
      </c>
    </row>
    <row r="397" spans="1:8" x14ac:dyDescent="0.35">
      <c r="A397" t="s">
        <v>21</v>
      </c>
      <c r="B397" t="s">
        <v>108</v>
      </c>
      <c r="C397" t="s">
        <v>1658</v>
      </c>
      <c r="D397">
        <v>2</v>
      </c>
      <c r="E397">
        <v>3</v>
      </c>
      <c r="F397" t="s">
        <v>7</v>
      </c>
      <c r="G397" t="s">
        <v>11</v>
      </c>
      <c r="H397" t="s">
        <v>11</v>
      </c>
    </row>
    <row r="398" spans="1:8" x14ac:dyDescent="0.35">
      <c r="A398" t="s">
        <v>21</v>
      </c>
      <c r="B398" t="s">
        <v>108</v>
      </c>
      <c r="C398" t="s">
        <v>1659</v>
      </c>
      <c r="D398">
        <v>3</v>
      </c>
      <c r="E398">
        <v>3</v>
      </c>
      <c r="F398" t="s">
        <v>7</v>
      </c>
      <c r="G398" t="s">
        <v>115</v>
      </c>
      <c r="H398" t="s">
        <v>11</v>
      </c>
    </row>
    <row r="399" spans="1:8" x14ac:dyDescent="0.35">
      <c r="A399" t="s">
        <v>21</v>
      </c>
      <c r="B399" t="s">
        <v>108</v>
      </c>
      <c r="C399" t="s">
        <v>1660</v>
      </c>
      <c r="D399">
        <v>3</v>
      </c>
      <c r="E399">
        <v>2</v>
      </c>
      <c r="F399" t="s">
        <v>7</v>
      </c>
      <c r="G399" t="s">
        <v>115</v>
      </c>
      <c r="H399" t="s">
        <v>11</v>
      </c>
    </row>
    <row r="400" spans="1:8" x14ac:dyDescent="0.35">
      <c r="A400" t="s">
        <v>21</v>
      </c>
      <c r="B400" t="s">
        <v>108</v>
      </c>
      <c r="C400" t="s">
        <v>1315</v>
      </c>
      <c r="D400">
        <v>3</v>
      </c>
      <c r="E400">
        <v>3</v>
      </c>
      <c r="F400" t="s">
        <v>7</v>
      </c>
      <c r="G400" t="s">
        <v>11</v>
      </c>
      <c r="H400" t="s">
        <v>11</v>
      </c>
    </row>
    <row r="401" spans="1:8" x14ac:dyDescent="0.35">
      <c r="A401" t="s">
        <v>21</v>
      </c>
      <c r="B401" t="s">
        <v>108</v>
      </c>
      <c r="C401" t="s">
        <v>1661</v>
      </c>
      <c r="D401">
        <v>3</v>
      </c>
      <c r="E401">
        <v>3</v>
      </c>
      <c r="F401" t="s">
        <v>7</v>
      </c>
      <c r="G401" t="s">
        <v>115</v>
      </c>
      <c r="H401" t="s">
        <v>11</v>
      </c>
    </row>
    <row r="402" spans="1:8" x14ac:dyDescent="0.35">
      <c r="A402" t="s">
        <v>21</v>
      </c>
      <c r="B402" t="s">
        <v>108</v>
      </c>
      <c r="C402" t="s">
        <v>1662</v>
      </c>
      <c r="D402">
        <v>3</v>
      </c>
      <c r="E402">
        <v>2</v>
      </c>
      <c r="F402" t="s">
        <v>7</v>
      </c>
      <c r="G402" t="s">
        <v>115</v>
      </c>
      <c r="H402" t="s">
        <v>11</v>
      </c>
    </row>
    <row r="403" spans="1:8" x14ac:dyDescent="0.35">
      <c r="A403" t="s">
        <v>21</v>
      </c>
      <c r="B403" t="s">
        <v>108</v>
      </c>
      <c r="C403" t="s">
        <v>1663</v>
      </c>
      <c r="D403">
        <v>3</v>
      </c>
      <c r="E403">
        <v>2</v>
      </c>
      <c r="F403" t="s">
        <v>7</v>
      </c>
      <c r="G403" t="s">
        <v>115</v>
      </c>
      <c r="H403" t="s">
        <v>11</v>
      </c>
    </row>
    <row r="404" spans="1:8" x14ac:dyDescent="0.35">
      <c r="A404" t="s">
        <v>21</v>
      </c>
      <c r="B404" t="s">
        <v>108</v>
      </c>
      <c r="C404" t="s">
        <v>1664</v>
      </c>
      <c r="D404">
        <v>3</v>
      </c>
      <c r="E404">
        <v>2</v>
      </c>
      <c r="F404" t="s">
        <v>7</v>
      </c>
      <c r="G404" t="s">
        <v>115</v>
      </c>
      <c r="H404" t="s">
        <v>11</v>
      </c>
    </row>
    <row r="405" spans="1:8" x14ac:dyDescent="0.35">
      <c r="A405" t="s">
        <v>21</v>
      </c>
      <c r="B405" t="s">
        <v>108</v>
      </c>
      <c r="C405" t="s">
        <v>1665</v>
      </c>
      <c r="D405">
        <v>3</v>
      </c>
      <c r="E405">
        <v>3</v>
      </c>
      <c r="F405" t="s">
        <v>7</v>
      </c>
      <c r="G405" t="s">
        <v>115</v>
      </c>
      <c r="H405" t="s">
        <v>11</v>
      </c>
    </row>
    <row r="406" spans="1:8" x14ac:dyDescent="0.35">
      <c r="A406" t="s">
        <v>21</v>
      </c>
      <c r="B406" t="s">
        <v>108</v>
      </c>
      <c r="C406" t="s">
        <v>1666</v>
      </c>
      <c r="D406">
        <v>3</v>
      </c>
      <c r="E406">
        <v>3</v>
      </c>
      <c r="F406" t="s">
        <v>7</v>
      </c>
      <c r="G406" t="s">
        <v>11</v>
      </c>
      <c r="H406" t="s">
        <v>11</v>
      </c>
    </row>
    <row r="407" spans="1:8" x14ac:dyDescent="0.35">
      <c r="A407" t="s">
        <v>21</v>
      </c>
      <c r="B407" t="s">
        <v>108</v>
      </c>
      <c r="C407" t="s">
        <v>1667</v>
      </c>
      <c r="D407">
        <v>2</v>
      </c>
      <c r="E407">
        <v>3</v>
      </c>
      <c r="F407" t="s">
        <v>7</v>
      </c>
      <c r="G407" t="s">
        <v>11</v>
      </c>
      <c r="H407" t="s">
        <v>11</v>
      </c>
    </row>
    <row r="408" spans="1:8" x14ac:dyDescent="0.35">
      <c r="A408" t="s">
        <v>21</v>
      </c>
      <c r="B408" t="s">
        <v>108</v>
      </c>
      <c r="C408" t="s">
        <v>1319</v>
      </c>
      <c r="D408">
        <v>3</v>
      </c>
      <c r="E408">
        <v>3</v>
      </c>
      <c r="F408" t="s">
        <v>7</v>
      </c>
      <c r="G408" t="s">
        <v>115</v>
      </c>
      <c r="H408" t="s">
        <v>11</v>
      </c>
    </row>
    <row r="409" spans="1:8" x14ac:dyDescent="0.35">
      <c r="A409" t="s">
        <v>21</v>
      </c>
      <c r="B409" t="s">
        <v>108</v>
      </c>
      <c r="C409" t="s">
        <v>1668</v>
      </c>
      <c r="D409">
        <v>3</v>
      </c>
      <c r="E409">
        <v>2</v>
      </c>
      <c r="F409" t="s">
        <v>7</v>
      </c>
      <c r="G409" t="s">
        <v>115</v>
      </c>
      <c r="H409" t="s">
        <v>11</v>
      </c>
    </row>
    <row r="410" spans="1:8" x14ac:dyDescent="0.35">
      <c r="A410" t="s">
        <v>21</v>
      </c>
      <c r="B410" t="s">
        <v>108</v>
      </c>
      <c r="C410" t="s">
        <v>1669</v>
      </c>
      <c r="D410">
        <v>3</v>
      </c>
      <c r="E410">
        <v>3</v>
      </c>
      <c r="F410" t="s">
        <v>7</v>
      </c>
      <c r="G410" t="s">
        <v>115</v>
      </c>
      <c r="H410" t="s">
        <v>11</v>
      </c>
    </row>
    <row r="411" spans="1:8" x14ac:dyDescent="0.35">
      <c r="A411" t="s">
        <v>21</v>
      </c>
      <c r="B411" t="s">
        <v>108</v>
      </c>
      <c r="C411" t="s">
        <v>1430</v>
      </c>
      <c r="D411">
        <v>2</v>
      </c>
      <c r="E411">
        <v>3</v>
      </c>
      <c r="F411" t="s">
        <v>7</v>
      </c>
      <c r="G411" t="s">
        <v>11</v>
      </c>
      <c r="H411" t="s">
        <v>11</v>
      </c>
    </row>
    <row r="412" spans="1:8" x14ac:dyDescent="0.35">
      <c r="A412" t="s">
        <v>21</v>
      </c>
      <c r="B412" t="s">
        <v>108</v>
      </c>
      <c r="C412" t="s">
        <v>1670</v>
      </c>
      <c r="D412">
        <v>2</v>
      </c>
      <c r="E412">
        <v>4</v>
      </c>
      <c r="F412" t="s">
        <v>7</v>
      </c>
      <c r="G412" t="s">
        <v>11</v>
      </c>
      <c r="H412" t="s">
        <v>11</v>
      </c>
    </row>
    <row r="413" spans="1:8" x14ac:dyDescent="0.35">
      <c r="A413" t="s">
        <v>21</v>
      </c>
      <c r="B413" t="s">
        <v>108</v>
      </c>
      <c r="C413" t="s">
        <v>1671</v>
      </c>
      <c r="D413">
        <v>3</v>
      </c>
      <c r="E413">
        <v>2</v>
      </c>
      <c r="F413" t="s">
        <v>7</v>
      </c>
      <c r="G413" t="s">
        <v>115</v>
      </c>
      <c r="H413" t="s">
        <v>11</v>
      </c>
    </row>
    <row r="414" spans="1:8" x14ac:dyDescent="0.35">
      <c r="A414" t="s">
        <v>21</v>
      </c>
      <c r="B414" t="s">
        <v>108</v>
      </c>
      <c r="C414" t="s">
        <v>1672</v>
      </c>
      <c r="D414">
        <v>3</v>
      </c>
      <c r="E414">
        <v>2</v>
      </c>
      <c r="F414" t="s">
        <v>7</v>
      </c>
      <c r="G414" t="s">
        <v>115</v>
      </c>
      <c r="H414" t="s">
        <v>11</v>
      </c>
    </row>
    <row r="415" spans="1:8" x14ac:dyDescent="0.35">
      <c r="A415" t="s">
        <v>21</v>
      </c>
      <c r="B415" t="s">
        <v>108</v>
      </c>
      <c r="C415" t="s">
        <v>1673</v>
      </c>
      <c r="D415">
        <v>3</v>
      </c>
      <c r="E415">
        <v>3</v>
      </c>
      <c r="F415" t="s">
        <v>7</v>
      </c>
      <c r="G415" t="s">
        <v>115</v>
      </c>
      <c r="H415" t="s">
        <v>11</v>
      </c>
    </row>
    <row r="416" spans="1:8" x14ac:dyDescent="0.35">
      <c r="A416" t="s">
        <v>21</v>
      </c>
      <c r="B416" t="s">
        <v>108</v>
      </c>
      <c r="C416" t="s">
        <v>1674</v>
      </c>
      <c r="D416">
        <v>3</v>
      </c>
      <c r="E416">
        <v>4</v>
      </c>
      <c r="F416" t="s">
        <v>7</v>
      </c>
      <c r="G416" t="s">
        <v>11</v>
      </c>
      <c r="H416" t="s">
        <v>11</v>
      </c>
    </row>
    <row r="417" spans="1:8" x14ac:dyDescent="0.35">
      <c r="A417" t="s">
        <v>21</v>
      </c>
      <c r="B417" t="s">
        <v>108</v>
      </c>
      <c r="C417" t="s">
        <v>1321</v>
      </c>
      <c r="D417">
        <v>2</v>
      </c>
      <c r="E417">
        <v>3</v>
      </c>
      <c r="F417" t="s">
        <v>7</v>
      </c>
      <c r="G417" t="s">
        <v>11</v>
      </c>
      <c r="H417" t="s">
        <v>11</v>
      </c>
    </row>
    <row r="418" spans="1:8" x14ac:dyDescent="0.35">
      <c r="A418" t="s">
        <v>21</v>
      </c>
      <c r="B418" t="s">
        <v>108</v>
      </c>
      <c r="C418" t="s">
        <v>1324</v>
      </c>
      <c r="D418">
        <v>2</v>
      </c>
      <c r="E418">
        <v>3</v>
      </c>
      <c r="F418" t="s">
        <v>7</v>
      </c>
      <c r="G418" t="s">
        <v>11</v>
      </c>
      <c r="H418" t="s">
        <v>11</v>
      </c>
    </row>
    <row r="419" spans="1:8" x14ac:dyDescent="0.35">
      <c r="A419" t="s">
        <v>21</v>
      </c>
      <c r="B419" t="s">
        <v>108</v>
      </c>
      <c r="C419" t="s">
        <v>1325</v>
      </c>
      <c r="D419">
        <v>3</v>
      </c>
      <c r="E419">
        <v>3</v>
      </c>
      <c r="F419" t="s">
        <v>7</v>
      </c>
      <c r="G419" t="s">
        <v>115</v>
      </c>
      <c r="H419" t="s">
        <v>11</v>
      </c>
    </row>
    <row r="420" spans="1:8" x14ac:dyDescent="0.35">
      <c r="A420" t="s">
        <v>21</v>
      </c>
      <c r="B420" t="s">
        <v>108</v>
      </c>
      <c r="C420" t="s">
        <v>1675</v>
      </c>
      <c r="D420">
        <v>2</v>
      </c>
      <c r="E420">
        <v>3</v>
      </c>
      <c r="F420" t="s">
        <v>7</v>
      </c>
      <c r="G420" t="s">
        <v>11</v>
      </c>
      <c r="H420" t="s">
        <v>11</v>
      </c>
    </row>
    <row r="421" spans="1:8" x14ac:dyDescent="0.35">
      <c r="A421" t="s">
        <v>21</v>
      </c>
      <c r="B421" t="s">
        <v>108</v>
      </c>
      <c r="C421" t="s">
        <v>1676</v>
      </c>
      <c r="D421">
        <v>3</v>
      </c>
      <c r="E421">
        <v>2</v>
      </c>
      <c r="F421" t="s">
        <v>7</v>
      </c>
      <c r="G421" t="s">
        <v>115</v>
      </c>
      <c r="H421" t="s">
        <v>11</v>
      </c>
    </row>
    <row r="422" spans="1:8" x14ac:dyDescent="0.35">
      <c r="A422" t="s">
        <v>21</v>
      </c>
      <c r="B422" t="s">
        <v>108</v>
      </c>
      <c r="C422" t="s">
        <v>1677</v>
      </c>
      <c r="D422">
        <v>1</v>
      </c>
      <c r="E422">
        <v>3</v>
      </c>
      <c r="F422" t="s">
        <v>7</v>
      </c>
      <c r="G422" t="s">
        <v>11</v>
      </c>
      <c r="H422" t="s">
        <v>11</v>
      </c>
    </row>
    <row r="423" spans="1:8" x14ac:dyDescent="0.35">
      <c r="A423" t="s">
        <v>21</v>
      </c>
      <c r="B423" t="s">
        <v>108</v>
      </c>
      <c r="C423" t="s">
        <v>1327</v>
      </c>
      <c r="D423">
        <v>3</v>
      </c>
      <c r="E423">
        <v>3</v>
      </c>
      <c r="F423" t="s">
        <v>7</v>
      </c>
      <c r="G423" t="s">
        <v>115</v>
      </c>
      <c r="H423" t="s">
        <v>11</v>
      </c>
    </row>
    <row r="424" spans="1:8" x14ac:dyDescent="0.35">
      <c r="A424" t="s">
        <v>21</v>
      </c>
      <c r="B424" t="s">
        <v>108</v>
      </c>
      <c r="C424" t="s">
        <v>1678</v>
      </c>
      <c r="D424">
        <v>3</v>
      </c>
      <c r="E424">
        <v>2</v>
      </c>
      <c r="F424" t="s">
        <v>7</v>
      </c>
      <c r="G424" t="s">
        <v>115</v>
      </c>
      <c r="H424" t="s">
        <v>11</v>
      </c>
    </row>
    <row r="425" spans="1:8" x14ac:dyDescent="0.35">
      <c r="A425" t="s">
        <v>21</v>
      </c>
      <c r="B425" t="s">
        <v>108</v>
      </c>
      <c r="C425" t="s">
        <v>1434</v>
      </c>
      <c r="D425">
        <v>3</v>
      </c>
      <c r="E425">
        <v>3</v>
      </c>
      <c r="F425" t="s">
        <v>7</v>
      </c>
      <c r="G425" t="s">
        <v>11</v>
      </c>
      <c r="H425" t="s">
        <v>11</v>
      </c>
    </row>
    <row r="426" spans="1:8" x14ac:dyDescent="0.35">
      <c r="A426" t="s">
        <v>21</v>
      </c>
      <c r="B426" t="s">
        <v>108</v>
      </c>
      <c r="C426" t="s">
        <v>1679</v>
      </c>
      <c r="D426">
        <v>3</v>
      </c>
      <c r="E426">
        <v>2</v>
      </c>
      <c r="F426" t="s">
        <v>7</v>
      </c>
      <c r="G426" t="s">
        <v>115</v>
      </c>
      <c r="H426" t="s">
        <v>11</v>
      </c>
    </row>
    <row r="427" spans="1:8" x14ac:dyDescent="0.35">
      <c r="A427" t="s">
        <v>21</v>
      </c>
      <c r="B427" t="s">
        <v>108</v>
      </c>
      <c r="C427" t="s">
        <v>1680</v>
      </c>
      <c r="D427">
        <v>2</v>
      </c>
      <c r="E427">
        <v>3</v>
      </c>
      <c r="F427" t="s">
        <v>7</v>
      </c>
      <c r="G427" t="s">
        <v>11</v>
      </c>
      <c r="H427" t="s">
        <v>11</v>
      </c>
    </row>
    <row r="428" spans="1:8" x14ac:dyDescent="0.35">
      <c r="A428" t="s">
        <v>21</v>
      </c>
      <c r="B428" t="s">
        <v>108</v>
      </c>
      <c r="C428" t="s">
        <v>1437</v>
      </c>
      <c r="D428">
        <v>3</v>
      </c>
      <c r="E428">
        <v>3</v>
      </c>
      <c r="F428" t="s">
        <v>7</v>
      </c>
      <c r="G428" t="s">
        <v>11</v>
      </c>
      <c r="H428" t="s">
        <v>11</v>
      </c>
    </row>
    <row r="429" spans="1:8" x14ac:dyDescent="0.35">
      <c r="A429" t="s">
        <v>21</v>
      </c>
      <c r="B429" t="s">
        <v>108</v>
      </c>
      <c r="C429" t="s">
        <v>1681</v>
      </c>
      <c r="D429">
        <v>3</v>
      </c>
      <c r="E429">
        <v>3</v>
      </c>
      <c r="F429" t="s">
        <v>7</v>
      </c>
      <c r="G429" t="s">
        <v>115</v>
      </c>
      <c r="H429" t="s">
        <v>11</v>
      </c>
    </row>
    <row r="430" spans="1:8" x14ac:dyDescent="0.35">
      <c r="A430" t="s">
        <v>21</v>
      </c>
      <c r="B430" t="s">
        <v>108</v>
      </c>
      <c r="C430" t="s">
        <v>1682</v>
      </c>
      <c r="D430">
        <v>3</v>
      </c>
      <c r="E430">
        <v>4</v>
      </c>
      <c r="F430" t="s">
        <v>7</v>
      </c>
      <c r="G430" t="s">
        <v>11</v>
      </c>
      <c r="H430" t="s">
        <v>11</v>
      </c>
    </row>
    <row r="431" spans="1:8" x14ac:dyDescent="0.35">
      <c r="A431" t="s">
        <v>21</v>
      </c>
      <c r="B431" t="s">
        <v>108</v>
      </c>
      <c r="C431" t="s">
        <v>1683</v>
      </c>
      <c r="D431">
        <v>2</v>
      </c>
      <c r="E431">
        <v>4</v>
      </c>
      <c r="F431" t="s">
        <v>7</v>
      </c>
      <c r="G431" t="s">
        <v>11</v>
      </c>
      <c r="H431" t="s">
        <v>11</v>
      </c>
    </row>
    <row r="432" spans="1:8" x14ac:dyDescent="0.35">
      <c r="A432" t="s">
        <v>21</v>
      </c>
      <c r="B432" t="s">
        <v>108</v>
      </c>
      <c r="C432" t="s">
        <v>1684</v>
      </c>
      <c r="D432">
        <v>3</v>
      </c>
      <c r="E432">
        <v>2</v>
      </c>
      <c r="F432" t="s">
        <v>7</v>
      </c>
      <c r="G432" t="s">
        <v>115</v>
      </c>
      <c r="H432" t="s">
        <v>11</v>
      </c>
    </row>
    <row r="433" spans="1:8" x14ac:dyDescent="0.35">
      <c r="A433" t="s">
        <v>21</v>
      </c>
      <c r="B433" t="s">
        <v>108</v>
      </c>
      <c r="C433" t="s">
        <v>1685</v>
      </c>
      <c r="D433">
        <v>1</v>
      </c>
      <c r="E433">
        <v>3</v>
      </c>
      <c r="F433" t="s">
        <v>7</v>
      </c>
      <c r="G433" t="s">
        <v>11</v>
      </c>
      <c r="H433" t="s">
        <v>11</v>
      </c>
    </row>
    <row r="434" spans="1:8" x14ac:dyDescent="0.35">
      <c r="A434" t="s">
        <v>21</v>
      </c>
      <c r="B434" t="s">
        <v>108</v>
      </c>
      <c r="C434" t="s">
        <v>1686</v>
      </c>
      <c r="D434">
        <v>3</v>
      </c>
      <c r="E434">
        <v>3</v>
      </c>
      <c r="F434" t="s">
        <v>7</v>
      </c>
      <c r="G434" t="s">
        <v>115</v>
      </c>
      <c r="H434" t="s">
        <v>11</v>
      </c>
    </row>
    <row r="435" spans="1:8" x14ac:dyDescent="0.35">
      <c r="A435" t="s">
        <v>21</v>
      </c>
      <c r="B435" t="s">
        <v>108</v>
      </c>
      <c r="C435" t="s">
        <v>1687</v>
      </c>
      <c r="D435">
        <v>3</v>
      </c>
      <c r="E435">
        <v>3</v>
      </c>
      <c r="F435" t="s">
        <v>7</v>
      </c>
      <c r="G435" t="s">
        <v>115</v>
      </c>
      <c r="H435" t="s">
        <v>11</v>
      </c>
    </row>
    <row r="436" spans="1:8" x14ac:dyDescent="0.35">
      <c r="A436" t="s">
        <v>21</v>
      </c>
      <c r="B436" t="s">
        <v>108</v>
      </c>
      <c r="C436" t="s">
        <v>1688</v>
      </c>
      <c r="D436">
        <v>3</v>
      </c>
      <c r="E436">
        <v>3</v>
      </c>
      <c r="F436" t="s">
        <v>7</v>
      </c>
      <c r="G436" t="s">
        <v>115</v>
      </c>
      <c r="H436" t="s">
        <v>11</v>
      </c>
    </row>
    <row r="437" spans="1:8" x14ac:dyDescent="0.35">
      <c r="A437" t="s">
        <v>21</v>
      </c>
      <c r="B437" t="s">
        <v>108</v>
      </c>
      <c r="C437" t="s">
        <v>1555</v>
      </c>
      <c r="D437">
        <v>2</v>
      </c>
      <c r="E437">
        <v>3</v>
      </c>
      <c r="F437" t="s">
        <v>7</v>
      </c>
      <c r="G437" t="s">
        <v>11</v>
      </c>
      <c r="H437" t="s">
        <v>11</v>
      </c>
    </row>
    <row r="438" spans="1:8" x14ac:dyDescent="0.35">
      <c r="A438" t="s">
        <v>21</v>
      </c>
      <c r="B438" t="s">
        <v>108</v>
      </c>
      <c r="C438" t="s">
        <v>1689</v>
      </c>
      <c r="D438">
        <v>3</v>
      </c>
      <c r="E438">
        <v>3</v>
      </c>
      <c r="F438" t="s">
        <v>7</v>
      </c>
      <c r="G438" t="s">
        <v>115</v>
      </c>
      <c r="H438" t="s">
        <v>11</v>
      </c>
    </row>
    <row r="439" spans="1:8" x14ac:dyDescent="0.35">
      <c r="A439" t="s">
        <v>21</v>
      </c>
      <c r="B439" t="s">
        <v>108</v>
      </c>
      <c r="C439" t="s">
        <v>1690</v>
      </c>
      <c r="D439">
        <v>3</v>
      </c>
      <c r="E439">
        <v>2</v>
      </c>
      <c r="F439" t="s">
        <v>7</v>
      </c>
      <c r="G439" t="s">
        <v>115</v>
      </c>
      <c r="H439" t="s">
        <v>11</v>
      </c>
    </row>
    <row r="440" spans="1:8" x14ac:dyDescent="0.35">
      <c r="A440" t="s">
        <v>21</v>
      </c>
      <c r="B440" t="s">
        <v>108</v>
      </c>
      <c r="C440" t="s">
        <v>1691</v>
      </c>
      <c r="D440">
        <v>3</v>
      </c>
      <c r="E440">
        <v>2</v>
      </c>
      <c r="F440" t="s">
        <v>7</v>
      </c>
      <c r="G440" t="s">
        <v>115</v>
      </c>
      <c r="H440" t="s">
        <v>11</v>
      </c>
    </row>
    <row r="441" spans="1:8" x14ac:dyDescent="0.35">
      <c r="A441" t="s">
        <v>21</v>
      </c>
      <c r="B441" t="s">
        <v>108</v>
      </c>
      <c r="C441" t="s">
        <v>1558</v>
      </c>
      <c r="D441">
        <v>2</v>
      </c>
      <c r="E441">
        <v>3</v>
      </c>
      <c r="F441" t="s">
        <v>7</v>
      </c>
      <c r="G441" t="s">
        <v>11</v>
      </c>
      <c r="H441" t="s">
        <v>11</v>
      </c>
    </row>
    <row r="442" spans="1:8" x14ac:dyDescent="0.35">
      <c r="A442" t="s">
        <v>21</v>
      </c>
      <c r="B442" t="s">
        <v>108</v>
      </c>
      <c r="C442" t="s">
        <v>1692</v>
      </c>
      <c r="D442">
        <v>3</v>
      </c>
      <c r="E442">
        <v>3</v>
      </c>
      <c r="F442" t="s">
        <v>7</v>
      </c>
      <c r="G442" t="s">
        <v>115</v>
      </c>
      <c r="H442" t="s">
        <v>11</v>
      </c>
    </row>
    <row r="443" spans="1:8" x14ac:dyDescent="0.35">
      <c r="A443" t="s">
        <v>21</v>
      </c>
      <c r="B443" t="s">
        <v>108</v>
      </c>
      <c r="C443" t="s">
        <v>1693</v>
      </c>
      <c r="D443">
        <v>3</v>
      </c>
      <c r="E443">
        <v>2</v>
      </c>
      <c r="F443" t="s">
        <v>7</v>
      </c>
      <c r="G443" t="s">
        <v>115</v>
      </c>
      <c r="H443" t="s">
        <v>11</v>
      </c>
    </row>
    <row r="444" spans="1:8" x14ac:dyDescent="0.35">
      <c r="A444" t="s">
        <v>21</v>
      </c>
      <c r="B444" t="s">
        <v>108</v>
      </c>
      <c r="C444" t="s">
        <v>1694</v>
      </c>
      <c r="D444">
        <v>2</v>
      </c>
      <c r="E444">
        <v>4</v>
      </c>
      <c r="F444" t="s">
        <v>7</v>
      </c>
      <c r="G444" t="s">
        <v>11</v>
      </c>
      <c r="H444" t="s">
        <v>11</v>
      </c>
    </row>
    <row r="445" spans="1:8" x14ac:dyDescent="0.35">
      <c r="A445" t="s">
        <v>21</v>
      </c>
      <c r="B445" t="s">
        <v>108</v>
      </c>
      <c r="C445" t="s">
        <v>1340</v>
      </c>
      <c r="D445">
        <v>2</v>
      </c>
      <c r="E445">
        <v>3</v>
      </c>
      <c r="F445" t="s">
        <v>7</v>
      </c>
      <c r="G445" t="s">
        <v>11</v>
      </c>
      <c r="H445" t="s">
        <v>11</v>
      </c>
    </row>
    <row r="446" spans="1:8" x14ac:dyDescent="0.35">
      <c r="A446" t="s">
        <v>21</v>
      </c>
      <c r="B446" t="s">
        <v>108</v>
      </c>
      <c r="C446" t="s">
        <v>1695</v>
      </c>
      <c r="D446">
        <v>2</v>
      </c>
      <c r="E446">
        <v>4</v>
      </c>
      <c r="F446" t="s">
        <v>7</v>
      </c>
      <c r="G446" t="s">
        <v>11</v>
      </c>
      <c r="H446" t="s">
        <v>11</v>
      </c>
    </row>
    <row r="447" spans="1:8" x14ac:dyDescent="0.35">
      <c r="A447" t="s">
        <v>21</v>
      </c>
      <c r="B447" t="s">
        <v>108</v>
      </c>
      <c r="C447" t="s">
        <v>1696</v>
      </c>
      <c r="D447">
        <v>2</v>
      </c>
      <c r="E447">
        <v>3</v>
      </c>
      <c r="F447" t="s">
        <v>7</v>
      </c>
      <c r="G447" t="s">
        <v>11</v>
      </c>
      <c r="H447" t="s">
        <v>11</v>
      </c>
    </row>
    <row r="448" spans="1:8" x14ac:dyDescent="0.35">
      <c r="A448" t="s">
        <v>21</v>
      </c>
      <c r="B448" t="s">
        <v>108</v>
      </c>
      <c r="C448" t="s">
        <v>1341</v>
      </c>
      <c r="D448">
        <v>2</v>
      </c>
      <c r="E448">
        <v>4</v>
      </c>
      <c r="F448" t="s">
        <v>7</v>
      </c>
      <c r="G448" t="s">
        <v>11</v>
      </c>
      <c r="H448" t="s">
        <v>11</v>
      </c>
    </row>
    <row r="449" spans="1:8" x14ac:dyDescent="0.35">
      <c r="A449" t="s">
        <v>21</v>
      </c>
      <c r="B449" t="s">
        <v>108</v>
      </c>
      <c r="C449" t="s">
        <v>1443</v>
      </c>
      <c r="D449">
        <v>1</v>
      </c>
      <c r="E449">
        <v>3</v>
      </c>
      <c r="F449" t="s">
        <v>7</v>
      </c>
      <c r="G449" t="s">
        <v>11</v>
      </c>
      <c r="H449" t="s">
        <v>11</v>
      </c>
    </row>
    <row r="450" spans="1:8" x14ac:dyDescent="0.35">
      <c r="A450" t="s">
        <v>21</v>
      </c>
      <c r="B450" t="s">
        <v>108</v>
      </c>
      <c r="C450" t="s">
        <v>1697</v>
      </c>
      <c r="D450">
        <v>2</v>
      </c>
      <c r="E450">
        <v>4</v>
      </c>
      <c r="F450" t="s">
        <v>7</v>
      </c>
      <c r="G450" t="s">
        <v>11</v>
      </c>
      <c r="H450" t="s">
        <v>11</v>
      </c>
    </row>
    <row r="451" spans="1:8" x14ac:dyDescent="0.35">
      <c r="A451" t="s">
        <v>21</v>
      </c>
      <c r="B451" t="s">
        <v>108</v>
      </c>
      <c r="C451" t="s">
        <v>1698</v>
      </c>
      <c r="D451">
        <v>3</v>
      </c>
      <c r="E451">
        <v>3</v>
      </c>
      <c r="F451" t="s">
        <v>7</v>
      </c>
      <c r="G451" t="s">
        <v>11</v>
      </c>
      <c r="H451" t="s">
        <v>11</v>
      </c>
    </row>
    <row r="452" spans="1:8" x14ac:dyDescent="0.35">
      <c r="A452" t="s">
        <v>21</v>
      </c>
      <c r="B452" t="s">
        <v>108</v>
      </c>
      <c r="C452" t="s">
        <v>1699</v>
      </c>
      <c r="D452">
        <v>3</v>
      </c>
      <c r="E452">
        <v>2</v>
      </c>
      <c r="F452" t="s">
        <v>7</v>
      </c>
      <c r="G452" t="s">
        <v>115</v>
      </c>
      <c r="H452" t="s">
        <v>11</v>
      </c>
    </row>
    <row r="453" spans="1:8" x14ac:dyDescent="0.35">
      <c r="A453" t="s">
        <v>21</v>
      </c>
      <c r="B453" t="s">
        <v>108</v>
      </c>
      <c r="C453" t="s">
        <v>1700</v>
      </c>
      <c r="D453">
        <v>3</v>
      </c>
      <c r="E453">
        <v>4</v>
      </c>
      <c r="F453" t="s">
        <v>7</v>
      </c>
      <c r="G453" t="s">
        <v>11</v>
      </c>
      <c r="H453" t="s">
        <v>11</v>
      </c>
    </row>
    <row r="454" spans="1:8" x14ac:dyDescent="0.35">
      <c r="A454" t="s">
        <v>21</v>
      </c>
      <c r="B454" t="s">
        <v>108</v>
      </c>
      <c r="C454" t="s">
        <v>1701</v>
      </c>
      <c r="D454">
        <v>3</v>
      </c>
      <c r="E454">
        <v>2</v>
      </c>
      <c r="F454" t="s">
        <v>7</v>
      </c>
      <c r="G454" t="s">
        <v>115</v>
      </c>
      <c r="H454" t="s">
        <v>11</v>
      </c>
    </row>
    <row r="455" spans="1:8" x14ac:dyDescent="0.35">
      <c r="A455" t="s">
        <v>21</v>
      </c>
      <c r="B455" t="s">
        <v>108</v>
      </c>
      <c r="C455" t="s">
        <v>1343</v>
      </c>
      <c r="D455">
        <v>2</v>
      </c>
      <c r="E455">
        <v>3</v>
      </c>
      <c r="F455" t="s">
        <v>7</v>
      </c>
      <c r="G455" t="s">
        <v>11</v>
      </c>
      <c r="H455" t="s">
        <v>11</v>
      </c>
    </row>
    <row r="456" spans="1:8" x14ac:dyDescent="0.35">
      <c r="A456" t="s">
        <v>21</v>
      </c>
      <c r="B456" t="s">
        <v>108</v>
      </c>
      <c r="C456" t="s">
        <v>1702</v>
      </c>
      <c r="D456">
        <v>1</v>
      </c>
      <c r="E456">
        <v>3</v>
      </c>
      <c r="F456" t="s">
        <v>7</v>
      </c>
      <c r="G456" t="s">
        <v>11</v>
      </c>
      <c r="H456" t="s">
        <v>11</v>
      </c>
    </row>
    <row r="457" spans="1:8" x14ac:dyDescent="0.35">
      <c r="A457" t="s">
        <v>21</v>
      </c>
      <c r="B457" t="s">
        <v>108</v>
      </c>
      <c r="C457" t="s">
        <v>1703</v>
      </c>
      <c r="D457">
        <v>2</v>
      </c>
      <c r="E457">
        <v>4</v>
      </c>
      <c r="F457" t="s">
        <v>7</v>
      </c>
      <c r="G457" t="s">
        <v>11</v>
      </c>
      <c r="H457" t="s">
        <v>11</v>
      </c>
    </row>
    <row r="458" spans="1:8" x14ac:dyDescent="0.35">
      <c r="A458" t="s">
        <v>21</v>
      </c>
      <c r="B458" t="s">
        <v>108</v>
      </c>
      <c r="C458" t="s">
        <v>1704</v>
      </c>
      <c r="D458">
        <v>2</v>
      </c>
      <c r="E458">
        <v>4</v>
      </c>
      <c r="F458" t="s">
        <v>7</v>
      </c>
      <c r="G458" t="s">
        <v>11</v>
      </c>
      <c r="H458" t="s">
        <v>11</v>
      </c>
    </row>
    <row r="459" spans="1:8" x14ac:dyDescent="0.35">
      <c r="A459" t="s">
        <v>21</v>
      </c>
      <c r="B459" t="s">
        <v>108</v>
      </c>
      <c r="C459" t="s">
        <v>1705</v>
      </c>
      <c r="D459">
        <v>3</v>
      </c>
      <c r="E459">
        <v>3</v>
      </c>
      <c r="F459" t="s">
        <v>7</v>
      </c>
      <c r="G459" t="s">
        <v>11</v>
      </c>
      <c r="H459" t="s">
        <v>11</v>
      </c>
    </row>
    <row r="460" spans="1:8" x14ac:dyDescent="0.35">
      <c r="A460" t="s">
        <v>21</v>
      </c>
      <c r="B460" t="s">
        <v>108</v>
      </c>
      <c r="C460" t="s">
        <v>1706</v>
      </c>
      <c r="D460">
        <v>2</v>
      </c>
      <c r="E460">
        <v>3</v>
      </c>
      <c r="F460" t="s">
        <v>7</v>
      </c>
      <c r="G460" t="s">
        <v>11</v>
      </c>
      <c r="H460" t="s">
        <v>11</v>
      </c>
    </row>
    <row r="461" spans="1:8" x14ac:dyDescent="0.35">
      <c r="A461" t="s">
        <v>21</v>
      </c>
      <c r="B461" t="s">
        <v>108</v>
      </c>
      <c r="C461" t="s">
        <v>1707</v>
      </c>
      <c r="D461">
        <v>2</v>
      </c>
      <c r="E461">
        <v>3</v>
      </c>
      <c r="F461" t="s">
        <v>7</v>
      </c>
      <c r="G461" t="s">
        <v>11</v>
      </c>
      <c r="H461" t="s">
        <v>11</v>
      </c>
    </row>
    <row r="462" spans="1:8" x14ac:dyDescent="0.35">
      <c r="A462" t="s">
        <v>21</v>
      </c>
      <c r="B462" t="s">
        <v>108</v>
      </c>
      <c r="C462" t="s">
        <v>1708</v>
      </c>
      <c r="D462">
        <v>2</v>
      </c>
      <c r="E462">
        <v>3</v>
      </c>
      <c r="F462" t="s">
        <v>7</v>
      </c>
      <c r="G462" t="s">
        <v>11</v>
      </c>
      <c r="H462" t="s">
        <v>11</v>
      </c>
    </row>
    <row r="463" spans="1:8" x14ac:dyDescent="0.35">
      <c r="A463" t="s">
        <v>21</v>
      </c>
      <c r="B463" t="s">
        <v>108</v>
      </c>
      <c r="C463" t="s">
        <v>1709</v>
      </c>
      <c r="D463">
        <v>2</v>
      </c>
      <c r="E463">
        <v>3</v>
      </c>
      <c r="F463" t="s">
        <v>7</v>
      </c>
      <c r="G463" t="s">
        <v>11</v>
      </c>
      <c r="H463" t="s">
        <v>11</v>
      </c>
    </row>
    <row r="464" spans="1:8" x14ac:dyDescent="0.35">
      <c r="A464" t="s">
        <v>21</v>
      </c>
      <c r="B464" t="s">
        <v>108</v>
      </c>
      <c r="C464" t="s">
        <v>1345</v>
      </c>
      <c r="D464">
        <v>2</v>
      </c>
      <c r="E464">
        <v>3</v>
      </c>
      <c r="F464" t="s">
        <v>7</v>
      </c>
      <c r="G464" t="s">
        <v>11</v>
      </c>
      <c r="H464" t="s">
        <v>11</v>
      </c>
    </row>
    <row r="465" spans="1:8" x14ac:dyDescent="0.35">
      <c r="A465" t="s">
        <v>21</v>
      </c>
      <c r="B465" t="s">
        <v>108</v>
      </c>
      <c r="C465" t="s">
        <v>1346</v>
      </c>
      <c r="D465">
        <v>3</v>
      </c>
      <c r="E465">
        <v>3</v>
      </c>
      <c r="F465" t="s">
        <v>7</v>
      </c>
      <c r="G465" t="s">
        <v>115</v>
      </c>
      <c r="H465" t="s">
        <v>11</v>
      </c>
    </row>
    <row r="466" spans="1:8" x14ac:dyDescent="0.35">
      <c r="A466" t="s">
        <v>21</v>
      </c>
      <c r="B466" t="s">
        <v>108</v>
      </c>
      <c r="C466" t="s">
        <v>1710</v>
      </c>
      <c r="D466">
        <v>3</v>
      </c>
      <c r="E466">
        <v>3</v>
      </c>
      <c r="F466" t="s">
        <v>7</v>
      </c>
      <c r="G466" t="s">
        <v>115</v>
      </c>
      <c r="H466" t="s">
        <v>11</v>
      </c>
    </row>
    <row r="467" spans="1:8" x14ac:dyDescent="0.35">
      <c r="A467" t="s">
        <v>21</v>
      </c>
      <c r="B467" t="s">
        <v>108</v>
      </c>
      <c r="C467" t="s">
        <v>1347</v>
      </c>
      <c r="D467">
        <v>2</v>
      </c>
      <c r="E467">
        <v>3</v>
      </c>
      <c r="F467" t="s">
        <v>7</v>
      </c>
      <c r="G467" t="s">
        <v>11</v>
      </c>
      <c r="H467" t="s">
        <v>11</v>
      </c>
    </row>
    <row r="468" spans="1:8" x14ac:dyDescent="0.35">
      <c r="A468" t="s">
        <v>21</v>
      </c>
      <c r="B468" t="s">
        <v>108</v>
      </c>
      <c r="C468" t="s">
        <v>1711</v>
      </c>
      <c r="D468">
        <v>2</v>
      </c>
      <c r="E468">
        <v>3</v>
      </c>
      <c r="F468" t="s">
        <v>7</v>
      </c>
      <c r="G468" t="s">
        <v>11</v>
      </c>
      <c r="H468" t="s">
        <v>11</v>
      </c>
    </row>
    <row r="469" spans="1:8" x14ac:dyDescent="0.35">
      <c r="A469" t="s">
        <v>21</v>
      </c>
      <c r="B469" t="s">
        <v>108</v>
      </c>
      <c r="C469" t="s">
        <v>1712</v>
      </c>
      <c r="D469">
        <v>3</v>
      </c>
      <c r="E469">
        <v>2</v>
      </c>
      <c r="F469" t="s">
        <v>7</v>
      </c>
      <c r="G469" t="s">
        <v>115</v>
      </c>
      <c r="H469" t="s">
        <v>11</v>
      </c>
    </row>
    <row r="470" spans="1:8" x14ac:dyDescent="0.35">
      <c r="A470" t="s">
        <v>21</v>
      </c>
      <c r="B470" t="s">
        <v>108</v>
      </c>
      <c r="C470" t="s">
        <v>1348</v>
      </c>
      <c r="D470">
        <v>3</v>
      </c>
      <c r="E470">
        <v>3</v>
      </c>
      <c r="F470" t="s">
        <v>7</v>
      </c>
      <c r="G470" t="s">
        <v>11</v>
      </c>
      <c r="H470" t="s">
        <v>11</v>
      </c>
    </row>
    <row r="471" spans="1:8" x14ac:dyDescent="0.35">
      <c r="A471" t="s">
        <v>21</v>
      </c>
      <c r="B471" t="s">
        <v>108</v>
      </c>
      <c r="C471" t="s">
        <v>1713</v>
      </c>
      <c r="D471">
        <v>3</v>
      </c>
      <c r="E471">
        <v>3</v>
      </c>
      <c r="F471" t="s">
        <v>7</v>
      </c>
      <c r="G471" t="s">
        <v>115</v>
      </c>
      <c r="H471" t="s">
        <v>11</v>
      </c>
    </row>
    <row r="472" spans="1:8" x14ac:dyDescent="0.35">
      <c r="A472" t="s">
        <v>21</v>
      </c>
      <c r="B472" t="s">
        <v>108</v>
      </c>
      <c r="C472" t="s">
        <v>1451</v>
      </c>
      <c r="D472">
        <v>3</v>
      </c>
      <c r="E472">
        <v>3</v>
      </c>
      <c r="F472" t="s">
        <v>7</v>
      </c>
      <c r="G472" t="s">
        <v>115</v>
      </c>
      <c r="H472" t="s">
        <v>11</v>
      </c>
    </row>
    <row r="473" spans="1:8" x14ac:dyDescent="0.35">
      <c r="A473" t="s">
        <v>21</v>
      </c>
      <c r="B473" t="s">
        <v>108</v>
      </c>
      <c r="C473" t="s">
        <v>1714</v>
      </c>
      <c r="D473">
        <v>3</v>
      </c>
      <c r="E473">
        <v>3</v>
      </c>
      <c r="F473" t="s">
        <v>7</v>
      </c>
      <c r="G473" t="s">
        <v>11</v>
      </c>
      <c r="H473" t="s">
        <v>11</v>
      </c>
    </row>
    <row r="474" spans="1:8" x14ac:dyDescent="0.35">
      <c r="A474" t="s">
        <v>21</v>
      </c>
      <c r="B474" t="s">
        <v>108</v>
      </c>
      <c r="C474" t="s">
        <v>1349</v>
      </c>
      <c r="D474">
        <v>2</v>
      </c>
      <c r="E474">
        <v>3</v>
      </c>
      <c r="F474" t="s">
        <v>7</v>
      </c>
      <c r="G474" t="s">
        <v>11</v>
      </c>
      <c r="H474" t="s">
        <v>11</v>
      </c>
    </row>
    <row r="475" spans="1:8" x14ac:dyDescent="0.35">
      <c r="A475" t="s">
        <v>21</v>
      </c>
      <c r="B475" t="s">
        <v>108</v>
      </c>
      <c r="C475" t="s">
        <v>1715</v>
      </c>
      <c r="D475">
        <v>3</v>
      </c>
      <c r="E475">
        <v>2</v>
      </c>
      <c r="F475" t="s">
        <v>7</v>
      </c>
      <c r="G475" t="s">
        <v>115</v>
      </c>
      <c r="H475" t="s">
        <v>11</v>
      </c>
    </row>
    <row r="476" spans="1:8" x14ac:dyDescent="0.35">
      <c r="A476" t="s">
        <v>21</v>
      </c>
      <c r="B476" t="s">
        <v>108</v>
      </c>
      <c r="C476" t="s">
        <v>1716</v>
      </c>
      <c r="D476">
        <v>3</v>
      </c>
      <c r="E476">
        <v>3</v>
      </c>
      <c r="F476" t="s">
        <v>7</v>
      </c>
      <c r="G476" t="s">
        <v>115</v>
      </c>
      <c r="H476" t="s">
        <v>11</v>
      </c>
    </row>
    <row r="477" spans="1:8" x14ac:dyDescent="0.35">
      <c r="A477" t="s">
        <v>21</v>
      </c>
      <c r="B477" t="s">
        <v>108</v>
      </c>
      <c r="C477" t="s">
        <v>1352</v>
      </c>
      <c r="D477">
        <v>3</v>
      </c>
      <c r="E477">
        <v>3</v>
      </c>
      <c r="F477" t="s">
        <v>7</v>
      </c>
      <c r="G477" t="s">
        <v>115</v>
      </c>
      <c r="H477" t="s">
        <v>11</v>
      </c>
    </row>
    <row r="478" spans="1:8" x14ac:dyDescent="0.35">
      <c r="A478" t="s">
        <v>21</v>
      </c>
      <c r="B478" t="s">
        <v>108</v>
      </c>
      <c r="C478" t="s">
        <v>1631</v>
      </c>
      <c r="D478">
        <v>3</v>
      </c>
      <c r="E478">
        <v>2</v>
      </c>
      <c r="F478" t="s">
        <v>7</v>
      </c>
      <c r="G478" t="s">
        <v>115</v>
      </c>
      <c r="H478" t="s">
        <v>11</v>
      </c>
    </row>
    <row r="479" spans="1:8" x14ac:dyDescent="0.35">
      <c r="A479" t="s">
        <v>21</v>
      </c>
      <c r="B479" t="s">
        <v>108</v>
      </c>
      <c r="C479" t="s">
        <v>1453</v>
      </c>
      <c r="D479">
        <v>3</v>
      </c>
      <c r="E479">
        <v>3</v>
      </c>
      <c r="F479" t="s">
        <v>7</v>
      </c>
      <c r="G479" t="s">
        <v>11</v>
      </c>
      <c r="H479" t="s">
        <v>11</v>
      </c>
    </row>
    <row r="480" spans="1:8" x14ac:dyDescent="0.35">
      <c r="A480" t="s">
        <v>21</v>
      </c>
      <c r="B480" t="s">
        <v>108</v>
      </c>
      <c r="C480" t="s">
        <v>1717</v>
      </c>
      <c r="D480">
        <v>3</v>
      </c>
      <c r="E480">
        <v>2</v>
      </c>
      <c r="F480" t="s">
        <v>7</v>
      </c>
      <c r="G480" t="s">
        <v>115</v>
      </c>
      <c r="H480" t="s">
        <v>11</v>
      </c>
    </row>
    <row r="481" spans="1:8" x14ac:dyDescent="0.35">
      <c r="A481" t="s">
        <v>21</v>
      </c>
      <c r="B481" t="s">
        <v>108</v>
      </c>
      <c r="C481" t="s">
        <v>1354</v>
      </c>
      <c r="D481">
        <v>3</v>
      </c>
      <c r="E481">
        <v>2</v>
      </c>
      <c r="F481" t="s">
        <v>7</v>
      </c>
      <c r="G481" t="s">
        <v>115</v>
      </c>
      <c r="H481" t="s">
        <v>11</v>
      </c>
    </row>
    <row r="482" spans="1:8" x14ac:dyDescent="0.35">
      <c r="A482" t="s">
        <v>21</v>
      </c>
      <c r="B482" t="s">
        <v>108</v>
      </c>
      <c r="C482" t="s">
        <v>1718</v>
      </c>
      <c r="D482">
        <v>2</v>
      </c>
      <c r="E482">
        <v>4</v>
      </c>
      <c r="F482" t="s">
        <v>7</v>
      </c>
      <c r="G482" t="s">
        <v>11</v>
      </c>
      <c r="H482" t="s">
        <v>11</v>
      </c>
    </row>
    <row r="483" spans="1:8" x14ac:dyDescent="0.35">
      <c r="A483" t="s">
        <v>21</v>
      </c>
      <c r="B483" t="s">
        <v>108</v>
      </c>
      <c r="C483" t="s">
        <v>1355</v>
      </c>
      <c r="D483">
        <v>3</v>
      </c>
      <c r="E483">
        <v>3</v>
      </c>
      <c r="F483" t="s">
        <v>7</v>
      </c>
      <c r="G483" t="s">
        <v>115</v>
      </c>
      <c r="H483" t="s">
        <v>11</v>
      </c>
    </row>
    <row r="484" spans="1:8" x14ac:dyDescent="0.35">
      <c r="A484" t="s">
        <v>21</v>
      </c>
      <c r="B484" t="s">
        <v>108</v>
      </c>
      <c r="C484" t="s">
        <v>1356</v>
      </c>
      <c r="D484">
        <v>2</v>
      </c>
      <c r="E484">
        <v>3</v>
      </c>
      <c r="F484" t="s">
        <v>7</v>
      </c>
      <c r="G484" t="s">
        <v>11</v>
      </c>
      <c r="H484" t="s">
        <v>11</v>
      </c>
    </row>
    <row r="485" spans="1:8" x14ac:dyDescent="0.35">
      <c r="A485" t="s">
        <v>21</v>
      </c>
      <c r="B485" t="s">
        <v>108</v>
      </c>
      <c r="C485" t="s">
        <v>1358</v>
      </c>
      <c r="D485">
        <v>3</v>
      </c>
      <c r="E485">
        <v>3</v>
      </c>
      <c r="F485" t="s">
        <v>7</v>
      </c>
      <c r="G485" t="s">
        <v>115</v>
      </c>
      <c r="H485" t="s">
        <v>11</v>
      </c>
    </row>
    <row r="486" spans="1:8" x14ac:dyDescent="0.35">
      <c r="A486" t="s">
        <v>21</v>
      </c>
      <c r="B486" t="s">
        <v>108</v>
      </c>
      <c r="C486" t="s">
        <v>1719</v>
      </c>
      <c r="D486">
        <v>3</v>
      </c>
      <c r="E486">
        <v>3</v>
      </c>
      <c r="F486" t="s">
        <v>7</v>
      </c>
      <c r="G486" t="s">
        <v>11</v>
      </c>
      <c r="H486" t="s">
        <v>11</v>
      </c>
    </row>
    <row r="487" spans="1:8" x14ac:dyDescent="0.35">
      <c r="A487" t="s">
        <v>21</v>
      </c>
      <c r="B487" t="s">
        <v>108</v>
      </c>
      <c r="C487" t="s">
        <v>1720</v>
      </c>
      <c r="D487">
        <v>3</v>
      </c>
      <c r="E487">
        <v>2</v>
      </c>
      <c r="F487" t="s">
        <v>7</v>
      </c>
      <c r="G487" t="s">
        <v>115</v>
      </c>
      <c r="H487" t="s">
        <v>11</v>
      </c>
    </row>
    <row r="488" spans="1:8" x14ac:dyDescent="0.35">
      <c r="A488" t="s">
        <v>21</v>
      </c>
      <c r="B488" t="s">
        <v>108</v>
      </c>
      <c r="C488" t="s">
        <v>1721</v>
      </c>
      <c r="D488">
        <v>2</v>
      </c>
      <c r="E488">
        <v>3</v>
      </c>
      <c r="F488" t="s">
        <v>7</v>
      </c>
      <c r="G488" t="s">
        <v>11</v>
      </c>
      <c r="H488" t="s">
        <v>11</v>
      </c>
    </row>
    <row r="489" spans="1:8" x14ac:dyDescent="0.35">
      <c r="A489" t="s">
        <v>21</v>
      </c>
      <c r="B489" t="s">
        <v>108</v>
      </c>
      <c r="C489" t="s">
        <v>1457</v>
      </c>
      <c r="D489">
        <v>3</v>
      </c>
      <c r="E489">
        <v>2</v>
      </c>
      <c r="F489" t="s">
        <v>7</v>
      </c>
      <c r="G489" t="s">
        <v>115</v>
      </c>
      <c r="H489" t="s">
        <v>11</v>
      </c>
    </row>
    <row r="490" spans="1:8" x14ac:dyDescent="0.35">
      <c r="A490" t="s">
        <v>21</v>
      </c>
      <c r="B490" t="s">
        <v>108</v>
      </c>
      <c r="C490" t="s">
        <v>1722</v>
      </c>
      <c r="D490">
        <v>3</v>
      </c>
      <c r="E490">
        <v>2</v>
      </c>
      <c r="F490" t="s">
        <v>7</v>
      </c>
      <c r="G490" t="s">
        <v>115</v>
      </c>
      <c r="H490" t="s">
        <v>11</v>
      </c>
    </row>
    <row r="491" spans="1:8" x14ac:dyDescent="0.35">
      <c r="A491" t="s">
        <v>21</v>
      </c>
      <c r="B491" t="s">
        <v>108</v>
      </c>
      <c r="C491" t="s">
        <v>1361</v>
      </c>
      <c r="D491">
        <v>2</v>
      </c>
      <c r="E491">
        <v>3</v>
      </c>
      <c r="F491" t="s">
        <v>7</v>
      </c>
      <c r="G491" t="s">
        <v>11</v>
      </c>
      <c r="H491" t="s">
        <v>11</v>
      </c>
    </row>
    <row r="492" spans="1:8" x14ac:dyDescent="0.35">
      <c r="A492" t="s">
        <v>21</v>
      </c>
      <c r="B492" t="s">
        <v>108</v>
      </c>
      <c r="C492" t="s">
        <v>1362</v>
      </c>
      <c r="D492">
        <v>3</v>
      </c>
      <c r="E492">
        <v>3</v>
      </c>
      <c r="F492" t="s">
        <v>7</v>
      </c>
      <c r="G492" t="s">
        <v>115</v>
      </c>
      <c r="H492" t="s">
        <v>11</v>
      </c>
    </row>
    <row r="493" spans="1:8" x14ac:dyDescent="0.35">
      <c r="A493" t="s">
        <v>21</v>
      </c>
      <c r="B493" t="s">
        <v>108</v>
      </c>
      <c r="C493" t="s">
        <v>1363</v>
      </c>
      <c r="D493">
        <v>2</v>
      </c>
      <c r="E493">
        <v>3</v>
      </c>
      <c r="F493" t="s">
        <v>7</v>
      </c>
      <c r="G493" t="s">
        <v>11</v>
      </c>
      <c r="H493" t="s">
        <v>11</v>
      </c>
    </row>
    <row r="494" spans="1:8" x14ac:dyDescent="0.35">
      <c r="A494" t="s">
        <v>21</v>
      </c>
      <c r="B494" t="s">
        <v>108</v>
      </c>
      <c r="C494" t="s">
        <v>1723</v>
      </c>
      <c r="D494">
        <v>3</v>
      </c>
      <c r="E494">
        <v>4</v>
      </c>
      <c r="F494" t="s">
        <v>7</v>
      </c>
      <c r="G494" t="s">
        <v>11</v>
      </c>
      <c r="H494" t="s">
        <v>11</v>
      </c>
    </row>
    <row r="495" spans="1:8" x14ac:dyDescent="0.35">
      <c r="A495" t="s">
        <v>21</v>
      </c>
      <c r="B495" t="s">
        <v>108</v>
      </c>
      <c r="C495" t="s">
        <v>1724</v>
      </c>
      <c r="D495">
        <v>3</v>
      </c>
      <c r="E495">
        <v>3</v>
      </c>
      <c r="F495" t="s">
        <v>7</v>
      </c>
      <c r="G495" t="s">
        <v>11</v>
      </c>
      <c r="H495" t="s">
        <v>11</v>
      </c>
    </row>
    <row r="496" spans="1:8" x14ac:dyDescent="0.35">
      <c r="A496" t="s">
        <v>21</v>
      </c>
      <c r="B496" t="s">
        <v>108</v>
      </c>
      <c r="C496" t="s">
        <v>1460</v>
      </c>
      <c r="D496">
        <v>2</v>
      </c>
      <c r="E496">
        <v>3</v>
      </c>
      <c r="F496" t="s">
        <v>7</v>
      </c>
      <c r="G496" t="s">
        <v>11</v>
      </c>
      <c r="H496" t="s">
        <v>11</v>
      </c>
    </row>
    <row r="497" spans="1:8" x14ac:dyDescent="0.35">
      <c r="A497" t="s">
        <v>21</v>
      </c>
      <c r="B497" t="s">
        <v>108</v>
      </c>
      <c r="C497" t="s">
        <v>1725</v>
      </c>
      <c r="D497">
        <v>2</v>
      </c>
      <c r="E497">
        <v>3</v>
      </c>
      <c r="F497" t="s">
        <v>7</v>
      </c>
      <c r="G497" t="s">
        <v>11</v>
      </c>
      <c r="H497" t="s">
        <v>11</v>
      </c>
    </row>
    <row r="498" spans="1:8" x14ac:dyDescent="0.35">
      <c r="A498" t="s">
        <v>21</v>
      </c>
      <c r="B498" t="s">
        <v>108</v>
      </c>
      <c r="C498" t="s">
        <v>1726</v>
      </c>
      <c r="D498">
        <v>2</v>
      </c>
      <c r="E498">
        <v>3</v>
      </c>
      <c r="F498" t="s">
        <v>7</v>
      </c>
      <c r="G498" t="s">
        <v>11</v>
      </c>
      <c r="H498" t="s">
        <v>11</v>
      </c>
    </row>
    <row r="499" spans="1:8" x14ac:dyDescent="0.35">
      <c r="A499" t="s">
        <v>21</v>
      </c>
      <c r="B499" t="s">
        <v>108</v>
      </c>
      <c r="C499" t="s">
        <v>1727</v>
      </c>
      <c r="D499">
        <v>2</v>
      </c>
      <c r="E499">
        <v>3</v>
      </c>
      <c r="F499" t="s">
        <v>7</v>
      </c>
      <c r="G499" t="s">
        <v>11</v>
      </c>
      <c r="H499" t="s">
        <v>11</v>
      </c>
    </row>
    <row r="500" spans="1:8" x14ac:dyDescent="0.35">
      <c r="A500" t="s">
        <v>21</v>
      </c>
      <c r="B500" t="s">
        <v>108</v>
      </c>
      <c r="C500" t="s">
        <v>1728</v>
      </c>
      <c r="D500">
        <v>3</v>
      </c>
      <c r="E500">
        <v>3</v>
      </c>
      <c r="F500" t="s">
        <v>7</v>
      </c>
      <c r="G500" t="s">
        <v>115</v>
      </c>
      <c r="H500" t="s">
        <v>11</v>
      </c>
    </row>
    <row r="501" spans="1:8" x14ac:dyDescent="0.35">
      <c r="A501" t="s">
        <v>21</v>
      </c>
      <c r="B501" t="s">
        <v>108</v>
      </c>
      <c r="C501" t="s">
        <v>1365</v>
      </c>
      <c r="D501">
        <v>2</v>
      </c>
      <c r="E501">
        <v>4</v>
      </c>
      <c r="F501" t="s">
        <v>7</v>
      </c>
      <c r="G501" t="s">
        <v>11</v>
      </c>
      <c r="H501" t="s">
        <v>11</v>
      </c>
    </row>
    <row r="502" spans="1:8" x14ac:dyDescent="0.35">
      <c r="A502" t="s">
        <v>21</v>
      </c>
      <c r="B502" t="s">
        <v>108</v>
      </c>
      <c r="C502" t="s">
        <v>1729</v>
      </c>
      <c r="D502">
        <v>3</v>
      </c>
      <c r="E502">
        <v>2</v>
      </c>
      <c r="F502" t="s">
        <v>7</v>
      </c>
      <c r="G502" t="s">
        <v>115</v>
      </c>
      <c r="H502" t="s">
        <v>11</v>
      </c>
    </row>
    <row r="503" spans="1:8" x14ac:dyDescent="0.35">
      <c r="A503" t="s">
        <v>21</v>
      </c>
      <c r="B503" t="s">
        <v>108</v>
      </c>
      <c r="C503" t="s">
        <v>1366</v>
      </c>
      <c r="D503">
        <v>2</v>
      </c>
      <c r="E503">
        <v>3</v>
      </c>
      <c r="F503" t="s">
        <v>7</v>
      </c>
      <c r="G503" t="s">
        <v>11</v>
      </c>
      <c r="H503" t="s">
        <v>11</v>
      </c>
    </row>
    <row r="504" spans="1:8" x14ac:dyDescent="0.35">
      <c r="A504" t="s">
        <v>21</v>
      </c>
      <c r="B504" t="s">
        <v>108</v>
      </c>
      <c r="C504" t="s">
        <v>1464</v>
      </c>
      <c r="D504">
        <v>3</v>
      </c>
      <c r="E504">
        <v>3</v>
      </c>
      <c r="F504" t="s">
        <v>7</v>
      </c>
      <c r="G504" t="s">
        <v>11</v>
      </c>
      <c r="H504" t="s">
        <v>11</v>
      </c>
    </row>
    <row r="505" spans="1:8" x14ac:dyDescent="0.35">
      <c r="A505" t="s">
        <v>21</v>
      </c>
      <c r="B505" t="s">
        <v>108</v>
      </c>
      <c r="C505" t="s">
        <v>1467</v>
      </c>
      <c r="D505">
        <v>3</v>
      </c>
      <c r="E505">
        <v>3</v>
      </c>
      <c r="F505" t="s">
        <v>7</v>
      </c>
      <c r="G505" t="s">
        <v>115</v>
      </c>
      <c r="H505" t="s">
        <v>11</v>
      </c>
    </row>
    <row r="506" spans="1:8" x14ac:dyDescent="0.35">
      <c r="A506" t="s">
        <v>21</v>
      </c>
      <c r="B506" t="s">
        <v>108</v>
      </c>
      <c r="C506" t="s">
        <v>1642</v>
      </c>
      <c r="D506">
        <v>3</v>
      </c>
      <c r="E506">
        <v>3</v>
      </c>
      <c r="F506" t="s">
        <v>7</v>
      </c>
      <c r="G506" t="s">
        <v>11</v>
      </c>
      <c r="H506" t="s">
        <v>11</v>
      </c>
    </row>
    <row r="507" spans="1:8" x14ac:dyDescent="0.35">
      <c r="A507" t="s">
        <v>21</v>
      </c>
      <c r="B507" t="s">
        <v>108</v>
      </c>
      <c r="C507" t="s">
        <v>1730</v>
      </c>
      <c r="D507">
        <v>3</v>
      </c>
      <c r="E507">
        <v>3</v>
      </c>
      <c r="F507" t="s">
        <v>7</v>
      </c>
      <c r="G507" t="s">
        <v>115</v>
      </c>
      <c r="H507" t="s">
        <v>11</v>
      </c>
    </row>
    <row r="508" spans="1:8" x14ac:dyDescent="0.35">
      <c r="A508" t="s">
        <v>21</v>
      </c>
      <c r="B508" t="s">
        <v>108</v>
      </c>
      <c r="C508" t="s">
        <v>1731</v>
      </c>
      <c r="D508">
        <v>2</v>
      </c>
      <c r="E508">
        <v>4</v>
      </c>
      <c r="F508" t="s">
        <v>7</v>
      </c>
      <c r="G508" t="s">
        <v>11</v>
      </c>
      <c r="H508" t="s">
        <v>11</v>
      </c>
    </row>
    <row r="509" spans="1:8" x14ac:dyDescent="0.35">
      <c r="A509" t="s">
        <v>21</v>
      </c>
      <c r="B509" t="s">
        <v>108</v>
      </c>
      <c r="C509" t="s">
        <v>1367</v>
      </c>
      <c r="D509">
        <v>3</v>
      </c>
      <c r="E509">
        <v>3</v>
      </c>
      <c r="F509" t="s">
        <v>7</v>
      </c>
      <c r="G509" t="s">
        <v>115</v>
      </c>
      <c r="H509" t="s">
        <v>11</v>
      </c>
    </row>
    <row r="510" spans="1:8" x14ac:dyDescent="0.35">
      <c r="A510" t="s">
        <v>21</v>
      </c>
      <c r="B510" t="s">
        <v>108</v>
      </c>
      <c r="C510" t="s">
        <v>1732</v>
      </c>
      <c r="D510">
        <v>2</v>
      </c>
      <c r="E510">
        <v>3</v>
      </c>
      <c r="F510" t="s">
        <v>7</v>
      </c>
      <c r="G510" t="s">
        <v>11</v>
      </c>
      <c r="H510" t="s">
        <v>11</v>
      </c>
    </row>
    <row r="511" spans="1:8" x14ac:dyDescent="0.35">
      <c r="A511" t="s">
        <v>21</v>
      </c>
      <c r="B511" t="s">
        <v>108</v>
      </c>
      <c r="C511" t="s">
        <v>1733</v>
      </c>
      <c r="D511">
        <v>2</v>
      </c>
      <c r="E511">
        <v>3</v>
      </c>
      <c r="F511" t="s">
        <v>7</v>
      </c>
      <c r="G511" t="s">
        <v>11</v>
      </c>
      <c r="H511" t="s">
        <v>11</v>
      </c>
    </row>
    <row r="512" spans="1:8" x14ac:dyDescent="0.35">
      <c r="A512" t="s">
        <v>21</v>
      </c>
      <c r="B512" t="s">
        <v>108</v>
      </c>
      <c r="C512" t="s">
        <v>1734</v>
      </c>
      <c r="D512">
        <v>3</v>
      </c>
      <c r="E512">
        <v>3</v>
      </c>
      <c r="F512" t="s">
        <v>7</v>
      </c>
      <c r="G512" t="s">
        <v>115</v>
      </c>
      <c r="H512" t="s">
        <v>11</v>
      </c>
    </row>
    <row r="513" spans="1:8" x14ac:dyDescent="0.35">
      <c r="A513" t="s">
        <v>21</v>
      </c>
      <c r="B513" t="s">
        <v>108</v>
      </c>
      <c r="C513" t="s">
        <v>1735</v>
      </c>
      <c r="D513">
        <v>3</v>
      </c>
      <c r="E513">
        <v>3</v>
      </c>
      <c r="F513" t="s">
        <v>7</v>
      </c>
      <c r="G513" t="s">
        <v>115</v>
      </c>
      <c r="H513" t="s">
        <v>11</v>
      </c>
    </row>
    <row r="514" spans="1:8" x14ac:dyDescent="0.35">
      <c r="A514" t="s">
        <v>21</v>
      </c>
      <c r="B514" t="s">
        <v>108</v>
      </c>
      <c r="C514" t="s">
        <v>1647</v>
      </c>
      <c r="D514">
        <v>3</v>
      </c>
      <c r="E514">
        <v>2</v>
      </c>
      <c r="F514" t="s">
        <v>7</v>
      </c>
      <c r="G514" t="s">
        <v>115</v>
      </c>
      <c r="H514" t="s">
        <v>11</v>
      </c>
    </row>
    <row r="515" spans="1:8" x14ac:dyDescent="0.35">
      <c r="A515" t="s">
        <v>21</v>
      </c>
      <c r="B515" t="s">
        <v>108</v>
      </c>
      <c r="C515" t="s">
        <v>1736</v>
      </c>
      <c r="D515">
        <v>2</v>
      </c>
      <c r="E515">
        <v>3</v>
      </c>
      <c r="F515" t="s">
        <v>7</v>
      </c>
      <c r="G515" t="s">
        <v>11</v>
      </c>
      <c r="H515" t="s">
        <v>11</v>
      </c>
    </row>
    <row r="516" spans="1:8" x14ac:dyDescent="0.35">
      <c r="A516" t="s">
        <v>21</v>
      </c>
      <c r="B516" t="s">
        <v>108</v>
      </c>
      <c r="C516" t="s">
        <v>1737</v>
      </c>
      <c r="D516">
        <v>2</v>
      </c>
      <c r="E516">
        <v>4</v>
      </c>
      <c r="F516" t="s">
        <v>7</v>
      </c>
      <c r="G516" t="s">
        <v>11</v>
      </c>
      <c r="H516" t="s">
        <v>11</v>
      </c>
    </row>
    <row r="517" spans="1:8" x14ac:dyDescent="0.35">
      <c r="A517" t="s">
        <v>21</v>
      </c>
      <c r="B517" t="s">
        <v>108</v>
      </c>
      <c r="C517" t="s">
        <v>1738</v>
      </c>
      <c r="D517">
        <v>3</v>
      </c>
      <c r="E517">
        <v>3</v>
      </c>
      <c r="F517" t="s">
        <v>7</v>
      </c>
      <c r="G517" t="s">
        <v>115</v>
      </c>
      <c r="H517" t="s">
        <v>11</v>
      </c>
    </row>
    <row r="518" spans="1:8" x14ac:dyDescent="0.35">
      <c r="A518" t="s">
        <v>21</v>
      </c>
      <c r="B518" t="s">
        <v>108</v>
      </c>
      <c r="C518" t="s">
        <v>1371</v>
      </c>
      <c r="D518">
        <v>3</v>
      </c>
      <c r="E518">
        <v>3</v>
      </c>
      <c r="F518" t="s">
        <v>7</v>
      </c>
      <c r="G518" t="s">
        <v>115</v>
      </c>
      <c r="H518" t="s">
        <v>11</v>
      </c>
    </row>
    <row r="519" spans="1:8" x14ac:dyDescent="0.35">
      <c r="A519" t="s">
        <v>21</v>
      </c>
      <c r="B519" t="s">
        <v>108</v>
      </c>
      <c r="C519" t="s">
        <v>1739</v>
      </c>
      <c r="D519">
        <v>2</v>
      </c>
      <c r="E519">
        <v>3</v>
      </c>
      <c r="F519" t="s">
        <v>7</v>
      </c>
      <c r="G519" t="s">
        <v>11</v>
      </c>
      <c r="H519" t="s">
        <v>11</v>
      </c>
    </row>
    <row r="520" spans="1:8" x14ac:dyDescent="0.35">
      <c r="A520" t="s">
        <v>21</v>
      </c>
      <c r="B520" t="s">
        <v>108</v>
      </c>
      <c r="C520" t="s">
        <v>1740</v>
      </c>
      <c r="D520">
        <v>3</v>
      </c>
      <c r="E520">
        <v>3</v>
      </c>
      <c r="F520" t="s">
        <v>7</v>
      </c>
      <c r="G520" t="s">
        <v>11</v>
      </c>
      <c r="H520" t="s">
        <v>11</v>
      </c>
    </row>
    <row r="521" spans="1:8" x14ac:dyDescent="0.35">
      <c r="A521" t="s">
        <v>21</v>
      </c>
      <c r="B521" t="s">
        <v>108</v>
      </c>
      <c r="C521" t="s">
        <v>1741</v>
      </c>
      <c r="D521">
        <v>3</v>
      </c>
      <c r="E521">
        <v>2</v>
      </c>
      <c r="F521" t="s">
        <v>7</v>
      </c>
      <c r="G521" t="s">
        <v>115</v>
      </c>
      <c r="H521" t="s">
        <v>11</v>
      </c>
    </row>
    <row r="522" spans="1:8" x14ac:dyDescent="0.35">
      <c r="A522" t="s">
        <v>21</v>
      </c>
      <c r="B522" t="s">
        <v>108</v>
      </c>
      <c r="C522" t="s">
        <v>1649</v>
      </c>
      <c r="D522">
        <v>3</v>
      </c>
      <c r="E522">
        <v>3</v>
      </c>
      <c r="F522" t="s">
        <v>7</v>
      </c>
      <c r="G522" t="s">
        <v>115</v>
      </c>
      <c r="H522" t="s">
        <v>11</v>
      </c>
    </row>
    <row r="523" spans="1:8" x14ac:dyDescent="0.35">
      <c r="A523" t="s">
        <v>21</v>
      </c>
      <c r="B523" t="s">
        <v>108</v>
      </c>
      <c r="C523" t="s">
        <v>1742</v>
      </c>
      <c r="D523">
        <v>3</v>
      </c>
      <c r="E523">
        <v>3</v>
      </c>
      <c r="F523" t="s">
        <v>7</v>
      </c>
      <c r="G523" t="s">
        <v>115</v>
      </c>
      <c r="H523" t="s">
        <v>11</v>
      </c>
    </row>
    <row r="524" spans="1:8" x14ac:dyDescent="0.35">
      <c r="A524" t="s">
        <v>21</v>
      </c>
      <c r="B524" t="s">
        <v>108</v>
      </c>
      <c r="C524" t="s">
        <v>1743</v>
      </c>
      <c r="D524">
        <v>3</v>
      </c>
      <c r="E524">
        <v>3</v>
      </c>
      <c r="F524" t="s">
        <v>7</v>
      </c>
      <c r="G524" t="s">
        <v>115</v>
      </c>
      <c r="H524" t="s">
        <v>11</v>
      </c>
    </row>
    <row r="525" spans="1:8" x14ac:dyDescent="0.35">
      <c r="A525" t="s">
        <v>21</v>
      </c>
      <c r="B525" t="s">
        <v>108</v>
      </c>
      <c r="C525" t="s">
        <v>1744</v>
      </c>
      <c r="D525">
        <v>3</v>
      </c>
      <c r="E525">
        <v>2</v>
      </c>
      <c r="F525" t="s">
        <v>7</v>
      </c>
      <c r="G525" t="s">
        <v>115</v>
      </c>
      <c r="H525" t="s">
        <v>11</v>
      </c>
    </row>
    <row r="526" spans="1:8" x14ac:dyDescent="0.35">
      <c r="A526" t="s">
        <v>21</v>
      </c>
      <c r="B526" t="s">
        <v>108</v>
      </c>
      <c r="C526" t="s">
        <v>1745</v>
      </c>
      <c r="D526">
        <v>3</v>
      </c>
      <c r="E526">
        <v>3</v>
      </c>
      <c r="F526" t="s">
        <v>7</v>
      </c>
      <c r="G526" t="s">
        <v>115</v>
      </c>
      <c r="H526" t="s">
        <v>11</v>
      </c>
    </row>
    <row r="527" spans="1:8" x14ac:dyDescent="0.35">
      <c r="A527" t="s">
        <v>21</v>
      </c>
      <c r="B527" t="s">
        <v>108</v>
      </c>
      <c r="C527" t="s">
        <v>1746</v>
      </c>
      <c r="D527">
        <v>3</v>
      </c>
      <c r="E527">
        <v>2</v>
      </c>
      <c r="F527" t="s">
        <v>7</v>
      </c>
      <c r="G527" t="s">
        <v>115</v>
      </c>
      <c r="H527" t="s">
        <v>11</v>
      </c>
    </row>
    <row r="528" spans="1:8" x14ac:dyDescent="0.35">
      <c r="A528" t="s">
        <v>21</v>
      </c>
      <c r="B528" t="s">
        <v>108</v>
      </c>
      <c r="C528" t="s">
        <v>1747</v>
      </c>
      <c r="D528">
        <v>2</v>
      </c>
      <c r="E528">
        <v>4</v>
      </c>
      <c r="F528" t="s">
        <v>7</v>
      </c>
      <c r="G528" t="s">
        <v>11</v>
      </c>
      <c r="H528" t="s">
        <v>11</v>
      </c>
    </row>
    <row r="529" spans="1:8" x14ac:dyDescent="0.35">
      <c r="A529" t="s">
        <v>21</v>
      </c>
      <c r="B529" t="s">
        <v>108</v>
      </c>
      <c r="C529" t="s">
        <v>1748</v>
      </c>
      <c r="D529">
        <v>3</v>
      </c>
      <c r="E529">
        <v>3</v>
      </c>
      <c r="F529" t="s">
        <v>7</v>
      </c>
      <c r="G529" t="s">
        <v>115</v>
      </c>
      <c r="H529" t="s">
        <v>11</v>
      </c>
    </row>
    <row r="530" spans="1:8" x14ac:dyDescent="0.35">
      <c r="A530" t="s">
        <v>21</v>
      </c>
      <c r="B530" t="s">
        <v>108</v>
      </c>
      <c r="C530" t="s">
        <v>1749</v>
      </c>
      <c r="D530">
        <v>2</v>
      </c>
      <c r="E530">
        <v>3</v>
      </c>
      <c r="F530" t="s">
        <v>7</v>
      </c>
      <c r="G530" t="s">
        <v>11</v>
      </c>
      <c r="H530" t="s">
        <v>11</v>
      </c>
    </row>
    <row r="531" spans="1:8" x14ac:dyDescent="0.35">
      <c r="A531" t="s">
        <v>21</v>
      </c>
      <c r="B531" t="s">
        <v>108</v>
      </c>
      <c r="C531" t="s">
        <v>1750</v>
      </c>
      <c r="D531">
        <v>3</v>
      </c>
      <c r="E531">
        <v>3</v>
      </c>
      <c r="F531" t="s">
        <v>7</v>
      </c>
      <c r="G531" t="s">
        <v>115</v>
      </c>
      <c r="H531" t="s">
        <v>11</v>
      </c>
    </row>
    <row r="532" spans="1:8" x14ac:dyDescent="0.35">
      <c r="A532" t="s">
        <v>21</v>
      </c>
      <c r="B532" t="s">
        <v>108</v>
      </c>
      <c r="C532" t="s">
        <v>1751</v>
      </c>
      <c r="D532">
        <v>3</v>
      </c>
      <c r="E532">
        <v>3</v>
      </c>
      <c r="F532" t="s">
        <v>7</v>
      </c>
      <c r="G532" t="s">
        <v>115</v>
      </c>
      <c r="H532" t="s">
        <v>11</v>
      </c>
    </row>
    <row r="533" spans="1:8" x14ac:dyDescent="0.35">
      <c r="A533" t="s">
        <v>21</v>
      </c>
      <c r="B533" t="s">
        <v>108</v>
      </c>
      <c r="C533" t="s">
        <v>1476</v>
      </c>
      <c r="D533">
        <v>2</v>
      </c>
      <c r="E533">
        <v>4</v>
      </c>
      <c r="F533" t="s">
        <v>7</v>
      </c>
      <c r="G533" t="s">
        <v>11</v>
      </c>
      <c r="H533" t="s">
        <v>11</v>
      </c>
    </row>
    <row r="534" spans="1:8" x14ac:dyDescent="0.35">
      <c r="A534" t="s">
        <v>21</v>
      </c>
      <c r="B534" t="s">
        <v>108</v>
      </c>
      <c r="C534" t="s">
        <v>1752</v>
      </c>
      <c r="D534">
        <v>2</v>
      </c>
      <c r="E534">
        <v>3</v>
      </c>
      <c r="F534" t="s">
        <v>7</v>
      </c>
      <c r="G534" t="s">
        <v>11</v>
      </c>
      <c r="H534" t="s">
        <v>11</v>
      </c>
    </row>
    <row r="535" spans="1:8" x14ac:dyDescent="0.35">
      <c r="A535" t="s">
        <v>21</v>
      </c>
      <c r="B535" t="s">
        <v>108</v>
      </c>
      <c r="C535" t="s">
        <v>1375</v>
      </c>
      <c r="D535">
        <v>2</v>
      </c>
      <c r="E535">
        <v>4</v>
      </c>
      <c r="F535" t="s">
        <v>7</v>
      </c>
      <c r="G535" t="s">
        <v>11</v>
      </c>
      <c r="H535" t="s">
        <v>11</v>
      </c>
    </row>
    <row r="536" spans="1:8" x14ac:dyDescent="0.35">
      <c r="A536" t="s">
        <v>21</v>
      </c>
      <c r="B536" t="s">
        <v>108</v>
      </c>
      <c r="C536" t="s">
        <v>1652</v>
      </c>
      <c r="D536">
        <v>2</v>
      </c>
      <c r="E536">
        <v>3</v>
      </c>
      <c r="F536" t="s">
        <v>7</v>
      </c>
      <c r="G536" t="s">
        <v>11</v>
      </c>
      <c r="H536" t="s">
        <v>11</v>
      </c>
    </row>
    <row r="537" spans="1:8" x14ac:dyDescent="0.35">
      <c r="A537" t="s">
        <v>21</v>
      </c>
      <c r="B537" t="s">
        <v>108</v>
      </c>
      <c r="C537" t="s">
        <v>1753</v>
      </c>
      <c r="D537">
        <v>3</v>
      </c>
      <c r="E537">
        <v>2</v>
      </c>
      <c r="F537" t="s">
        <v>7</v>
      </c>
      <c r="G537" t="s">
        <v>115</v>
      </c>
      <c r="H537" t="s">
        <v>11</v>
      </c>
    </row>
    <row r="538" spans="1:8" x14ac:dyDescent="0.35">
      <c r="A538" t="s">
        <v>21</v>
      </c>
      <c r="B538" t="s">
        <v>108</v>
      </c>
      <c r="C538" t="s">
        <v>1754</v>
      </c>
      <c r="D538">
        <v>3</v>
      </c>
      <c r="E538">
        <v>3</v>
      </c>
      <c r="F538" t="s">
        <v>7</v>
      </c>
      <c r="G538" t="s">
        <v>11</v>
      </c>
      <c r="H538" t="s">
        <v>11</v>
      </c>
    </row>
    <row r="539" spans="1:8" x14ac:dyDescent="0.35">
      <c r="A539" t="s">
        <v>21</v>
      </c>
      <c r="B539" t="s">
        <v>108</v>
      </c>
      <c r="C539" t="s">
        <v>1376</v>
      </c>
      <c r="D539">
        <v>3</v>
      </c>
      <c r="E539">
        <v>3</v>
      </c>
      <c r="F539" t="s">
        <v>7</v>
      </c>
      <c r="G539" t="s">
        <v>11</v>
      </c>
      <c r="H539" t="s">
        <v>11</v>
      </c>
    </row>
    <row r="540" spans="1:8" x14ac:dyDescent="0.35">
      <c r="A540" t="s">
        <v>21</v>
      </c>
      <c r="B540" t="s">
        <v>108</v>
      </c>
      <c r="C540" t="s">
        <v>1755</v>
      </c>
      <c r="D540">
        <v>3</v>
      </c>
      <c r="E540">
        <v>2</v>
      </c>
      <c r="F540" t="s">
        <v>7</v>
      </c>
      <c r="G540" t="s">
        <v>115</v>
      </c>
      <c r="H540" t="s">
        <v>11</v>
      </c>
    </row>
    <row r="541" spans="1:8" x14ac:dyDescent="0.35">
      <c r="A541" t="s">
        <v>21</v>
      </c>
      <c r="B541" t="s">
        <v>108</v>
      </c>
      <c r="C541" t="s">
        <v>1756</v>
      </c>
      <c r="D541">
        <v>3</v>
      </c>
      <c r="E541">
        <v>3</v>
      </c>
      <c r="F541" t="s">
        <v>7</v>
      </c>
      <c r="G541" t="s">
        <v>115</v>
      </c>
      <c r="H541" t="s">
        <v>11</v>
      </c>
    </row>
    <row r="542" spans="1:8" x14ac:dyDescent="0.35">
      <c r="A542" t="s">
        <v>21</v>
      </c>
      <c r="B542" t="s">
        <v>108</v>
      </c>
      <c r="C542" t="s">
        <v>1757</v>
      </c>
      <c r="D542">
        <v>3</v>
      </c>
      <c r="E542">
        <v>3</v>
      </c>
      <c r="F542" t="s">
        <v>7</v>
      </c>
      <c r="G542" t="s">
        <v>115</v>
      </c>
      <c r="H542" t="s">
        <v>11</v>
      </c>
    </row>
    <row r="543" spans="1:8" x14ac:dyDescent="0.35">
      <c r="A543" t="s">
        <v>21</v>
      </c>
      <c r="B543" t="s">
        <v>108</v>
      </c>
      <c r="C543" t="s">
        <v>1478</v>
      </c>
      <c r="D543">
        <v>2</v>
      </c>
      <c r="E543">
        <v>4</v>
      </c>
      <c r="F543" t="s">
        <v>7</v>
      </c>
      <c r="G543" t="s">
        <v>11</v>
      </c>
      <c r="H543" t="s">
        <v>11</v>
      </c>
    </row>
    <row r="544" spans="1:8" x14ac:dyDescent="0.35">
      <c r="A544" t="s">
        <v>21</v>
      </c>
      <c r="B544" t="s">
        <v>108</v>
      </c>
      <c r="C544" t="s">
        <v>1758</v>
      </c>
      <c r="D544">
        <v>2</v>
      </c>
      <c r="E544">
        <v>4</v>
      </c>
      <c r="F544" t="s">
        <v>7</v>
      </c>
      <c r="G544" t="s">
        <v>11</v>
      </c>
      <c r="H544" t="s">
        <v>11</v>
      </c>
    </row>
    <row r="545" spans="1:8" x14ac:dyDescent="0.35">
      <c r="A545" t="s">
        <v>21</v>
      </c>
      <c r="B545" t="s">
        <v>108</v>
      </c>
      <c r="C545" t="s">
        <v>1377</v>
      </c>
      <c r="D545">
        <v>3</v>
      </c>
      <c r="E545">
        <v>3</v>
      </c>
      <c r="F545" t="s">
        <v>7</v>
      </c>
      <c r="G545" t="s">
        <v>115</v>
      </c>
      <c r="H545" t="s">
        <v>11</v>
      </c>
    </row>
    <row r="546" spans="1:8" x14ac:dyDescent="0.35">
      <c r="A546" t="s">
        <v>21</v>
      </c>
      <c r="B546" t="s">
        <v>108</v>
      </c>
      <c r="C546" t="s">
        <v>1759</v>
      </c>
      <c r="D546">
        <v>3</v>
      </c>
      <c r="E546">
        <v>3</v>
      </c>
      <c r="F546" t="s">
        <v>7</v>
      </c>
      <c r="G546" t="s">
        <v>11</v>
      </c>
      <c r="H546" t="s">
        <v>11</v>
      </c>
    </row>
    <row r="547" spans="1:8" x14ac:dyDescent="0.35">
      <c r="A547" t="s">
        <v>21</v>
      </c>
      <c r="B547" t="s">
        <v>108</v>
      </c>
      <c r="C547" t="s">
        <v>1760</v>
      </c>
      <c r="D547">
        <v>3</v>
      </c>
      <c r="E547">
        <v>3</v>
      </c>
      <c r="F547" t="s">
        <v>7</v>
      </c>
      <c r="G547" t="s">
        <v>11</v>
      </c>
      <c r="H547" t="s">
        <v>11</v>
      </c>
    </row>
    <row r="548" spans="1:8" x14ac:dyDescent="0.35">
      <c r="A548" t="s">
        <v>21</v>
      </c>
      <c r="B548" t="s">
        <v>108</v>
      </c>
      <c r="C548" t="s">
        <v>1761</v>
      </c>
      <c r="D548">
        <v>3</v>
      </c>
      <c r="E548">
        <v>3</v>
      </c>
      <c r="F548" t="s">
        <v>7</v>
      </c>
      <c r="G548" t="s">
        <v>115</v>
      </c>
      <c r="H548" t="s">
        <v>11</v>
      </c>
    </row>
    <row r="549" spans="1:8" x14ac:dyDescent="0.35">
      <c r="A549" t="s">
        <v>66</v>
      </c>
      <c r="C549" t="s">
        <v>1762</v>
      </c>
      <c r="D549" t="s">
        <v>11</v>
      </c>
      <c r="E549">
        <v>1</v>
      </c>
      <c r="F549" t="s">
        <v>7</v>
      </c>
      <c r="G549" t="s">
        <v>115</v>
      </c>
      <c r="H549" t="s">
        <v>3675</v>
      </c>
    </row>
    <row r="550" spans="1:8" x14ac:dyDescent="0.35">
      <c r="A550" t="s">
        <v>22</v>
      </c>
      <c r="B550" t="s">
        <v>120</v>
      </c>
      <c r="C550" t="s">
        <v>1763</v>
      </c>
      <c r="D550">
        <v>3</v>
      </c>
      <c r="E550">
        <v>1</v>
      </c>
      <c r="F550" t="s">
        <v>7</v>
      </c>
      <c r="G550" t="s">
        <v>115</v>
      </c>
      <c r="H550" t="s">
        <v>3675</v>
      </c>
    </row>
    <row r="551" spans="1:8" x14ac:dyDescent="0.35">
      <c r="A551" t="s">
        <v>22</v>
      </c>
      <c r="B551" t="s">
        <v>120</v>
      </c>
      <c r="C551" t="s">
        <v>1764</v>
      </c>
      <c r="D551">
        <v>3</v>
      </c>
      <c r="E551">
        <v>1</v>
      </c>
      <c r="F551" t="s">
        <v>7</v>
      </c>
      <c r="G551" t="s">
        <v>115</v>
      </c>
      <c r="H551" t="s">
        <v>3675</v>
      </c>
    </row>
    <row r="552" spans="1:8" x14ac:dyDescent="0.35">
      <c r="A552" t="s">
        <v>22</v>
      </c>
      <c r="B552" t="s">
        <v>120</v>
      </c>
      <c r="C552" t="s">
        <v>1765</v>
      </c>
      <c r="D552">
        <v>3</v>
      </c>
      <c r="E552">
        <v>1</v>
      </c>
      <c r="F552" t="s">
        <v>7</v>
      </c>
      <c r="G552" t="s">
        <v>115</v>
      </c>
      <c r="H552" t="s">
        <v>3675</v>
      </c>
    </row>
    <row r="553" spans="1:8" x14ac:dyDescent="0.35">
      <c r="A553" t="s">
        <v>22</v>
      </c>
      <c r="B553" t="s">
        <v>120</v>
      </c>
      <c r="C553" t="s">
        <v>1766</v>
      </c>
      <c r="D553">
        <v>3</v>
      </c>
      <c r="E553">
        <v>1</v>
      </c>
      <c r="F553" t="s">
        <v>7</v>
      </c>
      <c r="G553" t="s">
        <v>115</v>
      </c>
      <c r="H553" t="s">
        <v>3675</v>
      </c>
    </row>
    <row r="554" spans="1:8" x14ac:dyDescent="0.35">
      <c r="A554" t="s">
        <v>24</v>
      </c>
      <c r="B554" t="s">
        <v>76</v>
      </c>
      <c r="C554" t="s">
        <v>1767</v>
      </c>
      <c r="D554">
        <v>2</v>
      </c>
      <c r="E554">
        <v>5</v>
      </c>
      <c r="F554" t="s">
        <v>75</v>
      </c>
      <c r="G554" t="s">
        <v>11</v>
      </c>
      <c r="H554" t="s">
        <v>11</v>
      </c>
    </row>
    <row r="555" spans="1:8" x14ac:dyDescent="0.35">
      <c r="A555" t="s">
        <v>24</v>
      </c>
      <c r="B555" t="s">
        <v>76</v>
      </c>
      <c r="C555" t="s">
        <v>1537</v>
      </c>
      <c r="D555">
        <v>3</v>
      </c>
      <c r="E555">
        <v>6</v>
      </c>
      <c r="F555" t="s">
        <v>75</v>
      </c>
      <c r="G555" t="s">
        <v>11</v>
      </c>
      <c r="H555" t="s">
        <v>11</v>
      </c>
    </row>
    <row r="556" spans="1:8" x14ac:dyDescent="0.35">
      <c r="A556" t="s">
        <v>24</v>
      </c>
      <c r="B556" t="s">
        <v>76</v>
      </c>
      <c r="C556" t="s">
        <v>1768</v>
      </c>
      <c r="D556">
        <v>2</v>
      </c>
      <c r="E556">
        <v>6</v>
      </c>
      <c r="F556" t="s">
        <v>75</v>
      </c>
      <c r="G556" t="s">
        <v>11</v>
      </c>
      <c r="H556" t="s">
        <v>11</v>
      </c>
    </row>
    <row r="557" spans="1:8" x14ac:dyDescent="0.35">
      <c r="A557" t="s">
        <v>24</v>
      </c>
      <c r="B557" t="s">
        <v>76</v>
      </c>
      <c r="C557" t="s">
        <v>1769</v>
      </c>
      <c r="D557">
        <v>2</v>
      </c>
      <c r="E557">
        <v>6</v>
      </c>
      <c r="F557" t="s">
        <v>75</v>
      </c>
      <c r="G557" t="s">
        <v>11</v>
      </c>
      <c r="H557" t="s">
        <v>11</v>
      </c>
    </row>
    <row r="558" spans="1:8" x14ac:dyDescent="0.35">
      <c r="A558" t="s">
        <v>24</v>
      </c>
      <c r="B558" t="s">
        <v>76</v>
      </c>
      <c r="C558" t="s">
        <v>1770</v>
      </c>
      <c r="D558">
        <v>1</v>
      </c>
      <c r="E558">
        <v>5</v>
      </c>
      <c r="F558" t="s">
        <v>75</v>
      </c>
      <c r="G558" t="s">
        <v>11</v>
      </c>
      <c r="H558" t="s">
        <v>11</v>
      </c>
    </row>
    <row r="559" spans="1:8" x14ac:dyDescent="0.35">
      <c r="A559" t="s">
        <v>24</v>
      </c>
      <c r="B559" t="s">
        <v>76</v>
      </c>
      <c r="C559" t="s">
        <v>1771</v>
      </c>
      <c r="D559">
        <v>2</v>
      </c>
      <c r="E559">
        <v>6</v>
      </c>
      <c r="F559" t="s">
        <v>75</v>
      </c>
      <c r="G559" t="s">
        <v>11</v>
      </c>
      <c r="H559" t="s">
        <v>11</v>
      </c>
    </row>
    <row r="560" spans="1:8" x14ac:dyDescent="0.35">
      <c r="A560" t="s">
        <v>24</v>
      </c>
      <c r="B560" t="s">
        <v>76</v>
      </c>
      <c r="C560" t="s">
        <v>1772</v>
      </c>
      <c r="D560">
        <v>1</v>
      </c>
      <c r="E560">
        <v>6</v>
      </c>
      <c r="F560" t="s">
        <v>75</v>
      </c>
      <c r="G560" t="s">
        <v>11</v>
      </c>
      <c r="H560" t="s">
        <v>11</v>
      </c>
    </row>
    <row r="561" spans="1:8" x14ac:dyDescent="0.35">
      <c r="A561" t="s">
        <v>24</v>
      </c>
      <c r="B561" t="s">
        <v>76</v>
      </c>
      <c r="C561" t="s">
        <v>1773</v>
      </c>
      <c r="D561">
        <v>1</v>
      </c>
      <c r="E561">
        <v>6</v>
      </c>
      <c r="F561" t="s">
        <v>75</v>
      </c>
      <c r="G561" t="s">
        <v>11</v>
      </c>
      <c r="H561" t="s">
        <v>11</v>
      </c>
    </row>
    <row r="562" spans="1:8" x14ac:dyDescent="0.35">
      <c r="A562" t="s">
        <v>24</v>
      </c>
      <c r="B562" t="s">
        <v>76</v>
      </c>
      <c r="C562" t="s">
        <v>1774</v>
      </c>
      <c r="D562">
        <v>1</v>
      </c>
      <c r="E562">
        <v>6</v>
      </c>
      <c r="F562" t="s">
        <v>75</v>
      </c>
      <c r="G562" t="s">
        <v>11</v>
      </c>
      <c r="H562" t="s">
        <v>11</v>
      </c>
    </row>
    <row r="563" spans="1:8" x14ac:dyDescent="0.35">
      <c r="A563" t="s">
        <v>24</v>
      </c>
      <c r="B563" t="s">
        <v>76</v>
      </c>
      <c r="C563" t="s">
        <v>1775</v>
      </c>
      <c r="D563">
        <v>2</v>
      </c>
      <c r="E563">
        <v>6</v>
      </c>
      <c r="F563" t="s">
        <v>75</v>
      </c>
      <c r="G563" t="s">
        <v>11</v>
      </c>
      <c r="H563" t="s">
        <v>11</v>
      </c>
    </row>
    <row r="564" spans="1:8" x14ac:dyDescent="0.35">
      <c r="A564" t="s">
        <v>24</v>
      </c>
      <c r="B564" t="s">
        <v>76</v>
      </c>
      <c r="C564" t="s">
        <v>1776</v>
      </c>
      <c r="D564">
        <v>1</v>
      </c>
      <c r="E564">
        <v>6</v>
      </c>
      <c r="F564" t="s">
        <v>75</v>
      </c>
      <c r="G564" t="s">
        <v>11</v>
      </c>
      <c r="H564" t="s">
        <v>11</v>
      </c>
    </row>
    <row r="565" spans="1:8" x14ac:dyDescent="0.35">
      <c r="A565" t="s">
        <v>24</v>
      </c>
      <c r="B565" t="s">
        <v>76</v>
      </c>
      <c r="C565" t="s">
        <v>1484</v>
      </c>
      <c r="D565">
        <v>1</v>
      </c>
      <c r="E565">
        <v>6</v>
      </c>
      <c r="F565" t="s">
        <v>75</v>
      </c>
      <c r="G565" t="s">
        <v>11</v>
      </c>
      <c r="H565" t="s">
        <v>11</v>
      </c>
    </row>
    <row r="566" spans="1:8" x14ac:dyDescent="0.35">
      <c r="A566" t="s">
        <v>24</v>
      </c>
      <c r="B566" t="s">
        <v>76</v>
      </c>
      <c r="C566" t="s">
        <v>1777</v>
      </c>
      <c r="D566">
        <v>1</v>
      </c>
      <c r="E566">
        <v>6</v>
      </c>
      <c r="F566" t="s">
        <v>75</v>
      </c>
      <c r="G566" t="s">
        <v>11</v>
      </c>
      <c r="H566" t="s">
        <v>11</v>
      </c>
    </row>
    <row r="567" spans="1:8" x14ac:dyDescent="0.35">
      <c r="A567" t="s">
        <v>24</v>
      </c>
      <c r="B567" t="s">
        <v>76</v>
      </c>
      <c r="C567" t="s">
        <v>1778</v>
      </c>
      <c r="D567">
        <v>2</v>
      </c>
      <c r="E567">
        <v>5</v>
      </c>
      <c r="F567" t="s">
        <v>75</v>
      </c>
      <c r="G567" t="s">
        <v>11</v>
      </c>
      <c r="H567" t="s">
        <v>11</v>
      </c>
    </row>
    <row r="568" spans="1:8" x14ac:dyDescent="0.35">
      <c r="A568" t="s">
        <v>24</v>
      </c>
      <c r="B568" t="s">
        <v>76</v>
      </c>
      <c r="C568" t="s">
        <v>1779</v>
      </c>
      <c r="D568">
        <v>2</v>
      </c>
      <c r="E568">
        <v>6</v>
      </c>
      <c r="F568" t="s">
        <v>75</v>
      </c>
      <c r="G568" t="s">
        <v>11</v>
      </c>
      <c r="H568" t="s">
        <v>11</v>
      </c>
    </row>
    <row r="569" spans="1:8" x14ac:dyDescent="0.35">
      <c r="A569" t="s">
        <v>24</v>
      </c>
      <c r="B569" t="s">
        <v>76</v>
      </c>
      <c r="C569" t="s">
        <v>1780</v>
      </c>
      <c r="D569">
        <v>2</v>
      </c>
      <c r="E569">
        <v>5</v>
      </c>
      <c r="F569" t="s">
        <v>75</v>
      </c>
      <c r="G569" t="s">
        <v>11</v>
      </c>
      <c r="H569" t="s">
        <v>11</v>
      </c>
    </row>
    <row r="570" spans="1:8" x14ac:dyDescent="0.35">
      <c r="A570" t="s">
        <v>24</v>
      </c>
      <c r="B570" t="s">
        <v>76</v>
      </c>
      <c r="C570" t="s">
        <v>1432</v>
      </c>
      <c r="D570">
        <v>1</v>
      </c>
      <c r="E570">
        <v>6</v>
      </c>
      <c r="F570" t="s">
        <v>75</v>
      </c>
      <c r="G570" t="s">
        <v>11</v>
      </c>
      <c r="H570" t="s">
        <v>11</v>
      </c>
    </row>
    <row r="571" spans="1:8" x14ac:dyDescent="0.35">
      <c r="A571" t="s">
        <v>24</v>
      </c>
      <c r="B571" t="s">
        <v>76</v>
      </c>
      <c r="C571" t="s">
        <v>1781</v>
      </c>
      <c r="D571">
        <v>1</v>
      </c>
      <c r="E571">
        <v>5</v>
      </c>
      <c r="F571" t="s">
        <v>75</v>
      </c>
      <c r="G571" t="s">
        <v>11</v>
      </c>
      <c r="H571" t="s">
        <v>11</v>
      </c>
    </row>
    <row r="572" spans="1:8" x14ac:dyDescent="0.35">
      <c r="A572" t="s">
        <v>24</v>
      </c>
      <c r="B572" t="s">
        <v>76</v>
      </c>
      <c r="C572" t="s">
        <v>1551</v>
      </c>
      <c r="D572">
        <v>1</v>
      </c>
      <c r="E572">
        <v>6</v>
      </c>
      <c r="F572" t="s">
        <v>75</v>
      </c>
      <c r="G572" t="s">
        <v>11</v>
      </c>
      <c r="H572" t="s">
        <v>11</v>
      </c>
    </row>
    <row r="573" spans="1:8" x14ac:dyDescent="0.35">
      <c r="A573" t="s">
        <v>24</v>
      </c>
      <c r="B573" t="s">
        <v>76</v>
      </c>
      <c r="C573" t="s">
        <v>1337</v>
      </c>
      <c r="D573">
        <v>1</v>
      </c>
      <c r="E573">
        <v>5</v>
      </c>
      <c r="F573" t="s">
        <v>75</v>
      </c>
      <c r="G573" t="s">
        <v>11</v>
      </c>
      <c r="H573" t="s">
        <v>11</v>
      </c>
    </row>
    <row r="574" spans="1:8" x14ac:dyDescent="0.35">
      <c r="A574" t="s">
        <v>24</v>
      </c>
      <c r="B574" t="s">
        <v>76</v>
      </c>
      <c r="C574" t="s">
        <v>1341</v>
      </c>
      <c r="D574">
        <v>2</v>
      </c>
      <c r="E574">
        <v>6</v>
      </c>
      <c r="F574" t="s">
        <v>75</v>
      </c>
      <c r="G574" t="s">
        <v>11</v>
      </c>
      <c r="H574" t="s">
        <v>11</v>
      </c>
    </row>
    <row r="575" spans="1:8" x14ac:dyDescent="0.35">
      <c r="A575" t="s">
        <v>24</v>
      </c>
      <c r="B575" t="s">
        <v>76</v>
      </c>
      <c r="C575" t="s">
        <v>1559</v>
      </c>
      <c r="D575">
        <v>1</v>
      </c>
      <c r="E575">
        <v>6</v>
      </c>
      <c r="F575" t="s">
        <v>75</v>
      </c>
      <c r="G575" t="s">
        <v>11</v>
      </c>
      <c r="H575" t="s">
        <v>11</v>
      </c>
    </row>
    <row r="576" spans="1:8" x14ac:dyDescent="0.35">
      <c r="A576" t="s">
        <v>24</v>
      </c>
      <c r="B576" t="s">
        <v>76</v>
      </c>
      <c r="C576" t="s">
        <v>1782</v>
      </c>
      <c r="D576">
        <v>3</v>
      </c>
      <c r="E576">
        <v>5</v>
      </c>
      <c r="F576" t="s">
        <v>75</v>
      </c>
      <c r="G576" t="s">
        <v>11</v>
      </c>
      <c r="H576" t="s">
        <v>11</v>
      </c>
    </row>
    <row r="577" spans="1:8" x14ac:dyDescent="0.35">
      <c r="A577" t="s">
        <v>24</v>
      </c>
      <c r="B577" t="s">
        <v>76</v>
      </c>
      <c r="C577" t="s">
        <v>1783</v>
      </c>
      <c r="D577">
        <v>1</v>
      </c>
      <c r="E577">
        <v>5</v>
      </c>
      <c r="F577" t="s">
        <v>75</v>
      </c>
      <c r="G577" t="s">
        <v>11</v>
      </c>
      <c r="H577" t="s">
        <v>11</v>
      </c>
    </row>
    <row r="578" spans="1:8" x14ac:dyDescent="0.35">
      <c r="A578" t="s">
        <v>24</v>
      </c>
      <c r="B578" t="s">
        <v>76</v>
      </c>
      <c r="C578" t="s">
        <v>1784</v>
      </c>
      <c r="D578">
        <v>1</v>
      </c>
      <c r="E578">
        <v>5</v>
      </c>
      <c r="F578" t="s">
        <v>75</v>
      </c>
      <c r="G578" t="s">
        <v>11</v>
      </c>
      <c r="H578" t="s">
        <v>11</v>
      </c>
    </row>
    <row r="579" spans="1:8" x14ac:dyDescent="0.35">
      <c r="A579" t="s">
        <v>24</v>
      </c>
      <c r="B579" t="s">
        <v>76</v>
      </c>
      <c r="C579" t="s">
        <v>1348</v>
      </c>
      <c r="D579">
        <v>2</v>
      </c>
      <c r="E579">
        <v>6</v>
      </c>
      <c r="F579" t="s">
        <v>75</v>
      </c>
      <c r="G579" t="s">
        <v>11</v>
      </c>
      <c r="H579" t="s">
        <v>11</v>
      </c>
    </row>
    <row r="580" spans="1:8" x14ac:dyDescent="0.35">
      <c r="A580" t="s">
        <v>24</v>
      </c>
      <c r="B580" t="s">
        <v>76</v>
      </c>
      <c r="C580" t="s">
        <v>1785</v>
      </c>
      <c r="D580">
        <v>2</v>
      </c>
      <c r="E580">
        <v>5</v>
      </c>
      <c r="F580" t="s">
        <v>75</v>
      </c>
      <c r="G580" t="s">
        <v>11</v>
      </c>
      <c r="H580" t="s">
        <v>11</v>
      </c>
    </row>
    <row r="581" spans="1:8" x14ac:dyDescent="0.35">
      <c r="A581" t="s">
        <v>24</v>
      </c>
      <c r="B581" t="s">
        <v>76</v>
      </c>
      <c r="C581" t="s">
        <v>1786</v>
      </c>
      <c r="D581">
        <v>1</v>
      </c>
      <c r="E581">
        <v>5</v>
      </c>
      <c r="F581" t="s">
        <v>75</v>
      </c>
      <c r="G581" t="s">
        <v>11</v>
      </c>
      <c r="H581" t="s">
        <v>11</v>
      </c>
    </row>
    <row r="582" spans="1:8" x14ac:dyDescent="0.35">
      <c r="A582" t="s">
        <v>24</v>
      </c>
      <c r="B582" t="s">
        <v>76</v>
      </c>
      <c r="C582" t="s">
        <v>1787</v>
      </c>
      <c r="D582">
        <v>1</v>
      </c>
      <c r="E582">
        <v>5</v>
      </c>
      <c r="F582" t="s">
        <v>75</v>
      </c>
      <c r="G582" t="s">
        <v>11</v>
      </c>
      <c r="H582" t="s">
        <v>11</v>
      </c>
    </row>
    <row r="583" spans="1:8" x14ac:dyDescent="0.35">
      <c r="A583" t="s">
        <v>24</v>
      </c>
      <c r="B583" t="s">
        <v>76</v>
      </c>
      <c r="C583" t="s">
        <v>1788</v>
      </c>
      <c r="D583">
        <v>1</v>
      </c>
      <c r="E583">
        <v>6</v>
      </c>
      <c r="F583" t="s">
        <v>75</v>
      </c>
      <c r="G583" t="s">
        <v>11</v>
      </c>
      <c r="H583" t="s">
        <v>11</v>
      </c>
    </row>
    <row r="584" spans="1:8" x14ac:dyDescent="0.35">
      <c r="A584" t="s">
        <v>24</v>
      </c>
      <c r="B584" t="s">
        <v>76</v>
      </c>
      <c r="C584" t="s">
        <v>1789</v>
      </c>
      <c r="D584">
        <v>3</v>
      </c>
      <c r="E584">
        <v>5</v>
      </c>
      <c r="F584" t="s">
        <v>75</v>
      </c>
      <c r="G584" t="s">
        <v>11</v>
      </c>
      <c r="H584" t="s">
        <v>11</v>
      </c>
    </row>
    <row r="585" spans="1:8" x14ac:dyDescent="0.35">
      <c r="A585" t="s">
        <v>24</v>
      </c>
      <c r="B585" t="s">
        <v>76</v>
      </c>
      <c r="C585" t="s">
        <v>1453</v>
      </c>
      <c r="D585">
        <v>2</v>
      </c>
      <c r="E585">
        <v>5</v>
      </c>
      <c r="F585" t="s">
        <v>75</v>
      </c>
      <c r="G585" t="s">
        <v>11</v>
      </c>
      <c r="H585" t="s">
        <v>11</v>
      </c>
    </row>
    <row r="586" spans="1:8" x14ac:dyDescent="0.35">
      <c r="A586" t="s">
        <v>24</v>
      </c>
      <c r="B586" t="s">
        <v>76</v>
      </c>
      <c r="C586" t="s">
        <v>1356</v>
      </c>
      <c r="D586">
        <v>2</v>
      </c>
      <c r="E586">
        <v>6</v>
      </c>
      <c r="F586" t="s">
        <v>75</v>
      </c>
      <c r="G586" t="s">
        <v>11</v>
      </c>
      <c r="H586" t="s">
        <v>11</v>
      </c>
    </row>
    <row r="587" spans="1:8" x14ac:dyDescent="0.35">
      <c r="A587" t="s">
        <v>24</v>
      </c>
      <c r="B587" t="s">
        <v>76</v>
      </c>
      <c r="C587" t="s">
        <v>1790</v>
      </c>
      <c r="D587">
        <v>2</v>
      </c>
      <c r="E587">
        <v>5</v>
      </c>
      <c r="F587" t="s">
        <v>75</v>
      </c>
      <c r="G587" t="s">
        <v>11</v>
      </c>
      <c r="H587" t="s">
        <v>11</v>
      </c>
    </row>
    <row r="588" spans="1:8" x14ac:dyDescent="0.35">
      <c r="A588" t="s">
        <v>24</v>
      </c>
      <c r="B588" t="s">
        <v>76</v>
      </c>
      <c r="C588" t="s">
        <v>1791</v>
      </c>
      <c r="D588">
        <v>3</v>
      </c>
      <c r="E588">
        <v>5</v>
      </c>
      <c r="F588" t="s">
        <v>75</v>
      </c>
      <c r="G588" t="s">
        <v>11</v>
      </c>
      <c r="H588" t="s">
        <v>11</v>
      </c>
    </row>
    <row r="589" spans="1:8" x14ac:dyDescent="0.35">
      <c r="A589" t="s">
        <v>24</v>
      </c>
      <c r="B589" t="s">
        <v>76</v>
      </c>
      <c r="C589" t="s">
        <v>1792</v>
      </c>
      <c r="D589">
        <v>2</v>
      </c>
      <c r="E589">
        <v>6</v>
      </c>
      <c r="F589" t="s">
        <v>75</v>
      </c>
      <c r="G589" t="s">
        <v>11</v>
      </c>
      <c r="H589" t="s">
        <v>11</v>
      </c>
    </row>
    <row r="590" spans="1:8" x14ac:dyDescent="0.35">
      <c r="A590" t="s">
        <v>24</v>
      </c>
      <c r="B590" t="s">
        <v>76</v>
      </c>
      <c r="C590" t="s">
        <v>1793</v>
      </c>
      <c r="D590">
        <v>2</v>
      </c>
      <c r="E590">
        <v>5</v>
      </c>
      <c r="F590" t="s">
        <v>75</v>
      </c>
      <c r="G590" t="s">
        <v>11</v>
      </c>
      <c r="H590" t="s">
        <v>11</v>
      </c>
    </row>
    <row r="591" spans="1:8" x14ac:dyDescent="0.35">
      <c r="A591" t="s">
        <v>24</v>
      </c>
      <c r="B591" t="s">
        <v>76</v>
      </c>
      <c r="C591" t="s">
        <v>1794</v>
      </c>
      <c r="D591">
        <v>2</v>
      </c>
      <c r="E591">
        <v>5</v>
      </c>
      <c r="F591" t="s">
        <v>75</v>
      </c>
      <c r="G591" t="s">
        <v>11</v>
      </c>
      <c r="H591" t="s">
        <v>11</v>
      </c>
    </row>
    <row r="592" spans="1:8" x14ac:dyDescent="0.35">
      <c r="A592" t="s">
        <v>24</v>
      </c>
      <c r="B592" t="s">
        <v>76</v>
      </c>
      <c r="C592" t="s">
        <v>1795</v>
      </c>
      <c r="D592">
        <v>2</v>
      </c>
      <c r="E592">
        <v>5</v>
      </c>
      <c r="F592" t="s">
        <v>75</v>
      </c>
      <c r="G592" t="s">
        <v>11</v>
      </c>
      <c r="H592" t="s">
        <v>11</v>
      </c>
    </row>
    <row r="593" spans="1:8" x14ac:dyDescent="0.35">
      <c r="A593" t="s">
        <v>24</v>
      </c>
      <c r="B593" t="s">
        <v>76</v>
      </c>
      <c r="C593" t="s">
        <v>1796</v>
      </c>
      <c r="D593">
        <v>1</v>
      </c>
      <c r="E593">
        <v>5</v>
      </c>
      <c r="F593" t="s">
        <v>75</v>
      </c>
      <c r="G593" t="s">
        <v>11</v>
      </c>
      <c r="H593" t="s">
        <v>11</v>
      </c>
    </row>
    <row r="594" spans="1:8" x14ac:dyDescent="0.35">
      <c r="A594" t="s">
        <v>24</v>
      </c>
      <c r="B594" t="s">
        <v>76</v>
      </c>
      <c r="C594" t="s">
        <v>1797</v>
      </c>
      <c r="D594">
        <v>2</v>
      </c>
      <c r="E594">
        <v>6</v>
      </c>
      <c r="F594" t="s">
        <v>75</v>
      </c>
      <c r="G594" t="s">
        <v>11</v>
      </c>
      <c r="H594" t="s">
        <v>11</v>
      </c>
    </row>
    <row r="595" spans="1:8" x14ac:dyDescent="0.35">
      <c r="A595" t="s">
        <v>24</v>
      </c>
      <c r="B595" t="s">
        <v>76</v>
      </c>
      <c r="C595" t="s">
        <v>1798</v>
      </c>
      <c r="D595">
        <v>2</v>
      </c>
      <c r="E595">
        <v>5</v>
      </c>
      <c r="F595" t="s">
        <v>75</v>
      </c>
      <c r="G595" t="s">
        <v>11</v>
      </c>
      <c r="H595" t="s">
        <v>11</v>
      </c>
    </row>
    <row r="596" spans="1:8" x14ac:dyDescent="0.35">
      <c r="A596" t="s">
        <v>24</v>
      </c>
      <c r="B596" t="s">
        <v>76</v>
      </c>
      <c r="C596" t="s">
        <v>1799</v>
      </c>
      <c r="D596">
        <v>1</v>
      </c>
      <c r="E596">
        <v>6</v>
      </c>
      <c r="F596" t="s">
        <v>75</v>
      </c>
      <c r="G596" t="s">
        <v>11</v>
      </c>
      <c r="H596" t="s">
        <v>11</v>
      </c>
    </row>
    <row r="597" spans="1:8" x14ac:dyDescent="0.35">
      <c r="A597" t="s">
        <v>24</v>
      </c>
      <c r="B597" t="s">
        <v>76</v>
      </c>
      <c r="C597" t="s">
        <v>1376</v>
      </c>
      <c r="D597">
        <v>3</v>
      </c>
      <c r="E597">
        <v>5</v>
      </c>
      <c r="F597" t="s">
        <v>75</v>
      </c>
      <c r="G597" t="s">
        <v>11</v>
      </c>
      <c r="H597" t="s">
        <v>11</v>
      </c>
    </row>
    <row r="598" spans="1:8" x14ac:dyDescent="0.35">
      <c r="A598" t="s">
        <v>25</v>
      </c>
      <c r="B598" t="s">
        <v>88</v>
      </c>
      <c r="C598" t="s">
        <v>1537</v>
      </c>
      <c r="D598">
        <v>1</v>
      </c>
      <c r="E598">
        <v>5</v>
      </c>
      <c r="F598" t="s">
        <v>7</v>
      </c>
      <c r="G598" t="s">
        <v>11</v>
      </c>
      <c r="H598" t="s">
        <v>11</v>
      </c>
    </row>
    <row r="599" spans="1:8" x14ac:dyDescent="0.35">
      <c r="A599" t="s">
        <v>25</v>
      </c>
      <c r="B599" t="s">
        <v>88</v>
      </c>
      <c r="C599" t="s">
        <v>1800</v>
      </c>
      <c r="D599">
        <v>3</v>
      </c>
      <c r="E599">
        <v>4</v>
      </c>
      <c r="F599" t="s">
        <v>7</v>
      </c>
      <c r="G599" t="s">
        <v>11</v>
      </c>
      <c r="H599" t="s">
        <v>11</v>
      </c>
    </row>
    <row r="600" spans="1:8" x14ac:dyDescent="0.35">
      <c r="A600" t="s">
        <v>25</v>
      </c>
      <c r="B600" t="s">
        <v>88</v>
      </c>
      <c r="C600" t="s">
        <v>1801</v>
      </c>
      <c r="D600">
        <v>2</v>
      </c>
      <c r="E600">
        <v>4</v>
      </c>
      <c r="F600" t="s">
        <v>7</v>
      </c>
      <c r="G600" t="s">
        <v>11</v>
      </c>
      <c r="H600" t="s">
        <v>11</v>
      </c>
    </row>
    <row r="601" spans="1:8" x14ac:dyDescent="0.35">
      <c r="A601" t="s">
        <v>25</v>
      </c>
      <c r="B601" t="s">
        <v>88</v>
      </c>
      <c r="C601" t="s">
        <v>1428</v>
      </c>
      <c r="D601">
        <v>1</v>
      </c>
      <c r="E601">
        <v>5</v>
      </c>
      <c r="F601" t="s">
        <v>7</v>
      </c>
      <c r="G601" t="s">
        <v>11</v>
      </c>
      <c r="H601" t="s">
        <v>11</v>
      </c>
    </row>
    <row r="602" spans="1:8" x14ac:dyDescent="0.35">
      <c r="A602" t="s">
        <v>25</v>
      </c>
      <c r="B602" t="s">
        <v>88</v>
      </c>
      <c r="C602" t="s">
        <v>1802</v>
      </c>
      <c r="D602">
        <v>1</v>
      </c>
      <c r="E602">
        <v>5</v>
      </c>
      <c r="F602" t="s">
        <v>7</v>
      </c>
      <c r="G602" t="s">
        <v>11</v>
      </c>
      <c r="H602" t="s">
        <v>11</v>
      </c>
    </row>
    <row r="603" spans="1:8" x14ac:dyDescent="0.35">
      <c r="A603" t="s">
        <v>25</v>
      </c>
      <c r="B603" t="s">
        <v>88</v>
      </c>
      <c r="C603" t="s">
        <v>1803</v>
      </c>
      <c r="D603">
        <v>1</v>
      </c>
      <c r="E603">
        <v>5</v>
      </c>
      <c r="F603" t="s">
        <v>7</v>
      </c>
      <c r="G603" t="s">
        <v>11</v>
      </c>
      <c r="H603" t="s">
        <v>11</v>
      </c>
    </row>
    <row r="604" spans="1:8" x14ac:dyDescent="0.35">
      <c r="A604" t="s">
        <v>25</v>
      </c>
      <c r="B604" t="s">
        <v>88</v>
      </c>
      <c r="C604" t="s">
        <v>1319</v>
      </c>
      <c r="D604">
        <v>1</v>
      </c>
      <c r="E604">
        <v>5</v>
      </c>
      <c r="F604" t="s">
        <v>7</v>
      </c>
      <c r="G604" t="s">
        <v>11</v>
      </c>
      <c r="H604" t="s">
        <v>11</v>
      </c>
    </row>
    <row r="605" spans="1:8" x14ac:dyDescent="0.35">
      <c r="A605" t="s">
        <v>25</v>
      </c>
      <c r="B605" t="s">
        <v>88</v>
      </c>
      <c r="C605" t="s">
        <v>1430</v>
      </c>
      <c r="D605">
        <v>1</v>
      </c>
      <c r="E605">
        <v>5</v>
      </c>
      <c r="F605" t="s">
        <v>7</v>
      </c>
      <c r="G605" t="s">
        <v>11</v>
      </c>
      <c r="H605" t="s">
        <v>11</v>
      </c>
    </row>
    <row r="606" spans="1:8" x14ac:dyDescent="0.35">
      <c r="A606" t="s">
        <v>25</v>
      </c>
      <c r="B606" t="s">
        <v>88</v>
      </c>
      <c r="C606" t="s">
        <v>1804</v>
      </c>
      <c r="D606">
        <v>1</v>
      </c>
      <c r="E606">
        <v>5</v>
      </c>
      <c r="F606" t="s">
        <v>7</v>
      </c>
      <c r="G606" t="s">
        <v>11</v>
      </c>
      <c r="H606" t="s">
        <v>11</v>
      </c>
    </row>
    <row r="607" spans="1:8" x14ac:dyDescent="0.35">
      <c r="A607" t="s">
        <v>25</v>
      </c>
      <c r="B607" t="s">
        <v>88</v>
      </c>
      <c r="C607" t="s">
        <v>1805</v>
      </c>
      <c r="D607">
        <v>1</v>
      </c>
      <c r="E607">
        <v>5</v>
      </c>
      <c r="F607" t="s">
        <v>7</v>
      </c>
      <c r="G607" t="s">
        <v>11</v>
      </c>
      <c r="H607" t="s">
        <v>11</v>
      </c>
    </row>
    <row r="608" spans="1:8" x14ac:dyDescent="0.35">
      <c r="A608" t="s">
        <v>25</v>
      </c>
      <c r="B608" t="s">
        <v>88</v>
      </c>
      <c r="C608" t="s">
        <v>1806</v>
      </c>
      <c r="D608">
        <v>2</v>
      </c>
      <c r="E608">
        <v>4</v>
      </c>
      <c r="F608" t="s">
        <v>7</v>
      </c>
      <c r="G608" t="s">
        <v>11</v>
      </c>
      <c r="H608" t="s">
        <v>11</v>
      </c>
    </row>
    <row r="609" spans="1:8" x14ac:dyDescent="0.35">
      <c r="A609" t="s">
        <v>25</v>
      </c>
      <c r="B609" t="s">
        <v>88</v>
      </c>
      <c r="C609" t="s">
        <v>1432</v>
      </c>
      <c r="D609">
        <v>2</v>
      </c>
      <c r="E609">
        <v>5</v>
      </c>
      <c r="F609" t="s">
        <v>7</v>
      </c>
      <c r="G609" t="s">
        <v>11</v>
      </c>
      <c r="H609" t="s">
        <v>11</v>
      </c>
    </row>
    <row r="610" spans="1:8" x14ac:dyDescent="0.35">
      <c r="A610" t="s">
        <v>25</v>
      </c>
      <c r="B610" t="s">
        <v>88</v>
      </c>
      <c r="C610" t="s">
        <v>1325</v>
      </c>
      <c r="D610">
        <v>2</v>
      </c>
      <c r="E610">
        <v>4</v>
      </c>
      <c r="F610" t="s">
        <v>7</v>
      </c>
      <c r="G610" t="s">
        <v>11</v>
      </c>
      <c r="H610" t="s">
        <v>11</v>
      </c>
    </row>
    <row r="611" spans="1:8" x14ac:dyDescent="0.35">
      <c r="A611" t="s">
        <v>25</v>
      </c>
      <c r="B611" t="s">
        <v>88</v>
      </c>
      <c r="C611" t="s">
        <v>1807</v>
      </c>
      <c r="D611">
        <v>2</v>
      </c>
      <c r="E611">
        <v>4</v>
      </c>
      <c r="F611" t="s">
        <v>7</v>
      </c>
      <c r="G611" t="s">
        <v>11</v>
      </c>
      <c r="H611" t="s">
        <v>11</v>
      </c>
    </row>
    <row r="612" spans="1:8" x14ac:dyDescent="0.35">
      <c r="A612" t="s">
        <v>25</v>
      </c>
      <c r="B612" t="s">
        <v>88</v>
      </c>
      <c r="C612" t="s">
        <v>1808</v>
      </c>
      <c r="D612">
        <v>1</v>
      </c>
      <c r="E612">
        <v>5</v>
      </c>
      <c r="F612" t="s">
        <v>7</v>
      </c>
      <c r="G612" t="s">
        <v>11</v>
      </c>
      <c r="H612" t="s">
        <v>11</v>
      </c>
    </row>
    <row r="613" spans="1:8" x14ac:dyDescent="0.35">
      <c r="A613" t="s">
        <v>25</v>
      </c>
      <c r="B613" t="s">
        <v>88</v>
      </c>
      <c r="C613" t="s">
        <v>1679</v>
      </c>
      <c r="D613">
        <v>2</v>
      </c>
      <c r="E613">
        <v>5</v>
      </c>
      <c r="F613" t="s">
        <v>7</v>
      </c>
      <c r="G613" t="s">
        <v>11</v>
      </c>
      <c r="H613" t="s">
        <v>11</v>
      </c>
    </row>
    <row r="614" spans="1:8" x14ac:dyDescent="0.35">
      <c r="A614" t="s">
        <v>25</v>
      </c>
      <c r="B614" t="s">
        <v>88</v>
      </c>
      <c r="C614" t="s">
        <v>1437</v>
      </c>
      <c r="D614">
        <v>2</v>
      </c>
      <c r="E614">
        <v>4</v>
      </c>
      <c r="F614" t="s">
        <v>7</v>
      </c>
      <c r="G614" t="s">
        <v>11</v>
      </c>
      <c r="H614" t="s">
        <v>11</v>
      </c>
    </row>
    <row r="615" spans="1:8" x14ac:dyDescent="0.35">
      <c r="A615" t="s">
        <v>25</v>
      </c>
      <c r="B615" t="s">
        <v>88</v>
      </c>
      <c r="C615" t="s">
        <v>1809</v>
      </c>
      <c r="D615">
        <v>2</v>
      </c>
      <c r="E615">
        <v>5</v>
      </c>
      <c r="F615" t="s">
        <v>7</v>
      </c>
      <c r="G615" t="s">
        <v>11</v>
      </c>
      <c r="H615" t="s">
        <v>11</v>
      </c>
    </row>
    <row r="616" spans="1:8" x14ac:dyDescent="0.35">
      <c r="A616" t="s">
        <v>25</v>
      </c>
      <c r="B616" t="s">
        <v>88</v>
      </c>
      <c r="C616" t="s">
        <v>1685</v>
      </c>
      <c r="D616">
        <v>1</v>
      </c>
      <c r="E616">
        <v>5</v>
      </c>
      <c r="F616" t="s">
        <v>7</v>
      </c>
      <c r="G616" t="s">
        <v>11</v>
      </c>
      <c r="H616" t="s">
        <v>11</v>
      </c>
    </row>
    <row r="617" spans="1:8" x14ac:dyDescent="0.35">
      <c r="A617" t="s">
        <v>25</v>
      </c>
      <c r="B617" t="s">
        <v>88</v>
      </c>
      <c r="C617" t="s">
        <v>1810</v>
      </c>
      <c r="D617">
        <v>1</v>
      </c>
      <c r="E617">
        <v>5</v>
      </c>
      <c r="F617" t="s">
        <v>7</v>
      </c>
      <c r="G617" t="s">
        <v>11</v>
      </c>
      <c r="H617" t="s">
        <v>11</v>
      </c>
    </row>
    <row r="618" spans="1:8" x14ac:dyDescent="0.35">
      <c r="A618" t="s">
        <v>25</v>
      </c>
      <c r="B618" t="s">
        <v>88</v>
      </c>
      <c r="C618" t="s">
        <v>1555</v>
      </c>
      <c r="D618">
        <v>1</v>
      </c>
      <c r="E618">
        <v>5</v>
      </c>
      <c r="F618" t="s">
        <v>7</v>
      </c>
      <c r="G618" t="s">
        <v>11</v>
      </c>
      <c r="H618" t="s">
        <v>11</v>
      </c>
    </row>
    <row r="619" spans="1:8" x14ac:dyDescent="0.35">
      <c r="A619" t="s">
        <v>25</v>
      </c>
      <c r="B619" t="s">
        <v>88</v>
      </c>
      <c r="C619" t="s">
        <v>1811</v>
      </c>
      <c r="D619">
        <v>2</v>
      </c>
      <c r="E619">
        <v>5</v>
      </c>
      <c r="F619" t="s">
        <v>7</v>
      </c>
      <c r="G619" t="s">
        <v>11</v>
      </c>
      <c r="H619" t="s">
        <v>11</v>
      </c>
    </row>
    <row r="620" spans="1:8" x14ac:dyDescent="0.35">
      <c r="A620" t="s">
        <v>25</v>
      </c>
      <c r="B620" t="s">
        <v>88</v>
      </c>
      <c r="C620" t="s">
        <v>1812</v>
      </c>
      <c r="D620">
        <v>1</v>
      </c>
      <c r="E620">
        <v>5</v>
      </c>
      <c r="F620" t="s">
        <v>7</v>
      </c>
      <c r="G620" t="s">
        <v>11</v>
      </c>
      <c r="H620" t="s">
        <v>11</v>
      </c>
    </row>
    <row r="621" spans="1:8" x14ac:dyDescent="0.35">
      <c r="A621" t="s">
        <v>25</v>
      </c>
      <c r="B621" t="s">
        <v>88</v>
      </c>
      <c r="C621" t="s">
        <v>1813</v>
      </c>
      <c r="D621">
        <v>2</v>
      </c>
      <c r="E621">
        <v>4</v>
      </c>
      <c r="F621" t="s">
        <v>7</v>
      </c>
      <c r="G621" t="s">
        <v>11</v>
      </c>
      <c r="H621" t="s">
        <v>11</v>
      </c>
    </row>
    <row r="622" spans="1:8" x14ac:dyDescent="0.35">
      <c r="A622" t="s">
        <v>25</v>
      </c>
      <c r="B622" t="s">
        <v>88</v>
      </c>
      <c r="C622" t="s">
        <v>1691</v>
      </c>
      <c r="D622">
        <v>2</v>
      </c>
      <c r="E622">
        <v>4</v>
      </c>
      <c r="F622" t="s">
        <v>7</v>
      </c>
      <c r="G622" t="s">
        <v>11</v>
      </c>
      <c r="H622" t="s">
        <v>11</v>
      </c>
    </row>
    <row r="623" spans="1:8" x14ac:dyDescent="0.35">
      <c r="A623" t="s">
        <v>25</v>
      </c>
      <c r="B623" t="s">
        <v>88</v>
      </c>
      <c r="C623" t="s">
        <v>1340</v>
      </c>
      <c r="D623">
        <v>2</v>
      </c>
      <c r="E623">
        <v>4</v>
      </c>
      <c r="F623" t="s">
        <v>7</v>
      </c>
      <c r="G623" t="s">
        <v>11</v>
      </c>
      <c r="H623" t="s">
        <v>11</v>
      </c>
    </row>
    <row r="624" spans="1:8" x14ac:dyDescent="0.35">
      <c r="A624" t="s">
        <v>25</v>
      </c>
      <c r="B624" t="s">
        <v>88</v>
      </c>
      <c r="C624" t="s">
        <v>1814</v>
      </c>
      <c r="D624">
        <v>1</v>
      </c>
      <c r="E624">
        <v>5</v>
      </c>
      <c r="F624" t="s">
        <v>7</v>
      </c>
      <c r="G624" t="s">
        <v>11</v>
      </c>
      <c r="H624" t="s">
        <v>11</v>
      </c>
    </row>
    <row r="625" spans="1:8" x14ac:dyDescent="0.35">
      <c r="A625" t="s">
        <v>25</v>
      </c>
      <c r="B625" t="s">
        <v>88</v>
      </c>
      <c r="C625" t="s">
        <v>1341</v>
      </c>
      <c r="D625">
        <v>2</v>
      </c>
      <c r="E625">
        <v>4</v>
      </c>
      <c r="F625" t="s">
        <v>7</v>
      </c>
      <c r="G625" t="s">
        <v>11</v>
      </c>
      <c r="H625" t="s">
        <v>11</v>
      </c>
    </row>
    <row r="626" spans="1:8" x14ac:dyDescent="0.35">
      <c r="A626" t="s">
        <v>25</v>
      </c>
      <c r="B626" t="s">
        <v>88</v>
      </c>
      <c r="C626" t="s">
        <v>1443</v>
      </c>
      <c r="D626">
        <v>1</v>
      </c>
      <c r="E626">
        <v>5</v>
      </c>
      <c r="F626" t="s">
        <v>7</v>
      </c>
      <c r="G626" t="s">
        <v>11</v>
      </c>
      <c r="H626" t="s">
        <v>11</v>
      </c>
    </row>
    <row r="627" spans="1:8" x14ac:dyDescent="0.35">
      <c r="A627" t="s">
        <v>25</v>
      </c>
      <c r="B627" t="s">
        <v>88</v>
      </c>
      <c r="C627" t="s">
        <v>1815</v>
      </c>
      <c r="D627">
        <v>2</v>
      </c>
      <c r="E627">
        <v>4</v>
      </c>
      <c r="F627" t="s">
        <v>7</v>
      </c>
      <c r="G627" t="s">
        <v>11</v>
      </c>
      <c r="H627" t="s">
        <v>11</v>
      </c>
    </row>
    <row r="628" spans="1:8" x14ac:dyDescent="0.35">
      <c r="A628" t="s">
        <v>25</v>
      </c>
      <c r="B628" t="s">
        <v>88</v>
      </c>
      <c r="C628" t="s">
        <v>1343</v>
      </c>
      <c r="D628">
        <v>1</v>
      </c>
      <c r="E628">
        <v>5</v>
      </c>
      <c r="F628" t="s">
        <v>7</v>
      </c>
      <c r="G628" t="s">
        <v>11</v>
      </c>
      <c r="H628" t="s">
        <v>11</v>
      </c>
    </row>
    <row r="629" spans="1:8" x14ac:dyDescent="0.35">
      <c r="A629" t="s">
        <v>25</v>
      </c>
      <c r="B629" t="s">
        <v>88</v>
      </c>
      <c r="C629" t="s">
        <v>1816</v>
      </c>
      <c r="D629">
        <v>1</v>
      </c>
      <c r="E629">
        <v>5</v>
      </c>
      <c r="F629" t="s">
        <v>7</v>
      </c>
      <c r="G629" t="s">
        <v>11</v>
      </c>
      <c r="H629" t="s">
        <v>11</v>
      </c>
    </row>
    <row r="630" spans="1:8" x14ac:dyDescent="0.35">
      <c r="A630" t="s">
        <v>25</v>
      </c>
      <c r="B630" t="s">
        <v>88</v>
      </c>
      <c r="C630" t="s">
        <v>1621</v>
      </c>
      <c r="D630">
        <v>2</v>
      </c>
      <c r="E630">
        <v>4</v>
      </c>
      <c r="F630" t="s">
        <v>7</v>
      </c>
      <c r="G630" t="s">
        <v>11</v>
      </c>
      <c r="H630" t="s">
        <v>11</v>
      </c>
    </row>
    <row r="631" spans="1:8" x14ac:dyDescent="0.35">
      <c r="A631" t="s">
        <v>25</v>
      </c>
      <c r="B631" t="s">
        <v>88</v>
      </c>
      <c r="C631" t="s">
        <v>1705</v>
      </c>
      <c r="D631">
        <v>1</v>
      </c>
      <c r="E631">
        <v>5</v>
      </c>
      <c r="F631" t="s">
        <v>7</v>
      </c>
      <c r="G631" t="s">
        <v>11</v>
      </c>
      <c r="H631" t="s">
        <v>11</v>
      </c>
    </row>
    <row r="632" spans="1:8" x14ac:dyDescent="0.35">
      <c r="A632" t="s">
        <v>25</v>
      </c>
      <c r="B632" t="s">
        <v>88</v>
      </c>
      <c r="C632" t="s">
        <v>1817</v>
      </c>
      <c r="D632">
        <v>2</v>
      </c>
      <c r="E632">
        <v>4</v>
      </c>
      <c r="F632" t="s">
        <v>7</v>
      </c>
      <c r="G632" t="s">
        <v>11</v>
      </c>
      <c r="H632" t="s">
        <v>11</v>
      </c>
    </row>
    <row r="633" spans="1:8" x14ac:dyDescent="0.35">
      <c r="A633" t="s">
        <v>25</v>
      </c>
      <c r="B633" t="s">
        <v>88</v>
      </c>
      <c r="C633" t="s">
        <v>1818</v>
      </c>
      <c r="D633">
        <v>1</v>
      </c>
      <c r="E633">
        <v>5</v>
      </c>
      <c r="F633" t="s">
        <v>7</v>
      </c>
      <c r="G633" t="s">
        <v>11</v>
      </c>
      <c r="H633" t="s">
        <v>11</v>
      </c>
    </row>
    <row r="634" spans="1:8" x14ac:dyDescent="0.35">
      <c r="A634" t="s">
        <v>25</v>
      </c>
      <c r="B634" t="s">
        <v>88</v>
      </c>
      <c r="C634" t="s">
        <v>1345</v>
      </c>
      <c r="D634">
        <v>1</v>
      </c>
      <c r="E634">
        <v>5</v>
      </c>
      <c r="F634" t="s">
        <v>7</v>
      </c>
      <c r="G634" t="s">
        <v>11</v>
      </c>
      <c r="H634" t="s">
        <v>11</v>
      </c>
    </row>
    <row r="635" spans="1:8" x14ac:dyDescent="0.35">
      <c r="A635" t="s">
        <v>25</v>
      </c>
      <c r="B635" t="s">
        <v>88</v>
      </c>
      <c r="C635" t="s">
        <v>1819</v>
      </c>
      <c r="D635">
        <v>1</v>
      </c>
      <c r="E635">
        <v>5</v>
      </c>
      <c r="F635" t="s">
        <v>7</v>
      </c>
      <c r="G635" t="s">
        <v>11</v>
      </c>
      <c r="H635" t="s">
        <v>11</v>
      </c>
    </row>
    <row r="636" spans="1:8" x14ac:dyDescent="0.35">
      <c r="A636" t="s">
        <v>25</v>
      </c>
      <c r="B636" t="s">
        <v>88</v>
      </c>
      <c r="C636" t="s">
        <v>1347</v>
      </c>
      <c r="D636">
        <v>2</v>
      </c>
      <c r="E636">
        <v>4</v>
      </c>
      <c r="F636" t="s">
        <v>7</v>
      </c>
      <c r="G636" t="s">
        <v>11</v>
      </c>
      <c r="H636" t="s">
        <v>11</v>
      </c>
    </row>
    <row r="637" spans="1:8" x14ac:dyDescent="0.35">
      <c r="A637" t="s">
        <v>25</v>
      </c>
      <c r="B637" t="s">
        <v>88</v>
      </c>
      <c r="C637" t="s">
        <v>1711</v>
      </c>
      <c r="D637">
        <v>2</v>
      </c>
      <c r="E637">
        <v>4</v>
      </c>
      <c r="F637" t="s">
        <v>7</v>
      </c>
      <c r="G637" t="s">
        <v>11</v>
      </c>
      <c r="H637" t="s">
        <v>11</v>
      </c>
    </row>
    <row r="638" spans="1:8" x14ac:dyDescent="0.35">
      <c r="A638" t="s">
        <v>25</v>
      </c>
      <c r="B638" t="s">
        <v>88</v>
      </c>
      <c r="C638" t="s">
        <v>1348</v>
      </c>
      <c r="D638">
        <v>2</v>
      </c>
      <c r="E638">
        <v>4</v>
      </c>
      <c r="F638" t="s">
        <v>7</v>
      </c>
      <c r="G638" t="s">
        <v>11</v>
      </c>
      <c r="H638" t="s">
        <v>11</v>
      </c>
    </row>
    <row r="639" spans="1:8" x14ac:dyDescent="0.35">
      <c r="A639" t="s">
        <v>25</v>
      </c>
      <c r="B639" t="s">
        <v>88</v>
      </c>
      <c r="C639" t="s">
        <v>1820</v>
      </c>
      <c r="D639">
        <v>1</v>
      </c>
      <c r="E639">
        <v>5</v>
      </c>
      <c r="F639" t="s">
        <v>7</v>
      </c>
      <c r="G639" t="s">
        <v>11</v>
      </c>
      <c r="H639" t="s">
        <v>11</v>
      </c>
    </row>
    <row r="640" spans="1:8" x14ac:dyDescent="0.35">
      <c r="A640" t="s">
        <v>25</v>
      </c>
      <c r="B640" t="s">
        <v>88</v>
      </c>
      <c r="C640" t="s">
        <v>1821</v>
      </c>
      <c r="D640">
        <v>1</v>
      </c>
      <c r="E640">
        <v>5</v>
      </c>
      <c r="F640" t="s">
        <v>7</v>
      </c>
      <c r="G640" t="s">
        <v>11</v>
      </c>
      <c r="H640" t="s">
        <v>11</v>
      </c>
    </row>
    <row r="641" spans="1:8" x14ac:dyDescent="0.35">
      <c r="A641" t="s">
        <v>25</v>
      </c>
      <c r="B641" t="s">
        <v>88</v>
      </c>
      <c r="C641" t="s">
        <v>1451</v>
      </c>
      <c r="D641">
        <v>2</v>
      </c>
      <c r="E641">
        <v>4</v>
      </c>
      <c r="F641" t="s">
        <v>7</v>
      </c>
      <c r="G641" t="s">
        <v>11</v>
      </c>
      <c r="H641" t="s">
        <v>11</v>
      </c>
    </row>
    <row r="642" spans="1:8" x14ac:dyDescent="0.35">
      <c r="A642" t="s">
        <v>25</v>
      </c>
      <c r="B642" t="s">
        <v>88</v>
      </c>
      <c r="C642" t="s">
        <v>1822</v>
      </c>
      <c r="D642">
        <v>1</v>
      </c>
      <c r="E642">
        <v>5</v>
      </c>
      <c r="F642" t="s">
        <v>7</v>
      </c>
      <c r="G642" t="s">
        <v>11</v>
      </c>
      <c r="H642" t="s">
        <v>11</v>
      </c>
    </row>
    <row r="643" spans="1:8" x14ac:dyDescent="0.35">
      <c r="A643" t="s">
        <v>25</v>
      </c>
      <c r="B643" t="s">
        <v>88</v>
      </c>
      <c r="C643" t="s">
        <v>1823</v>
      </c>
      <c r="D643">
        <v>2</v>
      </c>
      <c r="E643">
        <v>5</v>
      </c>
      <c r="F643" t="s">
        <v>7</v>
      </c>
      <c r="G643" t="s">
        <v>11</v>
      </c>
      <c r="H643" t="s">
        <v>11</v>
      </c>
    </row>
    <row r="644" spans="1:8" x14ac:dyDescent="0.35">
      <c r="A644" t="s">
        <v>25</v>
      </c>
      <c r="B644" t="s">
        <v>88</v>
      </c>
      <c r="C644" t="s">
        <v>1824</v>
      </c>
      <c r="D644">
        <v>1</v>
      </c>
      <c r="E644">
        <v>5</v>
      </c>
      <c r="F644" t="s">
        <v>7</v>
      </c>
      <c r="G644" t="s">
        <v>11</v>
      </c>
      <c r="H644" t="s">
        <v>11</v>
      </c>
    </row>
    <row r="645" spans="1:8" x14ac:dyDescent="0.35">
      <c r="A645" t="s">
        <v>25</v>
      </c>
      <c r="B645" t="s">
        <v>88</v>
      </c>
      <c r="C645" t="s">
        <v>1825</v>
      </c>
      <c r="D645">
        <v>1</v>
      </c>
      <c r="E645">
        <v>5</v>
      </c>
      <c r="F645" t="s">
        <v>7</v>
      </c>
      <c r="G645" t="s">
        <v>11</v>
      </c>
      <c r="H645" t="s">
        <v>11</v>
      </c>
    </row>
    <row r="646" spans="1:8" x14ac:dyDescent="0.35">
      <c r="A646" t="s">
        <v>25</v>
      </c>
      <c r="B646" t="s">
        <v>88</v>
      </c>
      <c r="C646" t="s">
        <v>1826</v>
      </c>
      <c r="D646">
        <v>1</v>
      </c>
      <c r="E646">
        <v>5</v>
      </c>
      <c r="F646" t="s">
        <v>7</v>
      </c>
      <c r="G646" t="s">
        <v>11</v>
      </c>
      <c r="H646" t="s">
        <v>11</v>
      </c>
    </row>
    <row r="647" spans="1:8" x14ac:dyDescent="0.35">
      <c r="A647" t="s">
        <v>25</v>
      </c>
      <c r="B647" t="s">
        <v>88</v>
      </c>
      <c r="C647" t="s">
        <v>1497</v>
      </c>
      <c r="D647">
        <v>2</v>
      </c>
      <c r="E647">
        <v>5</v>
      </c>
      <c r="F647" t="s">
        <v>7</v>
      </c>
      <c r="G647" t="s">
        <v>11</v>
      </c>
      <c r="H647" t="s">
        <v>11</v>
      </c>
    </row>
    <row r="648" spans="1:8" x14ac:dyDescent="0.35">
      <c r="A648" t="s">
        <v>25</v>
      </c>
      <c r="B648" t="s">
        <v>88</v>
      </c>
      <c r="C648" t="s">
        <v>1351</v>
      </c>
      <c r="D648">
        <v>2</v>
      </c>
      <c r="E648">
        <v>4</v>
      </c>
      <c r="F648" t="s">
        <v>7</v>
      </c>
      <c r="G648" t="s">
        <v>11</v>
      </c>
      <c r="H648" t="s">
        <v>11</v>
      </c>
    </row>
    <row r="649" spans="1:8" x14ac:dyDescent="0.35">
      <c r="A649" t="s">
        <v>25</v>
      </c>
      <c r="B649" t="s">
        <v>88</v>
      </c>
      <c r="C649" t="s">
        <v>1352</v>
      </c>
      <c r="D649">
        <v>1</v>
      </c>
      <c r="E649">
        <v>5</v>
      </c>
      <c r="F649" t="s">
        <v>7</v>
      </c>
      <c r="G649" t="s">
        <v>11</v>
      </c>
      <c r="H649" t="s">
        <v>11</v>
      </c>
    </row>
    <row r="650" spans="1:8" x14ac:dyDescent="0.35">
      <c r="A650" t="s">
        <v>25</v>
      </c>
      <c r="B650" t="s">
        <v>88</v>
      </c>
      <c r="C650" t="s">
        <v>1827</v>
      </c>
      <c r="D650">
        <v>1</v>
      </c>
      <c r="E650">
        <v>5</v>
      </c>
      <c r="F650" t="s">
        <v>7</v>
      </c>
      <c r="G650" t="s">
        <v>11</v>
      </c>
      <c r="H650" t="s">
        <v>11</v>
      </c>
    </row>
    <row r="651" spans="1:8" x14ac:dyDescent="0.35">
      <c r="A651" t="s">
        <v>25</v>
      </c>
      <c r="B651" t="s">
        <v>88</v>
      </c>
      <c r="C651" t="s">
        <v>1455</v>
      </c>
      <c r="D651">
        <v>1</v>
      </c>
      <c r="E651">
        <v>5</v>
      </c>
      <c r="F651" t="s">
        <v>7</v>
      </c>
      <c r="G651" t="s">
        <v>11</v>
      </c>
      <c r="H651" t="s">
        <v>11</v>
      </c>
    </row>
    <row r="652" spans="1:8" x14ac:dyDescent="0.35">
      <c r="A652" t="s">
        <v>25</v>
      </c>
      <c r="B652" t="s">
        <v>88</v>
      </c>
      <c r="C652" t="s">
        <v>1355</v>
      </c>
      <c r="D652">
        <v>1</v>
      </c>
      <c r="E652">
        <v>5</v>
      </c>
      <c r="F652" t="s">
        <v>7</v>
      </c>
      <c r="G652" t="s">
        <v>11</v>
      </c>
      <c r="H652" t="s">
        <v>11</v>
      </c>
    </row>
    <row r="653" spans="1:8" x14ac:dyDescent="0.35">
      <c r="A653" t="s">
        <v>25</v>
      </c>
      <c r="B653" t="s">
        <v>88</v>
      </c>
      <c r="C653" t="s">
        <v>1828</v>
      </c>
      <c r="D653">
        <v>2</v>
      </c>
      <c r="E653">
        <v>4</v>
      </c>
      <c r="F653" t="s">
        <v>7</v>
      </c>
      <c r="G653" t="s">
        <v>11</v>
      </c>
      <c r="H653" t="s">
        <v>11</v>
      </c>
    </row>
    <row r="654" spans="1:8" x14ac:dyDescent="0.35">
      <c r="A654" t="s">
        <v>25</v>
      </c>
      <c r="B654" t="s">
        <v>88</v>
      </c>
      <c r="C654" t="s">
        <v>1356</v>
      </c>
      <c r="D654">
        <v>2</v>
      </c>
      <c r="E654">
        <v>4</v>
      </c>
      <c r="F654" t="s">
        <v>7</v>
      </c>
      <c r="G654" t="s">
        <v>11</v>
      </c>
      <c r="H654" t="s">
        <v>11</v>
      </c>
    </row>
    <row r="655" spans="1:8" x14ac:dyDescent="0.35">
      <c r="A655" t="s">
        <v>25</v>
      </c>
      <c r="B655" t="s">
        <v>88</v>
      </c>
      <c r="C655" t="s">
        <v>1358</v>
      </c>
      <c r="D655">
        <v>2</v>
      </c>
      <c r="E655">
        <v>4</v>
      </c>
      <c r="F655" t="s">
        <v>7</v>
      </c>
      <c r="G655" t="s">
        <v>11</v>
      </c>
      <c r="H655" t="s">
        <v>11</v>
      </c>
    </row>
    <row r="656" spans="1:8" x14ac:dyDescent="0.35">
      <c r="A656" t="s">
        <v>25</v>
      </c>
      <c r="B656" t="s">
        <v>88</v>
      </c>
      <c r="C656" t="s">
        <v>1359</v>
      </c>
      <c r="D656">
        <v>1</v>
      </c>
      <c r="E656">
        <v>5</v>
      </c>
      <c r="F656" t="s">
        <v>7</v>
      </c>
      <c r="G656" t="s">
        <v>11</v>
      </c>
      <c r="H656" t="s">
        <v>11</v>
      </c>
    </row>
    <row r="657" spans="1:8" x14ac:dyDescent="0.35">
      <c r="A657" t="s">
        <v>25</v>
      </c>
      <c r="B657" t="s">
        <v>88</v>
      </c>
      <c r="C657" t="s">
        <v>1829</v>
      </c>
      <c r="D657">
        <v>1</v>
      </c>
      <c r="E657">
        <v>5</v>
      </c>
      <c r="F657" t="s">
        <v>7</v>
      </c>
      <c r="G657" t="s">
        <v>11</v>
      </c>
      <c r="H657" t="s">
        <v>11</v>
      </c>
    </row>
    <row r="658" spans="1:8" x14ac:dyDescent="0.35">
      <c r="A658" t="s">
        <v>25</v>
      </c>
      <c r="B658" t="s">
        <v>88</v>
      </c>
      <c r="C658" t="s">
        <v>1830</v>
      </c>
      <c r="D658">
        <v>3</v>
      </c>
      <c r="E658">
        <v>4</v>
      </c>
      <c r="F658" t="s">
        <v>7</v>
      </c>
      <c r="G658" t="s">
        <v>11</v>
      </c>
      <c r="H658" t="s">
        <v>11</v>
      </c>
    </row>
    <row r="659" spans="1:8" x14ac:dyDescent="0.35">
      <c r="A659" t="s">
        <v>25</v>
      </c>
      <c r="B659" t="s">
        <v>88</v>
      </c>
      <c r="C659" t="s">
        <v>1831</v>
      </c>
      <c r="D659">
        <v>1</v>
      </c>
      <c r="E659">
        <v>5</v>
      </c>
      <c r="F659" t="s">
        <v>7</v>
      </c>
      <c r="G659" t="s">
        <v>11</v>
      </c>
      <c r="H659" t="s">
        <v>11</v>
      </c>
    </row>
    <row r="660" spans="1:8" x14ac:dyDescent="0.35">
      <c r="A660" t="s">
        <v>25</v>
      </c>
      <c r="B660" t="s">
        <v>88</v>
      </c>
      <c r="C660" t="s">
        <v>1832</v>
      </c>
      <c r="D660">
        <v>2</v>
      </c>
      <c r="E660">
        <v>5</v>
      </c>
      <c r="F660" t="s">
        <v>7</v>
      </c>
      <c r="G660" t="s">
        <v>11</v>
      </c>
      <c r="H660" t="s">
        <v>11</v>
      </c>
    </row>
    <row r="661" spans="1:8" x14ac:dyDescent="0.35">
      <c r="A661" t="s">
        <v>25</v>
      </c>
      <c r="B661" t="s">
        <v>88</v>
      </c>
      <c r="C661" t="s">
        <v>1833</v>
      </c>
      <c r="D661">
        <v>1</v>
      </c>
      <c r="E661">
        <v>5</v>
      </c>
      <c r="F661" t="s">
        <v>7</v>
      </c>
      <c r="G661" t="s">
        <v>11</v>
      </c>
      <c r="H661" t="s">
        <v>11</v>
      </c>
    </row>
    <row r="662" spans="1:8" x14ac:dyDescent="0.35">
      <c r="A662" t="s">
        <v>25</v>
      </c>
      <c r="B662" t="s">
        <v>88</v>
      </c>
      <c r="C662" t="s">
        <v>1834</v>
      </c>
      <c r="D662">
        <v>1</v>
      </c>
      <c r="E662">
        <v>5</v>
      </c>
      <c r="F662" t="s">
        <v>7</v>
      </c>
      <c r="G662" t="s">
        <v>11</v>
      </c>
      <c r="H662" t="s">
        <v>11</v>
      </c>
    </row>
    <row r="663" spans="1:8" x14ac:dyDescent="0.35">
      <c r="A663" t="s">
        <v>25</v>
      </c>
      <c r="B663" t="s">
        <v>88</v>
      </c>
      <c r="C663" t="s">
        <v>1835</v>
      </c>
      <c r="D663">
        <v>1</v>
      </c>
      <c r="E663">
        <v>5</v>
      </c>
      <c r="F663" t="s">
        <v>7</v>
      </c>
      <c r="G663" t="s">
        <v>11</v>
      </c>
      <c r="H663" t="s">
        <v>11</v>
      </c>
    </row>
    <row r="664" spans="1:8" x14ac:dyDescent="0.35">
      <c r="A664" t="s">
        <v>25</v>
      </c>
      <c r="B664" t="s">
        <v>88</v>
      </c>
      <c r="C664" t="s">
        <v>1361</v>
      </c>
      <c r="D664">
        <v>2</v>
      </c>
      <c r="E664">
        <v>4</v>
      </c>
      <c r="F664" t="s">
        <v>7</v>
      </c>
      <c r="G664" t="s">
        <v>11</v>
      </c>
      <c r="H664" t="s">
        <v>11</v>
      </c>
    </row>
    <row r="665" spans="1:8" x14ac:dyDescent="0.35">
      <c r="A665" t="s">
        <v>25</v>
      </c>
      <c r="B665" t="s">
        <v>88</v>
      </c>
      <c r="C665" t="s">
        <v>1362</v>
      </c>
      <c r="D665">
        <v>2</v>
      </c>
      <c r="E665">
        <v>4</v>
      </c>
      <c r="F665" t="s">
        <v>7</v>
      </c>
      <c r="G665" t="s">
        <v>11</v>
      </c>
      <c r="H665" t="s">
        <v>11</v>
      </c>
    </row>
    <row r="666" spans="1:8" x14ac:dyDescent="0.35">
      <c r="A666" t="s">
        <v>25</v>
      </c>
      <c r="B666" t="s">
        <v>88</v>
      </c>
      <c r="C666" t="s">
        <v>1363</v>
      </c>
      <c r="D666">
        <v>1</v>
      </c>
      <c r="E666">
        <v>5</v>
      </c>
      <c r="F666" t="s">
        <v>7</v>
      </c>
      <c r="G666" t="s">
        <v>11</v>
      </c>
      <c r="H666" t="s">
        <v>11</v>
      </c>
    </row>
    <row r="667" spans="1:8" x14ac:dyDescent="0.35">
      <c r="A667" t="s">
        <v>25</v>
      </c>
      <c r="B667" t="s">
        <v>88</v>
      </c>
      <c r="C667" t="s">
        <v>1836</v>
      </c>
      <c r="D667">
        <v>1</v>
      </c>
      <c r="E667">
        <v>5</v>
      </c>
      <c r="F667" t="s">
        <v>7</v>
      </c>
      <c r="G667" t="s">
        <v>11</v>
      </c>
      <c r="H667" t="s">
        <v>11</v>
      </c>
    </row>
    <row r="668" spans="1:8" x14ac:dyDescent="0.35">
      <c r="A668" t="s">
        <v>25</v>
      </c>
      <c r="B668" t="s">
        <v>88</v>
      </c>
      <c r="C668" t="s">
        <v>1837</v>
      </c>
      <c r="D668">
        <v>1</v>
      </c>
      <c r="E668">
        <v>5</v>
      </c>
      <c r="F668" t="s">
        <v>7</v>
      </c>
      <c r="G668" t="s">
        <v>11</v>
      </c>
      <c r="H668" t="s">
        <v>11</v>
      </c>
    </row>
    <row r="669" spans="1:8" x14ac:dyDescent="0.35">
      <c r="A669" t="s">
        <v>25</v>
      </c>
      <c r="B669" t="s">
        <v>88</v>
      </c>
      <c r="C669" t="s">
        <v>1838</v>
      </c>
      <c r="D669">
        <v>1</v>
      </c>
      <c r="E669">
        <v>5</v>
      </c>
      <c r="F669" t="s">
        <v>7</v>
      </c>
      <c r="G669" t="s">
        <v>11</v>
      </c>
      <c r="H669" t="s">
        <v>11</v>
      </c>
    </row>
    <row r="670" spans="1:8" x14ac:dyDescent="0.35">
      <c r="A670" t="s">
        <v>25</v>
      </c>
      <c r="B670" t="s">
        <v>88</v>
      </c>
      <c r="C670" t="s">
        <v>1364</v>
      </c>
      <c r="D670">
        <v>2</v>
      </c>
      <c r="E670">
        <v>4</v>
      </c>
      <c r="F670" t="s">
        <v>7</v>
      </c>
      <c r="G670" t="s">
        <v>11</v>
      </c>
      <c r="H670" t="s">
        <v>11</v>
      </c>
    </row>
    <row r="671" spans="1:8" x14ac:dyDescent="0.35">
      <c r="A671" t="s">
        <v>25</v>
      </c>
      <c r="B671" t="s">
        <v>88</v>
      </c>
      <c r="C671" t="s">
        <v>1839</v>
      </c>
      <c r="D671">
        <v>1</v>
      </c>
      <c r="E671">
        <v>5</v>
      </c>
      <c r="F671" t="s">
        <v>7</v>
      </c>
      <c r="G671" t="s">
        <v>11</v>
      </c>
      <c r="H671" t="s">
        <v>11</v>
      </c>
    </row>
    <row r="672" spans="1:8" x14ac:dyDescent="0.35">
      <c r="A672" t="s">
        <v>25</v>
      </c>
      <c r="B672" t="s">
        <v>88</v>
      </c>
      <c r="C672" t="s">
        <v>1366</v>
      </c>
      <c r="D672">
        <v>1</v>
      </c>
      <c r="E672">
        <v>5</v>
      </c>
      <c r="F672" t="s">
        <v>7</v>
      </c>
      <c r="G672" t="s">
        <v>11</v>
      </c>
      <c r="H672" t="s">
        <v>11</v>
      </c>
    </row>
    <row r="673" spans="1:8" x14ac:dyDescent="0.35">
      <c r="A673" t="s">
        <v>25</v>
      </c>
      <c r="B673" t="s">
        <v>88</v>
      </c>
      <c r="C673" t="s">
        <v>1465</v>
      </c>
      <c r="D673">
        <v>2</v>
      </c>
      <c r="E673">
        <v>4</v>
      </c>
      <c r="F673" t="s">
        <v>7</v>
      </c>
      <c r="G673" t="s">
        <v>11</v>
      </c>
      <c r="H673" t="s">
        <v>11</v>
      </c>
    </row>
    <row r="674" spans="1:8" x14ac:dyDescent="0.35">
      <c r="A674" t="s">
        <v>25</v>
      </c>
      <c r="B674" t="s">
        <v>88</v>
      </c>
      <c r="C674" t="s">
        <v>1467</v>
      </c>
      <c r="D674">
        <v>3</v>
      </c>
      <c r="E674">
        <v>4</v>
      </c>
      <c r="F674" t="s">
        <v>7</v>
      </c>
      <c r="G674" t="s">
        <v>11</v>
      </c>
      <c r="H674" t="s">
        <v>11</v>
      </c>
    </row>
    <row r="675" spans="1:8" x14ac:dyDescent="0.35">
      <c r="A675" t="s">
        <v>25</v>
      </c>
      <c r="B675" t="s">
        <v>88</v>
      </c>
      <c r="C675" t="s">
        <v>1642</v>
      </c>
      <c r="D675">
        <v>1</v>
      </c>
      <c r="E675">
        <v>5</v>
      </c>
      <c r="F675" t="s">
        <v>7</v>
      </c>
      <c r="G675" t="s">
        <v>11</v>
      </c>
      <c r="H675" t="s">
        <v>11</v>
      </c>
    </row>
    <row r="676" spans="1:8" x14ac:dyDescent="0.35">
      <c r="A676" t="s">
        <v>25</v>
      </c>
      <c r="B676" t="s">
        <v>88</v>
      </c>
      <c r="C676" t="s">
        <v>1367</v>
      </c>
      <c r="D676">
        <v>2</v>
      </c>
      <c r="E676">
        <v>4</v>
      </c>
      <c r="F676" t="s">
        <v>7</v>
      </c>
      <c r="G676" t="s">
        <v>11</v>
      </c>
      <c r="H676" t="s">
        <v>11</v>
      </c>
    </row>
    <row r="677" spans="1:8" x14ac:dyDescent="0.35">
      <c r="A677" t="s">
        <v>25</v>
      </c>
      <c r="B677" t="s">
        <v>88</v>
      </c>
      <c r="C677" t="s">
        <v>1840</v>
      </c>
      <c r="D677">
        <v>2</v>
      </c>
      <c r="E677">
        <v>4</v>
      </c>
      <c r="F677" t="s">
        <v>7</v>
      </c>
      <c r="G677" t="s">
        <v>11</v>
      </c>
      <c r="H677" t="s">
        <v>11</v>
      </c>
    </row>
    <row r="678" spans="1:8" x14ac:dyDescent="0.35">
      <c r="A678" t="s">
        <v>25</v>
      </c>
      <c r="B678" t="s">
        <v>88</v>
      </c>
      <c r="C678" t="s">
        <v>1841</v>
      </c>
      <c r="D678">
        <v>1</v>
      </c>
      <c r="E678">
        <v>5</v>
      </c>
      <c r="F678" t="s">
        <v>7</v>
      </c>
      <c r="G678" t="s">
        <v>11</v>
      </c>
      <c r="H678" t="s">
        <v>11</v>
      </c>
    </row>
    <row r="679" spans="1:8" x14ac:dyDescent="0.35">
      <c r="A679" t="s">
        <v>25</v>
      </c>
      <c r="B679" t="s">
        <v>88</v>
      </c>
      <c r="C679" t="s">
        <v>1369</v>
      </c>
      <c r="D679">
        <v>2</v>
      </c>
      <c r="E679">
        <v>4</v>
      </c>
      <c r="F679" t="s">
        <v>7</v>
      </c>
      <c r="G679" t="s">
        <v>11</v>
      </c>
      <c r="H679" t="s">
        <v>11</v>
      </c>
    </row>
    <row r="680" spans="1:8" x14ac:dyDescent="0.35">
      <c r="A680" t="s">
        <v>25</v>
      </c>
      <c r="B680" t="s">
        <v>88</v>
      </c>
      <c r="C680" t="s">
        <v>1469</v>
      </c>
      <c r="D680">
        <v>2</v>
      </c>
      <c r="E680">
        <v>4</v>
      </c>
      <c r="F680" t="s">
        <v>7</v>
      </c>
      <c r="G680" t="s">
        <v>11</v>
      </c>
      <c r="H680" t="s">
        <v>11</v>
      </c>
    </row>
    <row r="681" spans="1:8" x14ac:dyDescent="0.35">
      <c r="A681" t="s">
        <v>25</v>
      </c>
      <c r="B681" t="s">
        <v>88</v>
      </c>
      <c r="C681" t="s">
        <v>1842</v>
      </c>
      <c r="D681">
        <v>1</v>
      </c>
      <c r="E681">
        <v>5</v>
      </c>
      <c r="F681" t="s">
        <v>7</v>
      </c>
      <c r="G681" t="s">
        <v>11</v>
      </c>
      <c r="H681" t="s">
        <v>11</v>
      </c>
    </row>
    <row r="682" spans="1:8" x14ac:dyDescent="0.35">
      <c r="A682" t="s">
        <v>25</v>
      </c>
      <c r="B682" t="s">
        <v>88</v>
      </c>
      <c r="C682" t="s">
        <v>1843</v>
      </c>
      <c r="D682">
        <v>1</v>
      </c>
      <c r="E682">
        <v>5</v>
      </c>
      <c r="F682" t="s">
        <v>7</v>
      </c>
      <c r="G682" t="s">
        <v>11</v>
      </c>
      <c r="H682" t="s">
        <v>11</v>
      </c>
    </row>
    <row r="683" spans="1:8" x14ac:dyDescent="0.35">
      <c r="A683" t="s">
        <v>25</v>
      </c>
      <c r="B683" t="s">
        <v>88</v>
      </c>
      <c r="C683" t="s">
        <v>1470</v>
      </c>
      <c r="D683">
        <v>1</v>
      </c>
      <c r="E683">
        <v>5</v>
      </c>
      <c r="F683" t="s">
        <v>7</v>
      </c>
      <c r="G683" t="s">
        <v>11</v>
      </c>
      <c r="H683" t="s">
        <v>11</v>
      </c>
    </row>
    <row r="684" spans="1:8" x14ac:dyDescent="0.35">
      <c r="A684" t="s">
        <v>25</v>
      </c>
      <c r="B684" t="s">
        <v>88</v>
      </c>
      <c r="C684" t="s">
        <v>1370</v>
      </c>
      <c r="D684">
        <v>2</v>
      </c>
      <c r="E684">
        <v>4</v>
      </c>
      <c r="F684" t="s">
        <v>7</v>
      </c>
      <c r="G684" t="s">
        <v>11</v>
      </c>
      <c r="H684" t="s">
        <v>11</v>
      </c>
    </row>
    <row r="685" spans="1:8" x14ac:dyDescent="0.35">
      <c r="A685" t="s">
        <v>25</v>
      </c>
      <c r="B685" t="s">
        <v>88</v>
      </c>
      <c r="C685" t="s">
        <v>1844</v>
      </c>
      <c r="D685">
        <v>1</v>
      </c>
      <c r="E685">
        <v>5</v>
      </c>
      <c r="F685" t="s">
        <v>7</v>
      </c>
      <c r="G685" t="s">
        <v>11</v>
      </c>
      <c r="H685" t="s">
        <v>11</v>
      </c>
    </row>
    <row r="686" spans="1:8" x14ac:dyDescent="0.35">
      <c r="A686" t="s">
        <v>25</v>
      </c>
      <c r="B686" t="s">
        <v>88</v>
      </c>
      <c r="C686" t="s">
        <v>1845</v>
      </c>
      <c r="D686">
        <v>1</v>
      </c>
      <c r="E686">
        <v>5</v>
      </c>
      <c r="F686" t="s">
        <v>7</v>
      </c>
      <c r="G686" t="s">
        <v>11</v>
      </c>
      <c r="H686" t="s">
        <v>11</v>
      </c>
    </row>
    <row r="687" spans="1:8" x14ac:dyDescent="0.35">
      <c r="A687" t="s">
        <v>25</v>
      </c>
      <c r="B687" t="s">
        <v>88</v>
      </c>
      <c r="C687" t="s">
        <v>1846</v>
      </c>
      <c r="D687">
        <v>1</v>
      </c>
      <c r="E687">
        <v>5</v>
      </c>
      <c r="F687" t="s">
        <v>7</v>
      </c>
      <c r="G687" t="s">
        <v>11</v>
      </c>
      <c r="H687" t="s">
        <v>11</v>
      </c>
    </row>
    <row r="688" spans="1:8" x14ac:dyDescent="0.35">
      <c r="A688" t="s">
        <v>25</v>
      </c>
      <c r="B688" t="s">
        <v>88</v>
      </c>
      <c r="C688" t="s">
        <v>1476</v>
      </c>
      <c r="D688">
        <v>2</v>
      </c>
      <c r="E688">
        <v>4</v>
      </c>
      <c r="F688" t="s">
        <v>7</v>
      </c>
      <c r="G688" t="s">
        <v>11</v>
      </c>
      <c r="H688" t="s">
        <v>11</v>
      </c>
    </row>
    <row r="689" spans="1:8" x14ac:dyDescent="0.35">
      <c r="A689" t="s">
        <v>25</v>
      </c>
      <c r="B689" t="s">
        <v>88</v>
      </c>
      <c r="C689" t="s">
        <v>1847</v>
      </c>
      <c r="D689">
        <v>1</v>
      </c>
      <c r="E689">
        <v>5</v>
      </c>
      <c r="F689" t="s">
        <v>7</v>
      </c>
      <c r="G689" t="s">
        <v>11</v>
      </c>
      <c r="H689" t="s">
        <v>11</v>
      </c>
    </row>
    <row r="690" spans="1:8" x14ac:dyDescent="0.35">
      <c r="A690" t="s">
        <v>25</v>
      </c>
      <c r="B690" t="s">
        <v>88</v>
      </c>
      <c r="C690" t="s">
        <v>1848</v>
      </c>
      <c r="D690">
        <v>2</v>
      </c>
      <c r="E690">
        <v>4</v>
      </c>
      <c r="F690" t="s">
        <v>7</v>
      </c>
      <c r="G690" t="s">
        <v>11</v>
      </c>
      <c r="H690" t="s">
        <v>11</v>
      </c>
    </row>
    <row r="691" spans="1:8" x14ac:dyDescent="0.35">
      <c r="A691" t="s">
        <v>25</v>
      </c>
      <c r="B691" t="s">
        <v>88</v>
      </c>
      <c r="C691" t="s">
        <v>1754</v>
      </c>
      <c r="D691">
        <v>1</v>
      </c>
      <c r="E691">
        <v>5</v>
      </c>
      <c r="F691" t="s">
        <v>7</v>
      </c>
      <c r="G691" t="s">
        <v>11</v>
      </c>
      <c r="H691" t="s">
        <v>11</v>
      </c>
    </row>
    <row r="692" spans="1:8" x14ac:dyDescent="0.35">
      <c r="A692" t="s">
        <v>25</v>
      </c>
      <c r="B692" t="s">
        <v>88</v>
      </c>
      <c r="C692" t="s">
        <v>1376</v>
      </c>
      <c r="D692">
        <v>2</v>
      </c>
      <c r="E692">
        <v>4</v>
      </c>
      <c r="F692" t="s">
        <v>7</v>
      </c>
      <c r="G692" t="s">
        <v>11</v>
      </c>
      <c r="H692" t="s">
        <v>11</v>
      </c>
    </row>
    <row r="693" spans="1:8" x14ac:dyDescent="0.35">
      <c r="A693" t="s">
        <v>25</v>
      </c>
      <c r="B693" t="s">
        <v>88</v>
      </c>
      <c r="C693" t="s">
        <v>1755</v>
      </c>
      <c r="D693">
        <v>2</v>
      </c>
      <c r="E693">
        <v>4</v>
      </c>
      <c r="F693" t="s">
        <v>7</v>
      </c>
      <c r="G693" t="s">
        <v>11</v>
      </c>
      <c r="H693" t="s">
        <v>11</v>
      </c>
    </row>
    <row r="694" spans="1:8" x14ac:dyDescent="0.35">
      <c r="A694" t="s">
        <v>25</v>
      </c>
      <c r="B694" t="s">
        <v>88</v>
      </c>
      <c r="C694" t="s">
        <v>1478</v>
      </c>
      <c r="D694">
        <v>2</v>
      </c>
      <c r="E694">
        <v>4</v>
      </c>
      <c r="F694" t="s">
        <v>7</v>
      </c>
      <c r="G694" t="s">
        <v>11</v>
      </c>
      <c r="H694" t="s">
        <v>11</v>
      </c>
    </row>
    <row r="695" spans="1:8" x14ac:dyDescent="0.35">
      <c r="A695" t="s">
        <v>25</v>
      </c>
      <c r="B695" t="s">
        <v>88</v>
      </c>
      <c r="C695" t="s">
        <v>1849</v>
      </c>
      <c r="D695">
        <v>1</v>
      </c>
      <c r="E695">
        <v>5</v>
      </c>
      <c r="F695" t="s">
        <v>7</v>
      </c>
      <c r="G695" t="s">
        <v>11</v>
      </c>
      <c r="H695" t="s">
        <v>11</v>
      </c>
    </row>
    <row r="696" spans="1:8" x14ac:dyDescent="0.35">
      <c r="A696" t="s">
        <v>25</v>
      </c>
      <c r="B696" t="s">
        <v>88</v>
      </c>
      <c r="C696" t="s">
        <v>1850</v>
      </c>
      <c r="D696">
        <v>2</v>
      </c>
      <c r="E696">
        <v>5</v>
      </c>
      <c r="F696" t="s">
        <v>7</v>
      </c>
      <c r="G696" t="s">
        <v>11</v>
      </c>
      <c r="H696" t="s">
        <v>11</v>
      </c>
    </row>
    <row r="697" spans="1:8" x14ac:dyDescent="0.35">
      <c r="A697" t="s">
        <v>25</v>
      </c>
      <c r="B697" t="s">
        <v>88</v>
      </c>
      <c r="C697" t="s">
        <v>1851</v>
      </c>
      <c r="D697">
        <v>2</v>
      </c>
      <c r="E697">
        <v>4</v>
      </c>
      <c r="F697" t="s">
        <v>7</v>
      </c>
      <c r="G697" t="s">
        <v>11</v>
      </c>
      <c r="H697" t="s">
        <v>11</v>
      </c>
    </row>
    <row r="698" spans="1:8" x14ac:dyDescent="0.35">
      <c r="A698" t="s">
        <v>25</v>
      </c>
      <c r="B698" t="s">
        <v>88</v>
      </c>
      <c r="C698" t="s">
        <v>1852</v>
      </c>
      <c r="D698">
        <v>1</v>
      </c>
      <c r="E698">
        <v>5</v>
      </c>
      <c r="F698" t="s">
        <v>7</v>
      </c>
      <c r="G698" t="s">
        <v>11</v>
      </c>
      <c r="H698" t="s">
        <v>11</v>
      </c>
    </row>
    <row r="699" spans="1:8" x14ac:dyDescent="0.35">
      <c r="A699" t="s">
        <v>25</v>
      </c>
      <c r="B699" t="s">
        <v>88</v>
      </c>
      <c r="C699" t="s">
        <v>1853</v>
      </c>
      <c r="D699">
        <v>1</v>
      </c>
      <c r="E699">
        <v>5</v>
      </c>
      <c r="F699" t="s">
        <v>7</v>
      </c>
      <c r="G699" t="s">
        <v>11</v>
      </c>
      <c r="H699" t="s">
        <v>11</v>
      </c>
    </row>
    <row r="700" spans="1:8" x14ac:dyDescent="0.35">
      <c r="A700" t="s">
        <v>26</v>
      </c>
      <c r="B700" t="s">
        <v>89</v>
      </c>
      <c r="C700" t="s">
        <v>1537</v>
      </c>
      <c r="D700">
        <v>1</v>
      </c>
      <c r="E700">
        <v>5</v>
      </c>
      <c r="F700" t="s">
        <v>7</v>
      </c>
      <c r="G700" t="s">
        <v>11</v>
      </c>
      <c r="H700" t="s">
        <v>11</v>
      </c>
    </row>
    <row r="701" spans="1:8" x14ac:dyDescent="0.35">
      <c r="A701" t="s">
        <v>26</v>
      </c>
      <c r="B701" t="s">
        <v>89</v>
      </c>
      <c r="C701" t="s">
        <v>1854</v>
      </c>
      <c r="D701">
        <v>1</v>
      </c>
      <c r="E701">
        <v>5</v>
      </c>
      <c r="F701" t="s">
        <v>7</v>
      </c>
      <c r="G701" t="s">
        <v>11</v>
      </c>
      <c r="H701" t="s">
        <v>11</v>
      </c>
    </row>
    <row r="702" spans="1:8" x14ac:dyDescent="0.35">
      <c r="A702" t="s">
        <v>26</v>
      </c>
      <c r="B702" t="s">
        <v>89</v>
      </c>
      <c r="C702" t="s">
        <v>1855</v>
      </c>
      <c r="D702">
        <v>1</v>
      </c>
      <c r="E702">
        <v>5</v>
      </c>
      <c r="F702" t="s">
        <v>7</v>
      </c>
      <c r="G702" t="s">
        <v>11</v>
      </c>
      <c r="H702" t="s">
        <v>11</v>
      </c>
    </row>
    <row r="703" spans="1:8" x14ac:dyDescent="0.35">
      <c r="A703" t="s">
        <v>26</v>
      </c>
      <c r="B703" t="s">
        <v>89</v>
      </c>
      <c r="C703" t="s">
        <v>1427</v>
      </c>
      <c r="D703">
        <v>1</v>
      </c>
      <c r="E703">
        <v>5</v>
      </c>
      <c r="F703" t="s">
        <v>7</v>
      </c>
      <c r="G703" t="s">
        <v>11</v>
      </c>
      <c r="H703" t="s">
        <v>11</v>
      </c>
    </row>
    <row r="704" spans="1:8" x14ac:dyDescent="0.35">
      <c r="A704" t="s">
        <v>26</v>
      </c>
      <c r="B704" t="s">
        <v>89</v>
      </c>
      <c r="C704" t="s">
        <v>1856</v>
      </c>
      <c r="D704">
        <v>1</v>
      </c>
      <c r="E704">
        <v>5</v>
      </c>
      <c r="F704" t="s">
        <v>7</v>
      </c>
      <c r="G704" t="s">
        <v>11</v>
      </c>
      <c r="H704" t="s">
        <v>11</v>
      </c>
    </row>
    <row r="705" spans="1:8" x14ac:dyDescent="0.35">
      <c r="A705" t="s">
        <v>26</v>
      </c>
      <c r="B705" t="s">
        <v>89</v>
      </c>
      <c r="C705" t="s">
        <v>1428</v>
      </c>
      <c r="D705">
        <v>1</v>
      </c>
      <c r="E705">
        <v>5</v>
      </c>
      <c r="F705" t="s">
        <v>7</v>
      </c>
      <c r="G705" t="s">
        <v>11</v>
      </c>
      <c r="H705" t="s">
        <v>11</v>
      </c>
    </row>
    <row r="706" spans="1:8" x14ac:dyDescent="0.35">
      <c r="A706" t="s">
        <v>26</v>
      </c>
      <c r="B706" t="s">
        <v>89</v>
      </c>
      <c r="C706" t="s">
        <v>1802</v>
      </c>
      <c r="D706">
        <v>2</v>
      </c>
      <c r="E706">
        <v>4</v>
      </c>
      <c r="F706" t="s">
        <v>7</v>
      </c>
      <c r="G706" t="s">
        <v>11</v>
      </c>
      <c r="H706" t="s">
        <v>11</v>
      </c>
    </row>
    <row r="707" spans="1:8" x14ac:dyDescent="0.35">
      <c r="A707" t="s">
        <v>26</v>
      </c>
      <c r="B707" t="s">
        <v>89</v>
      </c>
      <c r="C707" t="s">
        <v>1430</v>
      </c>
      <c r="D707">
        <v>1</v>
      </c>
      <c r="E707">
        <v>5</v>
      </c>
      <c r="F707" t="s">
        <v>7</v>
      </c>
      <c r="G707" t="s">
        <v>11</v>
      </c>
      <c r="H707" t="s">
        <v>11</v>
      </c>
    </row>
    <row r="708" spans="1:8" x14ac:dyDescent="0.35">
      <c r="A708" t="s">
        <v>26</v>
      </c>
      <c r="B708" t="s">
        <v>89</v>
      </c>
      <c r="C708" t="s">
        <v>1804</v>
      </c>
      <c r="D708">
        <v>1</v>
      </c>
      <c r="E708">
        <v>5</v>
      </c>
      <c r="F708" t="s">
        <v>7</v>
      </c>
      <c r="G708" t="s">
        <v>11</v>
      </c>
      <c r="H708" t="s">
        <v>11</v>
      </c>
    </row>
    <row r="709" spans="1:8" x14ac:dyDescent="0.35">
      <c r="A709" t="s">
        <v>26</v>
      </c>
      <c r="B709" t="s">
        <v>89</v>
      </c>
      <c r="C709" t="s">
        <v>1432</v>
      </c>
      <c r="D709">
        <v>1</v>
      </c>
      <c r="E709">
        <v>4</v>
      </c>
      <c r="F709" t="s">
        <v>7</v>
      </c>
      <c r="G709" t="s">
        <v>11</v>
      </c>
      <c r="H709" t="s">
        <v>11</v>
      </c>
    </row>
    <row r="710" spans="1:8" x14ac:dyDescent="0.35">
      <c r="A710" t="s">
        <v>26</v>
      </c>
      <c r="B710" t="s">
        <v>89</v>
      </c>
      <c r="C710" t="s">
        <v>1325</v>
      </c>
      <c r="D710">
        <v>2</v>
      </c>
      <c r="E710">
        <v>5</v>
      </c>
      <c r="F710" t="s">
        <v>7</v>
      </c>
      <c r="G710" t="s">
        <v>11</v>
      </c>
      <c r="H710" t="s">
        <v>11</v>
      </c>
    </row>
    <row r="711" spans="1:8" x14ac:dyDescent="0.35">
      <c r="A711" t="s">
        <v>26</v>
      </c>
      <c r="B711" t="s">
        <v>89</v>
      </c>
      <c r="C711" t="s">
        <v>1807</v>
      </c>
      <c r="D711">
        <v>1</v>
      </c>
      <c r="E711">
        <v>5</v>
      </c>
      <c r="F711" t="s">
        <v>7</v>
      </c>
      <c r="G711" t="s">
        <v>11</v>
      </c>
      <c r="H711" t="s">
        <v>11</v>
      </c>
    </row>
    <row r="712" spans="1:8" x14ac:dyDescent="0.35">
      <c r="A712" t="s">
        <v>26</v>
      </c>
      <c r="B712" t="s">
        <v>89</v>
      </c>
      <c r="C712" t="s">
        <v>1437</v>
      </c>
      <c r="D712">
        <v>2</v>
      </c>
      <c r="E712">
        <v>4</v>
      </c>
      <c r="F712" t="s">
        <v>7</v>
      </c>
      <c r="G712" t="s">
        <v>11</v>
      </c>
      <c r="H712" t="s">
        <v>11</v>
      </c>
    </row>
    <row r="713" spans="1:8" x14ac:dyDescent="0.35">
      <c r="A713" t="s">
        <v>26</v>
      </c>
      <c r="B713" t="s">
        <v>89</v>
      </c>
      <c r="C713" t="s">
        <v>1857</v>
      </c>
      <c r="D713">
        <v>2</v>
      </c>
      <c r="E713">
        <v>4</v>
      </c>
      <c r="F713" t="s">
        <v>7</v>
      </c>
      <c r="G713" t="s">
        <v>11</v>
      </c>
      <c r="H713" t="s">
        <v>11</v>
      </c>
    </row>
    <row r="714" spans="1:8" x14ac:dyDescent="0.35">
      <c r="A714" t="s">
        <v>26</v>
      </c>
      <c r="B714" t="s">
        <v>89</v>
      </c>
      <c r="C714" t="s">
        <v>1336</v>
      </c>
      <c r="D714">
        <v>1</v>
      </c>
      <c r="E714">
        <v>5</v>
      </c>
      <c r="F714" t="s">
        <v>7</v>
      </c>
      <c r="G714" t="s">
        <v>11</v>
      </c>
      <c r="H714" t="s">
        <v>11</v>
      </c>
    </row>
    <row r="715" spans="1:8" x14ac:dyDescent="0.35">
      <c r="A715" t="s">
        <v>26</v>
      </c>
      <c r="B715" t="s">
        <v>89</v>
      </c>
      <c r="C715" t="s">
        <v>1858</v>
      </c>
      <c r="D715">
        <v>2</v>
      </c>
      <c r="E715">
        <v>4</v>
      </c>
      <c r="F715" t="s">
        <v>7</v>
      </c>
      <c r="G715" t="s">
        <v>11</v>
      </c>
      <c r="H715" t="s">
        <v>11</v>
      </c>
    </row>
    <row r="716" spans="1:8" x14ac:dyDescent="0.35">
      <c r="A716" t="s">
        <v>26</v>
      </c>
      <c r="B716" t="s">
        <v>89</v>
      </c>
      <c r="C716" t="s">
        <v>1684</v>
      </c>
      <c r="D716">
        <v>1</v>
      </c>
      <c r="E716">
        <v>5</v>
      </c>
      <c r="F716" t="s">
        <v>7</v>
      </c>
      <c r="G716" t="s">
        <v>11</v>
      </c>
      <c r="H716" t="s">
        <v>11</v>
      </c>
    </row>
    <row r="717" spans="1:8" x14ac:dyDescent="0.35">
      <c r="A717" t="s">
        <v>26</v>
      </c>
      <c r="B717" t="s">
        <v>89</v>
      </c>
      <c r="C717" t="s">
        <v>1859</v>
      </c>
      <c r="D717">
        <v>1</v>
      </c>
      <c r="E717">
        <v>5</v>
      </c>
      <c r="F717" t="s">
        <v>7</v>
      </c>
      <c r="G717" t="s">
        <v>11</v>
      </c>
      <c r="H717" t="s">
        <v>11</v>
      </c>
    </row>
    <row r="718" spans="1:8" x14ac:dyDescent="0.35">
      <c r="A718" t="s">
        <v>26</v>
      </c>
      <c r="B718" t="s">
        <v>89</v>
      </c>
      <c r="C718" t="s">
        <v>1860</v>
      </c>
      <c r="D718">
        <v>2</v>
      </c>
      <c r="E718">
        <v>4</v>
      </c>
      <c r="F718" t="s">
        <v>7</v>
      </c>
      <c r="G718" t="s">
        <v>11</v>
      </c>
      <c r="H718" t="s">
        <v>11</v>
      </c>
    </row>
    <row r="719" spans="1:8" x14ac:dyDescent="0.35">
      <c r="A719" t="s">
        <v>26</v>
      </c>
      <c r="B719" t="s">
        <v>89</v>
      </c>
      <c r="C719" t="s">
        <v>1861</v>
      </c>
      <c r="D719">
        <v>1</v>
      </c>
      <c r="E719">
        <v>5</v>
      </c>
      <c r="F719" t="s">
        <v>7</v>
      </c>
      <c r="G719" t="s">
        <v>11</v>
      </c>
      <c r="H719" t="s">
        <v>11</v>
      </c>
    </row>
    <row r="720" spans="1:8" x14ac:dyDescent="0.35">
      <c r="A720" t="s">
        <v>26</v>
      </c>
      <c r="B720" t="s">
        <v>89</v>
      </c>
      <c r="C720" t="s">
        <v>1340</v>
      </c>
      <c r="D720">
        <v>1</v>
      </c>
      <c r="E720">
        <v>5</v>
      </c>
      <c r="F720" t="s">
        <v>7</v>
      </c>
      <c r="G720" t="s">
        <v>11</v>
      </c>
      <c r="H720" t="s">
        <v>11</v>
      </c>
    </row>
    <row r="721" spans="1:8" x14ac:dyDescent="0.35">
      <c r="A721" t="s">
        <v>26</v>
      </c>
      <c r="B721" t="s">
        <v>89</v>
      </c>
      <c r="C721" t="s">
        <v>1695</v>
      </c>
      <c r="D721">
        <v>2</v>
      </c>
      <c r="E721">
        <v>4</v>
      </c>
      <c r="F721" t="s">
        <v>7</v>
      </c>
      <c r="G721" t="s">
        <v>11</v>
      </c>
      <c r="H721" t="s">
        <v>11</v>
      </c>
    </row>
    <row r="722" spans="1:8" x14ac:dyDescent="0.35">
      <c r="A722" t="s">
        <v>26</v>
      </c>
      <c r="B722" t="s">
        <v>89</v>
      </c>
      <c r="C722" t="s">
        <v>1862</v>
      </c>
      <c r="D722">
        <v>1</v>
      </c>
      <c r="E722">
        <v>5</v>
      </c>
      <c r="F722" t="s">
        <v>7</v>
      </c>
      <c r="G722" t="s">
        <v>11</v>
      </c>
      <c r="H722" t="s">
        <v>11</v>
      </c>
    </row>
    <row r="723" spans="1:8" x14ac:dyDescent="0.35">
      <c r="A723" t="s">
        <v>26</v>
      </c>
      <c r="B723" t="s">
        <v>89</v>
      </c>
      <c r="C723" t="s">
        <v>1341</v>
      </c>
      <c r="D723">
        <v>2</v>
      </c>
      <c r="E723">
        <v>5</v>
      </c>
      <c r="F723" t="s">
        <v>7</v>
      </c>
      <c r="G723" t="s">
        <v>11</v>
      </c>
      <c r="H723" t="s">
        <v>11</v>
      </c>
    </row>
    <row r="724" spans="1:8" x14ac:dyDescent="0.35">
      <c r="A724" t="s">
        <v>26</v>
      </c>
      <c r="B724" t="s">
        <v>89</v>
      </c>
      <c r="C724" t="s">
        <v>1443</v>
      </c>
      <c r="D724">
        <v>1</v>
      </c>
      <c r="E724">
        <v>5</v>
      </c>
      <c r="F724" t="s">
        <v>7</v>
      </c>
      <c r="G724" t="s">
        <v>11</v>
      </c>
      <c r="H724" t="s">
        <v>11</v>
      </c>
    </row>
    <row r="725" spans="1:8" x14ac:dyDescent="0.35">
      <c r="A725" t="s">
        <v>26</v>
      </c>
      <c r="B725" t="s">
        <v>89</v>
      </c>
      <c r="C725" t="s">
        <v>1863</v>
      </c>
      <c r="D725">
        <v>2</v>
      </c>
      <c r="E725">
        <v>4</v>
      </c>
      <c r="F725" t="s">
        <v>7</v>
      </c>
      <c r="G725" t="s">
        <v>11</v>
      </c>
      <c r="H725" t="s">
        <v>11</v>
      </c>
    </row>
    <row r="726" spans="1:8" x14ac:dyDescent="0.35">
      <c r="A726" t="s">
        <v>26</v>
      </c>
      <c r="B726" t="s">
        <v>89</v>
      </c>
      <c r="C726" t="s">
        <v>1445</v>
      </c>
      <c r="D726">
        <v>1</v>
      </c>
      <c r="E726">
        <v>5</v>
      </c>
      <c r="F726" t="s">
        <v>7</v>
      </c>
      <c r="G726" t="s">
        <v>11</v>
      </c>
      <c r="H726" t="s">
        <v>11</v>
      </c>
    </row>
    <row r="727" spans="1:8" x14ac:dyDescent="0.35">
      <c r="A727" t="s">
        <v>26</v>
      </c>
      <c r="B727" t="s">
        <v>89</v>
      </c>
      <c r="C727" t="s">
        <v>1343</v>
      </c>
      <c r="D727">
        <v>2</v>
      </c>
      <c r="E727">
        <v>4</v>
      </c>
      <c r="F727" t="s">
        <v>7</v>
      </c>
      <c r="G727" t="s">
        <v>11</v>
      </c>
      <c r="H727" t="s">
        <v>11</v>
      </c>
    </row>
    <row r="728" spans="1:8" x14ac:dyDescent="0.35">
      <c r="A728" t="s">
        <v>26</v>
      </c>
      <c r="B728" t="s">
        <v>89</v>
      </c>
      <c r="C728" t="s">
        <v>1621</v>
      </c>
      <c r="D728">
        <v>1</v>
      </c>
      <c r="E728">
        <v>5</v>
      </c>
      <c r="F728" t="s">
        <v>7</v>
      </c>
      <c r="G728" t="s">
        <v>11</v>
      </c>
      <c r="H728" t="s">
        <v>11</v>
      </c>
    </row>
    <row r="729" spans="1:8" x14ac:dyDescent="0.35">
      <c r="A729" t="s">
        <v>26</v>
      </c>
      <c r="B729" t="s">
        <v>89</v>
      </c>
      <c r="C729" t="s">
        <v>1705</v>
      </c>
      <c r="D729">
        <v>1</v>
      </c>
      <c r="E729">
        <v>5</v>
      </c>
      <c r="F729" t="s">
        <v>7</v>
      </c>
      <c r="G729" t="s">
        <v>11</v>
      </c>
      <c r="H729" t="s">
        <v>11</v>
      </c>
    </row>
    <row r="730" spans="1:8" x14ac:dyDescent="0.35">
      <c r="A730" t="s">
        <v>26</v>
      </c>
      <c r="B730" t="s">
        <v>89</v>
      </c>
      <c r="C730" t="s">
        <v>1864</v>
      </c>
      <c r="D730">
        <v>1</v>
      </c>
      <c r="E730">
        <v>4</v>
      </c>
      <c r="F730" t="s">
        <v>7</v>
      </c>
      <c r="G730" t="s">
        <v>11</v>
      </c>
      <c r="H730" t="s">
        <v>11</v>
      </c>
    </row>
    <row r="731" spans="1:8" x14ac:dyDescent="0.35">
      <c r="A731" t="s">
        <v>26</v>
      </c>
      <c r="B731" t="s">
        <v>89</v>
      </c>
      <c r="C731" t="s">
        <v>1865</v>
      </c>
      <c r="D731">
        <v>1</v>
      </c>
      <c r="E731">
        <v>5</v>
      </c>
      <c r="F731" t="s">
        <v>7</v>
      </c>
      <c r="G731" t="s">
        <v>11</v>
      </c>
      <c r="H731" t="s">
        <v>11</v>
      </c>
    </row>
    <row r="732" spans="1:8" x14ac:dyDescent="0.35">
      <c r="A732" t="s">
        <v>26</v>
      </c>
      <c r="B732" t="s">
        <v>89</v>
      </c>
      <c r="C732" t="s">
        <v>1345</v>
      </c>
      <c r="D732">
        <v>1</v>
      </c>
      <c r="E732">
        <v>5</v>
      </c>
      <c r="F732" t="s">
        <v>7</v>
      </c>
      <c r="G732" t="s">
        <v>11</v>
      </c>
      <c r="H732" t="s">
        <v>11</v>
      </c>
    </row>
    <row r="733" spans="1:8" x14ac:dyDescent="0.35">
      <c r="A733" t="s">
        <v>26</v>
      </c>
      <c r="B733" t="s">
        <v>89</v>
      </c>
      <c r="C733" t="s">
        <v>1448</v>
      </c>
      <c r="D733">
        <v>1</v>
      </c>
      <c r="E733">
        <v>5</v>
      </c>
      <c r="F733" t="s">
        <v>7</v>
      </c>
      <c r="G733" t="s">
        <v>11</v>
      </c>
      <c r="H733" t="s">
        <v>11</v>
      </c>
    </row>
    <row r="734" spans="1:8" x14ac:dyDescent="0.35">
      <c r="A734" t="s">
        <v>26</v>
      </c>
      <c r="B734" t="s">
        <v>89</v>
      </c>
      <c r="C734" t="s">
        <v>1866</v>
      </c>
      <c r="D734">
        <v>1</v>
      </c>
      <c r="E734">
        <v>5</v>
      </c>
      <c r="F734" t="s">
        <v>7</v>
      </c>
      <c r="G734" t="s">
        <v>11</v>
      </c>
      <c r="H734" t="s">
        <v>11</v>
      </c>
    </row>
    <row r="735" spans="1:8" x14ac:dyDescent="0.35">
      <c r="A735" t="s">
        <v>26</v>
      </c>
      <c r="B735" t="s">
        <v>89</v>
      </c>
      <c r="C735" t="s">
        <v>1347</v>
      </c>
      <c r="D735">
        <v>2</v>
      </c>
      <c r="E735">
        <v>4</v>
      </c>
      <c r="F735" t="s">
        <v>7</v>
      </c>
      <c r="G735" t="s">
        <v>11</v>
      </c>
      <c r="H735" t="s">
        <v>11</v>
      </c>
    </row>
    <row r="736" spans="1:8" x14ac:dyDescent="0.35">
      <c r="A736" t="s">
        <v>26</v>
      </c>
      <c r="B736" t="s">
        <v>89</v>
      </c>
      <c r="C736" t="s">
        <v>1711</v>
      </c>
      <c r="D736">
        <v>2</v>
      </c>
      <c r="E736">
        <v>5</v>
      </c>
      <c r="F736" t="s">
        <v>7</v>
      </c>
      <c r="G736" t="s">
        <v>11</v>
      </c>
      <c r="H736" t="s">
        <v>11</v>
      </c>
    </row>
    <row r="737" spans="1:8" x14ac:dyDescent="0.35">
      <c r="A737" t="s">
        <v>26</v>
      </c>
      <c r="B737" t="s">
        <v>89</v>
      </c>
      <c r="C737" t="s">
        <v>1867</v>
      </c>
      <c r="D737">
        <v>1</v>
      </c>
      <c r="E737">
        <v>5</v>
      </c>
      <c r="F737" t="s">
        <v>7</v>
      </c>
      <c r="G737" t="s">
        <v>11</v>
      </c>
      <c r="H737" t="s">
        <v>11</v>
      </c>
    </row>
    <row r="738" spans="1:8" x14ac:dyDescent="0.35">
      <c r="A738" t="s">
        <v>26</v>
      </c>
      <c r="B738" t="s">
        <v>89</v>
      </c>
      <c r="C738" t="s">
        <v>1348</v>
      </c>
      <c r="D738">
        <v>2</v>
      </c>
      <c r="E738">
        <v>4</v>
      </c>
      <c r="F738" t="s">
        <v>7</v>
      </c>
      <c r="G738" t="s">
        <v>11</v>
      </c>
      <c r="H738" t="s">
        <v>11</v>
      </c>
    </row>
    <row r="739" spans="1:8" x14ac:dyDescent="0.35">
      <c r="A739" t="s">
        <v>26</v>
      </c>
      <c r="B739" t="s">
        <v>89</v>
      </c>
      <c r="C739" t="s">
        <v>1868</v>
      </c>
      <c r="D739">
        <v>1</v>
      </c>
      <c r="E739">
        <v>4</v>
      </c>
      <c r="F739" t="s">
        <v>7</v>
      </c>
      <c r="G739" t="s">
        <v>11</v>
      </c>
      <c r="H739" t="s">
        <v>11</v>
      </c>
    </row>
    <row r="740" spans="1:8" x14ac:dyDescent="0.35">
      <c r="A740" t="s">
        <v>26</v>
      </c>
      <c r="B740" t="s">
        <v>89</v>
      </c>
      <c r="C740" t="s">
        <v>1451</v>
      </c>
      <c r="D740">
        <v>1</v>
      </c>
      <c r="E740">
        <v>5</v>
      </c>
      <c r="F740" t="s">
        <v>7</v>
      </c>
      <c r="G740" t="s">
        <v>11</v>
      </c>
      <c r="H740" t="s">
        <v>11</v>
      </c>
    </row>
    <row r="741" spans="1:8" x14ac:dyDescent="0.35">
      <c r="A741" t="s">
        <v>26</v>
      </c>
      <c r="B741" t="s">
        <v>89</v>
      </c>
      <c r="C741" t="s">
        <v>1825</v>
      </c>
      <c r="D741">
        <v>2</v>
      </c>
      <c r="E741">
        <v>4</v>
      </c>
      <c r="F741" t="s">
        <v>7</v>
      </c>
      <c r="G741" t="s">
        <v>11</v>
      </c>
      <c r="H741" t="s">
        <v>11</v>
      </c>
    </row>
    <row r="742" spans="1:8" x14ac:dyDescent="0.35">
      <c r="A742" t="s">
        <v>26</v>
      </c>
      <c r="B742" t="s">
        <v>89</v>
      </c>
      <c r="C742" t="s">
        <v>1869</v>
      </c>
      <c r="D742">
        <v>1</v>
      </c>
      <c r="E742">
        <v>5</v>
      </c>
      <c r="F742" t="s">
        <v>7</v>
      </c>
      <c r="G742" t="s">
        <v>11</v>
      </c>
      <c r="H742" t="s">
        <v>11</v>
      </c>
    </row>
    <row r="743" spans="1:8" x14ac:dyDescent="0.35">
      <c r="A743" t="s">
        <v>26</v>
      </c>
      <c r="B743" t="s">
        <v>89</v>
      </c>
      <c r="C743" t="s">
        <v>1870</v>
      </c>
      <c r="D743">
        <v>2</v>
      </c>
      <c r="E743">
        <v>5</v>
      </c>
      <c r="F743" t="s">
        <v>7</v>
      </c>
      <c r="G743" t="s">
        <v>11</v>
      </c>
      <c r="H743" t="s">
        <v>11</v>
      </c>
    </row>
    <row r="744" spans="1:8" x14ac:dyDescent="0.35">
      <c r="A744" t="s">
        <v>26</v>
      </c>
      <c r="B744" t="s">
        <v>89</v>
      </c>
      <c r="C744" t="s">
        <v>1871</v>
      </c>
      <c r="D744">
        <v>1</v>
      </c>
      <c r="E744">
        <v>5</v>
      </c>
      <c r="F744" t="s">
        <v>7</v>
      </c>
      <c r="G744" t="s">
        <v>11</v>
      </c>
      <c r="H744" t="s">
        <v>11</v>
      </c>
    </row>
    <row r="745" spans="1:8" x14ac:dyDescent="0.35">
      <c r="A745" t="s">
        <v>26</v>
      </c>
      <c r="B745" t="s">
        <v>89</v>
      </c>
      <c r="C745" t="s">
        <v>1497</v>
      </c>
      <c r="D745">
        <v>2</v>
      </c>
      <c r="E745">
        <v>5</v>
      </c>
      <c r="F745" t="s">
        <v>7</v>
      </c>
      <c r="G745" t="s">
        <v>11</v>
      </c>
      <c r="H745" t="s">
        <v>11</v>
      </c>
    </row>
    <row r="746" spans="1:8" x14ac:dyDescent="0.35">
      <c r="A746" t="s">
        <v>26</v>
      </c>
      <c r="B746" t="s">
        <v>89</v>
      </c>
      <c r="C746" t="s">
        <v>1351</v>
      </c>
      <c r="D746">
        <v>1</v>
      </c>
      <c r="E746">
        <v>4</v>
      </c>
      <c r="F746" t="s">
        <v>7</v>
      </c>
      <c r="G746" t="s">
        <v>11</v>
      </c>
      <c r="H746" t="s">
        <v>11</v>
      </c>
    </row>
    <row r="747" spans="1:8" x14ac:dyDescent="0.35">
      <c r="A747" t="s">
        <v>26</v>
      </c>
      <c r="B747" t="s">
        <v>89</v>
      </c>
      <c r="C747" t="s">
        <v>1356</v>
      </c>
      <c r="D747">
        <v>1</v>
      </c>
      <c r="E747">
        <v>5</v>
      </c>
      <c r="F747" t="s">
        <v>7</v>
      </c>
      <c r="G747" t="s">
        <v>11</v>
      </c>
      <c r="H747" t="s">
        <v>11</v>
      </c>
    </row>
    <row r="748" spans="1:8" x14ac:dyDescent="0.35">
      <c r="A748" t="s">
        <v>26</v>
      </c>
      <c r="B748" t="s">
        <v>89</v>
      </c>
      <c r="C748" t="s">
        <v>1358</v>
      </c>
      <c r="D748">
        <v>1</v>
      </c>
      <c r="E748">
        <v>5</v>
      </c>
      <c r="F748" t="s">
        <v>7</v>
      </c>
      <c r="G748" t="s">
        <v>11</v>
      </c>
      <c r="H748" t="s">
        <v>11</v>
      </c>
    </row>
    <row r="749" spans="1:8" x14ac:dyDescent="0.35">
      <c r="A749" t="s">
        <v>26</v>
      </c>
      <c r="B749" t="s">
        <v>89</v>
      </c>
      <c r="C749" t="s">
        <v>1359</v>
      </c>
      <c r="D749">
        <v>1</v>
      </c>
      <c r="E749">
        <v>5</v>
      </c>
      <c r="F749" t="s">
        <v>7</v>
      </c>
      <c r="G749" t="s">
        <v>11</v>
      </c>
      <c r="H749" t="s">
        <v>11</v>
      </c>
    </row>
    <row r="750" spans="1:8" x14ac:dyDescent="0.35">
      <c r="A750" t="s">
        <v>26</v>
      </c>
      <c r="B750" t="s">
        <v>89</v>
      </c>
      <c r="C750" t="s">
        <v>1633</v>
      </c>
      <c r="D750">
        <v>2</v>
      </c>
      <c r="E750">
        <v>4</v>
      </c>
      <c r="F750" t="s">
        <v>7</v>
      </c>
      <c r="G750" t="s">
        <v>11</v>
      </c>
      <c r="H750" t="s">
        <v>11</v>
      </c>
    </row>
    <row r="751" spans="1:8" x14ac:dyDescent="0.35">
      <c r="A751" t="s">
        <v>26</v>
      </c>
      <c r="B751" t="s">
        <v>89</v>
      </c>
      <c r="C751" t="s">
        <v>1872</v>
      </c>
      <c r="D751">
        <v>1</v>
      </c>
      <c r="E751">
        <v>5</v>
      </c>
      <c r="F751" t="s">
        <v>7</v>
      </c>
      <c r="G751" t="s">
        <v>11</v>
      </c>
      <c r="H751" t="s">
        <v>11</v>
      </c>
    </row>
    <row r="752" spans="1:8" x14ac:dyDescent="0.35">
      <c r="A752" t="s">
        <v>26</v>
      </c>
      <c r="B752" t="s">
        <v>89</v>
      </c>
      <c r="C752" t="s">
        <v>1361</v>
      </c>
      <c r="D752">
        <v>1</v>
      </c>
      <c r="E752">
        <v>4</v>
      </c>
      <c r="F752" t="s">
        <v>7</v>
      </c>
      <c r="G752" t="s">
        <v>11</v>
      </c>
      <c r="H752" t="s">
        <v>11</v>
      </c>
    </row>
    <row r="753" spans="1:8" x14ac:dyDescent="0.35">
      <c r="A753" t="s">
        <v>26</v>
      </c>
      <c r="B753" t="s">
        <v>89</v>
      </c>
      <c r="C753" t="s">
        <v>1362</v>
      </c>
      <c r="D753">
        <v>1</v>
      </c>
      <c r="E753">
        <v>5</v>
      </c>
      <c r="F753" t="s">
        <v>7</v>
      </c>
      <c r="G753" t="s">
        <v>11</v>
      </c>
      <c r="H753" t="s">
        <v>11</v>
      </c>
    </row>
    <row r="754" spans="1:8" x14ac:dyDescent="0.35">
      <c r="A754" t="s">
        <v>26</v>
      </c>
      <c r="B754" t="s">
        <v>89</v>
      </c>
      <c r="C754" t="s">
        <v>1363</v>
      </c>
      <c r="D754">
        <v>2</v>
      </c>
      <c r="E754">
        <v>5</v>
      </c>
      <c r="F754" t="s">
        <v>7</v>
      </c>
      <c r="G754" t="s">
        <v>11</v>
      </c>
      <c r="H754" t="s">
        <v>11</v>
      </c>
    </row>
    <row r="755" spans="1:8" x14ac:dyDescent="0.35">
      <c r="A755" t="s">
        <v>26</v>
      </c>
      <c r="B755" t="s">
        <v>89</v>
      </c>
      <c r="C755" t="s">
        <v>1460</v>
      </c>
      <c r="D755">
        <v>2</v>
      </c>
      <c r="E755">
        <v>5</v>
      </c>
      <c r="F755" t="s">
        <v>7</v>
      </c>
      <c r="G755" t="s">
        <v>11</v>
      </c>
      <c r="H755" t="s">
        <v>11</v>
      </c>
    </row>
    <row r="756" spans="1:8" x14ac:dyDescent="0.35">
      <c r="A756" t="s">
        <v>26</v>
      </c>
      <c r="B756" t="s">
        <v>89</v>
      </c>
      <c r="C756" t="s">
        <v>1873</v>
      </c>
      <c r="D756">
        <v>1</v>
      </c>
      <c r="E756">
        <v>5</v>
      </c>
      <c r="F756" t="s">
        <v>7</v>
      </c>
      <c r="G756" t="s">
        <v>11</v>
      </c>
      <c r="H756" t="s">
        <v>11</v>
      </c>
    </row>
    <row r="757" spans="1:8" x14ac:dyDescent="0.35">
      <c r="A757" t="s">
        <v>26</v>
      </c>
      <c r="B757" t="s">
        <v>89</v>
      </c>
      <c r="C757" t="s">
        <v>1874</v>
      </c>
      <c r="D757">
        <v>2</v>
      </c>
      <c r="E757">
        <v>4</v>
      </c>
      <c r="F757" t="s">
        <v>7</v>
      </c>
      <c r="G757" t="s">
        <v>11</v>
      </c>
      <c r="H757" t="s">
        <v>11</v>
      </c>
    </row>
    <row r="758" spans="1:8" x14ac:dyDescent="0.35">
      <c r="A758" t="s">
        <v>26</v>
      </c>
      <c r="B758" t="s">
        <v>89</v>
      </c>
      <c r="C758" t="s">
        <v>1509</v>
      </c>
      <c r="D758">
        <v>1</v>
      </c>
      <c r="E758">
        <v>4</v>
      </c>
      <c r="F758" t="s">
        <v>7</v>
      </c>
      <c r="G758" t="s">
        <v>11</v>
      </c>
      <c r="H758" t="s">
        <v>11</v>
      </c>
    </row>
    <row r="759" spans="1:8" x14ac:dyDescent="0.35">
      <c r="A759" t="s">
        <v>26</v>
      </c>
      <c r="B759" t="s">
        <v>89</v>
      </c>
      <c r="C759" t="s">
        <v>1875</v>
      </c>
      <c r="D759">
        <v>2</v>
      </c>
      <c r="E759">
        <v>5</v>
      </c>
      <c r="F759" t="s">
        <v>7</v>
      </c>
      <c r="G759" t="s">
        <v>11</v>
      </c>
      <c r="H759" t="s">
        <v>11</v>
      </c>
    </row>
    <row r="760" spans="1:8" x14ac:dyDescent="0.35">
      <c r="A760" t="s">
        <v>26</v>
      </c>
      <c r="B760" t="s">
        <v>89</v>
      </c>
      <c r="C760" t="s">
        <v>1876</v>
      </c>
      <c r="D760">
        <v>2</v>
      </c>
      <c r="E760">
        <v>5</v>
      </c>
      <c r="F760" t="s">
        <v>7</v>
      </c>
      <c r="G760" t="s">
        <v>11</v>
      </c>
      <c r="H760" t="s">
        <v>11</v>
      </c>
    </row>
    <row r="761" spans="1:8" x14ac:dyDescent="0.35">
      <c r="A761" t="s">
        <v>26</v>
      </c>
      <c r="B761" t="s">
        <v>89</v>
      </c>
      <c r="C761" t="s">
        <v>1364</v>
      </c>
      <c r="D761">
        <v>2</v>
      </c>
      <c r="E761">
        <v>4</v>
      </c>
      <c r="F761" t="s">
        <v>7</v>
      </c>
      <c r="G761" t="s">
        <v>11</v>
      </c>
      <c r="H761" t="s">
        <v>11</v>
      </c>
    </row>
    <row r="762" spans="1:8" x14ac:dyDescent="0.35">
      <c r="A762" t="s">
        <v>26</v>
      </c>
      <c r="B762" t="s">
        <v>89</v>
      </c>
      <c r="C762" t="s">
        <v>1366</v>
      </c>
      <c r="D762">
        <v>2</v>
      </c>
      <c r="E762">
        <v>4</v>
      </c>
      <c r="F762" t="s">
        <v>7</v>
      </c>
      <c r="G762" t="s">
        <v>11</v>
      </c>
      <c r="H762" t="s">
        <v>11</v>
      </c>
    </row>
    <row r="763" spans="1:8" x14ac:dyDescent="0.35">
      <c r="A763" t="s">
        <v>26</v>
      </c>
      <c r="B763" t="s">
        <v>89</v>
      </c>
      <c r="C763" t="s">
        <v>1877</v>
      </c>
      <c r="D763">
        <v>2</v>
      </c>
      <c r="E763">
        <v>5</v>
      </c>
      <c r="F763" t="s">
        <v>7</v>
      </c>
      <c r="G763" t="s">
        <v>11</v>
      </c>
      <c r="H763" t="s">
        <v>11</v>
      </c>
    </row>
    <row r="764" spans="1:8" x14ac:dyDescent="0.35">
      <c r="A764" t="s">
        <v>26</v>
      </c>
      <c r="B764" t="s">
        <v>89</v>
      </c>
      <c r="C764" t="s">
        <v>1878</v>
      </c>
      <c r="D764">
        <v>2</v>
      </c>
      <c r="E764">
        <v>4</v>
      </c>
      <c r="F764" t="s">
        <v>7</v>
      </c>
      <c r="G764" t="s">
        <v>11</v>
      </c>
      <c r="H764" t="s">
        <v>11</v>
      </c>
    </row>
    <row r="765" spans="1:8" x14ac:dyDescent="0.35">
      <c r="A765" t="s">
        <v>26</v>
      </c>
      <c r="B765" t="s">
        <v>89</v>
      </c>
      <c r="C765" t="s">
        <v>1467</v>
      </c>
      <c r="D765">
        <v>2</v>
      </c>
      <c r="E765">
        <v>5</v>
      </c>
      <c r="F765" t="s">
        <v>7</v>
      </c>
      <c r="G765" t="s">
        <v>11</v>
      </c>
      <c r="H765" t="s">
        <v>11</v>
      </c>
    </row>
    <row r="766" spans="1:8" x14ac:dyDescent="0.35">
      <c r="A766" t="s">
        <v>26</v>
      </c>
      <c r="B766" t="s">
        <v>89</v>
      </c>
      <c r="C766" t="s">
        <v>1642</v>
      </c>
      <c r="D766">
        <v>1</v>
      </c>
      <c r="E766">
        <v>5</v>
      </c>
      <c r="F766" t="s">
        <v>7</v>
      </c>
      <c r="G766" t="s">
        <v>11</v>
      </c>
      <c r="H766" t="s">
        <v>11</v>
      </c>
    </row>
    <row r="767" spans="1:8" x14ac:dyDescent="0.35">
      <c r="A767" t="s">
        <v>26</v>
      </c>
      <c r="B767" t="s">
        <v>89</v>
      </c>
      <c r="C767" t="s">
        <v>1367</v>
      </c>
      <c r="D767">
        <v>1</v>
      </c>
      <c r="E767">
        <v>5</v>
      </c>
      <c r="F767" t="s">
        <v>7</v>
      </c>
      <c r="G767" t="s">
        <v>11</v>
      </c>
      <c r="H767" t="s">
        <v>11</v>
      </c>
    </row>
    <row r="768" spans="1:8" x14ac:dyDescent="0.35">
      <c r="A768" t="s">
        <v>26</v>
      </c>
      <c r="B768" t="s">
        <v>89</v>
      </c>
      <c r="C768" t="s">
        <v>1879</v>
      </c>
      <c r="D768">
        <v>2</v>
      </c>
      <c r="E768">
        <v>4</v>
      </c>
      <c r="F768" t="s">
        <v>7</v>
      </c>
      <c r="G768" t="s">
        <v>11</v>
      </c>
      <c r="H768" t="s">
        <v>11</v>
      </c>
    </row>
    <row r="769" spans="1:8" x14ac:dyDescent="0.35">
      <c r="A769" t="s">
        <v>26</v>
      </c>
      <c r="B769" t="s">
        <v>89</v>
      </c>
      <c r="C769" t="s">
        <v>1880</v>
      </c>
      <c r="D769">
        <v>1</v>
      </c>
      <c r="E769">
        <v>5</v>
      </c>
      <c r="F769" t="s">
        <v>7</v>
      </c>
      <c r="G769" t="s">
        <v>11</v>
      </c>
      <c r="H769" t="s">
        <v>11</v>
      </c>
    </row>
    <row r="770" spans="1:8" x14ac:dyDescent="0.35">
      <c r="A770" t="s">
        <v>26</v>
      </c>
      <c r="B770" t="s">
        <v>89</v>
      </c>
      <c r="C770" t="s">
        <v>1470</v>
      </c>
      <c r="D770">
        <v>1</v>
      </c>
      <c r="E770">
        <v>4</v>
      </c>
      <c r="F770" t="s">
        <v>7</v>
      </c>
      <c r="G770" t="s">
        <v>11</v>
      </c>
      <c r="H770" t="s">
        <v>11</v>
      </c>
    </row>
    <row r="771" spans="1:8" x14ac:dyDescent="0.35">
      <c r="A771" t="s">
        <v>26</v>
      </c>
      <c r="B771" t="s">
        <v>89</v>
      </c>
      <c r="C771" t="s">
        <v>1370</v>
      </c>
      <c r="D771">
        <v>1</v>
      </c>
      <c r="E771">
        <v>5</v>
      </c>
      <c r="F771" t="s">
        <v>7</v>
      </c>
      <c r="G771" t="s">
        <v>11</v>
      </c>
      <c r="H771" t="s">
        <v>11</v>
      </c>
    </row>
    <row r="772" spans="1:8" x14ac:dyDescent="0.35">
      <c r="A772" t="s">
        <v>26</v>
      </c>
      <c r="B772" t="s">
        <v>89</v>
      </c>
      <c r="C772" t="s">
        <v>1881</v>
      </c>
      <c r="D772">
        <v>2</v>
      </c>
      <c r="E772">
        <v>4</v>
      </c>
      <c r="F772" t="s">
        <v>7</v>
      </c>
      <c r="G772" t="s">
        <v>11</v>
      </c>
      <c r="H772" t="s">
        <v>11</v>
      </c>
    </row>
    <row r="773" spans="1:8" x14ac:dyDescent="0.35">
      <c r="A773" t="s">
        <v>26</v>
      </c>
      <c r="B773" t="s">
        <v>89</v>
      </c>
      <c r="C773" t="s">
        <v>1882</v>
      </c>
      <c r="D773">
        <v>1</v>
      </c>
      <c r="E773">
        <v>5</v>
      </c>
      <c r="F773" t="s">
        <v>7</v>
      </c>
      <c r="G773" t="s">
        <v>11</v>
      </c>
      <c r="H773" t="s">
        <v>11</v>
      </c>
    </row>
    <row r="774" spans="1:8" x14ac:dyDescent="0.35">
      <c r="A774" t="s">
        <v>26</v>
      </c>
      <c r="B774" t="s">
        <v>89</v>
      </c>
      <c r="C774" t="s">
        <v>1883</v>
      </c>
      <c r="D774">
        <v>2</v>
      </c>
      <c r="E774">
        <v>5</v>
      </c>
      <c r="F774" t="s">
        <v>7</v>
      </c>
      <c r="G774" t="s">
        <v>11</v>
      </c>
      <c r="H774" t="s">
        <v>11</v>
      </c>
    </row>
    <row r="775" spans="1:8" x14ac:dyDescent="0.35">
      <c r="A775" t="s">
        <v>26</v>
      </c>
      <c r="B775" t="s">
        <v>89</v>
      </c>
      <c r="C775" t="s">
        <v>1884</v>
      </c>
      <c r="D775">
        <v>1</v>
      </c>
      <c r="E775">
        <v>5</v>
      </c>
      <c r="F775" t="s">
        <v>7</v>
      </c>
      <c r="G775" t="s">
        <v>11</v>
      </c>
      <c r="H775" t="s">
        <v>11</v>
      </c>
    </row>
    <row r="776" spans="1:8" x14ac:dyDescent="0.35">
      <c r="A776" t="s">
        <v>26</v>
      </c>
      <c r="B776" t="s">
        <v>89</v>
      </c>
      <c r="C776" t="s">
        <v>1885</v>
      </c>
      <c r="D776">
        <v>2</v>
      </c>
      <c r="E776">
        <v>4</v>
      </c>
      <c r="F776" t="s">
        <v>7</v>
      </c>
      <c r="G776" t="s">
        <v>11</v>
      </c>
      <c r="H776" t="s">
        <v>11</v>
      </c>
    </row>
    <row r="777" spans="1:8" x14ac:dyDescent="0.35">
      <c r="A777" t="s">
        <v>26</v>
      </c>
      <c r="B777" t="s">
        <v>89</v>
      </c>
      <c r="C777" t="s">
        <v>1886</v>
      </c>
      <c r="D777">
        <v>2</v>
      </c>
      <c r="E777">
        <v>4</v>
      </c>
      <c r="F777" t="s">
        <v>7</v>
      </c>
      <c r="G777" t="s">
        <v>11</v>
      </c>
      <c r="H777" t="s">
        <v>11</v>
      </c>
    </row>
    <row r="778" spans="1:8" x14ac:dyDescent="0.35">
      <c r="A778" t="s">
        <v>26</v>
      </c>
      <c r="B778" t="s">
        <v>89</v>
      </c>
      <c r="C778" t="s">
        <v>1887</v>
      </c>
      <c r="D778">
        <v>1</v>
      </c>
      <c r="E778">
        <v>5</v>
      </c>
      <c r="F778" t="s">
        <v>7</v>
      </c>
      <c r="G778" t="s">
        <v>11</v>
      </c>
      <c r="H778" t="s">
        <v>11</v>
      </c>
    </row>
    <row r="779" spans="1:8" x14ac:dyDescent="0.35">
      <c r="A779" t="s">
        <v>26</v>
      </c>
      <c r="B779" t="s">
        <v>89</v>
      </c>
      <c r="C779" t="s">
        <v>1888</v>
      </c>
      <c r="D779">
        <v>1</v>
      </c>
      <c r="E779">
        <v>5</v>
      </c>
      <c r="F779" t="s">
        <v>7</v>
      </c>
      <c r="G779" t="s">
        <v>11</v>
      </c>
      <c r="H779" t="s">
        <v>11</v>
      </c>
    </row>
    <row r="780" spans="1:8" x14ac:dyDescent="0.35">
      <c r="A780" t="s">
        <v>26</v>
      </c>
      <c r="B780" t="s">
        <v>89</v>
      </c>
      <c r="C780" t="s">
        <v>1476</v>
      </c>
      <c r="D780">
        <v>1</v>
      </c>
      <c r="E780">
        <v>5</v>
      </c>
      <c r="F780" t="s">
        <v>7</v>
      </c>
      <c r="G780" t="s">
        <v>11</v>
      </c>
      <c r="H780" t="s">
        <v>11</v>
      </c>
    </row>
    <row r="781" spans="1:8" x14ac:dyDescent="0.35">
      <c r="A781" t="s">
        <v>26</v>
      </c>
      <c r="B781" t="s">
        <v>89</v>
      </c>
      <c r="C781" t="s">
        <v>1889</v>
      </c>
      <c r="D781">
        <v>2</v>
      </c>
      <c r="E781">
        <v>4</v>
      </c>
      <c r="F781" t="s">
        <v>7</v>
      </c>
      <c r="G781" t="s">
        <v>11</v>
      </c>
      <c r="H781" t="s">
        <v>11</v>
      </c>
    </row>
    <row r="782" spans="1:8" x14ac:dyDescent="0.35">
      <c r="A782" t="s">
        <v>26</v>
      </c>
      <c r="B782" t="s">
        <v>89</v>
      </c>
      <c r="C782" t="s">
        <v>1890</v>
      </c>
      <c r="D782">
        <v>1</v>
      </c>
      <c r="E782">
        <v>5</v>
      </c>
      <c r="F782" t="s">
        <v>7</v>
      </c>
      <c r="G782" t="s">
        <v>11</v>
      </c>
      <c r="H782" t="s">
        <v>11</v>
      </c>
    </row>
    <row r="783" spans="1:8" x14ac:dyDescent="0.35">
      <c r="A783" t="s">
        <v>26</v>
      </c>
      <c r="B783" t="s">
        <v>89</v>
      </c>
      <c r="C783" t="s">
        <v>1891</v>
      </c>
      <c r="D783">
        <v>2</v>
      </c>
      <c r="E783">
        <v>5</v>
      </c>
      <c r="F783" t="s">
        <v>7</v>
      </c>
      <c r="G783" t="s">
        <v>11</v>
      </c>
      <c r="H783" t="s">
        <v>11</v>
      </c>
    </row>
    <row r="784" spans="1:8" x14ac:dyDescent="0.35">
      <c r="A784" t="s">
        <v>26</v>
      </c>
      <c r="B784" t="s">
        <v>89</v>
      </c>
      <c r="C784" t="s">
        <v>1848</v>
      </c>
      <c r="D784">
        <v>1</v>
      </c>
      <c r="E784">
        <v>5</v>
      </c>
      <c r="F784" t="s">
        <v>7</v>
      </c>
      <c r="G784" t="s">
        <v>11</v>
      </c>
      <c r="H784" t="s">
        <v>11</v>
      </c>
    </row>
    <row r="785" spans="1:8" x14ac:dyDescent="0.35">
      <c r="A785" t="s">
        <v>26</v>
      </c>
      <c r="B785" t="s">
        <v>89</v>
      </c>
      <c r="C785" t="s">
        <v>1754</v>
      </c>
      <c r="D785">
        <v>1</v>
      </c>
      <c r="E785">
        <v>5</v>
      </c>
      <c r="F785" t="s">
        <v>7</v>
      </c>
      <c r="G785" t="s">
        <v>11</v>
      </c>
      <c r="H785" t="s">
        <v>11</v>
      </c>
    </row>
    <row r="786" spans="1:8" x14ac:dyDescent="0.35">
      <c r="A786" t="s">
        <v>26</v>
      </c>
      <c r="B786" t="s">
        <v>89</v>
      </c>
      <c r="C786" t="s">
        <v>1892</v>
      </c>
      <c r="D786">
        <v>2</v>
      </c>
      <c r="E786">
        <v>4</v>
      </c>
      <c r="F786" t="s">
        <v>7</v>
      </c>
      <c r="G786" t="s">
        <v>11</v>
      </c>
      <c r="H786" t="s">
        <v>11</v>
      </c>
    </row>
    <row r="787" spans="1:8" x14ac:dyDescent="0.35">
      <c r="A787" t="s">
        <v>26</v>
      </c>
      <c r="B787" t="s">
        <v>89</v>
      </c>
      <c r="C787" t="s">
        <v>1376</v>
      </c>
      <c r="D787">
        <v>1</v>
      </c>
      <c r="E787">
        <v>4</v>
      </c>
      <c r="F787" t="s">
        <v>7</v>
      </c>
      <c r="G787" t="s">
        <v>11</v>
      </c>
      <c r="H787" t="s">
        <v>11</v>
      </c>
    </row>
    <row r="788" spans="1:8" x14ac:dyDescent="0.35">
      <c r="A788" t="s">
        <v>26</v>
      </c>
      <c r="B788" t="s">
        <v>89</v>
      </c>
      <c r="C788" t="s">
        <v>1755</v>
      </c>
      <c r="D788">
        <v>1</v>
      </c>
      <c r="E788">
        <v>5</v>
      </c>
      <c r="F788" t="s">
        <v>7</v>
      </c>
      <c r="G788" t="s">
        <v>11</v>
      </c>
      <c r="H788" t="s">
        <v>11</v>
      </c>
    </row>
    <row r="789" spans="1:8" x14ac:dyDescent="0.35">
      <c r="A789" t="s">
        <v>26</v>
      </c>
      <c r="B789" t="s">
        <v>89</v>
      </c>
      <c r="C789" t="s">
        <v>1893</v>
      </c>
      <c r="D789">
        <v>1</v>
      </c>
      <c r="E789">
        <v>5</v>
      </c>
      <c r="F789" t="s">
        <v>7</v>
      </c>
      <c r="G789" t="s">
        <v>11</v>
      </c>
      <c r="H789" t="s">
        <v>11</v>
      </c>
    </row>
    <row r="790" spans="1:8" x14ac:dyDescent="0.35">
      <c r="A790" t="s">
        <v>26</v>
      </c>
      <c r="B790" t="s">
        <v>89</v>
      </c>
      <c r="C790" t="s">
        <v>1478</v>
      </c>
      <c r="D790">
        <v>1</v>
      </c>
      <c r="E790">
        <v>5</v>
      </c>
      <c r="F790" t="s">
        <v>7</v>
      </c>
      <c r="G790" t="s">
        <v>11</v>
      </c>
      <c r="H790" t="s">
        <v>11</v>
      </c>
    </row>
    <row r="791" spans="1:8" x14ac:dyDescent="0.35">
      <c r="A791" t="s">
        <v>26</v>
      </c>
      <c r="B791" t="s">
        <v>89</v>
      </c>
      <c r="C791" t="s">
        <v>1894</v>
      </c>
      <c r="D791">
        <v>1</v>
      </c>
      <c r="E791">
        <v>5</v>
      </c>
      <c r="F791" t="s">
        <v>7</v>
      </c>
      <c r="G791" t="s">
        <v>11</v>
      </c>
      <c r="H791" t="s">
        <v>11</v>
      </c>
    </row>
    <row r="792" spans="1:8" x14ac:dyDescent="0.35">
      <c r="A792" t="s">
        <v>23</v>
      </c>
      <c r="B792" t="s">
        <v>77</v>
      </c>
      <c r="C792" t="s">
        <v>1895</v>
      </c>
      <c r="D792">
        <v>1</v>
      </c>
      <c r="E792">
        <v>5</v>
      </c>
      <c r="F792" t="s">
        <v>7</v>
      </c>
      <c r="G792" t="s">
        <v>11</v>
      </c>
      <c r="H792" t="s">
        <v>11</v>
      </c>
    </row>
    <row r="793" spans="1:8" x14ac:dyDescent="0.35">
      <c r="A793" t="s">
        <v>23</v>
      </c>
      <c r="B793" t="s">
        <v>77</v>
      </c>
      <c r="C793" t="s">
        <v>1537</v>
      </c>
      <c r="D793">
        <v>1</v>
      </c>
      <c r="E793">
        <v>5</v>
      </c>
      <c r="F793" t="s">
        <v>7</v>
      </c>
      <c r="G793" t="s">
        <v>11</v>
      </c>
      <c r="H793" t="s">
        <v>11</v>
      </c>
    </row>
    <row r="794" spans="1:8" x14ac:dyDescent="0.35">
      <c r="A794" t="s">
        <v>23</v>
      </c>
      <c r="B794" t="s">
        <v>77</v>
      </c>
      <c r="C794" t="s">
        <v>1896</v>
      </c>
      <c r="D794">
        <v>1</v>
      </c>
      <c r="E794">
        <v>6</v>
      </c>
      <c r="F794" t="s">
        <v>7</v>
      </c>
      <c r="G794" t="s">
        <v>11</v>
      </c>
      <c r="H794" t="s">
        <v>11</v>
      </c>
    </row>
    <row r="795" spans="1:8" x14ac:dyDescent="0.35">
      <c r="A795" t="s">
        <v>23</v>
      </c>
      <c r="B795" t="s">
        <v>77</v>
      </c>
      <c r="C795" t="s">
        <v>1897</v>
      </c>
      <c r="D795">
        <v>1</v>
      </c>
      <c r="E795">
        <v>5</v>
      </c>
      <c r="F795" t="s">
        <v>7</v>
      </c>
      <c r="G795" t="s">
        <v>11</v>
      </c>
      <c r="H795" t="s">
        <v>11</v>
      </c>
    </row>
    <row r="796" spans="1:8" x14ac:dyDescent="0.35">
      <c r="A796" t="s">
        <v>23</v>
      </c>
      <c r="B796" t="s">
        <v>77</v>
      </c>
      <c r="C796" t="s">
        <v>1898</v>
      </c>
      <c r="D796">
        <v>1</v>
      </c>
      <c r="E796">
        <v>5</v>
      </c>
      <c r="F796" t="s">
        <v>7</v>
      </c>
      <c r="G796" t="s">
        <v>11</v>
      </c>
      <c r="H796" t="s">
        <v>11</v>
      </c>
    </row>
    <row r="797" spans="1:8" x14ac:dyDescent="0.35">
      <c r="A797" t="s">
        <v>23</v>
      </c>
      <c r="B797" t="s">
        <v>77</v>
      </c>
      <c r="C797" t="s">
        <v>1427</v>
      </c>
      <c r="D797">
        <v>1</v>
      </c>
      <c r="E797">
        <v>5</v>
      </c>
      <c r="F797" t="s">
        <v>7</v>
      </c>
      <c r="G797" t="s">
        <v>11</v>
      </c>
      <c r="H797" t="s">
        <v>11</v>
      </c>
    </row>
    <row r="798" spans="1:8" x14ac:dyDescent="0.35">
      <c r="A798" t="s">
        <v>23</v>
      </c>
      <c r="B798" t="s">
        <v>77</v>
      </c>
      <c r="C798" t="s">
        <v>1899</v>
      </c>
      <c r="D798">
        <v>1</v>
      </c>
      <c r="E798">
        <v>6</v>
      </c>
      <c r="F798" t="s">
        <v>7</v>
      </c>
      <c r="G798" t="s">
        <v>11</v>
      </c>
      <c r="H798" t="s">
        <v>11</v>
      </c>
    </row>
    <row r="799" spans="1:8" x14ac:dyDescent="0.35">
      <c r="A799" t="s">
        <v>23</v>
      </c>
      <c r="B799" t="s">
        <v>77</v>
      </c>
      <c r="C799" t="s">
        <v>1428</v>
      </c>
      <c r="D799">
        <v>1</v>
      </c>
      <c r="E799">
        <v>5</v>
      </c>
      <c r="F799" t="s">
        <v>7</v>
      </c>
      <c r="G799" t="s">
        <v>11</v>
      </c>
      <c r="H799" t="s">
        <v>11</v>
      </c>
    </row>
    <row r="800" spans="1:8" x14ac:dyDescent="0.35">
      <c r="A800" t="s">
        <v>23</v>
      </c>
      <c r="B800" t="s">
        <v>77</v>
      </c>
      <c r="C800" t="s">
        <v>1900</v>
      </c>
      <c r="D800">
        <v>1</v>
      </c>
      <c r="E800">
        <v>6</v>
      </c>
      <c r="F800" t="s">
        <v>7</v>
      </c>
      <c r="G800" t="s">
        <v>11</v>
      </c>
      <c r="H800" t="s">
        <v>11</v>
      </c>
    </row>
    <row r="801" spans="1:8" x14ac:dyDescent="0.35">
      <c r="A801" t="s">
        <v>23</v>
      </c>
      <c r="B801" t="s">
        <v>77</v>
      </c>
      <c r="C801" t="s">
        <v>1901</v>
      </c>
      <c r="D801">
        <v>1</v>
      </c>
      <c r="E801">
        <v>6</v>
      </c>
      <c r="F801" t="s">
        <v>7</v>
      </c>
      <c r="G801" t="s">
        <v>11</v>
      </c>
      <c r="H801" t="s">
        <v>11</v>
      </c>
    </row>
    <row r="802" spans="1:8" x14ac:dyDescent="0.35">
      <c r="A802" t="s">
        <v>23</v>
      </c>
      <c r="B802" t="s">
        <v>77</v>
      </c>
      <c r="C802" t="s">
        <v>1902</v>
      </c>
      <c r="D802">
        <v>1</v>
      </c>
      <c r="E802">
        <v>6</v>
      </c>
      <c r="F802" t="s">
        <v>7</v>
      </c>
      <c r="G802" t="s">
        <v>11</v>
      </c>
      <c r="H802" t="s">
        <v>11</v>
      </c>
    </row>
    <row r="803" spans="1:8" x14ac:dyDescent="0.35">
      <c r="A803" t="s">
        <v>23</v>
      </c>
      <c r="B803" t="s">
        <v>77</v>
      </c>
      <c r="C803" t="s">
        <v>1318</v>
      </c>
      <c r="D803">
        <v>1</v>
      </c>
      <c r="E803">
        <v>6</v>
      </c>
      <c r="F803" t="s">
        <v>7</v>
      </c>
      <c r="G803" t="s">
        <v>11</v>
      </c>
      <c r="H803" t="s">
        <v>11</v>
      </c>
    </row>
    <row r="804" spans="1:8" x14ac:dyDescent="0.35">
      <c r="A804" t="s">
        <v>23</v>
      </c>
      <c r="B804" t="s">
        <v>77</v>
      </c>
      <c r="C804" t="s">
        <v>1319</v>
      </c>
      <c r="D804">
        <v>1</v>
      </c>
      <c r="E804">
        <v>6</v>
      </c>
      <c r="F804" t="s">
        <v>7</v>
      </c>
      <c r="G804" t="s">
        <v>11</v>
      </c>
      <c r="H804" t="s">
        <v>11</v>
      </c>
    </row>
    <row r="805" spans="1:8" x14ac:dyDescent="0.35">
      <c r="A805" t="s">
        <v>23</v>
      </c>
      <c r="B805" t="s">
        <v>77</v>
      </c>
      <c r="C805" t="s">
        <v>1430</v>
      </c>
      <c r="D805">
        <v>1</v>
      </c>
      <c r="E805">
        <v>5</v>
      </c>
      <c r="F805" t="s">
        <v>7</v>
      </c>
      <c r="G805" t="s">
        <v>11</v>
      </c>
      <c r="H805" t="s">
        <v>11</v>
      </c>
    </row>
    <row r="806" spans="1:8" x14ac:dyDescent="0.35">
      <c r="A806" t="s">
        <v>23</v>
      </c>
      <c r="B806" t="s">
        <v>77</v>
      </c>
      <c r="C806" t="s">
        <v>1804</v>
      </c>
      <c r="D806">
        <v>1</v>
      </c>
      <c r="E806">
        <v>5</v>
      </c>
      <c r="F806" t="s">
        <v>7</v>
      </c>
      <c r="G806" t="s">
        <v>11</v>
      </c>
      <c r="H806" t="s">
        <v>11</v>
      </c>
    </row>
    <row r="807" spans="1:8" x14ac:dyDescent="0.35">
      <c r="A807" t="s">
        <v>23</v>
      </c>
      <c r="B807" t="s">
        <v>77</v>
      </c>
      <c r="C807" t="s">
        <v>1903</v>
      </c>
      <c r="D807">
        <v>1</v>
      </c>
      <c r="E807">
        <v>5</v>
      </c>
      <c r="F807" t="s">
        <v>7</v>
      </c>
      <c r="G807" t="s">
        <v>11</v>
      </c>
      <c r="H807" t="s">
        <v>11</v>
      </c>
    </row>
    <row r="808" spans="1:8" x14ac:dyDescent="0.35">
      <c r="A808" t="s">
        <v>23</v>
      </c>
      <c r="B808" t="s">
        <v>77</v>
      </c>
      <c r="C808" t="s">
        <v>1904</v>
      </c>
      <c r="D808">
        <v>1</v>
      </c>
      <c r="E808">
        <v>6</v>
      </c>
      <c r="F808" t="s">
        <v>7</v>
      </c>
      <c r="G808" t="s">
        <v>11</v>
      </c>
      <c r="H808" t="s">
        <v>11</v>
      </c>
    </row>
    <row r="809" spans="1:8" x14ac:dyDescent="0.35">
      <c r="A809" t="s">
        <v>23</v>
      </c>
      <c r="B809" t="s">
        <v>77</v>
      </c>
      <c r="C809" t="s">
        <v>1321</v>
      </c>
      <c r="D809">
        <v>1</v>
      </c>
      <c r="E809">
        <v>6</v>
      </c>
      <c r="F809" t="s">
        <v>7</v>
      </c>
      <c r="G809" t="s">
        <v>11</v>
      </c>
      <c r="H809" t="s">
        <v>11</v>
      </c>
    </row>
    <row r="810" spans="1:8" x14ac:dyDescent="0.35">
      <c r="A810" t="s">
        <v>23</v>
      </c>
      <c r="B810" t="s">
        <v>77</v>
      </c>
      <c r="C810" t="s">
        <v>1905</v>
      </c>
      <c r="D810">
        <v>1</v>
      </c>
      <c r="E810">
        <v>6</v>
      </c>
      <c r="F810" t="s">
        <v>7</v>
      </c>
      <c r="G810" t="s">
        <v>11</v>
      </c>
      <c r="H810" t="s">
        <v>11</v>
      </c>
    </row>
    <row r="811" spans="1:8" x14ac:dyDescent="0.35">
      <c r="A811" t="s">
        <v>23</v>
      </c>
      <c r="B811" t="s">
        <v>77</v>
      </c>
      <c r="C811" t="s">
        <v>1324</v>
      </c>
      <c r="D811">
        <v>1</v>
      </c>
      <c r="E811">
        <v>5</v>
      </c>
      <c r="F811" t="s">
        <v>7</v>
      </c>
      <c r="G811" t="s">
        <v>11</v>
      </c>
      <c r="H811" t="s">
        <v>11</v>
      </c>
    </row>
    <row r="812" spans="1:8" x14ac:dyDescent="0.35">
      <c r="A812" t="s">
        <v>23</v>
      </c>
      <c r="B812" t="s">
        <v>77</v>
      </c>
      <c r="C812" t="s">
        <v>1325</v>
      </c>
      <c r="D812">
        <v>1</v>
      </c>
      <c r="E812">
        <v>6</v>
      </c>
      <c r="F812" t="s">
        <v>7</v>
      </c>
      <c r="G812" t="s">
        <v>11</v>
      </c>
      <c r="H812" t="s">
        <v>11</v>
      </c>
    </row>
    <row r="813" spans="1:8" x14ac:dyDescent="0.35">
      <c r="A813" t="s">
        <v>23</v>
      </c>
      <c r="B813" t="s">
        <v>77</v>
      </c>
      <c r="C813" t="s">
        <v>1675</v>
      </c>
      <c r="D813">
        <v>1</v>
      </c>
      <c r="E813">
        <v>6</v>
      </c>
      <c r="F813" t="s">
        <v>7</v>
      </c>
      <c r="G813" t="s">
        <v>11</v>
      </c>
      <c r="H813" t="s">
        <v>11</v>
      </c>
    </row>
    <row r="814" spans="1:8" x14ac:dyDescent="0.35">
      <c r="A814" t="s">
        <v>23</v>
      </c>
      <c r="B814" t="s">
        <v>77</v>
      </c>
      <c r="C814" t="s">
        <v>1807</v>
      </c>
      <c r="D814">
        <v>1</v>
      </c>
      <c r="E814">
        <v>5</v>
      </c>
      <c r="F814" t="s">
        <v>7</v>
      </c>
      <c r="G814" t="s">
        <v>11</v>
      </c>
      <c r="H814" t="s">
        <v>11</v>
      </c>
    </row>
    <row r="815" spans="1:8" x14ac:dyDescent="0.35">
      <c r="A815" t="s">
        <v>23</v>
      </c>
      <c r="B815" t="s">
        <v>77</v>
      </c>
      <c r="C815" t="s">
        <v>1437</v>
      </c>
      <c r="D815">
        <v>1</v>
      </c>
      <c r="E815">
        <v>5</v>
      </c>
      <c r="F815" t="s">
        <v>7</v>
      </c>
      <c r="G815" t="s">
        <v>11</v>
      </c>
      <c r="H815" t="s">
        <v>11</v>
      </c>
    </row>
    <row r="816" spans="1:8" x14ac:dyDescent="0.35">
      <c r="A816" t="s">
        <v>23</v>
      </c>
      <c r="B816" t="s">
        <v>77</v>
      </c>
      <c r="C816" t="s">
        <v>1335</v>
      </c>
      <c r="D816">
        <v>1</v>
      </c>
      <c r="E816">
        <v>5</v>
      </c>
      <c r="F816" t="s">
        <v>7</v>
      </c>
      <c r="G816" t="s">
        <v>11</v>
      </c>
      <c r="H816" t="s">
        <v>11</v>
      </c>
    </row>
    <row r="817" spans="1:8" x14ac:dyDescent="0.35">
      <c r="A817" t="s">
        <v>23</v>
      </c>
      <c r="B817" t="s">
        <v>77</v>
      </c>
      <c r="C817" t="s">
        <v>1906</v>
      </c>
      <c r="D817">
        <v>1</v>
      </c>
      <c r="E817">
        <v>5</v>
      </c>
      <c r="F817" t="s">
        <v>7</v>
      </c>
      <c r="G817" t="s">
        <v>11</v>
      </c>
      <c r="H817" t="s">
        <v>11</v>
      </c>
    </row>
    <row r="818" spans="1:8" x14ac:dyDescent="0.35">
      <c r="A818" t="s">
        <v>23</v>
      </c>
      <c r="B818" t="s">
        <v>77</v>
      </c>
      <c r="C818" t="s">
        <v>1684</v>
      </c>
      <c r="D818">
        <v>1</v>
      </c>
      <c r="E818">
        <v>5</v>
      </c>
      <c r="F818" t="s">
        <v>7</v>
      </c>
      <c r="G818" t="s">
        <v>11</v>
      </c>
      <c r="H818" t="s">
        <v>11</v>
      </c>
    </row>
    <row r="819" spans="1:8" x14ac:dyDescent="0.35">
      <c r="A819" t="s">
        <v>23</v>
      </c>
      <c r="B819" t="s">
        <v>77</v>
      </c>
      <c r="C819" t="s">
        <v>1859</v>
      </c>
      <c r="D819">
        <v>1</v>
      </c>
      <c r="E819">
        <v>6</v>
      </c>
      <c r="F819" t="s">
        <v>7</v>
      </c>
      <c r="G819" t="s">
        <v>11</v>
      </c>
      <c r="H819" t="s">
        <v>11</v>
      </c>
    </row>
    <row r="820" spans="1:8" x14ac:dyDescent="0.35">
      <c r="A820" t="s">
        <v>23</v>
      </c>
      <c r="B820" t="s">
        <v>77</v>
      </c>
      <c r="C820" t="s">
        <v>1907</v>
      </c>
      <c r="D820">
        <v>1</v>
      </c>
      <c r="E820">
        <v>5</v>
      </c>
      <c r="F820" t="s">
        <v>7</v>
      </c>
      <c r="G820" t="s">
        <v>11</v>
      </c>
      <c r="H820" t="s">
        <v>11</v>
      </c>
    </row>
    <row r="821" spans="1:8" x14ac:dyDescent="0.35">
      <c r="A821" t="s">
        <v>23</v>
      </c>
      <c r="B821" t="s">
        <v>77</v>
      </c>
      <c r="C821" t="s">
        <v>1908</v>
      </c>
      <c r="D821">
        <v>1</v>
      </c>
      <c r="E821">
        <v>6</v>
      </c>
      <c r="F821" t="s">
        <v>7</v>
      </c>
      <c r="G821" t="s">
        <v>11</v>
      </c>
      <c r="H821" t="s">
        <v>11</v>
      </c>
    </row>
    <row r="822" spans="1:8" x14ac:dyDescent="0.35">
      <c r="A822" t="s">
        <v>23</v>
      </c>
      <c r="B822" t="s">
        <v>77</v>
      </c>
      <c r="C822" t="s">
        <v>1909</v>
      </c>
      <c r="D822">
        <v>1</v>
      </c>
      <c r="E822">
        <v>5</v>
      </c>
      <c r="F822" t="s">
        <v>7</v>
      </c>
      <c r="G822" t="s">
        <v>11</v>
      </c>
      <c r="H822" t="s">
        <v>11</v>
      </c>
    </row>
    <row r="823" spans="1:8" x14ac:dyDescent="0.35">
      <c r="A823" t="s">
        <v>23</v>
      </c>
      <c r="B823" t="s">
        <v>77</v>
      </c>
      <c r="C823" t="s">
        <v>1910</v>
      </c>
      <c r="D823">
        <v>1</v>
      </c>
      <c r="E823">
        <v>6</v>
      </c>
      <c r="F823" t="s">
        <v>7</v>
      </c>
      <c r="G823" t="s">
        <v>11</v>
      </c>
      <c r="H823" t="s">
        <v>11</v>
      </c>
    </row>
    <row r="824" spans="1:8" x14ac:dyDescent="0.35">
      <c r="A824" t="s">
        <v>23</v>
      </c>
      <c r="B824" t="s">
        <v>77</v>
      </c>
      <c r="C824" t="s">
        <v>1340</v>
      </c>
      <c r="D824">
        <v>1</v>
      </c>
      <c r="E824">
        <v>6</v>
      </c>
      <c r="F824" t="s">
        <v>7</v>
      </c>
      <c r="G824" t="s">
        <v>11</v>
      </c>
      <c r="H824" t="s">
        <v>11</v>
      </c>
    </row>
    <row r="825" spans="1:8" x14ac:dyDescent="0.35">
      <c r="A825" t="s">
        <v>23</v>
      </c>
      <c r="B825" t="s">
        <v>77</v>
      </c>
      <c r="C825" t="s">
        <v>1695</v>
      </c>
      <c r="D825">
        <v>1</v>
      </c>
      <c r="E825">
        <v>6</v>
      </c>
      <c r="F825" t="s">
        <v>7</v>
      </c>
      <c r="G825" t="s">
        <v>11</v>
      </c>
      <c r="H825" t="s">
        <v>11</v>
      </c>
    </row>
    <row r="826" spans="1:8" x14ac:dyDescent="0.35">
      <c r="A826" t="s">
        <v>23</v>
      </c>
      <c r="B826" t="s">
        <v>77</v>
      </c>
      <c r="C826" t="s">
        <v>1341</v>
      </c>
      <c r="D826">
        <v>1</v>
      </c>
      <c r="E826">
        <v>6</v>
      </c>
      <c r="F826" t="s">
        <v>7</v>
      </c>
      <c r="G826" t="s">
        <v>11</v>
      </c>
      <c r="H826" t="s">
        <v>11</v>
      </c>
    </row>
    <row r="827" spans="1:8" x14ac:dyDescent="0.35">
      <c r="A827" t="s">
        <v>23</v>
      </c>
      <c r="B827" t="s">
        <v>77</v>
      </c>
      <c r="C827" t="s">
        <v>1559</v>
      </c>
      <c r="D827">
        <v>1</v>
      </c>
      <c r="E827">
        <v>5</v>
      </c>
      <c r="F827" t="s">
        <v>7</v>
      </c>
      <c r="G827" t="s">
        <v>11</v>
      </c>
      <c r="H827" t="s">
        <v>11</v>
      </c>
    </row>
    <row r="828" spans="1:8" x14ac:dyDescent="0.35">
      <c r="A828" t="s">
        <v>23</v>
      </c>
      <c r="B828" t="s">
        <v>77</v>
      </c>
      <c r="C828" t="s">
        <v>1343</v>
      </c>
      <c r="D828">
        <v>1</v>
      </c>
      <c r="E828">
        <v>5</v>
      </c>
      <c r="F828" t="s">
        <v>7</v>
      </c>
      <c r="G828" t="s">
        <v>11</v>
      </c>
      <c r="H828" t="s">
        <v>11</v>
      </c>
    </row>
    <row r="829" spans="1:8" x14ac:dyDescent="0.35">
      <c r="A829" t="s">
        <v>23</v>
      </c>
      <c r="B829" t="s">
        <v>77</v>
      </c>
      <c r="C829" t="s">
        <v>1816</v>
      </c>
      <c r="D829">
        <v>1</v>
      </c>
      <c r="E829">
        <v>6</v>
      </c>
      <c r="F829" t="s">
        <v>7</v>
      </c>
      <c r="G829" t="s">
        <v>11</v>
      </c>
      <c r="H829" t="s">
        <v>11</v>
      </c>
    </row>
    <row r="830" spans="1:8" x14ac:dyDescent="0.35">
      <c r="A830" t="s">
        <v>23</v>
      </c>
      <c r="B830" t="s">
        <v>77</v>
      </c>
      <c r="C830" t="s">
        <v>1911</v>
      </c>
      <c r="D830">
        <v>1</v>
      </c>
      <c r="E830">
        <v>5</v>
      </c>
      <c r="F830" t="s">
        <v>7</v>
      </c>
      <c r="G830" t="s">
        <v>11</v>
      </c>
      <c r="H830" t="s">
        <v>11</v>
      </c>
    </row>
    <row r="831" spans="1:8" x14ac:dyDescent="0.35">
      <c r="A831" t="s">
        <v>23</v>
      </c>
      <c r="B831" t="s">
        <v>77</v>
      </c>
      <c r="C831" t="s">
        <v>1621</v>
      </c>
      <c r="D831">
        <v>1</v>
      </c>
      <c r="E831">
        <v>6</v>
      </c>
      <c r="F831" t="s">
        <v>7</v>
      </c>
      <c r="G831" t="s">
        <v>11</v>
      </c>
      <c r="H831" t="s">
        <v>11</v>
      </c>
    </row>
    <row r="832" spans="1:8" x14ac:dyDescent="0.35">
      <c r="A832" t="s">
        <v>23</v>
      </c>
      <c r="B832" t="s">
        <v>77</v>
      </c>
      <c r="C832" t="s">
        <v>1705</v>
      </c>
      <c r="D832">
        <v>1</v>
      </c>
      <c r="E832">
        <v>6</v>
      </c>
      <c r="F832" t="s">
        <v>7</v>
      </c>
      <c r="G832" t="s">
        <v>11</v>
      </c>
      <c r="H832" t="s">
        <v>11</v>
      </c>
    </row>
    <row r="833" spans="1:8" x14ac:dyDescent="0.35">
      <c r="A833" t="s">
        <v>23</v>
      </c>
      <c r="B833" t="s">
        <v>77</v>
      </c>
      <c r="C833" t="s">
        <v>1817</v>
      </c>
      <c r="D833">
        <v>1</v>
      </c>
      <c r="E833">
        <v>6</v>
      </c>
      <c r="F833" t="s">
        <v>7</v>
      </c>
      <c r="G833" t="s">
        <v>11</v>
      </c>
      <c r="H833" t="s">
        <v>11</v>
      </c>
    </row>
    <row r="834" spans="1:8" x14ac:dyDescent="0.35">
      <c r="A834" t="s">
        <v>23</v>
      </c>
      <c r="B834" t="s">
        <v>77</v>
      </c>
      <c r="C834" t="s">
        <v>1864</v>
      </c>
      <c r="D834">
        <v>1</v>
      </c>
      <c r="E834">
        <v>5</v>
      </c>
      <c r="F834" t="s">
        <v>7</v>
      </c>
      <c r="G834" t="s">
        <v>11</v>
      </c>
      <c r="H834" t="s">
        <v>11</v>
      </c>
    </row>
    <row r="835" spans="1:8" x14ac:dyDescent="0.35">
      <c r="A835" t="s">
        <v>23</v>
      </c>
      <c r="B835" t="s">
        <v>77</v>
      </c>
      <c r="C835" t="s">
        <v>1345</v>
      </c>
      <c r="D835">
        <v>1</v>
      </c>
      <c r="E835">
        <v>5</v>
      </c>
      <c r="F835" t="s">
        <v>7</v>
      </c>
      <c r="G835" t="s">
        <v>11</v>
      </c>
      <c r="H835" t="s">
        <v>11</v>
      </c>
    </row>
    <row r="836" spans="1:8" x14ac:dyDescent="0.35">
      <c r="A836" t="s">
        <v>23</v>
      </c>
      <c r="B836" t="s">
        <v>77</v>
      </c>
      <c r="C836" t="s">
        <v>1448</v>
      </c>
      <c r="D836">
        <v>1</v>
      </c>
      <c r="E836">
        <v>6</v>
      </c>
      <c r="F836" t="s">
        <v>7</v>
      </c>
      <c r="G836" t="s">
        <v>11</v>
      </c>
      <c r="H836" t="s">
        <v>11</v>
      </c>
    </row>
    <row r="837" spans="1:8" x14ac:dyDescent="0.35">
      <c r="A837" t="s">
        <v>23</v>
      </c>
      <c r="B837" t="s">
        <v>77</v>
      </c>
      <c r="C837" t="s">
        <v>1492</v>
      </c>
      <c r="D837">
        <v>1</v>
      </c>
      <c r="E837">
        <v>6</v>
      </c>
      <c r="F837" t="s">
        <v>7</v>
      </c>
      <c r="G837" t="s">
        <v>11</v>
      </c>
      <c r="H837" t="s">
        <v>11</v>
      </c>
    </row>
    <row r="838" spans="1:8" x14ac:dyDescent="0.35">
      <c r="A838" t="s">
        <v>23</v>
      </c>
      <c r="B838" t="s">
        <v>77</v>
      </c>
      <c r="C838" t="s">
        <v>1912</v>
      </c>
      <c r="D838">
        <v>1</v>
      </c>
      <c r="E838">
        <v>6</v>
      </c>
      <c r="F838" t="s">
        <v>7</v>
      </c>
      <c r="G838" t="s">
        <v>11</v>
      </c>
      <c r="H838" t="s">
        <v>11</v>
      </c>
    </row>
    <row r="839" spans="1:8" x14ac:dyDescent="0.35">
      <c r="A839" t="s">
        <v>23</v>
      </c>
      <c r="B839" t="s">
        <v>77</v>
      </c>
      <c r="C839" t="s">
        <v>1913</v>
      </c>
      <c r="D839">
        <v>1</v>
      </c>
      <c r="E839">
        <v>5</v>
      </c>
      <c r="F839" t="s">
        <v>7</v>
      </c>
      <c r="G839" t="s">
        <v>11</v>
      </c>
      <c r="H839" t="s">
        <v>11</v>
      </c>
    </row>
    <row r="840" spans="1:8" x14ac:dyDescent="0.35">
      <c r="A840" t="s">
        <v>23</v>
      </c>
      <c r="B840" t="s">
        <v>77</v>
      </c>
      <c r="C840" t="s">
        <v>1347</v>
      </c>
      <c r="D840">
        <v>1</v>
      </c>
      <c r="E840">
        <v>5</v>
      </c>
      <c r="F840" t="s">
        <v>7</v>
      </c>
      <c r="G840" t="s">
        <v>11</v>
      </c>
      <c r="H840" t="s">
        <v>11</v>
      </c>
    </row>
    <row r="841" spans="1:8" x14ac:dyDescent="0.35">
      <c r="A841" t="s">
        <v>23</v>
      </c>
      <c r="B841" t="s">
        <v>77</v>
      </c>
      <c r="C841" t="s">
        <v>1711</v>
      </c>
      <c r="D841">
        <v>1</v>
      </c>
      <c r="E841">
        <v>5</v>
      </c>
      <c r="F841" t="s">
        <v>7</v>
      </c>
      <c r="G841" t="s">
        <v>11</v>
      </c>
      <c r="H841" t="s">
        <v>11</v>
      </c>
    </row>
    <row r="842" spans="1:8" x14ac:dyDescent="0.35">
      <c r="A842" t="s">
        <v>23</v>
      </c>
      <c r="B842" t="s">
        <v>77</v>
      </c>
      <c r="C842" t="s">
        <v>1348</v>
      </c>
      <c r="D842">
        <v>1</v>
      </c>
      <c r="E842">
        <v>5</v>
      </c>
      <c r="F842" t="s">
        <v>7</v>
      </c>
      <c r="G842" t="s">
        <v>11</v>
      </c>
      <c r="H842" t="s">
        <v>11</v>
      </c>
    </row>
    <row r="843" spans="1:8" x14ac:dyDescent="0.35">
      <c r="A843" t="s">
        <v>23</v>
      </c>
      <c r="B843" t="s">
        <v>77</v>
      </c>
      <c r="C843" t="s">
        <v>1451</v>
      </c>
      <c r="D843">
        <v>1</v>
      </c>
      <c r="E843">
        <v>5</v>
      </c>
      <c r="F843" t="s">
        <v>7</v>
      </c>
      <c r="G843" t="s">
        <v>11</v>
      </c>
      <c r="H843" t="s">
        <v>11</v>
      </c>
    </row>
    <row r="844" spans="1:8" x14ac:dyDescent="0.35">
      <c r="A844" t="s">
        <v>23</v>
      </c>
      <c r="B844" t="s">
        <v>77</v>
      </c>
      <c r="C844" t="s">
        <v>1714</v>
      </c>
      <c r="D844">
        <v>1</v>
      </c>
      <c r="E844">
        <v>5</v>
      </c>
      <c r="F844" t="s">
        <v>7</v>
      </c>
      <c r="G844" t="s">
        <v>11</v>
      </c>
      <c r="H844" t="s">
        <v>11</v>
      </c>
    </row>
    <row r="845" spans="1:8" x14ac:dyDescent="0.35">
      <c r="A845" t="s">
        <v>23</v>
      </c>
      <c r="B845" t="s">
        <v>77</v>
      </c>
      <c r="C845" t="s">
        <v>1914</v>
      </c>
      <c r="D845">
        <v>1</v>
      </c>
      <c r="E845">
        <v>5</v>
      </c>
      <c r="F845" t="s">
        <v>7</v>
      </c>
      <c r="G845" t="s">
        <v>11</v>
      </c>
      <c r="H845" t="s">
        <v>11</v>
      </c>
    </row>
    <row r="846" spans="1:8" x14ac:dyDescent="0.35">
      <c r="A846" t="s">
        <v>23</v>
      </c>
      <c r="B846" t="s">
        <v>77</v>
      </c>
      <c r="C846" t="s">
        <v>1915</v>
      </c>
      <c r="D846">
        <v>1</v>
      </c>
      <c r="E846">
        <v>6</v>
      </c>
      <c r="F846" t="s">
        <v>7</v>
      </c>
      <c r="G846" t="s">
        <v>11</v>
      </c>
      <c r="H846" t="s">
        <v>11</v>
      </c>
    </row>
    <row r="847" spans="1:8" x14ac:dyDescent="0.35">
      <c r="A847" t="s">
        <v>23</v>
      </c>
      <c r="B847" t="s">
        <v>77</v>
      </c>
      <c r="C847" t="s">
        <v>1352</v>
      </c>
      <c r="D847">
        <v>1</v>
      </c>
      <c r="E847">
        <v>5</v>
      </c>
      <c r="F847" t="s">
        <v>7</v>
      </c>
      <c r="G847" t="s">
        <v>11</v>
      </c>
      <c r="H847" t="s">
        <v>11</v>
      </c>
    </row>
    <row r="848" spans="1:8" x14ac:dyDescent="0.35">
      <c r="A848" t="s">
        <v>23</v>
      </c>
      <c r="B848" t="s">
        <v>77</v>
      </c>
      <c r="C848" t="s">
        <v>1916</v>
      </c>
      <c r="D848">
        <v>1</v>
      </c>
      <c r="E848">
        <v>5</v>
      </c>
      <c r="F848" t="s">
        <v>7</v>
      </c>
      <c r="G848" t="s">
        <v>11</v>
      </c>
      <c r="H848" t="s">
        <v>11</v>
      </c>
    </row>
    <row r="849" spans="1:8" x14ac:dyDescent="0.35">
      <c r="A849" t="s">
        <v>23</v>
      </c>
      <c r="B849" t="s">
        <v>77</v>
      </c>
      <c r="C849" t="s">
        <v>1917</v>
      </c>
      <c r="D849">
        <v>1</v>
      </c>
      <c r="E849">
        <v>5</v>
      </c>
      <c r="F849" t="s">
        <v>7</v>
      </c>
      <c r="G849" t="s">
        <v>11</v>
      </c>
      <c r="H849" t="s">
        <v>11</v>
      </c>
    </row>
    <row r="850" spans="1:8" x14ac:dyDescent="0.35">
      <c r="A850" t="s">
        <v>23</v>
      </c>
      <c r="B850" t="s">
        <v>77</v>
      </c>
      <c r="C850" t="s">
        <v>1918</v>
      </c>
      <c r="D850">
        <v>1</v>
      </c>
      <c r="E850">
        <v>5</v>
      </c>
      <c r="F850" t="s">
        <v>7</v>
      </c>
      <c r="G850" t="s">
        <v>11</v>
      </c>
      <c r="H850" t="s">
        <v>11</v>
      </c>
    </row>
    <row r="851" spans="1:8" x14ac:dyDescent="0.35">
      <c r="A851" t="s">
        <v>23</v>
      </c>
      <c r="B851" t="s">
        <v>77</v>
      </c>
      <c r="C851" t="s">
        <v>1919</v>
      </c>
      <c r="D851">
        <v>1</v>
      </c>
      <c r="E851">
        <v>6</v>
      </c>
      <c r="F851" t="s">
        <v>7</v>
      </c>
      <c r="G851" t="s">
        <v>11</v>
      </c>
      <c r="H851" t="s">
        <v>11</v>
      </c>
    </row>
    <row r="852" spans="1:8" x14ac:dyDescent="0.35">
      <c r="A852" t="s">
        <v>23</v>
      </c>
      <c r="B852" t="s">
        <v>77</v>
      </c>
      <c r="C852" t="s">
        <v>1356</v>
      </c>
      <c r="D852">
        <v>1</v>
      </c>
      <c r="E852">
        <v>5</v>
      </c>
      <c r="F852" t="s">
        <v>7</v>
      </c>
      <c r="G852" t="s">
        <v>11</v>
      </c>
      <c r="H852" t="s">
        <v>11</v>
      </c>
    </row>
    <row r="853" spans="1:8" x14ac:dyDescent="0.35">
      <c r="A853" t="s">
        <v>23</v>
      </c>
      <c r="B853" t="s">
        <v>77</v>
      </c>
      <c r="C853" t="s">
        <v>1920</v>
      </c>
      <c r="D853">
        <v>1</v>
      </c>
      <c r="E853">
        <v>5</v>
      </c>
      <c r="F853" t="s">
        <v>7</v>
      </c>
      <c r="G853" t="s">
        <v>11</v>
      </c>
      <c r="H853" t="s">
        <v>11</v>
      </c>
    </row>
    <row r="854" spans="1:8" x14ac:dyDescent="0.35">
      <c r="A854" t="s">
        <v>23</v>
      </c>
      <c r="B854" t="s">
        <v>77</v>
      </c>
      <c r="C854" t="s">
        <v>1358</v>
      </c>
      <c r="D854">
        <v>1</v>
      </c>
      <c r="E854">
        <v>5</v>
      </c>
      <c r="F854" t="s">
        <v>7</v>
      </c>
      <c r="G854" t="s">
        <v>11</v>
      </c>
      <c r="H854" t="s">
        <v>11</v>
      </c>
    </row>
    <row r="855" spans="1:8" x14ac:dyDescent="0.35">
      <c r="A855" t="s">
        <v>23</v>
      </c>
      <c r="B855" t="s">
        <v>77</v>
      </c>
      <c r="C855" t="s">
        <v>1359</v>
      </c>
      <c r="D855">
        <v>1</v>
      </c>
      <c r="E855">
        <v>5</v>
      </c>
      <c r="F855" t="s">
        <v>7</v>
      </c>
      <c r="G855" t="s">
        <v>11</v>
      </c>
      <c r="H855" t="s">
        <v>11</v>
      </c>
    </row>
    <row r="856" spans="1:8" x14ac:dyDescent="0.35">
      <c r="A856" t="s">
        <v>23</v>
      </c>
      <c r="B856" t="s">
        <v>77</v>
      </c>
      <c r="C856" t="s">
        <v>1921</v>
      </c>
      <c r="D856">
        <v>1</v>
      </c>
      <c r="E856">
        <v>5</v>
      </c>
      <c r="F856" t="s">
        <v>7</v>
      </c>
      <c r="G856" t="s">
        <v>11</v>
      </c>
      <c r="H856" t="s">
        <v>11</v>
      </c>
    </row>
    <row r="857" spans="1:8" x14ac:dyDescent="0.35">
      <c r="A857" t="s">
        <v>23</v>
      </c>
      <c r="B857" t="s">
        <v>77</v>
      </c>
      <c r="C857" t="s">
        <v>1722</v>
      </c>
      <c r="D857">
        <v>1</v>
      </c>
      <c r="E857">
        <v>6</v>
      </c>
      <c r="F857" t="s">
        <v>7</v>
      </c>
      <c r="G857" t="s">
        <v>11</v>
      </c>
      <c r="H857" t="s">
        <v>11</v>
      </c>
    </row>
    <row r="858" spans="1:8" x14ac:dyDescent="0.35">
      <c r="A858" t="s">
        <v>23</v>
      </c>
      <c r="B858" t="s">
        <v>77</v>
      </c>
      <c r="C858" t="s">
        <v>1922</v>
      </c>
      <c r="D858">
        <v>1</v>
      </c>
      <c r="E858">
        <v>5</v>
      </c>
      <c r="F858" t="s">
        <v>7</v>
      </c>
      <c r="G858" t="s">
        <v>11</v>
      </c>
      <c r="H858" t="s">
        <v>11</v>
      </c>
    </row>
    <row r="859" spans="1:8" x14ac:dyDescent="0.35">
      <c r="A859" t="s">
        <v>23</v>
      </c>
      <c r="B859" t="s">
        <v>77</v>
      </c>
      <c r="C859" t="s">
        <v>1361</v>
      </c>
      <c r="D859">
        <v>1</v>
      </c>
      <c r="E859">
        <v>5</v>
      </c>
      <c r="F859" t="s">
        <v>7</v>
      </c>
      <c r="G859" t="s">
        <v>11</v>
      </c>
      <c r="H859" t="s">
        <v>11</v>
      </c>
    </row>
    <row r="860" spans="1:8" x14ac:dyDescent="0.35">
      <c r="A860" t="s">
        <v>23</v>
      </c>
      <c r="B860" t="s">
        <v>77</v>
      </c>
      <c r="C860" t="s">
        <v>1362</v>
      </c>
      <c r="D860">
        <v>1</v>
      </c>
      <c r="E860">
        <v>5</v>
      </c>
      <c r="F860" t="s">
        <v>7</v>
      </c>
      <c r="G860" t="s">
        <v>11</v>
      </c>
      <c r="H860" t="s">
        <v>11</v>
      </c>
    </row>
    <row r="861" spans="1:8" x14ac:dyDescent="0.35">
      <c r="A861" t="s">
        <v>23</v>
      </c>
      <c r="B861" t="s">
        <v>77</v>
      </c>
      <c r="C861" t="s">
        <v>1923</v>
      </c>
      <c r="D861">
        <v>1</v>
      </c>
      <c r="E861">
        <v>5</v>
      </c>
      <c r="F861" t="s">
        <v>7</v>
      </c>
      <c r="G861" t="s">
        <v>11</v>
      </c>
      <c r="H861" t="s">
        <v>11</v>
      </c>
    </row>
    <row r="862" spans="1:8" x14ac:dyDescent="0.35">
      <c r="A862" t="s">
        <v>23</v>
      </c>
      <c r="B862" t="s">
        <v>77</v>
      </c>
      <c r="C862" t="s">
        <v>1924</v>
      </c>
      <c r="D862">
        <v>1</v>
      </c>
      <c r="E862">
        <v>6</v>
      </c>
      <c r="F862" t="s">
        <v>7</v>
      </c>
      <c r="G862" t="s">
        <v>11</v>
      </c>
      <c r="H862" t="s">
        <v>11</v>
      </c>
    </row>
    <row r="863" spans="1:8" x14ac:dyDescent="0.35">
      <c r="A863" t="s">
        <v>23</v>
      </c>
      <c r="B863" t="s">
        <v>77</v>
      </c>
      <c r="C863" t="s">
        <v>1638</v>
      </c>
      <c r="D863">
        <v>1</v>
      </c>
      <c r="E863">
        <v>6</v>
      </c>
      <c r="F863" t="s">
        <v>7</v>
      </c>
      <c r="G863" t="s">
        <v>11</v>
      </c>
      <c r="H863" t="s">
        <v>11</v>
      </c>
    </row>
    <row r="864" spans="1:8" x14ac:dyDescent="0.35">
      <c r="A864" t="s">
        <v>23</v>
      </c>
      <c r="B864" t="s">
        <v>77</v>
      </c>
      <c r="C864" t="s">
        <v>1925</v>
      </c>
      <c r="D864">
        <v>1</v>
      </c>
      <c r="E864">
        <v>5</v>
      </c>
      <c r="F864" t="s">
        <v>7</v>
      </c>
      <c r="G864" t="s">
        <v>11</v>
      </c>
      <c r="H864" t="s">
        <v>11</v>
      </c>
    </row>
    <row r="865" spans="1:8" x14ac:dyDescent="0.35">
      <c r="A865" t="s">
        <v>23</v>
      </c>
      <c r="B865" t="s">
        <v>77</v>
      </c>
      <c r="C865" t="s">
        <v>1926</v>
      </c>
      <c r="D865">
        <v>1</v>
      </c>
      <c r="E865">
        <v>6</v>
      </c>
      <c r="F865" t="s">
        <v>7</v>
      </c>
      <c r="G865" t="s">
        <v>11</v>
      </c>
      <c r="H865" t="s">
        <v>11</v>
      </c>
    </row>
    <row r="866" spans="1:8" x14ac:dyDescent="0.35">
      <c r="A866" t="s">
        <v>23</v>
      </c>
      <c r="B866" t="s">
        <v>77</v>
      </c>
      <c r="C866" t="s">
        <v>1927</v>
      </c>
      <c r="D866">
        <v>1</v>
      </c>
      <c r="E866">
        <v>6</v>
      </c>
      <c r="F866" t="s">
        <v>7</v>
      </c>
      <c r="G866" t="s">
        <v>11</v>
      </c>
      <c r="H866" t="s">
        <v>11</v>
      </c>
    </row>
    <row r="867" spans="1:8" x14ac:dyDescent="0.35">
      <c r="A867" t="s">
        <v>23</v>
      </c>
      <c r="B867" t="s">
        <v>77</v>
      </c>
      <c r="C867" t="s">
        <v>1928</v>
      </c>
      <c r="D867">
        <v>1</v>
      </c>
      <c r="E867">
        <v>6</v>
      </c>
      <c r="F867" t="s">
        <v>7</v>
      </c>
      <c r="G867" t="s">
        <v>11</v>
      </c>
      <c r="H867" t="s">
        <v>11</v>
      </c>
    </row>
    <row r="868" spans="1:8" x14ac:dyDescent="0.35">
      <c r="A868" t="s">
        <v>23</v>
      </c>
      <c r="B868" t="s">
        <v>77</v>
      </c>
      <c r="C868" t="s">
        <v>1464</v>
      </c>
      <c r="D868">
        <v>1</v>
      </c>
      <c r="E868">
        <v>5</v>
      </c>
      <c r="F868" t="s">
        <v>7</v>
      </c>
      <c r="G868" t="s">
        <v>11</v>
      </c>
      <c r="H868" t="s">
        <v>11</v>
      </c>
    </row>
    <row r="869" spans="1:8" x14ac:dyDescent="0.35">
      <c r="A869" t="s">
        <v>23</v>
      </c>
      <c r="B869" t="s">
        <v>77</v>
      </c>
      <c r="C869" t="s">
        <v>1929</v>
      </c>
      <c r="D869">
        <v>1</v>
      </c>
      <c r="E869">
        <v>5</v>
      </c>
      <c r="F869" t="s">
        <v>7</v>
      </c>
      <c r="G869" t="s">
        <v>11</v>
      </c>
      <c r="H869" t="s">
        <v>11</v>
      </c>
    </row>
    <row r="870" spans="1:8" x14ac:dyDescent="0.35">
      <c r="A870" t="s">
        <v>23</v>
      </c>
      <c r="B870" t="s">
        <v>77</v>
      </c>
      <c r="C870" t="s">
        <v>1930</v>
      </c>
      <c r="D870">
        <v>1</v>
      </c>
      <c r="E870">
        <v>5</v>
      </c>
      <c r="F870" t="s">
        <v>7</v>
      </c>
      <c r="G870" t="s">
        <v>11</v>
      </c>
      <c r="H870" t="s">
        <v>11</v>
      </c>
    </row>
    <row r="871" spans="1:8" x14ac:dyDescent="0.35">
      <c r="A871" t="s">
        <v>23</v>
      </c>
      <c r="B871" t="s">
        <v>77</v>
      </c>
      <c r="C871" t="s">
        <v>1931</v>
      </c>
      <c r="D871">
        <v>1</v>
      </c>
      <c r="E871">
        <v>5</v>
      </c>
      <c r="F871" t="s">
        <v>7</v>
      </c>
      <c r="G871" t="s">
        <v>11</v>
      </c>
      <c r="H871" t="s">
        <v>11</v>
      </c>
    </row>
    <row r="872" spans="1:8" x14ac:dyDescent="0.35">
      <c r="A872" t="s">
        <v>23</v>
      </c>
      <c r="B872" t="s">
        <v>77</v>
      </c>
      <c r="C872" t="s">
        <v>1932</v>
      </c>
      <c r="D872">
        <v>1</v>
      </c>
      <c r="E872">
        <v>6</v>
      </c>
      <c r="F872" t="s">
        <v>7</v>
      </c>
      <c r="G872" t="s">
        <v>11</v>
      </c>
      <c r="H872" t="s">
        <v>11</v>
      </c>
    </row>
    <row r="873" spans="1:8" x14ac:dyDescent="0.35">
      <c r="A873" t="s">
        <v>23</v>
      </c>
      <c r="B873" t="s">
        <v>77</v>
      </c>
      <c r="C873" t="s">
        <v>1470</v>
      </c>
      <c r="D873">
        <v>1</v>
      </c>
      <c r="E873">
        <v>5</v>
      </c>
      <c r="F873" t="s">
        <v>7</v>
      </c>
      <c r="G873" t="s">
        <v>11</v>
      </c>
      <c r="H873" t="s">
        <v>11</v>
      </c>
    </row>
    <row r="874" spans="1:8" x14ac:dyDescent="0.35">
      <c r="A874" t="s">
        <v>23</v>
      </c>
      <c r="B874" t="s">
        <v>77</v>
      </c>
      <c r="C874" t="s">
        <v>1370</v>
      </c>
      <c r="D874">
        <v>1</v>
      </c>
      <c r="E874">
        <v>5</v>
      </c>
      <c r="F874" t="s">
        <v>7</v>
      </c>
      <c r="G874" t="s">
        <v>11</v>
      </c>
      <c r="H874" t="s">
        <v>11</v>
      </c>
    </row>
    <row r="875" spans="1:8" x14ac:dyDescent="0.35">
      <c r="A875" t="s">
        <v>23</v>
      </c>
      <c r="B875" t="s">
        <v>77</v>
      </c>
      <c r="C875" t="s">
        <v>1933</v>
      </c>
      <c r="D875">
        <v>1</v>
      </c>
      <c r="E875">
        <v>6</v>
      </c>
      <c r="F875" t="s">
        <v>7</v>
      </c>
      <c r="G875" t="s">
        <v>11</v>
      </c>
      <c r="H875" t="s">
        <v>11</v>
      </c>
    </row>
    <row r="876" spans="1:8" x14ac:dyDescent="0.35">
      <c r="A876" t="s">
        <v>23</v>
      </c>
      <c r="B876" t="s">
        <v>77</v>
      </c>
      <c r="C876" t="s">
        <v>1934</v>
      </c>
      <c r="D876">
        <v>1</v>
      </c>
      <c r="E876">
        <v>5</v>
      </c>
      <c r="F876" t="s">
        <v>7</v>
      </c>
      <c r="G876" t="s">
        <v>11</v>
      </c>
      <c r="H876" t="s">
        <v>11</v>
      </c>
    </row>
    <row r="877" spans="1:8" x14ac:dyDescent="0.35">
      <c r="A877" t="s">
        <v>23</v>
      </c>
      <c r="B877" t="s">
        <v>77</v>
      </c>
      <c r="C877" t="s">
        <v>1935</v>
      </c>
      <c r="D877">
        <v>1</v>
      </c>
      <c r="E877">
        <v>5</v>
      </c>
      <c r="F877" t="s">
        <v>7</v>
      </c>
      <c r="G877" t="s">
        <v>11</v>
      </c>
      <c r="H877" t="s">
        <v>11</v>
      </c>
    </row>
    <row r="878" spans="1:8" x14ac:dyDescent="0.35">
      <c r="A878" t="s">
        <v>23</v>
      </c>
      <c r="B878" t="s">
        <v>77</v>
      </c>
      <c r="C878" t="s">
        <v>1649</v>
      </c>
      <c r="D878">
        <v>1</v>
      </c>
      <c r="E878">
        <v>5</v>
      </c>
      <c r="F878" t="s">
        <v>7</v>
      </c>
      <c r="G878" t="s">
        <v>11</v>
      </c>
      <c r="H878" t="s">
        <v>11</v>
      </c>
    </row>
    <row r="879" spans="1:8" x14ac:dyDescent="0.35">
      <c r="A879" t="s">
        <v>23</v>
      </c>
      <c r="B879" t="s">
        <v>77</v>
      </c>
      <c r="C879" t="s">
        <v>1476</v>
      </c>
      <c r="D879">
        <v>1</v>
      </c>
      <c r="E879">
        <v>5</v>
      </c>
      <c r="F879" t="s">
        <v>7</v>
      </c>
      <c r="G879" t="s">
        <v>11</v>
      </c>
      <c r="H879" t="s">
        <v>11</v>
      </c>
    </row>
    <row r="880" spans="1:8" x14ac:dyDescent="0.35">
      <c r="A880" t="s">
        <v>23</v>
      </c>
      <c r="B880" t="s">
        <v>77</v>
      </c>
      <c r="C880" t="s">
        <v>1477</v>
      </c>
      <c r="D880">
        <v>1</v>
      </c>
      <c r="E880">
        <v>5</v>
      </c>
      <c r="F880" t="s">
        <v>7</v>
      </c>
      <c r="G880" t="s">
        <v>11</v>
      </c>
      <c r="H880" t="s">
        <v>11</v>
      </c>
    </row>
    <row r="881" spans="1:8" x14ac:dyDescent="0.35">
      <c r="A881" t="s">
        <v>23</v>
      </c>
      <c r="B881" t="s">
        <v>77</v>
      </c>
      <c r="C881" t="s">
        <v>1936</v>
      </c>
      <c r="D881">
        <v>1</v>
      </c>
      <c r="E881">
        <v>5</v>
      </c>
      <c r="F881" t="s">
        <v>7</v>
      </c>
      <c r="G881" t="s">
        <v>11</v>
      </c>
      <c r="H881" t="s">
        <v>11</v>
      </c>
    </row>
    <row r="882" spans="1:8" x14ac:dyDescent="0.35">
      <c r="A882" t="s">
        <v>23</v>
      </c>
      <c r="B882" t="s">
        <v>77</v>
      </c>
      <c r="C882" t="s">
        <v>1754</v>
      </c>
      <c r="D882">
        <v>1</v>
      </c>
      <c r="E882">
        <v>5</v>
      </c>
      <c r="F882" t="s">
        <v>7</v>
      </c>
      <c r="G882" t="s">
        <v>11</v>
      </c>
      <c r="H882" t="s">
        <v>11</v>
      </c>
    </row>
    <row r="883" spans="1:8" x14ac:dyDescent="0.35">
      <c r="A883" t="s">
        <v>23</v>
      </c>
      <c r="B883" t="s">
        <v>77</v>
      </c>
      <c r="C883" t="s">
        <v>1376</v>
      </c>
      <c r="D883">
        <v>1</v>
      </c>
      <c r="E883">
        <v>5</v>
      </c>
      <c r="F883" t="s">
        <v>7</v>
      </c>
      <c r="G883" t="s">
        <v>11</v>
      </c>
      <c r="H883" t="s">
        <v>11</v>
      </c>
    </row>
    <row r="884" spans="1:8" x14ac:dyDescent="0.35">
      <c r="A884" t="s">
        <v>23</v>
      </c>
      <c r="B884" t="s">
        <v>77</v>
      </c>
      <c r="C884" t="s">
        <v>1755</v>
      </c>
      <c r="D884">
        <v>1</v>
      </c>
      <c r="E884">
        <v>5</v>
      </c>
      <c r="F884" t="s">
        <v>7</v>
      </c>
      <c r="G884" t="s">
        <v>11</v>
      </c>
      <c r="H884" t="s">
        <v>11</v>
      </c>
    </row>
    <row r="885" spans="1:8" x14ac:dyDescent="0.35">
      <c r="A885" t="s">
        <v>23</v>
      </c>
      <c r="B885" t="s">
        <v>77</v>
      </c>
      <c r="C885" t="s">
        <v>1756</v>
      </c>
      <c r="D885">
        <v>1</v>
      </c>
      <c r="E885">
        <v>6</v>
      </c>
      <c r="F885" t="s">
        <v>7</v>
      </c>
      <c r="G885" t="s">
        <v>11</v>
      </c>
      <c r="H885" t="s">
        <v>11</v>
      </c>
    </row>
    <row r="886" spans="1:8" x14ac:dyDescent="0.35">
      <c r="A886" t="s">
        <v>23</v>
      </c>
      <c r="B886" t="s">
        <v>77</v>
      </c>
      <c r="C886" t="s">
        <v>1852</v>
      </c>
      <c r="D886">
        <v>1</v>
      </c>
      <c r="E886">
        <v>6</v>
      </c>
      <c r="F886" t="s">
        <v>7</v>
      </c>
      <c r="G886" t="s">
        <v>11</v>
      </c>
      <c r="H886" t="s">
        <v>11</v>
      </c>
    </row>
    <row r="887" spans="1:8" x14ac:dyDescent="0.35">
      <c r="A887" t="s">
        <v>23</v>
      </c>
      <c r="B887" t="s">
        <v>77</v>
      </c>
      <c r="C887" t="s">
        <v>1937</v>
      </c>
      <c r="D887">
        <v>1</v>
      </c>
      <c r="E887">
        <v>6</v>
      </c>
      <c r="F887" t="s">
        <v>7</v>
      </c>
      <c r="G887" t="s">
        <v>11</v>
      </c>
      <c r="H887" t="s">
        <v>11</v>
      </c>
    </row>
    <row r="888" spans="1:8" x14ac:dyDescent="0.35">
      <c r="A888" t="s">
        <v>23</v>
      </c>
      <c r="B888" t="s">
        <v>77</v>
      </c>
      <c r="C888" t="s">
        <v>1938</v>
      </c>
      <c r="D888">
        <v>1</v>
      </c>
      <c r="E888">
        <v>5</v>
      </c>
      <c r="F888" t="s">
        <v>7</v>
      </c>
      <c r="G888" t="s">
        <v>11</v>
      </c>
      <c r="H888" t="s">
        <v>11</v>
      </c>
    </row>
    <row r="889" spans="1:8" x14ac:dyDescent="0.35">
      <c r="A889" t="s">
        <v>23</v>
      </c>
      <c r="B889" t="s">
        <v>77</v>
      </c>
      <c r="C889" t="s">
        <v>1761</v>
      </c>
      <c r="D889">
        <v>1</v>
      </c>
      <c r="E889">
        <v>6</v>
      </c>
      <c r="F889" t="s">
        <v>7</v>
      </c>
      <c r="G889" t="s">
        <v>11</v>
      </c>
      <c r="H889" t="s">
        <v>11</v>
      </c>
    </row>
    <row r="890" spans="1:8" x14ac:dyDescent="0.35">
      <c r="A890" t="s">
        <v>23</v>
      </c>
      <c r="B890" t="s">
        <v>77</v>
      </c>
      <c r="C890" t="s">
        <v>1939</v>
      </c>
      <c r="D890">
        <v>1</v>
      </c>
      <c r="E890">
        <v>6</v>
      </c>
      <c r="F890" t="s">
        <v>7</v>
      </c>
      <c r="G890" t="s">
        <v>11</v>
      </c>
      <c r="H890" t="s">
        <v>11</v>
      </c>
    </row>
    <row r="891" spans="1:8" x14ac:dyDescent="0.35">
      <c r="A891" t="s">
        <v>27</v>
      </c>
      <c r="B891" t="s">
        <v>91</v>
      </c>
      <c r="C891" t="s">
        <v>1854</v>
      </c>
      <c r="D891">
        <v>2</v>
      </c>
      <c r="E891">
        <v>4</v>
      </c>
      <c r="F891" t="s">
        <v>7</v>
      </c>
      <c r="G891" t="s">
        <v>11</v>
      </c>
      <c r="H891" t="s">
        <v>11</v>
      </c>
    </row>
    <row r="892" spans="1:8" x14ac:dyDescent="0.35">
      <c r="A892" t="s">
        <v>27</v>
      </c>
      <c r="B892" t="s">
        <v>91</v>
      </c>
      <c r="C892" t="s">
        <v>1940</v>
      </c>
      <c r="D892">
        <v>2</v>
      </c>
      <c r="E892">
        <v>4</v>
      </c>
      <c r="F892" t="s">
        <v>7</v>
      </c>
      <c r="G892" t="s">
        <v>11</v>
      </c>
      <c r="H892" t="s">
        <v>11</v>
      </c>
    </row>
    <row r="893" spans="1:8" x14ac:dyDescent="0.35">
      <c r="A893" t="s">
        <v>27</v>
      </c>
      <c r="B893" t="s">
        <v>91</v>
      </c>
      <c r="C893" t="s">
        <v>1941</v>
      </c>
      <c r="D893">
        <v>1</v>
      </c>
      <c r="E893">
        <v>4</v>
      </c>
      <c r="F893" t="s">
        <v>7</v>
      </c>
      <c r="G893" t="s">
        <v>11</v>
      </c>
      <c r="H893" t="s">
        <v>11</v>
      </c>
    </row>
    <row r="894" spans="1:8" x14ac:dyDescent="0.35">
      <c r="A894" t="s">
        <v>27</v>
      </c>
      <c r="B894" t="s">
        <v>91</v>
      </c>
      <c r="C894" t="s">
        <v>1942</v>
      </c>
      <c r="D894">
        <v>2</v>
      </c>
      <c r="E894">
        <v>4</v>
      </c>
      <c r="F894" t="s">
        <v>7</v>
      </c>
      <c r="G894" t="s">
        <v>11</v>
      </c>
      <c r="H894" t="s">
        <v>11</v>
      </c>
    </row>
    <row r="895" spans="1:8" x14ac:dyDescent="0.35">
      <c r="A895" t="s">
        <v>27</v>
      </c>
      <c r="B895" t="s">
        <v>91</v>
      </c>
      <c r="C895" t="s">
        <v>1943</v>
      </c>
      <c r="D895">
        <v>1</v>
      </c>
      <c r="E895">
        <v>4</v>
      </c>
      <c r="F895" t="s">
        <v>7</v>
      </c>
      <c r="G895" t="s">
        <v>11</v>
      </c>
      <c r="H895" t="s">
        <v>11</v>
      </c>
    </row>
    <row r="896" spans="1:8" x14ac:dyDescent="0.35">
      <c r="A896" t="s">
        <v>27</v>
      </c>
      <c r="B896" t="s">
        <v>91</v>
      </c>
      <c r="C896" t="s">
        <v>1944</v>
      </c>
      <c r="D896">
        <v>2</v>
      </c>
      <c r="E896">
        <v>4</v>
      </c>
      <c r="F896" t="s">
        <v>7</v>
      </c>
      <c r="G896" t="s">
        <v>11</v>
      </c>
      <c r="H896" t="s">
        <v>11</v>
      </c>
    </row>
    <row r="897" spans="1:8" x14ac:dyDescent="0.35">
      <c r="A897" t="s">
        <v>27</v>
      </c>
      <c r="B897" t="s">
        <v>91</v>
      </c>
      <c r="C897" t="s">
        <v>1802</v>
      </c>
      <c r="D897">
        <v>1</v>
      </c>
      <c r="E897">
        <v>4</v>
      </c>
      <c r="F897" t="s">
        <v>7</v>
      </c>
      <c r="G897" t="s">
        <v>11</v>
      </c>
      <c r="H897" t="s">
        <v>11</v>
      </c>
    </row>
    <row r="898" spans="1:8" x14ac:dyDescent="0.35">
      <c r="A898" t="s">
        <v>27</v>
      </c>
      <c r="B898" t="s">
        <v>91</v>
      </c>
      <c r="C898" t="s">
        <v>1318</v>
      </c>
      <c r="D898">
        <v>2</v>
      </c>
      <c r="E898">
        <v>4</v>
      </c>
      <c r="F898" t="s">
        <v>7</v>
      </c>
      <c r="G898" t="s">
        <v>11</v>
      </c>
      <c r="H898" t="s">
        <v>11</v>
      </c>
    </row>
    <row r="899" spans="1:8" x14ac:dyDescent="0.35">
      <c r="A899" t="s">
        <v>27</v>
      </c>
      <c r="B899" t="s">
        <v>91</v>
      </c>
      <c r="C899" t="s">
        <v>1945</v>
      </c>
      <c r="D899">
        <v>2</v>
      </c>
      <c r="E899">
        <v>4</v>
      </c>
      <c r="F899" t="s">
        <v>7</v>
      </c>
      <c r="G899" t="s">
        <v>11</v>
      </c>
      <c r="H899" t="s">
        <v>11</v>
      </c>
    </row>
    <row r="900" spans="1:8" x14ac:dyDescent="0.35">
      <c r="A900" t="s">
        <v>27</v>
      </c>
      <c r="B900" t="s">
        <v>91</v>
      </c>
      <c r="C900" t="s">
        <v>1946</v>
      </c>
      <c r="D900">
        <v>2</v>
      </c>
      <c r="E900">
        <v>4</v>
      </c>
      <c r="F900" t="s">
        <v>7</v>
      </c>
      <c r="G900" t="s">
        <v>11</v>
      </c>
      <c r="H900" t="s">
        <v>11</v>
      </c>
    </row>
    <row r="901" spans="1:8" x14ac:dyDescent="0.35">
      <c r="A901" t="s">
        <v>27</v>
      </c>
      <c r="B901" t="s">
        <v>91</v>
      </c>
      <c r="C901" t="s">
        <v>1321</v>
      </c>
      <c r="D901">
        <v>2</v>
      </c>
      <c r="E901">
        <v>4</v>
      </c>
      <c r="F901" t="s">
        <v>7</v>
      </c>
      <c r="G901" t="s">
        <v>11</v>
      </c>
      <c r="H901" t="s">
        <v>11</v>
      </c>
    </row>
    <row r="902" spans="1:8" x14ac:dyDescent="0.35">
      <c r="A902" t="s">
        <v>27</v>
      </c>
      <c r="B902" t="s">
        <v>91</v>
      </c>
      <c r="C902" t="s">
        <v>1546</v>
      </c>
      <c r="D902">
        <v>1</v>
      </c>
      <c r="E902">
        <v>5</v>
      </c>
      <c r="F902" t="s">
        <v>7</v>
      </c>
      <c r="G902" t="s">
        <v>11</v>
      </c>
      <c r="H902" t="s">
        <v>11</v>
      </c>
    </row>
    <row r="903" spans="1:8" x14ac:dyDescent="0.35">
      <c r="A903" t="s">
        <v>27</v>
      </c>
      <c r="B903" t="s">
        <v>91</v>
      </c>
      <c r="C903" t="s">
        <v>1432</v>
      </c>
      <c r="D903">
        <v>2</v>
      </c>
      <c r="E903">
        <v>4</v>
      </c>
      <c r="F903" t="s">
        <v>7</v>
      </c>
      <c r="G903" t="s">
        <v>11</v>
      </c>
      <c r="H903" t="s">
        <v>11</v>
      </c>
    </row>
    <row r="904" spans="1:8" x14ac:dyDescent="0.35">
      <c r="A904" t="s">
        <v>27</v>
      </c>
      <c r="B904" t="s">
        <v>91</v>
      </c>
      <c r="C904" t="s">
        <v>1325</v>
      </c>
      <c r="D904">
        <v>1</v>
      </c>
      <c r="E904">
        <v>4</v>
      </c>
      <c r="F904" t="s">
        <v>7</v>
      </c>
      <c r="G904" t="s">
        <v>11</v>
      </c>
      <c r="H904" t="s">
        <v>11</v>
      </c>
    </row>
    <row r="905" spans="1:8" x14ac:dyDescent="0.35">
      <c r="A905" t="s">
        <v>27</v>
      </c>
      <c r="B905" t="s">
        <v>91</v>
      </c>
      <c r="C905" t="s">
        <v>1947</v>
      </c>
      <c r="D905">
        <v>1</v>
      </c>
      <c r="E905">
        <v>5</v>
      </c>
      <c r="F905" t="s">
        <v>7</v>
      </c>
      <c r="G905" t="s">
        <v>11</v>
      </c>
      <c r="H905" t="s">
        <v>11</v>
      </c>
    </row>
    <row r="906" spans="1:8" x14ac:dyDescent="0.35">
      <c r="A906" t="s">
        <v>27</v>
      </c>
      <c r="B906" t="s">
        <v>91</v>
      </c>
      <c r="C906" t="s">
        <v>1948</v>
      </c>
      <c r="D906">
        <v>2</v>
      </c>
      <c r="E906">
        <v>4</v>
      </c>
      <c r="F906" t="s">
        <v>7</v>
      </c>
      <c r="G906" t="s">
        <v>11</v>
      </c>
      <c r="H906" t="s">
        <v>11</v>
      </c>
    </row>
    <row r="907" spans="1:8" x14ac:dyDescent="0.35">
      <c r="A907" t="s">
        <v>27</v>
      </c>
      <c r="B907" t="s">
        <v>91</v>
      </c>
      <c r="C907" t="s">
        <v>1949</v>
      </c>
      <c r="D907">
        <v>2</v>
      </c>
      <c r="E907">
        <v>4</v>
      </c>
      <c r="F907" t="s">
        <v>7</v>
      </c>
      <c r="G907" t="s">
        <v>11</v>
      </c>
      <c r="H907" t="s">
        <v>11</v>
      </c>
    </row>
    <row r="908" spans="1:8" x14ac:dyDescent="0.35">
      <c r="A908" t="s">
        <v>27</v>
      </c>
      <c r="B908" t="s">
        <v>91</v>
      </c>
      <c r="C908" t="s">
        <v>1950</v>
      </c>
      <c r="D908">
        <v>2</v>
      </c>
      <c r="E908">
        <v>4</v>
      </c>
      <c r="F908" t="s">
        <v>7</v>
      </c>
      <c r="G908" t="s">
        <v>11</v>
      </c>
      <c r="H908" t="s">
        <v>11</v>
      </c>
    </row>
    <row r="909" spans="1:8" x14ac:dyDescent="0.35">
      <c r="A909" t="s">
        <v>27</v>
      </c>
      <c r="B909" t="s">
        <v>91</v>
      </c>
      <c r="C909" t="s">
        <v>1437</v>
      </c>
      <c r="D909">
        <v>2</v>
      </c>
      <c r="E909">
        <v>4</v>
      </c>
      <c r="F909" t="s">
        <v>7</v>
      </c>
      <c r="G909" t="s">
        <v>11</v>
      </c>
      <c r="H909" t="s">
        <v>11</v>
      </c>
    </row>
    <row r="910" spans="1:8" x14ac:dyDescent="0.35">
      <c r="A910" t="s">
        <v>27</v>
      </c>
      <c r="B910" t="s">
        <v>91</v>
      </c>
      <c r="C910" t="s">
        <v>1684</v>
      </c>
      <c r="D910">
        <v>1</v>
      </c>
      <c r="E910">
        <v>5</v>
      </c>
      <c r="F910" t="s">
        <v>7</v>
      </c>
      <c r="G910" t="s">
        <v>11</v>
      </c>
      <c r="H910" t="s">
        <v>11</v>
      </c>
    </row>
    <row r="911" spans="1:8" x14ac:dyDescent="0.35">
      <c r="A911" t="s">
        <v>27</v>
      </c>
      <c r="B911" t="s">
        <v>91</v>
      </c>
      <c r="C911" t="s">
        <v>1908</v>
      </c>
      <c r="D911">
        <v>1</v>
      </c>
      <c r="E911">
        <v>4</v>
      </c>
      <c r="F911" t="s">
        <v>7</v>
      </c>
      <c r="G911" t="s">
        <v>11</v>
      </c>
      <c r="H911" t="s">
        <v>11</v>
      </c>
    </row>
    <row r="912" spans="1:8" x14ac:dyDescent="0.35">
      <c r="A912" t="s">
        <v>27</v>
      </c>
      <c r="B912" t="s">
        <v>91</v>
      </c>
      <c r="C912" t="s">
        <v>1951</v>
      </c>
      <c r="D912">
        <v>2</v>
      </c>
      <c r="E912">
        <v>4</v>
      </c>
      <c r="F912" t="s">
        <v>7</v>
      </c>
      <c r="G912" t="s">
        <v>11</v>
      </c>
      <c r="H912" t="s">
        <v>11</v>
      </c>
    </row>
    <row r="913" spans="1:8" x14ac:dyDescent="0.35">
      <c r="A913" t="s">
        <v>27</v>
      </c>
      <c r="B913" t="s">
        <v>91</v>
      </c>
      <c r="C913" t="s">
        <v>1555</v>
      </c>
      <c r="D913">
        <v>1</v>
      </c>
      <c r="E913">
        <v>4</v>
      </c>
      <c r="F913" t="s">
        <v>7</v>
      </c>
      <c r="G913" t="s">
        <v>11</v>
      </c>
      <c r="H913" t="s">
        <v>11</v>
      </c>
    </row>
    <row r="914" spans="1:8" x14ac:dyDescent="0.35">
      <c r="A914" t="s">
        <v>27</v>
      </c>
      <c r="B914" t="s">
        <v>91</v>
      </c>
      <c r="C914" t="s">
        <v>1813</v>
      </c>
      <c r="D914">
        <v>2</v>
      </c>
      <c r="E914">
        <v>4</v>
      </c>
      <c r="F914" t="s">
        <v>7</v>
      </c>
      <c r="G914" t="s">
        <v>11</v>
      </c>
      <c r="H914" t="s">
        <v>11</v>
      </c>
    </row>
    <row r="915" spans="1:8" x14ac:dyDescent="0.35">
      <c r="A915" t="s">
        <v>27</v>
      </c>
      <c r="B915" t="s">
        <v>91</v>
      </c>
      <c r="C915" t="s">
        <v>1952</v>
      </c>
      <c r="D915">
        <v>2</v>
      </c>
      <c r="E915">
        <v>4</v>
      </c>
      <c r="F915" t="s">
        <v>7</v>
      </c>
      <c r="G915" t="s">
        <v>11</v>
      </c>
      <c r="H915" t="s">
        <v>11</v>
      </c>
    </row>
    <row r="916" spans="1:8" x14ac:dyDescent="0.35">
      <c r="A916" t="s">
        <v>27</v>
      </c>
      <c r="B916" t="s">
        <v>91</v>
      </c>
      <c r="C916" t="s">
        <v>1953</v>
      </c>
      <c r="D916">
        <v>1</v>
      </c>
      <c r="E916">
        <v>5</v>
      </c>
      <c r="F916" t="s">
        <v>7</v>
      </c>
      <c r="G916" t="s">
        <v>11</v>
      </c>
      <c r="H916" t="s">
        <v>11</v>
      </c>
    </row>
    <row r="917" spans="1:8" x14ac:dyDescent="0.35">
      <c r="A917" t="s">
        <v>27</v>
      </c>
      <c r="B917" t="s">
        <v>91</v>
      </c>
      <c r="C917" t="s">
        <v>1954</v>
      </c>
      <c r="D917">
        <v>1</v>
      </c>
      <c r="E917">
        <v>4</v>
      </c>
      <c r="F917" t="s">
        <v>7</v>
      </c>
      <c r="G917" t="s">
        <v>11</v>
      </c>
      <c r="H917" t="s">
        <v>11</v>
      </c>
    </row>
    <row r="918" spans="1:8" x14ac:dyDescent="0.35">
      <c r="A918" t="s">
        <v>27</v>
      </c>
      <c r="B918" t="s">
        <v>91</v>
      </c>
      <c r="C918" t="s">
        <v>1955</v>
      </c>
      <c r="D918">
        <v>1</v>
      </c>
      <c r="E918">
        <v>4</v>
      </c>
      <c r="F918" t="s">
        <v>7</v>
      </c>
      <c r="G918" t="s">
        <v>11</v>
      </c>
      <c r="H918" t="s">
        <v>11</v>
      </c>
    </row>
    <row r="919" spans="1:8" x14ac:dyDescent="0.35">
      <c r="A919" t="s">
        <v>27</v>
      </c>
      <c r="B919" t="s">
        <v>91</v>
      </c>
      <c r="C919" t="s">
        <v>1814</v>
      </c>
      <c r="D919">
        <v>1</v>
      </c>
      <c r="E919">
        <v>4</v>
      </c>
      <c r="F919" t="s">
        <v>7</v>
      </c>
      <c r="G919" t="s">
        <v>11</v>
      </c>
      <c r="H919" t="s">
        <v>11</v>
      </c>
    </row>
    <row r="920" spans="1:8" x14ac:dyDescent="0.35">
      <c r="A920" t="s">
        <v>27</v>
      </c>
      <c r="B920" t="s">
        <v>91</v>
      </c>
      <c r="C920" t="s">
        <v>1341</v>
      </c>
      <c r="D920">
        <v>2</v>
      </c>
      <c r="E920">
        <v>4</v>
      </c>
      <c r="F920" t="s">
        <v>7</v>
      </c>
      <c r="G920" t="s">
        <v>11</v>
      </c>
      <c r="H920" t="s">
        <v>11</v>
      </c>
    </row>
    <row r="921" spans="1:8" x14ac:dyDescent="0.35">
      <c r="A921" t="s">
        <v>27</v>
      </c>
      <c r="B921" t="s">
        <v>91</v>
      </c>
      <c r="C921" t="s">
        <v>1956</v>
      </c>
      <c r="D921">
        <v>1</v>
      </c>
      <c r="E921">
        <v>4</v>
      </c>
      <c r="F921" t="s">
        <v>7</v>
      </c>
      <c r="G921" t="s">
        <v>11</v>
      </c>
      <c r="H921" t="s">
        <v>11</v>
      </c>
    </row>
    <row r="922" spans="1:8" x14ac:dyDescent="0.35">
      <c r="A922" t="s">
        <v>27</v>
      </c>
      <c r="B922" t="s">
        <v>91</v>
      </c>
      <c r="C922" t="s">
        <v>1957</v>
      </c>
      <c r="D922">
        <v>1</v>
      </c>
      <c r="E922">
        <v>5</v>
      </c>
      <c r="F922" t="s">
        <v>7</v>
      </c>
      <c r="G922" t="s">
        <v>11</v>
      </c>
      <c r="H922" t="s">
        <v>11</v>
      </c>
    </row>
    <row r="923" spans="1:8" x14ac:dyDescent="0.35">
      <c r="A923" t="s">
        <v>27</v>
      </c>
      <c r="B923" t="s">
        <v>91</v>
      </c>
      <c r="C923" t="s">
        <v>1413</v>
      </c>
      <c r="D923">
        <v>1</v>
      </c>
      <c r="E923">
        <v>5</v>
      </c>
      <c r="F923" t="s">
        <v>7</v>
      </c>
      <c r="G923" t="s">
        <v>11</v>
      </c>
      <c r="H923" t="s">
        <v>11</v>
      </c>
    </row>
    <row r="924" spans="1:8" x14ac:dyDescent="0.35">
      <c r="A924" t="s">
        <v>27</v>
      </c>
      <c r="B924" t="s">
        <v>91</v>
      </c>
      <c r="C924" t="s">
        <v>1445</v>
      </c>
      <c r="D924">
        <v>1</v>
      </c>
      <c r="E924">
        <v>4</v>
      </c>
      <c r="F924" t="s">
        <v>7</v>
      </c>
      <c r="G924" t="s">
        <v>11</v>
      </c>
      <c r="H924" t="s">
        <v>11</v>
      </c>
    </row>
    <row r="925" spans="1:8" x14ac:dyDescent="0.35">
      <c r="A925" t="s">
        <v>27</v>
      </c>
      <c r="B925" t="s">
        <v>91</v>
      </c>
      <c r="C925" t="s">
        <v>1958</v>
      </c>
      <c r="D925">
        <v>1</v>
      </c>
      <c r="E925">
        <v>4</v>
      </c>
      <c r="F925" t="s">
        <v>7</v>
      </c>
      <c r="G925" t="s">
        <v>11</v>
      </c>
      <c r="H925" t="s">
        <v>11</v>
      </c>
    </row>
    <row r="926" spans="1:8" x14ac:dyDescent="0.35">
      <c r="A926" t="s">
        <v>27</v>
      </c>
      <c r="B926" t="s">
        <v>91</v>
      </c>
      <c r="C926" t="s">
        <v>1959</v>
      </c>
      <c r="D926">
        <v>1</v>
      </c>
      <c r="E926">
        <v>5</v>
      </c>
      <c r="F926" t="s">
        <v>7</v>
      </c>
      <c r="G926" t="s">
        <v>11</v>
      </c>
      <c r="H926" t="s">
        <v>11</v>
      </c>
    </row>
    <row r="927" spans="1:8" x14ac:dyDescent="0.35">
      <c r="A927" t="s">
        <v>27</v>
      </c>
      <c r="B927" t="s">
        <v>91</v>
      </c>
      <c r="C927" t="s">
        <v>1960</v>
      </c>
      <c r="D927">
        <v>2</v>
      </c>
      <c r="E927">
        <v>4</v>
      </c>
      <c r="F927" t="s">
        <v>7</v>
      </c>
      <c r="G927" t="s">
        <v>11</v>
      </c>
      <c r="H927" t="s">
        <v>11</v>
      </c>
    </row>
    <row r="928" spans="1:8" x14ac:dyDescent="0.35">
      <c r="A928" t="s">
        <v>27</v>
      </c>
      <c r="B928" t="s">
        <v>91</v>
      </c>
      <c r="C928" t="s">
        <v>1621</v>
      </c>
      <c r="D928">
        <v>1</v>
      </c>
      <c r="E928">
        <v>5</v>
      </c>
      <c r="F928" t="s">
        <v>7</v>
      </c>
      <c r="G928" t="s">
        <v>11</v>
      </c>
      <c r="H928" t="s">
        <v>11</v>
      </c>
    </row>
    <row r="929" spans="1:8" x14ac:dyDescent="0.35">
      <c r="A929" t="s">
        <v>27</v>
      </c>
      <c r="B929" t="s">
        <v>91</v>
      </c>
      <c r="C929" t="s">
        <v>1961</v>
      </c>
      <c r="D929">
        <v>2</v>
      </c>
      <c r="E929">
        <v>4</v>
      </c>
      <c r="F929" t="s">
        <v>7</v>
      </c>
      <c r="G929" t="s">
        <v>11</v>
      </c>
      <c r="H929" t="s">
        <v>11</v>
      </c>
    </row>
    <row r="930" spans="1:8" x14ac:dyDescent="0.35">
      <c r="A930" t="s">
        <v>27</v>
      </c>
      <c r="B930" t="s">
        <v>91</v>
      </c>
      <c r="C930" t="s">
        <v>1962</v>
      </c>
      <c r="D930">
        <v>2</v>
      </c>
      <c r="E930">
        <v>4</v>
      </c>
      <c r="F930" t="s">
        <v>7</v>
      </c>
      <c r="G930" t="s">
        <v>11</v>
      </c>
      <c r="H930" t="s">
        <v>11</v>
      </c>
    </row>
    <row r="931" spans="1:8" x14ac:dyDescent="0.35">
      <c r="A931" t="s">
        <v>27</v>
      </c>
      <c r="B931" t="s">
        <v>91</v>
      </c>
      <c r="C931" t="s">
        <v>1963</v>
      </c>
      <c r="D931">
        <v>1</v>
      </c>
      <c r="E931">
        <v>4</v>
      </c>
      <c r="F931" t="s">
        <v>7</v>
      </c>
      <c r="G931" t="s">
        <v>11</v>
      </c>
      <c r="H931" t="s">
        <v>11</v>
      </c>
    </row>
    <row r="932" spans="1:8" x14ac:dyDescent="0.35">
      <c r="A932" t="s">
        <v>27</v>
      </c>
      <c r="B932" t="s">
        <v>91</v>
      </c>
      <c r="C932" t="s">
        <v>1964</v>
      </c>
      <c r="D932">
        <v>1</v>
      </c>
      <c r="E932">
        <v>4</v>
      </c>
      <c r="F932" t="s">
        <v>7</v>
      </c>
      <c r="G932" t="s">
        <v>11</v>
      </c>
      <c r="H932" t="s">
        <v>11</v>
      </c>
    </row>
    <row r="933" spans="1:8" x14ac:dyDescent="0.35">
      <c r="A933" t="s">
        <v>27</v>
      </c>
      <c r="B933" t="s">
        <v>91</v>
      </c>
      <c r="C933" t="s">
        <v>1347</v>
      </c>
      <c r="D933">
        <v>1</v>
      </c>
      <c r="E933">
        <v>4</v>
      </c>
      <c r="F933" t="s">
        <v>7</v>
      </c>
      <c r="G933" t="s">
        <v>11</v>
      </c>
      <c r="H933" t="s">
        <v>11</v>
      </c>
    </row>
    <row r="934" spans="1:8" x14ac:dyDescent="0.35">
      <c r="A934" t="s">
        <v>27</v>
      </c>
      <c r="B934" t="s">
        <v>91</v>
      </c>
      <c r="C934" t="s">
        <v>1348</v>
      </c>
      <c r="D934">
        <v>2</v>
      </c>
      <c r="E934">
        <v>4</v>
      </c>
      <c r="F934" t="s">
        <v>7</v>
      </c>
      <c r="G934" t="s">
        <v>11</v>
      </c>
      <c r="H934" t="s">
        <v>11</v>
      </c>
    </row>
    <row r="935" spans="1:8" x14ac:dyDescent="0.35">
      <c r="A935" t="s">
        <v>27</v>
      </c>
      <c r="B935" t="s">
        <v>91</v>
      </c>
      <c r="C935" t="s">
        <v>1965</v>
      </c>
      <c r="D935">
        <v>1</v>
      </c>
      <c r="E935">
        <v>5</v>
      </c>
      <c r="F935" t="s">
        <v>7</v>
      </c>
      <c r="G935" t="s">
        <v>11</v>
      </c>
      <c r="H935" t="s">
        <v>11</v>
      </c>
    </row>
    <row r="936" spans="1:8" x14ac:dyDescent="0.35">
      <c r="A936" t="s">
        <v>27</v>
      </c>
      <c r="B936" t="s">
        <v>91</v>
      </c>
      <c r="C936" t="s">
        <v>1451</v>
      </c>
      <c r="D936">
        <v>1</v>
      </c>
      <c r="E936">
        <v>4</v>
      </c>
      <c r="F936" t="s">
        <v>7</v>
      </c>
      <c r="G936" t="s">
        <v>11</v>
      </c>
      <c r="H936" t="s">
        <v>11</v>
      </c>
    </row>
    <row r="937" spans="1:8" x14ac:dyDescent="0.35">
      <c r="A937" t="s">
        <v>27</v>
      </c>
      <c r="B937" t="s">
        <v>91</v>
      </c>
      <c r="C937" t="s">
        <v>1966</v>
      </c>
      <c r="D937">
        <v>1</v>
      </c>
      <c r="E937">
        <v>4</v>
      </c>
      <c r="F937" t="s">
        <v>7</v>
      </c>
      <c r="G937" t="s">
        <v>11</v>
      </c>
      <c r="H937" t="s">
        <v>11</v>
      </c>
    </row>
    <row r="938" spans="1:8" x14ac:dyDescent="0.35">
      <c r="A938" t="s">
        <v>27</v>
      </c>
      <c r="B938" t="s">
        <v>91</v>
      </c>
      <c r="C938" t="s">
        <v>1967</v>
      </c>
      <c r="D938">
        <v>1</v>
      </c>
      <c r="E938">
        <v>4</v>
      </c>
      <c r="F938" t="s">
        <v>7</v>
      </c>
      <c r="G938" t="s">
        <v>11</v>
      </c>
      <c r="H938" t="s">
        <v>11</v>
      </c>
    </row>
    <row r="939" spans="1:8" x14ac:dyDescent="0.35">
      <c r="A939" t="s">
        <v>27</v>
      </c>
      <c r="B939" t="s">
        <v>91</v>
      </c>
      <c r="C939" t="s">
        <v>1566</v>
      </c>
      <c r="D939">
        <v>1</v>
      </c>
      <c r="E939">
        <v>4</v>
      </c>
      <c r="F939" t="s">
        <v>7</v>
      </c>
      <c r="G939" t="s">
        <v>11</v>
      </c>
      <c r="H939" t="s">
        <v>11</v>
      </c>
    </row>
    <row r="940" spans="1:8" x14ac:dyDescent="0.35">
      <c r="A940" t="s">
        <v>27</v>
      </c>
      <c r="B940" t="s">
        <v>91</v>
      </c>
      <c r="C940" t="s">
        <v>1968</v>
      </c>
      <c r="D940">
        <v>2</v>
      </c>
      <c r="E940">
        <v>4</v>
      </c>
      <c r="F940" t="s">
        <v>7</v>
      </c>
      <c r="G940" t="s">
        <v>11</v>
      </c>
      <c r="H940" t="s">
        <v>11</v>
      </c>
    </row>
    <row r="941" spans="1:8" x14ac:dyDescent="0.35">
      <c r="A941" t="s">
        <v>27</v>
      </c>
      <c r="B941" t="s">
        <v>91</v>
      </c>
      <c r="C941" t="s">
        <v>1969</v>
      </c>
      <c r="D941">
        <v>1</v>
      </c>
      <c r="E941">
        <v>5</v>
      </c>
      <c r="F941" t="s">
        <v>7</v>
      </c>
      <c r="G941" t="s">
        <v>11</v>
      </c>
      <c r="H941" t="s">
        <v>11</v>
      </c>
    </row>
    <row r="942" spans="1:8" x14ac:dyDescent="0.35">
      <c r="A942" t="s">
        <v>27</v>
      </c>
      <c r="B942" t="s">
        <v>91</v>
      </c>
      <c r="C942" t="s">
        <v>1970</v>
      </c>
      <c r="D942">
        <v>1</v>
      </c>
      <c r="E942">
        <v>4</v>
      </c>
      <c r="F942" t="s">
        <v>7</v>
      </c>
      <c r="G942" t="s">
        <v>11</v>
      </c>
      <c r="H942" t="s">
        <v>11</v>
      </c>
    </row>
    <row r="943" spans="1:8" x14ac:dyDescent="0.35">
      <c r="A943" t="s">
        <v>27</v>
      </c>
      <c r="B943" t="s">
        <v>91</v>
      </c>
      <c r="C943" t="s">
        <v>1453</v>
      </c>
      <c r="D943">
        <v>1</v>
      </c>
      <c r="E943">
        <v>4</v>
      </c>
      <c r="F943" t="s">
        <v>7</v>
      </c>
      <c r="G943" t="s">
        <v>11</v>
      </c>
      <c r="H943" t="s">
        <v>11</v>
      </c>
    </row>
    <row r="944" spans="1:8" x14ac:dyDescent="0.35">
      <c r="A944" t="s">
        <v>27</v>
      </c>
      <c r="B944" t="s">
        <v>91</v>
      </c>
      <c r="C944" t="s">
        <v>1916</v>
      </c>
      <c r="D944">
        <v>2</v>
      </c>
      <c r="E944">
        <v>4</v>
      </c>
      <c r="F944" t="s">
        <v>7</v>
      </c>
      <c r="G944" t="s">
        <v>11</v>
      </c>
      <c r="H944" t="s">
        <v>11</v>
      </c>
    </row>
    <row r="945" spans="1:8" x14ac:dyDescent="0.35">
      <c r="A945" t="s">
        <v>27</v>
      </c>
      <c r="B945" t="s">
        <v>91</v>
      </c>
      <c r="C945" t="s">
        <v>1455</v>
      </c>
      <c r="D945">
        <v>1</v>
      </c>
      <c r="E945">
        <v>5</v>
      </c>
      <c r="F945" t="s">
        <v>7</v>
      </c>
      <c r="G945" t="s">
        <v>11</v>
      </c>
      <c r="H945" t="s">
        <v>11</v>
      </c>
    </row>
    <row r="946" spans="1:8" x14ac:dyDescent="0.35">
      <c r="A946" t="s">
        <v>27</v>
      </c>
      <c r="B946" t="s">
        <v>91</v>
      </c>
      <c r="C946" t="s">
        <v>1919</v>
      </c>
      <c r="D946">
        <v>2</v>
      </c>
      <c r="E946">
        <v>4</v>
      </c>
      <c r="F946" t="s">
        <v>7</v>
      </c>
      <c r="G946" t="s">
        <v>11</v>
      </c>
      <c r="H946" t="s">
        <v>11</v>
      </c>
    </row>
    <row r="947" spans="1:8" x14ac:dyDescent="0.35">
      <c r="A947" t="s">
        <v>27</v>
      </c>
      <c r="B947" t="s">
        <v>91</v>
      </c>
      <c r="C947" t="s">
        <v>1358</v>
      </c>
      <c r="D947">
        <v>1</v>
      </c>
      <c r="E947">
        <v>4</v>
      </c>
      <c r="F947" t="s">
        <v>7</v>
      </c>
      <c r="G947" t="s">
        <v>11</v>
      </c>
      <c r="H947" t="s">
        <v>11</v>
      </c>
    </row>
    <row r="948" spans="1:8" x14ac:dyDescent="0.35">
      <c r="A948" t="s">
        <v>27</v>
      </c>
      <c r="B948" t="s">
        <v>91</v>
      </c>
      <c r="C948" t="s">
        <v>1359</v>
      </c>
      <c r="D948">
        <v>1</v>
      </c>
      <c r="E948">
        <v>4</v>
      </c>
      <c r="F948" t="s">
        <v>7</v>
      </c>
      <c r="G948" t="s">
        <v>11</v>
      </c>
      <c r="H948" t="s">
        <v>11</v>
      </c>
    </row>
    <row r="949" spans="1:8" x14ac:dyDescent="0.35">
      <c r="A949" t="s">
        <v>27</v>
      </c>
      <c r="B949" t="s">
        <v>91</v>
      </c>
      <c r="C949" t="s">
        <v>1971</v>
      </c>
      <c r="D949">
        <v>1</v>
      </c>
      <c r="E949">
        <v>4</v>
      </c>
      <c r="F949" t="s">
        <v>7</v>
      </c>
      <c r="G949" t="s">
        <v>11</v>
      </c>
      <c r="H949" t="s">
        <v>11</v>
      </c>
    </row>
    <row r="950" spans="1:8" x14ac:dyDescent="0.35">
      <c r="A950" t="s">
        <v>27</v>
      </c>
      <c r="B950" t="s">
        <v>91</v>
      </c>
      <c r="C950" t="s">
        <v>1972</v>
      </c>
      <c r="D950">
        <v>1</v>
      </c>
      <c r="E950">
        <v>4</v>
      </c>
      <c r="F950" t="s">
        <v>7</v>
      </c>
      <c r="G950" t="s">
        <v>11</v>
      </c>
      <c r="H950" t="s">
        <v>11</v>
      </c>
    </row>
    <row r="951" spans="1:8" x14ac:dyDescent="0.35">
      <c r="A951" t="s">
        <v>27</v>
      </c>
      <c r="B951" t="s">
        <v>91</v>
      </c>
      <c r="C951" t="s">
        <v>1872</v>
      </c>
      <c r="D951">
        <v>2</v>
      </c>
      <c r="E951">
        <v>4</v>
      </c>
      <c r="F951" t="s">
        <v>7</v>
      </c>
      <c r="G951" t="s">
        <v>11</v>
      </c>
      <c r="H951" t="s">
        <v>11</v>
      </c>
    </row>
    <row r="952" spans="1:8" x14ac:dyDescent="0.35">
      <c r="A952" t="s">
        <v>27</v>
      </c>
      <c r="B952" t="s">
        <v>91</v>
      </c>
      <c r="C952" t="s">
        <v>1722</v>
      </c>
      <c r="D952">
        <v>1</v>
      </c>
      <c r="E952">
        <v>5</v>
      </c>
      <c r="F952" t="s">
        <v>7</v>
      </c>
      <c r="G952" t="s">
        <v>11</v>
      </c>
      <c r="H952" t="s">
        <v>11</v>
      </c>
    </row>
    <row r="953" spans="1:8" x14ac:dyDescent="0.35">
      <c r="A953" t="s">
        <v>27</v>
      </c>
      <c r="B953" t="s">
        <v>91</v>
      </c>
      <c r="C953" t="s">
        <v>1362</v>
      </c>
      <c r="D953">
        <v>2</v>
      </c>
      <c r="E953">
        <v>4</v>
      </c>
      <c r="F953" t="s">
        <v>7</v>
      </c>
      <c r="G953" t="s">
        <v>11</v>
      </c>
      <c r="H953" t="s">
        <v>11</v>
      </c>
    </row>
    <row r="954" spans="1:8" x14ac:dyDescent="0.35">
      <c r="A954" t="s">
        <v>27</v>
      </c>
      <c r="B954" t="s">
        <v>91</v>
      </c>
      <c r="C954" t="s">
        <v>1973</v>
      </c>
      <c r="D954">
        <v>2</v>
      </c>
      <c r="E954">
        <v>4</v>
      </c>
      <c r="F954" t="s">
        <v>7</v>
      </c>
      <c r="G954" t="s">
        <v>11</v>
      </c>
      <c r="H954" t="s">
        <v>11</v>
      </c>
    </row>
    <row r="955" spans="1:8" x14ac:dyDescent="0.35">
      <c r="A955" t="s">
        <v>27</v>
      </c>
      <c r="B955" t="s">
        <v>91</v>
      </c>
      <c r="C955" t="s">
        <v>1974</v>
      </c>
      <c r="D955">
        <v>2</v>
      </c>
      <c r="E955">
        <v>4</v>
      </c>
      <c r="F955" t="s">
        <v>7</v>
      </c>
      <c r="G955" t="s">
        <v>11</v>
      </c>
      <c r="H955" t="s">
        <v>11</v>
      </c>
    </row>
    <row r="956" spans="1:8" x14ac:dyDescent="0.35">
      <c r="A956" t="s">
        <v>27</v>
      </c>
      <c r="B956" t="s">
        <v>91</v>
      </c>
      <c r="C956" t="s">
        <v>1975</v>
      </c>
      <c r="D956">
        <v>1</v>
      </c>
      <c r="E956">
        <v>4</v>
      </c>
      <c r="F956" t="s">
        <v>7</v>
      </c>
      <c r="G956" t="s">
        <v>11</v>
      </c>
      <c r="H956" t="s">
        <v>11</v>
      </c>
    </row>
    <row r="957" spans="1:8" x14ac:dyDescent="0.35">
      <c r="A957" t="s">
        <v>27</v>
      </c>
      <c r="B957" t="s">
        <v>91</v>
      </c>
      <c r="C957" t="s">
        <v>1976</v>
      </c>
      <c r="D957">
        <v>2</v>
      </c>
      <c r="E957">
        <v>4</v>
      </c>
      <c r="F957" t="s">
        <v>7</v>
      </c>
      <c r="G957" t="s">
        <v>11</v>
      </c>
      <c r="H957" t="s">
        <v>11</v>
      </c>
    </row>
    <row r="958" spans="1:8" x14ac:dyDescent="0.35">
      <c r="A958" t="s">
        <v>27</v>
      </c>
      <c r="B958" t="s">
        <v>91</v>
      </c>
      <c r="C958" t="s">
        <v>1977</v>
      </c>
      <c r="D958">
        <v>1</v>
      </c>
      <c r="E958">
        <v>5</v>
      </c>
      <c r="F958" t="s">
        <v>7</v>
      </c>
      <c r="G958" t="s">
        <v>11</v>
      </c>
      <c r="H958" t="s">
        <v>11</v>
      </c>
    </row>
    <row r="959" spans="1:8" x14ac:dyDescent="0.35">
      <c r="A959" t="s">
        <v>27</v>
      </c>
      <c r="B959" t="s">
        <v>91</v>
      </c>
      <c r="C959" t="s">
        <v>1978</v>
      </c>
      <c r="D959">
        <v>1</v>
      </c>
      <c r="E959">
        <v>5</v>
      </c>
      <c r="F959" t="s">
        <v>7</v>
      </c>
      <c r="G959" t="s">
        <v>11</v>
      </c>
      <c r="H959" t="s">
        <v>11</v>
      </c>
    </row>
    <row r="960" spans="1:8" x14ac:dyDescent="0.35">
      <c r="A960" t="s">
        <v>27</v>
      </c>
      <c r="B960" t="s">
        <v>91</v>
      </c>
      <c r="C960" t="s">
        <v>1979</v>
      </c>
      <c r="D960">
        <v>2</v>
      </c>
      <c r="E960">
        <v>4</v>
      </c>
      <c r="F960" t="s">
        <v>7</v>
      </c>
      <c r="G960" t="s">
        <v>11</v>
      </c>
      <c r="H960" t="s">
        <v>11</v>
      </c>
    </row>
    <row r="961" spans="1:8" x14ac:dyDescent="0.35">
      <c r="A961" t="s">
        <v>27</v>
      </c>
      <c r="B961" t="s">
        <v>91</v>
      </c>
      <c r="C961" t="s">
        <v>1980</v>
      </c>
      <c r="D961">
        <v>1</v>
      </c>
      <c r="E961">
        <v>5</v>
      </c>
      <c r="F961" t="s">
        <v>7</v>
      </c>
      <c r="G961" t="s">
        <v>11</v>
      </c>
      <c r="H961" t="s">
        <v>11</v>
      </c>
    </row>
    <row r="962" spans="1:8" x14ac:dyDescent="0.35">
      <c r="A962" t="s">
        <v>27</v>
      </c>
      <c r="B962" t="s">
        <v>91</v>
      </c>
      <c r="C962" t="s">
        <v>1981</v>
      </c>
      <c r="D962">
        <v>1</v>
      </c>
      <c r="E962">
        <v>4</v>
      </c>
      <c r="F962" t="s">
        <v>7</v>
      </c>
      <c r="G962" t="s">
        <v>11</v>
      </c>
      <c r="H962" t="s">
        <v>11</v>
      </c>
    </row>
    <row r="963" spans="1:8" x14ac:dyDescent="0.35">
      <c r="A963" t="s">
        <v>27</v>
      </c>
      <c r="B963" t="s">
        <v>91</v>
      </c>
      <c r="C963" t="s">
        <v>1982</v>
      </c>
      <c r="D963">
        <v>1</v>
      </c>
      <c r="E963">
        <v>4</v>
      </c>
      <c r="F963" t="s">
        <v>7</v>
      </c>
      <c r="G963" t="s">
        <v>11</v>
      </c>
      <c r="H963" t="s">
        <v>11</v>
      </c>
    </row>
    <row r="964" spans="1:8" x14ac:dyDescent="0.35">
      <c r="A964" t="s">
        <v>27</v>
      </c>
      <c r="B964" t="s">
        <v>91</v>
      </c>
      <c r="C964" t="s">
        <v>1462</v>
      </c>
      <c r="D964">
        <v>1</v>
      </c>
      <c r="E964">
        <v>5</v>
      </c>
      <c r="F964" t="s">
        <v>7</v>
      </c>
      <c r="G964" t="s">
        <v>11</v>
      </c>
      <c r="H964" t="s">
        <v>11</v>
      </c>
    </row>
    <row r="965" spans="1:8" x14ac:dyDescent="0.35">
      <c r="A965" t="s">
        <v>27</v>
      </c>
      <c r="B965" t="s">
        <v>91</v>
      </c>
      <c r="C965" t="s">
        <v>1983</v>
      </c>
      <c r="D965">
        <v>1</v>
      </c>
      <c r="E965">
        <v>4</v>
      </c>
      <c r="F965" t="s">
        <v>7</v>
      </c>
      <c r="G965" t="s">
        <v>11</v>
      </c>
      <c r="H965" t="s">
        <v>11</v>
      </c>
    </row>
    <row r="966" spans="1:8" x14ac:dyDescent="0.35">
      <c r="A966" t="s">
        <v>27</v>
      </c>
      <c r="B966" t="s">
        <v>91</v>
      </c>
      <c r="C966" t="s">
        <v>1984</v>
      </c>
      <c r="D966">
        <v>1</v>
      </c>
      <c r="E966">
        <v>4</v>
      </c>
      <c r="F966" t="s">
        <v>7</v>
      </c>
      <c r="G966" t="s">
        <v>11</v>
      </c>
      <c r="H966" t="s">
        <v>11</v>
      </c>
    </row>
    <row r="967" spans="1:8" x14ac:dyDescent="0.35">
      <c r="A967" t="s">
        <v>27</v>
      </c>
      <c r="B967" t="s">
        <v>91</v>
      </c>
      <c r="C967" t="s">
        <v>1985</v>
      </c>
      <c r="D967">
        <v>1</v>
      </c>
      <c r="E967">
        <v>5</v>
      </c>
      <c r="F967" t="s">
        <v>7</v>
      </c>
      <c r="G967" t="s">
        <v>11</v>
      </c>
      <c r="H967" t="s">
        <v>11</v>
      </c>
    </row>
    <row r="968" spans="1:8" x14ac:dyDescent="0.35">
      <c r="A968" t="s">
        <v>27</v>
      </c>
      <c r="B968" t="s">
        <v>91</v>
      </c>
      <c r="C968" t="s">
        <v>1986</v>
      </c>
      <c r="D968">
        <v>2</v>
      </c>
      <c r="E968">
        <v>4</v>
      </c>
      <c r="F968" t="s">
        <v>7</v>
      </c>
      <c r="G968" t="s">
        <v>11</v>
      </c>
      <c r="H968" t="s">
        <v>11</v>
      </c>
    </row>
    <row r="969" spans="1:8" x14ac:dyDescent="0.35">
      <c r="A969" t="s">
        <v>27</v>
      </c>
      <c r="B969" t="s">
        <v>91</v>
      </c>
      <c r="C969" t="s">
        <v>1987</v>
      </c>
      <c r="D969">
        <v>1</v>
      </c>
      <c r="E969">
        <v>5</v>
      </c>
      <c r="F969" t="s">
        <v>7</v>
      </c>
      <c r="G969" t="s">
        <v>11</v>
      </c>
      <c r="H969" t="s">
        <v>11</v>
      </c>
    </row>
    <row r="970" spans="1:8" x14ac:dyDescent="0.35">
      <c r="A970" t="s">
        <v>27</v>
      </c>
      <c r="B970" t="s">
        <v>91</v>
      </c>
      <c r="C970" t="s">
        <v>1988</v>
      </c>
      <c r="D970">
        <v>1</v>
      </c>
      <c r="E970">
        <v>4</v>
      </c>
      <c r="F970" t="s">
        <v>7</v>
      </c>
      <c r="G970" t="s">
        <v>11</v>
      </c>
      <c r="H970" t="s">
        <v>11</v>
      </c>
    </row>
    <row r="971" spans="1:8" x14ac:dyDescent="0.35">
      <c r="A971" t="s">
        <v>27</v>
      </c>
      <c r="B971" t="s">
        <v>91</v>
      </c>
      <c r="C971" t="s">
        <v>1989</v>
      </c>
      <c r="D971">
        <v>1</v>
      </c>
      <c r="E971">
        <v>4</v>
      </c>
      <c r="F971" t="s">
        <v>7</v>
      </c>
      <c r="G971" t="s">
        <v>11</v>
      </c>
      <c r="H971" t="s">
        <v>11</v>
      </c>
    </row>
    <row r="972" spans="1:8" x14ac:dyDescent="0.35">
      <c r="A972" t="s">
        <v>27</v>
      </c>
      <c r="B972" t="s">
        <v>91</v>
      </c>
      <c r="C972" t="s">
        <v>1990</v>
      </c>
      <c r="D972">
        <v>1</v>
      </c>
      <c r="E972">
        <v>5</v>
      </c>
      <c r="F972" t="s">
        <v>7</v>
      </c>
      <c r="G972" t="s">
        <v>11</v>
      </c>
      <c r="H972" t="s">
        <v>11</v>
      </c>
    </row>
    <row r="973" spans="1:8" x14ac:dyDescent="0.35">
      <c r="A973" t="s">
        <v>27</v>
      </c>
      <c r="B973" t="s">
        <v>91</v>
      </c>
      <c r="C973" t="s">
        <v>1880</v>
      </c>
      <c r="D973">
        <v>1</v>
      </c>
      <c r="E973">
        <v>4</v>
      </c>
      <c r="F973" t="s">
        <v>7</v>
      </c>
      <c r="G973" t="s">
        <v>11</v>
      </c>
      <c r="H973" t="s">
        <v>11</v>
      </c>
    </row>
    <row r="974" spans="1:8" x14ac:dyDescent="0.35">
      <c r="A974" t="s">
        <v>27</v>
      </c>
      <c r="B974" t="s">
        <v>91</v>
      </c>
      <c r="C974" t="s">
        <v>1368</v>
      </c>
      <c r="D974">
        <v>1</v>
      </c>
      <c r="E974">
        <v>4</v>
      </c>
      <c r="F974" t="s">
        <v>7</v>
      </c>
      <c r="G974" t="s">
        <v>11</v>
      </c>
      <c r="H974" t="s">
        <v>11</v>
      </c>
    </row>
    <row r="975" spans="1:8" x14ac:dyDescent="0.35">
      <c r="A975" t="s">
        <v>27</v>
      </c>
      <c r="B975" t="s">
        <v>91</v>
      </c>
      <c r="C975" t="s">
        <v>1469</v>
      </c>
      <c r="D975">
        <v>1</v>
      </c>
      <c r="E975">
        <v>4</v>
      </c>
      <c r="F975" t="s">
        <v>7</v>
      </c>
      <c r="G975" t="s">
        <v>11</v>
      </c>
      <c r="H975" t="s">
        <v>11</v>
      </c>
    </row>
    <row r="976" spans="1:8" x14ac:dyDescent="0.35">
      <c r="A976" t="s">
        <v>27</v>
      </c>
      <c r="B976" t="s">
        <v>91</v>
      </c>
      <c r="C976" t="s">
        <v>1470</v>
      </c>
      <c r="D976">
        <v>1</v>
      </c>
      <c r="E976">
        <v>5</v>
      </c>
      <c r="F976" t="s">
        <v>7</v>
      </c>
      <c r="G976" t="s">
        <v>11</v>
      </c>
      <c r="H976" t="s">
        <v>11</v>
      </c>
    </row>
    <row r="977" spans="1:8" x14ac:dyDescent="0.35">
      <c r="A977" t="s">
        <v>27</v>
      </c>
      <c r="B977" t="s">
        <v>91</v>
      </c>
      <c r="C977" t="s">
        <v>1588</v>
      </c>
      <c r="D977">
        <v>2</v>
      </c>
      <c r="E977">
        <v>4</v>
      </c>
      <c r="F977" t="s">
        <v>7</v>
      </c>
      <c r="G977" t="s">
        <v>11</v>
      </c>
      <c r="H977" t="s">
        <v>11</v>
      </c>
    </row>
    <row r="978" spans="1:8" x14ac:dyDescent="0.35">
      <c r="A978" t="s">
        <v>27</v>
      </c>
      <c r="B978" t="s">
        <v>91</v>
      </c>
      <c r="C978" t="s">
        <v>1991</v>
      </c>
      <c r="D978">
        <v>2</v>
      </c>
      <c r="E978">
        <v>4</v>
      </c>
      <c r="F978" t="s">
        <v>7</v>
      </c>
      <c r="G978" t="s">
        <v>11</v>
      </c>
      <c r="H978" t="s">
        <v>11</v>
      </c>
    </row>
    <row r="979" spans="1:8" x14ac:dyDescent="0.35">
      <c r="A979" t="s">
        <v>27</v>
      </c>
      <c r="B979" t="s">
        <v>91</v>
      </c>
      <c r="C979" t="s">
        <v>1992</v>
      </c>
      <c r="D979">
        <v>2</v>
      </c>
      <c r="E979">
        <v>4</v>
      </c>
      <c r="F979" t="s">
        <v>7</v>
      </c>
      <c r="G979" t="s">
        <v>11</v>
      </c>
      <c r="H979" t="s">
        <v>11</v>
      </c>
    </row>
    <row r="980" spans="1:8" x14ac:dyDescent="0.35">
      <c r="A980" t="s">
        <v>27</v>
      </c>
      <c r="B980" t="s">
        <v>91</v>
      </c>
      <c r="C980" t="s">
        <v>1993</v>
      </c>
      <c r="D980">
        <v>1</v>
      </c>
      <c r="E980">
        <v>5</v>
      </c>
      <c r="F980" t="s">
        <v>7</v>
      </c>
      <c r="G980" t="s">
        <v>11</v>
      </c>
      <c r="H980" t="s">
        <v>11</v>
      </c>
    </row>
    <row r="981" spans="1:8" x14ac:dyDescent="0.35">
      <c r="A981" t="s">
        <v>27</v>
      </c>
      <c r="B981" t="s">
        <v>91</v>
      </c>
      <c r="C981" t="s">
        <v>1994</v>
      </c>
      <c r="D981">
        <v>1</v>
      </c>
      <c r="E981">
        <v>5</v>
      </c>
      <c r="F981" t="s">
        <v>7</v>
      </c>
      <c r="G981" t="s">
        <v>11</v>
      </c>
      <c r="H981" t="s">
        <v>11</v>
      </c>
    </row>
    <row r="982" spans="1:8" x14ac:dyDescent="0.35">
      <c r="A982" t="s">
        <v>27</v>
      </c>
      <c r="B982" t="s">
        <v>91</v>
      </c>
      <c r="C982" t="s">
        <v>1995</v>
      </c>
      <c r="D982">
        <v>1</v>
      </c>
      <c r="E982">
        <v>5</v>
      </c>
      <c r="F982" t="s">
        <v>7</v>
      </c>
      <c r="G982" t="s">
        <v>11</v>
      </c>
      <c r="H982" t="s">
        <v>11</v>
      </c>
    </row>
    <row r="983" spans="1:8" x14ac:dyDescent="0.35">
      <c r="A983" t="s">
        <v>27</v>
      </c>
      <c r="B983" t="s">
        <v>91</v>
      </c>
      <c r="C983" t="s">
        <v>1996</v>
      </c>
      <c r="D983">
        <v>2</v>
      </c>
      <c r="E983">
        <v>4</v>
      </c>
      <c r="F983" t="s">
        <v>7</v>
      </c>
      <c r="G983" t="s">
        <v>11</v>
      </c>
      <c r="H983" t="s">
        <v>11</v>
      </c>
    </row>
    <row r="984" spans="1:8" x14ac:dyDescent="0.35">
      <c r="A984" t="s">
        <v>27</v>
      </c>
      <c r="B984" t="s">
        <v>91</v>
      </c>
      <c r="C984" t="s">
        <v>1997</v>
      </c>
      <c r="D984">
        <v>1</v>
      </c>
      <c r="E984">
        <v>4</v>
      </c>
      <c r="F984" t="s">
        <v>7</v>
      </c>
      <c r="G984" t="s">
        <v>11</v>
      </c>
      <c r="H984" t="s">
        <v>11</v>
      </c>
    </row>
    <row r="985" spans="1:8" x14ac:dyDescent="0.35">
      <c r="A985" t="s">
        <v>27</v>
      </c>
      <c r="B985" t="s">
        <v>91</v>
      </c>
      <c r="C985" t="s">
        <v>1998</v>
      </c>
      <c r="D985">
        <v>2</v>
      </c>
      <c r="E985">
        <v>4</v>
      </c>
      <c r="F985" t="s">
        <v>7</v>
      </c>
      <c r="G985" t="s">
        <v>11</v>
      </c>
      <c r="H985" t="s">
        <v>11</v>
      </c>
    </row>
    <row r="986" spans="1:8" x14ac:dyDescent="0.35">
      <c r="A986" t="s">
        <v>27</v>
      </c>
      <c r="B986" t="s">
        <v>91</v>
      </c>
      <c r="C986" t="s">
        <v>1999</v>
      </c>
      <c r="D986">
        <v>2</v>
      </c>
      <c r="E986">
        <v>4</v>
      </c>
      <c r="F986" t="s">
        <v>7</v>
      </c>
      <c r="G986" t="s">
        <v>11</v>
      </c>
      <c r="H986" t="s">
        <v>11</v>
      </c>
    </row>
    <row r="987" spans="1:8" x14ac:dyDescent="0.35">
      <c r="A987" t="s">
        <v>27</v>
      </c>
      <c r="B987" t="s">
        <v>91</v>
      </c>
      <c r="C987" t="s">
        <v>1744</v>
      </c>
      <c r="D987">
        <v>1</v>
      </c>
      <c r="E987">
        <v>5</v>
      </c>
      <c r="F987" t="s">
        <v>7</v>
      </c>
      <c r="G987" t="s">
        <v>11</v>
      </c>
      <c r="H987" t="s">
        <v>11</v>
      </c>
    </row>
    <row r="988" spans="1:8" x14ac:dyDescent="0.35">
      <c r="A988" t="s">
        <v>27</v>
      </c>
      <c r="B988" t="s">
        <v>91</v>
      </c>
      <c r="C988" t="s">
        <v>2000</v>
      </c>
      <c r="D988">
        <v>1</v>
      </c>
      <c r="E988">
        <v>5</v>
      </c>
      <c r="F988" t="s">
        <v>7</v>
      </c>
      <c r="G988" t="s">
        <v>11</v>
      </c>
      <c r="H988" t="s">
        <v>11</v>
      </c>
    </row>
    <row r="989" spans="1:8" x14ac:dyDescent="0.35">
      <c r="A989" t="s">
        <v>27</v>
      </c>
      <c r="B989" t="s">
        <v>91</v>
      </c>
      <c r="C989" t="s">
        <v>2001</v>
      </c>
      <c r="D989">
        <v>2</v>
      </c>
      <c r="E989">
        <v>4</v>
      </c>
      <c r="F989" t="s">
        <v>7</v>
      </c>
      <c r="G989" t="s">
        <v>11</v>
      </c>
      <c r="H989" t="s">
        <v>11</v>
      </c>
    </row>
    <row r="990" spans="1:8" x14ac:dyDescent="0.35">
      <c r="A990" t="s">
        <v>27</v>
      </c>
      <c r="B990" t="s">
        <v>91</v>
      </c>
      <c r="C990" t="s">
        <v>2002</v>
      </c>
      <c r="D990">
        <v>1</v>
      </c>
      <c r="E990">
        <v>5</v>
      </c>
      <c r="F990" t="s">
        <v>7</v>
      </c>
      <c r="G990" t="s">
        <v>11</v>
      </c>
      <c r="H990" t="s">
        <v>11</v>
      </c>
    </row>
    <row r="991" spans="1:8" x14ac:dyDescent="0.35">
      <c r="A991" t="s">
        <v>27</v>
      </c>
      <c r="B991" t="s">
        <v>91</v>
      </c>
      <c r="C991" t="s">
        <v>1376</v>
      </c>
      <c r="D991">
        <v>1</v>
      </c>
      <c r="E991">
        <v>4</v>
      </c>
      <c r="F991" t="s">
        <v>7</v>
      </c>
      <c r="G991" t="s">
        <v>11</v>
      </c>
      <c r="H991" t="s">
        <v>11</v>
      </c>
    </row>
    <row r="992" spans="1:8" x14ac:dyDescent="0.35">
      <c r="A992" t="s">
        <v>27</v>
      </c>
      <c r="B992" t="s">
        <v>91</v>
      </c>
      <c r="C992" t="s">
        <v>2003</v>
      </c>
      <c r="D992">
        <v>1</v>
      </c>
      <c r="E992">
        <v>5</v>
      </c>
      <c r="F992" t="s">
        <v>7</v>
      </c>
      <c r="G992" t="s">
        <v>11</v>
      </c>
      <c r="H992" t="s">
        <v>11</v>
      </c>
    </row>
    <row r="993" spans="1:8" x14ac:dyDescent="0.35">
      <c r="A993" t="s">
        <v>27</v>
      </c>
      <c r="B993" t="s">
        <v>91</v>
      </c>
      <c r="C993" t="s">
        <v>2004</v>
      </c>
      <c r="D993">
        <v>2</v>
      </c>
      <c r="E993">
        <v>4</v>
      </c>
      <c r="F993" t="s">
        <v>7</v>
      </c>
      <c r="G993" t="s">
        <v>11</v>
      </c>
      <c r="H993" t="s">
        <v>11</v>
      </c>
    </row>
    <row r="994" spans="1:8" x14ac:dyDescent="0.35">
      <c r="A994" t="s">
        <v>27</v>
      </c>
      <c r="B994" t="s">
        <v>91</v>
      </c>
      <c r="C994" t="s">
        <v>2005</v>
      </c>
      <c r="D994">
        <v>2</v>
      </c>
      <c r="E994">
        <v>4</v>
      </c>
      <c r="F994" t="s">
        <v>7</v>
      </c>
      <c r="G994" t="s">
        <v>11</v>
      </c>
      <c r="H994" t="s">
        <v>11</v>
      </c>
    </row>
    <row r="995" spans="1:8" x14ac:dyDescent="0.35">
      <c r="A995" t="s">
        <v>27</v>
      </c>
      <c r="B995" t="s">
        <v>91</v>
      </c>
      <c r="C995" t="s">
        <v>2006</v>
      </c>
      <c r="D995">
        <v>1</v>
      </c>
      <c r="E995">
        <v>4</v>
      </c>
      <c r="F995" t="s">
        <v>7</v>
      </c>
      <c r="G995" t="s">
        <v>11</v>
      </c>
      <c r="H995" t="s">
        <v>11</v>
      </c>
    </row>
    <row r="996" spans="1:8" x14ac:dyDescent="0.35">
      <c r="A996" t="s">
        <v>28</v>
      </c>
      <c r="B996" t="s">
        <v>109</v>
      </c>
      <c r="C996" t="s">
        <v>1895</v>
      </c>
      <c r="D996">
        <v>1</v>
      </c>
      <c r="E996">
        <v>4</v>
      </c>
      <c r="F996" t="s">
        <v>7</v>
      </c>
      <c r="G996" t="s">
        <v>11</v>
      </c>
      <c r="H996" t="s">
        <v>11</v>
      </c>
    </row>
    <row r="997" spans="1:8" x14ac:dyDescent="0.35">
      <c r="A997" t="s">
        <v>28</v>
      </c>
      <c r="B997" t="s">
        <v>109</v>
      </c>
      <c r="C997" t="s">
        <v>1854</v>
      </c>
      <c r="D997">
        <v>1</v>
      </c>
      <c r="E997">
        <v>4</v>
      </c>
      <c r="F997" t="s">
        <v>7</v>
      </c>
      <c r="G997" t="s">
        <v>11</v>
      </c>
      <c r="H997" t="s">
        <v>11</v>
      </c>
    </row>
    <row r="998" spans="1:8" x14ac:dyDescent="0.35">
      <c r="A998" t="s">
        <v>28</v>
      </c>
      <c r="B998" t="s">
        <v>109</v>
      </c>
      <c r="C998" t="s">
        <v>1940</v>
      </c>
      <c r="D998">
        <v>2</v>
      </c>
      <c r="E998">
        <v>4</v>
      </c>
      <c r="F998" t="s">
        <v>7</v>
      </c>
      <c r="G998" t="s">
        <v>11</v>
      </c>
      <c r="H998" t="s">
        <v>11</v>
      </c>
    </row>
    <row r="999" spans="1:8" x14ac:dyDescent="0.35">
      <c r="A999" t="s">
        <v>28</v>
      </c>
      <c r="B999" t="s">
        <v>109</v>
      </c>
      <c r="C999" t="s">
        <v>2007</v>
      </c>
      <c r="D999">
        <v>3</v>
      </c>
      <c r="E999">
        <v>4</v>
      </c>
      <c r="F999" t="s">
        <v>7</v>
      </c>
      <c r="G999" t="s">
        <v>11</v>
      </c>
      <c r="H999" t="s">
        <v>11</v>
      </c>
    </row>
    <row r="1000" spans="1:8" x14ac:dyDescent="0.35">
      <c r="A1000" t="s">
        <v>28</v>
      </c>
      <c r="B1000" t="s">
        <v>109</v>
      </c>
      <c r="C1000" t="s">
        <v>2008</v>
      </c>
      <c r="D1000">
        <v>1</v>
      </c>
      <c r="E1000">
        <v>4</v>
      </c>
      <c r="F1000" t="s">
        <v>7</v>
      </c>
      <c r="G1000" t="s">
        <v>11</v>
      </c>
      <c r="H1000" t="s">
        <v>11</v>
      </c>
    </row>
    <row r="1001" spans="1:8" x14ac:dyDescent="0.35">
      <c r="A1001" t="s">
        <v>28</v>
      </c>
      <c r="B1001" t="s">
        <v>109</v>
      </c>
      <c r="C1001" t="s">
        <v>2009</v>
      </c>
      <c r="D1001">
        <v>2</v>
      </c>
      <c r="E1001">
        <v>4</v>
      </c>
      <c r="F1001" t="s">
        <v>7</v>
      </c>
      <c r="G1001" t="s">
        <v>11</v>
      </c>
      <c r="H1001" t="s">
        <v>11</v>
      </c>
    </row>
    <row r="1002" spans="1:8" x14ac:dyDescent="0.35">
      <c r="A1002" t="s">
        <v>28</v>
      </c>
      <c r="B1002" t="s">
        <v>109</v>
      </c>
      <c r="C1002" t="s">
        <v>2010</v>
      </c>
      <c r="D1002">
        <v>2</v>
      </c>
      <c r="E1002">
        <v>4</v>
      </c>
      <c r="F1002" t="s">
        <v>7</v>
      </c>
      <c r="G1002" t="s">
        <v>11</v>
      </c>
      <c r="H1002" t="s">
        <v>11</v>
      </c>
    </row>
    <row r="1003" spans="1:8" x14ac:dyDescent="0.35">
      <c r="A1003" t="s">
        <v>28</v>
      </c>
      <c r="B1003" t="s">
        <v>109</v>
      </c>
      <c r="C1003" t="s">
        <v>1428</v>
      </c>
      <c r="D1003">
        <v>2</v>
      </c>
      <c r="E1003">
        <v>4</v>
      </c>
      <c r="F1003" t="s">
        <v>7</v>
      </c>
      <c r="G1003" t="s">
        <v>11</v>
      </c>
      <c r="H1003" t="s">
        <v>11</v>
      </c>
    </row>
    <row r="1004" spans="1:8" x14ac:dyDescent="0.35">
      <c r="A1004" t="s">
        <v>28</v>
      </c>
      <c r="B1004" t="s">
        <v>109</v>
      </c>
      <c r="C1004" t="s">
        <v>1944</v>
      </c>
      <c r="D1004">
        <v>1</v>
      </c>
      <c r="E1004">
        <v>4</v>
      </c>
      <c r="F1004" t="s">
        <v>7</v>
      </c>
      <c r="G1004" t="s">
        <v>11</v>
      </c>
      <c r="H1004" t="s">
        <v>11</v>
      </c>
    </row>
    <row r="1005" spans="1:8" x14ac:dyDescent="0.35">
      <c r="A1005" t="s">
        <v>28</v>
      </c>
      <c r="B1005" t="s">
        <v>109</v>
      </c>
      <c r="C1005" t="s">
        <v>2011</v>
      </c>
      <c r="D1005">
        <v>2</v>
      </c>
      <c r="E1005">
        <v>4</v>
      </c>
      <c r="F1005" t="s">
        <v>7</v>
      </c>
      <c r="G1005" t="s">
        <v>11</v>
      </c>
      <c r="H1005" t="s">
        <v>11</v>
      </c>
    </row>
    <row r="1006" spans="1:8" x14ac:dyDescent="0.35">
      <c r="A1006" t="s">
        <v>28</v>
      </c>
      <c r="B1006" t="s">
        <v>109</v>
      </c>
      <c r="C1006" t="s">
        <v>2012</v>
      </c>
      <c r="D1006">
        <v>1</v>
      </c>
      <c r="E1006">
        <v>4</v>
      </c>
      <c r="F1006" t="s">
        <v>7</v>
      </c>
      <c r="G1006" t="s">
        <v>11</v>
      </c>
      <c r="H1006" t="s">
        <v>11</v>
      </c>
    </row>
    <row r="1007" spans="1:8" x14ac:dyDescent="0.35">
      <c r="A1007" t="s">
        <v>28</v>
      </c>
      <c r="B1007" t="s">
        <v>109</v>
      </c>
      <c r="C1007" t="s">
        <v>2013</v>
      </c>
      <c r="D1007">
        <v>2</v>
      </c>
      <c r="E1007">
        <v>4</v>
      </c>
      <c r="F1007" t="s">
        <v>7</v>
      </c>
      <c r="G1007" t="s">
        <v>11</v>
      </c>
      <c r="H1007" t="s">
        <v>11</v>
      </c>
    </row>
    <row r="1008" spans="1:8" x14ac:dyDescent="0.35">
      <c r="A1008" t="s">
        <v>28</v>
      </c>
      <c r="B1008" t="s">
        <v>109</v>
      </c>
      <c r="C1008" t="s">
        <v>2014</v>
      </c>
      <c r="D1008">
        <v>2</v>
      </c>
      <c r="E1008">
        <v>4</v>
      </c>
      <c r="F1008" t="s">
        <v>7</v>
      </c>
      <c r="G1008" t="s">
        <v>11</v>
      </c>
      <c r="H1008" t="s">
        <v>11</v>
      </c>
    </row>
    <row r="1009" spans="1:8" x14ac:dyDescent="0.35">
      <c r="A1009" t="s">
        <v>28</v>
      </c>
      <c r="B1009" t="s">
        <v>109</v>
      </c>
      <c r="C1009" t="s">
        <v>2015</v>
      </c>
      <c r="D1009">
        <v>2</v>
      </c>
      <c r="E1009">
        <v>4</v>
      </c>
      <c r="F1009" t="s">
        <v>7</v>
      </c>
      <c r="G1009" t="s">
        <v>11</v>
      </c>
      <c r="H1009" t="s">
        <v>11</v>
      </c>
    </row>
    <row r="1010" spans="1:8" x14ac:dyDescent="0.35">
      <c r="A1010" t="s">
        <v>28</v>
      </c>
      <c r="B1010" t="s">
        <v>109</v>
      </c>
      <c r="C1010" t="s">
        <v>2016</v>
      </c>
      <c r="D1010">
        <v>1</v>
      </c>
      <c r="E1010">
        <v>4</v>
      </c>
      <c r="F1010" t="s">
        <v>7</v>
      </c>
      <c r="G1010" t="s">
        <v>11</v>
      </c>
      <c r="H1010" t="s">
        <v>11</v>
      </c>
    </row>
    <row r="1011" spans="1:8" x14ac:dyDescent="0.35">
      <c r="A1011" t="s">
        <v>28</v>
      </c>
      <c r="B1011" t="s">
        <v>109</v>
      </c>
      <c r="C1011" t="s">
        <v>1318</v>
      </c>
      <c r="D1011">
        <v>2</v>
      </c>
      <c r="E1011">
        <v>4</v>
      </c>
      <c r="F1011" t="s">
        <v>7</v>
      </c>
      <c r="G1011" t="s">
        <v>11</v>
      </c>
      <c r="H1011" t="s">
        <v>11</v>
      </c>
    </row>
    <row r="1012" spans="1:8" x14ac:dyDescent="0.35">
      <c r="A1012" t="s">
        <v>28</v>
      </c>
      <c r="B1012" t="s">
        <v>109</v>
      </c>
      <c r="C1012" t="s">
        <v>2017</v>
      </c>
      <c r="D1012">
        <v>2</v>
      </c>
      <c r="E1012">
        <v>4</v>
      </c>
      <c r="F1012" t="s">
        <v>7</v>
      </c>
      <c r="G1012" t="s">
        <v>11</v>
      </c>
      <c r="H1012" t="s">
        <v>11</v>
      </c>
    </row>
    <row r="1013" spans="1:8" x14ac:dyDescent="0.35">
      <c r="A1013" t="s">
        <v>28</v>
      </c>
      <c r="B1013" t="s">
        <v>109</v>
      </c>
      <c r="C1013" t="s">
        <v>2018</v>
      </c>
      <c r="D1013">
        <v>3</v>
      </c>
      <c r="E1013">
        <v>4</v>
      </c>
      <c r="F1013" t="s">
        <v>7</v>
      </c>
      <c r="G1013" t="s">
        <v>11</v>
      </c>
      <c r="H1013" t="s">
        <v>11</v>
      </c>
    </row>
    <row r="1014" spans="1:8" x14ac:dyDescent="0.35">
      <c r="A1014" t="s">
        <v>28</v>
      </c>
      <c r="B1014" t="s">
        <v>109</v>
      </c>
      <c r="C1014" t="s">
        <v>2019</v>
      </c>
      <c r="D1014">
        <v>2</v>
      </c>
      <c r="E1014">
        <v>4</v>
      </c>
      <c r="F1014" t="s">
        <v>7</v>
      </c>
      <c r="G1014" t="s">
        <v>11</v>
      </c>
      <c r="H1014" t="s">
        <v>11</v>
      </c>
    </row>
    <row r="1015" spans="1:8" x14ac:dyDescent="0.35">
      <c r="A1015" t="s">
        <v>28</v>
      </c>
      <c r="B1015" t="s">
        <v>109</v>
      </c>
      <c r="C1015" t="s">
        <v>2020</v>
      </c>
      <c r="D1015">
        <v>3</v>
      </c>
      <c r="E1015">
        <v>4</v>
      </c>
      <c r="F1015" t="s">
        <v>7</v>
      </c>
      <c r="G1015" t="s">
        <v>11</v>
      </c>
      <c r="H1015" t="s">
        <v>11</v>
      </c>
    </row>
    <row r="1016" spans="1:8" x14ac:dyDescent="0.35">
      <c r="A1016" t="s">
        <v>28</v>
      </c>
      <c r="B1016" t="s">
        <v>109</v>
      </c>
      <c r="C1016" t="s">
        <v>1430</v>
      </c>
      <c r="D1016">
        <v>2</v>
      </c>
      <c r="E1016">
        <v>4</v>
      </c>
      <c r="F1016" t="s">
        <v>7</v>
      </c>
      <c r="G1016" t="s">
        <v>11</v>
      </c>
      <c r="H1016" t="s">
        <v>11</v>
      </c>
    </row>
    <row r="1017" spans="1:8" x14ac:dyDescent="0.35">
      <c r="A1017" t="s">
        <v>28</v>
      </c>
      <c r="B1017" t="s">
        <v>109</v>
      </c>
      <c r="C1017" t="s">
        <v>2021</v>
      </c>
      <c r="D1017">
        <v>2</v>
      </c>
      <c r="E1017">
        <v>4</v>
      </c>
      <c r="F1017" t="s">
        <v>7</v>
      </c>
      <c r="G1017" t="s">
        <v>11</v>
      </c>
      <c r="H1017" t="s">
        <v>11</v>
      </c>
    </row>
    <row r="1018" spans="1:8" x14ac:dyDescent="0.35">
      <c r="A1018" t="s">
        <v>28</v>
      </c>
      <c r="B1018" t="s">
        <v>109</v>
      </c>
      <c r="C1018" t="s">
        <v>2022</v>
      </c>
      <c r="D1018">
        <v>1</v>
      </c>
      <c r="E1018">
        <v>4</v>
      </c>
      <c r="F1018" t="s">
        <v>7</v>
      </c>
      <c r="G1018" t="s">
        <v>11</v>
      </c>
      <c r="H1018" t="s">
        <v>11</v>
      </c>
    </row>
    <row r="1019" spans="1:8" x14ac:dyDescent="0.35">
      <c r="A1019" t="s">
        <v>28</v>
      </c>
      <c r="B1019" t="s">
        <v>109</v>
      </c>
      <c r="C1019" t="s">
        <v>1806</v>
      </c>
      <c r="D1019">
        <v>2</v>
      </c>
      <c r="E1019">
        <v>4</v>
      </c>
      <c r="F1019" t="s">
        <v>7</v>
      </c>
      <c r="G1019" t="s">
        <v>11</v>
      </c>
      <c r="H1019" t="s">
        <v>11</v>
      </c>
    </row>
    <row r="1020" spans="1:8" x14ac:dyDescent="0.35">
      <c r="A1020" t="s">
        <v>28</v>
      </c>
      <c r="B1020" t="s">
        <v>109</v>
      </c>
      <c r="C1020" t="s">
        <v>1432</v>
      </c>
      <c r="D1020">
        <v>1</v>
      </c>
      <c r="E1020">
        <v>4</v>
      </c>
      <c r="F1020" t="s">
        <v>7</v>
      </c>
      <c r="G1020" t="s">
        <v>11</v>
      </c>
      <c r="H1020" t="s">
        <v>11</v>
      </c>
    </row>
    <row r="1021" spans="1:8" x14ac:dyDescent="0.35">
      <c r="A1021" t="s">
        <v>28</v>
      </c>
      <c r="B1021" t="s">
        <v>109</v>
      </c>
      <c r="C1021" t="s">
        <v>1325</v>
      </c>
      <c r="D1021">
        <v>2</v>
      </c>
      <c r="E1021">
        <v>4</v>
      </c>
      <c r="F1021" t="s">
        <v>7</v>
      </c>
      <c r="G1021" t="s">
        <v>11</v>
      </c>
      <c r="H1021" t="s">
        <v>11</v>
      </c>
    </row>
    <row r="1022" spans="1:8" x14ac:dyDescent="0.35">
      <c r="A1022" t="s">
        <v>28</v>
      </c>
      <c r="B1022" t="s">
        <v>109</v>
      </c>
      <c r="C1022" t="s">
        <v>1807</v>
      </c>
      <c r="D1022">
        <v>2</v>
      </c>
      <c r="E1022">
        <v>4</v>
      </c>
      <c r="F1022" t="s">
        <v>7</v>
      </c>
      <c r="G1022" t="s">
        <v>11</v>
      </c>
      <c r="H1022" t="s">
        <v>11</v>
      </c>
    </row>
    <row r="1023" spans="1:8" x14ac:dyDescent="0.35">
      <c r="A1023" t="s">
        <v>28</v>
      </c>
      <c r="B1023" t="s">
        <v>109</v>
      </c>
      <c r="C1023" t="s">
        <v>1438</v>
      </c>
      <c r="D1023">
        <v>2</v>
      </c>
      <c r="E1023">
        <v>4</v>
      </c>
      <c r="F1023" t="s">
        <v>7</v>
      </c>
      <c r="G1023" t="s">
        <v>11</v>
      </c>
      <c r="H1023" t="s">
        <v>11</v>
      </c>
    </row>
    <row r="1024" spans="1:8" x14ac:dyDescent="0.35">
      <c r="A1024" t="s">
        <v>28</v>
      </c>
      <c r="B1024" t="s">
        <v>109</v>
      </c>
      <c r="C1024" t="s">
        <v>1809</v>
      </c>
      <c r="D1024">
        <v>1</v>
      </c>
      <c r="E1024">
        <v>4</v>
      </c>
      <c r="F1024" t="s">
        <v>7</v>
      </c>
      <c r="G1024" t="s">
        <v>11</v>
      </c>
      <c r="H1024" t="s">
        <v>11</v>
      </c>
    </row>
    <row r="1025" spans="1:8" x14ac:dyDescent="0.35">
      <c r="A1025" t="s">
        <v>28</v>
      </c>
      <c r="B1025" t="s">
        <v>109</v>
      </c>
      <c r="C1025" t="s">
        <v>1857</v>
      </c>
      <c r="D1025">
        <v>2</v>
      </c>
      <c r="E1025">
        <v>4</v>
      </c>
      <c r="F1025" t="s">
        <v>7</v>
      </c>
      <c r="G1025" t="s">
        <v>11</v>
      </c>
      <c r="H1025" t="s">
        <v>11</v>
      </c>
    </row>
    <row r="1026" spans="1:8" x14ac:dyDescent="0.35">
      <c r="A1026" t="s">
        <v>28</v>
      </c>
      <c r="B1026" t="s">
        <v>109</v>
      </c>
      <c r="C1026" t="s">
        <v>2023</v>
      </c>
      <c r="D1026">
        <v>2</v>
      </c>
      <c r="E1026">
        <v>4</v>
      </c>
      <c r="F1026" t="s">
        <v>7</v>
      </c>
      <c r="G1026" t="s">
        <v>11</v>
      </c>
      <c r="H1026" t="s">
        <v>11</v>
      </c>
    </row>
    <row r="1027" spans="1:8" x14ac:dyDescent="0.35">
      <c r="A1027" t="s">
        <v>28</v>
      </c>
      <c r="B1027" t="s">
        <v>109</v>
      </c>
      <c r="C1027" t="s">
        <v>2024</v>
      </c>
      <c r="D1027">
        <v>2</v>
      </c>
      <c r="E1027">
        <v>4</v>
      </c>
      <c r="F1027" t="s">
        <v>7</v>
      </c>
      <c r="G1027" t="s">
        <v>11</v>
      </c>
      <c r="H1027" t="s">
        <v>11</v>
      </c>
    </row>
    <row r="1028" spans="1:8" x14ac:dyDescent="0.35">
      <c r="A1028" t="s">
        <v>28</v>
      </c>
      <c r="B1028" t="s">
        <v>109</v>
      </c>
      <c r="C1028" t="s">
        <v>2025</v>
      </c>
      <c r="D1028">
        <v>2</v>
      </c>
      <c r="E1028">
        <v>4</v>
      </c>
      <c r="F1028" t="s">
        <v>7</v>
      </c>
      <c r="G1028" t="s">
        <v>11</v>
      </c>
      <c r="H1028" t="s">
        <v>11</v>
      </c>
    </row>
    <row r="1029" spans="1:8" x14ac:dyDescent="0.35">
      <c r="A1029" t="s">
        <v>28</v>
      </c>
      <c r="B1029" t="s">
        <v>109</v>
      </c>
      <c r="C1029" t="s">
        <v>1340</v>
      </c>
      <c r="D1029">
        <v>1</v>
      </c>
      <c r="E1029">
        <v>4</v>
      </c>
      <c r="F1029" t="s">
        <v>7</v>
      </c>
      <c r="G1029" t="s">
        <v>11</v>
      </c>
      <c r="H1029" t="s">
        <v>11</v>
      </c>
    </row>
    <row r="1030" spans="1:8" x14ac:dyDescent="0.35">
      <c r="A1030" t="s">
        <v>28</v>
      </c>
      <c r="B1030" t="s">
        <v>109</v>
      </c>
      <c r="C1030" t="s">
        <v>2026</v>
      </c>
      <c r="D1030">
        <v>2</v>
      </c>
      <c r="E1030">
        <v>4</v>
      </c>
      <c r="F1030" t="s">
        <v>7</v>
      </c>
      <c r="G1030" t="s">
        <v>11</v>
      </c>
      <c r="H1030" t="s">
        <v>11</v>
      </c>
    </row>
    <row r="1031" spans="1:8" x14ac:dyDescent="0.35">
      <c r="A1031" t="s">
        <v>28</v>
      </c>
      <c r="B1031" t="s">
        <v>109</v>
      </c>
      <c r="C1031" t="s">
        <v>1695</v>
      </c>
      <c r="D1031">
        <v>2</v>
      </c>
      <c r="E1031">
        <v>4</v>
      </c>
      <c r="F1031" t="s">
        <v>7</v>
      </c>
      <c r="G1031" t="s">
        <v>11</v>
      </c>
      <c r="H1031" t="s">
        <v>11</v>
      </c>
    </row>
    <row r="1032" spans="1:8" x14ac:dyDescent="0.35">
      <c r="A1032" t="s">
        <v>28</v>
      </c>
      <c r="B1032" t="s">
        <v>109</v>
      </c>
      <c r="C1032" t="s">
        <v>1341</v>
      </c>
      <c r="D1032">
        <v>1</v>
      </c>
      <c r="E1032">
        <v>4</v>
      </c>
      <c r="F1032" t="s">
        <v>7</v>
      </c>
      <c r="G1032" t="s">
        <v>11</v>
      </c>
      <c r="H1032" t="s">
        <v>11</v>
      </c>
    </row>
    <row r="1033" spans="1:8" x14ac:dyDescent="0.35">
      <c r="A1033" t="s">
        <v>28</v>
      </c>
      <c r="B1033" t="s">
        <v>109</v>
      </c>
      <c r="C1033" t="s">
        <v>1443</v>
      </c>
      <c r="D1033">
        <v>3</v>
      </c>
      <c r="E1033">
        <v>4</v>
      </c>
      <c r="F1033" t="s">
        <v>7</v>
      </c>
      <c r="G1033" t="s">
        <v>11</v>
      </c>
      <c r="H1033" t="s">
        <v>11</v>
      </c>
    </row>
    <row r="1034" spans="1:8" x14ac:dyDescent="0.35">
      <c r="A1034" t="s">
        <v>28</v>
      </c>
      <c r="B1034" t="s">
        <v>109</v>
      </c>
      <c r="C1034" t="s">
        <v>1815</v>
      </c>
      <c r="D1034">
        <v>2</v>
      </c>
      <c r="E1034">
        <v>4</v>
      </c>
      <c r="F1034" t="s">
        <v>7</v>
      </c>
      <c r="G1034" t="s">
        <v>11</v>
      </c>
      <c r="H1034" t="s">
        <v>11</v>
      </c>
    </row>
    <row r="1035" spans="1:8" x14ac:dyDescent="0.35">
      <c r="A1035" t="s">
        <v>28</v>
      </c>
      <c r="B1035" t="s">
        <v>109</v>
      </c>
      <c r="C1035" t="s">
        <v>2027</v>
      </c>
      <c r="D1035">
        <v>2</v>
      </c>
      <c r="E1035">
        <v>4</v>
      </c>
      <c r="F1035" t="s">
        <v>7</v>
      </c>
      <c r="G1035" t="s">
        <v>11</v>
      </c>
      <c r="H1035" t="s">
        <v>11</v>
      </c>
    </row>
    <row r="1036" spans="1:8" x14ac:dyDescent="0.35">
      <c r="A1036" t="s">
        <v>28</v>
      </c>
      <c r="B1036" t="s">
        <v>109</v>
      </c>
      <c r="C1036" t="s">
        <v>1445</v>
      </c>
      <c r="D1036">
        <v>2</v>
      </c>
      <c r="E1036">
        <v>4</v>
      </c>
      <c r="F1036" t="s">
        <v>7</v>
      </c>
      <c r="G1036" t="s">
        <v>11</v>
      </c>
      <c r="H1036" t="s">
        <v>11</v>
      </c>
    </row>
    <row r="1037" spans="1:8" x14ac:dyDescent="0.35">
      <c r="A1037" t="s">
        <v>28</v>
      </c>
      <c r="B1037" t="s">
        <v>109</v>
      </c>
      <c r="C1037" t="s">
        <v>2028</v>
      </c>
      <c r="D1037">
        <v>3</v>
      </c>
      <c r="E1037">
        <v>4</v>
      </c>
      <c r="F1037" t="s">
        <v>7</v>
      </c>
      <c r="G1037" t="s">
        <v>11</v>
      </c>
      <c r="H1037" t="s">
        <v>11</v>
      </c>
    </row>
    <row r="1038" spans="1:8" x14ac:dyDescent="0.35">
      <c r="A1038" t="s">
        <v>28</v>
      </c>
      <c r="B1038" t="s">
        <v>109</v>
      </c>
      <c r="C1038" t="s">
        <v>2029</v>
      </c>
      <c r="D1038">
        <v>2</v>
      </c>
      <c r="E1038">
        <v>4</v>
      </c>
      <c r="F1038" t="s">
        <v>7</v>
      </c>
      <c r="G1038" t="s">
        <v>11</v>
      </c>
      <c r="H1038" t="s">
        <v>11</v>
      </c>
    </row>
    <row r="1039" spans="1:8" x14ac:dyDescent="0.35">
      <c r="A1039" t="s">
        <v>28</v>
      </c>
      <c r="B1039" t="s">
        <v>109</v>
      </c>
      <c r="C1039" t="s">
        <v>2030</v>
      </c>
      <c r="D1039">
        <v>1</v>
      </c>
      <c r="E1039">
        <v>4</v>
      </c>
      <c r="F1039" t="s">
        <v>7</v>
      </c>
      <c r="G1039" t="s">
        <v>11</v>
      </c>
      <c r="H1039" t="s">
        <v>11</v>
      </c>
    </row>
    <row r="1040" spans="1:8" x14ac:dyDescent="0.35">
      <c r="A1040" t="s">
        <v>28</v>
      </c>
      <c r="B1040" t="s">
        <v>109</v>
      </c>
      <c r="C1040" t="s">
        <v>2031</v>
      </c>
      <c r="D1040">
        <v>2</v>
      </c>
      <c r="E1040">
        <v>4</v>
      </c>
      <c r="F1040" t="s">
        <v>7</v>
      </c>
      <c r="G1040" t="s">
        <v>11</v>
      </c>
      <c r="H1040" t="s">
        <v>11</v>
      </c>
    </row>
    <row r="1041" spans="1:8" x14ac:dyDescent="0.35">
      <c r="A1041" t="s">
        <v>28</v>
      </c>
      <c r="B1041" t="s">
        <v>109</v>
      </c>
      <c r="C1041" t="s">
        <v>1705</v>
      </c>
      <c r="D1041">
        <v>2</v>
      </c>
      <c r="E1041">
        <v>4</v>
      </c>
      <c r="F1041" t="s">
        <v>7</v>
      </c>
      <c r="G1041" t="s">
        <v>11</v>
      </c>
      <c r="H1041" t="s">
        <v>11</v>
      </c>
    </row>
    <row r="1042" spans="1:8" x14ac:dyDescent="0.35">
      <c r="A1042" t="s">
        <v>28</v>
      </c>
      <c r="B1042" t="s">
        <v>109</v>
      </c>
      <c r="C1042" t="s">
        <v>1817</v>
      </c>
      <c r="D1042">
        <v>2</v>
      </c>
      <c r="E1042">
        <v>4</v>
      </c>
      <c r="F1042" t="s">
        <v>7</v>
      </c>
      <c r="G1042" t="s">
        <v>11</v>
      </c>
      <c r="H1042" t="s">
        <v>11</v>
      </c>
    </row>
    <row r="1043" spans="1:8" x14ac:dyDescent="0.35">
      <c r="A1043" t="s">
        <v>28</v>
      </c>
      <c r="B1043" t="s">
        <v>109</v>
      </c>
      <c r="C1043" t="s">
        <v>2032</v>
      </c>
      <c r="D1043">
        <v>2</v>
      </c>
      <c r="E1043">
        <v>4</v>
      </c>
      <c r="F1043" t="s">
        <v>7</v>
      </c>
      <c r="G1043" t="s">
        <v>11</v>
      </c>
      <c r="H1043" t="s">
        <v>11</v>
      </c>
    </row>
    <row r="1044" spans="1:8" x14ac:dyDescent="0.35">
      <c r="A1044" t="s">
        <v>28</v>
      </c>
      <c r="B1044" t="s">
        <v>109</v>
      </c>
      <c r="C1044" t="s">
        <v>1864</v>
      </c>
      <c r="D1044">
        <v>1</v>
      </c>
      <c r="E1044">
        <v>4</v>
      </c>
      <c r="F1044" t="s">
        <v>7</v>
      </c>
      <c r="G1044" t="s">
        <v>11</v>
      </c>
      <c r="H1044" t="s">
        <v>11</v>
      </c>
    </row>
    <row r="1045" spans="1:8" x14ac:dyDescent="0.35">
      <c r="A1045" t="s">
        <v>28</v>
      </c>
      <c r="B1045" t="s">
        <v>109</v>
      </c>
      <c r="C1045" t="s">
        <v>1708</v>
      </c>
      <c r="D1045">
        <v>1</v>
      </c>
      <c r="E1045">
        <v>4</v>
      </c>
      <c r="F1045" t="s">
        <v>7</v>
      </c>
      <c r="G1045" t="s">
        <v>11</v>
      </c>
      <c r="H1045" t="s">
        <v>11</v>
      </c>
    </row>
    <row r="1046" spans="1:8" x14ac:dyDescent="0.35">
      <c r="A1046" t="s">
        <v>28</v>
      </c>
      <c r="B1046" t="s">
        <v>109</v>
      </c>
      <c r="C1046" t="s">
        <v>1818</v>
      </c>
      <c r="D1046">
        <v>2</v>
      </c>
      <c r="E1046">
        <v>4</v>
      </c>
      <c r="F1046" t="s">
        <v>7</v>
      </c>
      <c r="G1046" t="s">
        <v>11</v>
      </c>
      <c r="H1046" t="s">
        <v>11</v>
      </c>
    </row>
    <row r="1047" spans="1:8" x14ac:dyDescent="0.35">
      <c r="A1047" t="s">
        <v>28</v>
      </c>
      <c r="B1047" t="s">
        <v>109</v>
      </c>
      <c r="C1047" t="s">
        <v>1345</v>
      </c>
      <c r="D1047">
        <v>2</v>
      </c>
      <c r="E1047">
        <v>4</v>
      </c>
      <c r="F1047" t="s">
        <v>7</v>
      </c>
      <c r="G1047" t="s">
        <v>11</v>
      </c>
      <c r="H1047" t="s">
        <v>11</v>
      </c>
    </row>
    <row r="1048" spans="1:8" x14ac:dyDescent="0.35">
      <c r="A1048" t="s">
        <v>28</v>
      </c>
      <c r="B1048" t="s">
        <v>109</v>
      </c>
      <c r="C1048" t="s">
        <v>2033</v>
      </c>
      <c r="D1048">
        <v>3</v>
      </c>
      <c r="E1048">
        <v>4</v>
      </c>
      <c r="F1048" t="s">
        <v>7</v>
      </c>
      <c r="G1048" t="s">
        <v>11</v>
      </c>
      <c r="H1048" t="s">
        <v>11</v>
      </c>
    </row>
    <row r="1049" spans="1:8" x14ac:dyDescent="0.35">
      <c r="A1049" t="s">
        <v>28</v>
      </c>
      <c r="B1049" t="s">
        <v>109</v>
      </c>
      <c r="C1049" t="s">
        <v>2034</v>
      </c>
      <c r="D1049">
        <v>2</v>
      </c>
      <c r="E1049">
        <v>4</v>
      </c>
      <c r="F1049" t="s">
        <v>7</v>
      </c>
      <c r="G1049" t="s">
        <v>11</v>
      </c>
      <c r="H1049" t="s">
        <v>11</v>
      </c>
    </row>
    <row r="1050" spans="1:8" x14ac:dyDescent="0.35">
      <c r="A1050" t="s">
        <v>28</v>
      </c>
      <c r="B1050" t="s">
        <v>109</v>
      </c>
      <c r="C1050" t="s">
        <v>1347</v>
      </c>
      <c r="D1050">
        <v>2</v>
      </c>
      <c r="E1050">
        <v>4</v>
      </c>
      <c r="F1050" t="s">
        <v>7</v>
      </c>
      <c r="G1050" t="s">
        <v>11</v>
      </c>
      <c r="H1050" t="s">
        <v>11</v>
      </c>
    </row>
    <row r="1051" spans="1:8" x14ac:dyDescent="0.35">
      <c r="A1051" t="s">
        <v>28</v>
      </c>
      <c r="B1051" t="s">
        <v>109</v>
      </c>
      <c r="C1051" t="s">
        <v>1348</v>
      </c>
      <c r="D1051">
        <v>1</v>
      </c>
      <c r="E1051">
        <v>4</v>
      </c>
      <c r="F1051" t="s">
        <v>7</v>
      </c>
      <c r="G1051" t="s">
        <v>11</v>
      </c>
      <c r="H1051" t="s">
        <v>11</v>
      </c>
    </row>
    <row r="1052" spans="1:8" x14ac:dyDescent="0.35">
      <c r="A1052" t="s">
        <v>28</v>
      </c>
      <c r="B1052" t="s">
        <v>109</v>
      </c>
      <c r="C1052" t="s">
        <v>2035</v>
      </c>
      <c r="D1052">
        <v>1</v>
      </c>
      <c r="E1052">
        <v>4</v>
      </c>
      <c r="F1052" t="s">
        <v>7</v>
      </c>
      <c r="G1052" t="s">
        <v>11</v>
      </c>
      <c r="H1052" t="s">
        <v>11</v>
      </c>
    </row>
    <row r="1053" spans="1:8" x14ac:dyDescent="0.35">
      <c r="A1053" t="s">
        <v>28</v>
      </c>
      <c r="B1053" t="s">
        <v>109</v>
      </c>
      <c r="C1053" t="s">
        <v>1451</v>
      </c>
      <c r="D1053">
        <v>2</v>
      </c>
      <c r="E1053">
        <v>4</v>
      </c>
      <c r="F1053" t="s">
        <v>7</v>
      </c>
      <c r="G1053" t="s">
        <v>11</v>
      </c>
      <c r="H1053" t="s">
        <v>11</v>
      </c>
    </row>
    <row r="1054" spans="1:8" x14ac:dyDescent="0.35">
      <c r="A1054" t="s">
        <v>28</v>
      </c>
      <c r="B1054" t="s">
        <v>109</v>
      </c>
      <c r="C1054" t="s">
        <v>2036</v>
      </c>
      <c r="D1054">
        <v>2</v>
      </c>
      <c r="E1054">
        <v>4</v>
      </c>
      <c r="F1054" t="s">
        <v>7</v>
      </c>
      <c r="G1054" t="s">
        <v>11</v>
      </c>
      <c r="H1054" t="s">
        <v>11</v>
      </c>
    </row>
    <row r="1055" spans="1:8" x14ac:dyDescent="0.35">
      <c r="A1055" t="s">
        <v>28</v>
      </c>
      <c r="B1055" t="s">
        <v>109</v>
      </c>
      <c r="C1055" t="s">
        <v>2037</v>
      </c>
      <c r="D1055">
        <v>2</v>
      </c>
      <c r="E1055">
        <v>4</v>
      </c>
      <c r="F1055" t="s">
        <v>7</v>
      </c>
      <c r="G1055" t="s">
        <v>11</v>
      </c>
      <c r="H1055" t="s">
        <v>11</v>
      </c>
    </row>
    <row r="1056" spans="1:8" x14ac:dyDescent="0.35">
      <c r="A1056" t="s">
        <v>28</v>
      </c>
      <c r="B1056" t="s">
        <v>109</v>
      </c>
      <c r="C1056" t="s">
        <v>1825</v>
      </c>
      <c r="D1056">
        <v>2</v>
      </c>
      <c r="E1056">
        <v>4</v>
      </c>
      <c r="F1056" t="s">
        <v>7</v>
      </c>
      <c r="G1056" t="s">
        <v>11</v>
      </c>
      <c r="H1056" t="s">
        <v>11</v>
      </c>
    </row>
    <row r="1057" spans="1:8" x14ac:dyDescent="0.35">
      <c r="A1057" t="s">
        <v>28</v>
      </c>
      <c r="B1057" t="s">
        <v>109</v>
      </c>
      <c r="C1057" t="s">
        <v>2038</v>
      </c>
      <c r="D1057">
        <v>2</v>
      </c>
      <c r="E1057">
        <v>4</v>
      </c>
      <c r="F1057" t="s">
        <v>7</v>
      </c>
      <c r="G1057" t="s">
        <v>11</v>
      </c>
      <c r="H1057" t="s">
        <v>11</v>
      </c>
    </row>
    <row r="1058" spans="1:8" x14ac:dyDescent="0.35">
      <c r="A1058" t="s">
        <v>28</v>
      </c>
      <c r="B1058" t="s">
        <v>109</v>
      </c>
      <c r="C1058" t="s">
        <v>2039</v>
      </c>
      <c r="D1058">
        <v>2</v>
      </c>
      <c r="E1058">
        <v>4</v>
      </c>
      <c r="F1058" t="s">
        <v>7</v>
      </c>
      <c r="G1058" t="s">
        <v>11</v>
      </c>
      <c r="H1058" t="s">
        <v>11</v>
      </c>
    </row>
    <row r="1059" spans="1:8" x14ac:dyDescent="0.35">
      <c r="A1059" t="s">
        <v>28</v>
      </c>
      <c r="B1059" t="s">
        <v>109</v>
      </c>
      <c r="C1059" t="s">
        <v>1351</v>
      </c>
      <c r="D1059">
        <v>2</v>
      </c>
      <c r="E1059">
        <v>4</v>
      </c>
      <c r="F1059" t="s">
        <v>7</v>
      </c>
      <c r="G1059" t="s">
        <v>11</v>
      </c>
      <c r="H1059" t="s">
        <v>11</v>
      </c>
    </row>
    <row r="1060" spans="1:8" x14ac:dyDescent="0.35">
      <c r="A1060" t="s">
        <v>28</v>
      </c>
      <c r="B1060" t="s">
        <v>109</v>
      </c>
      <c r="C1060" t="s">
        <v>1352</v>
      </c>
      <c r="D1060">
        <v>2</v>
      </c>
      <c r="E1060">
        <v>4</v>
      </c>
      <c r="F1060" t="s">
        <v>7</v>
      </c>
      <c r="G1060" t="s">
        <v>11</v>
      </c>
      <c r="H1060" t="s">
        <v>11</v>
      </c>
    </row>
    <row r="1061" spans="1:8" x14ac:dyDescent="0.35">
      <c r="A1061" t="s">
        <v>28</v>
      </c>
      <c r="B1061" t="s">
        <v>109</v>
      </c>
      <c r="C1061" t="s">
        <v>2040</v>
      </c>
      <c r="D1061">
        <v>2</v>
      </c>
      <c r="E1061">
        <v>4</v>
      </c>
      <c r="F1061" t="s">
        <v>7</v>
      </c>
      <c r="G1061" t="s">
        <v>11</v>
      </c>
      <c r="H1061" t="s">
        <v>11</v>
      </c>
    </row>
    <row r="1062" spans="1:8" x14ac:dyDescent="0.35">
      <c r="A1062" t="s">
        <v>28</v>
      </c>
      <c r="B1062" t="s">
        <v>109</v>
      </c>
      <c r="C1062" t="s">
        <v>2041</v>
      </c>
      <c r="D1062">
        <v>2</v>
      </c>
      <c r="E1062">
        <v>4</v>
      </c>
      <c r="F1062" t="s">
        <v>7</v>
      </c>
      <c r="G1062" t="s">
        <v>11</v>
      </c>
      <c r="H1062" t="s">
        <v>11</v>
      </c>
    </row>
    <row r="1063" spans="1:8" x14ac:dyDescent="0.35">
      <c r="A1063" t="s">
        <v>28</v>
      </c>
      <c r="B1063" t="s">
        <v>109</v>
      </c>
      <c r="C1063" t="s">
        <v>1789</v>
      </c>
      <c r="D1063">
        <v>2</v>
      </c>
      <c r="E1063">
        <v>4</v>
      </c>
      <c r="F1063" t="s">
        <v>7</v>
      </c>
      <c r="G1063" t="s">
        <v>11</v>
      </c>
      <c r="H1063" t="s">
        <v>11</v>
      </c>
    </row>
    <row r="1064" spans="1:8" x14ac:dyDescent="0.35">
      <c r="A1064" t="s">
        <v>28</v>
      </c>
      <c r="B1064" t="s">
        <v>109</v>
      </c>
      <c r="C1064" t="s">
        <v>1453</v>
      </c>
      <c r="D1064">
        <v>1</v>
      </c>
      <c r="E1064">
        <v>4</v>
      </c>
      <c r="F1064" t="s">
        <v>7</v>
      </c>
      <c r="G1064" t="s">
        <v>11</v>
      </c>
      <c r="H1064" t="s">
        <v>11</v>
      </c>
    </row>
    <row r="1065" spans="1:8" x14ac:dyDescent="0.35">
      <c r="A1065" t="s">
        <v>28</v>
      </c>
      <c r="B1065" t="s">
        <v>109</v>
      </c>
      <c r="C1065" t="s">
        <v>1827</v>
      </c>
      <c r="D1065">
        <v>2</v>
      </c>
      <c r="E1065">
        <v>4</v>
      </c>
      <c r="F1065" t="s">
        <v>7</v>
      </c>
      <c r="G1065" t="s">
        <v>11</v>
      </c>
      <c r="H1065" t="s">
        <v>11</v>
      </c>
    </row>
    <row r="1066" spans="1:8" x14ac:dyDescent="0.35">
      <c r="A1066" t="s">
        <v>28</v>
      </c>
      <c r="B1066" t="s">
        <v>109</v>
      </c>
      <c r="C1066" t="s">
        <v>1455</v>
      </c>
      <c r="D1066">
        <v>2</v>
      </c>
      <c r="E1066">
        <v>4</v>
      </c>
      <c r="F1066" t="s">
        <v>7</v>
      </c>
      <c r="G1066" t="s">
        <v>11</v>
      </c>
      <c r="H1066" t="s">
        <v>11</v>
      </c>
    </row>
    <row r="1067" spans="1:8" x14ac:dyDescent="0.35">
      <c r="A1067" t="s">
        <v>28</v>
      </c>
      <c r="B1067" t="s">
        <v>109</v>
      </c>
      <c r="C1067" t="s">
        <v>1919</v>
      </c>
      <c r="D1067">
        <v>2</v>
      </c>
      <c r="E1067">
        <v>4</v>
      </c>
      <c r="F1067" t="s">
        <v>7</v>
      </c>
      <c r="G1067" t="s">
        <v>11</v>
      </c>
      <c r="H1067" t="s">
        <v>11</v>
      </c>
    </row>
    <row r="1068" spans="1:8" x14ac:dyDescent="0.35">
      <c r="A1068" t="s">
        <v>28</v>
      </c>
      <c r="B1068" t="s">
        <v>109</v>
      </c>
      <c r="C1068" t="s">
        <v>1356</v>
      </c>
      <c r="D1068">
        <v>2</v>
      </c>
      <c r="E1068">
        <v>4</v>
      </c>
      <c r="F1068" t="s">
        <v>7</v>
      </c>
      <c r="G1068" t="s">
        <v>11</v>
      </c>
      <c r="H1068" t="s">
        <v>11</v>
      </c>
    </row>
    <row r="1069" spans="1:8" x14ac:dyDescent="0.35">
      <c r="A1069" t="s">
        <v>28</v>
      </c>
      <c r="B1069" t="s">
        <v>109</v>
      </c>
      <c r="C1069" t="s">
        <v>2042</v>
      </c>
      <c r="D1069">
        <v>2</v>
      </c>
      <c r="E1069">
        <v>4</v>
      </c>
      <c r="F1069" t="s">
        <v>7</v>
      </c>
      <c r="G1069" t="s">
        <v>11</v>
      </c>
      <c r="H1069" t="s">
        <v>11</v>
      </c>
    </row>
    <row r="1070" spans="1:8" x14ac:dyDescent="0.35">
      <c r="A1070" t="s">
        <v>28</v>
      </c>
      <c r="B1070" t="s">
        <v>109</v>
      </c>
      <c r="C1070" t="s">
        <v>1358</v>
      </c>
      <c r="D1070">
        <v>1</v>
      </c>
      <c r="E1070">
        <v>4</v>
      </c>
      <c r="F1070" t="s">
        <v>7</v>
      </c>
      <c r="G1070" t="s">
        <v>11</v>
      </c>
      <c r="H1070" t="s">
        <v>11</v>
      </c>
    </row>
    <row r="1071" spans="1:8" x14ac:dyDescent="0.35">
      <c r="A1071" t="s">
        <v>28</v>
      </c>
      <c r="B1071" t="s">
        <v>109</v>
      </c>
      <c r="C1071" t="s">
        <v>1359</v>
      </c>
      <c r="D1071">
        <v>3</v>
      </c>
      <c r="E1071">
        <v>4</v>
      </c>
      <c r="F1071" t="s">
        <v>7</v>
      </c>
      <c r="G1071" t="s">
        <v>11</v>
      </c>
      <c r="H1071" t="s">
        <v>11</v>
      </c>
    </row>
    <row r="1072" spans="1:8" x14ac:dyDescent="0.35">
      <c r="A1072" t="s">
        <v>28</v>
      </c>
      <c r="B1072" t="s">
        <v>109</v>
      </c>
      <c r="C1072" t="s">
        <v>1633</v>
      </c>
      <c r="D1072">
        <v>2</v>
      </c>
      <c r="E1072">
        <v>4</v>
      </c>
      <c r="F1072" t="s">
        <v>7</v>
      </c>
      <c r="G1072" t="s">
        <v>11</v>
      </c>
      <c r="H1072" t="s">
        <v>11</v>
      </c>
    </row>
    <row r="1073" spans="1:8" x14ac:dyDescent="0.35">
      <c r="A1073" t="s">
        <v>28</v>
      </c>
      <c r="B1073" t="s">
        <v>109</v>
      </c>
      <c r="C1073" t="s">
        <v>1829</v>
      </c>
      <c r="D1073">
        <v>2</v>
      </c>
      <c r="E1073">
        <v>4</v>
      </c>
      <c r="F1073" t="s">
        <v>7</v>
      </c>
      <c r="G1073" t="s">
        <v>11</v>
      </c>
      <c r="H1073" t="s">
        <v>11</v>
      </c>
    </row>
    <row r="1074" spans="1:8" x14ac:dyDescent="0.35">
      <c r="A1074" t="s">
        <v>28</v>
      </c>
      <c r="B1074" t="s">
        <v>109</v>
      </c>
      <c r="C1074" t="s">
        <v>2043</v>
      </c>
      <c r="D1074">
        <v>3</v>
      </c>
      <c r="E1074">
        <v>4</v>
      </c>
      <c r="F1074" t="s">
        <v>7</v>
      </c>
      <c r="G1074" t="s">
        <v>11</v>
      </c>
      <c r="H1074" t="s">
        <v>11</v>
      </c>
    </row>
    <row r="1075" spans="1:8" x14ac:dyDescent="0.35">
      <c r="A1075" t="s">
        <v>28</v>
      </c>
      <c r="B1075" t="s">
        <v>109</v>
      </c>
      <c r="C1075" t="s">
        <v>2044</v>
      </c>
      <c r="D1075">
        <v>2</v>
      </c>
      <c r="E1075">
        <v>4</v>
      </c>
      <c r="F1075" t="s">
        <v>7</v>
      </c>
      <c r="G1075" t="s">
        <v>11</v>
      </c>
      <c r="H1075" t="s">
        <v>11</v>
      </c>
    </row>
    <row r="1076" spans="1:8" x14ac:dyDescent="0.35">
      <c r="A1076" t="s">
        <v>28</v>
      </c>
      <c r="B1076" t="s">
        <v>109</v>
      </c>
      <c r="C1076" t="s">
        <v>1833</v>
      </c>
      <c r="D1076">
        <v>2</v>
      </c>
      <c r="E1076">
        <v>4</v>
      </c>
      <c r="F1076" t="s">
        <v>7</v>
      </c>
      <c r="G1076" t="s">
        <v>11</v>
      </c>
      <c r="H1076" t="s">
        <v>11</v>
      </c>
    </row>
    <row r="1077" spans="1:8" x14ac:dyDescent="0.35">
      <c r="A1077" t="s">
        <v>28</v>
      </c>
      <c r="B1077" t="s">
        <v>109</v>
      </c>
      <c r="C1077" t="s">
        <v>1972</v>
      </c>
      <c r="D1077">
        <v>2</v>
      </c>
      <c r="E1077">
        <v>4</v>
      </c>
      <c r="F1077" t="s">
        <v>7</v>
      </c>
      <c r="G1077" t="s">
        <v>11</v>
      </c>
      <c r="H1077" t="s">
        <v>11</v>
      </c>
    </row>
    <row r="1078" spans="1:8" x14ac:dyDescent="0.35">
      <c r="A1078" t="s">
        <v>28</v>
      </c>
      <c r="B1078" t="s">
        <v>109</v>
      </c>
      <c r="C1078" t="s">
        <v>2045</v>
      </c>
      <c r="D1078">
        <v>2</v>
      </c>
      <c r="E1078">
        <v>4</v>
      </c>
      <c r="F1078" t="s">
        <v>7</v>
      </c>
      <c r="G1078" t="s">
        <v>11</v>
      </c>
      <c r="H1078" t="s">
        <v>11</v>
      </c>
    </row>
    <row r="1079" spans="1:8" x14ac:dyDescent="0.35">
      <c r="A1079" t="s">
        <v>28</v>
      </c>
      <c r="B1079" t="s">
        <v>109</v>
      </c>
      <c r="C1079" t="s">
        <v>1835</v>
      </c>
      <c r="D1079">
        <v>1</v>
      </c>
      <c r="E1079">
        <v>4</v>
      </c>
      <c r="F1079" t="s">
        <v>7</v>
      </c>
      <c r="G1079" t="s">
        <v>11</v>
      </c>
      <c r="H1079" t="s">
        <v>11</v>
      </c>
    </row>
    <row r="1080" spans="1:8" x14ac:dyDescent="0.35">
      <c r="A1080" t="s">
        <v>28</v>
      </c>
      <c r="B1080" t="s">
        <v>109</v>
      </c>
      <c r="C1080" t="s">
        <v>2046</v>
      </c>
      <c r="D1080">
        <v>1</v>
      </c>
      <c r="E1080">
        <v>4</v>
      </c>
      <c r="F1080" t="s">
        <v>7</v>
      </c>
      <c r="G1080" t="s">
        <v>11</v>
      </c>
      <c r="H1080" t="s">
        <v>11</v>
      </c>
    </row>
    <row r="1081" spans="1:8" x14ac:dyDescent="0.35">
      <c r="A1081" t="s">
        <v>28</v>
      </c>
      <c r="B1081" t="s">
        <v>109</v>
      </c>
      <c r="C1081" t="s">
        <v>1361</v>
      </c>
      <c r="D1081">
        <v>1</v>
      </c>
      <c r="E1081">
        <v>4</v>
      </c>
      <c r="F1081" t="s">
        <v>7</v>
      </c>
      <c r="G1081" t="s">
        <v>11</v>
      </c>
      <c r="H1081" t="s">
        <v>11</v>
      </c>
    </row>
    <row r="1082" spans="1:8" x14ac:dyDescent="0.35">
      <c r="A1082" t="s">
        <v>28</v>
      </c>
      <c r="B1082" t="s">
        <v>109</v>
      </c>
      <c r="C1082" t="s">
        <v>1362</v>
      </c>
      <c r="D1082">
        <v>2</v>
      </c>
      <c r="E1082">
        <v>4</v>
      </c>
      <c r="F1082" t="s">
        <v>7</v>
      </c>
      <c r="G1082" t="s">
        <v>11</v>
      </c>
      <c r="H1082" t="s">
        <v>11</v>
      </c>
    </row>
    <row r="1083" spans="1:8" x14ac:dyDescent="0.35">
      <c r="A1083" t="s">
        <v>28</v>
      </c>
      <c r="B1083" t="s">
        <v>109</v>
      </c>
      <c r="C1083" t="s">
        <v>1363</v>
      </c>
      <c r="D1083">
        <v>2</v>
      </c>
      <c r="E1083">
        <v>4</v>
      </c>
      <c r="F1083" t="s">
        <v>7</v>
      </c>
      <c r="G1083" t="s">
        <v>11</v>
      </c>
      <c r="H1083" t="s">
        <v>11</v>
      </c>
    </row>
    <row r="1084" spans="1:8" x14ac:dyDescent="0.35">
      <c r="A1084" t="s">
        <v>28</v>
      </c>
      <c r="B1084" t="s">
        <v>109</v>
      </c>
      <c r="C1084" t="s">
        <v>2047</v>
      </c>
      <c r="D1084">
        <v>2</v>
      </c>
      <c r="E1084">
        <v>4</v>
      </c>
      <c r="F1084" t="s">
        <v>7</v>
      </c>
      <c r="G1084" t="s">
        <v>11</v>
      </c>
      <c r="H1084" t="s">
        <v>11</v>
      </c>
    </row>
    <row r="1085" spans="1:8" x14ac:dyDescent="0.35">
      <c r="A1085" t="s">
        <v>28</v>
      </c>
      <c r="B1085" t="s">
        <v>109</v>
      </c>
      <c r="C1085" t="s">
        <v>2048</v>
      </c>
      <c r="D1085">
        <v>1</v>
      </c>
      <c r="E1085">
        <v>4</v>
      </c>
      <c r="F1085" t="s">
        <v>7</v>
      </c>
      <c r="G1085" t="s">
        <v>11</v>
      </c>
      <c r="H1085" t="s">
        <v>11</v>
      </c>
    </row>
    <row r="1086" spans="1:8" x14ac:dyDescent="0.35">
      <c r="A1086" t="s">
        <v>28</v>
      </c>
      <c r="B1086" t="s">
        <v>109</v>
      </c>
      <c r="C1086" t="s">
        <v>2049</v>
      </c>
      <c r="D1086">
        <v>2</v>
      </c>
      <c r="E1086">
        <v>4</v>
      </c>
      <c r="F1086" t="s">
        <v>7</v>
      </c>
      <c r="G1086" t="s">
        <v>11</v>
      </c>
      <c r="H1086" t="s">
        <v>11</v>
      </c>
    </row>
    <row r="1087" spans="1:8" x14ac:dyDescent="0.35">
      <c r="A1087" t="s">
        <v>28</v>
      </c>
      <c r="B1087" t="s">
        <v>109</v>
      </c>
      <c r="C1087" t="s">
        <v>1874</v>
      </c>
      <c r="D1087">
        <v>2</v>
      </c>
      <c r="E1087">
        <v>4</v>
      </c>
      <c r="F1087" t="s">
        <v>7</v>
      </c>
      <c r="G1087" t="s">
        <v>11</v>
      </c>
      <c r="H1087" t="s">
        <v>11</v>
      </c>
    </row>
    <row r="1088" spans="1:8" x14ac:dyDescent="0.35">
      <c r="A1088" t="s">
        <v>28</v>
      </c>
      <c r="B1088" t="s">
        <v>109</v>
      </c>
      <c r="C1088" t="s">
        <v>2050</v>
      </c>
      <c r="D1088">
        <v>2</v>
      </c>
      <c r="E1088">
        <v>4</v>
      </c>
      <c r="F1088" t="s">
        <v>7</v>
      </c>
      <c r="G1088" t="s">
        <v>11</v>
      </c>
      <c r="H1088" t="s">
        <v>11</v>
      </c>
    </row>
    <row r="1089" spans="1:8" x14ac:dyDescent="0.35">
      <c r="A1089" t="s">
        <v>28</v>
      </c>
      <c r="B1089" t="s">
        <v>109</v>
      </c>
      <c r="C1089" t="s">
        <v>1875</v>
      </c>
      <c r="D1089">
        <v>2</v>
      </c>
      <c r="E1089">
        <v>4</v>
      </c>
      <c r="F1089" t="s">
        <v>7</v>
      </c>
      <c r="G1089" t="s">
        <v>11</v>
      </c>
      <c r="H1089" t="s">
        <v>11</v>
      </c>
    </row>
    <row r="1090" spans="1:8" x14ac:dyDescent="0.35">
      <c r="A1090" t="s">
        <v>28</v>
      </c>
      <c r="B1090" t="s">
        <v>109</v>
      </c>
      <c r="C1090" t="s">
        <v>2051</v>
      </c>
      <c r="D1090">
        <v>2</v>
      </c>
      <c r="E1090">
        <v>4</v>
      </c>
      <c r="F1090" t="s">
        <v>7</v>
      </c>
      <c r="G1090" t="s">
        <v>11</v>
      </c>
      <c r="H1090" t="s">
        <v>11</v>
      </c>
    </row>
    <row r="1091" spans="1:8" x14ac:dyDescent="0.35">
      <c r="A1091" t="s">
        <v>28</v>
      </c>
      <c r="B1091" t="s">
        <v>109</v>
      </c>
      <c r="C1091" t="s">
        <v>2052</v>
      </c>
      <c r="D1091">
        <v>1</v>
      </c>
      <c r="E1091">
        <v>4</v>
      </c>
      <c r="F1091" t="s">
        <v>7</v>
      </c>
      <c r="G1091" t="s">
        <v>11</v>
      </c>
      <c r="H1091" t="s">
        <v>11</v>
      </c>
    </row>
    <row r="1092" spans="1:8" x14ac:dyDescent="0.35">
      <c r="A1092" t="s">
        <v>28</v>
      </c>
      <c r="B1092" t="s">
        <v>109</v>
      </c>
      <c r="C1092" t="s">
        <v>1364</v>
      </c>
      <c r="D1092">
        <v>2</v>
      </c>
      <c r="E1092">
        <v>4</v>
      </c>
      <c r="F1092" t="s">
        <v>7</v>
      </c>
      <c r="G1092" t="s">
        <v>11</v>
      </c>
      <c r="H1092" t="s">
        <v>11</v>
      </c>
    </row>
    <row r="1093" spans="1:8" x14ac:dyDescent="0.35">
      <c r="A1093" t="s">
        <v>28</v>
      </c>
      <c r="B1093" t="s">
        <v>109</v>
      </c>
      <c r="C1093" t="s">
        <v>1366</v>
      </c>
      <c r="D1093">
        <v>2</v>
      </c>
      <c r="E1093">
        <v>4</v>
      </c>
      <c r="F1093" t="s">
        <v>7</v>
      </c>
      <c r="G1093" t="s">
        <v>11</v>
      </c>
      <c r="H1093" t="s">
        <v>11</v>
      </c>
    </row>
    <row r="1094" spans="1:8" x14ac:dyDescent="0.35">
      <c r="A1094" t="s">
        <v>28</v>
      </c>
      <c r="B1094" t="s">
        <v>109</v>
      </c>
      <c r="C1094" t="s">
        <v>2053</v>
      </c>
      <c r="D1094">
        <v>2</v>
      </c>
      <c r="E1094">
        <v>4</v>
      </c>
      <c r="F1094" t="s">
        <v>7</v>
      </c>
      <c r="G1094" t="s">
        <v>11</v>
      </c>
      <c r="H1094" t="s">
        <v>11</v>
      </c>
    </row>
    <row r="1095" spans="1:8" x14ac:dyDescent="0.35">
      <c r="A1095" t="s">
        <v>28</v>
      </c>
      <c r="B1095" t="s">
        <v>109</v>
      </c>
      <c r="C1095" t="s">
        <v>1467</v>
      </c>
      <c r="D1095">
        <v>1</v>
      </c>
      <c r="E1095">
        <v>4</v>
      </c>
      <c r="F1095" t="s">
        <v>7</v>
      </c>
      <c r="G1095" t="s">
        <v>11</v>
      </c>
      <c r="H1095" t="s">
        <v>11</v>
      </c>
    </row>
    <row r="1096" spans="1:8" x14ac:dyDescent="0.35">
      <c r="A1096" t="s">
        <v>28</v>
      </c>
      <c r="B1096" t="s">
        <v>109</v>
      </c>
      <c r="C1096" t="s">
        <v>2054</v>
      </c>
      <c r="D1096">
        <v>1</v>
      </c>
      <c r="E1096">
        <v>4</v>
      </c>
      <c r="F1096" t="s">
        <v>7</v>
      </c>
      <c r="G1096" t="s">
        <v>11</v>
      </c>
      <c r="H1096" t="s">
        <v>11</v>
      </c>
    </row>
    <row r="1097" spans="1:8" x14ac:dyDescent="0.35">
      <c r="A1097" t="s">
        <v>28</v>
      </c>
      <c r="B1097" t="s">
        <v>109</v>
      </c>
      <c r="C1097" t="s">
        <v>2055</v>
      </c>
      <c r="D1097">
        <v>2</v>
      </c>
      <c r="E1097">
        <v>4</v>
      </c>
      <c r="F1097" t="s">
        <v>7</v>
      </c>
      <c r="G1097" t="s">
        <v>11</v>
      </c>
      <c r="H1097" t="s">
        <v>11</v>
      </c>
    </row>
    <row r="1098" spans="1:8" x14ac:dyDescent="0.35">
      <c r="A1098" t="s">
        <v>28</v>
      </c>
      <c r="B1098" t="s">
        <v>109</v>
      </c>
      <c r="C1098" t="s">
        <v>2056</v>
      </c>
      <c r="D1098">
        <v>2</v>
      </c>
      <c r="E1098">
        <v>4</v>
      </c>
      <c r="F1098" t="s">
        <v>7</v>
      </c>
      <c r="G1098" t="s">
        <v>11</v>
      </c>
      <c r="H1098" t="s">
        <v>11</v>
      </c>
    </row>
    <row r="1099" spans="1:8" x14ac:dyDescent="0.35">
      <c r="A1099" t="s">
        <v>28</v>
      </c>
      <c r="B1099" t="s">
        <v>109</v>
      </c>
      <c r="C1099" t="s">
        <v>1368</v>
      </c>
      <c r="D1099">
        <v>1</v>
      </c>
      <c r="E1099">
        <v>4</v>
      </c>
      <c r="F1099" t="s">
        <v>7</v>
      </c>
      <c r="G1099" t="s">
        <v>11</v>
      </c>
      <c r="H1099" t="s">
        <v>11</v>
      </c>
    </row>
    <row r="1100" spans="1:8" x14ac:dyDescent="0.35">
      <c r="A1100" t="s">
        <v>28</v>
      </c>
      <c r="B1100" t="s">
        <v>109</v>
      </c>
      <c r="C1100" t="s">
        <v>1470</v>
      </c>
      <c r="D1100">
        <v>1</v>
      </c>
      <c r="E1100">
        <v>4</v>
      </c>
      <c r="F1100" t="s">
        <v>7</v>
      </c>
      <c r="G1100" t="s">
        <v>11</v>
      </c>
      <c r="H1100" t="s">
        <v>11</v>
      </c>
    </row>
    <row r="1101" spans="1:8" x14ac:dyDescent="0.35">
      <c r="A1101" t="s">
        <v>28</v>
      </c>
      <c r="B1101" t="s">
        <v>109</v>
      </c>
      <c r="C1101" t="s">
        <v>1370</v>
      </c>
      <c r="D1101">
        <v>2</v>
      </c>
      <c r="E1101">
        <v>4</v>
      </c>
      <c r="F1101" t="s">
        <v>7</v>
      </c>
      <c r="G1101" t="s">
        <v>11</v>
      </c>
      <c r="H1101" t="s">
        <v>11</v>
      </c>
    </row>
    <row r="1102" spans="1:8" x14ac:dyDescent="0.35">
      <c r="A1102" t="s">
        <v>28</v>
      </c>
      <c r="B1102" t="s">
        <v>109</v>
      </c>
      <c r="C1102" t="s">
        <v>2057</v>
      </c>
      <c r="D1102">
        <v>2</v>
      </c>
      <c r="E1102">
        <v>4</v>
      </c>
      <c r="F1102" t="s">
        <v>7</v>
      </c>
      <c r="G1102" t="s">
        <v>11</v>
      </c>
      <c r="H1102" t="s">
        <v>11</v>
      </c>
    </row>
    <row r="1103" spans="1:8" x14ac:dyDescent="0.35">
      <c r="A1103" t="s">
        <v>28</v>
      </c>
      <c r="B1103" t="s">
        <v>109</v>
      </c>
      <c r="C1103" t="s">
        <v>1881</v>
      </c>
      <c r="D1103">
        <v>2</v>
      </c>
      <c r="E1103">
        <v>4</v>
      </c>
      <c r="F1103" t="s">
        <v>7</v>
      </c>
      <c r="G1103" t="s">
        <v>11</v>
      </c>
      <c r="H1103" t="s">
        <v>11</v>
      </c>
    </row>
    <row r="1104" spans="1:8" x14ac:dyDescent="0.35">
      <c r="A1104" t="s">
        <v>28</v>
      </c>
      <c r="B1104" t="s">
        <v>109</v>
      </c>
      <c r="C1104" t="s">
        <v>1649</v>
      </c>
      <c r="D1104">
        <v>1</v>
      </c>
      <c r="E1104">
        <v>4</v>
      </c>
      <c r="F1104" t="s">
        <v>7</v>
      </c>
      <c r="G1104" t="s">
        <v>11</v>
      </c>
      <c r="H1104" t="s">
        <v>11</v>
      </c>
    </row>
    <row r="1105" spans="1:8" x14ac:dyDescent="0.35">
      <c r="A1105" t="s">
        <v>28</v>
      </c>
      <c r="B1105" t="s">
        <v>109</v>
      </c>
      <c r="C1105" t="s">
        <v>2058</v>
      </c>
      <c r="D1105">
        <v>2</v>
      </c>
      <c r="E1105">
        <v>4</v>
      </c>
      <c r="F1105" t="s">
        <v>7</v>
      </c>
      <c r="G1105" t="s">
        <v>11</v>
      </c>
      <c r="H1105" t="s">
        <v>11</v>
      </c>
    </row>
    <row r="1106" spans="1:8" x14ac:dyDescent="0.35">
      <c r="A1106" t="s">
        <v>28</v>
      </c>
      <c r="B1106" t="s">
        <v>109</v>
      </c>
      <c r="C1106" t="s">
        <v>2059</v>
      </c>
      <c r="D1106">
        <v>2</v>
      </c>
      <c r="E1106">
        <v>4</v>
      </c>
      <c r="F1106" t="s">
        <v>7</v>
      </c>
      <c r="G1106" t="s">
        <v>11</v>
      </c>
      <c r="H1106" t="s">
        <v>11</v>
      </c>
    </row>
    <row r="1107" spans="1:8" x14ac:dyDescent="0.35">
      <c r="A1107" t="s">
        <v>28</v>
      </c>
      <c r="B1107" t="s">
        <v>109</v>
      </c>
      <c r="C1107" t="s">
        <v>2060</v>
      </c>
      <c r="D1107">
        <v>2</v>
      </c>
      <c r="E1107">
        <v>4</v>
      </c>
      <c r="F1107" t="s">
        <v>7</v>
      </c>
      <c r="G1107" t="s">
        <v>11</v>
      </c>
      <c r="H1107" t="s">
        <v>11</v>
      </c>
    </row>
    <row r="1108" spans="1:8" x14ac:dyDescent="0.35">
      <c r="A1108" t="s">
        <v>28</v>
      </c>
      <c r="B1108" t="s">
        <v>109</v>
      </c>
      <c r="C1108" t="s">
        <v>1476</v>
      </c>
      <c r="D1108">
        <v>2</v>
      </c>
      <c r="E1108">
        <v>4</v>
      </c>
      <c r="F1108" t="s">
        <v>7</v>
      </c>
      <c r="G1108" t="s">
        <v>11</v>
      </c>
      <c r="H1108" t="s">
        <v>11</v>
      </c>
    </row>
    <row r="1109" spans="1:8" x14ac:dyDescent="0.35">
      <c r="A1109" t="s">
        <v>28</v>
      </c>
      <c r="B1109" t="s">
        <v>109</v>
      </c>
      <c r="C1109" t="s">
        <v>1754</v>
      </c>
      <c r="D1109">
        <v>1</v>
      </c>
      <c r="E1109">
        <v>4</v>
      </c>
      <c r="F1109" t="s">
        <v>7</v>
      </c>
      <c r="G1109" t="s">
        <v>11</v>
      </c>
      <c r="H1109" t="s">
        <v>11</v>
      </c>
    </row>
    <row r="1110" spans="1:8" x14ac:dyDescent="0.35">
      <c r="A1110" t="s">
        <v>28</v>
      </c>
      <c r="B1110" t="s">
        <v>109</v>
      </c>
      <c r="C1110" t="s">
        <v>1376</v>
      </c>
      <c r="D1110">
        <v>2</v>
      </c>
      <c r="E1110">
        <v>4</v>
      </c>
      <c r="F1110" t="s">
        <v>7</v>
      </c>
      <c r="G1110" t="s">
        <v>11</v>
      </c>
      <c r="H1110" t="s">
        <v>11</v>
      </c>
    </row>
    <row r="1111" spans="1:8" x14ac:dyDescent="0.35">
      <c r="A1111" t="s">
        <v>28</v>
      </c>
      <c r="B1111" t="s">
        <v>109</v>
      </c>
      <c r="C1111" t="s">
        <v>1755</v>
      </c>
      <c r="D1111">
        <v>2</v>
      </c>
      <c r="E1111">
        <v>4</v>
      </c>
      <c r="F1111" t="s">
        <v>7</v>
      </c>
      <c r="G1111" t="s">
        <v>11</v>
      </c>
      <c r="H1111" t="s">
        <v>11</v>
      </c>
    </row>
    <row r="1112" spans="1:8" x14ac:dyDescent="0.35">
      <c r="A1112" t="s">
        <v>28</v>
      </c>
      <c r="B1112" t="s">
        <v>109</v>
      </c>
      <c r="C1112" t="s">
        <v>1756</v>
      </c>
      <c r="D1112">
        <v>2</v>
      </c>
      <c r="E1112">
        <v>4</v>
      </c>
      <c r="F1112" t="s">
        <v>7</v>
      </c>
      <c r="G1112" t="s">
        <v>11</v>
      </c>
      <c r="H1112" t="s">
        <v>11</v>
      </c>
    </row>
    <row r="1113" spans="1:8" x14ac:dyDescent="0.35">
      <c r="A1113" t="s">
        <v>28</v>
      </c>
      <c r="B1113" t="s">
        <v>109</v>
      </c>
      <c r="C1113" t="s">
        <v>1894</v>
      </c>
      <c r="D1113">
        <v>2</v>
      </c>
      <c r="E1113">
        <v>4</v>
      </c>
      <c r="F1113" t="s">
        <v>7</v>
      </c>
      <c r="G1113" t="s">
        <v>11</v>
      </c>
      <c r="H1113" t="s">
        <v>11</v>
      </c>
    </row>
    <row r="1114" spans="1:8" x14ac:dyDescent="0.35">
      <c r="A1114" t="s">
        <v>28</v>
      </c>
      <c r="B1114" t="s">
        <v>109</v>
      </c>
      <c r="C1114" t="s">
        <v>2061</v>
      </c>
      <c r="D1114">
        <v>2</v>
      </c>
      <c r="E1114">
        <v>4</v>
      </c>
      <c r="F1114" t="s">
        <v>7</v>
      </c>
      <c r="G1114" t="s">
        <v>11</v>
      </c>
      <c r="H1114" t="s">
        <v>11</v>
      </c>
    </row>
    <row r="1115" spans="1:8" x14ac:dyDescent="0.35">
      <c r="A1115" t="s">
        <v>28</v>
      </c>
      <c r="B1115" t="s">
        <v>109</v>
      </c>
      <c r="C1115" t="s">
        <v>1853</v>
      </c>
      <c r="D1115">
        <v>1</v>
      </c>
      <c r="E1115">
        <v>4</v>
      </c>
      <c r="F1115" t="s">
        <v>7</v>
      </c>
      <c r="G1115" t="s">
        <v>11</v>
      </c>
      <c r="H1115" t="s">
        <v>11</v>
      </c>
    </row>
    <row r="1116" spans="1:8" x14ac:dyDescent="0.35">
      <c r="A1116" t="s">
        <v>29</v>
      </c>
      <c r="B1116" t="s">
        <v>116</v>
      </c>
      <c r="C1116" t="s">
        <v>2062</v>
      </c>
      <c r="D1116">
        <v>3</v>
      </c>
      <c r="E1116">
        <v>2</v>
      </c>
      <c r="F1116" t="s">
        <v>7</v>
      </c>
      <c r="G1116" t="s">
        <v>115</v>
      </c>
      <c r="H1116" t="s">
        <v>11</v>
      </c>
    </row>
    <row r="1117" spans="1:8" x14ac:dyDescent="0.35">
      <c r="A1117" t="s">
        <v>29</v>
      </c>
      <c r="B1117" t="s">
        <v>116</v>
      </c>
      <c r="C1117" t="s">
        <v>1854</v>
      </c>
      <c r="D1117">
        <v>3</v>
      </c>
      <c r="E1117">
        <v>2</v>
      </c>
      <c r="F1117" t="s">
        <v>7</v>
      </c>
      <c r="G1117" t="s">
        <v>115</v>
      </c>
      <c r="H1117" t="s">
        <v>11</v>
      </c>
    </row>
    <row r="1118" spans="1:8" x14ac:dyDescent="0.35">
      <c r="A1118" t="s">
        <v>29</v>
      </c>
      <c r="B1118" t="s">
        <v>116</v>
      </c>
      <c r="C1118" t="s">
        <v>2063</v>
      </c>
      <c r="D1118">
        <v>3</v>
      </c>
      <c r="E1118">
        <v>2</v>
      </c>
      <c r="F1118" t="s">
        <v>7</v>
      </c>
      <c r="G1118" t="s">
        <v>115</v>
      </c>
      <c r="H1118" t="s">
        <v>11</v>
      </c>
    </row>
    <row r="1119" spans="1:8" x14ac:dyDescent="0.35">
      <c r="A1119" t="s">
        <v>29</v>
      </c>
      <c r="B1119" t="s">
        <v>116</v>
      </c>
      <c r="C1119" t="s">
        <v>2064</v>
      </c>
      <c r="D1119">
        <v>3</v>
      </c>
      <c r="E1119">
        <v>2</v>
      </c>
      <c r="F1119" t="s">
        <v>7</v>
      </c>
      <c r="G1119" t="s">
        <v>115</v>
      </c>
      <c r="H1119" t="s">
        <v>11</v>
      </c>
    </row>
    <row r="1120" spans="1:8" x14ac:dyDescent="0.35">
      <c r="A1120" t="s">
        <v>29</v>
      </c>
      <c r="B1120" t="s">
        <v>116</v>
      </c>
      <c r="C1120" t="s">
        <v>2065</v>
      </c>
      <c r="D1120">
        <v>3</v>
      </c>
      <c r="E1120">
        <v>2</v>
      </c>
      <c r="F1120" t="s">
        <v>7</v>
      </c>
      <c r="G1120" t="s">
        <v>115</v>
      </c>
      <c r="H1120" t="s">
        <v>11</v>
      </c>
    </row>
    <row r="1121" spans="1:8" x14ac:dyDescent="0.35">
      <c r="A1121" t="s">
        <v>29</v>
      </c>
      <c r="B1121" t="s">
        <v>116</v>
      </c>
      <c r="C1121" t="s">
        <v>2066</v>
      </c>
      <c r="D1121">
        <v>3</v>
      </c>
      <c r="E1121">
        <v>2</v>
      </c>
      <c r="F1121" t="s">
        <v>7</v>
      </c>
      <c r="G1121" t="s">
        <v>115</v>
      </c>
      <c r="H1121" t="s">
        <v>11</v>
      </c>
    </row>
    <row r="1122" spans="1:8" x14ac:dyDescent="0.35">
      <c r="A1122" t="s">
        <v>29</v>
      </c>
      <c r="B1122" t="s">
        <v>116</v>
      </c>
      <c r="C1122" t="s">
        <v>2067</v>
      </c>
      <c r="D1122">
        <v>3</v>
      </c>
      <c r="E1122">
        <v>3</v>
      </c>
      <c r="F1122" t="s">
        <v>7</v>
      </c>
      <c r="G1122" t="s">
        <v>115</v>
      </c>
      <c r="H1122" t="s">
        <v>11</v>
      </c>
    </row>
    <row r="1123" spans="1:8" x14ac:dyDescent="0.35">
      <c r="A1123" t="s">
        <v>29</v>
      </c>
      <c r="B1123" t="s">
        <v>116</v>
      </c>
      <c r="C1123" t="s">
        <v>2068</v>
      </c>
      <c r="D1123">
        <v>3</v>
      </c>
      <c r="E1123">
        <v>3</v>
      </c>
      <c r="F1123" t="s">
        <v>7</v>
      </c>
      <c r="G1123" t="s">
        <v>115</v>
      </c>
      <c r="H1123" t="s">
        <v>11</v>
      </c>
    </row>
    <row r="1124" spans="1:8" x14ac:dyDescent="0.35">
      <c r="A1124" t="s">
        <v>29</v>
      </c>
      <c r="B1124" t="s">
        <v>116</v>
      </c>
      <c r="C1124" t="s">
        <v>2069</v>
      </c>
      <c r="D1124">
        <v>3</v>
      </c>
      <c r="E1124">
        <v>3</v>
      </c>
      <c r="F1124" t="s">
        <v>7</v>
      </c>
      <c r="G1124" t="s">
        <v>115</v>
      </c>
      <c r="H1124" t="s">
        <v>11</v>
      </c>
    </row>
    <row r="1125" spans="1:8" x14ac:dyDescent="0.35">
      <c r="A1125" t="s">
        <v>29</v>
      </c>
      <c r="B1125" t="s">
        <v>116</v>
      </c>
      <c r="C1125" t="s">
        <v>2070</v>
      </c>
      <c r="D1125">
        <v>3</v>
      </c>
      <c r="E1125">
        <v>2</v>
      </c>
      <c r="F1125" t="s">
        <v>7</v>
      </c>
      <c r="G1125" t="s">
        <v>115</v>
      </c>
      <c r="H1125" t="s">
        <v>11</v>
      </c>
    </row>
    <row r="1126" spans="1:8" x14ac:dyDescent="0.35">
      <c r="A1126" t="s">
        <v>29</v>
      </c>
      <c r="B1126" t="s">
        <v>116</v>
      </c>
      <c r="C1126" t="s">
        <v>2017</v>
      </c>
      <c r="D1126">
        <v>3</v>
      </c>
      <c r="E1126">
        <v>3</v>
      </c>
      <c r="F1126" t="s">
        <v>7</v>
      </c>
      <c r="G1126" t="s">
        <v>115</v>
      </c>
      <c r="H1126" t="s">
        <v>11</v>
      </c>
    </row>
    <row r="1127" spans="1:8" x14ac:dyDescent="0.35">
      <c r="A1127" t="s">
        <v>29</v>
      </c>
      <c r="B1127" t="s">
        <v>116</v>
      </c>
      <c r="C1127" t="s">
        <v>2071</v>
      </c>
      <c r="D1127">
        <v>3</v>
      </c>
      <c r="E1127">
        <v>2</v>
      </c>
      <c r="F1127" t="s">
        <v>7</v>
      </c>
      <c r="G1127" t="s">
        <v>115</v>
      </c>
      <c r="H1127" t="s">
        <v>11</v>
      </c>
    </row>
    <row r="1128" spans="1:8" x14ac:dyDescent="0.35">
      <c r="A1128" t="s">
        <v>29</v>
      </c>
      <c r="B1128" t="s">
        <v>116</v>
      </c>
      <c r="C1128" t="s">
        <v>2072</v>
      </c>
      <c r="D1128">
        <v>3</v>
      </c>
      <c r="E1128">
        <v>3</v>
      </c>
      <c r="F1128" t="s">
        <v>7</v>
      </c>
      <c r="G1128" t="s">
        <v>115</v>
      </c>
      <c r="H1128" t="s">
        <v>11</v>
      </c>
    </row>
    <row r="1129" spans="1:8" x14ac:dyDescent="0.35">
      <c r="A1129" t="s">
        <v>29</v>
      </c>
      <c r="B1129" t="s">
        <v>116</v>
      </c>
      <c r="C1129" t="s">
        <v>2073</v>
      </c>
      <c r="D1129">
        <v>3</v>
      </c>
      <c r="E1129">
        <v>3</v>
      </c>
      <c r="F1129" t="s">
        <v>7</v>
      </c>
      <c r="G1129" t="s">
        <v>115</v>
      </c>
      <c r="H1129" t="s">
        <v>11</v>
      </c>
    </row>
    <row r="1130" spans="1:8" x14ac:dyDescent="0.35">
      <c r="A1130" t="s">
        <v>29</v>
      </c>
      <c r="B1130" t="s">
        <v>116</v>
      </c>
      <c r="C1130" t="s">
        <v>2074</v>
      </c>
      <c r="D1130">
        <v>3</v>
      </c>
      <c r="E1130">
        <v>3</v>
      </c>
      <c r="F1130" t="s">
        <v>7</v>
      </c>
      <c r="G1130" t="s">
        <v>115</v>
      </c>
      <c r="H1130" t="s">
        <v>11</v>
      </c>
    </row>
    <row r="1131" spans="1:8" x14ac:dyDescent="0.35">
      <c r="A1131" t="s">
        <v>29</v>
      </c>
      <c r="B1131" t="s">
        <v>116</v>
      </c>
      <c r="C1131" t="s">
        <v>1613</v>
      </c>
      <c r="D1131">
        <v>3</v>
      </c>
      <c r="E1131">
        <v>3</v>
      </c>
      <c r="F1131" t="s">
        <v>7</v>
      </c>
      <c r="G1131" t="s">
        <v>115</v>
      </c>
      <c r="H1131" t="s">
        <v>11</v>
      </c>
    </row>
    <row r="1132" spans="1:8" x14ac:dyDescent="0.35">
      <c r="A1132" t="s">
        <v>29</v>
      </c>
      <c r="B1132" t="s">
        <v>116</v>
      </c>
      <c r="C1132" t="s">
        <v>2075</v>
      </c>
      <c r="D1132">
        <v>3</v>
      </c>
      <c r="E1132">
        <v>2</v>
      </c>
      <c r="F1132" t="s">
        <v>7</v>
      </c>
      <c r="G1132" t="s">
        <v>115</v>
      </c>
      <c r="H1132" t="s">
        <v>11</v>
      </c>
    </row>
    <row r="1133" spans="1:8" x14ac:dyDescent="0.35">
      <c r="A1133" t="s">
        <v>29</v>
      </c>
      <c r="B1133" t="s">
        <v>116</v>
      </c>
      <c r="C1133" t="s">
        <v>2076</v>
      </c>
      <c r="D1133">
        <v>3</v>
      </c>
      <c r="E1133">
        <v>3</v>
      </c>
      <c r="F1133" t="s">
        <v>7</v>
      </c>
      <c r="G1133" t="s">
        <v>11</v>
      </c>
      <c r="H1133" t="s">
        <v>11</v>
      </c>
    </row>
    <row r="1134" spans="1:8" x14ac:dyDescent="0.35">
      <c r="A1134" t="s">
        <v>29</v>
      </c>
      <c r="B1134" t="s">
        <v>116</v>
      </c>
      <c r="C1134" t="s">
        <v>2077</v>
      </c>
      <c r="D1134">
        <v>3</v>
      </c>
      <c r="E1134">
        <v>2</v>
      </c>
      <c r="F1134" t="s">
        <v>7</v>
      </c>
      <c r="G1134" t="s">
        <v>115</v>
      </c>
      <c r="H1134" t="s">
        <v>11</v>
      </c>
    </row>
    <row r="1135" spans="1:8" x14ac:dyDescent="0.35">
      <c r="A1135" t="s">
        <v>29</v>
      </c>
      <c r="B1135" t="s">
        <v>116</v>
      </c>
      <c r="C1135" t="s">
        <v>2078</v>
      </c>
      <c r="D1135">
        <v>3</v>
      </c>
      <c r="E1135">
        <v>2</v>
      </c>
      <c r="F1135" t="s">
        <v>7</v>
      </c>
      <c r="G1135" t="s">
        <v>115</v>
      </c>
      <c r="H1135" t="s">
        <v>11</v>
      </c>
    </row>
    <row r="1136" spans="1:8" x14ac:dyDescent="0.35">
      <c r="A1136" t="s">
        <v>29</v>
      </c>
      <c r="B1136" t="s">
        <v>116</v>
      </c>
      <c r="C1136" t="s">
        <v>1341</v>
      </c>
      <c r="D1136">
        <v>3</v>
      </c>
      <c r="E1136">
        <v>3</v>
      </c>
      <c r="F1136" t="s">
        <v>7</v>
      </c>
      <c r="G1136" t="s">
        <v>115</v>
      </c>
      <c r="H1136" t="s">
        <v>11</v>
      </c>
    </row>
    <row r="1137" spans="1:8" x14ac:dyDescent="0.35">
      <c r="A1137" t="s">
        <v>29</v>
      </c>
      <c r="B1137" t="s">
        <v>116</v>
      </c>
      <c r="C1137" t="s">
        <v>1445</v>
      </c>
      <c r="D1137">
        <v>3</v>
      </c>
      <c r="E1137">
        <v>3</v>
      </c>
      <c r="F1137" t="s">
        <v>7</v>
      </c>
      <c r="G1137" t="s">
        <v>115</v>
      </c>
      <c r="H1137" t="s">
        <v>11</v>
      </c>
    </row>
    <row r="1138" spans="1:8" x14ac:dyDescent="0.35">
      <c r="A1138" t="s">
        <v>29</v>
      </c>
      <c r="B1138" t="s">
        <v>116</v>
      </c>
      <c r="C1138" t="s">
        <v>2079</v>
      </c>
      <c r="D1138">
        <v>3</v>
      </c>
      <c r="E1138">
        <v>2</v>
      </c>
      <c r="F1138" t="s">
        <v>7</v>
      </c>
      <c r="G1138" t="s">
        <v>115</v>
      </c>
      <c r="H1138" t="s">
        <v>11</v>
      </c>
    </row>
    <row r="1139" spans="1:8" x14ac:dyDescent="0.35">
      <c r="A1139" t="s">
        <v>29</v>
      </c>
      <c r="B1139" t="s">
        <v>116</v>
      </c>
      <c r="C1139" t="s">
        <v>2080</v>
      </c>
      <c r="D1139">
        <v>3</v>
      </c>
      <c r="E1139">
        <v>2</v>
      </c>
      <c r="F1139" t="s">
        <v>7</v>
      </c>
      <c r="G1139" t="s">
        <v>115</v>
      </c>
      <c r="H1139" t="s">
        <v>11</v>
      </c>
    </row>
    <row r="1140" spans="1:8" x14ac:dyDescent="0.35">
      <c r="A1140" t="s">
        <v>29</v>
      </c>
      <c r="B1140" t="s">
        <v>116</v>
      </c>
      <c r="C1140" t="s">
        <v>1347</v>
      </c>
      <c r="D1140">
        <v>3</v>
      </c>
      <c r="E1140">
        <v>3</v>
      </c>
      <c r="F1140" t="s">
        <v>7</v>
      </c>
      <c r="G1140" t="s">
        <v>115</v>
      </c>
      <c r="H1140" t="s">
        <v>11</v>
      </c>
    </row>
    <row r="1141" spans="1:8" x14ac:dyDescent="0.35">
      <c r="A1141" t="s">
        <v>29</v>
      </c>
      <c r="B1141" t="s">
        <v>116</v>
      </c>
      <c r="C1141" t="s">
        <v>1348</v>
      </c>
      <c r="D1141">
        <v>3</v>
      </c>
      <c r="E1141">
        <v>2</v>
      </c>
      <c r="F1141" t="s">
        <v>7</v>
      </c>
      <c r="G1141" t="s">
        <v>115</v>
      </c>
      <c r="H1141" t="s">
        <v>11</v>
      </c>
    </row>
    <row r="1142" spans="1:8" x14ac:dyDescent="0.35">
      <c r="A1142" t="s">
        <v>29</v>
      </c>
      <c r="B1142" t="s">
        <v>116</v>
      </c>
      <c r="C1142" t="s">
        <v>2081</v>
      </c>
      <c r="D1142">
        <v>3</v>
      </c>
      <c r="E1142">
        <v>2</v>
      </c>
      <c r="F1142" t="s">
        <v>7</v>
      </c>
      <c r="G1142" t="s">
        <v>115</v>
      </c>
      <c r="H1142" t="s">
        <v>11</v>
      </c>
    </row>
    <row r="1143" spans="1:8" x14ac:dyDescent="0.35">
      <c r="A1143" t="s">
        <v>29</v>
      </c>
      <c r="B1143" t="s">
        <v>116</v>
      </c>
      <c r="C1143" t="s">
        <v>1826</v>
      </c>
      <c r="D1143">
        <v>3</v>
      </c>
      <c r="E1143">
        <v>3</v>
      </c>
      <c r="F1143" t="s">
        <v>7</v>
      </c>
      <c r="G1143" t="s">
        <v>115</v>
      </c>
      <c r="H1143" t="s">
        <v>11</v>
      </c>
    </row>
    <row r="1144" spans="1:8" x14ac:dyDescent="0.35">
      <c r="A1144" t="s">
        <v>29</v>
      </c>
      <c r="B1144" t="s">
        <v>116</v>
      </c>
      <c r="C1144" t="s">
        <v>1452</v>
      </c>
      <c r="D1144">
        <v>3</v>
      </c>
      <c r="E1144">
        <v>2</v>
      </c>
      <c r="F1144" t="s">
        <v>7</v>
      </c>
      <c r="G1144" t="s">
        <v>115</v>
      </c>
      <c r="H1144" t="s">
        <v>11</v>
      </c>
    </row>
    <row r="1145" spans="1:8" x14ac:dyDescent="0.35">
      <c r="A1145" t="s">
        <v>29</v>
      </c>
      <c r="B1145" t="s">
        <v>116</v>
      </c>
      <c r="C1145" t="s">
        <v>2082</v>
      </c>
      <c r="D1145">
        <v>3</v>
      </c>
      <c r="E1145">
        <v>2</v>
      </c>
      <c r="F1145" t="s">
        <v>7</v>
      </c>
      <c r="G1145" t="s">
        <v>115</v>
      </c>
      <c r="H1145" t="s">
        <v>11</v>
      </c>
    </row>
    <row r="1146" spans="1:8" x14ac:dyDescent="0.35">
      <c r="A1146" t="s">
        <v>29</v>
      </c>
      <c r="B1146" t="s">
        <v>116</v>
      </c>
      <c r="C1146" t="s">
        <v>1453</v>
      </c>
      <c r="D1146">
        <v>3</v>
      </c>
      <c r="E1146">
        <v>3</v>
      </c>
      <c r="F1146" t="s">
        <v>7</v>
      </c>
      <c r="G1146" t="s">
        <v>115</v>
      </c>
      <c r="H1146" t="s">
        <v>11</v>
      </c>
    </row>
    <row r="1147" spans="1:8" x14ac:dyDescent="0.35">
      <c r="A1147" t="s">
        <v>29</v>
      </c>
      <c r="B1147" t="s">
        <v>116</v>
      </c>
      <c r="C1147" t="s">
        <v>1827</v>
      </c>
      <c r="D1147">
        <v>3</v>
      </c>
      <c r="E1147">
        <v>2</v>
      </c>
      <c r="F1147" t="s">
        <v>7</v>
      </c>
      <c r="G1147" t="s">
        <v>115</v>
      </c>
      <c r="H1147" t="s">
        <v>11</v>
      </c>
    </row>
    <row r="1148" spans="1:8" x14ac:dyDescent="0.35">
      <c r="A1148" t="s">
        <v>29</v>
      </c>
      <c r="B1148" t="s">
        <v>116</v>
      </c>
      <c r="C1148" t="s">
        <v>1356</v>
      </c>
      <c r="D1148">
        <v>3</v>
      </c>
      <c r="E1148">
        <v>3</v>
      </c>
      <c r="F1148" t="s">
        <v>7</v>
      </c>
      <c r="G1148" t="s">
        <v>115</v>
      </c>
      <c r="H1148" t="s">
        <v>11</v>
      </c>
    </row>
    <row r="1149" spans="1:8" x14ac:dyDescent="0.35">
      <c r="A1149" t="s">
        <v>29</v>
      </c>
      <c r="B1149" t="s">
        <v>116</v>
      </c>
      <c r="C1149" t="s">
        <v>2083</v>
      </c>
      <c r="D1149">
        <v>3</v>
      </c>
      <c r="E1149">
        <v>3</v>
      </c>
      <c r="F1149" t="s">
        <v>7</v>
      </c>
      <c r="G1149" t="s">
        <v>11</v>
      </c>
      <c r="H1149" t="s">
        <v>11</v>
      </c>
    </row>
    <row r="1150" spans="1:8" x14ac:dyDescent="0.35">
      <c r="A1150" t="s">
        <v>29</v>
      </c>
      <c r="B1150" t="s">
        <v>116</v>
      </c>
      <c r="C1150" t="s">
        <v>2084</v>
      </c>
      <c r="D1150">
        <v>3</v>
      </c>
      <c r="E1150">
        <v>3</v>
      </c>
      <c r="F1150" t="s">
        <v>7</v>
      </c>
      <c r="G1150" t="s">
        <v>115</v>
      </c>
      <c r="H1150" t="s">
        <v>11</v>
      </c>
    </row>
    <row r="1151" spans="1:8" x14ac:dyDescent="0.35">
      <c r="A1151" t="s">
        <v>29</v>
      </c>
      <c r="B1151" t="s">
        <v>116</v>
      </c>
      <c r="C1151" t="s">
        <v>2085</v>
      </c>
      <c r="D1151">
        <v>3</v>
      </c>
      <c r="E1151">
        <v>2</v>
      </c>
      <c r="F1151" t="s">
        <v>7</v>
      </c>
      <c r="G1151" t="s">
        <v>115</v>
      </c>
      <c r="H1151" t="s">
        <v>11</v>
      </c>
    </row>
    <row r="1152" spans="1:8" x14ac:dyDescent="0.35">
      <c r="A1152" t="s">
        <v>29</v>
      </c>
      <c r="B1152" t="s">
        <v>116</v>
      </c>
      <c r="C1152" t="s">
        <v>1461</v>
      </c>
      <c r="D1152">
        <v>3</v>
      </c>
      <c r="E1152">
        <v>3</v>
      </c>
      <c r="F1152" t="s">
        <v>7</v>
      </c>
      <c r="G1152" t="s">
        <v>115</v>
      </c>
      <c r="H1152" t="s">
        <v>11</v>
      </c>
    </row>
    <row r="1153" spans="1:8" x14ac:dyDescent="0.35">
      <c r="A1153" t="s">
        <v>29</v>
      </c>
      <c r="B1153" t="s">
        <v>116</v>
      </c>
      <c r="C1153" t="s">
        <v>2086</v>
      </c>
      <c r="D1153">
        <v>3</v>
      </c>
      <c r="E1153">
        <v>2</v>
      </c>
      <c r="F1153" t="s">
        <v>7</v>
      </c>
      <c r="G1153" t="s">
        <v>115</v>
      </c>
      <c r="H1153" t="s">
        <v>11</v>
      </c>
    </row>
    <row r="1154" spans="1:8" x14ac:dyDescent="0.35">
      <c r="A1154" t="s">
        <v>29</v>
      </c>
      <c r="B1154" t="s">
        <v>116</v>
      </c>
      <c r="C1154" t="s">
        <v>2087</v>
      </c>
      <c r="D1154">
        <v>3</v>
      </c>
      <c r="E1154">
        <v>2</v>
      </c>
      <c r="F1154" t="s">
        <v>7</v>
      </c>
      <c r="G1154" t="s">
        <v>115</v>
      </c>
      <c r="H1154" t="s">
        <v>11</v>
      </c>
    </row>
    <row r="1155" spans="1:8" x14ac:dyDescent="0.35">
      <c r="A1155" t="s">
        <v>29</v>
      </c>
      <c r="B1155" t="s">
        <v>116</v>
      </c>
      <c r="C1155" t="s">
        <v>2088</v>
      </c>
      <c r="D1155">
        <v>3</v>
      </c>
      <c r="E1155">
        <v>2</v>
      </c>
      <c r="F1155" t="s">
        <v>7</v>
      </c>
      <c r="G1155" t="s">
        <v>115</v>
      </c>
      <c r="H1155" t="s">
        <v>11</v>
      </c>
    </row>
    <row r="1156" spans="1:8" x14ac:dyDescent="0.35">
      <c r="A1156" t="s">
        <v>29</v>
      </c>
      <c r="B1156" t="s">
        <v>116</v>
      </c>
      <c r="C1156" t="s">
        <v>2089</v>
      </c>
      <c r="D1156">
        <v>3</v>
      </c>
      <c r="E1156">
        <v>3</v>
      </c>
      <c r="F1156" t="s">
        <v>7</v>
      </c>
      <c r="G1156" t="s">
        <v>115</v>
      </c>
      <c r="H1156" t="s">
        <v>11</v>
      </c>
    </row>
    <row r="1157" spans="1:8" x14ac:dyDescent="0.35">
      <c r="A1157" t="s">
        <v>29</v>
      </c>
      <c r="B1157" t="s">
        <v>116</v>
      </c>
      <c r="C1157" t="s">
        <v>1840</v>
      </c>
      <c r="D1157">
        <v>3</v>
      </c>
      <c r="E1157">
        <v>3</v>
      </c>
      <c r="F1157" t="s">
        <v>7</v>
      </c>
      <c r="G1157" t="s">
        <v>115</v>
      </c>
      <c r="H1157" t="s">
        <v>11</v>
      </c>
    </row>
    <row r="1158" spans="1:8" x14ac:dyDescent="0.35">
      <c r="A1158" t="s">
        <v>29</v>
      </c>
      <c r="B1158" t="s">
        <v>116</v>
      </c>
      <c r="C1158" t="s">
        <v>2090</v>
      </c>
      <c r="D1158">
        <v>3</v>
      </c>
      <c r="E1158">
        <v>3</v>
      </c>
      <c r="F1158" t="s">
        <v>7</v>
      </c>
      <c r="G1158" t="s">
        <v>115</v>
      </c>
      <c r="H1158" t="s">
        <v>11</v>
      </c>
    </row>
    <row r="1159" spans="1:8" x14ac:dyDescent="0.35">
      <c r="A1159" t="s">
        <v>29</v>
      </c>
      <c r="B1159" t="s">
        <v>116</v>
      </c>
      <c r="C1159" t="s">
        <v>2091</v>
      </c>
      <c r="D1159">
        <v>3</v>
      </c>
      <c r="E1159">
        <v>2</v>
      </c>
      <c r="F1159" t="s">
        <v>7</v>
      </c>
      <c r="G1159" t="s">
        <v>115</v>
      </c>
      <c r="H1159" t="s">
        <v>11</v>
      </c>
    </row>
    <row r="1160" spans="1:8" x14ac:dyDescent="0.35">
      <c r="A1160" t="s">
        <v>29</v>
      </c>
      <c r="B1160" t="s">
        <v>116</v>
      </c>
      <c r="C1160" t="s">
        <v>2092</v>
      </c>
      <c r="D1160">
        <v>3</v>
      </c>
      <c r="E1160">
        <v>2</v>
      </c>
      <c r="F1160" t="s">
        <v>7</v>
      </c>
      <c r="G1160" t="s">
        <v>115</v>
      </c>
      <c r="H1160" t="s">
        <v>11</v>
      </c>
    </row>
    <row r="1161" spans="1:8" x14ac:dyDescent="0.35">
      <c r="A1161" t="s">
        <v>29</v>
      </c>
      <c r="B1161" t="s">
        <v>116</v>
      </c>
      <c r="C1161" t="s">
        <v>2093</v>
      </c>
      <c r="D1161">
        <v>3</v>
      </c>
      <c r="E1161">
        <v>2</v>
      </c>
      <c r="F1161" t="s">
        <v>7</v>
      </c>
      <c r="G1161" t="s">
        <v>115</v>
      </c>
      <c r="H1161" t="s">
        <v>11</v>
      </c>
    </row>
    <row r="1162" spans="1:8" x14ac:dyDescent="0.35">
      <c r="A1162" t="s">
        <v>29</v>
      </c>
      <c r="B1162" t="s">
        <v>116</v>
      </c>
      <c r="C1162" t="s">
        <v>2094</v>
      </c>
      <c r="D1162">
        <v>3</v>
      </c>
      <c r="E1162">
        <v>2</v>
      </c>
      <c r="F1162" t="s">
        <v>7</v>
      </c>
      <c r="G1162" t="s">
        <v>115</v>
      </c>
      <c r="H1162" t="s">
        <v>11</v>
      </c>
    </row>
    <row r="1163" spans="1:8" x14ac:dyDescent="0.35">
      <c r="A1163" t="s">
        <v>29</v>
      </c>
      <c r="B1163" t="s">
        <v>116</v>
      </c>
      <c r="C1163" t="s">
        <v>2095</v>
      </c>
      <c r="D1163">
        <v>3</v>
      </c>
      <c r="E1163">
        <v>2</v>
      </c>
      <c r="F1163" t="s">
        <v>7</v>
      </c>
      <c r="G1163" t="s">
        <v>115</v>
      </c>
      <c r="H1163" t="s">
        <v>11</v>
      </c>
    </row>
    <row r="1164" spans="1:8" x14ac:dyDescent="0.35">
      <c r="A1164" t="s">
        <v>29</v>
      </c>
      <c r="B1164" t="s">
        <v>116</v>
      </c>
      <c r="C1164" t="s">
        <v>2096</v>
      </c>
      <c r="D1164">
        <v>3</v>
      </c>
      <c r="E1164">
        <v>2</v>
      </c>
      <c r="F1164" t="s">
        <v>7</v>
      </c>
      <c r="G1164" t="s">
        <v>115</v>
      </c>
      <c r="H1164" t="s">
        <v>11</v>
      </c>
    </row>
    <row r="1165" spans="1:8" x14ac:dyDescent="0.35">
      <c r="A1165" t="s">
        <v>29</v>
      </c>
      <c r="B1165" t="s">
        <v>116</v>
      </c>
      <c r="C1165" t="s">
        <v>2097</v>
      </c>
      <c r="D1165">
        <v>3</v>
      </c>
      <c r="E1165">
        <v>2</v>
      </c>
      <c r="F1165" t="s">
        <v>7</v>
      </c>
      <c r="G1165" t="s">
        <v>115</v>
      </c>
      <c r="H1165" t="s">
        <v>11</v>
      </c>
    </row>
    <row r="1166" spans="1:8" x14ac:dyDescent="0.35">
      <c r="A1166" t="s">
        <v>29</v>
      </c>
      <c r="B1166" t="s">
        <v>116</v>
      </c>
      <c r="C1166" t="s">
        <v>2098</v>
      </c>
      <c r="D1166">
        <v>3</v>
      </c>
      <c r="E1166">
        <v>2</v>
      </c>
      <c r="F1166" t="s">
        <v>7</v>
      </c>
      <c r="G1166" t="s">
        <v>115</v>
      </c>
      <c r="H1166" t="s">
        <v>11</v>
      </c>
    </row>
    <row r="1167" spans="1:8" x14ac:dyDescent="0.35">
      <c r="A1167" t="s">
        <v>29</v>
      </c>
      <c r="B1167" t="s">
        <v>116</v>
      </c>
      <c r="C1167" t="s">
        <v>2099</v>
      </c>
      <c r="D1167">
        <v>3</v>
      </c>
      <c r="E1167">
        <v>2</v>
      </c>
      <c r="F1167" t="s">
        <v>7</v>
      </c>
      <c r="G1167" t="s">
        <v>115</v>
      </c>
      <c r="H1167" t="s">
        <v>11</v>
      </c>
    </row>
    <row r="1168" spans="1:8" x14ac:dyDescent="0.35">
      <c r="A1168" t="s">
        <v>29</v>
      </c>
      <c r="B1168" t="s">
        <v>116</v>
      </c>
      <c r="C1168" t="s">
        <v>2100</v>
      </c>
      <c r="D1168">
        <v>3</v>
      </c>
      <c r="E1168">
        <v>2</v>
      </c>
      <c r="F1168" t="s">
        <v>7</v>
      </c>
      <c r="G1168" t="s">
        <v>115</v>
      </c>
      <c r="H1168" t="s">
        <v>11</v>
      </c>
    </row>
    <row r="1169" spans="1:8" x14ac:dyDescent="0.35">
      <c r="A1169" t="s">
        <v>29</v>
      </c>
      <c r="B1169" t="s">
        <v>116</v>
      </c>
      <c r="C1169" t="s">
        <v>2101</v>
      </c>
      <c r="D1169">
        <v>3</v>
      </c>
      <c r="E1169">
        <v>3</v>
      </c>
      <c r="F1169" t="s">
        <v>7</v>
      </c>
      <c r="G1169" t="s">
        <v>115</v>
      </c>
      <c r="H1169" t="s">
        <v>11</v>
      </c>
    </row>
    <row r="1170" spans="1:8" x14ac:dyDescent="0.35">
      <c r="A1170" t="s">
        <v>29</v>
      </c>
      <c r="B1170" t="s">
        <v>116</v>
      </c>
      <c r="C1170" t="s">
        <v>2102</v>
      </c>
      <c r="D1170">
        <v>3</v>
      </c>
      <c r="E1170">
        <v>2</v>
      </c>
      <c r="F1170" t="s">
        <v>7</v>
      </c>
      <c r="G1170" t="s">
        <v>115</v>
      </c>
      <c r="H1170" t="s">
        <v>11</v>
      </c>
    </row>
    <row r="1171" spans="1:8" x14ac:dyDescent="0.35">
      <c r="A1171" t="s">
        <v>29</v>
      </c>
      <c r="B1171" t="s">
        <v>116</v>
      </c>
      <c r="C1171" t="s">
        <v>1476</v>
      </c>
      <c r="D1171">
        <v>3</v>
      </c>
      <c r="E1171">
        <v>3</v>
      </c>
      <c r="F1171" t="s">
        <v>7</v>
      </c>
      <c r="G1171" t="s">
        <v>115</v>
      </c>
      <c r="H1171" t="s">
        <v>11</v>
      </c>
    </row>
    <row r="1172" spans="1:8" x14ac:dyDescent="0.35">
      <c r="A1172" t="s">
        <v>29</v>
      </c>
      <c r="B1172" t="s">
        <v>116</v>
      </c>
      <c r="C1172" t="s">
        <v>1847</v>
      </c>
      <c r="D1172">
        <v>3</v>
      </c>
      <c r="E1172">
        <v>2</v>
      </c>
      <c r="F1172" t="s">
        <v>7</v>
      </c>
      <c r="G1172" t="s">
        <v>115</v>
      </c>
      <c r="H1172" t="s">
        <v>11</v>
      </c>
    </row>
    <row r="1173" spans="1:8" x14ac:dyDescent="0.35">
      <c r="A1173" t="s">
        <v>29</v>
      </c>
      <c r="B1173" t="s">
        <v>116</v>
      </c>
      <c r="C1173" t="s">
        <v>2103</v>
      </c>
      <c r="D1173">
        <v>3</v>
      </c>
      <c r="E1173">
        <v>3</v>
      </c>
      <c r="F1173" t="s">
        <v>7</v>
      </c>
      <c r="G1173" t="s">
        <v>115</v>
      </c>
      <c r="H1173" t="s">
        <v>11</v>
      </c>
    </row>
    <row r="1174" spans="1:8" x14ac:dyDescent="0.35">
      <c r="A1174" t="s">
        <v>29</v>
      </c>
      <c r="B1174" t="s">
        <v>116</v>
      </c>
      <c r="C1174" t="s">
        <v>1376</v>
      </c>
      <c r="D1174">
        <v>3</v>
      </c>
      <c r="E1174">
        <v>2</v>
      </c>
      <c r="F1174" t="s">
        <v>7</v>
      </c>
      <c r="G1174" t="s">
        <v>115</v>
      </c>
      <c r="H1174" t="s">
        <v>11</v>
      </c>
    </row>
    <row r="1175" spans="1:8" x14ac:dyDescent="0.35">
      <c r="A1175" t="s">
        <v>29</v>
      </c>
      <c r="B1175" t="s">
        <v>116</v>
      </c>
      <c r="C1175" t="s">
        <v>1756</v>
      </c>
      <c r="D1175">
        <v>3</v>
      </c>
      <c r="E1175">
        <v>3</v>
      </c>
      <c r="F1175" t="s">
        <v>7</v>
      </c>
      <c r="G1175" t="s">
        <v>115</v>
      </c>
      <c r="H1175" t="s">
        <v>11</v>
      </c>
    </row>
    <row r="1176" spans="1:8" x14ac:dyDescent="0.35">
      <c r="A1176" t="s">
        <v>29</v>
      </c>
      <c r="B1176" t="s">
        <v>116</v>
      </c>
      <c r="C1176" t="s">
        <v>2104</v>
      </c>
      <c r="D1176">
        <v>3</v>
      </c>
      <c r="E1176">
        <v>2</v>
      </c>
      <c r="F1176" t="s">
        <v>7</v>
      </c>
      <c r="G1176" t="s">
        <v>115</v>
      </c>
      <c r="H1176" t="s">
        <v>11</v>
      </c>
    </row>
    <row r="1177" spans="1:8" x14ac:dyDescent="0.35">
      <c r="A1177" t="s">
        <v>29</v>
      </c>
      <c r="B1177" t="s">
        <v>116</v>
      </c>
      <c r="C1177" t="s">
        <v>2105</v>
      </c>
      <c r="D1177">
        <v>3</v>
      </c>
      <c r="E1177">
        <v>3</v>
      </c>
      <c r="F1177" t="s">
        <v>7</v>
      </c>
      <c r="G1177" t="s">
        <v>11</v>
      </c>
      <c r="H1177" t="s">
        <v>11</v>
      </c>
    </row>
    <row r="1178" spans="1:8" x14ac:dyDescent="0.35">
      <c r="A1178" t="s">
        <v>29</v>
      </c>
      <c r="B1178" t="s">
        <v>116</v>
      </c>
      <c r="C1178" t="s">
        <v>2106</v>
      </c>
      <c r="D1178">
        <v>3</v>
      </c>
      <c r="E1178">
        <v>2</v>
      </c>
      <c r="F1178" t="s">
        <v>7</v>
      </c>
      <c r="G1178" t="s">
        <v>115</v>
      </c>
      <c r="H1178" t="s">
        <v>11</v>
      </c>
    </row>
    <row r="1179" spans="1:8" x14ac:dyDescent="0.35">
      <c r="A1179" t="s">
        <v>29</v>
      </c>
      <c r="B1179" t="s">
        <v>116</v>
      </c>
      <c r="C1179" t="s">
        <v>2107</v>
      </c>
      <c r="D1179">
        <v>3</v>
      </c>
      <c r="E1179">
        <v>3</v>
      </c>
      <c r="F1179" t="s">
        <v>7</v>
      </c>
      <c r="G1179" t="s">
        <v>115</v>
      </c>
      <c r="H1179" t="s">
        <v>11</v>
      </c>
    </row>
    <row r="1180" spans="1:8" x14ac:dyDescent="0.35">
      <c r="A1180" t="s">
        <v>32</v>
      </c>
      <c r="B1180" t="s">
        <v>54</v>
      </c>
      <c r="C1180" t="s">
        <v>2108</v>
      </c>
      <c r="D1180">
        <v>1</v>
      </c>
      <c r="E1180">
        <v>6</v>
      </c>
      <c r="F1180" t="s">
        <v>7</v>
      </c>
      <c r="G1180" t="s">
        <v>11</v>
      </c>
      <c r="H1180" t="s">
        <v>11</v>
      </c>
    </row>
    <row r="1181" spans="1:8" x14ac:dyDescent="0.35">
      <c r="A1181" t="s">
        <v>32</v>
      </c>
      <c r="B1181" t="s">
        <v>54</v>
      </c>
      <c r="C1181" t="s">
        <v>2109</v>
      </c>
      <c r="D1181">
        <v>1</v>
      </c>
      <c r="E1181">
        <v>7</v>
      </c>
      <c r="F1181" t="s">
        <v>11</v>
      </c>
      <c r="G1181" t="s">
        <v>11</v>
      </c>
      <c r="H1181" t="s">
        <v>11</v>
      </c>
    </row>
    <row r="1182" spans="1:8" x14ac:dyDescent="0.35">
      <c r="A1182" t="s">
        <v>32</v>
      </c>
      <c r="B1182" t="s">
        <v>54</v>
      </c>
      <c r="C1182" t="s">
        <v>1809</v>
      </c>
      <c r="D1182">
        <v>1</v>
      </c>
      <c r="E1182">
        <v>6</v>
      </c>
      <c r="F1182" t="s">
        <v>7</v>
      </c>
      <c r="G1182" t="s">
        <v>11</v>
      </c>
      <c r="H1182" t="s">
        <v>11</v>
      </c>
    </row>
    <row r="1183" spans="1:8" x14ac:dyDescent="0.35">
      <c r="A1183" t="s">
        <v>32</v>
      </c>
      <c r="B1183" t="s">
        <v>54</v>
      </c>
      <c r="C1183" t="s">
        <v>1341</v>
      </c>
      <c r="D1183">
        <v>1</v>
      </c>
      <c r="E1183">
        <v>6</v>
      </c>
      <c r="F1183" t="s">
        <v>7</v>
      </c>
      <c r="G1183" t="s">
        <v>11</v>
      </c>
      <c r="H1183" t="s">
        <v>11</v>
      </c>
    </row>
    <row r="1184" spans="1:8" x14ac:dyDescent="0.35">
      <c r="A1184" t="s">
        <v>32</v>
      </c>
      <c r="B1184" t="s">
        <v>54</v>
      </c>
      <c r="C1184" t="s">
        <v>1705</v>
      </c>
      <c r="D1184">
        <v>1</v>
      </c>
      <c r="E1184">
        <v>6</v>
      </c>
      <c r="F1184" t="s">
        <v>7</v>
      </c>
      <c r="G1184" t="s">
        <v>11</v>
      </c>
      <c r="H1184" t="s">
        <v>11</v>
      </c>
    </row>
    <row r="1185" spans="1:8" x14ac:dyDescent="0.35">
      <c r="A1185" t="s">
        <v>32</v>
      </c>
      <c r="B1185" t="s">
        <v>54</v>
      </c>
      <c r="C1185" t="s">
        <v>2110</v>
      </c>
      <c r="D1185">
        <v>1</v>
      </c>
      <c r="E1185">
        <v>6</v>
      </c>
      <c r="F1185" t="s">
        <v>7</v>
      </c>
      <c r="G1185" t="s">
        <v>11</v>
      </c>
      <c r="H1185" t="s">
        <v>11</v>
      </c>
    </row>
    <row r="1186" spans="1:8" x14ac:dyDescent="0.35">
      <c r="A1186" t="s">
        <v>32</v>
      </c>
      <c r="B1186" t="s">
        <v>54</v>
      </c>
      <c r="C1186" t="s">
        <v>1825</v>
      </c>
      <c r="D1186">
        <v>2</v>
      </c>
      <c r="E1186">
        <v>6</v>
      </c>
      <c r="F1186" t="s">
        <v>7</v>
      </c>
      <c r="G1186" t="s">
        <v>11</v>
      </c>
      <c r="H1186" t="s">
        <v>11</v>
      </c>
    </row>
    <row r="1187" spans="1:8" x14ac:dyDescent="0.35">
      <c r="A1187" t="s">
        <v>32</v>
      </c>
      <c r="B1187" t="s">
        <v>54</v>
      </c>
      <c r="C1187" t="s">
        <v>1453</v>
      </c>
      <c r="D1187">
        <v>1</v>
      </c>
      <c r="E1187">
        <v>6</v>
      </c>
      <c r="F1187" t="s">
        <v>7</v>
      </c>
      <c r="G1187" t="s">
        <v>11</v>
      </c>
      <c r="H1187" t="s">
        <v>11</v>
      </c>
    </row>
    <row r="1188" spans="1:8" x14ac:dyDescent="0.35">
      <c r="A1188" t="s">
        <v>32</v>
      </c>
      <c r="B1188" t="s">
        <v>54</v>
      </c>
      <c r="C1188" t="s">
        <v>2111</v>
      </c>
      <c r="D1188">
        <v>1</v>
      </c>
      <c r="E1188">
        <v>6</v>
      </c>
      <c r="F1188" t="s">
        <v>7</v>
      </c>
      <c r="G1188" t="s">
        <v>11</v>
      </c>
      <c r="H1188" t="s">
        <v>11</v>
      </c>
    </row>
    <row r="1189" spans="1:8" x14ac:dyDescent="0.35">
      <c r="A1189" t="s">
        <v>32</v>
      </c>
      <c r="B1189" t="s">
        <v>54</v>
      </c>
      <c r="C1189" t="s">
        <v>2112</v>
      </c>
      <c r="D1189">
        <v>1</v>
      </c>
      <c r="E1189">
        <v>6</v>
      </c>
      <c r="F1189" t="s">
        <v>7</v>
      </c>
      <c r="G1189" t="s">
        <v>11</v>
      </c>
      <c r="H1189" t="s">
        <v>11</v>
      </c>
    </row>
    <row r="1190" spans="1:8" x14ac:dyDescent="0.35">
      <c r="A1190" t="s">
        <v>32</v>
      </c>
      <c r="B1190" t="s">
        <v>54</v>
      </c>
      <c r="C1190" t="s">
        <v>2113</v>
      </c>
      <c r="D1190">
        <v>1</v>
      </c>
      <c r="E1190">
        <v>6</v>
      </c>
      <c r="F1190" t="s">
        <v>7</v>
      </c>
      <c r="G1190" t="s">
        <v>11</v>
      </c>
      <c r="H1190" t="s">
        <v>11</v>
      </c>
    </row>
    <row r="1191" spans="1:8" x14ac:dyDescent="0.35">
      <c r="A1191" t="s">
        <v>32</v>
      </c>
      <c r="B1191" t="s">
        <v>54</v>
      </c>
      <c r="C1191" t="s">
        <v>2114</v>
      </c>
      <c r="D1191">
        <v>2</v>
      </c>
      <c r="E1191">
        <v>6</v>
      </c>
      <c r="F1191" t="s">
        <v>7</v>
      </c>
      <c r="G1191" t="s">
        <v>11</v>
      </c>
      <c r="H1191" t="s">
        <v>11</v>
      </c>
    </row>
    <row r="1192" spans="1:8" x14ac:dyDescent="0.35">
      <c r="A1192" t="s">
        <v>32</v>
      </c>
      <c r="B1192" t="s">
        <v>54</v>
      </c>
      <c r="C1192" t="s">
        <v>2115</v>
      </c>
      <c r="D1192">
        <v>1</v>
      </c>
      <c r="E1192">
        <v>6</v>
      </c>
      <c r="F1192" t="s">
        <v>7</v>
      </c>
      <c r="G1192" t="s">
        <v>11</v>
      </c>
      <c r="H1192" t="s">
        <v>11</v>
      </c>
    </row>
    <row r="1193" spans="1:8" x14ac:dyDescent="0.35">
      <c r="A1193" t="s">
        <v>32</v>
      </c>
      <c r="B1193" t="s">
        <v>54</v>
      </c>
      <c r="C1193" t="s">
        <v>2116</v>
      </c>
      <c r="D1193">
        <v>2</v>
      </c>
      <c r="E1193">
        <v>6</v>
      </c>
      <c r="F1193" t="s">
        <v>7</v>
      </c>
      <c r="G1193" t="s">
        <v>11</v>
      </c>
      <c r="H1193" t="s">
        <v>11</v>
      </c>
    </row>
    <row r="1194" spans="1:8" x14ac:dyDescent="0.35">
      <c r="A1194" t="s">
        <v>32</v>
      </c>
      <c r="B1194" t="s">
        <v>54</v>
      </c>
      <c r="C1194" t="s">
        <v>1376</v>
      </c>
      <c r="D1194">
        <v>2</v>
      </c>
      <c r="E1194">
        <v>6</v>
      </c>
      <c r="F1194" t="s">
        <v>7</v>
      </c>
      <c r="G1194" t="s">
        <v>11</v>
      </c>
      <c r="H1194" t="s">
        <v>11</v>
      </c>
    </row>
    <row r="1195" spans="1:8" x14ac:dyDescent="0.35">
      <c r="A1195" t="s">
        <v>32</v>
      </c>
      <c r="B1195" t="s">
        <v>54</v>
      </c>
      <c r="C1195" t="s">
        <v>2117</v>
      </c>
      <c r="D1195">
        <v>1</v>
      </c>
      <c r="E1195">
        <v>6</v>
      </c>
      <c r="F1195" t="s">
        <v>7</v>
      </c>
      <c r="G1195" t="s">
        <v>11</v>
      </c>
      <c r="H1195" t="s">
        <v>11</v>
      </c>
    </row>
    <row r="1196" spans="1:8" x14ac:dyDescent="0.35">
      <c r="A1196" t="s">
        <v>31</v>
      </c>
      <c r="B1196" t="s">
        <v>92</v>
      </c>
      <c r="C1196" t="s">
        <v>2118</v>
      </c>
      <c r="D1196">
        <v>2</v>
      </c>
      <c r="E1196">
        <v>4</v>
      </c>
      <c r="F1196" t="s">
        <v>7</v>
      </c>
      <c r="G1196" t="s">
        <v>11</v>
      </c>
      <c r="H1196" t="s">
        <v>11</v>
      </c>
    </row>
    <row r="1197" spans="1:8" x14ac:dyDescent="0.35">
      <c r="A1197" t="s">
        <v>31</v>
      </c>
      <c r="B1197" t="s">
        <v>92</v>
      </c>
      <c r="C1197" t="s">
        <v>2119</v>
      </c>
      <c r="D1197">
        <v>2</v>
      </c>
      <c r="E1197">
        <v>4</v>
      </c>
      <c r="F1197" t="s">
        <v>7</v>
      </c>
      <c r="G1197" t="s">
        <v>11</v>
      </c>
      <c r="H1197" t="s">
        <v>11</v>
      </c>
    </row>
    <row r="1198" spans="1:8" x14ac:dyDescent="0.35">
      <c r="A1198" t="s">
        <v>31</v>
      </c>
      <c r="B1198" t="s">
        <v>92</v>
      </c>
      <c r="C1198" t="s">
        <v>2120</v>
      </c>
      <c r="D1198">
        <v>1</v>
      </c>
      <c r="E1198">
        <v>4</v>
      </c>
      <c r="F1198" t="s">
        <v>7</v>
      </c>
      <c r="G1198" t="s">
        <v>11</v>
      </c>
      <c r="H1198" t="s">
        <v>11</v>
      </c>
    </row>
    <row r="1199" spans="1:8" x14ac:dyDescent="0.35">
      <c r="A1199" t="s">
        <v>31</v>
      </c>
      <c r="B1199" t="s">
        <v>92</v>
      </c>
      <c r="C1199" t="s">
        <v>2121</v>
      </c>
      <c r="D1199">
        <v>2</v>
      </c>
      <c r="E1199">
        <v>4</v>
      </c>
      <c r="F1199" t="s">
        <v>7</v>
      </c>
      <c r="G1199" t="s">
        <v>11</v>
      </c>
      <c r="H1199" t="s">
        <v>11</v>
      </c>
    </row>
    <row r="1200" spans="1:8" x14ac:dyDescent="0.35">
      <c r="A1200" t="s">
        <v>31</v>
      </c>
      <c r="B1200" t="s">
        <v>92</v>
      </c>
      <c r="C1200" t="s">
        <v>2122</v>
      </c>
      <c r="D1200">
        <v>1</v>
      </c>
      <c r="E1200">
        <v>4</v>
      </c>
      <c r="F1200" t="s">
        <v>7</v>
      </c>
      <c r="G1200" t="s">
        <v>11</v>
      </c>
      <c r="H1200" t="s">
        <v>11</v>
      </c>
    </row>
    <row r="1201" spans="1:8" x14ac:dyDescent="0.35">
      <c r="A1201" t="s">
        <v>31</v>
      </c>
      <c r="B1201" t="s">
        <v>92</v>
      </c>
      <c r="C1201" t="s">
        <v>2123</v>
      </c>
      <c r="D1201">
        <v>3</v>
      </c>
      <c r="E1201">
        <v>4</v>
      </c>
      <c r="F1201" t="s">
        <v>7</v>
      </c>
      <c r="G1201" t="s">
        <v>11</v>
      </c>
      <c r="H1201" t="s">
        <v>11</v>
      </c>
    </row>
    <row r="1202" spans="1:8" x14ac:dyDescent="0.35">
      <c r="A1202" t="s">
        <v>31</v>
      </c>
      <c r="B1202" t="s">
        <v>92</v>
      </c>
      <c r="C1202" t="s">
        <v>1430</v>
      </c>
      <c r="D1202">
        <v>1</v>
      </c>
      <c r="E1202">
        <v>4</v>
      </c>
      <c r="F1202" t="s">
        <v>7</v>
      </c>
      <c r="G1202" t="s">
        <v>11</v>
      </c>
      <c r="H1202" t="s">
        <v>11</v>
      </c>
    </row>
    <row r="1203" spans="1:8" x14ac:dyDescent="0.35">
      <c r="A1203" t="s">
        <v>31</v>
      </c>
      <c r="B1203" t="s">
        <v>92</v>
      </c>
      <c r="C1203" t="s">
        <v>2124</v>
      </c>
      <c r="D1203">
        <v>2</v>
      </c>
      <c r="E1203">
        <v>4</v>
      </c>
      <c r="F1203" t="s">
        <v>7</v>
      </c>
      <c r="G1203" t="s">
        <v>11</v>
      </c>
      <c r="H1203" t="s">
        <v>11</v>
      </c>
    </row>
    <row r="1204" spans="1:8" x14ac:dyDescent="0.35">
      <c r="A1204" t="s">
        <v>31</v>
      </c>
      <c r="B1204" t="s">
        <v>92</v>
      </c>
      <c r="C1204" t="s">
        <v>2125</v>
      </c>
      <c r="D1204">
        <v>2</v>
      </c>
      <c r="E1204">
        <v>4</v>
      </c>
      <c r="F1204" t="s">
        <v>7</v>
      </c>
      <c r="G1204" t="s">
        <v>11</v>
      </c>
      <c r="H1204" t="s">
        <v>11</v>
      </c>
    </row>
    <row r="1205" spans="1:8" x14ac:dyDescent="0.35">
      <c r="A1205" t="s">
        <v>31</v>
      </c>
      <c r="B1205" t="s">
        <v>92</v>
      </c>
      <c r="C1205" t="s">
        <v>2126</v>
      </c>
      <c r="D1205">
        <v>3</v>
      </c>
      <c r="E1205">
        <v>4</v>
      </c>
      <c r="F1205" t="s">
        <v>7</v>
      </c>
      <c r="G1205" t="s">
        <v>11</v>
      </c>
      <c r="H1205" t="s">
        <v>11</v>
      </c>
    </row>
    <row r="1206" spans="1:8" x14ac:dyDescent="0.35">
      <c r="A1206" t="s">
        <v>31</v>
      </c>
      <c r="B1206" t="s">
        <v>92</v>
      </c>
      <c r="C1206" t="s">
        <v>2127</v>
      </c>
      <c r="D1206">
        <v>1</v>
      </c>
      <c r="E1206">
        <v>4</v>
      </c>
      <c r="F1206" t="s">
        <v>7</v>
      </c>
      <c r="G1206" t="s">
        <v>11</v>
      </c>
      <c r="H1206" t="s">
        <v>11</v>
      </c>
    </row>
    <row r="1207" spans="1:8" x14ac:dyDescent="0.35">
      <c r="A1207" t="s">
        <v>31</v>
      </c>
      <c r="B1207" t="s">
        <v>92</v>
      </c>
      <c r="C1207" t="s">
        <v>2128</v>
      </c>
      <c r="D1207">
        <v>2</v>
      </c>
      <c r="E1207">
        <v>5</v>
      </c>
      <c r="F1207" t="s">
        <v>7</v>
      </c>
      <c r="G1207" t="s">
        <v>11</v>
      </c>
      <c r="H1207" t="s">
        <v>11</v>
      </c>
    </row>
    <row r="1208" spans="1:8" x14ac:dyDescent="0.35">
      <c r="A1208" t="s">
        <v>31</v>
      </c>
      <c r="B1208" t="s">
        <v>92</v>
      </c>
      <c r="C1208" t="s">
        <v>2129</v>
      </c>
      <c r="D1208">
        <v>1</v>
      </c>
      <c r="E1208">
        <v>4</v>
      </c>
      <c r="F1208" t="s">
        <v>7</v>
      </c>
      <c r="G1208" t="s">
        <v>11</v>
      </c>
      <c r="H1208" t="s">
        <v>11</v>
      </c>
    </row>
    <row r="1209" spans="1:8" x14ac:dyDescent="0.35">
      <c r="A1209" t="s">
        <v>31</v>
      </c>
      <c r="B1209" t="s">
        <v>92</v>
      </c>
      <c r="C1209" t="s">
        <v>1448</v>
      </c>
      <c r="D1209">
        <v>1</v>
      </c>
      <c r="E1209">
        <v>4</v>
      </c>
      <c r="F1209" t="s">
        <v>7</v>
      </c>
      <c r="G1209" t="s">
        <v>11</v>
      </c>
      <c r="H1209" t="s">
        <v>11</v>
      </c>
    </row>
    <row r="1210" spans="1:8" x14ac:dyDescent="0.35">
      <c r="A1210" t="s">
        <v>31</v>
      </c>
      <c r="B1210" t="s">
        <v>92</v>
      </c>
      <c r="C1210" t="s">
        <v>1600</v>
      </c>
      <c r="D1210">
        <v>3</v>
      </c>
      <c r="E1210">
        <v>4</v>
      </c>
      <c r="F1210" t="s">
        <v>7</v>
      </c>
      <c r="G1210" t="s">
        <v>11</v>
      </c>
      <c r="H1210" t="s">
        <v>11</v>
      </c>
    </row>
    <row r="1211" spans="1:8" x14ac:dyDescent="0.35">
      <c r="A1211" t="s">
        <v>31</v>
      </c>
      <c r="B1211" t="s">
        <v>92</v>
      </c>
      <c r="C1211" t="s">
        <v>1362</v>
      </c>
      <c r="D1211">
        <v>1</v>
      </c>
      <c r="E1211">
        <v>4</v>
      </c>
      <c r="F1211" t="s">
        <v>7</v>
      </c>
      <c r="G1211" t="s">
        <v>11</v>
      </c>
      <c r="H1211" t="s">
        <v>11</v>
      </c>
    </row>
    <row r="1212" spans="1:8" x14ac:dyDescent="0.35">
      <c r="A1212" t="s">
        <v>31</v>
      </c>
      <c r="B1212" t="s">
        <v>92</v>
      </c>
      <c r="C1212" t="s">
        <v>2130</v>
      </c>
      <c r="D1212">
        <v>2</v>
      </c>
      <c r="E1212">
        <v>4</v>
      </c>
      <c r="F1212" t="s">
        <v>7</v>
      </c>
      <c r="G1212" t="s">
        <v>11</v>
      </c>
      <c r="H1212" t="s">
        <v>11</v>
      </c>
    </row>
    <row r="1213" spans="1:8" x14ac:dyDescent="0.35">
      <c r="A1213" t="s">
        <v>31</v>
      </c>
      <c r="B1213" t="s">
        <v>92</v>
      </c>
      <c r="C1213" t="s">
        <v>2131</v>
      </c>
      <c r="D1213">
        <v>3</v>
      </c>
      <c r="E1213">
        <v>4</v>
      </c>
      <c r="F1213" t="s">
        <v>7</v>
      </c>
      <c r="G1213" t="s">
        <v>11</v>
      </c>
      <c r="H1213" t="s">
        <v>11</v>
      </c>
    </row>
    <row r="1214" spans="1:8" x14ac:dyDescent="0.35">
      <c r="A1214" t="s">
        <v>31</v>
      </c>
      <c r="B1214" t="s">
        <v>92</v>
      </c>
      <c r="C1214" t="s">
        <v>2132</v>
      </c>
      <c r="D1214">
        <v>2</v>
      </c>
      <c r="E1214">
        <v>4</v>
      </c>
      <c r="F1214" t="s">
        <v>7</v>
      </c>
      <c r="G1214" t="s">
        <v>11</v>
      </c>
      <c r="H1214" t="s">
        <v>11</v>
      </c>
    </row>
    <row r="1215" spans="1:8" x14ac:dyDescent="0.35">
      <c r="A1215" t="s">
        <v>31</v>
      </c>
      <c r="B1215" t="s">
        <v>92</v>
      </c>
      <c r="C1215" t="s">
        <v>2115</v>
      </c>
      <c r="D1215">
        <v>3</v>
      </c>
      <c r="E1215">
        <v>4</v>
      </c>
      <c r="F1215" t="s">
        <v>7</v>
      </c>
      <c r="G1215" t="s">
        <v>11</v>
      </c>
      <c r="H1215" t="s">
        <v>11</v>
      </c>
    </row>
    <row r="1216" spans="1:8" x14ac:dyDescent="0.35">
      <c r="A1216" t="s">
        <v>31</v>
      </c>
      <c r="B1216" t="s">
        <v>92</v>
      </c>
      <c r="C1216" t="s">
        <v>1739</v>
      </c>
      <c r="D1216">
        <v>3</v>
      </c>
      <c r="E1216">
        <v>4</v>
      </c>
      <c r="F1216" t="s">
        <v>7</v>
      </c>
      <c r="G1216" t="s">
        <v>11</v>
      </c>
      <c r="H1216" t="s">
        <v>11</v>
      </c>
    </row>
    <row r="1217" spans="1:8" x14ac:dyDescent="0.35">
      <c r="A1217" t="s">
        <v>31</v>
      </c>
      <c r="B1217" t="s">
        <v>92</v>
      </c>
      <c r="C1217" t="s">
        <v>1376</v>
      </c>
      <c r="D1217">
        <v>1</v>
      </c>
      <c r="E1217">
        <v>4</v>
      </c>
      <c r="F1217" t="s">
        <v>7</v>
      </c>
      <c r="G1217" t="s">
        <v>11</v>
      </c>
      <c r="H1217" t="s">
        <v>11</v>
      </c>
    </row>
    <row r="1218" spans="1:8" x14ac:dyDescent="0.35">
      <c r="A1218" t="s">
        <v>31</v>
      </c>
      <c r="B1218" t="s">
        <v>92</v>
      </c>
      <c r="C1218" t="s">
        <v>2133</v>
      </c>
      <c r="D1218">
        <v>3</v>
      </c>
      <c r="E1218">
        <v>4</v>
      </c>
      <c r="F1218" t="s">
        <v>7</v>
      </c>
      <c r="G1218" t="s">
        <v>11</v>
      </c>
      <c r="H1218" t="s">
        <v>11</v>
      </c>
    </row>
    <row r="1219" spans="1:8" x14ac:dyDescent="0.35">
      <c r="A1219" t="s">
        <v>31</v>
      </c>
      <c r="B1219" t="s">
        <v>92</v>
      </c>
      <c r="C1219" t="s">
        <v>2134</v>
      </c>
      <c r="D1219">
        <v>3</v>
      </c>
      <c r="E1219">
        <v>4</v>
      </c>
      <c r="F1219" t="s">
        <v>7</v>
      </c>
      <c r="G1219" t="s">
        <v>11</v>
      </c>
      <c r="H1219" t="s">
        <v>11</v>
      </c>
    </row>
    <row r="1220" spans="1:8" x14ac:dyDescent="0.35">
      <c r="A1220" t="s">
        <v>30</v>
      </c>
      <c r="B1220" t="s">
        <v>93</v>
      </c>
      <c r="C1220" t="s">
        <v>2135</v>
      </c>
      <c r="D1220">
        <v>2</v>
      </c>
      <c r="E1220">
        <v>5</v>
      </c>
      <c r="F1220" t="s">
        <v>7</v>
      </c>
      <c r="G1220" t="s">
        <v>11</v>
      </c>
      <c r="H1220" t="s">
        <v>11</v>
      </c>
    </row>
    <row r="1221" spans="1:8" x14ac:dyDescent="0.35">
      <c r="A1221" t="s">
        <v>30</v>
      </c>
      <c r="B1221" t="s">
        <v>93</v>
      </c>
      <c r="C1221" t="s">
        <v>2136</v>
      </c>
      <c r="D1221">
        <v>2</v>
      </c>
      <c r="E1221">
        <v>5</v>
      </c>
      <c r="F1221" t="s">
        <v>7</v>
      </c>
      <c r="G1221" t="s">
        <v>11</v>
      </c>
      <c r="H1221" t="s">
        <v>11</v>
      </c>
    </row>
    <row r="1222" spans="1:8" x14ac:dyDescent="0.35">
      <c r="A1222" t="s">
        <v>30</v>
      </c>
      <c r="B1222" t="s">
        <v>93</v>
      </c>
      <c r="C1222" t="s">
        <v>2137</v>
      </c>
      <c r="D1222">
        <v>2</v>
      </c>
      <c r="E1222">
        <v>5</v>
      </c>
      <c r="F1222" t="s">
        <v>7</v>
      </c>
      <c r="G1222" t="s">
        <v>11</v>
      </c>
      <c r="H1222" t="s">
        <v>11</v>
      </c>
    </row>
    <row r="1223" spans="1:8" x14ac:dyDescent="0.35">
      <c r="A1223" t="s">
        <v>30</v>
      </c>
      <c r="B1223" t="s">
        <v>93</v>
      </c>
      <c r="C1223" t="s">
        <v>2138</v>
      </c>
      <c r="D1223">
        <v>2</v>
      </c>
      <c r="E1223">
        <v>5</v>
      </c>
      <c r="F1223" t="s">
        <v>7</v>
      </c>
      <c r="G1223" t="s">
        <v>11</v>
      </c>
      <c r="H1223" t="s">
        <v>11</v>
      </c>
    </row>
    <row r="1224" spans="1:8" x14ac:dyDescent="0.35">
      <c r="A1224" t="s">
        <v>30</v>
      </c>
      <c r="B1224" t="s">
        <v>93</v>
      </c>
      <c r="C1224" t="s">
        <v>2139</v>
      </c>
      <c r="D1224">
        <v>1</v>
      </c>
      <c r="E1224">
        <v>5</v>
      </c>
      <c r="F1224" t="s">
        <v>7</v>
      </c>
      <c r="G1224" t="s">
        <v>11</v>
      </c>
      <c r="H1224" t="s">
        <v>11</v>
      </c>
    </row>
    <row r="1225" spans="1:8" x14ac:dyDescent="0.35">
      <c r="A1225" t="s">
        <v>30</v>
      </c>
      <c r="B1225" t="s">
        <v>93</v>
      </c>
      <c r="C1225" t="s">
        <v>1341</v>
      </c>
      <c r="D1225">
        <v>2</v>
      </c>
      <c r="E1225">
        <v>5</v>
      </c>
      <c r="F1225" t="s">
        <v>7</v>
      </c>
      <c r="G1225" t="s">
        <v>11</v>
      </c>
      <c r="H1225" t="s">
        <v>11</v>
      </c>
    </row>
    <row r="1226" spans="1:8" x14ac:dyDescent="0.35">
      <c r="A1226" t="s">
        <v>30</v>
      </c>
      <c r="B1226" t="s">
        <v>93</v>
      </c>
      <c r="C1226" t="s">
        <v>2140</v>
      </c>
      <c r="D1226">
        <v>2</v>
      </c>
      <c r="E1226">
        <v>5</v>
      </c>
      <c r="F1226" t="s">
        <v>7</v>
      </c>
      <c r="G1226" t="s">
        <v>11</v>
      </c>
      <c r="H1226" t="s">
        <v>11</v>
      </c>
    </row>
    <row r="1227" spans="1:8" x14ac:dyDescent="0.35">
      <c r="A1227" t="s">
        <v>30</v>
      </c>
      <c r="B1227" t="s">
        <v>93</v>
      </c>
      <c r="C1227" t="s">
        <v>2141</v>
      </c>
      <c r="D1227">
        <v>2</v>
      </c>
      <c r="E1227">
        <v>5</v>
      </c>
      <c r="F1227" t="s">
        <v>7</v>
      </c>
      <c r="G1227" t="s">
        <v>11</v>
      </c>
      <c r="H1227" t="s">
        <v>11</v>
      </c>
    </row>
    <row r="1228" spans="1:8" x14ac:dyDescent="0.35">
      <c r="A1228" t="s">
        <v>30</v>
      </c>
      <c r="B1228" t="s">
        <v>93</v>
      </c>
      <c r="C1228" t="s">
        <v>1595</v>
      </c>
      <c r="D1228">
        <v>1</v>
      </c>
      <c r="E1228">
        <v>5</v>
      </c>
      <c r="F1228" t="s">
        <v>7</v>
      </c>
      <c r="G1228" t="s">
        <v>11</v>
      </c>
      <c r="H1228" t="s">
        <v>11</v>
      </c>
    </row>
    <row r="1229" spans="1:8" x14ac:dyDescent="0.35">
      <c r="A1229" t="s">
        <v>30</v>
      </c>
      <c r="B1229" t="s">
        <v>93</v>
      </c>
      <c r="C1229" t="s">
        <v>2142</v>
      </c>
      <c r="D1229">
        <v>2</v>
      </c>
      <c r="E1229">
        <v>5</v>
      </c>
      <c r="F1229" t="s">
        <v>7</v>
      </c>
      <c r="G1229" t="s">
        <v>11</v>
      </c>
      <c r="H1229" t="s">
        <v>11</v>
      </c>
    </row>
    <row r="1230" spans="1:8" x14ac:dyDescent="0.35">
      <c r="A1230" t="s">
        <v>30</v>
      </c>
      <c r="B1230" t="s">
        <v>93</v>
      </c>
      <c r="C1230" t="s">
        <v>2143</v>
      </c>
      <c r="D1230">
        <v>2</v>
      </c>
      <c r="E1230">
        <v>5</v>
      </c>
      <c r="F1230" t="s">
        <v>7</v>
      </c>
      <c r="G1230" t="s">
        <v>11</v>
      </c>
      <c r="H1230" t="s">
        <v>11</v>
      </c>
    </row>
    <row r="1231" spans="1:8" x14ac:dyDescent="0.35">
      <c r="A1231" t="s">
        <v>30</v>
      </c>
      <c r="B1231" t="s">
        <v>93</v>
      </c>
      <c r="C1231" t="s">
        <v>1927</v>
      </c>
      <c r="D1231">
        <v>2</v>
      </c>
      <c r="E1231">
        <v>5</v>
      </c>
      <c r="F1231" t="s">
        <v>7</v>
      </c>
      <c r="G1231" t="s">
        <v>11</v>
      </c>
      <c r="H1231" t="s">
        <v>11</v>
      </c>
    </row>
    <row r="1232" spans="1:8" x14ac:dyDescent="0.35">
      <c r="A1232" t="s">
        <v>30</v>
      </c>
      <c r="B1232" t="s">
        <v>93</v>
      </c>
      <c r="C1232" t="s">
        <v>2144</v>
      </c>
      <c r="D1232">
        <v>3</v>
      </c>
      <c r="E1232">
        <v>5</v>
      </c>
      <c r="F1232" t="s">
        <v>7</v>
      </c>
      <c r="G1232" t="s">
        <v>11</v>
      </c>
      <c r="H1232" t="s">
        <v>11</v>
      </c>
    </row>
    <row r="1233" spans="1:8" x14ac:dyDescent="0.35">
      <c r="A1233" t="s">
        <v>30</v>
      </c>
      <c r="B1233" t="s">
        <v>93</v>
      </c>
      <c r="C1233" t="s">
        <v>2134</v>
      </c>
      <c r="D1233">
        <v>1</v>
      </c>
      <c r="E1233">
        <v>5</v>
      </c>
      <c r="F1233" t="s">
        <v>7</v>
      </c>
      <c r="G1233" t="s">
        <v>11</v>
      </c>
      <c r="H1233" t="s">
        <v>11</v>
      </c>
    </row>
    <row r="1234" spans="1:8" x14ac:dyDescent="0.35">
      <c r="A1234" t="s">
        <v>33</v>
      </c>
      <c r="B1234" t="s">
        <v>56</v>
      </c>
      <c r="C1234" t="s">
        <v>2145</v>
      </c>
      <c r="D1234">
        <v>2</v>
      </c>
      <c r="E1234">
        <v>6</v>
      </c>
      <c r="F1234" t="s">
        <v>7</v>
      </c>
      <c r="G1234" t="s">
        <v>11</v>
      </c>
      <c r="H1234" t="s">
        <v>11</v>
      </c>
    </row>
    <row r="1235" spans="1:8" x14ac:dyDescent="0.35">
      <c r="A1235" t="s">
        <v>33</v>
      </c>
      <c r="B1235" t="s">
        <v>56</v>
      </c>
      <c r="C1235" t="s">
        <v>2146</v>
      </c>
      <c r="D1235">
        <v>2</v>
      </c>
      <c r="E1235">
        <v>6</v>
      </c>
      <c r="F1235" t="s">
        <v>7</v>
      </c>
      <c r="G1235" t="s">
        <v>11</v>
      </c>
      <c r="H1235" t="s">
        <v>11</v>
      </c>
    </row>
    <row r="1236" spans="1:8" x14ac:dyDescent="0.35">
      <c r="A1236" t="s">
        <v>33</v>
      </c>
      <c r="B1236" t="s">
        <v>56</v>
      </c>
      <c r="C1236" t="s">
        <v>2147</v>
      </c>
      <c r="D1236">
        <v>3</v>
      </c>
      <c r="E1236">
        <v>5</v>
      </c>
      <c r="F1236" t="s">
        <v>7</v>
      </c>
      <c r="G1236" t="s">
        <v>11</v>
      </c>
      <c r="H1236" t="s">
        <v>11</v>
      </c>
    </row>
    <row r="1237" spans="1:8" x14ac:dyDescent="0.35">
      <c r="A1237" t="s">
        <v>33</v>
      </c>
      <c r="B1237" t="s">
        <v>56</v>
      </c>
      <c r="C1237" t="s">
        <v>2148</v>
      </c>
      <c r="D1237">
        <v>2</v>
      </c>
      <c r="E1237">
        <v>6</v>
      </c>
      <c r="F1237" t="s">
        <v>7</v>
      </c>
      <c r="G1237" t="s">
        <v>11</v>
      </c>
      <c r="H1237" t="s">
        <v>11</v>
      </c>
    </row>
    <row r="1238" spans="1:8" x14ac:dyDescent="0.35">
      <c r="A1238" t="s">
        <v>33</v>
      </c>
      <c r="B1238" t="s">
        <v>56</v>
      </c>
      <c r="C1238" t="s">
        <v>2149</v>
      </c>
      <c r="D1238">
        <v>2</v>
      </c>
      <c r="E1238">
        <v>6</v>
      </c>
      <c r="F1238" t="s">
        <v>7</v>
      </c>
      <c r="G1238" t="s">
        <v>11</v>
      </c>
      <c r="H1238" t="s">
        <v>11</v>
      </c>
    </row>
    <row r="1239" spans="1:8" x14ac:dyDescent="0.35">
      <c r="A1239" t="s">
        <v>33</v>
      </c>
      <c r="B1239" t="s">
        <v>56</v>
      </c>
      <c r="C1239" t="s">
        <v>2150</v>
      </c>
      <c r="D1239">
        <v>3</v>
      </c>
      <c r="E1239">
        <v>6</v>
      </c>
      <c r="F1239" t="s">
        <v>7</v>
      </c>
      <c r="G1239" t="s">
        <v>11</v>
      </c>
      <c r="H1239" t="s">
        <v>11</v>
      </c>
    </row>
    <row r="1240" spans="1:8" x14ac:dyDescent="0.35">
      <c r="A1240" t="s">
        <v>33</v>
      </c>
      <c r="B1240" t="s">
        <v>56</v>
      </c>
      <c r="C1240" t="s">
        <v>2151</v>
      </c>
      <c r="D1240">
        <v>2</v>
      </c>
      <c r="E1240">
        <v>7</v>
      </c>
      <c r="F1240" t="s">
        <v>11</v>
      </c>
      <c r="G1240" t="s">
        <v>11</v>
      </c>
      <c r="H1240" t="s">
        <v>11</v>
      </c>
    </row>
    <row r="1241" spans="1:8" x14ac:dyDescent="0.35">
      <c r="A1241" t="s">
        <v>33</v>
      </c>
      <c r="B1241" t="s">
        <v>56</v>
      </c>
      <c r="C1241" t="s">
        <v>2152</v>
      </c>
      <c r="D1241">
        <v>2</v>
      </c>
      <c r="E1241">
        <v>5</v>
      </c>
      <c r="F1241" t="s">
        <v>7</v>
      </c>
      <c r="G1241" t="s">
        <v>11</v>
      </c>
      <c r="H1241" t="s">
        <v>11</v>
      </c>
    </row>
    <row r="1242" spans="1:8" x14ac:dyDescent="0.35">
      <c r="A1242" t="s">
        <v>33</v>
      </c>
      <c r="B1242" t="s">
        <v>56</v>
      </c>
      <c r="C1242" t="s">
        <v>1606</v>
      </c>
      <c r="D1242">
        <v>3</v>
      </c>
      <c r="E1242">
        <v>5</v>
      </c>
      <c r="F1242" t="s">
        <v>7</v>
      </c>
      <c r="G1242" t="s">
        <v>11</v>
      </c>
      <c r="H1242" t="s">
        <v>11</v>
      </c>
    </row>
    <row r="1243" spans="1:8" x14ac:dyDescent="0.35">
      <c r="A1243" t="s">
        <v>33</v>
      </c>
      <c r="B1243" t="s">
        <v>56</v>
      </c>
      <c r="C1243" t="s">
        <v>2153</v>
      </c>
      <c r="D1243">
        <v>3</v>
      </c>
      <c r="E1243">
        <v>6</v>
      </c>
      <c r="F1243" t="s">
        <v>7</v>
      </c>
      <c r="G1243" t="s">
        <v>11</v>
      </c>
      <c r="H1243" t="s">
        <v>11</v>
      </c>
    </row>
    <row r="1244" spans="1:8" x14ac:dyDescent="0.35">
      <c r="A1244" t="s">
        <v>33</v>
      </c>
      <c r="B1244" t="s">
        <v>56</v>
      </c>
      <c r="C1244" t="s">
        <v>1660</v>
      </c>
      <c r="D1244">
        <v>3</v>
      </c>
      <c r="E1244">
        <v>5</v>
      </c>
      <c r="F1244" t="s">
        <v>7</v>
      </c>
      <c r="G1244" t="s">
        <v>11</v>
      </c>
      <c r="H1244" t="s">
        <v>11</v>
      </c>
    </row>
    <row r="1245" spans="1:8" x14ac:dyDescent="0.35">
      <c r="A1245" t="s">
        <v>33</v>
      </c>
      <c r="B1245" t="s">
        <v>56</v>
      </c>
      <c r="C1245" t="s">
        <v>2154</v>
      </c>
      <c r="D1245">
        <v>1</v>
      </c>
      <c r="E1245">
        <v>5</v>
      </c>
      <c r="F1245" t="s">
        <v>7</v>
      </c>
      <c r="G1245" t="s">
        <v>11</v>
      </c>
      <c r="H1245" t="s">
        <v>11</v>
      </c>
    </row>
    <row r="1246" spans="1:8" x14ac:dyDescent="0.35">
      <c r="A1246" t="s">
        <v>33</v>
      </c>
      <c r="B1246" t="s">
        <v>56</v>
      </c>
      <c r="C1246" t="s">
        <v>1319</v>
      </c>
      <c r="D1246">
        <v>1</v>
      </c>
      <c r="E1246">
        <v>5</v>
      </c>
      <c r="F1246" t="s">
        <v>7</v>
      </c>
      <c r="G1246" t="s">
        <v>11</v>
      </c>
      <c r="H1246" t="s">
        <v>11</v>
      </c>
    </row>
    <row r="1247" spans="1:8" x14ac:dyDescent="0.35">
      <c r="A1247" t="s">
        <v>33</v>
      </c>
      <c r="B1247" t="s">
        <v>56</v>
      </c>
      <c r="C1247" t="s">
        <v>1804</v>
      </c>
      <c r="D1247">
        <v>1</v>
      </c>
      <c r="E1247">
        <v>5</v>
      </c>
      <c r="F1247" t="s">
        <v>7</v>
      </c>
      <c r="G1247" t="s">
        <v>11</v>
      </c>
      <c r="H1247" t="s">
        <v>11</v>
      </c>
    </row>
    <row r="1248" spans="1:8" x14ac:dyDescent="0.35">
      <c r="A1248" t="s">
        <v>33</v>
      </c>
      <c r="B1248" t="s">
        <v>56</v>
      </c>
      <c r="C1248" t="s">
        <v>2155</v>
      </c>
      <c r="D1248">
        <v>2</v>
      </c>
      <c r="E1248">
        <v>6</v>
      </c>
      <c r="F1248" t="s">
        <v>7</v>
      </c>
      <c r="G1248" t="s">
        <v>11</v>
      </c>
      <c r="H1248" t="s">
        <v>11</v>
      </c>
    </row>
    <row r="1249" spans="1:8" x14ac:dyDescent="0.35">
      <c r="A1249" t="s">
        <v>33</v>
      </c>
      <c r="B1249" t="s">
        <v>56</v>
      </c>
      <c r="C1249" t="s">
        <v>2156</v>
      </c>
      <c r="D1249">
        <v>3</v>
      </c>
      <c r="E1249">
        <v>6</v>
      </c>
      <c r="F1249" t="s">
        <v>7</v>
      </c>
      <c r="G1249" t="s">
        <v>11</v>
      </c>
      <c r="H1249" t="s">
        <v>11</v>
      </c>
    </row>
    <row r="1250" spans="1:8" x14ac:dyDescent="0.35">
      <c r="A1250" t="s">
        <v>33</v>
      </c>
      <c r="B1250" t="s">
        <v>56</v>
      </c>
      <c r="C1250" t="s">
        <v>2157</v>
      </c>
      <c r="D1250">
        <v>3</v>
      </c>
      <c r="E1250">
        <v>7</v>
      </c>
      <c r="F1250" t="s">
        <v>11</v>
      </c>
      <c r="G1250" t="s">
        <v>11</v>
      </c>
      <c r="H1250" t="s">
        <v>11</v>
      </c>
    </row>
    <row r="1251" spans="1:8" x14ac:dyDescent="0.35">
      <c r="A1251" t="s">
        <v>33</v>
      </c>
      <c r="B1251" t="s">
        <v>56</v>
      </c>
      <c r="C1251" t="s">
        <v>2158</v>
      </c>
      <c r="D1251">
        <v>3</v>
      </c>
      <c r="E1251">
        <v>6</v>
      </c>
      <c r="F1251" t="s">
        <v>7</v>
      </c>
      <c r="G1251" t="s">
        <v>11</v>
      </c>
      <c r="H1251" t="s">
        <v>11</v>
      </c>
    </row>
    <row r="1252" spans="1:8" x14ac:dyDescent="0.35">
      <c r="A1252" t="s">
        <v>33</v>
      </c>
      <c r="B1252" t="s">
        <v>56</v>
      </c>
      <c r="C1252" t="s">
        <v>1807</v>
      </c>
      <c r="D1252">
        <v>2</v>
      </c>
      <c r="E1252">
        <v>5</v>
      </c>
      <c r="F1252" t="s">
        <v>7</v>
      </c>
      <c r="G1252" t="s">
        <v>11</v>
      </c>
      <c r="H1252" t="s">
        <v>11</v>
      </c>
    </row>
    <row r="1253" spans="1:8" x14ac:dyDescent="0.35">
      <c r="A1253" t="s">
        <v>33</v>
      </c>
      <c r="B1253" t="s">
        <v>56</v>
      </c>
      <c r="C1253" t="s">
        <v>1437</v>
      </c>
      <c r="D1253">
        <v>3</v>
      </c>
      <c r="E1253">
        <v>6</v>
      </c>
      <c r="F1253" t="s">
        <v>7</v>
      </c>
      <c r="G1253" t="s">
        <v>11</v>
      </c>
      <c r="H1253" t="s">
        <v>11</v>
      </c>
    </row>
    <row r="1254" spans="1:8" x14ac:dyDescent="0.35">
      <c r="A1254" t="s">
        <v>33</v>
      </c>
      <c r="B1254" t="s">
        <v>56</v>
      </c>
      <c r="C1254" t="s">
        <v>1552</v>
      </c>
      <c r="D1254">
        <v>3</v>
      </c>
      <c r="E1254">
        <v>6</v>
      </c>
      <c r="F1254" t="s">
        <v>7</v>
      </c>
      <c r="G1254" t="s">
        <v>11</v>
      </c>
      <c r="H1254" t="s">
        <v>11</v>
      </c>
    </row>
    <row r="1255" spans="1:8" x14ac:dyDescent="0.35">
      <c r="A1255" t="s">
        <v>33</v>
      </c>
      <c r="B1255" t="s">
        <v>56</v>
      </c>
      <c r="C1255" t="s">
        <v>1908</v>
      </c>
      <c r="D1255">
        <v>2</v>
      </c>
      <c r="E1255">
        <v>6</v>
      </c>
      <c r="F1255" t="s">
        <v>7</v>
      </c>
      <c r="G1255" t="s">
        <v>11</v>
      </c>
      <c r="H1255" t="s">
        <v>11</v>
      </c>
    </row>
    <row r="1256" spans="1:8" x14ac:dyDescent="0.35">
      <c r="A1256" t="s">
        <v>33</v>
      </c>
      <c r="B1256" t="s">
        <v>56</v>
      </c>
      <c r="C1256" t="s">
        <v>2159</v>
      </c>
      <c r="D1256">
        <v>2</v>
      </c>
      <c r="E1256">
        <v>5</v>
      </c>
      <c r="F1256" t="s">
        <v>7</v>
      </c>
      <c r="G1256" t="s">
        <v>11</v>
      </c>
      <c r="H1256" t="s">
        <v>11</v>
      </c>
    </row>
    <row r="1257" spans="1:8" x14ac:dyDescent="0.35">
      <c r="A1257" t="s">
        <v>33</v>
      </c>
      <c r="B1257" t="s">
        <v>56</v>
      </c>
      <c r="C1257" t="s">
        <v>1910</v>
      </c>
      <c r="D1257">
        <v>2</v>
      </c>
      <c r="E1257">
        <v>6</v>
      </c>
      <c r="F1257" t="s">
        <v>7</v>
      </c>
      <c r="G1257" t="s">
        <v>11</v>
      </c>
      <c r="H1257" t="s">
        <v>11</v>
      </c>
    </row>
    <row r="1258" spans="1:8" x14ac:dyDescent="0.35">
      <c r="A1258" t="s">
        <v>33</v>
      </c>
      <c r="B1258" t="s">
        <v>56</v>
      </c>
      <c r="C1258" t="s">
        <v>2160</v>
      </c>
      <c r="D1258">
        <v>2</v>
      </c>
      <c r="E1258">
        <v>5</v>
      </c>
      <c r="F1258" t="s">
        <v>7</v>
      </c>
      <c r="G1258" t="s">
        <v>11</v>
      </c>
      <c r="H1258" t="s">
        <v>11</v>
      </c>
    </row>
    <row r="1259" spans="1:8" x14ac:dyDescent="0.35">
      <c r="A1259" t="s">
        <v>33</v>
      </c>
      <c r="B1259" t="s">
        <v>56</v>
      </c>
      <c r="C1259" t="s">
        <v>2161</v>
      </c>
      <c r="D1259">
        <v>3</v>
      </c>
      <c r="E1259">
        <v>6</v>
      </c>
      <c r="F1259" t="s">
        <v>7</v>
      </c>
      <c r="G1259" t="s">
        <v>11</v>
      </c>
      <c r="H1259" t="s">
        <v>11</v>
      </c>
    </row>
    <row r="1260" spans="1:8" x14ac:dyDescent="0.35">
      <c r="A1260" t="s">
        <v>33</v>
      </c>
      <c r="B1260" t="s">
        <v>56</v>
      </c>
      <c r="C1260" t="s">
        <v>2162</v>
      </c>
      <c r="D1260">
        <v>2</v>
      </c>
      <c r="E1260">
        <v>7</v>
      </c>
      <c r="F1260" t="s">
        <v>11</v>
      </c>
      <c r="G1260" t="s">
        <v>11</v>
      </c>
      <c r="H1260" t="s">
        <v>11</v>
      </c>
    </row>
    <row r="1261" spans="1:8" x14ac:dyDescent="0.35">
      <c r="A1261" t="s">
        <v>33</v>
      </c>
      <c r="B1261" t="s">
        <v>56</v>
      </c>
      <c r="C1261" t="s">
        <v>2163</v>
      </c>
      <c r="D1261">
        <v>3</v>
      </c>
      <c r="E1261">
        <v>6</v>
      </c>
      <c r="F1261" t="s">
        <v>7</v>
      </c>
      <c r="G1261" t="s">
        <v>11</v>
      </c>
      <c r="H1261" t="s">
        <v>11</v>
      </c>
    </row>
    <row r="1262" spans="1:8" x14ac:dyDescent="0.35">
      <c r="A1262" t="s">
        <v>33</v>
      </c>
      <c r="B1262" t="s">
        <v>56</v>
      </c>
      <c r="C1262" t="s">
        <v>2164</v>
      </c>
      <c r="D1262">
        <v>3</v>
      </c>
      <c r="E1262">
        <v>5</v>
      </c>
      <c r="F1262" t="s">
        <v>7</v>
      </c>
      <c r="G1262" t="s">
        <v>11</v>
      </c>
      <c r="H1262" t="s">
        <v>11</v>
      </c>
    </row>
    <row r="1263" spans="1:8" x14ac:dyDescent="0.35">
      <c r="A1263" t="s">
        <v>33</v>
      </c>
      <c r="B1263" t="s">
        <v>56</v>
      </c>
      <c r="C1263" t="s">
        <v>2165</v>
      </c>
      <c r="D1263">
        <v>1</v>
      </c>
      <c r="E1263">
        <v>5</v>
      </c>
      <c r="F1263" t="s">
        <v>7</v>
      </c>
      <c r="G1263" t="s">
        <v>11</v>
      </c>
      <c r="H1263" t="s">
        <v>11</v>
      </c>
    </row>
    <row r="1264" spans="1:8" x14ac:dyDescent="0.35">
      <c r="A1264" t="s">
        <v>33</v>
      </c>
      <c r="B1264" t="s">
        <v>56</v>
      </c>
      <c r="C1264" t="s">
        <v>2166</v>
      </c>
      <c r="D1264">
        <v>2</v>
      </c>
      <c r="E1264">
        <v>7</v>
      </c>
      <c r="F1264" t="s">
        <v>11</v>
      </c>
      <c r="G1264" t="s">
        <v>11</v>
      </c>
      <c r="H1264" t="s">
        <v>11</v>
      </c>
    </row>
    <row r="1265" spans="1:8" x14ac:dyDescent="0.35">
      <c r="A1265" t="s">
        <v>33</v>
      </c>
      <c r="B1265" t="s">
        <v>56</v>
      </c>
      <c r="C1265" t="s">
        <v>2167</v>
      </c>
      <c r="D1265">
        <v>3</v>
      </c>
      <c r="E1265">
        <v>6</v>
      </c>
      <c r="F1265" t="s">
        <v>7</v>
      </c>
      <c r="G1265" t="s">
        <v>11</v>
      </c>
      <c r="H1265" t="s">
        <v>11</v>
      </c>
    </row>
    <row r="1266" spans="1:8" x14ac:dyDescent="0.35">
      <c r="A1266" t="s">
        <v>33</v>
      </c>
      <c r="B1266" t="s">
        <v>56</v>
      </c>
      <c r="C1266" t="s">
        <v>2168</v>
      </c>
      <c r="D1266">
        <v>2</v>
      </c>
      <c r="E1266">
        <v>5</v>
      </c>
      <c r="F1266" t="s">
        <v>7</v>
      </c>
      <c r="G1266" t="s">
        <v>11</v>
      </c>
      <c r="H1266" t="s">
        <v>11</v>
      </c>
    </row>
    <row r="1267" spans="1:8" x14ac:dyDescent="0.35">
      <c r="A1267" t="s">
        <v>33</v>
      </c>
      <c r="B1267" t="s">
        <v>56</v>
      </c>
      <c r="C1267" t="s">
        <v>2169</v>
      </c>
      <c r="D1267">
        <v>2</v>
      </c>
      <c r="E1267">
        <v>5</v>
      </c>
      <c r="F1267" t="s">
        <v>7</v>
      </c>
      <c r="G1267" t="s">
        <v>11</v>
      </c>
      <c r="H1267" t="s">
        <v>11</v>
      </c>
    </row>
    <row r="1268" spans="1:8" x14ac:dyDescent="0.35">
      <c r="A1268" t="s">
        <v>33</v>
      </c>
      <c r="B1268" t="s">
        <v>56</v>
      </c>
      <c r="C1268" t="s">
        <v>2170</v>
      </c>
      <c r="D1268">
        <v>3</v>
      </c>
      <c r="E1268">
        <v>6</v>
      </c>
      <c r="F1268" t="s">
        <v>7</v>
      </c>
      <c r="G1268" t="s">
        <v>11</v>
      </c>
      <c r="H1268" t="s">
        <v>11</v>
      </c>
    </row>
    <row r="1269" spans="1:8" x14ac:dyDescent="0.35">
      <c r="A1269" t="s">
        <v>33</v>
      </c>
      <c r="B1269" t="s">
        <v>56</v>
      </c>
      <c r="C1269" t="s">
        <v>2171</v>
      </c>
      <c r="D1269">
        <v>2</v>
      </c>
      <c r="E1269">
        <v>7</v>
      </c>
      <c r="F1269" t="s">
        <v>11</v>
      </c>
      <c r="G1269" t="s">
        <v>11</v>
      </c>
      <c r="H1269" t="s">
        <v>11</v>
      </c>
    </row>
    <row r="1270" spans="1:8" x14ac:dyDescent="0.35">
      <c r="A1270" t="s">
        <v>33</v>
      </c>
      <c r="B1270" t="s">
        <v>56</v>
      </c>
      <c r="C1270" t="s">
        <v>2172</v>
      </c>
      <c r="D1270">
        <v>3</v>
      </c>
      <c r="E1270">
        <v>6</v>
      </c>
      <c r="F1270" t="s">
        <v>7</v>
      </c>
      <c r="G1270" t="s">
        <v>11</v>
      </c>
      <c r="H1270" t="s">
        <v>11</v>
      </c>
    </row>
    <row r="1271" spans="1:8" x14ac:dyDescent="0.35">
      <c r="A1271" t="s">
        <v>33</v>
      </c>
      <c r="B1271" t="s">
        <v>56</v>
      </c>
      <c r="C1271" t="s">
        <v>1347</v>
      </c>
      <c r="D1271">
        <v>1</v>
      </c>
      <c r="E1271">
        <v>5</v>
      </c>
      <c r="F1271" t="s">
        <v>7</v>
      </c>
      <c r="G1271" t="s">
        <v>11</v>
      </c>
      <c r="H1271" t="s">
        <v>11</v>
      </c>
    </row>
    <row r="1272" spans="1:8" x14ac:dyDescent="0.35">
      <c r="A1272" t="s">
        <v>33</v>
      </c>
      <c r="B1272" t="s">
        <v>56</v>
      </c>
      <c r="C1272" t="s">
        <v>2173</v>
      </c>
      <c r="D1272">
        <v>1</v>
      </c>
      <c r="E1272">
        <v>5</v>
      </c>
      <c r="F1272" t="s">
        <v>7</v>
      </c>
      <c r="G1272" t="s">
        <v>11</v>
      </c>
      <c r="H1272" t="s">
        <v>11</v>
      </c>
    </row>
    <row r="1273" spans="1:8" x14ac:dyDescent="0.35">
      <c r="A1273" t="s">
        <v>33</v>
      </c>
      <c r="B1273" t="s">
        <v>56</v>
      </c>
      <c r="C1273" t="s">
        <v>2174</v>
      </c>
      <c r="D1273">
        <v>3</v>
      </c>
      <c r="E1273">
        <v>6</v>
      </c>
      <c r="F1273" t="s">
        <v>7</v>
      </c>
      <c r="G1273" t="s">
        <v>11</v>
      </c>
      <c r="H1273" t="s">
        <v>11</v>
      </c>
    </row>
    <row r="1274" spans="1:8" x14ac:dyDescent="0.35">
      <c r="A1274" t="s">
        <v>33</v>
      </c>
      <c r="B1274" t="s">
        <v>56</v>
      </c>
      <c r="C1274" t="s">
        <v>1600</v>
      </c>
      <c r="D1274">
        <v>2</v>
      </c>
      <c r="E1274">
        <v>5</v>
      </c>
      <c r="F1274" t="s">
        <v>7</v>
      </c>
      <c r="G1274" t="s">
        <v>11</v>
      </c>
      <c r="H1274" t="s">
        <v>11</v>
      </c>
    </row>
    <row r="1275" spans="1:8" x14ac:dyDescent="0.35">
      <c r="A1275" t="s">
        <v>33</v>
      </c>
      <c r="B1275" t="s">
        <v>56</v>
      </c>
      <c r="C1275" t="s">
        <v>2175</v>
      </c>
      <c r="D1275">
        <v>2</v>
      </c>
      <c r="E1275">
        <v>7</v>
      </c>
      <c r="F1275" t="s">
        <v>11</v>
      </c>
      <c r="G1275" t="s">
        <v>11</v>
      </c>
      <c r="H1275" t="s">
        <v>11</v>
      </c>
    </row>
    <row r="1276" spans="1:8" x14ac:dyDescent="0.35">
      <c r="A1276" t="s">
        <v>33</v>
      </c>
      <c r="B1276" t="s">
        <v>56</v>
      </c>
      <c r="C1276" t="s">
        <v>1497</v>
      </c>
      <c r="D1276">
        <v>3</v>
      </c>
      <c r="E1276">
        <v>6</v>
      </c>
      <c r="F1276" t="s">
        <v>7</v>
      </c>
      <c r="G1276" t="s">
        <v>11</v>
      </c>
      <c r="H1276" t="s">
        <v>11</v>
      </c>
    </row>
    <row r="1277" spans="1:8" x14ac:dyDescent="0.35">
      <c r="A1277" t="s">
        <v>33</v>
      </c>
      <c r="B1277" t="s">
        <v>56</v>
      </c>
      <c r="C1277" t="s">
        <v>2176</v>
      </c>
      <c r="D1277">
        <v>2</v>
      </c>
      <c r="E1277">
        <v>5</v>
      </c>
      <c r="F1277" t="s">
        <v>7</v>
      </c>
      <c r="G1277" t="s">
        <v>11</v>
      </c>
      <c r="H1277" t="s">
        <v>11</v>
      </c>
    </row>
    <row r="1278" spans="1:8" x14ac:dyDescent="0.35">
      <c r="A1278" t="s">
        <v>33</v>
      </c>
      <c r="B1278" t="s">
        <v>56</v>
      </c>
      <c r="C1278" t="s">
        <v>2177</v>
      </c>
      <c r="D1278">
        <v>2</v>
      </c>
      <c r="E1278">
        <v>6</v>
      </c>
      <c r="F1278" t="s">
        <v>7</v>
      </c>
      <c r="G1278" t="s">
        <v>11</v>
      </c>
      <c r="H1278" t="s">
        <v>11</v>
      </c>
    </row>
    <row r="1279" spans="1:8" x14ac:dyDescent="0.35">
      <c r="A1279" t="s">
        <v>33</v>
      </c>
      <c r="B1279" t="s">
        <v>56</v>
      </c>
      <c r="C1279" t="s">
        <v>2178</v>
      </c>
      <c r="D1279">
        <v>1</v>
      </c>
      <c r="E1279">
        <v>5</v>
      </c>
      <c r="F1279" t="s">
        <v>7</v>
      </c>
      <c r="G1279" t="s">
        <v>11</v>
      </c>
      <c r="H1279" t="s">
        <v>11</v>
      </c>
    </row>
    <row r="1280" spans="1:8" x14ac:dyDescent="0.35">
      <c r="A1280" t="s">
        <v>33</v>
      </c>
      <c r="B1280" t="s">
        <v>56</v>
      </c>
      <c r="C1280" t="s">
        <v>1827</v>
      </c>
      <c r="D1280">
        <v>2</v>
      </c>
      <c r="E1280">
        <v>5</v>
      </c>
      <c r="F1280" t="s">
        <v>7</v>
      </c>
      <c r="G1280" t="s">
        <v>11</v>
      </c>
      <c r="H1280" t="s">
        <v>11</v>
      </c>
    </row>
    <row r="1281" spans="1:8" x14ac:dyDescent="0.35">
      <c r="A1281" t="s">
        <v>33</v>
      </c>
      <c r="B1281" t="s">
        <v>56</v>
      </c>
      <c r="C1281" t="s">
        <v>2179</v>
      </c>
      <c r="D1281">
        <v>3</v>
      </c>
      <c r="E1281">
        <v>7</v>
      </c>
      <c r="F1281" t="s">
        <v>11</v>
      </c>
      <c r="G1281" t="s">
        <v>11</v>
      </c>
      <c r="H1281" t="s">
        <v>11</v>
      </c>
    </row>
    <row r="1282" spans="1:8" x14ac:dyDescent="0.35">
      <c r="A1282" t="s">
        <v>33</v>
      </c>
      <c r="B1282" t="s">
        <v>56</v>
      </c>
      <c r="C1282" t="s">
        <v>2180</v>
      </c>
      <c r="D1282">
        <v>3</v>
      </c>
      <c r="E1282">
        <v>7</v>
      </c>
      <c r="F1282" t="s">
        <v>11</v>
      </c>
      <c r="G1282" t="s">
        <v>11</v>
      </c>
      <c r="H1282" t="s">
        <v>11</v>
      </c>
    </row>
    <row r="1283" spans="1:8" x14ac:dyDescent="0.35">
      <c r="A1283" t="s">
        <v>33</v>
      </c>
      <c r="B1283" t="s">
        <v>56</v>
      </c>
      <c r="C1283" t="s">
        <v>2181</v>
      </c>
      <c r="D1283">
        <v>3</v>
      </c>
      <c r="E1283">
        <v>5</v>
      </c>
      <c r="F1283" t="s">
        <v>7</v>
      </c>
      <c r="G1283" t="s">
        <v>11</v>
      </c>
      <c r="H1283" t="s">
        <v>11</v>
      </c>
    </row>
    <row r="1284" spans="1:8" x14ac:dyDescent="0.35">
      <c r="A1284" t="s">
        <v>33</v>
      </c>
      <c r="B1284" t="s">
        <v>56</v>
      </c>
      <c r="C1284" t="s">
        <v>2182</v>
      </c>
      <c r="D1284">
        <v>3</v>
      </c>
      <c r="E1284">
        <v>6</v>
      </c>
      <c r="F1284" t="s">
        <v>7</v>
      </c>
      <c r="G1284" t="s">
        <v>11</v>
      </c>
      <c r="H1284" t="s">
        <v>11</v>
      </c>
    </row>
    <row r="1285" spans="1:8" x14ac:dyDescent="0.35">
      <c r="A1285" t="s">
        <v>33</v>
      </c>
      <c r="B1285" t="s">
        <v>56</v>
      </c>
      <c r="C1285" t="s">
        <v>2183</v>
      </c>
      <c r="D1285">
        <v>2</v>
      </c>
      <c r="E1285">
        <v>6</v>
      </c>
      <c r="F1285" t="s">
        <v>7</v>
      </c>
      <c r="G1285" t="s">
        <v>11</v>
      </c>
      <c r="H1285" t="s">
        <v>11</v>
      </c>
    </row>
    <row r="1286" spans="1:8" x14ac:dyDescent="0.35">
      <c r="A1286" t="s">
        <v>33</v>
      </c>
      <c r="B1286" t="s">
        <v>56</v>
      </c>
      <c r="C1286" t="s">
        <v>1829</v>
      </c>
      <c r="D1286">
        <v>3</v>
      </c>
      <c r="E1286">
        <v>6</v>
      </c>
      <c r="F1286" t="s">
        <v>7</v>
      </c>
      <c r="G1286" t="s">
        <v>11</v>
      </c>
      <c r="H1286" t="s">
        <v>11</v>
      </c>
    </row>
    <row r="1287" spans="1:8" x14ac:dyDescent="0.35">
      <c r="A1287" t="s">
        <v>33</v>
      </c>
      <c r="B1287" t="s">
        <v>56</v>
      </c>
      <c r="C1287" t="s">
        <v>2184</v>
      </c>
      <c r="D1287">
        <v>3</v>
      </c>
      <c r="E1287">
        <v>6</v>
      </c>
      <c r="F1287" t="s">
        <v>7</v>
      </c>
      <c r="G1287" t="s">
        <v>11</v>
      </c>
      <c r="H1287" t="s">
        <v>11</v>
      </c>
    </row>
    <row r="1288" spans="1:8" x14ac:dyDescent="0.35">
      <c r="A1288" t="s">
        <v>33</v>
      </c>
      <c r="B1288" t="s">
        <v>56</v>
      </c>
      <c r="C1288" t="s">
        <v>2185</v>
      </c>
      <c r="D1288">
        <v>2</v>
      </c>
      <c r="E1288">
        <v>6</v>
      </c>
      <c r="F1288" t="s">
        <v>7</v>
      </c>
      <c r="G1288" t="s">
        <v>11</v>
      </c>
      <c r="H1288" t="s">
        <v>11</v>
      </c>
    </row>
    <row r="1289" spans="1:8" x14ac:dyDescent="0.35">
      <c r="A1289" t="s">
        <v>33</v>
      </c>
      <c r="B1289" t="s">
        <v>56</v>
      </c>
      <c r="C1289" t="s">
        <v>2186</v>
      </c>
      <c r="D1289">
        <v>3</v>
      </c>
      <c r="E1289">
        <v>5</v>
      </c>
      <c r="F1289" t="s">
        <v>7</v>
      </c>
      <c r="G1289" t="s">
        <v>11</v>
      </c>
      <c r="H1289" t="s">
        <v>11</v>
      </c>
    </row>
    <row r="1290" spans="1:8" x14ac:dyDescent="0.35">
      <c r="A1290" t="s">
        <v>33</v>
      </c>
      <c r="B1290" t="s">
        <v>56</v>
      </c>
      <c r="C1290" t="s">
        <v>2187</v>
      </c>
      <c r="D1290">
        <v>3</v>
      </c>
      <c r="E1290">
        <v>6</v>
      </c>
      <c r="F1290" t="s">
        <v>7</v>
      </c>
      <c r="G1290" t="s">
        <v>11</v>
      </c>
      <c r="H1290" t="s">
        <v>11</v>
      </c>
    </row>
    <row r="1291" spans="1:8" x14ac:dyDescent="0.35">
      <c r="A1291" t="s">
        <v>33</v>
      </c>
      <c r="B1291" t="s">
        <v>56</v>
      </c>
      <c r="C1291" t="s">
        <v>1361</v>
      </c>
      <c r="D1291">
        <v>2</v>
      </c>
      <c r="E1291">
        <v>5</v>
      </c>
      <c r="F1291" t="s">
        <v>7</v>
      </c>
      <c r="G1291" t="s">
        <v>11</v>
      </c>
      <c r="H1291" t="s">
        <v>11</v>
      </c>
    </row>
    <row r="1292" spans="1:8" x14ac:dyDescent="0.35">
      <c r="A1292" t="s">
        <v>33</v>
      </c>
      <c r="B1292" t="s">
        <v>56</v>
      </c>
      <c r="C1292" t="s">
        <v>2188</v>
      </c>
      <c r="D1292">
        <v>2</v>
      </c>
      <c r="E1292">
        <v>5</v>
      </c>
      <c r="F1292" t="s">
        <v>7</v>
      </c>
      <c r="G1292" t="s">
        <v>11</v>
      </c>
      <c r="H1292" t="s">
        <v>11</v>
      </c>
    </row>
    <row r="1293" spans="1:8" x14ac:dyDescent="0.35">
      <c r="A1293" t="s">
        <v>33</v>
      </c>
      <c r="B1293" t="s">
        <v>56</v>
      </c>
      <c r="C1293" t="s">
        <v>2189</v>
      </c>
      <c r="D1293">
        <v>2</v>
      </c>
      <c r="E1293">
        <v>6</v>
      </c>
      <c r="F1293" t="s">
        <v>7</v>
      </c>
      <c r="G1293" t="s">
        <v>11</v>
      </c>
      <c r="H1293" t="s">
        <v>11</v>
      </c>
    </row>
    <row r="1294" spans="1:8" x14ac:dyDescent="0.35">
      <c r="A1294" t="s">
        <v>33</v>
      </c>
      <c r="B1294" t="s">
        <v>56</v>
      </c>
      <c r="C1294" t="s">
        <v>2190</v>
      </c>
      <c r="D1294">
        <v>3</v>
      </c>
      <c r="E1294">
        <v>5</v>
      </c>
      <c r="F1294" t="s">
        <v>7</v>
      </c>
      <c r="G1294" t="s">
        <v>11</v>
      </c>
      <c r="H1294" t="s">
        <v>11</v>
      </c>
    </row>
    <row r="1295" spans="1:8" x14ac:dyDescent="0.35">
      <c r="A1295" t="s">
        <v>33</v>
      </c>
      <c r="B1295" t="s">
        <v>56</v>
      </c>
      <c r="C1295" t="s">
        <v>2191</v>
      </c>
      <c r="D1295">
        <v>3</v>
      </c>
      <c r="E1295">
        <v>6</v>
      </c>
      <c r="F1295" t="s">
        <v>7</v>
      </c>
      <c r="G1295" t="s">
        <v>11</v>
      </c>
      <c r="H1295" t="s">
        <v>11</v>
      </c>
    </row>
    <row r="1296" spans="1:8" x14ac:dyDescent="0.35">
      <c r="A1296" t="s">
        <v>33</v>
      </c>
      <c r="B1296" t="s">
        <v>56</v>
      </c>
      <c r="C1296" t="s">
        <v>2192</v>
      </c>
      <c r="D1296">
        <v>2</v>
      </c>
      <c r="E1296">
        <v>5</v>
      </c>
      <c r="F1296" t="s">
        <v>7</v>
      </c>
      <c r="G1296" t="s">
        <v>11</v>
      </c>
      <c r="H1296" t="s">
        <v>11</v>
      </c>
    </row>
    <row r="1297" spans="1:8" x14ac:dyDescent="0.35">
      <c r="A1297" t="s">
        <v>33</v>
      </c>
      <c r="B1297" t="s">
        <v>56</v>
      </c>
      <c r="C1297" t="s">
        <v>2193</v>
      </c>
      <c r="D1297">
        <v>3</v>
      </c>
      <c r="E1297">
        <v>6</v>
      </c>
      <c r="F1297" t="s">
        <v>7</v>
      </c>
      <c r="G1297" t="s">
        <v>11</v>
      </c>
      <c r="H1297" t="s">
        <v>11</v>
      </c>
    </row>
    <row r="1298" spans="1:8" x14ac:dyDescent="0.35">
      <c r="A1298" t="s">
        <v>33</v>
      </c>
      <c r="B1298" t="s">
        <v>56</v>
      </c>
      <c r="C1298" t="s">
        <v>2194</v>
      </c>
      <c r="D1298">
        <v>3</v>
      </c>
      <c r="E1298">
        <v>6</v>
      </c>
      <c r="F1298" t="s">
        <v>7</v>
      </c>
      <c r="G1298" t="s">
        <v>11</v>
      </c>
      <c r="H1298" t="s">
        <v>11</v>
      </c>
    </row>
    <row r="1299" spans="1:8" x14ac:dyDescent="0.35">
      <c r="A1299" t="s">
        <v>33</v>
      </c>
      <c r="B1299" t="s">
        <v>56</v>
      </c>
      <c r="C1299" t="s">
        <v>2195</v>
      </c>
      <c r="D1299">
        <v>3</v>
      </c>
      <c r="E1299">
        <v>7</v>
      </c>
      <c r="F1299" t="s">
        <v>11</v>
      </c>
      <c r="G1299" t="s">
        <v>11</v>
      </c>
      <c r="H1299" t="s">
        <v>11</v>
      </c>
    </row>
    <row r="1300" spans="1:8" x14ac:dyDescent="0.35">
      <c r="A1300" t="s">
        <v>33</v>
      </c>
      <c r="B1300" t="s">
        <v>56</v>
      </c>
      <c r="C1300" t="s">
        <v>1638</v>
      </c>
      <c r="D1300">
        <v>3</v>
      </c>
      <c r="E1300">
        <v>6</v>
      </c>
      <c r="F1300" t="s">
        <v>7</v>
      </c>
      <c r="G1300" t="s">
        <v>11</v>
      </c>
      <c r="H1300" t="s">
        <v>11</v>
      </c>
    </row>
    <row r="1301" spans="1:8" x14ac:dyDescent="0.35">
      <c r="A1301" t="s">
        <v>33</v>
      </c>
      <c r="B1301" t="s">
        <v>56</v>
      </c>
      <c r="C1301" t="s">
        <v>2196</v>
      </c>
      <c r="D1301">
        <v>3</v>
      </c>
      <c r="E1301">
        <v>6</v>
      </c>
      <c r="F1301" t="s">
        <v>7</v>
      </c>
      <c r="G1301" t="s">
        <v>11</v>
      </c>
      <c r="H1301" t="s">
        <v>11</v>
      </c>
    </row>
    <row r="1302" spans="1:8" x14ac:dyDescent="0.35">
      <c r="A1302" t="s">
        <v>33</v>
      </c>
      <c r="B1302" t="s">
        <v>56</v>
      </c>
      <c r="C1302" t="s">
        <v>2197</v>
      </c>
      <c r="D1302">
        <v>2</v>
      </c>
      <c r="E1302">
        <v>6</v>
      </c>
      <c r="F1302" t="s">
        <v>7</v>
      </c>
      <c r="G1302" t="s">
        <v>11</v>
      </c>
      <c r="H1302" t="s">
        <v>11</v>
      </c>
    </row>
    <row r="1303" spans="1:8" x14ac:dyDescent="0.35">
      <c r="A1303" t="s">
        <v>33</v>
      </c>
      <c r="B1303" t="s">
        <v>56</v>
      </c>
      <c r="C1303" t="s">
        <v>1981</v>
      </c>
      <c r="D1303">
        <v>3</v>
      </c>
      <c r="E1303">
        <v>5</v>
      </c>
      <c r="F1303" t="s">
        <v>7</v>
      </c>
      <c r="G1303" t="s">
        <v>11</v>
      </c>
      <c r="H1303" t="s">
        <v>11</v>
      </c>
    </row>
    <row r="1304" spans="1:8" x14ac:dyDescent="0.35">
      <c r="A1304" t="s">
        <v>33</v>
      </c>
      <c r="B1304" t="s">
        <v>56</v>
      </c>
      <c r="C1304" t="s">
        <v>2198</v>
      </c>
      <c r="D1304">
        <v>2</v>
      </c>
      <c r="E1304">
        <v>6</v>
      </c>
      <c r="F1304" t="s">
        <v>7</v>
      </c>
      <c r="G1304" t="s">
        <v>11</v>
      </c>
      <c r="H1304" t="s">
        <v>11</v>
      </c>
    </row>
    <row r="1305" spans="1:8" x14ac:dyDescent="0.35">
      <c r="A1305" t="s">
        <v>33</v>
      </c>
      <c r="B1305" t="s">
        <v>56</v>
      </c>
      <c r="C1305" t="s">
        <v>2199</v>
      </c>
      <c r="D1305">
        <v>3</v>
      </c>
      <c r="E1305">
        <v>6</v>
      </c>
      <c r="F1305" t="s">
        <v>7</v>
      </c>
      <c r="G1305" t="s">
        <v>11</v>
      </c>
      <c r="H1305" t="s">
        <v>11</v>
      </c>
    </row>
    <row r="1306" spans="1:8" x14ac:dyDescent="0.35">
      <c r="A1306" t="s">
        <v>33</v>
      </c>
      <c r="B1306" t="s">
        <v>56</v>
      </c>
      <c r="C1306" t="s">
        <v>2200</v>
      </c>
      <c r="D1306">
        <v>3</v>
      </c>
      <c r="E1306">
        <v>5</v>
      </c>
      <c r="F1306" t="s">
        <v>7</v>
      </c>
      <c r="G1306" t="s">
        <v>11</v>
      </c>
      <c r="H1306" t="s">
        <v>11</v>
      </c>
    </row>
    <row r="1307" spans="1:8" x14ac:dyDescent="0.35">
      <c r="A1307" t="s">
        <v>33</v>
      </c>
      <c r="B1307" t="s">
        <v>56</v>
      </c>
      <c r="C1307" t="s">
        <v>1369</v>
      </c>
      <c r="D1307">
        <v>3</v>
      </c>
      <c r="E1307">
        <v>5</v>
      </c>
      <c r="F1307" t="s">
        <v>7</v>
      </c>
      <c r="G1307" t="s">
        <v>11</v>
      </c>
      <c r="H1307" t="s">
        <v>11</v>
      </c>
    </row>
    <row r="1308" spans="1:8" x14ac:dyDescent="0.35">
      <c r="A1308" t="s">
        <v>33</v>
      </c>
      <c r="B1308" t="s">
        <v>56</v>
      </c>
      <c r="C1308" t="s">
        <v>2201</v>
      </c>
      <c r="D1308">
        <v>1</v>
      </c>
      <c r="E1308">
        <v>5</v>
      </c>
      <c r="F1308" t="s">
        <v>7</v>
      </c>
      <c r="G1308" t="s">
        <v>11</v>
      </c>
      <c r="H1308" t="s">
        <v>11</v>
      </c>
    </row>
    <row r="1309" spans="1:8" x14ac:dyDescent="0.35">
      <c r="A1309" t="s">
        <v>33</v>
      </c>
      <c r="B1309" t="s">
        <v>56</v>
      </c>
      <c r="C1309" t="s">
        <v>2202</v>
      </c>
      <c r="D1309">
        <v>2</v>
      </c>
      <c r="E1309">
        <v>6</v>
      </c>
      <c r="F1309" t="s">
        <v>7</v>
      </c>
      <c r="G1309" t="s">
        <v>11</v>
      </c>
      <c r="H1309" t="s">
        <v>11</v>
      </c>
    </row>
    <row r="1310" spans="1:8" x14ac:dyDescent="0.35">
      <c r="A1310" t="s">
        <v>33</v>
      </c>
      <c r="B1310" t="s">
        <v>56</v>
      </c>
      <c r="C1310" t="s">
        <v>2203</v>
      </c>
      <c r="D1310">
        <v>3</v>
      </c>
      <c r="E1310">
        <v>7</v>
      </c>
      <c r="F1310" t="s">
        <v>11</v>
      </c>
      <c r="G1310" t="s">
        <v>11</v>
      </c>
      <c r="H1310" t="s">
        <v>11</v>
      </c>
    </row>
    <row r="1311" spans="1:8" x14ac:dyDescent="0.35">
      <c r="A1311" t="s">
        <v>33</v>
      </c>
      <c r="B1311" t="s">
        <v>56</v>
      </c>
      <c r="C1311" t="s">
        <v>2204</v>
      </c>
      <c r="D1311">
        <v>2</v>
      </c>
      <c r="E1311">
        <v>5</v>
      </c>
      <c r="F1311" t="s">
        <v>7</v>
      </c>
      <c r="G1311" t="s">
        <v>11</v>
      </c>
      <c r="H1311" t="s">
        <v>11</v>
      </c>
    </row>
    <row r="1312" spans="1:8" x14ac:dyDescent="0.35">
      <c r="A1312" t="s">
        <v>33</v>
      </c>
      <c r="B1312" t="s">
        <v>56</v>
      </c>
      <c r="C1312" t="s">
        <v>2205</v>
      </c>
      <c r="D1312">
        <v>3</v>
      </c>
      <c r="E1312">
        <v>5</v>
      </c>
      <c r="F1312" t="s">
        <v>7</v>
      </c>
      <c r="G1312" t="s">
        <v>11</v>
      </c>
      <c r="H1312" t="s">
        <v>11</v>
      </c>
    </row>
    <row r="1313" spans="1:8" x14ac:dyDescent="0.35">
      <c r="A1313" t="s">
        <v>33</v>
      </c>
      <c r="B1313" t="s">
        <v>56</v>
      </c>
      <c r="C1313" t="s">
        <v>1477</v>
      </c>
      <c r="D1313">
        <v>3</v>
      </c>
      <c r="E1313">
        <v>5</v>
      </c>
      <c r="F1313" t="s">
        <v>7</v>
      </c>
      <c r="G1313" t="s">
        <v>11</v>
      </c>
      <c r="H1313" t="s">
        <v>11</v>
      </c>
    </row>
    <row r="1314" spans="1:8" x14ac:dyDescent="0.35">
      <c r="A1314" t="s">
        <v>33</v>
      </c>
      <c r="B1314" t="s">
        <v>56</v>
      </c>
      <c r="C1314" t="s">
        <v>2206</v>
      </c>
      <c r="D1314">
        <v>1</v>
      </c>
      <c r="E1314">
        <v>5</v>
      </c>
      <c r="F1314" t="s">
        <v>7</v>
      </c>
      <c r="G1314" t="s">
        <v>11</v>
      </c>
      <c r="H1314" t="s">
        <v>11</v>
      </c>
    </row>
    <row r="1315" spans="1:8" x14ac:dyDescent="0.35">
      <c r="A1315" t="s">
        <v>33</v>
      </c>
      <c r="B1315" t="s">
        <v>56</v>
      </c>
      <c r="C1315" t="s">
        <v>1755</v>
      </c>
      <c r="D1315">
        <v>3</v>
      </c>
      <c r="E1315">
        <v>5</v>
      </c>
      <c r="F1315" t="s">
        <v>7</v>
      </c>
      <c r="G1315" t="s">
        <v>11</v>
      </c>
      <c r="H1315" t="s">
        <v>11</v>
      </c>
    </row>
    <row r="1316" spans="1:8" x14ac:dyDescent="0.35">
      <c r="A1316" t="s">
        <v>33</v>
      </c>
      <c r="B1316" t="s">
        <v>56</v>
      </c>
      <c r="C1316" t="s">
        <v>2207</v>
      </c>
      <c r="D1316">
        <v>3</v>
      </c>
      <c r="E1316">
        <v>6</v>
      </c>
      <c r="F1316" t="s">
        <v>7</v>
      </c>
      <c r="G1316" t="s">
        <v>11</v>
      </c>
      <c r="H1316" t="s">
        <v>11</v>
      </c>
    </row>
    <row r="1317" spans="1:8" x14ac:dyDescent="0.35">
      <c r="A1317" t="s">
        <v>34</v>
      </c>
      <c r="B1317" t="s">
        <v>67</v>
      </c>
      <c r="C1317" t="s">
        <v>2208</v>
      </c>
      <c r="D1317">
        <v>2</v>
      </c>
      <c r="E1317">
        <v>7</v>
      </c>
      <c r="F1317" t="s">
        <v>11</v>
      </c>
      <c r="G1317" t="s">
        <v>11</v>
      </c>
      <c r="H1317" t="s">
        <v>11</v>
      </c>
    </row>
    <row r="1318" spans="1:8" x14ac:dyDescent="0.35">
      <c r="A1318" t="s">
        <v>34</v>
      </c>
      <c r="B1318" t="s">
        <v>67</v>
      </c>
      <c r="C1318" t="s">
        <v>2209</v>
      </c>
      <c r="D1318">
        <v>2</v>
      </c>
      <c r="E1318">
        <v>6</v>
      </c>
      <c r="F1318" t="s">
        <v>7</v>
      </c>
      <c r="G1318" t="s">
        <v>11</v>
      </c>
      <c r="H1318" t="s">
        <v>11</v>
      </c>
    </row>
    <row r="1319" spans="1:8" x14ac:dyDescent="0.35">
      <c r="A1319" t="s">
        <v>34</v>
      </c>
      <c r="B1319" t="s">
        <v>67</v>
      </c>
      <c r="C1319" t="s">
        <v>2210</v>
      </c>
      <c r="D1319">
        <v>1</v>
      </c>
      <c r="E1319">
        <v>7</v>
      </c>
      <c r="F1319" t="s">
        <v>11</v>
      </c>
      <c r="G1319" t="s">
        <v>11</v>
      </c>
      <c r="H1319" t="s">
        <v>11</v>
      </c>
    </row>
    <row r="1320" spans="1:8" x14ac:dyDescent="0.35">
      <c r="A1320" t="s">
        <v>34</v>
      </c>
      <c r="B1320" t="s">
        <v>67</v>
      </c>
      <c r="C1320" t="s">
        <v>2211</v>
      </c>
      <c r="D1320">
        <v>2</v>
      </c>
      <c r="E1320">
        <v>7</v>
      </c>
      <c r="F1320" t="s">
        <v>11</v>
      </c>
      <c r="G1320" t="s">
        <v>11</v>
      </c>
      <c r="H1320" t="s">
        <v>11</v>
      </c>
    </row>
    <row r="1321" spans="1:8" x14ac:dyDescent="0.35">
      <c r="A1321" t="s">
        <v>34</v>
      </c>
      <c r="B1321" t="s">
        <v>67</v>
      </c>
      <c r="C1321" t="s">
        <v>1427</v>
      </c>
      <c r="D1321">
        <v>2</v>
      </c>
      <c r="E1321">
        <v>6</v>
      </c>
      <c r="F1321" t="s">
        <v>7</v>
      </c>
      <c r="G1321" t="s">
        <v>11</v>
      </c>
      <c r="H1321" t="s">
        <v>11</v>
      </c>
    </row>
    <row r="1322" spans="1:8" x14ac:dyDescent="0.35">
      <c r="A1322" t="s">
        <v>34</v>
      </c>
      <c r="B1322" t="s">
        <v>67</v>
      </c>
      <c r="C1322" t="s">
        <v>2212</v>
      </c>
      <c r="D1322">
        <v>1</v>
      </c>
      <c r="E1322">
        <v>6</v>
      </c>
      <c r="F1322" t="s">
        <v>7</v>
      </c>
      <c r="G1322" t="s">
        <v>11</v>
      </c>
      <c r="H1322" t="s">
        <v>11</v>
      </c>
    </row>
    <row r="1323" spans="1:8" x14ac:dyDescent="0.35">
      <c r="A1323" t="s">
        <v>34</v>
      </c>
      <c r="B1323" t="s">
        <v>67</v>
      </c>
      <c r="C1323" t="s">
        <v>2213</v>
      </c>
      <c r="D1323">
        <v>1</v>
      </c>
      <c r="E1323">
        <v>6</v>
      </c>
      <c r="F1323" t="s">
        <v>7</v>
      </c>
      <c r="G1323" t="s">
        <v>11</v>
      </c>
      <c r="H1323" t="s">
        <v>11</v>
      </c>
    </row>
    <row r="1324" spans="1:8" x14ac:dyDescent="0.35">
      <c r="A1324" t="s">
        <v>34</v>
      </c>
      <c r="B1324" t="s">
        <v>67</v>
      </c>
      <c r="C1324" t="s">
        <v>1802</v>
      </c>
      <c r="D1324">
        <v>1</v>
      </c>
      <c r="E1324">
        <v>6</v>
      </c>
      <c r="F1324" t="s">
        <v>7</v>
      </c>
      <c r="G1324" t="s">
        <v>11</v>
      </c>
      <c r="H1324" t="s">
        <v>11</v>
      </c>
    </row>
    <row r="1325" spans="1:8" x14ac:dyDescent="0.35">
      <c r="A1325" t="s">
        <v>34</v>
      </c>
      <c r="B1325" t="s">
        <v>67</v>
      </c>
      <c r="C1325" t="s">
        <v>2214</v>
      </c>
      <c r="D1325">
        <v>2</v>
      </c>
      <c r="E1325">
        <v>7</v>
      </c>
      <c r="F1325" t="s">
        <v>11</v>
      </c>
      <c r="G1325" t="s">
        <v>11</v>
      </c>
      <c r="H1325" t="s">
        <v>11</v>
      </c>
    </row>
    <row r="1326" spans="1:8" x14ac:dyDescent="0.35">
      <c r="A1326" t="s">
        <v>34</v>
      </c>
      <c r="B1326" t="s">
        <v>67</v>
      </c>
      <c r="C1326" t="s">
        <v>2215</v>
      </c>
      <c r="D1326">
        <v>1</v>
      </c>
      <c r="E1326">
        <v>6</v>
      </c>
      <c r="F1326" t="s">
        <v>7</v>
      </c>
      <c r="G1326" t="s">
        <v>11</v>
      </c>
      <c r="H1326" t="s">
        <v>11</v>
      </c>
    </row>
    <row r="1327" spans="1:8" x14ac:dyDescent="0.35">
      <c r="A1327" t="s">
        <v>34</v>
      </c>
      <c r="B1327" t="s">
        <v>67</v>
      </c>
      <c r="C1327" t="s">
        <v>1804</v>
      </c>
      <c r="D1327">
        <v>2</v>
      </c>
      <c r="E1327">
        <v>7</v>
      </c>
      <c r="F1327" t="s">
        <v>11</v>
      </c>
      <c r="G1327" t="s">
        <v>11</v>
      </c>
      <c r="H1327" t="s">
        <v>11</v>
      </c>
    </row>
    <row r="1328" spans="1:8" x14ac:dyDescent="0.35">
      <c r="A1328" t="s">
        <v>34</v>
      </c>
      <c r="B1328" t="s">
        <v>67</v>
      </c>
      <c r="C1328" t="s">
        <v>2157</v>
      </c>
      <c r="D1328">
        <v>1</v>
      </c>
      <c r="E1328">
        <v>6</v>
      </c>
      <c r="F1328" t="s">
        <v>7</v>
      </c>
      <c r="G1328" t="s">
        <v>11</v>
      </c>
      <c r="H1328" t="s">
        <v>11</v>
      </c>
    </row>
    <row r="1329" spans="1:8" x14ac:dyDescent="0.35">
      <c r="A1329" t="s">
        <v>34</v>
      </c>
      <c r="B1329" t="s">
        <v>67</v>
      </c>
      <c r="C1329" t="s">
        <v>2216</v>
      </c>
      <c r="D1329">
        <v>2</v>
      </c>
      <c r="E1329">
        <v>6</v>
      </c>
      <c r="F1329" t="s">
        <v>7</v>
      </c>
      <c r="G1329" t="s">
        <v>11</v>
      </c>
      <c r="H1329" t="s">
        <v>11</v>
      </c>
    </row>
    <row r="1330" spans="1:8" x14ac:dyDescent="0.35">
      <c r="A1330" t="s">
        <v>34</v>
      </c>
      <c r="B1330" t="s">
        <v>67</v>
      </c>
      <c r="C1330" t="s">
        <v>1325</v>
      </c>
      <c r="D1330">
        <v>1</v>
      </c>
      <c r="E1330">
        <v>7</v>
      </c>
      <c r="F1330" t="s">
        <v>11</v>
      </c>
      <c r="G1330" t="s">
        <v>11</v>
      </c>
      <c r="H1330" t="s">
        <v>11</v>
      </c>
    </row>
    <row r="1331" spans="1:8" x14ac:dyDescent="0.35">
      <c r="A1331" t="s">
        <v>34</v>
      </c>
      <c r="B1331" t="s">
        <v>67</v>
      </c>
      <c r="C1331" t="s">
        <v>1781</v>
      </c>
      <c r="D1331">
        <v>2</v>
      </c>
      <c r="E1331">
        <v>7</v>
      </c>
      <c r="F1331" t="s">
        <v>11</v>
      </c>
      <c r="G1331" t="s">
        <v>11</v>
      </c>
      <c r="H1331" t="s">
        <v>11</v>
      </c>
    </row>
    <row r="1332" spans="1:8" x14ac:dyDescent="0.35">
      <c r="A1332" t="s">
        <v>34</v>
      </c>
      <c r="B1332" t="s">
        <v>67</v>
      </c>
      <c r="C1332" t="s">
        <v>1679</v>
      </c>
      <c r="D1332">
        <v>2</v>
      </c>
      <c r="E1332">
        <v>7</v>
      </c>
      <c r="F1332" t="s">
        <v>11</v>
      </c>
      <c r="G1332" t="s">
        <v>11</v>
      </c>
      <c r="H1332" t="s">
        <v>11</v>
      </c>
    </row>
    <row r="1333" spans="1:8" x14ac:dyDescent="0.35">
      <c r="A1333" t="s">
        <v>34</v>
      </c>
      <c r="B1333" t="s">
        <v>67</v>
      </c>
      <c r="C1333" t="s">
        <v>2217</v>
      </c>
      <c r="D1333">
        <v>1</v>
      </c>
      <c r="E1333">
        <v>6</v>
      </c>
      <c r="F1333" t="s">
        <v>7</v>
      </c>
      <c r="G1333" t="s">
        <v>11</v>
      </c>
      <c r="H1333" t="s">
        <v>11</v>
      </c>
    </row>
    <row r="1334" spans="1:8" x14ac:dyDescent="0.35">
      <c r="A1334" t="s">
        <v>34</v>
      </c>
      <c r="B1334" t="s">
        <v>67</v>
      </c>
      <c r="C1334" t="s">
        <v>2218</v>
      </c>
      <c r="D1334">
        <v>2</v>
      </c>
      <c r="E1334">
        <v>7</v>
      </c>
      <c r="F1334" t="s">
        <v>11</v>
      </c>
      <c r="G1334" t="s">
        <v>11</v>
      </c>
      <c r="H1334" t="s">
        <v>11</v>
      </c>
    </row>
    <row r="1335" spans="1:8" x14ac:dyDescent="0.35">
      <c r="A1335" t="s">
        <v>34</v>
      </c>
      <c r="B1335" t="s">
        <v>67</v>
      </c>
      <c r="C1335" t="s">
        <v>2219</v>
      </c>
      <c r="D1335">
        <v>1</v>
      </c>
      <c r="E1335">
        <v>6</v>
      </c>
      <c r="F1335" t="s">
        <v>7</v>
      </c>
      <c r="G1335" t="s">
        <v>11</v>
      </c>
      <c r="H1335" t="s">
        <v>11</v>
      </c>
    </row>
    <row r="1336" spans="1:8" x14ac:dyDescent="0.35">
      <c r="A1336" t="s">
        <v>34</v>
      </c>
      <c r="B1336" t="s">
        <v>67</v>
      </c>
      <c r="C1336" t="s">
        <v>1686</v>
      </c>
      <c r="D1336">
        <v>1</v>
      </c>
      <c r="E1336">
        <v>6</v>
      </c>
      <c r="F1336" t="s">
        <v>7</v>
      </c>
      <c r="G1336" t="s">
        <v>11</v>
      </c>
      <c r="H1336" t="s">
        <v>11</v>
      </c>
    </row>
    <row r="1337" spans="1:8" x14ac:dyDescent="0.35">
      <c r="A1337" t="s">
        <v>34</v>
      </c>
      <c r="B1337" t="s">
        <v>67</v>
      </c>
      <c r="C1337" t="s">
        <v>1555</v>
      </c>
      <c r="D1337">
        <v>1</v>
      </c>
      <c r="E1337">
        <v>6</v>
      </c>
      <c r="F1337" t="s">
        <v>7</v>
      </c>
      <c r="G1337" t="s">
        <v>11</v>
      </c>
      <c r="H1337" t="s">
        <v>11</v>
      </c>
    </row>
    <row r="1338" spans="1:8" x14ac:dyDescent="0.35">
      <c r="A1338" t="s">
        <v>34</v>
      </c>
      <c r="B1338" t="s">
        <v>67</v>
      </c>
      <c r="C1338" t="s">
        <v>2220</v>
      </c>
      <c r="D1338">
        <v>1</v>
      </c>
      <c r="E1338">
        <v>6</v>
      </c>
      <c r="F1338" t="s">
        <v>7</v>
      </c>
      <c r="G1338" t="s">
        <v>11</v>
      </c>
      <c r="H1338" t="s">
        <v>11</v>
      </c>
    </row>
    <row r="1339" spans="1:8" x14ac:dyDescent="0.35">
      <c r="A1339" t="s">
        <v>34</v>
      </c>
      <c r="B1339" t="s">
        <v>67</v>
      </c>
      <c r="C1339" t="s">
        <v>2221</v>
      </c>
      <c r="D1339">
        <v>1</v>
      </c>
      <c r="E1339">
        <v>6</v>
      </c>
      <c r="F1339" t="s">
        <v>7</v>
      </c>
      <c r="G1339" t="s">
        <v>11</v>
      </c>
      <c r="H1339" t="s">
        <v>11</v>
      </c>
    </row>
    <row r="1340" spans="1:8" x14ac:dyDescent="0.35">
      <c r="A1340" t="s">
        <v>34</v>
      </c>
      <c r="B1340" t="s">
        <v>67</v>
      </c>
      <c r="C1340" t="s">
        <v>2222</v>
      </c>
      <c r="D1340">
        <v>1</v>
      </c>
      <c r="E1340">
        <v>6</v>
      </c>
      <c r="F1340" t="s">
        <v>7</v>
      </c>
      <c r="G1340" t="s">
        <v>11</v>
      </c>
      <c r="H1340" t="s">
        <v>11</v>
      </c>
    </row>
    <row r="1341" spans="1:8" x14ac:dyDescent="0.35">
      <c r="A1341" t="s">
        <v>34</v>
      </c>
      <c r="B1341" t="s">
        <v>67</v>
      </c>
      <c r="C1341" t="s">
        <v>2223</v>
      </c>
      <c r="D1341">
        <v>1</v>
      </c>
      <c r="E1341">
        <v>6</v>
      </c>
      <c r="F1341" t="s">
        <v>7</v>
      </c>
      <c r="G1341" t="s">
        <v>11</v>
      </c>
      <c r="H1341" t="s">
        <v>11</v>
      </c>
    </row>
    <row r="1342" spans="1:8" x14ac:dyDescent="0.35">
      <c r="A1342" t="s">
        <v>34</v>
      </c>
      <c r="B1342" t="s">
        <v>67</v>
      </c>
      <c r="C1342" t="s">
        <v>1445</v>
      </c>
      <c r="D1342">
        <v>1</v>
      </c>
      <c r="E1342">
        <v>7</v>
      </c>
      <c r="F1342" t="s">
        <v>11</v>
      </c>
      <c r="G1342" t="s">
        <v>11</v>
      </c>
      <c r="H1342" t="s">
        <v>11</v>
      </c>
    </row>
    <row r="1343" spans="1:8" x14ac:dyDescent="0.35">
      <c r="A1343" t="s">
        <v>34</v>
      </c>
      <c r="B1343" t="s">
        <v>67</v>
      </c>
      <c r="C1343" t="s">
        <v>2224</v>
      </c>
      <c r="D1343">
        <v>1</v>
      </c>
      <c r="E1343">
        <v>6</v>
      </c>
      <c r="F1343" t="s">
        <v>7</v>
      </c>
      <c r="G1343" t="s">
        <v>11</v>
      </c>
      <c r="H1343" t="s">
        <v>11</v>
      </c>
    </row>
    <row r="1344" spans="1:8" x14ac:dyDescent="0.35">
      <c r="A1344" t="s">
        <v>34</v>
      </c>
      <c r="B1344" t="s">
        <v>67</v>
      </c>
      <c r="C1344" t="s">
        <v>1346</v>
      </c>
      <c r="D1344">
        <v>1</v>
      </c>
      <c r="E1344">
        <v>6</v>
      </c>
      <c r="F1344" t="s">
        <v>7</v>
      </c>
      <c r="G1344" t="s">
        <v>11</v>
      </c>
      <c r="H1344" t="s">
        <v>11</v>
      </c>
    </row>
    <row r="1345" spans="1:8" x14ac:dyDescent="0.35">
      <c r="A1345" t="s">
        <v>34</v>
      </c>
      <c r="B1345" t="s">
        <v>67</v>
      </c>
      <c r="C1345" t="s">
        <v>2225</v>
      </c>
      <c r="D1345">
        <v>1</v>
      </c>
      <c r="E1345">
        <v>7</v>
      </c>
      <c r="F1345" t="s">
        <v>11</v>
      </c>
      <c r="G1345" t="s">
        <v>11</v>
      </c>
      <c r="H1345" t="s">
        <v>11</v>
      </c>
    </row>
    <row r="1346" spans="1:8" x14ac:dyDescent="0.35">
      <c r="A1346" t="s">
        <v>34</v>
      </c>
      <c r="B1346" t="s">
        <v>67</v>
      </c>
      <c r="C1346" t="s">
        <v>2226</v>
      </c>
      <c r="D1346">
        <v>2</v>
      </c>
      <c r="E1346">
        <v>6</v>
      </c>
      <c r="F1346" t="s">
        <v>7</v>
      </c>
      <c r="G1346" t="s">
        <v>11</v>
      </c>
      <c r="H1346" t="s">
        <v>11</v>
      </c>
    </row>
    <row r="1347" spans="1:8" x14ac:dyDescent="0.35">
      <c r="A1347" t="s">
        <v>34</v>
      </c>
      <c r="B1347" t="s">
        <v>67</v>
      </c>
      <c r="C1347" t="s">
        <v>2227</v>
      </c>
      <c r="D1347">
        <v>2</v>
      </c>
      <c r="E1347">
        <v>7</v>
      </c>
      <c r="F1347" t="s">
        <v>11</v>
      </c>
      <c r="G1347" t="s">
        <v>11</v>
      </c>
      <c r="H1347" t="s">
        <v>11</v>
      </c>
    </row>
    <row r="1348" spans="1:8" x14ac:dyDescent="0.35">
      <c r="A1348" t="s">
        <v>34</v>
      </c>
      <c r="B1348" t="s">
        <v>67</v>
      </c>
      <c r="C1348" t="s">
        <v>1347</v>
      </c>
      <c r="D1348">
        <v>1</v>
      </c>
      <c r="E1348">
        <v>6</v>
      </c>
      <c r="F1348" t="s">
        <v>7</v>
      </c>
      <c r="G1348" t="s">
        <v>11</v>
      </c>
      <c r="H1348" t="s">
        <v>11</v>
      </c>
    </row>
    <row r="1349" spans="1:8" x14ac:dyDescent="0.35">
      <c r="A1349" t="s">
        <v>34</v>
      </c>
      <c r="B1349" t="s">
        <v>67</v>
      </c>
      <c r="C1349" t="s">
        <v>2228</v>
      </c>
      <c r="D1349">
        <v>1</v>
      </c>
      <c r="E1349">
        <v>7</v>
      </c>
      <c r="F1349" t="s">
        <v>11</v>
      </c>
      <c r="G1349" t="s">
        <v>11</v>
      </c>
      <c r="H1349" t="s">
        <v>11</v>
      </c>
    </row>
    <row r="1350" spans="1:8" x14ac:dyDescent="0.35">
      <c r="A1350" t="s">
        <v>34</v>
      </c>
      <c r="B1350" t="s">
        <v>67</v>
      </c>
      <c r="C1350" t="s">
        <v>2229</v>
      </c>
      <c r="D1350">
        <v>1</v>
      </c>
      <c r="E1350">
        <v>6</v>
      </c>
      <c r="F1350" t="s">
        <v>7</v>
      </c>
      <c r="G1350" t="s">
        <v>11</v>
      </c>
      <c r="H1350" t="s">
        <v>11</v>
      </c>
    </row>
    <row r="1351" spans="1:8" x14ac:dyDescent="0.35">
      <c r="A1351" t="s">
        <v>34</v>
      </c>
      <c r="B1351" t="s">
        <v>67</v>
      </c>
      <c r="C1351" t="s">
        <v>2230</v>
      </c>
      <c r="D1351">
        <v>1</v>
      </c>
      <c r="E1351">
        <v>7</v>
      </c>
      <c r="F1351" t="s">
        <v>11</v>
      </c>
      <c r="G1351" t="s">
        <v>11</v>
      </c>
      <c r="H1351" t="s">
        <v>11</v>
      </c>
    </row>
    <row r="1352" spans="1:8" x14ac:dyDescent="0.35">
      <c r="A1352" t="s">
        <v>34</v>
      </c>
      <c r="B1352" t="s">
        <v>67</v>
      </c>
      <c r="C1352" t="s">
        <v>2231</v>
      </c>
      <c r="D1352">
        <v>2</v>
      </c>
      <c r="E1352">
        <v>7</v>
      </c>
      <c r="F1352" t="s">
        <v>11</v>
      </c>
      <c r="G1352" t="s">
        <v>11</v>
      </c>
      <c r="H1352" t="s">
        <v>11</v>
      </c>
    </row>
    <row r="1353" spans="1:8" x14ac:dyDescent="0.35">
      <c r="A1353" t="s">
        <v>34</v>
      </c>
      <c r="B1353" t="s">
        <v>67</v>
      </c>
      <c r="C1353" t="s">
        <v>2232</v>
      </c>
      <c r="D1353">
        <v>1</v>
      </c>
      <c r="E1353">
        <v>6</v>
      </c>
      <c r="F1353" t="s">
        <v>7</v>
      </c>
      <c r="G1353" t="s">
        <v>11</v>
      </c>
      <c r="H1353" t="s">
        <v>11</v>
      </c>
    </row>
    <row r="1354" spans="1:8" x14ac:dyDescent="0.35">
      <c r="A1354" t="s">
        <v>34</v>
      </c>
      <c r="B1354" t="s">
        <v>67</v>
      </c>
      <c r="C1354" t="s">
        <v>1497</v>
      </c>
      <c r="D1354">
        <v>2</v>
      </c>
      <c r="E1354">
        <v>7</v>
      </c>
      <c r="F1354" t="s">
        <v>11</v>
      </c>
      <c r="G1354" t="s">
        <v>11</v>
      </c>
      <c r="H1354" t="s">
        <v>11</v>
      </c>
    </row>
    <row r="1355" spans="1:8" x14ac:dyDescent="0.35">
      <c r="A1355" t="s">
        <v>34</v>
      </c>
      <c r="B1355" t="s">
        <v>67</v>
      </c>
      <c r="C1355" t="s">
        <v>2233</v>
      </c>
      <c r="D1355">
        <v>2</v>
      </c>
      <c r="E1355">
        <v>7</v>
      </c>
      <c r="F1355" t="s">
        <v>11</v>
      </c>
      <c r="G1355" t="s">
        <v>11</v>
      </c>
      <c r="H1355" t="s">
        <v>11</v>
      </c>
    </row>
    <row r="1356" spans="1:8" x14ac:dyDescent="0.35">
      <c r="A1356" t="s">
        <v>34</v>
      </c>
      <c r="B1356" t="s">
        <v>67</v>
      </c>
      <c r="C1356" t="s">
        <v>2234</v>
      </c>
      <c r="D1356">
        <v>1</v>
      </c>
      <c r="E1356">
        <v>6</v>
      </c>
      <c r="F1356" t="s">
        <v>7</v>
      </c>
      <c r="G1356" t="s">
        <v>11</v>
      </c>
      <c r="H1356" t="s">
        <v>11</v>
      </c>
    </row>
    <row r="1357" spans="1:8" x14ac:dyDescent="0.35">
      <c r="A1357" t="s">
        <v>34</v>
      </c>
      <c r="B1357" t="s">
        <v>67</v>
      </c>
      <c r="C1357" t="s">
        <v>1453</v>
      </c>
      <c r="D1357">
        <v>1</v>
      </c>
      <c r="E1357">
        <v>6</v>
      </c>
      <c r="F1357" t="s">
        <v>7</v>
      </c>
      <c r="G1357" t="s">
        <v>11</v>
      </c>
      <c r="H1357" t="s">
        <v>11</v>
      </c>
    </row>
    <row r="1358" spans="1:8" x14ac:dyDescent="0.35">
      <c r="A1358" t="s">
        <v>34</v>
      </c>
      <c r="B1358" t="s">
        <v>67</v>
      </c>
      <c r="C1358" t="s">
        <v>1919</v>
      </c>
      <c r="D1358">
        <v>1</v>
      </c>
      <c r="E1358">
        <v>6</v>
      </c>
      <c r="F1358" t="s">
        <v>7</v>
      </c>
      <c r="G1358" t="s">
        <v>11</v>
      </c>
      <c r="H1358" t="s">
        <v>11</v>
      </c>
    </row>
    <row r="1359" spans="1:8" x14ac:dyDescent="0.35">
      <c r="A1359" t="s">
        <v>34</v>
      </c>
      <c r="B1359" t="s">
        <v>67</v>
      </c>
      <c r="C1359" t="s">
        <v>2235</v>
      </c>
      <c r="D1359">
        <v>1</v>
      </c>
      <c r="E1359">
        <v>7</v>
      </c>
      <c r="F1359" t="s">
        <v>11</v>
      </c>
      <c r="G1359" t="s">
        <v>11</v>
      </c>
      <c r="H1359" t="s">
        <v>11</v>
      </c>
    </row>
    <row r="1360" spans="1:8" x14ac:dyDescent="0.35">
      <c r="A1360" t="s">
        <v>34</v>
      </c>
      <c r="B1360" t="s">
        <v>67</v>
      </c>
      <c r="C1360" t="s">
        <v>1359</v>
      </c>
      <c r="D1360">
        <v>1</v>
      </c>
      <c r="E1360">
        <v>7</v>
      </c>
      <c r="F1360" t="s">
        <v>11</v>
      </c>
      <c r="G1360" t="s">
        <v>11</v>
      </c>
      <c r="H1360" t="s">
        <v>11</v>
      </c>
    </row>
    <row r="1361" spans="1:8" x14ac:dyDescent="0.35">
      <c r="A1361" t="s">
        <v>34</v>
      </c>
      <c r="B1361" t="s">
        <v>67</v>
      </c>
      <c r="C1361" t="s">
        <v>1633</v>
      </c>
      <c r="D1361">
        <v>1</v>
      </c>
      <c r="E1361">
        <v>6</v>
      </c>
      <c r="F1361" t="s">
        <v>7</v>
      </c>
      <c r="G1361" t="s">
        <v>11</v>
      </c>
      <c r="H1361" t="s">
        <v>11</v>
      </c>
    </row>
    <row r="1362" spans="1:8" x14ac:dyDescent="0.35">
      <c r="A1362" t="s">
        <v>34</v>
      </c>
      <c r="B1362" t="s">
        <v>67</v>
      </c>
      <c r="C1362" t="s">
        <v>2236</v>
      </c>
      <c r="D1362">
        <v>1</v>
      </c>
      <c r="E1362">
        <v>6</v>
      </c>
      <c r="F1362" t="s">
        <v>7</v>
      </c>
      <c r="G1362" t="s">
        <v>11</v>
      </c>
      <c r="H1362" t="s">
        <v>11</v>
      </c>
    </row>
    <row r="1363" spans="1:8" x14ac:dyDescent="0.35">
      <c r="A1363" t="s">
        <v>34</v>
      </c>
      <c r="B1363" t="s">
        <v>67</v>
      </c>
      <c r="C1363" t="s">
        <v>2237</v>
      </c>
      <c r="D1363">
        <v>1</v>
      </c>
      <c r="E1363">
        <v>6</v>
      </c>
      <c r="F1363" t="s">
        <v>7</v>
      </c>
      <c r="G1363" t="s">
        <v>11</v>
      </c>
      <c r="H1363" t="s">
        <v>11</v>
      </c>
    </row>
    <row r="1364" spans="1:8" x14ac:dyDescent="0.35">
      <c r="A1364" t="s">
        <v>34</v>
      </c>
      <c r="B1364" t="s">
        <v>67</v>
      </c>
      <c r="C1364" t="s">
        <v>2238</v>
      </c>
      <c r="D1364">
        <v>2</v>
      </c>
      <c r="E1364">
        <v>7</v>
      </c>
      <c r="F1364" t="s">
        <v>11</v>
      </c>
      <c r="G1364" t="s">
        <v>11</v>
      </c>
      <c r="H1364" t="s">
        <v>11</v>
      </c>
    </row>
    <row r="1365" spans="1:8" x14ac:dyDescent="0.35">
      <c r="A1365" t="s">
        <v>34</v>
      </c>
      <c r="B1365" t="s">
        <v>67</v>
      </c>
      <c r="C1365" t="s">
        <v>2239</v>
      </c>
      <c r="D1365">
        <v>2</v>
      </c>
      <c r="E1365">
        <v>6</v>
      </c>
      <c r="F1365" t="s">
        <v>7</v>
      </c>
      <c r="G1365" t="s">
        <v>11</v>
      </c>
      <c r="H1365" t="s">
        <v>11</v>
      </c>
    </row>
    <row r="1366" spans="1:8" x14ac:dyDescent="0.35">
      <c r="A1366" t="s">
        <v>34</v>
      </c>
      <c r="B1366" t="s">
        <v>67</v>
      </c>
      <c r="C1366" t="s">
        <v>2240</v>
      </c>
      <c r="D1366">
        <v>1</v>
      </c>
      <c r="E1366">
        <v>6</v>
      </c>
      <c r="F1366" t="s">
        <v>7</v>
      </c>
      <c r="G1366" t="s">
        <v>11</v>
      </c>
      <c r="H1366" t="s">
        <v>11</v>
      </c>
    </row>
    <row r="1367" spans="1:8" x14ac:dyDescent="0.35">
      <c r="A1367" t="s">
        <v>34</v>
      </c>
      <c r="B1367" t="s">
        <v>67</v>
      </c>
      <c r="C1367" t="s">
        <v>1723</v>
      </c>
      <c r="D1367">
        <v>1</v>
      </c>
      <c r="E1367">
        <v>6</v>
      </c>
      <c r="F1367" t="s">
        <v>7</v>
      </c>
      <c r="G1367" t="s">
        <v>11</v>
      </c>
      <c r="H1367" t="s">
        <v>11</v>
      </c>
    </row>
    <row r="1368" spans="1:8" x14ac:dyDescent="0.35">
      <c r="A1368" t="s">
        <v>34</v>
      </c>
      <c r="B1368" t="s">
        <v>67</v>
      </c>
      <c r="C1368" t="s">
        <v>2241</v>
      </c>
      <c r="D1368">
        <v>1</v>
      </c>
      <c r="E1368">
        <v>6</v>
      </c>
      <c r="F1368" t="s">
        <v>7</v>
      </c>
      <c r="G1368" t="s">
        <v>11</v>
      </c>
      <c r="H1368" t="s">
        <v>11</v>
      </c>
    </row>
    <row r="1369" spans="1:8" x14ac:dyDescent="0.35">
      <c r="A1369" t="s">
        <v>34</v>
      </c>
      <c r="B1369" t="s">
        <v>67</v>
      </c>
      <c r="C1369" t="s">
        <v>2242</v>
      </c>
      <c r="D1369">
        <v>1</v>
      </c>
      <c r="E1369">
        <v>6</v>
      </c>
      <c r="F1369" t="s">
        <v>7</v>
      </c>
      <c r="G1369" t="s">
        <v>11</v>
      </c>
      <c r="H1369" t="s">
        <v>11</v>
      </c>
    </row>
    <row r="1370" spans="1:8" x14ac:dyDescent="0.35">
      <c r="A1370" t="s">
        <v>34</v>
      </c>
      <c r="B1370" t="s">
        <v>67</v>
      </c>
      <c r="C1370" t="s">
        <v>2243</v>
      </c>
      <c r="D1370">
        <v>1</v>
      </c>
      <c r="E1370">
        <v>7</v>
      </c>
      <c r="F1370" t="s">
        <v>11</v>
      </c>
      <c r="G1370" t="s">
        <v>11</v>
      </c>
      <c r="H1370" t="s">
        <v>11</v>
      </c>
    </row>
    <row r="1371" spans="1:8" x14ac:dyDescent="0.35">
      <c r="A1371" t="s">
        <v>34</v>
      </c>
      <c r="B1371" t="s">
        <v>67</v>
      </c>
      <c r="C1371" t="s">
        <v>2244</v>
      </c>
      <c r="D1371">
        <v>1</v>
      </c>
      <c r="E1371">
        <v>6</v>
      </c>
      <c r="F1371" t="s">
        <v>7</v>
      </c>
      <c r="G1371" t="s">
        <v>11</v>
      </c>
      <c r="H1371" t="s">
        <v>11</v>
      </c>
    </row>
    <row r="1372" spans="1:8" x14ac:dyDescent="0.35">
      <c r="A1372" t="s">
        <v>34</v>
      </c>
      <c r="B1372" t="s">
        <v>67</v>
      </c>
      <c r="C1372" t="s">
        <v>2245</v>
      </c>
      <c r="D1372">
        <v>1</v>
      </c>
      <c r="E1372">
        <v>7</v>
      </c>
      <c r="F1372" t="s">
        <v>11</v>
      </c>
      <c r="G1372" t="s">
        <v>11</v>
      </c>
      <c r="H1372" t="s">
        <v>11</v>
      </c>
    </row>
    <row r="1373" spans="1:8" x14ac:dyDescent="0.35">
      <c r="A1373" t="s">
        <v>34</v>
      </c>
      <c r="B1373" t="s">
        <v>67</v>
      </c>
      <c r="C1373" t="s">
        <v>2246</v>
      </c>
      <c r="D1373">
        <v>1</v>
      </c>
      <c r="E1373">
        <v>7</v>
      </c>
      <c r="F1373" t="s">
        <v>11</v>
      </c>
      <c r="G1373" t="s">
        <v>11</v>
      </c>
      <c r="H1373" t="s">
        <v>11</v>
      </c>
    </row>
    <row r="1374" spans="1:8" x14ac:dyDescent="0.35">
      <c r="A1374" t="s">
        <v>34</v>
      </c>
      <c r="B1374" t="s">
        <v>67</v>
      </c>
      <c r="C1374" t="s">
        <v>2247</v>
      </c>
      <c r="D1374">
        <v>2</v>
      </c>
      <c r="E1374">
        <v>7</v>
      </c>
      <c r="F1374" t="s">
        <v>11</v>
      </c>
      <c r="G1374" t="s">
        <v>11</v>
      </c>
      <c r="H1374" t="s">
        <v>11</v>
      </c>
    </row>
    <row r="1375" spans="1:8" x14ac:dyDescent="0.35">
      <c r="A1375" t="s">
        <v>34</v>
      </c>
      <c r="B1375" t="s">
        <v>67</v>
      </c>
      <c r="C1375" t="s">
        <v>2248</v>
      </c>
      <c r="D1375">
        <v>1</v>
      </c>
      <c r="E1375">
        <v>6</v>
      </c>
      <c r="F1375" t="s">
        <v>7</v>
      </c>
      <c r="G1375" t="s">
        <v>11</v>
      </c>
      <c r="H1375" t="s">
        <v>11</v>
      </c>
    </row>
    <row r="1376" spans="1:8" x14ac:dyDescent="0.35">
      <c r="A1376" t="s">
        <v>34</v>
      </c>
      <c r="B1376" t="s">
        <v>67</v>
      </c>
      <c r="C1376" t="s">
        <v>1464</v>
      </c>
      <c r="D1376">
        <v>1</v>
      </c>
      <c r="E1376">
        <v>7</v>
      </c>
      <c r="F1376" t="s">
        <v>11</v>
      </c>
      <c r="G1376" t="s">
        <v>11</v>
      </c>
      <c r="H1376" t="s">
        <v>11</v>
      </c>
    </row>
    <row r="1377" spans="1:8" x14ac:dyDescent="0.35">
      <c r="A1377" t="s">
        <v>34</v>
      </c>
      <c r="B1377" t="s">
        <v>67</v>
      </c>
      <c r="C1377" t="s">
        <v>1465</v>
      </c>
      <c r="D1377">
        <v>1</v>
      </c>
      <c r="E1377">
        <v>6</v>
      </c>
      <c r="F1377" t="s">
        <v>7</v>
      </c>
      <c r="G1377" t="s">
        <v>11</v>
      </c>
      <c r="H1377" t="s">
        <v>11</v>
      </c>
    </row>
    <row r="1378" spans="1:8" x14ac:dyDescent="0.35">
      <c r="A1378" t="s">
        <v>34</v>
      </c>
      <c r="B1378" t="s">
        <v>67</v>
      </c>
      <c r="C1378" t="s">
        <v>2249</v>
      </c>
      <c r="D1378">
        <v>1</v>
      </c>
      <c r="E1378">
        <v>6</v>
      </c>
      <c r="F1378" t="s">
        <v>7</v>
      </c>
      <c r="G1378" t="s">
        <v>11</v>
      </c>
      <c r="H1378" t="s">
        <v>11</v>
      </c>
    </row>
    <row r="1379" spans="1:8" x14ac:dyDescent="0.35">
      <c r="A1379" t="s">
        <v>34</v>
      </c>
      <c r="B1379" t="s">
        <v>67</v>
      </c>
      <c r="C1379" t="s">
        <v>2250</v>
      </c>
      <c r="D1379">
        <v>1</v>
      </c>
      <c r="E1379">
        <v>7</v>
      </c>
      <c r="F1379" t="s">
        <v>11</v>
      </c>
      <c r="G1379" t="s">
        <v>11</v>
      </c>
      <c r="H1379" t="s">
        <v>11</v>
      </c>
    </row>
    <row r="1380" spans="1:8" x14ac:dyDescent="0.35">
      <c r="A1380" t="s">
        <v>34</v>
      </c>
      <c r="B1380" t="s">
        <v>67</v>
      </c>
      <c r="C1380" t="s">
        <v>2251</v>
      </c>
      <c r="D1380">
        <v>1</v>
      </c>
      <c r="E1380">
        <v>6</v>
      </c>
      <c r="F1380" t="s">
        <v>7</v>
      </c>
      <c r="G1380" t="s">
        <v>11</v>
      </c>
      <c r="H1380" t="s">
        <v>11</v>
      </c>
    </row>
    <row r="1381" spans="1:8" x14ac:dyDescent="0.35">
      <c r="A1381" t="s">
        <v>34</v>
      </c>
      <c r="B1381" t="s">
        <v>67</v>
      </c>
      <c r="C1381" t="s">
        <v>2252</v>
      </c>
      <c r="D1381">
        <v>1</v>
      </c>
      <c r="E1381">
        <v>6</v>
      </c>
      <c r="F1381" t="s">
        <v>7</v>
      </c>
      <c r="G1381" t="s">
        <v>11</v>
      </c>
      <c r="H1381" t="s">
        <v>11</v>
      </c>
    </row>
    <row r="1382" spans="1:8" x14ac:dyDescent="0.35">
      <c r="A1382" t="s">
        <v>34</v>
      </c>
      <c r="B1382" t="s">
        <v>67</v>
      </c>
      <c r="C1382" t="s">
        <v>1988</v>
      </c>
      <c r="D1382">
        <v>1</v>
      </c>
      <c r="E1382">
        <v>6</v>
      </c>
      <c r="F1382" t="s">
        <v>7</v>
      </c>
      <c r="G1382" t="s">
        <v>11</v>
      </c>
      <c r="H1382" t="s">
        <v>11</v>
      </c>
    </row>
    <row r="1383" spans="1:8" x14ac:dyDescent="0.35">
      <c r="A1383" t="s">
        <v>34</v>
      </c>
      <c r="B1383" t="s">
        <v>67</v>
      </c>
      <c r="C1383" t="s">
        <v>2253</v>
      </c>
      <c r="D1383">
        <v>1</v>
      </c>
      <c r="E1383">
        <v>6</v>
      </c>
      <c r="F1383" t="s">
        <v>7</v>
      </c>
      <c r="G1383" t="s">
        <v>11</v>
      </c>
      <c r="H1383" t="s">
        <v>11</v>
      </c>
    </row>
    <row r="1384" spans="1:8" x14ac:dyDescent="0.35">
      <c r="A1384" t="s">
        <v>34</v>
      </c>
      <c r="B1384" t="s">
        <v>67</v>
      </c>
      <c r="C1384" t="s">
        <v>2254</v>
      </c>
      <c r="D1384">
        <v>1</v>
      </c>
      <c r="E1384">
        <v>7</v>
      </c>
      <c r="F1384" t="s">
        <v>11</v>
      </c>
      <c r="G1384" t="s">
        <v>11</v>
      </c>
      <c r="H1384" t="s">
        <v>11</v>
      </c>
    </row>
    <row r="1385" spans="1:8" x14ac:dyDescent="0.35">
      <c r="A1385" t="s">
        <v>34</v>
      </c>
      <c r="B1385" t="s">
        <v>67</v>
      </c>
      <c r="C1385" t="s">
        <v>2255</v>
      </c>
      <c r="D1385">
        <v>2</v>
      </c>
      <c r="E1385">
        <v>7</v>
      </c>
      <c r="F1385" t="s">
        <v>11</v>
      </c>
      <c r="G1385" t="s">
        <v>11</v>
      </c>
      <c r="H1385" t="s">
        <v>11</v>
      </c>
    </row>
    <row r="1386" spans="1:8" x14ac:dyDescent="0.35">
      <c r="A1386" t="s">
        <v>34</v>
      </c>
      <c r="B1386" t="s">
        <v>67</v>
      </c>
      <c r="C1386" t="s">
        <v>1470</v>
      </c>
      <c r="D1386">
        <v>1</v>
      </c>
      <c r="E1386">
        <v>6</v>
      </c>
      <c r="F1386" t="s">
        <v>7</v>
      </c>
      <c r="G1386" t="s">
        <v>11</v>
      </c>
      <c r="H1386" t="s">
        <v>11</v>
      </c>
    </row>
    <row r="1387" spans="1:8" x14ac:dyDescent="0.35">
      <c r="A1387" t="s">
        <v>34</v>
      </c>
      <c r="B1387" t="s">
        <v>67</v>
      </c>
      <c r="C1387" t="s">
        <v>2256</v>
      </c>
      <c r="D1387">
        <v>1</v>
      </c>
      <c r="E1387">
        <v>6</v>
      </c>
      <c r="F1387" t="s">
        <v>7</v>
      </c>
      <c r="G1387" t="s">
        <v>11</v>
      </c>
      <c r="H1387" t="s">
        <v>11</v>
      </c>
    </row>
    <row r="1388" spans="1:8" x14ac:dyDescent="0.35">
      <c r="A1388" t="s">
        <v>34</v>
      </c>
      <c r="B1388" t="s">
        <v>67</v>
      </c>
      <c r="C1388" t="s">
        <v>2257</v>
      </c>
      <c r="D1388">
        <v>1</v>
      </c>
      <c r="E1388">
        <v>6</v>
      </c>
      <c r="F1388" t="s">
        <v>7</v>
      </c>
      <c r="G1388" t="s">
        <v>11</v>
      </c>
      <c r="H1388" t="s">
        <v>11</v>
      </c>
    </row>
    <row r="1389" spans="1:8" x14ac:dyDescent="0.35">
      <c r="A1389" t="s">
        <v>34</v>
      </c>
      <c r="B1389" t="s">
        <v>67</v>
      </c>
      <c r="C1389" t="s">
        <v>2258</v>
      </c>
      <c r="D1389">
        <v>1</v>
      </c>
      <c r="E1389">
        <v>6</v>
      </c>
      <c r="F1389" t="s">
        <v>7</v>
      </c>
      <c r="G1389" t="s">
        <v>11</v>
      </c>
      <c r="H1389" t="s">
        <v>11</v>
      </c>
    </row>
    <row r="1390" spans="1:8" x14ac:dyDescent="0.35">
      <c r="A1390" t="s">
        <v>34</v>
      </c>
      <c r="B1390" t="s">
        <v>67</v>
      </c>
      <c r="C1390" t="s">
        <v>2259</v>
      </c>
      <c r="D1390">
        <v>1</v>
      </c>
      <c r="E1390">
        <v>6</v>
      </c>
      <c r="F1390" t="s">
        <v>7</v>
      </c>
      <c r="G1390" t="s">
        <v>11</v>
      </c>
      <c r="H1390" t="s">
        <v>11</v>
      </c>
    </row>
    <row r="1391" spans="1:8" x14ac:dyDescent="0.35">
      <c r="A1391" t="s">
        <v>34</v>
      </c>
      <c r="B1391" t="s">
        <v>67</v>
      </c>
      <c r="C1391" t="s">
        <v>1998</v>
      </c>
      <c r="D1391">
        <v>1</v>
      </c>
      <c r="E1391">
        <v>6</v>
      </c>
      <c r="F1391" t="s">
        <v>7</v>
      </c>
      <c r="G1391" t="s">
        <v>11</v>
      </c>
      <c r="H1391" t="s">
        <v>11</v>
      </c>
    </row>
    <row r="1392" spans="1:8" x14ac:dyDescent="0.35">
      <c r="A1392" t="s">
        <v>34</v>
      </c>
      <c r="B1392" t="s">
        <v>67</v>
      </c>
      <c r="C1392" t="s">
        <v>2260</v>
      </c>
      <c r="D1392">
        <v>1</v>
      </c>
      <c r="E1392">
        <v>6</v>
      </c>
      <c r="F1392" t="s">
        <v>7</v>
      </c>
      <c r="G1392" t="s">
        <v>11</v>
      </c>
      <c r="H1392" t="s">
        <v>11</v>
      </c>
    </row>
    <row r="1393" spans="1:8" x14ac:dyDescent="0.35">
      <c r="A1393" t="s">
        <v>34</v>
      </c>
      <c r="B1393" t="s">
        <v>67</v>
      </c>
      <c r="C1393" t="s">
        <v>2058</v>
      </c>
      <c r="D1393">
        <v>1</v>
      </c>
      <c r="E1393">
        <v>6</v>
      </c>
      <c r="F1393" t="s">
        <v>7</v>
      </c>
      <c r="G1393" t="s">
        <v>11</v>
      </c>
      <c r="H1393" t="s">
        <v>11</v>
      </c>
    </row>
    <row r="1394" spans="1:8" x14ac:dyDescent="0.35">
      <c r="A1394" t="s">
        <v>34</v>
      </c>
      <c r="B1394" t="s">
        <v>67</v>
      </c>
      <c r="C1394" t="s">
        <v>2261</v>
      </c>
      <c r="D1394">
        <v>1</v>
      </c>
      <c r="E1394">
        <v>6</v>
      </c>
      <c r="F1394" t="s">
        <v>7</v>
      </c>
      <c r="G1394" t="s">
        <v>11</v>
      </c>
      <c r="H1394" t="s">
        <v>11</v>
      </c>
    </row>
    <row r="1395" spans="1:8" x14ac:dyDescent="0.35">
      <c r="A1395" t="s">
        <v>34</v>
      </c>
      <c r="B1395" t="s">
        <v>67</v>
      </c>
      <c r="C1395" t="s">
        <v>2262</v>
      </c>
      <c r="D1395">
        <v>1</v>
      </c>
      <c r="E1395">
        <v>6</v>
      </c>
      <c r="F1395" t="s">
        <v>7</v>
      </c>
      <c r="G1395" t="s">
        <v>11</v>
      </c>
      <c r="H1395" t="s">
        <v>11</v>
      </c>
    </row>
    <row r="1396" spans="1:8" x14ac:dyDescent="0.35">
      <c r="A1396" t="s">
        <v>34</v>
      </c>
      <c r="B1396" t="s">
        <v>67</v>
      </c>
      <c r="C1396" t="s">
        <v>2263</v>
      </c>
      <c r="D1396">
        <v>1</v>
      </c>
      <c r="E1396">
        <v>7</v>
      </c>
      <c r="F1396" t="s">
        <v>11</v>
      </c>
      <c r="G1396" t="s">
        <v>11</v>
      </c>
      <c r="H1396" t="s">
        <v>11</v>
      </c>
    </row>
    <row r="1397" spans="1:8" x14ac:dyDescent="0.35">
      <c r="A1397" t="s">
        <v>34</v>
      </c>
      <c r="B1397" t="s">
        <v>67</v>
      </c>
      <c r="C1397" t="s">
        <v>2264</v>
      </c>
      <c r="D1397">
        <v>1</v>
      </c>
      <c r="E1397">
        <v>6</v>
      </c>
      <c r="F1397" t="s">
        <v>7</v>
      </c>
      <c r="G1397" t="s">
        <v>11</v>
      </c>
      <c r="H1397" t="s">
        <v>11</v>
      </c>
    </row>
    <row r="1398" spans="1:8" x14ac:dyDescent="0.35">
      <c r="A1398" t="s">
        <v>34</v>
      </c>
      <c r="B1398" t="s">
        <v>67</v>
      </c>
      <c r="C1398" t="s">
        <v>1376</v>
      </c>
      <c r="D1398">
        <v>1</v>
      </c>
      <c r="E1398">
        <v>6</v>
      </c>
      <c r="F1398" t="s">
        <v>7</v>
      </c>
      <c r="G1398" t="s">
        <v>11</v>
      </c>
      <c r="H1398" t="s">
        <v>11</v>
      </c>
    </row>
    <row r="1399" spans="1:8" x14ac:dyDescent="0.35">
      <c r="A1399" t="s">
        <v>34</v>
      </c>
      <c r="B1399" t="s">
        <v>67</v>
      </c>
      <c r="C1399" t="s">
        <v>2265</v>
      </c>
      <c r="D1399">
        <v>1</v>
      </c>
      <c r="E1399">
        <v>6</v>
      </c>
      <c r="F1399" t="s">
        <v>7</v>
      </c>
      <c r="G1399" t="s">
        <v>11</v>
      </c>
      <c r="H1399" t="s">
        <v>11</v>
      </c>
    </row>
    <row r="1400" spans="1:8" x14ac:dyDescent="0.35">
      <c r="A1400" t="s">
        <v>34</v>
      </c>
      <c r="B1400" t="s">
        <v>67</v>
      </c>
      <c r="C1400" t="s">
        <v>2266</v>
      </c>
      <c r="D1400">
        <v>1</v>
      </c>
      <c r="E1400">
        <v>7</v>
      </c>
      <c r="F1400" t="s">
        <v>11</v>
      </c>
      <c r="G1400" t="s">
        <v>11</v>
      </c>
      <c r="H1400" t="s">
        <v>11</v>
      </c>
    </row>
    <row r="1401" spans="1:8" x14ac:dyDescent="0.35">
      <c r="A1401" t="s">
        <v>34</v>
      </c>
      <c r="B1401" t="s">
        <v>67</v>
      </c>
      <c r="C1401" t="s">
        <v>2267</v>
      </c>
      <c r="D1401">
        <v>1</v>
      </c>
      <c r="E1401">
        <v>6</v>
      </c>
      <c r="F1401" t="s">
        <v>7</v>
      </c>
      <c r="G1401" t="s">
        <v>11</v>
      </c>
      <c r="H1401" t="s">
        <v>11</v>
      </c>
    </row>
    <row r="1402" spans="1:8" x14ac:dyDescent="0.35">
      <c r="A1402" t="s">
        <v>34</v>
      </c>
      <c r="B1402" t="s">
        <v>67</v>
      </c>
      <c r="C1402" t="s">
        <v>1939</v>
      </c>
      <c r="D1402">
        <v>1</v>
      </c>
      <c r="E1402">
        <v>6</v>
      </c>
      <c r="F1402" t="s">
        <v>7</v>
      </c>
      <c r="G1402" t="s">
        <v>11</v>
      </c>
      <c r="H1402" t="s">
        <v>11</v>
      </c>
    </row>
    <row r="1403" spans="1:8" x14ac:dyDescent="0.35">
      <c r="A1403" t="s">
        <v>34</v>
      </c>
      <c r="B1403" t="s">
        <v>67</v>
      </c>
      <c r="C1403" t="s">
        <v>2268</v>
      </c>
      <c r="D1403">
        <v>1</v>
      </c>
      <c r="E1403">
        <v>6</v>
      </c>
      <c r="F1403" t="s">
        <v>7</v>
      </c>
      <c r="G1403" t="s">
        <v>11</v>
      </c>
      <c r="H1403" t="s">
        <v>11</v>
      </c>
    </row>
    <row r="1404" spans="1:8" x14ac:dyDescent="0.35">
      <c r="A1404" t="s">
        <v>36</v>
      </c>
      <c r="B1404" t="s">
        <v>117</v>
      </c>
      <c r="C1404" t="s">
        <v>1537</v>
      </c>
      <c r="D1404">
        <v>3</v>
      </c>
      <c r="E1404">
        <v>3</v>
      </c>
      <c r="F1404" t="s">
        <v>7</v>
      </c>
      <c r="G1404" t="s">
        <v>115</v>
      </c>
      <c r="H1404" t="s">
        <v>11</v>
      </c>
    </row>
    <row r="1405" spans="1:8" x14ac:dyDescent="0.35">
      <c r="A1405" t="s">
        <v>36</v>
      </c>
      <c r="B1405" t="s">
        <v>117</v>
      </c>
      <c r="C1405" t="s">
        <v>2269</v>
      </c>
      <c r="D1405">
        <v>2</v>
      </c>
      <c r="E1405">
        <v>3</v>
      </c>
      <c r="F1405" t="s">
        <v>7</v>
      </c>
      <c r="G1405" t="s">
        <v>11</v>
      </c>
      <c r="H1405" t="s">
        <v>11</v>
      </c>
    </row>
    <row r="1406" spans="1:8" x14ac:dyDescent="0.35">
      <c r="A1406" t="s">
        <v>36</v>
      </c>
      <c r="B1406" t="s">
        <v>117</v>
      </c>
      <c r="C1406" t="s">
        <v>2270</v>
      </c>
      <c r="D1406">
        <v>3</v>
      </c>
      <c r="E1406">
        <v>3</v>
      </c>
      <c r="F1406" t="s">
        <v>7</v>
      </c>
      <c r="G1406" t="s">
        <v>115</v>
      </c>
      <c r="H1406" t="s">
        <v>11</v>
      </c>
    </row>
    <row r="1407" spans="1:8" x14ac:dyDescent="0.35">
      <c r="A1407" t="s">
        <v>36</v>
      </c>
      <c r="B1407" t="s">
        <v>117</v>
      </c>
      <c r="C1407" t="s">
        <v>2271</v>
      </c>
      <c r="D1407">
        <v>3</v>
      </c>
      <c r="E1407">
        <v>3</v>
      </c>
      <c r="F1407" t="s">
        <v>7</v>
      </c>
      <c r="G1407" t="s">
        <v>11</v>
      </c>
      <c r="H1407" t="s">
        <v>11</v>
      </c>
    </row>
    <row r="1408" spans="1:8" x14ac:dyDescent="0.35">
      <c r="A1408" t="s">
        <v>36</v>
      </c>
      <c r="B1408" t="s">
        <v>117</v>
      </c>
      <c r="C1408" t="s">
        <v>1427</v>
      </c>
      <c r="D1408">
        <v>3</v>
      </c>
      <c r="E1408">
        <v>3</v>
      </c>
      <c r="F1408" t="s">
        <v>7</v>
      </c>
      <c r="G1408" t="s">
        <v>11</v>
      </c>
      <c r="H1408" t="s">
        <v>11</v>
      </c>
    </row>
    <row r="1409" spans="1:8" x14ac:dyDescent="0.35">
      <c r="A1409" t="s">
        <v>36</v>
      </c>
      <c r="B1409" t="s">
        <v>117</v>
      </c>
      <c r="C1409" t="s">
        <v>2272</v>
      </c>
      <c r="D1409">
        <v>3</v>
      </c>
      <c r="E1409">
        <v>3</v>
      </c>
      <c r="F1409" t="s">
        <v>7</v>
      </c>
      <c r="G1409" t="s">
        <v>11</v>
      </c>
      <c r="H1409" t="s">
        <v>11</v>
      </c>
    </row>
    <row r="1410" spans="1:8" x14ac:dyDescent="0.35">
      <c r="A1410" t="s">
        <v>36</v>
      </c>
      <c r="B1410" t="s">
        <v>117</v>
      </c>
      <c r="C1410" t="s">
        <v>1319</v>
      </c>
      <c r="D1410">
        <v>3</v>
      </c>
      <c r="E1410">
        <v>3</v>
      </c>
      <c r="F1410" t="s">
        <v>7</v>
      </c>
      <c r="G1410" t="s">
        <v>11</v>
      </c>
      <c r="H1410" t="s">
        <v>11</v>
      </c>
    </row>
    <row r="1411" spans="1:8" x14ac:dyDescent="0.35">
      <c r="A1411" t="s">
        <v>36</v>
      </c>
      <c r="B1411" t="s">
        <v>117</v>
      </c>
      <c r="C1411" t="s">
        <v>1430</v>
      </c>
      <c r="D1411">
        <v>3</v>
      </c>
      <c r="E1411">
        <v>3</v>
      </c>
      <c r="F1411" t="s">
        <v>7</v>
      </c>
      <c r="G1411" t="s">
        <v>11</v>
      </c>
      <c r="H1411" t="s">
        <v>11</v>
      </c>
    </row>
    <row r="1412" spans="1:8" x14ac:dyDescent="0.35">
      <c r="A1412" t="s">
        <v>36</v>
      </c>
      <c r="B1412" t="s">
        <v>117</v>
      </c>
      <c r="C1412" t="s">
        <v>1905</v>
      </c>
      <c r="D1412">
        <v>2</v>
      </c>
      <c r="E1412">
        <v>3</v>
      </c>
      <c r="F1412" t="s">
        <v>7</v>
      </c>
      <c r="G1412" t="s">
        <v>11</v>
      </c>
      <c r="H1412" t="s">
        <v>11</v>
      </c>
    </row>
    <row r="1413" spans="1:8" x14ac:dyDescent="0.35">
      <c r="A1413" t="s">
        <v>36</v>
      </c>
      <c r="B1413" t="s">
        <v>117</v>
      </c>
      <c r="C1413" t="s">
        <v>1323</v>
      </c>
      <c r="D1413">
        <v>3</v>
      </c>
      <c r="E1413">
        <v>3</v>
      </c>
      <c r="F1413" t="s">
        <v>7</v>
      </c>
      <c r="G1413" t="s">
        <v>11</v>
      </c>
      <c r="H1413" t="s">
        <v>11</v>
      </c>
    </row>
    <row r="1414" spans="1:8" x14ac:dyDescent="0.35">
      <c r="A1414" t="s">
        <v>36</v>
      </c>
      <c r="B1414" t="s">
        <v>117</v>
      </c>
      <c r="C1414" t="s">
        <v>2073</v>
      </c>
      <c r="D1414">
        <v>3</v>
      </c>
      <c r="E1414">
        <v>3</v>
      </c>
      <c r="F1414" t="s">
        <v>7</v>
      </c>
      <c r="G1414" t="s">
        <v>115</v>
      </c>
      <c r="H1414" t="s">
        <v>11</v>
      </c>
    </row>
    <row r="1415" spans="1:8" x14ac:dyDescent="0.35">
      <c r="A1415" t="s">
        <v>36</v>
      </c>
      <c r="B1415" t="s">
        <v>117</v>
      </c>
      <c r="C1415" t="s">
        <v>1324</v>
      </c>
      <c r="D1415">
        <v>3</v>
      </c>
      <c r="E1415">
        <v>3</v>
      </c>
      <c r="F1415" t="s">
        <v>7</v>
      </c>
      <c r="G1415" t="s">
        <v>11</v>
      </c>
      <c r="H1415" t="s">
        <v>11</v>
      </c>
    </row>
    <row r="1416" spans="1:8" x14ac:dyDescent="0.35">
      <c r="A1416" t="s">
        <v>36</v>
      </c>
      <c r="B1416" t="s">
        <v>117</v>
      </c>
      <c r="C1416" t="s">
        <v>1325</v>
      </c>
      <c r="D1416">
        <v>2</v>
      </c>
      <c r="E1416">
        <v>3</v>
      </c>
      <c r="F1416" t="s">
        <v>7</v>
      </c>
      <c r="G1416" t="s">
        <v>11</v>
      </c>
      <c r="H1416" t="s">
        <v>11</v>
      </c>
    </row>
    <row r="1417" spans="1:8" x14ac:dyDescent="0.35">
      <c r="A1417" t="s">
        <v>36</v>
      </c>
      <c r="B1417" t="s">
        <v>117</v>
      </c>
      <c r="C1417" t="s">
        <v>2273</v>
      </c>
      <c r="D1417">
        <v>3</v>
      </c>
      <c r="E1417">
        <v>3</v>
      </c>
      <c r="F1417" t="s">
        <v>7</v>
      </c>
      <c r="G1417" t="s">
        <v>11</v>
      </c>
      <c r="H1417" t="s">
        <v>11</v>
      </c>
    </row>
    <row r="1418" spans="1:8" x14ac:dyDescent="0.35">
      <c r="A1418" t="s">
        <v>36</v>
      </c>
      <c r="B1418" t="s">
        <v>117</v>
      </c>
      <c r="C1418" t="s">
        <v>2274</v>
      </c>
      <c r="D1418">
        <v>3</v>
      </c>
      <c r="E1418">
        <v>3</v>
      </c>
      <c r="F1418" t="s">
        <v>7</v>
      </c>
      <c r="G1418" t="s">
        <v>115</v>
      </c>
      <c r="H1418" t="s">
        <v>11</v>
      </c>
    </row>
    <row r="1419" spans="1:8" x14ac:dyDescent="0.35">
      <c r="A1419" t="s">
        <v>36</v>
      </c>
      <c r="B1419" t="s">
        <v>117</v>
      </c>
      <c r="C1419" t="s">
        <v>1331</v>
      </c>
      <c r="D1419">
        <v>3</v>
      </c>
      <c r="E1419">
        <v>3</v>
      </c>
      <c r="F1419" t="s">
        <v>7</v>
      </c>
      <c r="G1419" t="s">
        <v>115</v>
      </c>
      <c r="H1419" t="s">
        <v>11</v>
      </c>
    </row>
    <row r="1420" spans="1:8" x14ac:dyDescent="0.35">
      <c r="A1420" t="s">
        <v>36</v>
      </c>
      <c r="B1420" t="s">
        <v>117</v>
      </c>
      <c r="C1420" t="s">
        <v>2275</v>
      </c>
      <c r="D1420">
        <v>3</v>
      </c>
      <c r="E1420">
        <v>3</v>
      </c>
      <c r="F1420" t="s">
        <v>7</v>
      </c>
      <c r="G1420" t="s">
        <v>11</v>
      </c>
      <c r="H1420" t="s">
        <v>11</v>
      </c>
    </row>
    <row r="1421" spans="1:8" x14ac:dyDescent="0.35">
      <c r="A1421" t="s">
        <v>36</v>
      </c>
      <c r="B1421" t="s">
        <v>117</v>
      </c>
      <c r="C1421" t="s">
        <v>2276</v>
      </c>
      <c r="D1421">
        <v>3</v>
      </c>
      <c r="E1421">
        <v>3</v>
      </c>
      <c r="F1421" t="s">
        <v>7</v>
      </c>
      <c r="G1421" t="s">
        <v>115</v>
      </c>
      <c r="H1421" t="s">
        <v>11</v>
      </c>
    </row>
    <row r="1422" spans="1:8" x14ac:dyDescent="0.35">
      <c r="A1422" t="s">
        <v>36</v>
      </c>
      <c r="B1422" t="s">
        <v>117</v>
      </c>
      <c r="C1422" t="s">
        <v>1341</v>
      </c>
      <c r="D1422">
        <v>3</v>
      </c>
      <c r="E1422">
        <v>3</v>
      </c>
      <c r="F1422" t="s">
        <v>7</v>
      </c>
      <c r="G1422" t="s">
        <v>115</v>
      </c>
      <c r="H1422" t="s">
        <v>11</v>
      </c>
    </row>
    <row r="1423" spans="1:8" x14ac:dyDescent="0.35">
      <c r="A1423" t="s">
        <v>36</v>
      </c>
      <c r="B1423" t="s">
        <v>117</v>
      </c>
      <c r="C1423" t="s">
        <v>2277</v>
      </c>
      <c r="D1423">
        <v>3</v>
      </c>
      <c r="E1423">
        <v>3</v>
      </c>
      <c r="F1423" t="s">
        <v>7</v>
      </c>
      <c r="G1423" t="s">
        <v>115</v>
      </c>
      <c r="H1423" t="s">
        <v>11</v>
      </c>
    </row>
    <row r="1424" spans="1:8" x14ac:dyDescent="0.35">
      <c r="A1424" t="s">
        <v>36</v>
      </c>
      <c r="B1424" t="s">
        <v>117</v>
      </c>
      <c r="C1424" t="s">
        <v>1343</v>
      </c>
      <c r="D1424">
        <v>3</v>
      </c>
      <c r="E1424">
        <v>3</v>
      </c>
      <c r="F1424" t="s">
        <v>7</v>
      </c>
      <c r="G1424" t="s">
        <v>115</v>
      </c>
      <c r="H1424" t="s">
        <v>11</v>
      </c>
    </row>
    <row r="1425" spans="1:8" x14ac:dyDescent="0.35">
      <c r="A1425" t="s">
        <v>36</v>
      </c>
      <c r="B1425" t="s">
        <v>117</v>
      </c>
      <c r="C1425" t="s">
        <v>2278</v>
      </c>
      <c r="D1425">
        <v>3</v>
      </c>
      <c r="E1425">
        <v>3</v>
      </c>
      <c r="F1425" t="s">
        <v>7</v>
      </c>
      <c r="G1425" t="s">
        <v>11</v>
      </c>
      <c r="H1425" t="s">
        <v>11</v>
      </c>
    </row>
    <row r="1426" spans="1:8" x14ac:dyDescent="0.35">
      <c r="A1426" t="s">
        <v>36</v>
      </c>
      <c r="B1426" t="s">
        <v>117</v>
      </c>
      <c r="C1426" t="s">
        <v>1705</v>
      </c>
      <c r="D1426">
        <v>3</v>
      </c>
      <c r="E1426">
        <v>2</v>
      </c>
      <c r="F1426" t="s">
        <v>7</v>
      </c>
      <c r="G1426" t="s">
        <v>115</v>
      </c>
      <c r="H1426" t="s">
        <v>11</v>
      </c>
    </row>
    <row r="1427" spans="1:8" x14ac:dyDescent="0.35">
      <c r="A1427" t="s">
        <v>36</v>
      </c>
      <c r="B1427" t="s">
        <v>117</v>
      </c>
      <c r="C1427" t="s">
        <v>1864</v>
      </c>
      <c r="D1427">
        <v>3</v>
      </c>
      <c r="E1427">
        <v>2</v>
      </c>
      <c r="F1427" t="s">
        <v>7</v>
      </c>
      <c r="G1427" t="s">
        <v>115</v>
      </c>
      <c r="H1427" t="s">
        <v>11</v>
      </c>
    </row>
    <row r="1428" spans="1:8" x14ac:dyDescent="0.35">
      <c r="A1428" t="s">
        <v>36</v>
      </c>
      <c r="B1428" t="s">
        <v>117</v>
      </c>
      <c r="C1428" t="s">
        <v>2279</v>
      </c>
      <c r="D1428">
        <v>3</v>
      </c>
      <c r="E1428">
        <v>3</v>
      </c>
      <c r="F1428" t="s">
        <v>7</v>
      </c>
      <c r="G1428" t="s">
        <v>115</v>
      </c>
      <c r="H1428" t="s">
        <v>11</v>
      </c>
    </row>
    <row r="1429" spans="1:8" x14ac:dyDescent="0.35">
      <c r="A1429" t="s">
        <v>36</v>
      </c>
      <c r="B1429" t="s">
        <v>117</v>
      </c>
      <c r="C1429" t="s">
        <v>1627</v>
      </c>
      <c r="D1429">
        <v>3</v>
      </c>
      <c r="E1429">
        <v>3</v>
      </c>
      <c r="F1429" t="s">
        <v>7</v>
      </c>
      <c r="G1429" t="s">
        <v>11</v>
      </c>
      <c r="H1429" t="s">
        <v>11</v>
      </c>
    </row>
    <row r="1430" spans="1:8" x14ac:dyDescent="0.35">
      <c r="A1430" t="s">
        <v>36</v>
      </c>
      <c r="B1430" t="s">
        <v>117</v>
      </c>
      <c r="C1430" t="s">
        <v>2280</v>
      </c>
      <c r="D1430">
        <v>3</v>
      </c>
      <c r="E1430">
        <v>3</v>
      </c>
      <c r="F1430" t="s">
        <v>7</v>
      </c>
      <c r="G1430" t="s">
        <v>11</v>
      </c>
      <c r="H1430" t="s">
        <v>11</v>
      </c>
    </row>
    <row r="1431" spans="1:8" x14ac:dyDescent="0.35">
      <c r="A1431" t="s">
        <v>36</v>
      </c>
      <c r="B1431" t="s">
        <v>117</v>
      </c>
      <c r="C1431" t="s">
        <v>2281</v>
      </c>
      <c r="D1431">
        <v>3</v>
      </c>
      <c r="E1431">
        <v>3</v>
      </c>
      <c r="F1431" t="s">
        <v>7</v>
      </c>
      <c r="G1431" t="s">
        <v>11</v>
      </c>
      <c r="H1431" t="s">
        <v>11</v>
      </c>
    </row>
    <row r="1432" spans="1:8" x14ac:dyDescent="0.35">
      <c r="A1432" t="s">
        <v>36</v>
      </c>
      <c r="B1432" t="s">
        <v>117</v>
      </c>
      <c r="C1432" t="s">
        <v>2282</v>
      </c>
      <c r="D1432">
        <v>3</v>
      </c>
      <c r="E1432">
        <v>3</v>
      </c>
      <c r="F1432" t="s">
        <v>7</v>
      </c>
      <c r="G1432" t="s">
        <v>11</v>
      </c>
      <c r="H1432" t="s">
        <v>11</v>
      </c>
    </row>
    <row r="1433" spans="1:8" x14ac:dyDescent="0.35">
      <c r="A1433" t="s">
        <v>36</v>
      </c>
      <c r="B1433" t="s">
        <v>117</v>
      </c>
      <c r="C1433" t="s">
        <v>1347</v>
      </c>
      <c r="D1433">
        <v>3</v>
      </c>
      <c r="E1433">
        <v>2</v>
      </c>
      <c r="F1433" t="s">
        <v>7</v>
      </c>
      <c r="G1433" t="s">
        <v>115</v>
      </c>
      <c r="H1433" t="s">
        <v>11</v>
      </c>
    </row>
    <row r="1434" spans="1:8" x14ac:dyDescent="0.35">
      <c r="A1434" t="s">
        <v>36</v>
      </c>
      <c r="B1434" t="s">
        <v>117</v>
      </c>
      <c r="C1434" t="s">
        <v>1711</v>
      </c>
      <c r="D1434">
        <v>3</v>
      </c>
      <c r="E1434">
        <v>3</v>
      </c>
      <c r="F1434" t="s">
        <v>7</v>
      </c>
      <c r="G1434" t="s">
        <v>11</v>
      </c>
      <c r="H1434" t="s">
        <v>11</v>
      </c>
    </row>
    <row r="1435" spans="1:8" x14ac:dyDescent="0.35">
      <c r="A1435" t="s">
        <v>36</v>
      </c>
      <c r="B1435" t="s">
        <v>117</v>
      </c>
      <c r="C1435" t="s">
        <v>1348</v>
      </c>
      <c r="D1435">
        <v>3</v>
      </c>
      <c r="E1435">
        <v>3</v>
      </c>
      <c r="F1435" t="s">
        <v>7</v>
      </c>
      <c r="G1435" t="s">
        <v>115</v>
      </c>
      <c r="H1435" t="s">
        <v>11</v>
      </c>
    </row>
    <row r="1436" spans="1:8" x14ac:dyDescent="0.35">
      <c r="A1436" t="s">
        <v>36</v>
      </c>
      <c r="B1436" t="s">
        <v>117</v>
      </c>
      <c r="C1436" t="s">
        <v>2081</v>
      </c>
      <c r="D1436">
        <v>3</v>
      </c>
      <c r="E1436">
        <v>3</v>
      </c>
      <c r="F1436" t="s">
        <v>7</v>
      </c>
      <c r="G1436" t="s">
        <v>115</v>
      </c>
      <c r="H1436" t="s">
        <v>11</v>
      </c>
    </row>
    <row r="1437" spans="1:8" x14ac:dyDescent="0.35">
      <c r="A1437" t="s">
        <v>36</v>
      </c>
      <c r="B1437" t="s">
        <v>117</v>
      </c>
      <c r="C1437" t="s">
        <v>1714</v>
      </c>
      <c r="D1437">
        <v>3</v>
      </c>
      <c r="E1437">
        <v>3</v>
      </c>
      <c r="F1437" t="s">
        <v>7</v>
      </c>
      <c r="G1437" t="s">
        <v>115</v>
      </c>
      <c r="H1437" t="s">
        <v>11</v>
      </c>
    </row>
    <row r="1438" spans="1:8" x14ac:dyDescent="0.35">
      <c r="A1438" t="s">
        <v>36</v>
      </c>
      <c r="B1438" t="s">
        <v>117</v>
      </c>
      <c r="C1438" t="s">
        <v>2283</v>
      </c>
      <c r="D1438">
        <v>3</v>
      </c>
      <c r="E1438">
        <v>3</v>
      </c>
      <c r="F1438" t="s">
        <v>7</v>
      </c>
      <c r="G1438" t="s">
        <v>11</v>
      </c>
      <c r="H1438" t="s">
        <v>11</v>
      </c>
    </row>
    <row r="1439" spans="1:8" x14ac:dyDescent="0.35">
      <c r="A1439" t="s">
        <v>36</v>
      </c>
      <c r="B1439" t="s">
        <v>117</v>
      </c>
      <c r="C1439" t="s">
        <v>1452</v>
      </c>
      <c r="D1439">
        <v>3</v>
      </c>
      <c r="E1439">
        <v>3</v>
      </c>
      <c r="F1439" t="s">
        <v>7</v>
      </c>
      <c r="G1439" t="s">
        <v>11</v>
      </c>
      <c r="H1439" t="s">
        <v>11</v>
      </c>
    </row>
    <row r="1440" spans="1:8" x14ac:dyDescent="0.35">
      <c r="A1440" t="s">
        <v>36</v>
      </c>
      <c r="B1440" t="s">
        <v>117</v>
      </c>
      <c r="C1440" t="s">
        <v>1349</v>
      </c>
      <c r="D1440">
        <v>3</v>
      </c>
      <c r="E1440">
        <v>3</v>
      </c>
      <c r="F1440" t="s">
        <v>7</v>
      </c>
      <c r="G1440" t="s">
        <v>115</v>
      </c>
      <c r="H1440" t="s">
        <v>11</v>
      </c>
    </row>
    <row r="1441" spans="1:8" x14ac:dyDescent="0.35">
      <c r="A1441" t="s">
        <v>36</v>
      </c>
      <c r="B1441" t="s">
        <v>117</v>
      </c>
      <c r="C1441" t="s">
        <v>1350</v>
      </c>
      <c r="D1441">
        <v>3</v>
      </c>
      <c r="E1441">
        <v>3</v>
      </c>
      <c r="F1441" t="s">
        <v>7</v>
      </c>
      <c r="G1441" t="s">
        <v>11</v>
      </c>
      <c r="H1441" t="s">
        <v>11</v>
      </c>
    </row>
    <row r="1442" spans="1:8" x14ac:dyDescent="0.35">
      <c r="A1442" t="s">
        <v>36</v>
      </c>
      <c r="B1442" t="s">
        <v>117</v>
      </c>
      <c r="C1442" t="s">
        <v>1351</v>
      </c>
      <c r="D1442">
        <v>3</v>
      </c>
      <c r="E1442">
        <v>3</v>
      </c>
      <c r="F1442" t="s">
        <v>7</v>
      </c>
      <c r="G1442" t="s">
        <v>115</v>
      </c>
      <c r="H1442" t="s">
        <v>11</v>
      </c>
    </row>
    <row r="1443" spans="1:8" x14ac:dyDescent="0.35">
      <c r="A1443" t="s">
        <v>36</v>
      </c>
      <c r="B1443" t="s">
        <v>117</v>
      </c>
      <c r="C1443" t="s">
        <v>2284</v>
      </c>
      <c r="D1443">
        <v>3</v>
      </c>
      <c r="E1443">
        <v>3</v>
      </c>
      <c r="F1443" t="s">
        <v>7</v>
      </c>
      <c r="G1443" t="s">
        <v>11</v>
      </c>
      <c r="H1443" t="s">
        <v>11</v>
      </c>
    </row>
    <row r="1444" spans="1:8" x14ac:dyDescent="0.35">
      <c r="A1444" t="s">
        <v>36</v>
      </c>
      <c r="B1444" t="s">
        <v>117</v>
      </c>
      <c r="C1444" t="s">
        <v>1352</v>
      </c>
      <c r="D1444">
        <v>2</v>
      </c>
      <c r="E1444">
        <v>3</v>
      </c>
      <c r="F1444" t="s">
        <v>7</v>
      </c>
      <c r="G1444" t="s">
        <v>11</v>
      </c>
      <c r="H1444" t="s">
        <v>11</v>
      </c>
    </row>
    <row r="1445" spans="1:8" x14ac:dyDescent="0.35">
      <c r="A1445" t="s">
        <v>36</v>
      </c>
      <c r="B1445" t="s">
        <v>117</v>
      </c>
      <c r="C1445" t="s">
        <v>2285</v>
      </c>
      <c r="D1445">
        <v>3</v>
      </c>
      <c r="E1445">
        <v>3</v>
      </c>
      <c r="F1445" t="s">
        <v>7</v>
      </c>
      <c r="G1445" t="s">
        <v>11</v>
      </c>
      <c r="H1445" t="s">
        <v>11</v>
      </c>
    </row>
    <row r="1446" spans="1:8" x14ac:dyDescent="0.35">
      <c r="A1446" t="s">
        <v>36</v>
      </c>
      <c r="B1446" t="s">
        <v>117</v>
      </c>
      <c r="C1446" t="s">
        <v>1453</v>
      </c>
      <c r="D1446">
        <v>3</v>
      </c>
      <c r="E1446">
        <v>3</v>
      </c>
      <c r="F1446" t="s">
        <v>7</v>
      </c>
      <c r="G1446" t="s">
        <v>115</v>
      </c>
      <c r="H1446" t="s">
        <v>11</v>
      </c>
    </row>
    <row r="1447" spans="1:8" x14ac:dyDescent="0.35">
      <c r="A1447" t="s">
        <v>36</v>
      </c>
      <c r="B1447" t="s">
        <v>117</v>
      </c>
      <c r="C1447" t="s">
        <v>1354</v>
      </c>
      <c r="D1447">
        <v>2</v>
      </c>
      <c r="E1447">
        <v>3</v>
      </c>
      <c r="F1447" t="s">
        <v>7</v>
      </c>
      <c r="G1447" t="s">
        <v>11</v>
      </c>
      <c r="H1447" t="s">
        <v>11</v>
      </c>
    </row>
    <row r="1448" spans="1:8" x14ac:dyDescent="0.35">
      <c r="A1448" t="s">
        <v>36</v>
      </c>
      <c r="B1448" t="s">
        <v>117</v>
      </c>
      <c r="C1448" t="s">
        <v>1356</v>
      </c>
      <c r="D1448">
        <v>3</v>
      </c>
      <c r="E1448">
        <v>3</v>
      </c>
      <c r="F1448" t="s">
        <v>7</v>
      </c>
      <c r="G1448" t="s">
        <v>11</v>
      </c>
      <c r="H1448" t="s">
        <v>11</v>
      </c>
    </row>
    <row r="1449" spans="1:8" x14ac:dyDescent="0.35">
      <c r="A1449" t="s">
        <v>36</v>
      </c>
      <c r="B1449" t="s">
        <v>117</v>
      </c>
      <c r="C1449" t="s">
        <v>1358</v>
      </c>
      <c r="D1449">
        <v>3</v>
      </c>
      <c r="E1449">
        <v>3</v>
      </c>
      <c r="F1449" t="s">
        <v>7</v>
      </c>
      <c r="G1449" t="s">
        <v>115</v>
      </c>
      <c r="H1449" t="s">
        <v>11</v>
      </c>
    </row>
    <row r="1450" spans="1:8" x14ac:dyDescent="0.35">
      <c r="A1450" t="s">
        <v>36</v>
      </c>
      <c r="B1450" t="s">
        <v>117</v>
      </c>
      <c r="C1450" t="s">
        <v>1359</v>
      </c>
      <c r="D1450">
        <v>3</v>
      </c>
      <c r="E1450">
        <v>3</v>
      </c>
      <c r="F1450" t="s">
        <v>7</v>
      </c>
      <c r="G1450" t="s">
        <v>11</v>
      </c>
      <c r="H1450" t="s">
        <v>11</v>
      </c>
    </row>
    <row r="1451" spans="1:8" x14ac:dyDescent="0.35">
      <c r="A1451" t="s">
        <v>36</v>
      </c>
      <c r="B1451" t="s">
        <v>117</v>
      </c>
      <c r="C1451" t="s">
        <v>1361</v>
      </c>
      <c r="D1451">
        <v>3</v>
      </c>
      <c r="E1451">
        <v>3</v>
      </c>
      <c r="F1451" t="s">
        <v>7</v>
      </c>
      <c r="G1451" t="s">
        <v>11</v>
      </c>
      <c r="H1451" t="s">
        <v>11</v>
      </c>
    </row>
    <row r="1452" spans="1:8" x14ac:dyDescent="0.35">
      <c r="A1452" t="s">
        <v>36</v>
      </c>
      <c r="B1452" t="s">
        <v>117</v>
      </c>
      <c r="C1452" t="s">
        <v>1362</v>
      </c>
      <c r="D1452">
        <v>3</v>
      </c>
      <c r="E1452">
        <v>3</v>
      </c>
      <c r="F1452" t="s">
        <v>7</v>
      </c>
      <c r="G1452" t="s">
        <v>11</v>
      </c>
      <c r="H1452" t="s">
        <v>11</v>
      </c>
    </row>
    <row r="1453" spans="1:8" x14ac:dyDescent="0.35">
      <c r="A1453" t="s">
        <v>36</v>
      </c>
      <c r="B1453" t="s">
        <v>117</v>
      </c>
      <c r="C1453" t="s">
        <v>2286</v>
      </c>
      <c r="D1453">
        <v>3</v>
      </c>
      <c r="E1453">
        <v>3</v>
      </c>
      <c r="F1453" t="s">
        <v>7</v>
      </c>
      <c r="G1453" t="s">
        <v>11</v>
      </c>
      <c r="H1453" t="s">
        <v>11</v>
      </c>
    </row>
    <row r="1454" spans="1:8" x14ac:dyDescent="0.35">
      <c r="A1454" t="s">
        <v>36</v>
      </c>
      <c r="B1454" t="s">
        <v>117</v>
      </c>
      <c r="C1454" t="s">
        <v>1460</v>
      </c>
      <c r="D1454">
        <v>3</v>
      </c>
      <c r="E1454">
        <v>3</v>
      </c>
      <c r="F1454" t="s">
        <v>7</v>
      </c>
      <c r="G1454" t="s">
        <v>11</v>
      </c>
      <c r="H1454" t="s">
        <v>11</v>
      </c>
    </row>
    <row r="1455" spans="1:8" x14ac:dyDescent="0.35">
      <c r="A1455" t="s">
        <v>36</v>
      </c>
      <c r="B1455" t="s">
        <v>117</v>
      </c>
      <c r="C1455" t="s">
        <v>2287</v>
      </c>
      <c r="D1455">
        <v>2</v>
      </c>
      <c r="E1455">
        <v>3</v>
      </c>
      <c r="F1455" t="s">
        <v>7</v>
      </c>
      <c r="G1455" t="s">
        <v>11</v>
      </c>
      <c r="H1455" t="s">
        <v>11</v>
      </c>
    </row>
    <row r="1456" spans="1:8" x14ac:dyDescent="0.35">
      <c r="A1456" t="s">
        <v>36</v>
      </c>
      <c r="B1456" t="s">
        <v>117</v>
      </c>
      <c r="C1456" t="s">
        <v>2288</v>
      </c>
      <c r="D1456">
        <v>3</v>
      </c>
      <c r="E1456">
        <v>3</v>
      </c>
      <c r="F1456" t="s">
        <v>7</v>
      </c>
      <c r="G1456" t="s">
        <v>11</v>
      </c>
      <c r="H1456" t="s">
        <v>11</v>
      </c>
    </row>
    <row r="1457" spans="1:8" x14ac:dyDescent="0.35">
      <c r="A1457" t="s">
        <v>36</v>
      </c>
      <c r="B1457" t="s">
        <v>117</v>
      </c>
      <c r="C1457" t="s">
        <v>2289</v>
      </c>
      <c r="D1457">
        <v>3</v>
      </c>
      <c r="E1457">
        <v>3</v>
      </c>
      <c r="F1457" t="s">
        <v>7</v>
      </c>
      <c r="G1457" t="s">
        <v>11</v>
      </c>
      <c r="H1457" t="s">
        <v>11</v>
      </c>
    </row>
    <row r="1458" spans="1:8" x14ac:dyDescent="0.35">
      <c r="A1458" t="s">
        <v>36</v>
      </c>
      <c r="B1458" t="s">
        <v>117</v>
      </c>
      <c r="C1458" t="s">
        <v>2290</v>
      </c>
      <c r="D1458">
        <v>3</v>
      </c>
      <c r="E1458">
        <v>2</v>
      </c>
      <c r="F1458" t="s">
        <v>7</v>
      </c>
      <c r="G1458" t="s">
        <v>115</v>
      </c>
      <c r="H1458" t="s">
        <v>11</v>
      </c>
    </row>
    <row r="1459" spans="1:8" x14ac:dyDescent="0.35">
      <c r="A1459" t="s">
        <v>36</v>
      </c>
      <c r="B1459" t="s">
        <v>117</v>
      </c>
      <c r="C1459" t="s">
        <v>1364</v>
      </c>
      <c r="D1459">
        <v>3</v>
      </c>
      <c r="E1459">
        <v>3</v>
      </c>
      <c r="F1459" t="s">
        <v>7</v>
      </c>
      <c r="G1459" t="s">
        <v>115</v>
      </c>
      <c r="H1459" t="s">
        <v>11</v>
      </c>
    </row>
    <row r="1460" spans="1:8" x14ac:dyDescent="0.35">
      <c r="A1460" t="s">
        <v>36</v>
      </c>
      <c r="B1460" t="s">
        <v>117</v>
      </c>
      <c r="C1460" t="s">
        <v>1366</v>
      </c>
      <c r="D1460">
        <v>3</v>
      </c>
      <c r="E1460">
        <v>3</v>
      </c>
      <c r="F1460" t="s">
        <v>7</v>
      </c>
      <c r="G1460" t="s">
        <v>115</v>
      </c>
      <c r="H1460" t="s">
        <v>11</v>
      </c>
    </row>
    <row r="1461" spans="1:8" x14ac:dyDescent="0.35">
      <c r="A1461" t="s">
        <v>36</v>
      </c>
      <c r="B1461" t="s">
        <v>117</v>
      </c>
      <c r="C1461" t="s">
        <v>2291</v>
      </c>
      <c r="D1461">
        <v>3</v>
      </c>
      <c r="E1461">
        <v>3</v>
      </c>
      <c r="F1461" t="s">
        <v>7</v>
      </c>
      <c r="G1461" t="s">
        <v>11</v>
      </c>
      <c r="H1461" t="s">
        <v>11</v>
      </c>
    </row>
    <row r="1462" spans="1:8" x14ac:dyDescent="0.35">
      <c r="A1462" t="s">
        <v>36</v>
      </c>
      <c r="B1462" t="s">
        <v>117</v>
      </c>
      <c r="C1462" t="s">
        <v>2292</v>
      </c>
      <c r="D1462">
        <v>3</v>
      </c>
      <c r="E1462">
        <v>3</v>
      </c>
      <c r="F1462" t="s">
        <v>7</v>
      </c>
      <c r="G1462" t="s">
        <v>11</v>
      </c>
      <c r="H1462" t="s">
        <v>11</v>
      </c>
    </row>
    <row r="1463" spans="1:8" x14ac:dyDescent="0.35">
      <c r="A1463" t="s">
        <v>36</v>
      </c>
      <c r="B1463" t="s">
        <v>117</v>
      </c>
      <c r="C1463" t="s">
        <v>1730</v>
      </c>
      <c r="D1463">
        <v>3</v>
      </c>
      <c r="E1463">
        <v>3</v>
      </c>
      <c r="F1463" t="s">
        <v>7</v>
      </c>
      <c r="G1463" t="s">
        <v>11</v>
      </c>
      <c r="H1463" t="s">
        <v>11</v>
      </c>
    </row>
    <row r="1464" spans="1:8" x14ac:dyDescent="0.35">
      <c r="A1464" t="s">
        <v>36</v>
      </c>
      <c r="B1464" t="s">
        <v>117</v>
      </c>
      <c r="C1464" t="s">
        <v>2293</v>
      </c>
      <c r="D1464">
        <v>3</v>
      </c>
      <c r="E1464">
        <v>3</v>
      </c>
      <c r="F1464" t="s">
        <v>7</v>
      </c>
      <c r="G1464" t="s">
        <v>115</v>
      </c>
      <c r="H1464" t="s">
        <v>11</v>
      </c>
    </row>
    <row r="1465" spans="1:8" x14ac:dyDescent="0.35">
      <c r="A1465" t="s">
        <v>36</v>
      </c>
      <c r="B1465" t="s">
        <v>117</v>
      </c>
      <c r="C1465" t="s">
        <v>1470</v>
      </c>
      <c r="D1465">
        <v>3</v>
      </c>
      <c r="E1465">
        <v>3</v>
      </c>
      <c r="F1465" t="s">
        <v>7</v>
      </c>
      <c r="G1465" t="s">
        <v>11</v>
      </c>
      <c r="H1465" t="s">
        <v>11</v>
      </c>
    </row>
    <row r="1466" spans="1:8" x14ac:dyDescent="0.35">
      <c r="A1466" t="s">
        <v>36</v>
      </c>
      <c r="B1466" t="s">
        <v>117</v>
      </c>
      <c r="C1466" t="s">
        <v>2294</v>
      </c>
      <c r="D1466">
        <v>3</v>
      </c>
      <c r="E1466">
        <v>3</v>
      </c>
      <c r="F1466" t="s">
        <v>7</v>
      </c>
      <c r="G1466" t="s">
        <v>11</v>
      </c>
      <c r="H1466" t="s">
        <v>11</v>
      </c>
    </row>
    <row r="1467" spans="1:8" x14ac:dyDescent="0.35">
      <c r="A1467" t="s">
        <v>36</v>
      </c>
      <c r="B1467" t="s">
        <v>117</v>
      </c>
      <c r="C1467" t="s">
        <v>2057</v>
      </c>
      <c r="D1467">
        <v>3</v>
      </c>
      <c r="E1467">
        <v>3</v>
      </c>
      <c r="F1467" t="s">
        <v>7</v>
      </c>
      <c r="G1467" t="s">
        <v>115</v>
      </c>
      <c r="H1467" t="s">
        <v>11</v>
      </c>
    </row>
    <row r="1468" spans="1:8" x14ac:dyDescent="0.35">
      <c r="A1468" t="s">
        <v>36</v>
      </c>
      <c r="B1468" t="s">
        <v>117</v>
      </c>
      <c r="C1468" t="s">
        <v>1995</v>
      </c>
      <c r="D1468">
        <v>3</v>
      </c>
      <c r="E1468">
        <v>3</v>
      </c>
      <c r="F1468" t="s">
        <v>7</v>
      </c>
      <c r="G1468" t="s">
        <v>115</v>
      </c>
      <c r="H1468" t="s">
        <v>11</v>
      </c>
    </row>
    <row r="1469" spans="1:8" x14ac:dyDescent="0.35">
      <c r="A1469" t="s">
        <v>36</v>
      </c>
      <c r="B1469" t="s">
        <v>117</v>
      </c>
      <c r="C1469" t="s">
        <v>1475</v>
      </c>
      <c r="D1469">
        <v>3</v>
      </c>
      <c r="E1469">
        <v>2</v>
      </c>
      <c r="F1469" t="s">
        <v>7</v>
      </c>
      <c r="G1469" t="s">
        <v>115</v>
      </c>
      <c r="H1469" t="s">
        <v>11</v>
      </c>
    </row>
    <row r="1470" spans="1:8" x14ac:dyDescent="0.35">
      <c r="A1470" t="s">
        <v>36</v>
      </c>
      <c r="B1470" t="s">
        <v>117</v>
      </c>
      <c r="C1470" t="s">
        <v>2295</v>
      </c>
      <c r="D1470">
        <v>3</v>
      </c>
      <c r="E1470">
        <v>3</v>
      </c>
      <c r="F1470" t="s">
        <v>7</v>
      </c>
      <c r="G1470" t="s">
        <v>11</v>
      </c>
      <c r="H1470" t="s">
        <v>11</v>
      </c>
    </row>
    <row r="1471" spans="1:8" x14ac:dyDescent="0.35">
      <c r="A1471" t="s">
        <v>36</v>
      </c>
      <c r="B1471" t="s">
        <v>117</v>
      </c>
      <c r="C1471" t="s">
        <v>2296</v>
      </c>
      <c r="D1471">
        <v>3</v>
      </c>
      <c r="E1471">
        <v>3</v>
      </c>
      <c r="F1471" t="s">
        <v>7</v>
      </c>
      <c r="G1471" t="s">
        <v>11</v>
      </c>
      <c r="H1471" t="s">
        <v>11</v>
      </c>
    </row>
    <row r="1472" spans="1:8" x14ac:dyDescent="0.35">
      <c r="A1472" t="s">
        <v>36</v>
      </c>
      <c r="B1472" t="s">
        <v>117</v>
      </c>
      <c r="C1472" t="s">
        <v>2297</v>
      </c>
      <c r="D1472">
        <v>3</v>
      </c>
      <c r="E1472">
        <v>3</v>
      </c>
      <c r="F1472" t="s">
        <v>7</v>
      </c>
      <c r="G1472" t="s">
        <v>11</v>
      </c>
      <c r="H1472" t="s">
        <v>11</v>
      </c>
    </row>
    <row r="1473" spans="1:8" x14ac:dyDescent="0.35">
      <c r="A1473" t="s">
        <v>36</v>
      </c>
      <c r="B1473" t="s">
        <v>117</v>
      </c>
      <c r="C1473" t="s">
        <v>2298</v>
      </c>
      <c r="D1473">
        <v>3</v>
      </c>
      <c r="E1473">
        <v>3</v>
      </c>
      <c r="F1473" t="s">
        <v>7</v>
      </c>
      <c r="G1473" t="s">
        <v>11</v>
      </c>
      <c r="H1473" t="s">
        <v>11</v>
      </c>
    </row>
    <row r="1474" spans="1:8" x14ac:dyDescent="0.35">
      <c r="A1474" t="s">
        <v>36</v>
      </c>
      <c r="B1474" t="s">
        <v>117</v>
      </c>
      <c r="C1474" t="s">
        <v>2299</v>
      </c>
      <c r="D1474">
        <v>3</v>
      </c>
      <c r="E1474">
        <v>3</v>
      </c>
      <c r="F1474" t="s">
        <v>7</v>
      </c>
      <c r="G1474" t="s">
        <v>11</v>
      </c>
      <c r="H1474" t="s">
        <v>11</v>
      </c>
    </row>
    <row r="1475" spans="1:8" x14ac:dyDescent="0.35">
      <c r="A1475" t="s">
        <v>36</v>
      </c>
      <c r="B1475" t="s">
        <v>117</v>
      </c>
      <c r="C1475" t="s">
        <v>2300</v>
      </c>
      <c r="D1475">
        <v>3</v>
      </c>
      <c r="E1475">
        <v>3</v>
      </c>
      <c r="F1475" t="s">
        <v>7</v>
      </c>
      <c r="G1475" t="s">
        <v>11</v>
      </c>
      <c r="H1475" t="s">
        <v>11</v>
      </c>
    </row>
    <row r="1476" spans="1:8" x14ac:dyDescent="0.35">
      <c r="A1476" t="s">
        <v>36</v>
      </c>
      <c r="B1476" t="s">
        <v>117</v>
      </c>
      <c r="C1476" t="s">
        <v>1476</v>
      </c>
      <c r="D1476">
        <v>3</v>
      </c>
      <c r="E1476">
        <v>3</v>
      </c>
      <c r="F1476" t="s">
        <v>7</v>
      </c>
      <c r="G1476" t="s">
        <v>11</v>
      </c>
      <c r="H1476" t="s">
        <v>11</v>
      </c>
    </row>
    <row r="1477" spans="1:8" x14ac:dyDescent="0.35">
      <c r="A1477" t="s">
        <v>36</v>
      </c>
      <c r="B1477" t="s">
        <v>117</v>
      </c>
      <c r="C1477" t="s">
        <v>2301</v>
      </c>
      <c r="D1477">
        <v>3</v>
      </c>
      <c r="E1477">
        <v>3</v>
      </c>
      <c r="F1477" t="s">
        <v>7</v>
      </c>
      <c r="G1477" t="s">
        <v>115</v>
      </c>
      <c r="H1477" t="s">
        <v>11</v>
      </c>
    </row>
    <row r="1478" spans="1:8" x14ac:dyDescent="0.35">
      <c r="A1478" t="s">
        <v>36</v>
      </c>
      <c r="B1478" t="s">
        <v>117</v>
      </c>
      <c r="C1478" t="s">
        <v>1754</v>
      </c>
      <c r="D1478">
        <v>3</v>
      </c>
      <c r="E1478">
        <v>3</v>
      </c>
      <c r="F1478" t="s">
        <v>7</v>
      </c>
      <c r="G1478" t="s">
        <v>115</v>
      </c>
      <c r="H1478" t="s">
        <v>11</v>
      </c>
    </row>
    <row r="1479" spans="1:8" x14ac:dyDescent="0.35">
      <c r="A1479" t="s">
        <v>36</v>
      </c>
      <c r="B1479" t="s">
        <v>117</v>
      </c>
      <c r="C1479" t="s">
        <v>1376</v>
      </c>
      <c r="D1479">
        <v>3</v>
      </c>
      <c r="E1479">
        <v>3</v>
      </c>
      <c r="F1479" t="s">
        <v>7</v>
      </c>
      <c r="G1479" t="s">
        <v>11</v>
      </c>
      <c r="H1479" t="s">
        <v>11</v>
      </c>
    </row>
    <row r="1480" spans="1:8" x14ac:dyDescent="0.35">
      <c r="A1480" t="s">
        <v>36</v>
      </c>
      <c r="B1480" t="s">
        <v>117</v>
      </c>
      <c r="C1480" t="s">
        <v>1755</v>
      </c>
      <c r="D1480">
        <v>3</v>
      </c>
      <c r="E1480">
        <v>3</v>
      </c>
      <c r="F1480" t="s">
        <v>7</v>
      </c>
      <c r="G1480" t="s">
        <v>115</v>
      </c>
      <c r="H1480" t="s">
        <v>11</v>
      </c>
    </row>
    <row r="1481" spans="1:8" x14ac:dyDescent="0.35">
      <c r="A1481" t="s">
        <v>36</v>
      </c>
      <c r="B1481" t="s">
        <v>117</v>
      </c>
      <c r="C1481" t="s">
        <v>1756</v>
      </c>
      <c r="D1481">
        <v>3</v>
      </c>
      <c r="E1481">
        <v>3</v>
      </c>
      <c r="F1481" t="s">
        <v>7</v>
      </c>
      <c r="G1481" t="s">
        <v>11</v>
      </c>
      <c r="H1481" t="s">
        <v>11</v>
      </c>
    </row>
    <row r="1482" spans="1:8" x14ac:dyDescent="0.35">
      <c r="A1482" t="s">
        <v>36</v>
      </c>
      <c r="B1482" t="s">
        <v>117</v>
      </c>
      <c r="C1482" t="s">
        <v>1760</v>
      </c>
      <c r="D1482">
        <v>3</v>
      </c>
      <c r="E1482">
        <v>3</v>
      </c>
      <c r="F1482" t="s">
        <v>7</v>
      </c>
      <c r="G1482" t="s">
        <v>115</v>
      </c>
      <c r="H1482" t="s">
        <v>11</v>
      </c>
    </row>
    <row r="1483" spans="1:8" x14ac:dyDescent="0.35">
      <c r="A1483" t="s">
        <v>36</v>
      </c>
      <c r="B1483" t="s">
        <v>117</v>
      </c>
      <c r="C1483" t="s">
        <v>1378</v>
      </c>
      <c r="D1483">
        <v>3</v>
      </c>
      <c r="E1483">
        <v>3</v>
      </c>
      <c r="F1483" t="s">
        <v>7</v>
      </c>
      <c r="G1483" t="s">
        <v>11</v>
      </c>
      <c r="H1483" t="s">
        <v>11</v>
      </c>
    </row>
    <row r="1484" spans="1:8" x14ac:dyDescent="0.35">
      <c r="A1484" t="s">
        <v>36</v>
      </c>
      <c r="B1484" t="s">
        <v>117</v>
      </c>
      <c r="C1484" t="s">
        <v>2302</v>
      </c>
      <c r="D1484">
        <v>3</v>
      </c>
      <c r="E1484">
        <v>3</v>
      </c>
      <c r="F1484" t="s">
        <v>7</v>
      </c>
      <c r="G1484" t="s">
        <v>11</v>
      </c>
      <c r="H1484" t="s">
        <v>11</v>
      </c>
    </row>
    <row r="1485" spans="1:8" x14ac:dyDescent="0.35">
      <c r="A1485" t="s">
        <v>36</v>
      </c>
      <c r="B1485" t="s">
        <v>117</v>
      </c>
      <c r="C1485" t="s">
        <v>2303</v>
      </c>
      <c r="D1485">
        <v>3</v>
      </c>
      <c r="E1485">
        <v>3</v>
      </c>
      <c r="F1485" t="s">
        <v>7</v>
      </c>
      <c r="G1485" t="s">
        <v>11</v>
      </c>
      <c r="H1485" t="s">
        <v>11</v>
      </c>
    </row>
    <row r="1486" spans="1:8" x14ac:dyDescent="0.35">
      <c r="A1486" t="s">
        <v>35</v>
      </c>
      <c r="B1486" t="s">
        <v>94</v>
      </c>
      <c r="C1486" t="s">
        <v>1895</v>
      </c>
      <c r="D1486">
        <v>2</v>
      </c>
      <c r="E1486">
        <v>5</v>
      </c>
      <c r="F1486" t="s">
        <v>7</v>
      </c>
      <c r="G1486" t="s">
        <v>11</v>
      </c>
      <c r="H1486" t="s">
        <v>11</v>
      </c>
    </row>
    <row r="1487" spans="1:8" x14ac:dyDescent="0.35">
      <c r="A1487" t="s">
        <v>35</v>
      </c>
      <c r="B1487" t="s">
        <v>94</v>
      </c>
      <c r="C1487" t="s">
        <v>2304</v>
      </c>
      <c r="D1487">
        <v>1</v>
      </c>
      <c r="E1487">
        <v>5</v>
      </c>
      <c r="F1487" t="s">
        <v>7</v>
      </c>
      <c r="G1487" t="s">
        <v>11</v>
      </c>
      <c r="H1487" t="s">
        <v>11</v>
      </c>
    </row>
    <row r="1488" spans="1:8" x14ac:dyDescent="0.35">
      <c r="A1488" t="s">
        <v>35</v>
      </c>
      <c r="B1488" t="s">
        <v>94</v>
      </c>
      <c r="C1488" t="s">
        <v>1941</v>
      </c>
      <c r="D1488">
        <v>1</v>
      </c>
      <c r="E1488">
        <v>5</v>
      </c>
      <c r="F1488" t="s">
        <v>7</v>
      </c>
      <c r="G1488" t="s">
        <v>11</v>
      </c>
      <c r="H1488" t="s">
        <v>11</v>
      </c>
    </row>
    <row r="1489" spans="1:8" x14ac:dyDescent="0.35">
      <c r="A1489" t="s">
        <v>35</v>
      </c>
      <c r="B1489" t="s">
        <v>94</v>
      </c>
      <c r="C1489" t="s">
        <v>2305</v>
      </c>
      <c r="D1489">
        <v>2</v>
      </c>
      <c r="E1489">
        <v>4</v>
      </c>
      <c r="F1489" t="s">
        <v>7</v>
      </c>
      <c r="G1489" t="s">
        <v>11</v>
      </c>
      <c r="H1489" t="s">
        <v>11</v>
      </c>
    </row>
    <row r="1490" spans="1:8" x14ac:dyDescent="0.35">
      <c r="A1490" t="s">
        <v>35</v>
      </c>
      <c r="B1490" t="s">
        <v>94</v>
      </c>
      <c r="C1490" t="s">
        <v>2152</v>
      </c>
      <c r="D1490">
        <v>2</v>
      </c>
      <c r="E1490">
        <v>4</v>
      </c>
      <c r="F1490" t="s">
        <v>7</v>
      </c>
      <c r="G1490" t="s">
        <v>11</v>
      </c>
      <c r="H1490" t="s">
        <v>11</v>
      </c>
    </row>
    <row r="1491" spans="1:8" x14ac:dyDescent="0.35">
      <c r="A1491" t="s">
        <v>35</v>
      </c>
      <c r="B1491" t="s">
        <v>94</v>
      </c>
      <c r="C1491" t="s">
        <v>1943</v>
      </c>
      <c r="D1491">
        <v>2</v>
      </c>
      <c r="E1491">
        <v>4</v>
      </c>
      <c r="F1491" t="s">
        <v>7</v>
      </c>
      <c r="G1491" t="s">
        <v>11</v>
      </c>
      <c r="H1491" t="s">
        <v>11</v>
      </c>
    </row>
    <row r="1492" spans="1:8" x14ac:dyDescent="0.35">
      <c r="A1492" t="s">
        <v>35</v>
      </c>
      <c r="B1492" t="s">
        <v>94</v>
      </c>
      <c r="C1492" t="s">
        <v>2306</v>
      </c>
      <c r="D1492">
        <v>2</v>
      </c>
      <c r="E1492">
        <v>4</v>
      </c>
      <c r="F1492" t="s">
        <v>7</v>
      </c>
      <c r="G1492" t="s">
        <v>11</v>
      </c>
      <c r="H1492" t="s">
        <v>11</v>
      </c>
    </row>
    <row r="1493" spans="1:8" x14ac:dyDescent="0.35">
      <c r="A1493" t="s">
        <v>35</v>
      </c>
      <c r="B1493" t="s">
        <v>94</v>
      </c>
      <c r="C1493" t="s">
        <v>1427</v>
      </c>
      <c r="D1493">
        <v>2</v>
      </c>
      <c r="E1493">
        <v>4</v>
      </c>
      <c r="F1493" t="s">
        <v>7</v>
      </c>
      <c r="G1493" t="s">
        <v>11</v>
      </c>
      <c r="H1493" t="s">
        <v>11</v>
      </c>
    </row>
    <row r="1494" spans="1:8" x14ac:dyDescent="0.35">
      <c r="A1494" t="s">
        <v>35</v>
      </c>
      <c r="B1494" t="s">
        <v>94</v>
      </c>
      <c r="C1494" t="s">
        <v>2307</v>
      </c>
      <c r="D1494">
        <v>2</v>
      </c>
      <c r="E1494">
        <v>4</v>
      </c>
      <c r="F1494" t="s">
        <v>7</v>
      </c>
      <c r="G1494" t="s">
        <v>11</v>
      </c>
      <c r="H1494" t="s">
        <v>11</v>
      </c>
    </row>
    <row r="1495" spans="1:8" x14ac:dyDescent="0.35">
      <c r="A1495" t="s">
        <v>35</v>
      </c>
      <c r="B1495" t="s">
        <v>94</v>
      </c>
      <c r="C1495" t="s">
        <v>1428</v>
      </c>
      <c r="D1495">
        <v>2</v>
      </c>
      <c r="E1495">
        <v>4</v>
      </c>
      <c r="F1495" t="s">
        <v>7</v>
      </c>
      <c r="G1495" t="s">
        <v>11</v>
      </c>
      <c r="H1495" t="s">
        <v>11</v>
      </c>
    </row>
    <row r="1496" spans="1:8" x14ac:dyDescent="0.35">
      <c r="A1496" t="s">
        <v>35</v>
      </c>
      <c r="B1496" t="s">
        <v>94</v>
      </c>
      <c r="C1496" t="s">
        <v>1901</v>
      </c>
      <c r="D1496">
        <v>1</v>
      </c>
      <c r="E1496">
        <v>5</v>
      </c>
      <c r="F1496" t="s">
        <v>7</v>
      </c>
      <c r="G1496" t="s">
        <v>11</v>
      </c>
      <c r="H1496" t="s">
        <v>11</v>
      </c>
    </row>
    <row r="1497" spans="1:8" x14ac:dyDescent="0.35">
      <c r="A1497" t="s">
        <v>35</v>
      </c>
      <c r="B1497" t="s">
        <v>94</v>
      </c>
      <c r="C1497" t="s">
        <v>1318</v>
      </c>
      <c r="D1497">
        <v>3</v>
      </c>
      <c r="E1497">
        <v>4</v>
      </c>
      <c r="F1497" t="s">
        <v>7</v>
      </c>
      <c r="G1497" t="s">
        <v>11</v>
      </c>
      <c r="H1497" t="s">
        <v>11</v>
      </c>
    </row>
    <row r="1498" spans="1:8" x14ac:dyDescent="0.35">
      <c r="A1498" t="s">
        <v>35</v>
      </c>
      <c r="B1498" t="s">
        <v>94</v>
      </c>
      <c r="C1498" t="s">
        <v>2017</v>
      </c>
      <c r="D1498">
        <v>2</v>
      </c>
      <c r="E1498">
        <v>5</v>
      </c>
      <c r="F1498" t="s">
        <v>7</v>
      </c>
      <c r="G1498" t="s">
        <v>11</v>
      </c>
      <c r="H1498" t="s">
        <v>11</v>
      </c>
    </row>
    <row r="1499" spans="1:8" x14ac:dyDescent="0.35">
      <c r="A1499" t="s">
        <v>35</v>
      </c>
      <c r="B1499" t="s">
        <v>94</v>
      </c>
      <c r="C1499" t="s">
        <v>2308</v>
      </c>
      <c r="D1499">
        <v>2</v>
      </c>
      <c r="E1499">
        <v>4</v>
      </c>
      <c r="F1499" t="s">
        <v>7</v>
      </c>
      <c r="G1499" t="s">
        <v>11</v>
      </c>
      <c r="H1499" t="s">
        <v>11</v>
      </c>
    </row>
    <row r="1500" spans="1:8" x14ac:dyDescent="0.35">
      <c r="A1500" t="s">
        <v>35</v>
      </c>
      <c r="B1500" t="s">
        <v>94</v>
      </c>
      <c r="C1500" t="s">
        <v>1668</v>
      </c>
      <c r="D1500">
        <v>2</v>
      </c>
      <c r="E1500">
        <v>4</v>
      </c>
      <c r="F1500" t="s">
        <v>7</v>
      </c>
      <c r="G1500" t="s">
        <v>11</v>
      </c>
      <c r="H1500" t="s">
        <v>11</v>
      </c>
    </row>
    <row r="1501" spans="1:8" x14ac:dyDescent="0.35">
      <c r="A1501" t="s">
        <v>35</v>
      </c>
      <c r="B1501" t="s">
        <v>94</v>
      </c>
      <c r="C1501" t="s">
        <v>2309</v>
      </c>
      <c r="D1501">
        <v>2</v>
      </c>
      <c r="E1501">
        <v>4</v>
      </c>
      <c r="F1501" t="s">
        <v>7</v>
      </c>
      <c r="G1501" t="s">
        <v>11</v>
      </c>
      <c r="H1501" t="s">
        <v>11</v>
      </c>
    </row>
    <row r="1502" spans="1:8" x14ac:dyDescent="0.35">
      <c r="A1502" t="s">
        <v>35</v>
      </c>
      <c r="B1502" t="s">
        <v>94</v>
      </c>
      <c r="C1502" t="s">
        <v>1430</v>
      </c>
      <c r="D1502">
        <v>2</v>
      </c>
      <c r="E1502">
        <v>4</v>
      </c>
      <c r="F1502" t="s">
        <v>7</v>
      </c>
      <c r="G1502" t="s">
        <v>11</v>
      </c>
      <c r="H1502" t="s">
        <v>11</v>
      </c>
    </row>
    <row r="1503" spans="1:8" x14ac:dyDescent="0.35">
      <c r="A1503" t="s">
        <v>35</v>
      </c>
      <c r="B1503" t="s">
        <v>94</v>
      </c>
      <c r="C1503" t="s">
        <v>2021</v>
      </c>
      <c r="D1503">
        <v>2</v>
      </c>
      <c r="E1503">
        <v>4</v>
      </c>
      <c r="F1503" t="s">
        <v>7</v>
      </c>
      <c r="G1503" t="s">
        <v>11</v>
      </c>
      <c r="H1503" t="s">
        <v>11</v>
      </c>
    </row>
    <row r="1504" spans="1:8" x14ac:dyDescent="0.35">
      <c r="A1504" t="s">
        <v>35</v>
      </c>
      <c r="B1504" t="s">
        <v>94</v>
      </c>
      <c r="C1504" t="s">
        <v>1804</v>
      </c>
      <c r="D1504">
        <v>1</v>
      </c>
      <c r="E1504">
        <v>4</v>
      </c>
      <c r="F1504" t="s">
        <v>7</v>
      </c>
      <c r="G1504" t="s">
        <v>11</v>
      </c>
      <c r="H1504" t="s">
        <v>11</v>
      </c>
    </row>
    <row r="1505" spans="1:8" x14ac:dyDescent="0.35">
      <c r="A1505" t="s">
        <v>35</v>
      </c>
      <c r="B1505" t="s">
        <v>94</v>
      </c>
      <c r="C1505" t="s">
        <v>1903</v>
      </c>
      <c r="D1505">
        <v>2</v>
      </c>
      <c r="E1505">
        <v>4</v>
      </c>
      <c r="F1505" t="s">
        <v>7</v>
      </c>
      <c r="G1505" t="s">
        <v>11</v>
      </c>
      <c r="H1505" t="s">
        <v>11</v>
      </c>
    </row>
    <row r="1506" spans="1:8" x14ac:dyDescent="0.35">
      <c r="A1506" t="s">
        <v>35</v>
      </c>
      <c r="B1506" t="s">
        <v>94</v>
      </c>
      <c r="C1506" t="s">
        <v>2310</v>
      </c>
      <c r="D1506">
        <v>2</v>
      </c>
      <c r="E1506">
        <v>5</v>
      </c>
      <c r="F1506" t="s">
        <v>7</v>
      </c>
      <c r="G1506" t="s">
        <v>11</v>
      </c>
      <c r="H1506" t="s">
        <v>11</v>
      </c>
    </row>
    <row r="1507" spans="1:8" x14ac:dyDescent="0.35">
      <c r="A1507" t="s">
        <v>35</v>
      </c>
      <c r="B1507" t="s">
        <v>94</v>
      </c>
      <c r="C1507" t="s">
        <v>1806</v>
      </c>
      <c r="D1507">
        <v>2</v>
      </c>
      <c r="E1507">
        <v>4</v>
      </c>
      <c r="F1507" t="s">
        <v>7</v>
      </c>
      <c r="G1507" t="s">
        <v>11</v>
      </c>
      <c r="H1507" t="s">
        <v>11</v>
      </c>
    </row>
    <row r="1508" spans="1:8" x14ac:dyDescent="0.35">
      <c r="A1508" t="s">
        <v>35</v>
      </c>
      <c r="B1508" t="s">
        <v>94</v>
      </c>
      <c r="C1508" t="s">
        <v>1432</v>
      </c>
      <c r="D1508">
        <v>2</v>
      </c>
      <c r="E1508">
        <v>5</v>
      </c>
      <c r="F1508" t="s">
        <v>7</v>
      </c>
      <c r="G1508" t="s">
        <v>11</v>
      </c>
      <c r="H1508" t="s">
        <v>11</v>
      </c>
    </row>
    <row r="1509" spans="1:8" x14ac:dyDescent="0.35">
      <c r="A1509" t="s">
        <v>35</v>
      </c>
      <c r="B1509" t="s">
        <v>94</v>
      </c>
      <c r="C1509" t="s">
        <v>1325</v>
      </c>
      <c r="D1509">
        <v>1</v>
      </c>
      <c r="E1509">
        <v>4</v>
      </c>
      <c r="F1509" t="s">
        <v>7</v>
      </c>
      <c r="G1509" t="s">
        <v>11</v>
      </c>
      <c r="H1509" t="s">
        <v>11</v>
      </c>
    </row>
    <row r="1510" spans="1:8" x14ac:dyDescent="0.35">
      <c r="A1510" t="s">
        <v>35</v>
      </c>
      <c r="B1510" t="s">
        <v>94</v>
      </c>
      <c r="C1510" t="s">
        <v>1807</v>
      </c>
      <c r="D1510">
        <v>1</v>
      </c>
      <c r="E1510">
        <v>5</v>
      </c>
      <c r="F1510" t="s">
        <v>7</v>
      </c>
      <c r="G1510" t="s">
        <v>11</v>
      </c>
      <c r="H1510" t="s">
        <v>11</v>
      </c>
    </row>
    <row r="1511" spans="1:8" x14ac:dyDescent="0.35">
      <c r="A1511" t="s">
        <v>35</v>
      </c>
      <c r="B1511" t="s">
        <v>94</v>
      </c>
      <c r="C1511" t="s">
        <v>2311</v>
      </c>
      <c r="D1511">
        <v>2</v>
      </c>
      <c r="E1511">
        <v>4</v>
      </c>
      <c r="F1511" t="s">
        <v>7</v>
      </c>
      <c r="G1511" t="s">
        <v>11</v>
      </c>
      <c r="H1511" t="s">
        <v>11</v>
      </c>
    </row>
    <row r="1512" spans="1:8" x14ac:dyDescent="0.35">
      <c r="A1512" t="s">
        <v>35</v>
      </c>
      <c r="B1512" t="s">
        <v>94</v>
      </c>
      <c r="C1512" t="s">
        <v>2312</v>
      </c>
      <c r="D1512">
        <v>2</v>
      </c>
      <c r="E1512">
        <v>4</v>
      </c>
      <c r="F1512" t="s">
        <v>7</v>
      </c>
      <c r="G1512" t="s">
        <v>11</v>
      </c>
      <c r="H1512" t="s">
        <v>11</v>
      </c>
    </row>
    <row r="1513" spans="1:8" x14ac:dyDescent="0.35">
      <c r="A1513" t="s">
        <v>35</v>
      </c>
      <c r="B1513" t="s">
        <v>94</v>
      </c>
      <c r="C1513" t="s">
        <v>1437</v>
      </c>
      <c r="D1513">
        <v>2</v>
      </c>
      <c r="E1513">
        <v>4</v>
      </c>
      <c r="F1513" t="s">
        <v>7</v>
      </c>
      <c r="G1513" t="s">
        <v>11</v>
      </c>
      <c r="H1513" t="s">
        <v>11</v>
      </c>
    </row>
    <row r="1514" spans="1:8" x14ac:dyDescent="0.35">
      <c r="A1514" t="s">
        <v>35</v>
      </c>
      <c r="B1514" t="s">
        <v>94</v>
      </c>
      <c r="C1514" t="s">
        <v>1682</v>
      </c>
      <c r="D1514">
        <v>2</v>
      </c>
      <c r="E1514">
        <v>4</v>
      </c>
      <c r="F1514" t="s">
        <v>7</v>
      </c>
      <c r="G1514" t="s">
        <v>11</v>
      </c>
      <c r="H1514" t="s">
        <v>11</v>
      </c>
    </row>
    <row r="1515" spans="1:8" x14ac:dyDescent="0.35">
      <c r="A1515" t="s">
        <v>35</v>
      </c>
      <c r="B1515" t="s">
        <v>94</v>
      </c>
      <c r="C1515" t="s">
        <v>1335</v>
      </c>
      <c r="D1515">
        <v>2</v>
      </c>
      <c r="E1515">
        <v>4</v>
      </c>
      <c r="F1515" t="s">
        <v>7</v>
      </c>
      <c r="G1515" t="s">
        <v>11</v>
      </c>
      <c r="H1515" t="s">
        <v>11</v>
      </c>
    </row>
    <row r="1516" spans="1:8" x14ac:dyDescent="0.35">
      <c r="A1516" t="s">
        <v>35</v>
      </c>
      <c r="B1516" t="s">
        <v>94</v>
      </c>
      <c r="C1516" t="s">
        <v>1857</v>
      </c>
      <c r="D1516">
        <v>2</v>
      </c>
      <c r="E1516">
        <v>5</v>
      </c>
      <c r="F1516" t="s">
        <v>7</v>
      </c>
      <c r="G1516" t="s">
        <v>11</v>
      </c>
      <c r="H1516" t="s">
        <v>11</v>
      </c>
    </row>
    <row r="1517" spans="1:8" x14ac:dyDescent="0.35">
      <c r="A1517" t="s">
        <v>35</v>
      </c>
      <c r="B1517" t="s">
        <v>94</v>
      </c>
      <c r="C1517" t="s">
        <v>1685</v>
      </c>
      <c r="D1517">
        <v>2</v>
      </c>
      <c r="E1517">
        <v>5</v>
      </c>
      <c r="F1517" t="s">
        <v>7</v>
      </c>
      <c r="G1517" t="s">
        <v>11</v>
      </c>
      <c r="H1517" t="s">
        <v>11</v>
      </c>
    </row>
    <row r="1518" spans="1:8" x14ac:dyDescent="0.35">
      <c r="A1518" t="s">
        <v>35</v>
      </c>
      <c r="B1518" t="s">
        <v>94</v>
      </c>
      <c r="C1518" t="s">
        <v>2313</v>
      </c>
      <c r="D1518">
        <v>2</v>
      </c>
      <c r="E1518">
        <v>4</v>
      </c>
      <c r="F1518" t="s">
        <v>7</v>
      </c>
      <c r="G1518" t="s">
        <v>11</v>
      </c>
      <c r="H1518" t="s">
        <v>11</v>
      </c>
    </row>
    <row r="1519" spans="1:8" x14ac:dyDescent="0.35">
      <c r="A1519" t="s">
        <v>35</v>
      </c>
      <c r="B1519" t="s">
        <v>94</v>
      </c>
      <c r="C1519" t="s">
        <v>1555</v>
      </c>
      <c r="D1519">
        <v>2</v>
      </c>
      <c r="E1519">
        <v>4</v>
      </c>
      <c r="F1519" t="s">
        <v>7</v>
      </c>
      <c r="G1519" t="s">
        <v>11</v>
      </c>
      <c r="H1519" t="s">
        <v>11</v>
      </c>
    </row>
    <row r="1520" spans="1:8" x14ac:dyDescent="0.35">
      <c r="A1520" t="s">
        <v>35</v>
      </c>
      <c r="B1520" t="s">
        <v>94</v>
      </c>
      <c r="C1520" t="s">
        <v>2314</v>
      </c>
      <c r="D1520">
        <v>3</v>
      </c>
      <c r="E1520">
        <v>4</v>
      </c>
      <c r="F1520" t="s">
        <v>7</v>
      </c>
      <c r="G1520" t="s">
        <v>11</v>
      </c>
      <c r="H1520" t="s">
        <v>11</v>
      </c>
    </row>
    <row r="1521" spans="1:8" x14ac:dyDescent="0.35">
      <c r="A1521" t="s">
        <v>35</v>
      </c>
      <c r="B1521" t="s">
        <v>94</v>
      </c>
      <c r="C1521" t="s">
        <v>1341</v>
      </c>
      <c r="D1521">
        <v>2</v>
      </c>
      <c r="E1521">
        <v>4</v>
      </c>
      <c r="F1521" t="s">
        <v>7</v>
      </c>
      <c r="G1521" t="s">
        <v>11</v>
      </c>
      <c r="H1521" t="s">
        <v>11</v>
      </c>
    </row>
    <row r="1522" spans="1:8" x14ac:dyDescent="0.35">
      <c r="A1522" t="s">
        <v>35</v>
      </c>
      <c r="B1522" t="s">
        <v>94</v>
      </c>
      <c r="C1522" t="s">
        <v>2315</v>
      </c>
      <c r="D1522">
        <v>2</v>
      </c>
      <c r="E1522">
        <v>4</v>
      </c>
      <c r="F1522" t="s">
        <v>7</v>
      </c>
      <c r="G1522" t="s">
        <v>11</v>
      </c>
      <c r="H1522" t="s">
        <v>11</v>
      </c>
    </row>
    <row r="1523" spans="1:8" x14ac:dyDescent="0.35">
      <c r="A1523" t="s">
        <v>35</v>
      </c>
      <c r="B1523" t="s">
        <v>94</v>
      </c>
      <c r="C1523" t="s">
        <v>2316</v>
      </c>
      <c r="D1523">
        <v>2</v>
      </c>
      <c r="E1523">
        <v>5</v>
      </c>
      <c r="F1523" t="s">
        <v>7</v>
      </c>
      <c r="G1523" t="s">
        <v>11</v>
      </c>
      <c r="H1523" t="s">
        <v>11</v>
      </c>
    </row>
    <row r="1524" spans="1:8" x14ac:dyDescent="0.35">
      <c r="A1524" t="s">
        <v>35</v>
      </c>
      <c r="B1524" t="s">
        <v>94</v>
      </c>
      <c r="C1524" t="s">
        <v>1343</v>
      </c>
      <c r="D1524">
        <v>2</v>
      </c>
      <c r="E1524">
        <v>4</v>
      </c>
      <c r="F1524" t="s">
        <v>7</v>
      </c>
      <c r="G1524" t="s">
        <v>11</v>
      </c>
      <c r="H1524" t="s">
        <v>11</v>
      </c>
    </row>
    <row r="1525" spans="1:8" x14ac:dyDescent="0.35">
      <c r="A1525" t="s">
        <v>35</v>
      </c>
      <c r="B1525" t="s">
        <v>94</v>
      </c>
      <c r="C1525" t="s">
        <v>1816</v>
      </c>
      <c r="D1525">
        <v>2</v>
      </c>
      <c r="E1525">
        <v>5</v>
      </c>
      <c r="F1525" t="s">
        <v>7</v>
      </c>
      <c r="G1525" t="s">
        <v>11</v>
      </c>
      <c r="H1525" t="s">
        <v>11</v>
      </c>
    </row>
    <row r="1526" spans="1:8" x14ac:dyDescent="0.35">
      <c r="A1526" t="s">
        <v>35</v>
      </c>
      <c r="B1526" t="s">
        <v>94</v>
      </c>
      <c r="C1526" t="s">
        <v>1864</v>
      </c>
      <c r="D1526">
        <v>2</v>
      </c>
      <c r="E1526">
        <v>5</v>
      </c>
      <c r="F1526" t="s">
        <v>7</v>
      </c>
      <c r="G1526" t="s">
        <v>11</v>
      </c>
      <c r="H1526" t="s">
        <v>11</v>
      </c>
    </row>
    <row r="1527" spans="1:8" x14ac:dyDescent="0.35">
      <c r="A1527" t="s">
        <v>35</v>
      </c>
      <c r="B1527" t="s">
        <v>94</v>
      </c>
      <c r="C1527" t="s">
        <v>1345</v>
      </c>
      <c r="D1527">
        <v>2</v>
      </c>
      <c r="E1527">
        <v>4</v>
      </c>
      <c r="F1527" t="s">
        <v>7</v>
      </c>
      <c r="G1527" t="s">
        <v>11</v>
      </c>
      <c r="H1527" t="s">
        <v>11</v>
      </c>
    </row>
    <row r="1528" spans="1:8" x14ac:dyDescent="0.35">
      <c r="A1528" t="s">
        <v>35</v>
      </c>
      <c r="B1528" t="s">
        <v>94</v>
      </c>
      <c r="C1528" t="s">
        <v>2317</v>
      </c>
      <c r="D1528">
        <v>2</v>
      </c>
      <c r="E1528">
        <v>4</v>
      </c>
      <c r="F1528" t="s">
        <v>7</v>
      </c>
      <c r="G1528" t="s">
        <v>11</v>
      </c>
      <c r="H1528" t="s">
        <v>11</v>
      </c>
    </row>
    <row r="1529" spans="1:8" x14ac:dyDescent="0.35">
      <c r="A1529" t="s">
        <v>35</v>
      </c>
      <c r="B1529" t="s">
        <v>94</v>
      </c>
      <c r="C1529" t="s">
        <v>2318</v>
      </c>
      <c r="D1529">
        <v>1</v>
      </c>
      <c r="E1529">
        <v>5</v>
      </c>
      <c r="F1529" t="s">
        <v>7</v>
      </c>
      <c r="G1529" t="s">
        <v>11</v>
      </c>
      <c r="H1529" t="s">
        <v>11</v>
      </c>
    </row>
    <row r="1530" spans="1:8" x14ac:dyDescent="0.35">
      <c r="A1530" t="s">
        <v>35</v>
      </c>
      <c r="B1530" t="s">
        <v>94</v>
      </c>
      <c r="C1530" t="s">
        <v>1448</v>
      </c>
      <c r="D1530">
        <v>2</v>
      </c>
      <c r="E1530">
        <v>4</v>
      </c>
      <c r="F1530" t="s">
        <v>7</v>
      </c>
      <c r="G1530" t="s">
        <v>11</v>
      </c>
      <c r="H1530" t="s">
        <v>11</v>
      </c>
    </row>
    <row r="1531" spans="1:8" x14ac:dyDescent="0.35">
      <c r="A1531" t="s">
        <v>35</v>
      </c>
      <c r="B1531" t="s">
        <v>94</v>
      </c>
      <c r="C1531" t="s">
        <v>2319</v>
      </c>
      <c r="D1531">
        <v>2</v>
      </c>
      <c r="E1531">
        <v>4</v>
      </c>
      <c r="F1531" t="s">
        <v>7</v>
      </c>
      <c r="G1531" t="s">
        <v>11</v>
      </c>
      <c r="H1531" t="s">
        <v>11</v>
      </c>
    </row>
    <row r="1532" spans="1:8" x14ac:dyDescent="0.35">
      <c r="A1532" t="s">
        <v>35</v>
      </c>
      <c r="B1532" t="s">
        <v>94</v>
      </c>
      <c r="C1532" t="s">
        <v>2171</v>
      </c>
      <c r="D1532">
        <v>1</v>
      </c>
      <c r="E1532">
        <v>4</v>
      </c>
      <c r="F1532" t="s">
        <v>7</v>
      </c>
      <c r="G1532" t="s">
        <v>11</v>
      </c>
      <c r="H1532" t="s">
        <v>11</v>
      </c>
    </row>
    <row r="1533" spans="1:8" x14ac:dyDescent="0.35">
      <c r="A1533" t="s">
        <v>35</v>
      </c>
      <c r="B1533" t="s">
        <v>94</v>
      </c>
      <c r="C1533" t="s">
        <v>1347</v>
      </c>
      <c r="D1533">
        <v>1</v>
      </c>
      <c r="E1533">
        <v>4</v>
      </c>
      <c r="F1533" t="s">
        <v>7</v>
      </c>
      <c r="G1533" t="s">
        <v>11</v>
      </c>
      <c r="H1533" t="s">
        <v>11</v>
      </c>
    </row>
    <row r="1534" spans="1:8" x14ac:dyDescent="0.35">
      <c r="A1534" t="s">
        <v>35</v>
      </c>
      <c r="B1534" t="s">
        <v>94</v>
      </c>
      <c r="C1534" t="s">
        <v>1711</v>
      </c>
      <c r="D1534">
        <v>2</v>
      </c>
      <c r="E1534">
        <v>4</v>
      </c>
      <c r="F1534" t="s">
        <v>7</v>
      </c>
      <c r="G1534" t="s">
        <v>11</v>
      </c>
      <c r="H1534" t="s">
        <v>11</v>
      </c>
    </row>
    <row r="1535" spans="1:8" x14ac:dyDescent="0.35">
      <c r="A1535" t="s">
        <v>35</v>
      </c>
      <c r="B1535" t="s">
        <v>94</v>
      </c>
      <c r="C1535" t="s">
        <v>1348</v>
      </c>
      <c r="D1535">
        <v>2</v>
      </c>
      <c r="E1535">
        <v>4</v>
      </c>
      <c r="F1535" t="s">
        <v>7</v>
      </c>
      <c r="G1535" t="s">
        <v>11</v>
      </c>
      <c r="H1535" t="s">
        <v>11</v>
      </c>
    </row>
    <row r="1536" spans="1:8" x14ac:dyDescent="0.35">
      <c r="A1536" t="s">
        <v>35</v>
      </c>
      <c r="B1536" t="s">
        <v>94</v>
      </c>
      <c r="C1536" t="s">
        <v>1451</v>
      </c>
      <c r="D1536">
        <v>2</v>
      </c>
      <c r="E1536">
        <v>4</v>
      </c>
      <c r="F1536" t="s">
        <v>7</v>
      </c>
      <c r="G1536" t="s">
        <v>11</v>
      </c>
      <c r="H1536" t="s">
        <v>11</v>
      </c>
    </row>
    <row r="1537" spans="1:8" x14ac:dyDescent="0.35">
      <c r="A1537" t="s">
        <v>35</v>
      </c>
      <c r="B1537" t="s">
        <v>94</v>
      </c>
      <c r="C1537" t="s">
        <v>1825</v>
      </c>
      <c r="D1537">
        <v>2</v>
      </c>
      <c r="E1537">
        <v>5</v>
      </c>
      <c r="F1537" t="s">
        <v>7</v>
      </c>
      <c r="G1537" t="s">
        <v>11</v>
      </c>
      <c r="H1537" t="s">
        <v>11</v>
      </c>
    </row>
    <row r="1538" spans="1:8" x14ac:dyDescent="0.35">
      <c r="A1538" t="s">
        <v>35</v>
      </c>
      <c r="B1538" t="s">
        <v>94</v>
      </c>
      <c r="C1538" t="s">
        <v>2320</v>
      </c>
      <c r="D1538">
        <v>2</v>
      </c>
      <c r="E1538">
        <v>4</v>
      </c>
      <c r="F1538" t="s">
        <v>7</v>
      </c>
      <c r="G1538" t="s">
        <v>11</v>
      </c>
      <c r="H1538" t="s">
        <v>11</v>
      </c>
    </row>
    <row r="1539" spans="1:8" x14ac:dyDescent="0.35">
      <c r="A1539" t="s">
        <v>35</v>
      </c>
      <c r="B1539" t="s">
        <v>94</v>
      </c>
      <c r="C1539" t="s">
        <v>1452</v>
      </c>
      <c r="D1539">
        <v>2</v>
      </c>
      <c r="E1539">
        <v>4</v>
      </c>
      <c r="F1539" t="s">
        <v>7</v>
      </c>
      <c r="G1539" t="s">
        <v>11</v>
      </c>
      <c r="H1539" t="s">
        <v>11</v>
      </c>
    </row>
    <row r="1540" spans="1:8" x14ac:dyDescent="0.35">
      <c r="A1540" t="s">
        <v>35</v>
      </c>
      <c r="B1540" t="s">
        <v>94</v>
      </c>
      <c r="C1540" t="s">
        <v>1351</v>
      </c>
      <c r="D1540">
        <v>2</v>
      </c>
      <c r="E1540">
        <v>4</v>
      </c>
      <c r="F1540" t="s">
        <v>7</v>
      </c>
      <c r="G1540" t="s">
        <v>11</v>
      </c>
      <c r="H1540" t="s">
        <v>11</v>
      </c>
    </row>
    <row r="1541" spans="1:8" x14ac:dyDescent="0.35">
      <c r="A1541" t="s">
        <v>35</v>
      </c>
      <c r="B1541" t="s">
        <v>94</v>
      </c>
      <c r="C1541" t="s">
        <v>1789</v>
      </c>
      <c r="D1541">
        <v>2</v>
      </c>
      <c r="E1541">
        <v>5</v>
      </c>
      <c r="F1541" t="s">
        <v>7</v>
      </c>
      <c r="G1541" t="s">
        <v>11</v>
      </c>
      <c r="H1541" t="s">
        <v>11</v>
      </c>
    </row>
    <row r="1542" spans="1:8" x14ac:dyDescent="0.35">
      <c r="A1542" t="s">
        <v>35</v>
      </c>
      <c r="B1542" t="s">
        <v>94</v>
      </c>
      <c r="C1542" t="s">
        <v>1453</v>
      </c>
      <c r="D1542">
        <v>2</v>
      </c>
      <c r="E1542">
        <v>4</v>
      </c>
      <c r="F1542" t="s">
        <v>7</v>
      </c>
      <c r="G1542" t="s">
        <v>11</v>
      </c>
      <c r="H1542" t="s">
        <v>11</v>
      </c>
    </row>
    <row r="1543" spans="1:8" x14ac:dyDescent="0.35">
      <c r="A1543" t="s">
        <v>35</v>
      </c>
      <c r="B1543" t="s">
        <v>94</v>
      </c>
      <c r="C1543" t="s">
        <v>1916</v>
      </c>
      <c r="D1543">
        <v>2</v>
      </c>
      <c r="E1543">
        <v>5</v>
      </c>
      <c r="F1543" t="s">
        <v>7</v>
      </c>
      <c r="G1543" t="s">
        <v>11</v>
      </c>
      <c r="H1543" t="s">
        <v>11</v>
      </c>
    </row>
    <row r="1544" spans="1:8" x14ac:dyDescent="0.35">
      <c r="A1544" t="s">
        <v>35</v>
      </c>
      <c r="B1544" t="s">
        <v>94</v>
      </c>
      <c r="C1544" t="s">
        <v>1827</v>
      </c>
      <c r="D1544">
        <v>2</v>
      </c>
      <c r="E1544">
        <v>5</v>
      </c>
      <c r="F1544" t="s">
        <v>7</v>
      </c>
      <c r="G1544" t="s">
        <v>11</v>
      </c>
      <c r="H1544" t="s">
        <v>11</v>
      </c>
    </row>
    <row r="1545" spans="1:8" x14ac:dyDescent="0.35">
      <c r="A1545" t="s">
        <v>35</v>
      </c>
      <c r="B1545" t="s">
        <v>94</v>
      </c>
      <c r="C1545" t="s">
        <v>1355</v>
      </c>
      <c r="D1545">
        <v>2</v>
      </c>
      <c r="E1545">
        <v>5</v>
      </c>
      <c r="F1545" t="s">
        <v>7</v>
      </c>
      <c r="G1545" t="s">
        <v>11</v>
      </c>
      <c r="H1545" t="s">
        <v>11</v>
      </c>
    </row>
    <row r="1546" spans="1:8" x14ac:dyDescent="0.35">
      <c r="A1546" t="s">
        <v>35</v>
      </c>
      <c r="B1546" t="s">
        <v>94</v>
      </c>
      <c r="C1546" t="s">
        <v>1356</v>
      </c>
      <c r="D1546">
        <v>2</v>
      </c>
      <c r="E1546">
        <v>4</v>
      </c>
      <c r="F1546" t="s">
        <v>7</v>
      </c>
      <c r="G1546" t="s">
        <v>11</v>
      </c>
      <c r="H1546" t="s">
        <v>11</v>
      </c>
    </row>
    <row r="1547" spans="1:8" x14ac:dyDescent="0.35">
      <c r="A1547" t="s">
        <v>35</v>
      </c>
      <c r="B1547" t="s">
        <v>94</v>
      </c>
      <c r="C1547" t="s">
        <v>2321</v>
      </c>
      <c r="D1547">
        <v>2</v>
      </c>
      <c r="E1547">
        <v>4</v>
      </c>
      <c r="F1547" t="s">
        <v>7</v>
      </c>
      <c r="G1547" t="s">
        <v>11</v>
      </c>
      <c r="H1547" t="s">
        <v>11</v>
      </c>
    </row>
    <row r="1548" spans="1:8" x14ac:dyDescent="0.35">
      <c r="A1548" t="s">
        <v>35</v>
      </c>
      <c r="B1548" t="s">
        <v>94</v>
      </c>
      <c r="C1548" t="s">
        <v>1358</v>
      </c>
      <c r="D1548">
        <v>2</v>
      </c>
      <c r="E1548">
        <v>5</v>
      </c>
      <c r="F1548" t="s">
        <v>7</v>
      </c>
      <c r="G1548" t="s">
        <v>11</v>
      </c>
      <c r="H1548" t="s">
        <v>11</v>
      </c>
    </row>
    <row r="1549" spans="1:8" x14ac:dyDescent="0.35">
      <c r="A1549" t="s">
        <v>35</v>
      </c>
      <c r="B1549" t="s">
        <v>94</v>
      </c>
      <c r="C1549" t="s">
        <v>2322</v>
      </c>
      <c r="D1549">
        <v>2</v>
      </c>
      <c r="E1549">
        <v>4</v>
      </c>
      <c r="F1549" t="s">
        <v>7</v>
      </c>
      <c r="G1549" t="s">
        <v>11</v>
      </c>
      <c r="H1549" t="s">
        <v>11</v>
      </c>
    </row>
    <row r="1550" spans="1:8" x14ac:dyDescent="0.35">
      <c r="A1550" t="s">
        <v>35</v>
      </c>
      <c r="B1550" t="s">
        <v>94</v>
      </c>
      <c r="C1550" t="s">
        <v>1835</v>
      </c>
      <c r="D1550">
        <v>2</v>
      </c>
      <c r="E1550">
        <v>5</v>
      </c>
      <c r="F1550" t="s">
        <v>7</v>
      </c>
      <c r="G1550" t="s">
        <v>11</v>
      </c>
      <c r="H1550" t="s">
        <v>11</v>
      </c>
    </row>
    <row r="1551" spans="1:8" x14ac:dyDescent="0.35">
      <c r="A1551" t="s">
        <v>35</v>
      </c>
      <c r="B1551" t="s">
        <v>94</v>
      </c>
      <c r="C1551" t="s">
        <v>1457</v>
      </c>
      <c r="D1551">
        <v>2</v>
      </c>
      <c r="E1551">
        <v>4</v>
      </c>
      <c r="F1551" t="s">
        <v>7</v>
      </c>
      <c r="G1551" t="s">
        <v>11</v>
      </c>
      <c r="H1551" t="s">
        <v>11</v>
      </c>
    </row>
    <row r="1552" spans="1:8" x14ac:dyDescent="0.35">
      <c r="A1552" t="s">
        <v>35</v>
      </c>
      <c r="B1552" t="s">
        <v>94</v>
      </c>
      <c r="C1552" t="s">
        <v>1458</v>
      </c>
      <c r="D1552">
        <v>3</v>
      </c>
      <c r="E1552">
        <v>4</v>
      </c>
      <c r="F1552" t="s">
        <v>7</v>
      </c>
      <c r="G1552" t="s">
        <v>11</v>
      </c>
      <c r="H1552" t="s">
        <v>11</v>
      </c>
    </row>
    <row r="1553" spans="1:8" x14ac:dyDescent="0.35">
      <c r="A1553" t="s">
        <v>35</v>
      </c>
      <c r="B1553" t="s">
        <v>94</v>
      </c>
      <c r="C1553" t="s">
        <v>2323</v>
      </c>
      <c r="D1553">
        <v>2</v>
      </c>
      <c r="E1553">
        <v>4</v>
      </c>
      <c r="F1553" t="s">
        <v>7</v>
      </c>
      <c r="G1553" t="s">
        <v>11</v>
      </c>
      <c r="H1553" t="s">
        <v>11</v>
      </c>
    </row>
    <row r="1554" spans="1:8" x14ac:dyDescent="0.35">
      <c r="A1554" t="s">
        <v>35</v>
      </c>
      <c r="B1554" t="s">
        <v>94</v>
      </c>
      <c r="C1554" t="s">
        <v>1361</v>
      </c>
      <c r="D1554">
        <v>2</v>
      </c>
      <c r="E1554">
        <v>4</v>
      </c>
      <c r="F1554" t="s">
        <v>7</v>
      </c>
      <c r="G1554" t="s">
        <v>11</v>
      </c>
      <c r="H1554" t="s">
        <v>11</v>
      </c>
    </row>
    <row r="1555" spans="1:8" x14ac:dyDescent="0.35">
      <c r="A1555" t="s">
        <v>35</v>
      </c>
      <c r="B1555" t="s">
        <v>94</v>
      </c>
      <c r="C1555" t="s">
        <v>1362</v>
      </c>
      <c r="D1555">
        <v>2</v>
      </c>
      <c r="E1555">
        <v>4</v>
      </c>
      <c r="F1555" t="s">
        <v>7</v>
      </c>
      <c r="G1555" t="s">
        <v>11</v>
      </c>
      <c r="H1555" t="s">
        <v>11</v>
      </c>
    </row>
    <row r="1556" spans="1:8" x14ac:dyDescent="0.35">
      <c r="A1556" t="s">
        <v>35</v>
      </c>
      <c r="B1556" t="s">
        <v>94</v>
      </c>
      <c r="C1556" t="s">
        <v>1363</v>
      </c>
      <c r="D1556">
        <v>2</v>
      </c>
      <c r="E1556">
        <v>4</v>
      </c>
      <c r="F1556" t="s">
        <v>7</v>
      </c>
      <c r="G1556" t="s">
        <v>11</v>
      </c>
      <c r="H1556" t="s">
        <v>11</v>
      </c>
    </row>
    <row r="1557" spans="1:8" x14ac:dyDescent="0.35">
      <c r="A1557" t="s">
        <v>35</v>
      </c>
      <c r="B1557" t="s">
        <v>94</v>
      </c>
      <c r="C1557" t="s">
        <v>2324</v>
      </c>
      <c r="D1557">
        <v>3</v>
      </c>
      <c r="E1557">
        <v>4</v>
      </c>
      <c r="F1557" t="s">
        <v>7</v>
      </c>
      <c r="G1557" t="s">
        <v>11</v>
      </c>
      <c r="H1557" t="s">
        <v>11</v>
      </c>
    </row>
    <row r="1558" spans="1:8" x14ac:dyDescent="0.35">
      <c r="A1558" t="s">
        <v>35</v>
      </c>
      <c r="B1558" t="s">
        <v>94</v>
      </c>
      <c r="C1558" t="s">
        <v>1460</v>
      </c>
      <c r="D1558">
        <v>2</v>
      </c>
      <c r="E1558">
        <v>4</v>
      </c>
      <c r="F1558" t="s">
        <v>7</v>
      </c>
      <c r="G1558" t="s">
        <v>11</v>
      </c>
      <c r="H1558" t="s">
        <v>11</v>
      </c>
    </row>
    <row r="1559" spans="1:8" x14ac:dyDescent="0.35">
      <c r="A1559" t="s">
        <v>35</v>
      </c>
      <c r="B1559" t="s">
        <v>94</v>
      </c>
      <c r="C1559" t="s">
        <v>2325</v>
      </c>
      <c r="D1559">
        <v>1</v>
      </c>
      <c r="E1559">
        <v>5</v>
      </c>
      <c r="F1559" t="s">
        <v>7</v>
      </c>
      <c r="G1559" t="s">
        <v>11</v>
      </c>
      <c r="H1559" t="s">
        <v>11</v>
      </c>
    </row>
    <row r="1560" spans="1:8" x14ac:dyDescent="0.35">
      <c r="A1560" t="s">
        <v>35</v>
      </c>
      <c r="B1560" t="s">
        <v>94</v>
      </c>
      <c r="C1560" t="s">
        <v>2326</v>
      </c>
      <c r="D1560">
        <v>2</v>
      </c>
      <c r="E1560">
        <v>4</v>
      </c>
      <c r="F1560" t="s">
        <v>7</v>
      </c>
      <c r="G1560" t="s">
        <v>11</v>
      </c>
      <c r="H1560" t="s">
        <v>11</v>
      </c>
    </row>
    <row r="1561" spans="1:8" x14ac:dyDescent="0.35">
      <c r="A1561" t="s">
        <v>35</v>
      </c>
      <c r="B1561" t="s">
        <v>94</v>
      </c>
      <c r="C1561" t="s">
        <v>1979</v>
      </c>
      <c r="D1561">
        <v>2</v>
      </c>
      <c r="E1561">
        <v>4</v>
      </c>
      <c r="F1561" t="s">
        <v>7</v>
      </c>
      <c r="G1561" t="s">
        <v>11</v>
      </c>
      <c r="H1561" t="s">
        <v>11</v>
      </c>
    </row>
    <row r="1562" spans="1:8" x14ac:dyDescent="0.35">
      <c r="A1562" t="s">
        <v>35</v>
      </c>
      <c r="B1562" t="s">
        <v>94</v>
      </c>
      <c r="C1562" t="s">
        <v>2327</v>
      </c>
      <c r="D1562">
        <v>2</v>
      </c>
      <c r="E1562">
        <v>4</v>
      </c>
      <c r="F1562" t="s">
        <v>7</v>
      </c>
      <c r="G1562" t="s">
        <v>11</v>
      </c>
      <c r="H1562" t="s">
        <v>11</v>
      </c>
    </row>
    <row r="1563" spans="1:8" x14ac:dyDescent="0.35">
      <c r="A1563" t="s">
        <v>35</v>
      </c>
      <c r="B1563" t="s">
        <v>94</v>
      </c>
      <c r="C1563" t="s">
        <v>2328</v>
      </c>
      <c r="D1563">
        <v>3</v>
      </c>
      <c r="E1563">
        <v>4</v>
      </c>
      <c r="F1563" t="s">
        <v>7</v>
      </c>
      <c r="G1563" t="s">
        <v>11</v>
      </c>
      <c r="H1563" t="s">
        <v>11</v>
      </c>
    </row>
    <row r="1564" spans="1:8" x14ac:dyDescent="0.35">
      <c r="A1564" t="s">
        <v>35</v>
      </c>
      <c r="B1564" t="s">
        <v>94</v>
      </c>
      <c r="C1564" t="s">
        <v>1364</v>
      </c>
      <c r="D1564">
        <v>2</v>
      </c>
      <c r="E1564">
        <v>4</v>
      </c>
      <c r="F1564" t="s">
        <v>7</v>
      </c>
      <c r="G1564" t="s">
        <v>11</v>
      </c>
      <c r="H1564" t="s">
        <v>11</v>
      </c>
    </row>
    <row r="1565" spans="1:8" x14ac:dyDescent="0.35">
      <c r="A1565" t="s">
        <v>35</v>
      </c>
      <c r="B1565" t="s">
        <v>94</v>
      </c>
      <c r="C1565" t="s">
        <v>2329</v>
      </c>
      <c r="D1565">
        <v>2</v>
      </c>
      <c r="E1565">
        <v>4</v>
      </c>
      <c r="F1565" t="s">
        <v>7</v>
      </c>
      <c r="G1565" t="s">
        <v>11</v>
      </c>
      <c r="H1565" t="s">
        <v>11</v>
      </c>
    </row>
    <row r="1566" spans="1:8" x14ac:dyDescent="0.35">
      <c r="A1566" t="s">
        <v>35</v>
      </c>
      <c r="B1566" t="s">
        <v>94</v>
      </c>
      <c r="C1566" t="s">
        <v>2330</v>
      </c>
      <c r="D1566">
        <v>2</v>
      </c>
      <c r="E1566">
        <v>4</v>
      </c>
      <c r="F1566" t="s">
        <v>7</v>
      </c>
      <c r="G1566" t="s">
        <v>11</v>
      </c>
      <c r="H1566" t="s">
        <v>11</v>
      </c>
    </row>
    <row r="1567" spans="1:8" x14ac:dyDescent="0.35">
      <c r="A1567" t="s">
        <v>35</v>
      </c>
      <c r="B1567" t="s">
        <v>94</v>
      </c>
      <c r="C1567" t="s">
        <v>1366</v>
      </c>
      <c r="D1567">
        <v>2</v>
      </c>
      <c r="E1567">
        <v>5</v>
      </c>
      <c r="F1567" t="s">
        <v>7</v>
      </c>
      <c r="G1567" t="s">
        <v>11</v>
      </c>
      <c r="H1567" t="s">
        <v>11</v>
      </c>
    </row>
    <row r="1568" spans="1:8" x14ac:dyDescent="0.35">
      <c r="A1568" t="s">
        <v>35</v>
      </c>
      <c r="B1568" t="s">
        <v>94</v>
      </c>
      <c r="C1568" t="s">
        <v>2331</v>
      </c>
      <c r="D1568">
        <v>1</v>
      </c>
      <c r="E1568">
        <v>4</v>
      </c>
      <c r="F1568" t="s">
        <v>7</v>
      </c>
      <c r="G1568" t="s">
        <v>11</v>
      </c>
      <c r="H1568" t="s">
        <v>11</v>
      </c>
    </row>
    <row r="1569" spans="1:8" x14ac:dyDescent="0.35">
      <c r="A1569" t="s">
        <v>35</v>
      </c>
      <c r="B1569" t="s">
        <v>94</v>
      </c>
      <c r="C1569" t="s">
        <v>1464</v>
      </c>
      <c r="D1569">
        <v>2</v>
      </c>
      <c r="E1569">
        <v>4</v>
      </c>
      <c r="F1569" t="s">
        <v>7</v>
      </c>
      <c r="G1569" t="s">
        <v>11</v>
      </c>
      <c r="H1569" t="s">
        <v>11</v>
      </c>
    </row>
    <row r="1570" spans="1:8" x14ac:dyDescent="0.35">
      <c r="A1570" t="s">
        <v>35</v>
      </c>
      <c r="B1570" t="s">
        <v>94</v>
      </c>
      <c r="C1570" t="s">
        <v>1467</v>
      </c>
      <c r="D1570">
        <v>2</v>
      </c>
      <c r="E1570">
        <v>4</v>
      </c>
      <c r="F1570" t="s">
        <v>7</v>
      </c>
      <c r="G1570" t="s">
        <v>11</v>
      </c>
      <c r="H1570" t="s">
        <v>11</v>
      </c>
    </row>
    <row r="1571" spans="1:8" x14ac:dyDescent="0.35">
      <c r="A1571" t="s">
        <v>35</v>
      </c>
      <c r="B1571" t="s">
        <v>94</v>
      </c>
      <c r="C1571" t="s">
        <v>1642</v>
      </c>
      <c r="D1571">
        <v>2</v>
      </c>
      <c r="E1571">
        <v>5</v>
      </c>
      <c r="F1571" t="s">
        <v>7</v>
      </c>
      <c r="G1571" t="s">
        <v>11</v>
      </c>
      <c r="H1571" t="s">
        <v>11</v>
      </c>
    </row>
    <row r="1572" spans="1:8" x14ac:dyDescent="0.35">
      <c r="A1572" t="s">
        <v>35</v>
      </c>
      <c r="B1572" t="s">
        <v>94</v>
      </c>
      <c r="C1572" t="s">
        <v>2332</v>
      </c>
      <c r="D1572">
        <v>2</v>
      </c>
      <c r="E1572">
        <v>5</v>
      </c>
      <c r="F1572" t="s">
        <v>7</v>
      </c>
      <c r="G1572" t="s">
        <v>11</v>
      </c>
      <c r="H1572" t="s">
        <v>11</v>
      </c>
    </row>
    <row r="1573" spans="1:8" x14ac:dyDescent="0.35">
      <c r="A1573" t="s">
        <v>35</v>
      </c>
      <c r="B1573" t="s">
        <v>94</v>
      </c>
      <c r="C1573" t="s">
        <v>1367</v>
      </c>
      <c r="D1573">
        <v>2</v>
      </c>
      <c r="E1573">
        <v>4</v>
      </c>
      <c r="F1573" t="s">
        <v>7</v>
      </c>
      <c r="G1573" t="s">
        <v>11</v>
      </c>
      <c r="H1573" t="s">
        <v>11</v>
      </c>
    </row>
    <row r="1574" spans="1:8" x14ac:dyDescent="0.35">
      <c r="A1574" t="s">
        <v>35</v>
      </c>
      <c r="B1574" t="s">
        <v>94</v>
      </c>
      <c r="C1574" t="s">
        <v>2333</v>
      </c>
      <c r="D1574">
        <v>2</v>
      </c>
      <c r="E1574">
        <v>4</v>
      </c>
      <c r="F1574" t="s">
        <v>7</v>
      </c>
      <c r="G1574" t="s">
        <v>11</v>
      </c>
      <c r="H1574" t="s">
        <v>11</v>
      </c>
    </row>
    <row r="1575" spans="1:8" x14ac:dyDescent="0.35">
      <c r="A1575" t="s">
        <v>35</v>
      </c>
      <c r="B1575" t="s">
        <v>94</v>
      </c>
      <c r="C1575" t="s">
        <v>2334</v>
      </c>
      <c r="D1575">
        <v>2</v>
      </c>
      <c r="E1575">
        <v>4</v>
      </c>
      <c r="F1575" t="s">
        <v>7</v>
      </c>
      <c r="G1575" t="s">
        <v>11</v>
      </c>
      <c r="H1575" t="s">
        <v>11</v>
      </c>
    </row>
    <row r="1576" spans="1:8" x14ac:dyDescent="0.35">
      <c r="A1576" t="s">
        <v>35</v>
      </c>
      <c r="B1576" t="s">
        <v>94</v>
      </c>
      <c r="C1576" t="s">
        <v>1879</v>
      </c>
      <c r="D1576">
        <v>2</v>
      </c>
      <c r="E1576">
        <v>4</v>
      </c>
      <c r="F1576" t="s">
        <v>7</v>
      </c>
      <c r="G1576" t="s">
        <v>11</v>
      </c>
      <c r="H1576" t="s">
        <v>11</v>
      </c>
    </row>
    <row r="1577" spans="1:8" x14ac:dyDescent="0.35">
      <c r="A1577" t="s">
        <v>35</v>
      </c>
      <c r="B1577" t="s">
        <v>94</v>
      </c>
      <c r="C1577" t="s">
        <v>2092</v>
      </c>
      <c r="D1577">
        <v>2</v>
      </c>
      <c r="E1577">
        <v>4</v>
      </c>
      <c r="F1577" t="s">
        <v>7</v>
      </c>
      <c r="G1577" t="s">
        <v>11</v>
      </c>
      <c r="H1577" t="s">
        <v>11</v>
      </c>
    </row>
    <row r="1578" spans="1:8" x14ac:dyDescent="0.35">
      <c r="A1578" t="s">
        <v>35</v>
      </c>
      <c r="B1578" t="s">
        <v>94</v>
      </c>
      <c r="C1578" t="s">
        <v>1369</v>
      </c>
      <c r="D1578">
        <v>2</v>
      </c>
      <c r="E1578">
        <v>4</v>
      </c>
      <c r="F1578" t="s">
        <v>7</v>
      </c>
      <c r="G1578" t="s">
        <v>11</v>
      </c>
      <c r="H1578" t="s">
        <v>11</v>
      </c>
    </row>
    <row r="1579" spans="1:8" x14ac:dyDescent="0.35">
      <c r="A1579" t="s">
        <v>35</v>
      </c>
      <c r="B1579" t="s">
        <v>94</v>
      </c>
      <c r="C1579" t="s">
        <v>2335</v>
      </c>
      <c r="D1579">
        <v>2</v>
      </c>
      <c r="E1579">
        <v>4</v>
      </c>
      <c r="F1579" t="s">
        <v>7</v>
      </c>
      <c r="G1579" t="s">
        <v>11</v>
      </c>
      <c r="H1579" t="s">
        <v>11</v>
      </c>
    </row>
    <row r="1580" spans="1:8" x14ac:dyDescent="0.35">
      <c r="A1580" t="s">
        <v>35</v>
      </c>
      <c r="B1580" t="s">
        <v>94</v>
      </c>
      <c r="C1580" t="s">
        <v>2255</v>
      </c>
      <c r="D1580">
        <v>2</v>
      </c>
      <c r="E1580">
        <v>4</v>
      </c>
      <c r="F1580" t="s">
        <v>7</v>
      </c>
      <c r="G1580" t="s">
        <v>11</v>
      </c>
      <c r="H1580" t="s">
        <v>11</v>
      </c>
    </row>
    <row r="1581" spans="1:8" x14ac:dyDescent="0.35">
      <c r="A1581" t="s">
        <v>35</v>
      </c>
      <c r="B1581" t="s">
        <v>94</v>
      </c>
      <c r="C1581" t="s">
        <v>2336</v>
      </c>
      <c r="D1581">
        <v>2</v>
      </c>
      <c r="E1581">
        <v>4</v>
      </c>
      <c r="F1581" t="s">
        <v>7</v>
      </c>
      <c r="G1581" t="s">
        <v>11</v>
      </c>
      <c r="H1581" t="s">
        <v>11</v>
      </c>
    </row>
    <row r="1582" spans="1:8" x14ac:dyDescent="0.35">
      <c r="A1582" t="s">
        <v>35</v>
      </c>
      <c r="B1582" t="s">
        <v>94</v>
      </c>
      <c r="C1582" t="s">
        <v>2337</v>
      </c>
      <c r="D1582">
        <v>2</v>
      </c>
      <c r="E1582">
        <v>4</v>
      </c>
      <c r="F1582" t="s">
        <v>7</v>
      </c>
      <c r="G1582" t="s">
        <v>11</v>
      </c>
      <c r="H1582" t="s">
        <v>11</v>
      </c>
    </row>
    <row r="1583" spans="1:8" x14ac:dyDescent="0.35">
      <c r="A1583" t="s">
        <v>35</v>
      </c>
      <c r="B1583" t="s">
        <v>94</v>
      </c>
      <c r="C1583" t="s">
        <v>1469</v>
      </c>
      <c r="D1583">
        <v>2</v>
      </c>
      <c r="E1583">
        <v>4</v>
      </c>
      <c r="F1583" t="s">
        <v>7</v>
      </c>
      <c r="G1583" t="s">
        <v>11</v>
      </c>
      <c r="H1583" t="s">
        <v>11</v>
      </c>
    </row>
    <row r="1584" spans="1:8" x14ac:dyDescent="0.35">
      <c r="A1584" t="s">
        <v>35</v>
      </c>
      <c r="B1584" t="s">
        <v>94</v>
      </c>
      <c r="C1584" t="s">
        <v>1843</v>
      </c>
      <c r="D1584">
        <v>2</v>
      </c>
      <c r="E1584">
        <v>5</v>
      </c>
      <c r="F1584" t="s">
        <v>7</v>
      </c>
      <c r="G1584" t="s">
        <v>11</v>
      </c>
      <c r="H1584" t="s">
        <v>11</v>
      </c>
    </row>
    <row r="1585" spans="1:8" x14ac:dyDescent="0.35">
      <c r="A1585" t="s">
        <v>35</v>
      </c>
      <c r="B1585" t="s">
        <v>94</v>
      </c>
      <c r="C1585" t="s">
        <v>2338</v>
      </c>
      <c r="D1585">
        <v>2</v>
      </c>
      <c r="E1585">
        <v>5</v>
      </c>
      <c r="F1585" t="s">
        <v>7</v>
      </c>
      <c r="G1585" t="s">
        <v>11</v>
      </c>
      <c r="H1585" t="s">
        <v>11</v>
      </c>
    </row>
    <row r="1586" spans="1:8" x14ac:dyDescent="0.35">
      <c r="A1586" t="s">
        <v>35</v>
      </c>
      <c r="B1586" t="s">
        <v>94</v>
      </c>
      <c r="C1586" t="s">
        <v>1470</v>
      </c>
      <c r="D1586">
        <v>3</v>
      </c>
      <c r="E1586">
        <v>4</v>
      </c>
      <c r="F1586" t="s">
        <v>7</v>
      </c>
      <c r="G1586" t="s">
        <v>11</v>
      </c>
      <c r="H1586" t="s">
        <v>11</v>
      </c>
    </row>
    <row r="1587" spans="1:8" x14ac:dyDescent="0.35">
      <c r="A1587" t="s">
        <v>35</v>
      </c>
      <c r="B1587" t="s">
        <v>94</v>
      </c>
      <c r="C1587" t="s">
        <v>2339</v>
      </c>
      <c r="D1587">
        <v>2</v>
      </c>
      <c r="E1587">
        <v>4</v>
      </c>
      <c r="F1587" t="s">
        <v>7</v>
      </c>
      <c r="G1587" t="s">
        <v>11</v>
      </c>
      <c r="H1587" t="s">
        <v>11</v>
      </c>
    </row>
    <row r="1588" spans="1:8" x14ac:dyDescent="0.35">
      <c r="A1588" t="s">
        <v>35</v>
      </c>
      <c r="B1588" t="s">
        <v>94</v>
      </c>
      <c r="C1588" t="s">
        <v>1370</v>
      </c>
      <c r="D1588">
        <v>2</v>
      </c>
      <c r="E1588">
        <v>5</v>
      </c>
      <c r="F1588" t="s">
        <v>7</v>
      </c>
      <c r="G1588" t="s">
        <v>11</v>
      </c>
      <c r="H1588" t="s">
        <v>11</v>
      </c>
    </row>
    <row r="1589" spans="1:8" x14ac:dyDescent="0.35">
      <c r="A1589" t="s">
        <v>35</v>
      </c>
      <c r="B1589" t="s">
        <v>94</v>
      </c>
      <c r="C1589" t="s">
        <v>2340</v>
      </c>
      <c r="D1589">
        <v>3</v>
      </c>
      <c r="E1589">
        <v>4</v>
      </c>
      <c r="F1589" t="s">
        <v>7</v>
      </c>
      <c r="G1589" t="s">
        <v>11</v>
      </c>
      <c r="H1589" t="s">
        <v>11</v>
      </c>
    </row>
    <row r="1590" spans="1:8" x14ac:dyDescent="0.35">
      <c r="A1590" t="s">
        <v>35</v>
      </c>
      <c r="B1590" t="s">
        <v>94</v>
      </c>
      <c r="C1590" t="s">
        <v>1475</v>
      </c>
      <c r="D1590">
        <v>2</v>
      </c>
      <c r="E1590">
        <v>4</v>
      </c>
      <c r="F1590" t="s">
        <v>7</v>
      </c>
      <c r="G1590" t="s">
        <v>11</v>
      </c>
      <c r="H1590" t="s">
        <v>11</v>
      </c>
    </row>
    <row r="1591" spans="1:8" x14ac:dyDescent="0.35">
      <c r="A1591" t="s">
        <v>35</v>
      </c>
      <c r="B1591" t="s">
        <v>94</v>
      </c>
      <c r="C1591" t="s">
        <v>1885</v>
      </c>
      <c r="D1591">
        <v>2</v>
      </c>
      <c r="E1591">
        <v>5</v>
      </c>
      <c r="F1591" t="s">
        <v>7</v>
      </c>
      <c r="G1591" t="s">
        <v>11</v>
      </c>
      <c r="H1591" t="s">
        <v>11</v>
      </c>
    </row>
    <row r="1592" spans="1:8" x14ac:dyDescent="0.35">
      <c r="A1592" t="s">
        <v>35</v>
      </c>
      <c r="B1592" t="s">
        <v>94</v>
      </c>
      <c r="C1592" t="s">
        <v>2341</v>
      </c>
      <c r="D1592">
        <v>2</v>
      </c>
      <c r="E1592">
        <v>4</v>
      </c>
      <c r="F1592" t="s">
        <v>7</v>
      </c>
      <c r="G1592" t="s">
        <v>11</v>
      </c>
      <c r="H1592" t="s">
        <v>11</v>
      </c>
    </row>
    <row r="1593" spans="1:8" x14ac:dyDescent="0.35">
      <c r="A1593" t="s">
        <v>35</v>
      </c>
      <c r="B1593" t="s">
        <v>94</v>
      </c>
      <c r="C1593" t="s">
        <v>2342</v>
      </c>
      <c r="D1593">
        <v>2</v>
      </c>
      <c r="E1593">
        <v>4</v>
      </c>
      <c r="F1593" t="s">
        <v>7</v>
      </c>
      <c r="G1593" t="s">
        <v>11</v>
      </c>
      <c r="H1593" t="s">
        <v>11</v>
      </c>
    </row>
    <row r="1594" spans="1:8" x14ac:dyDescent="0.35">
      <c r="A1594" t="s">
        <v>35</v>
      </c>
      <c r="B1594" t="s">
        <v>94</v>
      </c>
      <c r="C1594" t="s">
        <v>2103</v>
      </c>
      <c r="D1594">
        <v>2</v>
      </c>
      <c r="E1594">
        <v>4</v>
      </c>
      <c r="F1594" t="s">
        <v>7</v>
      </c>
      <c r="G1594" t="s">
        <v>11</v>
      </c>
      <c r="H1594" t="s">
        <v>11</v>
      </c>
    </row>
    <row r="1595" spans="1:8" x14ac:dyDescent="0.35">
      <c r="A1595" t="s">
        <v>35</v>
      </c>
      <c r="B1595" t="s">
        <v>94</v>
      </c>
      <c r="C1595" t="s">
        <v>1754</v>
      </c>
      <c r="D1595">
        <v>2</v>
      </c>
      <c r="E1595">
        <v>4</v>
      </c>
      <c r="F1595" t="s">
        <v>7</v>
      </c>
      <c r="G1595" t="s">
        <v>11</v>
      </c>
      <c r="H1595" t="s">
        <v>11</v>
      </c>
    </row>
    <row r="1596" spans="1:8" x14ac:dyDescent="0.35">
      <c r="A1596" t="s">
        <v>35</v>
      </c>
      <c r="B1596" t="s">
        <v>94</v>
      </c>
      <c r="C1596" t="s">
        <v>1376</v>
      </c>
      <c r="D1596">
        <v>2</v>
      </c>
      <c r="E1596">
        <v>4</v>
      </c>
      <c r="F1596" t="s">
        <v>7</v>
      </c>
      <c r="G1596" t="s">
        <v>11</v>
      </c>
      <c r="H1596" t="s">
        <v>11</v>
      </c>
    </row>
    <row r="1597" spans="1:8" x14ac:dyDescent="0.35">
      <c r="A1597" t="s">
        <v>35</v>
      </c>
      <c r="B1597" t="s">
        <v>94</v>
      </c>
      <c r="C1597" t="s">
        <v>1755</v>
      </c>
      <c r="D1597">
        <v>2</v>
      </c>
      <c r="E1597">
        <v>4</v>
      </c>
      <c r="F1597" t="s">
        <v>7</v>
      </c>
      <c r="G1597" t="s">
        <v>11</v>
      </c>
      <c r="H1597" t="s">
        <v>11</v>
      </c>
    </row>
    <row r="1598" spans="1:8" x14ac:dyDescent="0.35">
      <c r="A1598" t="s">
        <v>35</v>
      </c>
      <c r="B1598" t="s">
        <v>94</v>
      </c>
      <c r="C1598" t="s">
        <v>1756</v>
      </c>
      <c r="D1598">
        <v>2</v>
      </c>
      <c r="E1598">
        <v>4</v>
      </c>
      <c r="F1598" t="s">
        <v>7</v>
      </c>
      <c r="G1598" t="s">
        <v>11</v>
      </c>
      <c r="H1598" t="s">
        <v>11</v>
      </c>
    </row>
    <row r="1599" spans="1:8" x14ac:dyDescent="0.35">
      <c r="A1599" t="s">
        <v>35</v>
      </c>
      <c r="B1599" t="s">
        <v>94</v>
      </c>
      <c r="C1599" t="s">
        <v>1761</v>
      </c>
      <c r="D1599">
        <v>2</v>
      </c>
      <c r="E1599">
        <v>5</v>
      </c>
      <c r="F1599" t="s">
        <v>7</v>
      </c>
      <c r="G1599" t="s">
        <v>11</v>
      </c>
      <c r="H1599" t="s">
        <v>11</v>
      </c>
    </row>
    <row r="1600" spans="1:8" x14ac:dyDescent="0.35">
      <c r="A1600" t="s">
        <v>35</v>
      </c>
      <c r="B1600" t="s">
        <v>94</v>
      </c>
      <c r="C1600" t="s">
        <v>1939</v>
      </c>
      <c r="D1600">
        <v>2</v>
      </c>
      <c r="E1600">
        <v>4</v>
      </c>
      <c r="F1600" t="s">
        <v>7</v>
      </c>
      <c r="G1600" t="s">
        <v>11</v>
      </c>
      <c r="H1600" t="s">
        <v>11</v>
      </c>
    </row>
    <row r="1601" spans="1:8" x14ac:dyDescent="0.35">
      <c r="A1601" t="s">
        <v>37</v>
      </c>
      <c r="B1601" t="s">
        <v>78</v>
      </c>
      <c r="C1601" t="s">
        <v>2343</v>
      </c>
      <c r="D1601">
        <v>1</v>
      </c>
      <c r="E1601">
        <v>6</v>
      </c>
      <c r="F1601" t="s">
        <v>75</v>
      </c>
      <c r="G1601" t="s">
        <v>11</v>
      </c>
      <c r="H1601" t="s">
        <v>11</v>
      </c>
    </row>
    <row r="1602" spans="1:8" x14ac:dyDescent="0.35">
      <c r="A1602" t="s">
        <v>37</v>
      </c>
      <c r="B1602" t="s">
        <v>78</v>
      </c>
      <c r="C1602" t="s">
        <v>2344</v>
      </c>
      <c r="D1602">
        <v>1</v>
      </c>
      <c r="E1602">
        <v>6</v>
      </c>
      <c r="F1602" t="s">
        <v>75</v>
      </c>
      <c r="G1602" t="s">
        <v>11</v>
      </c>
      <c r="H1602" t="s">
        <v>11</v>
      </c>
    </row>
    <row r="1603" spans="1:8" x14ac:dyDescent="0.35">
      <c r="A1603" t="s">
        <v>37</v>
      </c>
      <c r="B1603" t="s">
        <v>78</v>
      </c>
      <c r="C1603" t="s">
        <v>1772</v>
      </c>
      <c r="D1603">
        <v>1</v>
      </c>
      <c r="E1603">
        <v>6</v>
      </c>
      <c r="F1603" t="s">
        <v>75</v>
      </c>
      <c r="G1603" t="s">
        <v>11</v>
      </c>
      <c r="H1603" t="s">
        <v>11</v>
      </c>
    </row>
    <row r="1604" spans="1:8" x14ac:dyDescent="0.35">
      <c r="A1604" t="s">
        <v>37</v>
      </c>
      <c r="B1604" t="s">
        <v>78</v>
      </c>
      <c r="C1604" t="s">
        <v>2345</v>
      </c>
      <c r="D1604">
        <v>1</v>
      </c>
      <c r="E1604">
        <v>6</v>
      </c>
      <c r="F1604" t="s">
        <v>75</v>
      </c>
      <c r="G1604" t="s">
        <v>11</v>
      </c>
      <c r="H1604" t="s">
        <v>11</v>
      </c>
    </row>
    <row r="1605" spans="1:8" x14ac:dyDescent="0.35">
      <c r="A1605" t="s">
        <v>37</v>
      </c>
      <c r="B1605" t="s">
        <v>78</v>
      </c>
      <c r="C1605" t="s">
        <v>2346</v>
      </c>
      <c r="D1605">
        <v>1</v>
      </c>
      <c r="E1605">
        <v>6</v>
      </c>
      <c r="F1605" t="s">
        <v>75</v>
      </c>
      <c r="G1605" t="s">
        <v>11</v>
      </c>
      <c r="H1605" t="s">
        <v>11</v>
      </c>
    </row>
    <row r="1606" spans="1:8" x14ac:dyDescent="0.35">
      <c r="A1606" t="s">
        <v>37</v>
      </c>
      <c r="B1606" t="s">
        <v>78</v>
      </c>
      <c r="C1606" t="s">
        <v>2021</v>
      </c>
      <c r="D1606">
        <v>1</v>
      </c>
      <c r="E1606">
        <v>6</v>
      </c>
      <c r="F1606" t="s">
        <v>75</v>
      </c>
      <c r="G1606" t="s">
        <v>11</v>
      </c>
      <c r="H1606" t="s">
        <v>11</v>
      </c>
    </row>
    <row r="1607" spans="1:8" x14ac:dyDescent="0.35">
      <c r="A1607" t="s">
        <v>37</v>
      </c>
      <c r="B1607" t="s">
        <v>78</v>
      </c>
      <c r="C1607" t="s">
        <v>2347</v>
      </c>
      <c r="D1607">
        <v>1</v>
      </c>
      <c r="E1607">
        <v>6</v>
      </c>
      <c r="F1607" t="s">
        <v>75</v>
      </c>
      <c r="G1607" t="s">
        <v>11</v>
      </c>
      <c r="H1607" t="s">
        <v>11</v>
      </c>
    </row>
    <row r="1608" spans="1:8" x14ac:dyDescent="0.35">
      <c r="A1608" t="s">
        <v>37</v>
      </c>
      <c r="B1608" t="s">
        <v>78</v>
      </c>
      <c r="C1608" t="s">
        <v>2348</v>
      </c>
      <c r="D1608">
        <v>1</v>
      </c>
      <c r="E1608">
        <v>6</v>
      </c>
      <c r="F1608" t="s">
        <v>75</v>
      </c>
      <c r="G1608" t="s">
        <v>11</v>
      </c>
      <c r="H1608" t="s">
        <v>11</v>
      </c>
    </row>
    <row r="1609" spans="1:8" x14ac:dyDescent="0.35">
      <c r="A1609" t="s">
        <v>37</v>
      </c>
      <c r="B1609" t="s">
        <v>78</v>
      </c>
      <c r="C1609" t="s">
        <v>1551</v>
      </c>
      <c r="D1609">
        <v>1</v>
      </c>
      <c r="E1609">
        <v>6</v>
      </c>
      <c r="F1609" t="s">
        <v>75</v>
      </c>
      <c r="G1609" t="s">
        <v>11</v>
      </c>
      <c r="H1609" t="s">
        <v>11</v>
      </c>
    </row>
    <row r="1610" spans="1:8" x14ac:dyDescent="0.35">
      <c r="A1610" t="s">
        <v>37</v>
      </c>
      <c r="B1610" t="s">
        <v>78</v>
      </c>
      <c r="C1610" t="s">
        <v>2349</v>
      </c>
      <c r="D1610">
        <v>1</v>
      </c>
      <c r="E1610">
        <v>6</v>
      </c>
      <c r="F1610" t="s">
        <v>75</v>
      </c>
      <c r="G1610" t="s">
        <v>11</v>
      </c>
      <c r="H1610" t="s">
        <v>11</v>
      </c>
    </row>
    <row r="1611" spans="1:8" x14ac:dyDescent="0.35">
      <c r="A1611" t="s">
        <v>37</v>
      </c>
      <c r="B1611" t="s">
        <v>78</v>
      </c>
      <c r="C1611" t="s">
        <v>1683</v>
      </c>
      <c r="D1611">
        <v>1</v>
      </c>
      <c r="E1611">
        <v>6</v>
      </c>
      <c r="F1611" t="s">
        <v>75</v>
      </c>
      <c r="G1611" t="s">
        <v>11</v>
      </c>
      <c r="H1611" t="s">
        <v>11</v>
      </c>
    </row>
    <row r="1612" spans="1:8" x14ac:dyDescent="0.35">
      <c r="A1612" t="s">
        <v>37</v>
      </c>
      <c r="B1612" t="s">
        <v>78</v>
      </c>
      <c r="C1612" t="s">
        <v>2350</v>
      </c>
      <c r="D1612">
        <v>1</v>
      </c>
      <c r="E1612">
        <v>6</v>
      </c>
      <c r="F1612" t="s">
        <v>75</v>
      </c>
      <c r="G1612" t="s">
        <v>11</v>
      </c>
      <c r="H1612" t="s">
        <v>11</v>
      </c>
    </row>
    <row r="1613" spans="1:8" x14ac:dyDescent="0.35">
      <c r="A1613" t="s">
        <v>37</v>
      </c>
      <c r="B1613" t="s">
        <v>78</v>
      </c>
      <c r="C1613" t="s">
        <v>2351</v>
      </c>
      <c r="D1613">
        <v>1</v>
      </c>
      <c r="E1613">
        <v>6</v>
      </c>
      <c r="F1613" t="s">
        <v>75</v>
      </c>
      <c r="G1613" t="s">
        <v>11</v>
      </c>
      <c r="H1613" t="s">
        <v>11</v>
      </c>
    </row>
    <row r="1614" spans="1:8" x14ac:dyDescent="0.35">
      <c r="A1614" t="s">
        <v>37</v>
      </c>
      <c r="B1614" t="s">
        <v>78</v>
      </c>
      <c r="C1614" t="s">
        <v>2352</v>
      </c>
      <c r="D1614">
        <v>1</v>
      </c>
      <c r="E1614">
        <v>6</v>
      </c>
      <c r="F1614" t="s">
        <v>75</v>
      </c>
      <c r="G1614" t="s">
        <v>11</v>
      </c>
      <c r="H1614" t="s">
        <v>11</v>
      </c>
    </row>
    <row r="1615" spans="1:8" x14ac:dyDescent="0.35">
      <c r="A1615" t="s">
        <v>37</v>
      </c>
      <c r="B1615" t="s">
        <v>78</v>
      </c>
      <c r="C1615" t="s">
        <v>2353</v>
      </c>
      <c r="D1615">
        <v>1</v>
      </c>
      <c r="E1615">
        <v>6</v>
      </c>
      <c r="F1615" t="s">
        <v>75</v>
      </c>
      <c r="G1615" t="s">
        <v>11</v>
      </c>
      <c r="H1615" t="s">
        <v>11</v>
      </c>
    </row>
    <row r="1616" spans="1:8" x14ac:dyDescent="0.35">
      <c r="A1616" t="s">
        <v>37</v>
      </c>
      <c r="B1616" t="s">
        <v>78</v>
      </c>
      <c r="C1616" t="s">
        <v>1815</v>
      </c>
      <c r="D1616">
        <v>1</v>
      </c>
      <c r="E1616">
        <v>6</v>
      </c>
      <c r="F1616" t="s">
        <v>75</v>
      </c>
      <c r="G1616" t="s">
        <v>11</v>
      </c>
      <c r="H1616" t="s">
        <v>11</v>
      </c>
    </row>
    <row r="1617" spans="1:8" x14ac:dyDescent="0.35">
      <c r="A1617" t="s">
        <v>37</v>
      </c>
      <c r="B1617" t="s">
        <v>78</v>
      </c>
      <c r="C1617" t="s">
        <v>1560</v>
      </c>
      <c r="D1617">
        <v>1</v>
      </c>
      <c r="E1617">
        <v>6</v>
      </c>
      <c r="F1617" t="s">
        <v>75</v>
      </c>
      <c r="G1617" t="s">
        <v>11</v>
      </c>
      <c r="H1617" t="s">
        <v>11</v>
      </c>
    </row>
    <row r="1618" spans="1:8" x14ac:dyDescent="0.35">
      <c r="A1618" t="s">
        <v>37</v>
      </c>
      <c r="B1618" t="s">
        <v>78</v>
      </c>
      <c r="C1618" t="s">
        <v>2354</v>
      </c>
      <c r="D1618">
        <v>1</v>
      </c>
      <c r="E1618">
        <v>6</v>
      </c>
      <c r="F1618" t="s">
        <v>75</v>
      </c>
      <c r="G1618" t="s">
        <v>11</v>
      </c>
      <c r="H1618" t="s">
        <v>11</v>
      </c>
    </row>
    <row r="1619" spans="1:8" x14ac:dyDescent="0.35">
      <c r="A1619" t="s">
        <v>37</v>
      </c>
      <c r="B1619" t="s">
        <v>78</v>
      </c>
      <c r="C1619" t="s">
        <v>2355</v>
      </c>
      <c r="D1619">
        <v>2</v>
      </c>
      <c r="E1619">
        <v>6</v>
      </c>
      <c r="F1619" t="s">
        <v>75</v>
      </c>
      <c r="G1619" t="s">
        <v>11</v>
      </c>
      <c r="H1619" t="s">
        <v>11</v>
      </c>
    </row>
    <row r="1620" spans="1:8" x14ac:dyDescent="0.35">
      <c r="A1620" t="s">
        <v>37</v>
      </c>
      <c r="B1620" t="s">
        <v>78</v>
      </c>
      <c r="C1620" t="s">
        <v>2356</v>
      </c>
      <c r="D1620">
        <v>1</v>
      </c>
      <c r="E1620">
        <v>6</v>
      </c>
      <c r="F1620" t="s">
        <v>75</v>
      </c>
      <c r="G1620" t="s">
        <v>11</v>
      </c>
      <c r="H1620" t="s">
        <v>11</v>
      </c>
    </row>
    <row r="1621" spans="1:8" x14ac:dyDescent="0.35">
      <c r="A1621" t="s">
        <v>37</v>
      </c>
      <c r="B1621" t="s">
        <v>78</v>
      </c>
      <c r="C1621" t="s">
        <v>2357</v>
      </c>
      <c r="D1621">
        <v>1</v>
      </c>
      <c r="E1621">
        <v>6</v>
      </c>
      <c r="F1621" t="s">
        <v>75</v>
      </c>
      <c r="G1621" t="s">
        <v>11</v>
      </c>
      <c r="H1621" t="s">
        <v>11</v>
      </c>
    </row>
    <row r="1622" spans="1:8" x14ac:dyDescent="0.35">
      <c r="A1622" t="s">
        <v>37</v>
      </c>
      <c r="B1622" t="s">
        <v>78</v>
      </c>
      <c r="C1622" t="s">
        <v>1348</v>
      </c>
      <c r="D1622">
        <v>1</v>
      </c>
      <c r="E1622">
        <v>6</v>
      </c>
      <c r="F1622" t="s">
        <v>75</v>
      </c>
      <c r="G1622" t="s">
        <v>11</v>
      </c>
      <c r="H1622" t="s">
        <v>11</v>
      </c>
    </row>
    <row r="1623" spans="1:8" x14ac:dyDescent="0.35">
      <c r="A1623" t="s">
        <v>37</v>
      </c>
      <c r="B1623" t="s">
        <v>78</v>
      </c>
      <c r="C1623" t="s">
        <v>2358</v>
      </c>
      <c r="D1623">
        <v>1</v>
      </c>
      <c r="E1623">
        <v>6</v>
      </c>
      <c r="F1623" t="s">
        <v>75</v>
      </c>
      <c r="G1623" t="s">
        <v>11</v>
      </c>
      <c r="H1623" t="s">
        <v>11</v>
      </c>
    </row>
    <row r="1624" spans="1:8" x14ac:dyDescent="0.35">
      <c r="A1624" t="s">
        <v>37</v>
      </c>
      <c r="B1624" t="s">
        <v>78</v>
      </c>
      <c r="C1624" t="s">
        <v>1497</v>
      </c>
      <c r="D1624">
        <v>1</v>
      </c>
      <c r="E1624">
        <v>6</v>
      </c>
      <c r="F1624" t="s">
        <v>75</v>
      </c>
      <c r="G1624" t="s">
        <v>11</v>
      </c>
      <c r="H1624" t="s">
        <v>11</v>
      </c>
    </row>
    <row r="1625" spans="1:8" x14ac:dyDescent="0.35">
      <c r="A1625" t="s">
        <v>37</v>
      </c>
      <c r="B1625" t="s">
        <v>78</v>
      </c>
      <c r="C1625" t="s">
        <v>2359</v>
      </c>
      <c r="D1625">
        <v>1</v>
      </c>
      <c r="E1625">
        <v>6</v>
      </c>
      <c r="F1625" t="s">
        <v>75</v>
      </c>
      <c r="G1625" t="s">
        <v>11</v>
      </c>
      <c r="H1625" t="s">
        <v>11</v>
      </c>
    </row>
    <row r="1626" spans="1:8" x14ac:dyDescent="0.35">
      <c r="A1626" t="s">
        <v>37</v>
      </c>
      <c r="B1626" t="s">
        <v>78</v>
      </c>
      <c r="C1626" t="s">
        <v>1631</v>
      </c>
      <c r="D1626">
        <v>1</v>
      </c>
      <c r="E1626">
        <v>6</v>
      </c>
      <c r="F1626" t="s">
        <v>75</v>
      </c>
      <c r="G1626" t="s">
        <v>11</v>
      </c>
      <c r="H1626" t="s">
        <v>11</v>
      </c>
    </row>
    <row r="1627" spans="1:8" x14ac:dyDescent="0.35">
      <c r="A1627" t="s">
        <v>37</v>
      </c>
      <c r="B1627" t="s">
        <v>78</v>
      </c>
      <c r="C1627" t="s">
        <v>1453</v>
      </c>
      <c r="D1627">
        <v>1</v>
      </c>
      <c r="E1627">
        <v>6</v>
      </c>
      <c r="F1627" t="s">
        <v>75</v>
      </c>
      <c r="G1627" t="s">
        <v>11</v>
      </c>
      <c r="H1627" t="s">
        <v>11</v>
      </c>
    </row>
    <row r="1628" spans="1:8" x14ac:dyDescent="0.35">
      <c r="A1628" t="s">
        <v>37</v>
      </c>
      <c r="B1628" t="s">
        <v>78</v>
      </c>
      <c r="C1628" t="s">
        <v>1356</v>
      </c>
      <c r="D1628">
        <v>1</v>
      </c>
      <c r="E1628">
        <v>6</v>
      </c>
      <c r="F1628" t="s">
        <v>75</v>
      </c>
      <c r="G1628" t="s">
        <v>11</v>
      </c>
      <c r="H1628" t="s">
        <v>11</v>
      </c>
    </row>
    <row r="1629" spans="1:8" x14ac:dyDescent="0.35">
      <c r="A1629" t="s">
        <v>37</v>
      </c>
      <c r="B1629" t="s">
        <v>78</v>
      </c>
      <c r="C1629" t="s">
        <v>2360</v>
      </c>
      <c r="D1629">
        <v>1</v>
      </c>
      <c r="E1629">
        <v>6</v>
      </c>
      <c r="F1629" t="s">
        <v>75</v>
      </c>
      <c r="G1629" t="s">
        <v>11</v>
      </c>
      <c r="H1629" t="s">
        <v>11</v>
      </c>
    </row>
    <row r="1630" spans="1:8" x14ac:dyDescent="0.35">
      <c r="A1630" t="s">
        <v>37</v>
      </c>
      <c r="B1630" t="s">
        <v>78</v>
      </c>
      <c r="C1630" t="s">
        <v>2361</v>
      </c>
      <c r="D1630">
        <v>1</v>
      </c>
      <c r="E1630">
        <v>6</v>
      </c>
      <c r="F1630" t="s">
        <v>75</v>
      </c>
      <c r="G1630" t="s">
        <v>11</v>
      </c>
      <c r="H1630" t="s">
        <v>11</v>
      </c>
    </row>
    <row r="1631" spans="1:8" x14ac:dyDescent="0.35">
      <c r="A1631" t="s">
        <v>37</v>
      </c>
      <c r="B1631" t="s">
        <v>78</v>
      </c>
      <c r="C1631" t="s">
        <v>1572</v>
      </c>
      <c r="D1631">
        <v>1</v>
      </c>
      <c r="E1631">
        <v>6</v>
      </c>
      <c r="F1631" t="s">
        <v>75</v>
      </c>
      <c r="G1631" t="s">
        <v>11</v>
      </c>
      <c r="H1631" t="s">
        <v>11</v>
      </c>
    </row>
    <row r="1632" spans="1:8" x14ac:dyDescent="0.35">
      <c r="A1632" t="s">
        <v>37</v>
      </c>
      <c r="B1632" t="s">
        <v>78</v>
      </c>
      <c r="C1632" t="s">
        <v>2362</v>
      </c>
      <c r="D1632">
        <v>1</v>
      </c>
      <c r="E1632">
        <v>6</v>
      </c>
      <c r="F1632" t="s">
        <v>75</v>
      </c>
      <c r="G1632" t="s">
        <v>11</v>
      </c>
      <c r="H1632" t="s">
        <v>11</v>
      </c>
    </row>
    <row r="1633" spans="1:8" x14ac:dyDescent="0.35">
      <c r="A1633" t="s">
        <v>37</v>
      </c>
      <c r="B1633" t="s">
        <v>78</v>
      </c>
      <c r="C1633" t="s">
        <v>2363</v>
      </c>
      <c r="D1633">
        <v>2</v>
      </c>
      <c r="E1633">
        <v>6</v>
      </c>
      <c r="F1633" t="s">
        <v>75</v>
      </c>
      <c r="G1633" t="s">
        <v>11</v>
      </c>
      <c r="H1633" t="s">
        <v>11</v>
      </c>
    </row>
    <row r="1634" spans="1:8" x14ac:dyDescent="0.35">
      <c r="A1634" t="s">
        <v>37</v>
      </c>
      <c r="B1634" t="s">
        <v>78</v>
      </c>
      <c r="C1634" t="s">
        <v>1578</v>
      </c>
      <c r="D1634">
        <v>1</v>
      </c>
      <c r="E1634">
        <v>6</v>
      </c>
      <c r="F1634" t="s">
        <v>75</v>
      </c>
      <c r="G1634" t="s">
        <v>11</v>
      </c>
      <c r="H1634" t="s">
        <v>11</v>
      </c>
    </row>
    <row r="1635" spans="1:8" x14ac:dyDescent="0.35">
      <c r="A1635" t="s">
        <v>37</v>
      </c>
      <c r="B1635" t="s">
        <v>78</v>
      </c>
      <c r="C1635" t="s">
        <v>2364</v>
      </c>
      <c r="D1635">
        <v>2</v>
      </c>
      <c r="E1635">
        <v>6</v>
      </c>
      <c r="F1635" t="s">
        <v>75</v>
      </c>
      <c r="G1635" t="s">
        <v>11</v>
      </c>
      <c r="H1635" t="s">
        <v>11</v>
      </c>
    </row>
    <row r="1636" spans="1:8" x14ac:dyDescent="0.35">
      <c r="A1636" t="s">
        <v>37</v>
      </c>
      <c r="B1636" t="s">
        <v>78</v>
      </c>
      <c r="C1636" t="s">
        <v>1462</v>
      </c>
      <c r="D1636">
        <v>1</v>
      </c>
      <c r="E1636">
        <v>6</v>
      </c>
      <c r="F1636" t="s">
        <v>75</v>
      </c>
      <c r="G1636" t="s">
        <v>11</v>
      </c>
      <c r="H1636" t="s">
        <v>11</v>
      </c>
    </row>
    <row r="1637" spans="1:8" x14ac:dyDescent="0.35">
      <c r="A1637" t="s">
        <v>37</v>
      </c>
      <c r="B1637" t="s">
        <v>78</v>
      </c>
      <c r="C1637" t="s">
        <v>2365</v>
      </c>
      <c r="D1637">
        <v>1</v>
      </c>
      <c r="E1637">
        <v>6</v>
      </c>
      <c r="F1637" t="s">
        <v>75</v>
      </c>
      <c r="G1637" t="s">
        <v>11</v>
      </c>
      <c r="H1637" t="s">
        <v>11</v>
      </c>
    </row>
    <row r="1638" spans="1:8" x14ac:dyDescent="0.35">
      <c r="A1638" t="s">
        <v>37</v>
      </c>
      <c r="B1638" t="s">
        <v>78</v>
      </c>
      <c r="C1638" t="s">
        <v>2366</v>
      </c>
      <c r="D1638">
        <v>1</v>
      </c>
      <c r="E1638">
        <v>6</v>
      </c>
      <c r="F1638" t="s">
        <v>75</v>
      </c>
      <c r="G1638" t="s">
        <v>11</v>
      </c>
      <c r="H1638" t="s">
        <v>11</v>
      </c>
    </row>
    <row r="1639" spans="1:8" x14ac:dyDescent="0.35">
      <c r="A1639" t="s">
        <v>37</v>
      </c>
      <c r="B1639" t="s">
        <v>78</v>
      </c>
      <c r="C1639" t="s">
        <v>2053</v>
      </c>
      <c r="D1639">
        <v>1</v>
      </c>
      <c r="E1639">
        <v>6</v>
      </c>
      <c r="F1639" t="s">
        <v>75</v>
      </c>
      <c r="G1639" t="s">
        <v>11</v>
      </c>
      <c r="H1639" t="s">
        <v>11</v>
      </c>
    </row>
    <row r="1640" spans="1:8" x14ac:dyDescent="0.35">
      <c r="A1640" t="s">
        <v>37</v>
      </c>
      <c r="B1640" t="s">
        <v>78</v>
      </c>
      <c r="C1640" t="s">
        <v>1466</v>
      </c>
      <c r="D1640">
        <v>1</v>
      </c>
      <c r="E1640">
        <v>6</v>
      </c>
      <c r="F1640" t="s">
        <v>75</v>
      </c>
      <c r="G1640" t="s">
        <v>11</v>
      </c>
      <c r="H1640" t="s">
        <v>11</v>
      </c>
    </row>
    <row r="1641" spans="1:8" x14ac:dyDescent="0.35">
      <c r="A1641" t="s">
        <v>37</v>
      </c>
      <c r="B1641" t="s">
        <v>78</v>
      </c>
      <c r="C1641" t="s">
        <v>2367</v>
      </c>
      <c r="D1641">
        <v>1</v>
      </c>
      <c r="E1641">
        <v>6</v>
      </c>
      <c r="F1641" t="s">
        <v>75</v>
      </c>
      <c r="G1641" t="s">
        <v>11</v>
      </c>
      <c r="H1641" t="s">
        <v>11</v>
      </c>
    </row>
    <row r="1642" spans="1:8" x14ac:dyDescent="0.35">
      <c r="A1642" t="s">
        <v>37</v>
      </c>
      <c r="B1642" t="s">
        <v>78</v>
      </c>
      <c r="C1642" t="s">
        <v>1840</v>
      </c>
      <c r="D1642">
        <v>1</v>
      </c>
      <c r="E1642">
        <v>6</v>
      </c>
      <c r="F1642" t="s">
        <v>75</v>
      </c>
      <c r="G1642" t="s">
        <v>11</v>
      </c>
      <c r="H1642" t="s">
        <v>11</v>
      </c>
    </row>
    <row r="1643" spans="1:8" x14ac:dyDescent="0.35">
      <c r="A1643" t="s">
        <v>37</v>
      </c>
      <c r="B1643" t="s">
        <v>78</v>
      </c>
      <c r="C1643" t="s">
        <v>2368</v>
      </c>
      <c r="D1643">
        <v>1</v>
      </c>
      <c r="E1643">
        <v>6</v>
      </c>
      <c r="F1643" t="s">
        <v>75</v>
      </c>
      <c r="G1643" t="s">
        <v>11</v>
      </c>
      <c r="H1643" t="s">
        <v>11</v>
      </c>
    </row>
    <row r="1644" spans="1:8" x14ac:dyDescent="0.35">
      <c r="A1644" t="s">
        <v>37</v>
      </c>
      <c r="B1644" t="s">
        <v>78</v>
      </c>
      <c r="C1644" t="s">
        <v>2369</v>
      </c>
      <c r="D1644">
        <v>1</v>
      </c>
      <c r="E1644">
        <v>6</v>
      </c>
      <c r="F1644" t="s">
        <v>75</v>
      </c>
      <c r="G1644" t="s">
        <v>11</v>
      </c>
      <c r="H1644" t="s">
        <v>11</v>
      </c>
    </row>
    <row r="1645" spans="1:8" x14ac:dyDescent="0.35">
      <c r="A1645" t="s">
        <v>37</v>
      </c>
      <c r="B1645" t="s">
        <v>78</v>
      </c>
      <c r="C1645" t="s">
        <v>2370</v>
      </c>
      <c r="D1645">
        <v>1</v>
      </c>
      <c r="E1645">
        <v>6</v>
      </c>
      <c r="F1645" t="s">
        <v>75</v>
      </c>
      <c r="G1645" t="s">
        <v>11</v>
      </c>
      <c r="H1645" t="s">
        <v>11</v>
      </c>
    </row>
    <row r="1646" spans="1:8" x14ac:dyDescent="0.35">
      <c r="A1646" t="s">
        <v>37</v>
      </c>
      <c r="B1646" t="s">
        <v>78</v>
      </c>
      <c r="C1646" t="s">
        <v>1993</v>
      </c>
      <c r="D1646">
        <v>1</v>
      </c>
      <c r="E1646">
        <v>6</v>
      </c>
      <c r="F1646" t="s">
        <v>75</v>
      </c>
      <c r="G1646" t="s">
        <v>11</v>
      </c>
      <c r="H1646" t="s">
        <v>11</v>
      </c>
    </row>
    <row r="1647" spans="1:8" x14ac:dyDescent="0.35">
      <c r="A1647" t="s">
        <v>37</v>
      </c>
      <c r="B1647" t="s">
        <v>78</v>
      </c>
      <c r="C1647" t="s">
        <v>2371</v>
      </c>
      <c r="D1647">
        <v>1</v>
      </c>
      <c r="E1647">
        <v>6</v>
      </c>
      <c r="F1647" t="s">
        <v>75</v>
      </c>
      <c r="G1647" t="s">
        <v>11</v>
      </c>
      <c r="H1647" t="s">
        <v>11</v>
      </c>
    </row>
    <row r="1648" spans="1:8" x14ac:dyDescent="0.35">
      <c r="A1648" t="s">
        <v>37</v>
      </c>
      <c r="B1648" t="s">
        <v>78</v>
      </c>
      <c r="C1648" t="s">
        <v>2372</v>
      </c>
      <c r="D1648">
        <v>1</v>
      </c>
      <c r="E1648">
        <v>6</v>
      </c>
      <c r="F1648" t="s">
        <v>75</v>
      </c>
      <c r="G1648" t="s">
        <v>11</v>
      </c>
      <c r="H1648" t="s">
        <v>11</v>
      </c>
    </row>
    <row r="1649" spans="1:8" x14ac:dyDescent="0.35">
      <c r="A1649" t="s">
        <v>37</v>
      </c>
      <c r="B1649" t="s">
        <v>78</v>
      </c>
      <c r="C1649" t="s">
        <v>2373</v>
      </c>
      <c r="D1649">
        <v>2</v>
      </c>
      <c r="E1649">
        <v>6</v>
      </c>
      <c r="F1649" t="s">
        <v>75</v>
      </c>
      <c r="G1649" t="s">
        <v>11</v>
      </c>
      <c r="H1649" t="s">
        <v>11</v>
      </c>
    </row>
    <row r="1650" spans="1:8" x14ac:dyDescent="0.35">
      <c r="A1650" t="s">
        <v>37</v>
      </c>
      <c r="B1650" t="s">
        <v>78</v>
      </c>
      <c r="C1650" t="s">
        <v>1797</v>
      </c>
      <c r="D1650">
        <v>1</v>
      </c>
      <c r="E1650">
        <v>6</v>
      </c>
      <c r="F1650" t="s">
        <v>75</v>
      </c>
      <c r="G1650" t="s">
        <v>11</v>
      </c>
      <c r="H1650" t="s">
        <v>11</v>
      </c>
    </row>
    <row r="1651" spans="1:8" x14ac:dyDescent="0.35">
      <c r="A1651" t="s">
        <v>37</v>
      </c>
      <c r="B1651" t="s">
        <v>78</v>
      </c>
      <c r="C1651" t="s">
        <v>2374</v>
      </c>
      <c r="D1651">
        <v>1</v>
      </c>
      <c r="E1651">
        <v>6</v>
      </c>
      <c r="F1651" t="s">
        <v>75</v>
      </c>
      <c r="G1651" t="s">
        <v>11</v>
      </c>
      <c r="H1651" t="s">
        <v>11</v>
      </c>
    </row>
    <row r="1652" spans="1:8" x14ac:dyDescent="0.35">
      <c r="A1652" t="s">
        <v>37</v>
      </c>
      <c r="B1652" t="s">
        <v>78</v>
      </c>
      <c r="C1652" t="s">
        <v>2375</v>
      </c>
      <c r="D1652">
        <v>2</v>
      </c>
      <c r="E1652">
        <v>6</v>
      </c>
      <c r="F1652" t="s">
        <v>75</v>
      </c>
      <c r="G1652" t="s">
        <v>11</v>
      </c>
      <c r="H1652" t="s">
        <v>11</v>
      </c>
    </row>
    <row r="1653" spans="1:8" x14ac:dyDescent="0.35">
      <c r="A1653" t="s">
        <v>37</v>
      </c>
      <c r="B1653" t="s">
        <v>78</v>
      </c>
      <c r="C1653" t="s">
        <v>1799</v>
      </c>
      <c r="D1653">
        <v>1</v>
      </c>
      <c r="E1653">
        <v>6</v>
      </c>
      <c r="F1653" t="s">
        <v>75</v>
      </c>
      <c r="G1653" t="s">
        <v>11</v>
      </c>
      <c r="H1653" t="s">
        <v>11</v>
      </c>
    </row>
    <row r="1654" spans="1:8" x14ac:dyDescent="0.35">
      <c r="A1654" t="s">
        <v>37</v>
      </c>
      <c r="B1654" t="s">
        <v>78</v>
      </c>
      <c r="C1654" t="s">
        <v>2376</v>
      </c>
      <c r="D1654">
        <v>2</v>
      </c>
      <c r="E1654">
        <v>6</v>
      </c>
      <c r="F1654" t="s">
        <v>75</v>
      </c>
      <c r="G1654" t="s">
        <v>11</v>
      </c>
      <c r="H1654" t="s">
        <v>11</v>
      </c>
    </row>
    <row r="1655" spans="1:8" x14ac:dyDescent="0.35">
      <c r="A1655" t="s">
        <v>37</v>
      </c>
      <c r="B1655" t="s">
        <v>78</v>
      </c>
      <c r="C1655" t="s">
        <v>2377</v>
      </c>
      <c r="D1655">
        <v>1</v>
      </c>
      <c r="E1655">
        <v>6</v>
      </c>
      <c r="F1655" t="s">
        <v>75</v>
      </c>
      <c r="G1655" t="s">
        <v>11</v>
      </c>
      <c r="H1655" t="s">
        <v>11</v>
      </c>
    </row>
    <row r="1656" spans="1:8" x14ac:dyDescent="0.35">
      <c r="A1656" t="s">
        <v>37</v>
      </c>
      <c r="B1656" t="s">
        <v>78</v>
      </c>
      <c r="C1656" t="s">
        <v>2378</v>
      </c>
      <c r="D1656">
        <v>2</v>
      </c>
      <c r="E1656">
        <v>6</v>
      </c>
      <c r="F1656" t="s">
        <v>75</v>
      </c>
      <c r="G1656" t="s">
        <v>11</v>
      </c>
      <c r="H1656" t="s">
        <v>11</v>
      </c>
    </row>
    <row r="1657" spans="1:8" x14ac:dyDescent="0.35">
      <c r="A1657" t="s">
        <v>41</v>
      </c>
      <c r="B1657" t="s">
        <v>95</v>
      </c>
      <c r="C1657" t="s">
        <v>1537</v>
      </c>
      <c r="D1657">
        <v>1</v>
      </c>
      <c r="E1657">
        <v>5</v>
      </c>
      <c r="F1657" t="s">
        <v>7</v>
      </c>
      <c r="G1657" t="s">
        <v>11</v>
      </c>
      <c r="H1657" t="s">
        <v>11</v>
      </c>
    </row>
    <row r="1658" spans="1:8" x14ac:dyDescent="0.35">
      <c r="A1658" t="s">
        <v>41</v>
      </c>
      <c r="B1658" t="s">
        <v>95</v>
      </c>
      <c r="C1658" t="s">
        <v>2379</v>
      </c>
      <c r="D1658">
        <v>2</v>
      </c>
      <c r="E1658">
        <v>5</v>
      </c>
      <c r="F1658" t="s">
        <v>7</v>
      </c>
      <c r="G1658" t="s">
        <v>11</v>
      </c>
      <c r="H1658" t="s">
        <v>11</v>
      </c>
    </row>
    <row r="1659" spans="1:8" x14ac:dyDescent="0.35">
      <c r="A1659" t="s">
        <v>41</v>
      </c>
      <c r="B1659" t="s">
        <v>95</v>
      </c>
      <c r="C1659" t="s">
        <v>2380</v>
      </c>
      <c r="D1659">
        <v>3</v>
      </c>
      <c r="E1659">
        <v>5</v>
      </c>
      <c r="F1659" t="s">
        <v>7</v>
      </c>
      <c r="G1659" t="s">
        <v>11</v>
      </c>
      <c r="H1659" t="s">
        <v>11</v>
      </c>
    </row>
    <row r="1660" spans="1:8" x14ac:dyDescent="0.35">
      <c r="A1660" t="s">
        <v>41</v>
      </c>
      <c r="B1660" t="s">
        <v>95</v>
      </c>
      <c r="C1660" t="s">
        <v>2381</v>
      </c>
      <c r="D1660">
        <v>2</v>
      </c>
      <c r="E1660">
        <v>5</v>
      </c>
      <c r="F1660" t="s">
        <v>7</v>
      </c>
      <c r="G1660" t="s">
        <v>11</v>
      </c>
      <c r="H1660" t="s">
        <v>11</v>
      </c>
    </row>
    <row r="1661" spans="1:8" x14ac:dyDescent="0.35">
      <c r="A1661" t="s">
        <v>41</v>
      </c>
      <c r="B1661" t="s">
        <v>95</v>
      </c>
      <c r="C1661" t="s">
        <v>1772</v>
      </c>
      <c r="D1661">
        <v>3</v>
      </c>
      <c r="E1661">
        <v>5</v>
      </c>
      <c r="F1661" t="s">
        <v>7</v>
      </c>
      <c r="G1661" t="s">
        <v>11</v>
      </c>
      <c r="H1661" t="s">
        <v>11</v>
      </c>
    </row>
    <row r="1662" spans="1:8" x14ac:dyDescent="0.35">
      <c r="A1662" t="s">
        <v>41</v>
      </c>
      <c r="B1662" t="s">
        <v>95</v>
      </c>
      <c r="C1662" t="s">
        <v>1428</v>
      </c>
      <c r="D1662">
        <v>1</v>
      </c>
      <c r="E1662">
        <v>5</v>
      </c>
      <c r="F1662" t="s">
        <v>7</v>
      </c>
      <c r="G1662" t="s">
        <v>11</v>
      </c>
      <c r="H1662" t="s">
        <v>11</v>
      </c>
    </row>
    <row r="1663" spans="1:8" x14ac:dyDescent="0.35">
      <c r="A1663" t="s">
        <v>41</v>
      </c>
      <c r="B1663" t="s">
        <v>95</v>
      </c>
      <c r="C1663" t="s">
        <v>2382</v>
      </c>
      <c r="D1663">
        <v>2</v>
      </c>
      <c r="E1663">
        <v>5</v>
      </c>
      <c r="F1663" t="s">
        <v>7</v>
      </c>
      <c r="G1663" t="s">
        <v>11</v>
      </c>
      <c r="H1663" t="s">
        <v>11</v>
      </c>
    </row>
    <row r="1664" spans="1:8" x14ac:dyDescent="0.35">
      <c r="A1664" t="s">
        <v>41</v>
      </c>
      <c r="B1664" t="s">
        <v>95</v>
      </c>
      <c r="C1664" t="s">
        <v>2011</v>
      </c>
      <c r="D1664">
        <v>1</v>
      </c>
      <c r="E1664">
        <v>5</v>
      </c>
      <c r="F1664" t="s">
        <v>7</v>
      </c>
      <c r="G1664" t="s">
        <v>11</v>
      </c>
      <c r="H1664" t="s">
        <v>11</v>
      </c>
    </row>
    <row r="1665" spans="1:8" x14ac:dyDescent="0.35">
      <c r="A1665" t="s">
        <v>41</v>
      </c>
      <c r="B1665" t="s">
        <v>95</v>
      </c>
      <c r="C1665" t="s">
        <v>1802</v>
      </c>
      <c r="D1665">
        <v>3</v>
      </c>
      <c r="E1665">
        <v>5</v>
      </c>
      <c r="F1665" t="s">
        <v>7</v>
      </c>
      <c r="G1665" t="s">
        <v>11</v>
      </c>
      <c r="H1665" t="s">
        <v>11</v>
      </c>
    </row>
    <row r="1666" spans="1:8" x14ac:dyDescent="0.35">
      <c r="A1666" t="s">
        <v>41</v>
      </c>
      <c r="B1666" t="s">
        <v>95</v>
      </c>
      <c r="C1666" t="s">
        <v>2383</v>
      </c>
      <c r="D1666">
        <v>2</v>
      </c>
      <c r="E1666">
        <v>5</v>
      </c>
      <c r="F1666" t="s">
        <v>7</v>
      </c>
      <c r="G1666" t="s">
        <v>11</v>
      </c>
      <c r="H1666" t="s">
        <v>11</v>
      </c>
    </row>
    <row r="1667" spans="1:8" x14ac:dyDescent="0.35">
      <c r="A1667" t="s">
        <v>41</v>
      </c>
      <c r="B1667" t="s">
        <v>95</v>
      </c>
      <c r="C1667" t="s">
        <v>2384</v>
      </c>
      <c r="D1667">
        <v>1</v>
      </c>
      <c r="E1667">
        <v>5</v>
      </c>
      <c r="F1667" t="s">
        <v>7</v>
      </c>
      <c r="G1667" t="s">
        <v>11</v>
      </c>
      <c r="H1667" t="s">
        <v>11</v>
      </c>
    </row>
    <row r="1668" spans="1:8" x14ac:dyDescent="0.35">
      <c r="A1668" t="s">
        <v>41</v>
      </c>
      <c r="B1668" t="s">
        <v>95</v>
      </c>
      <c r="C1668" t="s">
        <v>1318</v>
      </c>
      <c r="D1668">
        <v>1</v>
      </c>
      <c r="E1668">
        <v>5</v>
      </c>
      <c r="F1668" t="s">
        <v>7</v>
      </c>
      <c r="G1668" t="s">
        <v>11</v>
      </c>
      <c r="H1668" t="s">
        <v>11</v>
      </c>
    </row>
    <row r="1669" spans="1:8" x14ac:dyDescent="0.35">
      <c r="A1669" t="s">
        <v>41</v>
      </c>
      <c r="B1669" t="s">
        <v>95</v>
      </c>
      <c r="C1669" t="s">
        <v>1804</v>
      </c>
      <c r="D1669">
        <v>1</v>
      </c>
      <c r="E1669">
        <v>5</v>
      </c>
      <c r="F1669" t="s">
        <v>7</v>
      </c>
      <c r="G1669" t="s">
        <v>11</v>
      </c>
      <c r="H1669" t="s">
        <v>11</v>
      </c>
    </row>
    <row r="1670" spans="1:8" x14ac:dyDescent="0.35">
      <c r="A1670" t="s">
        <v>41</v>
      </c>
      <c r="B1670" t="s">
        <v>95</v>
      </c>
      <c r="C1670" t="s">
        <v>1903</v>
      </c>
      <c r="D1670">
        <v>1</v>
      </c>
      <c r="E1670">
        <v>5</v>
      </c>
      <c r="F1670" t="s">
        <v>7</v>
      </c>
      <c r="G1670" t="s">
        <v>11</v>
      </c>
      <c r="H1670" t="s">
        <v>11</v>
      </c>
    </row>
    <row r="1671" spans="1:8" x14ac:dyDescent="0.35">
      <c r="A1671" t="s">
        <v>41</v>
      </c>
      <c r="B1671" t="s">
        <v>95</v>
      </c>
      <c r="C1671" t="s">
        <v>1945</v>
      </c>
      <c r="D1671">
        <v>2</v>
      </c>
      <c r="E1671">
        <v>5</v>
      </c>
      <c r="F1671" t="s">
        <v>7</v>
      </c>
      <c r="G1671" t="s">
        <v>11</v>
      </c>
      <c r="H1671" t="s">
        <v>11</v>
      </c>
    </row>
    <row r="1672" spans="1:8" x14ac:dyDescent="0.35">
      <c r="A1672" t="s">
        <v>41</v>
      </c>
      <c r="B1672" t="s">
        <v>95</v>
      </c>
      <c r="C1672" t="s">
        <v>2385</v>
      </c>
      <c r="D1672">
        <v>3</v>
      </c>
      <c r="E1672">
        <v>5</v>
      </c>
      <c r="F1672" t="s">
        <v>7</v>
      </c>
      <c r="G1672" t="s">
        <v>11</v>
      </c>
      <c r="H1672" t="s">
        <v>11</v>
      </c>
    </row>
    <row r="1673" spans="1:8" x14ac:dyDescent="0.35">
      <c r="A1673" t="s">
        <v>41</v>
      </c>
      <c r="B1673" t="s">
        <v>95</v>
      </c>
      <c r="C1673" t="s">
        <v>1546</v>
      </c>
      <c r="D1673">
        <v>2</v>
      </c>
      <c r="E1673">
        <v>5</v>
      </c>
      <c r="F1673" t="s">
        <v>7</v>
      </c>
      <c r="G1673" t="s">
        <v>11</v>
      </c>
      <c r="H1673" t="s">
        <v>11</v>
      </c>
    </row>
    <row r="1674" spans="1:8" x14ac:dyDescent="0.35">
      <c r="A1674" t="s">
        <v>41</v>
      </c>
      <c r="B1674" t="s">
        <v>95</v>
      </c>
      <c r="C1674" t="s">
        <v>1325</v>
      </c>
      <c r="D1674">
        <v>1</v>
      </c>
      <c r="E1674">
        <v>5</v>
      </c>
      <c r="F1674" t="s">
        <v>7</v>
      </c>
      <c r="G1674" t="s">
        <v>11</v>
      </c>
      <c r="H1674" t="s">
        <v>11</v>
      </c>
    </row>
    <row r="1675" spans="1:8" x14ac:dyDescent="0.35">
      <c r="A1675" t="s">
        <v>41</v>
      </c>
      <c r="B1675" t="s">
        <v>95</v>
      </c>
      <c r="C1675" t="s">
        <v>2386</v>
      </c>
      <c r="D1675">
        <v>1</v>
      </c>
      <c r="E1675">
        <v>5</v>
      </c>
      <c r="F1675" t="s">
        <v>7</v>
      </c>
      <c r="G1675" t="s">
        <v>11</v>
      </c>
      <c r="H1675" t="s">
        <v>11</v>
      </c>
    </row>
    <row r="1676" spans="1:8" x14ac:dyDescent="0.35">
      <c r="A1676" t="s">
        <v>41</v>
      </c>
      <c r="B1676" t="s">
        <v>95</v>
      </c>
      <c r="C1676" t="s">
        <v>2387</v>
      </c>
      <c r="D1676">
        <v>1</v>
      </c>
      <c r="E1676">
        <v>5</v>
      </c>
      <c r="F1676" t="s">
        <v>7</v>
      </c>
      <c r="G1676" t="s">
        <v>11</v>
      </c>
      <c r="H1676" t="s">
        <v>11</v>
      </c>
    </row>
    <row r="1677" spans="1:8" x14ac:dyDescent="0.35">
      <c r="A1677" t="s">
        <v>41</v>
      </c>
      <c r="B1677" t="s">
        <v>95</v>
      </c>
      <c r="C1677" t="s">
        <v>1551</v>
      </c>
      <c r="D1677">
        <v>2</v>
      </c>
      <c r="E1677">
        <v>5</v>
      </c>
      <c r="F1677" t="s">
        <v>7</v>
      </c>
      <c r="G1677" t="s">
        <v>11</v>
      </c>
      <c r="H1677" t="s">
        <v>11</v>
      </c>
    </row>
    <row r="1678" spans="1:8" x14ac:dyDescent="0.35">
      <c r="A1678" t="s">
        <v>41</v>
      </c>
      <c r="B1678" t="s">
        <v>95</v>
      </c>
      <c r="C1678" t="s">
        <v>2219</v>
      </c>
      <c r="D1678">
        <v>1</v>
      </c>
      <c r="E1678">
        <v>5</v>
      </c>
      <c r="F1678" t="s">
        <v>7</v>
      </c>
      <c r="G1678" t="s">
        <v>11</v>
      </c>
      <c r="H1678" t="s">
        <v>11</v>
      </c>
    </row>
    <row r="1679" spans="1:8" x14ac:dyDescent="0.35">
      <c r="A1679" t="s">
        <v>41</v>
      </c>
      <c r="B1679" t="s">
        <v>95</v>
      </c>
      <c r="C1679" t="s">
        <v>2388</v>
      </c>
      <c r="D1679">
        <v>2</v>
      </c>
      <c r="E1679">
        <v>5</v>
      </c>
      <c r="F1679" t="s">
        <v>7</v>
      </c>
      <c r="G1679" t="s">
        <v>11</v>
      </c>
      <c r="H1679" t="s">
        <v>11</v>
      </c>
    </row>
    <row r="1680" spans="1:8" x14ac:dyDescent="0.35">
      <c r="A1680" t="s">
        <v>41</v>
      </c>
      <c r="B1680" t="s">
        <v>95</v>
      </c>
      <c r="C1680" t="s">
        <v>1683</v>
      </c>
      <c r="D1680">
        <v>2</v>
      </c>
      <c r="E1680">
        <v>5</v>
      </c>
      <c r="F1680" t="s">
        <v>7</v>
      </c>
      <c r="G1680" t="s">
        <v>11</v>
      </c>
      <c r="H1680" t="s">
        <v>11</v>
      </c>
    </row>
    <row r="1681" spans="1:8" x14ac:dyDescent="0.35">
      <c r="A1681" t="s">
        <v>41</v>
      </c>
      <c r="B1681" t="s">
        <v>95</v>
      </c>
      <c r="C1681" t="s">
        <v>2389</v>
      </c>
      <c r="D1681">
        <v>2</v>
      </c>
      <c r="E1681">
        <v>5</v>
      </c>
      <c r="F1681" t="s">
        <v>7</v>
      </c>
      <c r="G1681" t="s">
        <v>11</v>
      </c>
      <c r="H1681" t="s">
        <v>11</v>
      </c>
    </row>
    <row r="1682" spans="1:8" x14ac:dyDescent="0.35">
      <c r="A1682" t="s">
        <v>41</v>
      </c>
      <c r="B1682" t="s">
        <v>95</v>
      </c>
      <c r="C1682" t="s">
        <v>2390</v>
      </c>
      <c r="D1682">
        <v>1</v>
      </c>
      <c r="E1682">
        <v>5</v>
      </c>
      <c r="F1682" t="s">
        <v>7</v>
      </c>
      <c r="G1682" t="s">
        <v>11</v>
      </c>
      <c r="H1682" t="s">
        <v>11</v>
      </c>
    </row>
    <row r="1683" spans="1:8" x14ac:dyDescent="0.35">
      <c r="A1683" t="s">
        <v>41</v>
      </c>
      <c r="B1683" t="s">
        <v>95</v>
      </c>
      <c r="C1683" t="s">
        <v>1686</v>
      </c>
      <c r="D1683">
        <v>1</v>
      </c>
      <c r="E1683">
        <v>5</v>
      </c>
      <c r="F1683" t="s">
        <v>7</v>
      </c>
      <c r="G1683" t="s">
        <v>11</v>
      </c>
      <c r="H1683" t="s">
        <v>11</v>
      </c>
    </row>
    <row r="1684" spans="1:8" x14ac:dyDescent="0.35">
      <c r="A1684" t="s">
        <v>41</v>
      </c>
      <c r="B1684" t="s">
        <v>95</v>
      </c>
      <c r="C1684" t="s">
        <v>1555</v>
      </c>
      <c r="D1684">
        <v>1</v>
      </c>
      <c r="E1684">
        <v>5</v>
      </c>
      <c r="F1684" t="s">
        <v>7</v>
      </c>
      <c r="G1684" t="s">
        <v>11</v>
      </c>
      <c r="H1684" t="s">
        <v>11</v>
      </c>
    </row>
    <row r="1685" spans="1:8" x14ac:dyDescent="0.35">
      <c r="A1685" t="s">
        <v>41</v>
      </c>
      <c r="B1685" t="s">
        <v>95</v>
      </c>
      <c r="C1685" t="s">
        <v>2391</v>
      </c>
      <c r="D1685">
        <v>2</v>
      </c>
      <c r="E1685">
        <v>5</v>
      </c>
      <c r="F1685" t="s">
        <v>7</v>
      </c>
      <c r="G1685" t="s">
        <v>11</v>
      </c>
      <c r="H1685" t="s">
        <v>11</v>
      </c>
    </row>
    <row r="1686" spans="1:8" x14ac:dyDescent="0.35">
      <c r="A1686" t="s">
        <v>41</v>
      </c>
      <c r="B1686" t="s">
        <v>95</v>
      </c>
      <c r="C1686" t="s">
        <v>2221</v>
      </c>
      <c r="D1686">
        <v>1</v>
      </c>
      <c r="E1686">
        <v>5</v>
      </c>
      <c r="F1686" t="s">
        <v>7</v>
      </c>
      <c r="G1686" t="s">
        <v>11</v>
      </c>
      <c r="H1686" t="s">
        <v>11</v>
      </c>
    </row>
    <row r="1687" spans="1:8" x14ac:dyDescent="0.35">
      <c r="A1687" t="s">
        <v>41</v>
      </c>
      <c r="B1687" t="s">
        <v>95</v>
      </c>
      <c r="C1687" t="s">
        <v>1341</v>
      </c>
      <c r="D1687">
        <v>1</v>
      </c>
      <c r="E1687">
        <v>5</v>
      </c>
      <c r="F1687" t="s">
        <v>7</v>
      </c>
      <c r="G1687" t="s">
        <v>11</v>
      </c>
      <c r="H1687" t="s">
        <v>11</v>
      </c>
    </row>
    <row r="1688" spans="1:8" x14ac:dyDescent="0.35">
      <c r="A1688" t="s">
        <v>41</v>
      </c>
      <c r="B1688" t="s">
        <v>95</v>
      </c>
      <c r="C1688" t="s">
        <v>2392</v>
      </c>
      <c r="D1688">
        <v>1</v>
      </c>
      <c r="E1688">
        <v>5</v>
      </c>
      <c r="F1688" t="s">
        <v>7</v>
      </c>
      <c r="G1688" t="s">
        <v>11</v>
      </c>
      <c r="H1688" t="s">
        <v>11</v>
      </c>
    </row>
    <row r="1689" spans="1:8" x14ac:dyDescent="0.35">
      <c r="A1689" t="s">
        <v>41</v>
      </c>
      <c r="B1689" t="s">
        <v>95</v>
      </c>
      <c r="C1689" t="s">
        <v>2393</v>
      </c>
      <c r="D1689">
        <v>1</v>
      </c>
      <c r="E1689">
        <v>5</v>
      </c>
      <c r="F1689" t="s">
        <v>7</v>
      </c>
      <c r="G1689" t="s">
        <v>11</v>
      </c>
      <c r="H1689" t="s">
        <v>11</v>
      </c>
    </row>
    <row r="1690" spans="1:8" x14ac:dyDescent="0.35">
      <c r="A1690" t="s">
        <v>41</v>
      </c>
      <c r="B1690" t="s">
        <v>95</v>
      </c>
      <c r="C1690" t="s">
        <v>2394</v>
      </c>
      <c r="D1690">
        <v>1</v>
      </c>
      <c r="E1690">
        <v>5</v>
      </c>
      <c r="F1690" t="s">
        <v>7</v>
      </c>
      <c r="G1690" t="s">
        <v>11</v>
      </c>
      <c r="H1690" t="s">
        <v>11</v>
      </c>
    </row>
    <row r="1691" spans="1:8" x14ac:dyDescent="0.35">
      <c r="A1691" t="s">
        <v>41</v>
      </c>
      <c r="B1691" t="s">
        <v>95</v>
      </c>
      <c r="C1691" t="s">
        <v>2395</v>
      </c>
      <c r="D1691">
        <v>3</v>
      </c>
      <c r="E1691">
        <v>5</v>
      </c>
      <c r="F1691" t="s">
        <v>7</v>
      </c>
      <c r="G1691" t="s">
        <v>11</v>
      </c>
      <c r="H1691" t="s">
        <v>11</v>
      </c>
    </row>
    <row r="1692" spans="1:8" x14ac:dyDescent="0.35">
      <c r="A1692" t="s">
        <v>41</v>
      </c>
      <c r="B1692" t="s">
        <v>95</v>
      </c>
      <c r="C1692" t="s">
        <v>1560</v>
      </c>
      <c r="D1692">
        <v>3</v>
      </c>
      <c r="E1692">
        <v>5</v>
      </c>
      <c r="F1692" t="s">
        <v>7</v>
      </c>
      <c r="G1692" t="s">
        <v>11</v>
      </c>
      <c r="H1692" t="s">
        <v>11</v>
      </c>
    </row>
    <row r="1693" spans="1:8" x14ac:dyDescent="0.35">
      <c r="A1693" t="s">
        <v>41</v>
      </c>
      <c r="B1693" t="s">
        <v>95</v>
      </c>
      <c r="C1693" t="s">
        <v>2396</v>
      </c>
      <c r="D1693">
        <v>1</v>
      </c>
      <c r="E1693">
        <v>5</v>
      </c>
      <c r="F1693" t="s">
        <v>7</v>
      </c>
      <c r="G1693" t="s">
        <v>11</v>
      </c>
      <c r="H1693" t="s">
        <v>11</v>
      </c>
    </row>
    <row r="1694" spans="1:8" x14ac:dyDescent="0.35">
      <c r="A1694" t="s">
        <v>41</v>
      </c>
      <c r="B1694" t="s">
        <v>95</v>
      </c>
      <c r="C1694" t="s">
        <v>1445</v>
      </c>
      <c r="D1694">
        <v>3</v>
      </c>
      <c r="E1694">
        <v>5</v>
      </c>
      <c r="F1694" t="s">
        <v>7</v>
      </c>
      <c r="G1694" t="s">
        <v>11</v>
      </c>
      <c r="H1694" t="s">
        <v>11</v>
      </c>
    </row>
    <row r="1695" spans="1:8" x14ac:dyDescent="0.35">
      <c r="A1695" t="s">
        <v>41</v>
      </c>
      <c r="B1695" t="s">
        <v>95</v>
      </c>
      <c r="C1695" t="s">
        <v>1959</v>
      </c>
      <c r="D1695">
        <v>1</v>
      </c>
      <c r="E1695">
        <v>5</v>
      </c>
      <c r="F1695" t="s">
        <v>7</v>
      </c>
      <c r="G1695" t="s">
        <v>11</v>
      </c>
      <c r="H1695" t="s">
        <v>11</v>
      </c>
    </row>
    <row r="1696" spans="1:8" x14ac:dyDescent="0.35">
      <c r="A1696" t="s">
        <v>41</v>
      </c>
      <c r="B1696" t="s">
        <v>95</v>
      </c>
      <c r="C1696" t="s">
        <v>1704</v>
      </c>
      <c r="D1696">
        <v>2</v>
      </c>
      <c r="E1696">
        <v>5</v>
      </c>
      <c r="F1696" t="s">
        <v>7</v>
      </c>
      <c r="G1696" t="s">
        <v>11</v>
      </c>
      <c r="H1696" t="s">
        <v>11</v>
      </c>
    </row>
    <row r="1697" spans="1:8" x14ac:dyDescent="0.35">
      <c r="A1697" t="s">
        <v>41</v>
      </c>
      <c r="B1697" t="s">
        <v>95</v>
      </c>
      <c r="C1697" t="s">
        <v>1621</v>
      </c>
      <c r="D1697">
        <v>1</v>
      </c>
      <c r="E1697">
        <v>5</v>
      </c>
      <c r="F1697" t="s">
        <v>7</v>
      </c>
      <c r="G1697" t="s">
        <v>11</v>
      </c>
      <c r="H1697" t="s">
        <v>11</v>
      </c>
    </row>
    <row r="1698" spans="1:8" x14ac:dyDescent="0.35">
      <c r="A1698" t="s">
        <v>41</v>
      </c>
      <c r="B1698" t="s">
        <v>95</v>
      </c>
      <c r="C1698" t="s">
        <v>2032</v>
      </c>
      <c r="D1698">
        <v>1</v>
      </c>
      <c r="E1698">
        <v>5</v>
      </c>
      <c r="F1698" t="s">
        <v>7</v>
      </c>
      <c r="G1698" t="s">
        <v>11</v>
      </c>
      <c r="H1698" t="s">
        <v>11</v>
      </c>
    </row>
    <row r="1699" spans="1:8" x14ac:dyDescent="0.35">
      <c r="A1699" t="s">
        <v>41</v>
      </c>
      <c r="B1699" t="s">
        <v>95</v>
      </c>
      <c r="C1699" t="s">
        <v>2397</v>
      </c>
      <c r="D1699">
        <v>1</v>
      </c>
      <c r="E1699">
        <v>5</v>
      </c>
      <c r="F1699" t="s">
        <v>7</v>
      </c>
      <c r="G1699" t="s">
        <v>11</v>
      </c>
      <c r="H1699" t="s">
        <v>11</v>
      </c>
    </row>
    <row r="1700" spans="1:8" x14ac:dyDescent="0.35">
      <c r="A1700" t="s">
        <v>41</v>
      </c>
      <c r="B1700" t="s">
        <v>95</v>
      </c>
      <c r="C1700" t="s">
        <v>2398</v>
      </c>
      <c r="D1700">
        <v>1</v>
      </c>
      <c r="E1700">
        <v>5</v>
      </c>
      <c r="F1700" t="s">
        <v>7</v>
      </c>
      <c r="G1700" t="s">
        <v>11</v>
      </c>
      <c r="H1700" t="s">
        <v>11</v>
      </c>
    </row>
    <row r="1701" spans="1:8" x14ac:dyDescent="0.35">
      <c r="A1701" t="s">
        <v>41</v>
      </c>
      <c r="B1701" t="s">
        <v>95</v>
      </c>
      <c r="C1701" t="s">
        <v>2318</v>
      </c>
      <c r="D1701">
        <v>3</v>
      </c>
      <c r="E1701">
        <v>5</v>
      </c>
      <c r="F1701" t="s">
        <v>7</v>
      </c>
      <c r="G1701" t="s">
        <v>11</v>
      </c>
      <c r="H1701" t="s">
        <v>11</v>
      </c>
    </row>
    <row r="1702" spans="1:8" x14ac:dyDescent="0.35">
      <c r="A1702" t="s">
        <v>41</v>
      </c>
      <c r="B1702" t="s">
        <v>95</v>
      </c>
      <c r="C1702" t="s">
        <v>2399</v>
      </c>
      <c r="D1702">
        <v>3</v>
      </c>
      <c r="E1702">
        <v>5</v>
      </c>
      <c r="F1702" t="s">
        <v>7</v>
      </c>
      <c r="G1702" t="s">
        <v>11</v>
      </c>
      <c r="H1702" t="s">
        <v>11</v>
      </c>
    </row>
    <row r="1703" spans="1:8" x14ac:dyDescent="0.35">
      <c r="A1703" t="s">
        <v>41</v>
      </c>
      <c r="B1703" t="s">
        <v>95</v>
      </c>
      <c r="C1703" t="s">
        <v>1448</v>
      </c>
      <c r="D1703">
        <v>2</v>
      </c>
      <c r="E1703">
        <v>5</v>
      </c>
      <c r="F1703" t="s">
        <v>7</v>
      </c>
      <c r="G1703" t="s">
        <v>11</v>
      </c>
      <c r="H1703" t="s">
        <v>11</v>
      </c>
    </row>
    <row r="1704" spans="1:8" x14ac:dyDescent="0.35">
      <c r="A1704" t="s">
        <v>41</v>
      </c>
      <c r="B1704" t="s">
        <v>95</v>
      </c>
      <c r="C1704" t="s">
        <v>1348</v>
      </c>
      <c r="D1704">
        <v>1</v>
      </c>
      <c r="E1704">
        <v>5</v>
      </c>
      <c r="F1704" t="s">
        <v>7</v>
      </c>
      <c r="G1704" t="s">
        <v>11</v>
      </c>
      <c r="H1704" t="s">
        <v>11</v>
      </c>
    </row>
    <row r="1705" spans="1:8" x14ac:dyDescent="0.35">
      <c r="A1705" t="s">
        <v>41</v>
      </c>
      <c r="B1705" t="s">
        <v>95</v>
      </c>
      <c r="C1705" t="s">
        <v>1451</v>
      </c>
      <c r="D1705">
        <v>1</v>
      </c>
      <c r="E1705">
        <v>5</v>
      </c>
      <c r="F1705" t="s">
        <v>7</v>
      </c>
      <c r="G1705" t="s">
        <v>11</v>
      </c>
      <c r="H1705" t="s">
        <v>11</v>
      </c>
    </row>
    <row r="1706" spans="1:8" x14ac:dyDescent="0.35">
      <c r="A1706" t="s">
        <v>41</v>
      </c>
      <c r="B1706" t="s">
        <v>95</v>
      </c>
      <c r="C1706" t="s">
        <v>2400</v>
      </c>
      <c r="D1706">
        <v>1</v>
      </c>
      <c r="E1706">
        <v>5</v>
      </c>
      <c r="F1706" t="s">
        <v>7</v>
      </c>
      <c r="G1706" t="s">
        <v>11</v>
      </c>
      <c r="H1706" t="s">
        <v>11</v>
      </c>
    </row>
    <row r="1707" spans="1:8" x14ac:dyDescent="0.35">
      <c r="A1707" t="s">
        <v>41</v>
      </c>
      <c r="B1707" t="s">
        <v>95</v>
      </c>
      <c r="C1707" t="s">
        <v>2401</v>
      </c>
      <c r="D1707">
        <v>2</v>
      </c>
      <c r="E1707">
        <v>5</v>
      </c>
      <c r="F1707" t="s">
        <v>7</v>
      </c>
      <c r="G1707" t="s">
        <v>11</v>
      </c>
      <c r="H1707" t="s">
        <v>11</v>
      </c>
    </row>
    <row r="1708" spans="1:8" x14ac:dyDescent="0.35">
      <c r="A1708" t="s">
        <v>41</v>
      </c>
      <c r="B1708" t="s">
        <v>95</v>
      </c>
      <c r="C1708" t="s">
        <v>2402</v>
      </c>
      <c r="D1708">
        <v>2</v>
      </c>
      <c r="E1708">
        <v>5</v>
      </c>
      <c r="F1708" t="s">
        <v>7</v>
      </c>
      <c r="G1708" t="s">
        <v>11</v>
      </c>
      <c r="H1708" t="s">
        <v>11</v>
      </c>
    </row>
    <row r="1709" spans="1:8" x14ac:dyDescent="0.35">
      <c r="A1709" t="s">
        <v>41</v>
      </c>
      <c r="B1709" t="s">
        <v>95</v>
      </c>
      <c r="C1709" t="s">
        <v>2403</v>
      </c>
      <c r="D1709">
        <v>2</v>
      </c>
      <c r="E1709">
        <v>5</v>
      </c>
      <c r="F1709" t="s">
        <v>7</v>
      </c>
      <c r="G1709" t="s">
        <v>11</v>
      </c>
      <c r="H1709" t="s">
        <v>11</v>
      </c>
    </row>
    <row r="1710" spans="1:8" x14ac:dyDescent="0.35">
      <c r="A1710" t="s">
        <v>41</v>
      </c>
      <c r="B1710" t="s">
        <v>95</v>
      </c>
      <c r="C1710" t="s">
        <v>1825</v>
      </c>
      <c r="D1710">
        <v>1</v>
      </c>
      <c r="E1710">
        <v>5</v>
      </c>
      <c r="F1710" t="s">
        <v>7</v>
      </c>
      <c r="G1710" t="s">
        <v>11</v>
      </c>
      <c r="H1710" t="s">
        <v>11</v>
      </c>
    </row>
    <row r="1711" spans="1:8" x14ac:dyDescent="0.35">
      <c r="A1711" t="s">
        <v>41</v>
      </c>
      <c r="B1711" t="s">
        <v>95</v>
      </c>
      <c r="C1711" t="s">
        <v>2404</v>
      </c>
      <c r="D1711">
        <v>1</v>
      </c>
      <c r="E1711">
        <v>5</v>
      </c>
      <c r="F1711" t="s">
        <v>7</v>
      </c>
      <c r="G1711" t="s">
        <v>11</v>
      </c>
      <c r="H1711" t="s">
        <v>11</v>
      </c>
    </row>
    <row r="1712" spans="1:8" x14ac:dyDescent="0.35">
      <c r="A1712" t="s">
        <v>41</v>
      </c>
      <c r="B1712" t="s">
        <v>95</v>
      </c>
      <c r="C1712" t="s">
        <v>1453</v>
      </c>
      <c r="D1712">
        <v>3</v>
      </c>
      <c r="E1712">
        <v>5</v>
      </c>
      <c r="F1712" t="s">
        <v>7</v>
      </c>
      <c r="G1712" t="s">
        <v>11</v>
      </c>
      <c r="H1712" t="s">
        <v>11</v>
      </c>
    </row>
    <row r="1713" spans="1:8" x14ac:dyDescent="0.35">
      <c r="A1713" t="s">
        <v>41</v>
      </c>
      <c r="B1713" t="s">
        <v>95</v>
      </c>
      <c r="C1713" t="s">
        <v>1455</v>
      </c>
      <c r="D1713">
        <v>3</v>
      </c>
      <c r="E1713">
        <v>5</v>
      </c>
      <c r="F1713" t="s">
        <v>7</v>
      </c>
      <c r="G1713" t="s">
        <v>11</v>
      </c>
      <c r="H1713" t="s">
        <v>11</v>
      </c>
    </row>
    <row r="1714" spans="1:8" x14ac:dyDescent="0.35">
      <c r="A1714" t="s">
        <v>41</v>
      </c>
      <c r="B1714" t="s">
        <v>95</v>
      </c>
      <c r="C1714" t="s">
        <v>2405</v>
      </c>
      <c r="D1714">
        <v>3</v>
      </c>
      <c r="E1714">
        <v>5</v>
      </c>
      <c r="F1714" t="s">
        <v>7</v>
      </c>
      <c r="G1714" t="s">
        <v>11</v>
      </c>
      <c r="H1714" t="s">
        <v>11</v>
      </c>
    </row>
    <row r="1715" spans="1:8" x14ac:dyDescent="0.35">
      <c r="A1715" t="s">
        <v>41</v>
      </c>
      <c r="B1715" t="s">
        <v>95</v>
      </c>
      <c r="C1715" t="s">
        <v>1356</v>
      </c>
      <c r="D1715">
        <v>1</v>
      </c>
      <c r="E1715">
        <v>5</v>
      </c>
      <c r="F1715" t="s">
        <v>7</v>
      </c>
      <c r="G1715" t="s">
        <v>11</v>
      </c>
      <c r="H1715" t="s">
        <v>11</v>
      </c>
    </row>
    <row r="1716" spans="1:8" x14ac:dyDescent="0.35">
      <c r="A1716" t="s">
        <v>41</v>
      </c>
      <c r="B1716" t="s">
        <v>95</v>
      </c>
      <c r="C1716" t="s">
        <v>1971</v>
      </c>
      <c r="D1716">
        <v>3</v>
      </c>
      <c r="E1716">
        <v>5</v>
      </c>
      <c r="F1716" t="s">
        <v>7</v>
      </c>
      <c r="G1716" t="s">
        <v>11</v>
      </c>
      <c r="H1716" t="s">
        <v>11</v>
      </c>
    </row>
    <row r="1717" spans="1:8" x14ac:dyDescent="0.35">
      <c r="A1717" t="s">
        <v>41</v>
      </c>
      <c r="B1717" t="s">
        <v>95</v>
      </c>
      <c r="C1717" t="s">
        <v>2406</v>
      </c>
      <c r="D1717">
        <v>2</v>
      </c>
      <c r="E1717">
        <v>5</v>
      </c>
      <c r="F1717" t="s">
        <v>7</v>
      </c>
      <c r="G1717" t="s">
        <v>11</v>
      </c>
      <c r="H1717" t="s">
        <v>11</v>
      </c>
    </row>
    <row r="1718" spans="1:8" x14ac:dyDescent="0.35">
      <c r="A1718" t="s">
        <v>41</v>
      </c>
      <c r="B1718" t="s">
        <v>95</v>
      </c>
      <c r="C1718" t="s">
        <v>2407</v>
      </c>
      <c r="D1718">
        <v>2</v>
      </c>
      <c r="E1718">
        <v>5</v>
      </c>
      <c r="F1718" t="s">
        <v>7</v>
      </c>
      <c r="G1718" t="s">
        <v>11</v>
      </c>
      <c r="H1718" t="s">
        <v>11</v>
      </c>
    </row>
    <row r="1719" spans="1:8" x14ac:dyDescent="0.35">
      <c r="A1719" t="s">
        <v>41</v>
      </c>
      <c r="B1719" t="s">
        <v>95</v>
      </c>
      <c r="C1719" t="s">
        <v>2408</v>
      </c>
      <c r="D1719">
        <v>1</v>
      </c>
      <c r="E1719">
        <v>5</v>
      </c>
      <c r="F1719" t="s">
        <v>7</v>
      </c>
      <c r="G1719" t="s">
        <v>11</v>
      </c>
      <c r="H1719" t="s">
        <v>11</v>
      </c>
    </row>
    <row r="1720" spans="1:8" x14ac:dyDescent="0.35">
      <c r="A1720" t="s">
        <v>41</v>
      </c>
      <c r="B1720" t="s">
        <v>95</v>
      </c>
      <c r="C1720" t="s">
        <v>1975</v>
      </c>
      <c r="D1720">
        <v>1</v>
      </c>
      <c r="E1720">
        <v>5</v>
      </c>
      <c r="F1720" t="s">
        <v>7</v>
      </c>
      <c r="G1720" t="s">
        <v>11</v>
      </c>
      <c r="H1720" t="s">
        <v>11</v>
      </c>
    </row>
    <row r="1721" spans="1:8" x14ac:dyDescent="0.35">
      <c r="A1721" t="s">
        <v>41</v>
      </c>
      <c r="B1721" t="s">
        <v>95</v>
      </c>
      <c r="C1721" t="s">
        <v>2409</v>
      </c>
      <c r="D1721">
        <v>1</v>
      </c>
      <c r="E1721">
        <v>5</v>
      </c>
      <c r="F1721" t="s">
        <v>7</v>
      </c>
      <c r="G1721" t="s">
        <v>11</v>
      </c>
      <c r="H1721" t="s">
        <v>11</v>
      </c>
    </row>
    <row r="1722" spans="1:8" x14ac:dyDescent="0.35">
      <c r="A1722" t="s">
        <v>41</v>
      </c>
      <c r="B1722" t="s">
        <v>95</v>
      </c>
      <c r="C1722" t="s">
        <v>2410</v>
      </c>
      <c r="D1722">
        <v>1</v>
      </c>
      <c r="E1722">
        <v>5</v>
      </c>
      <c r="F1722" t="s">
        <v>7</v>
      </c>
      <c r="G1722" t="s">
        <v>11</v>
      </c>
      <c r="H1722" t="s">
        <v>11</v>
      </c>
    </row>
    <row r="1723" spans="1:8" x14ac:dyDescent="0.35">
      <c r="A1723" t="s">
        <v>41</v>
      </c>
      <c r="B1723" t="s">
        <v>95</v>
      </c>
      <c r="C1723" t="s">
        <v>1982</v>
      </c>
      <c r="D1723">
        <v>1</v>
      </c>
      <c r="E1723">
        <v>5</v>
      </c>
      <c r="F1723" t="s">
        <v>7</v>
      </c>
      <c r="G1723" t="s">
        <v>11</v>
      </c>
      <c r="H1723" t="s">
        <v>11</v>
      </c>
    </row>
    <row r="1724" spans="1:8" x14ac:dyDescent="0.35">
      <c r="A1724" t="s">
        <v>41</v>
      </c>
      <c r="B1724" t="s">
        <v>95</v>
      </c>
      <c r="C1724" t="s">
        <v>2411</v>
      </c>
      <c r="D1724">
        <v>2</v>
      </c>
      <c r="E1724">
        <v>5</v>
      </c>
      <c r="F1724" t="s">
        <v>7</v>
      </c>
      <c r="G1724" t="s">
        <v>11</v>
      </c>
      <c r="H1724" t="s">
        <v>11</v>
      </c>
    </row>
    <row r="1725" spans="1:8" x14ac:dyDescent="0.35">
      <c r="A1725" t="s">
        <v>41</v>
      </c>
      <c r="B1725" t="s">
        <v>95</v>
      </c>
      <c r="C1725" t="s">
        <v>2330</v>
      </c>
      <c r="D1725">
        <v>1</v>
      </c>
      <c r="E1725">
        <v>5</v>
      </c>
      <c r="F1725" t="s">
        <v>7</v>
      </c>
      <c r="G1725" t="s">
        <v>11</v>
      </c>
      <c r="H1725" t="s">
        <v>11</v>
      </c>
    </row>
    <row r="1726" spans="1:8" x14ac:dyDescent="0.35">
      <c r="A1726" t="s">
        <v>41</v>
      </c>
      <c r="B1726" t="s">
        <v>95</v>
      </c>
      <c r="C1726" t="s">
        <v>1729</v>
      </c>
      <c r="D1726">
        <v>1</v>
      </c>
      <c r="E1726">
        <v>5</v>
      </c>
      <c r="F1726" t="s">
        <v>7</v>
      </c>
      <c r="G1726" t="s">
        <v>11</v>
      </c>
      <c r="H1726" t="s">
        <v>11</v>
      </c>
    </row>
    <row r="1727" spans="1:8" x14ac:dyDescent="0.35">
      <c r="A1727" t="s">
        <v>41</v>
      </c>
      <c r="B1727" t="s">
        <v>95</v>
      </c>
      <c r="C1727" t="s">
        <v>2331</v>
      </c>
      <c r="D1727">
        <v>1</v>
      </c>
      <c r="E1727">
        <v>5</v>
      </c>
      <c r="F1727" t="s">
        <v>7</v>
      </c>
      <c r="G1727" t="s">
        <v>11</v>
      </c>
      <c r="H1727" t="s">
        <v>11</v>
      </c>
    </row>
    <row r="1728" spans="1:8" x14ac:dyDescent="0.35">
      <c r="A1728" t="s">
        <v>41</v>
      </c>
      <c r="B1728" t="s">
        <v>95</v>
      </c>
      <c r="C1728" t="s">
        <v>1464</v>
      </c>
      <c r="D1728">
        <v>1</v>
      </c>
      <c r="E1728">
        <v>5</v>
      </c>
      <c r="F1728" t="s">
        <v>7</v>
      </c>
      <c r="G1728" t="s">
        <v>11</v>
      </c>
      <c r="H1728" t="s">
        <v>11</v>
      </c>
    </row>
    <row r="1729" spans="1:8" x14ac:dyDescent="0.35">
      <c r="A1729" t="s">
        <v>41</v>
      </c>
      <c r="B1729" t="s">
        <v>95</v>
      </c>
      <c r="C1729" t="s">
        <v>2412</v>
      </c>
      <c r="D1729">
        <v>1</v>
      </c>
      <c r="E1729">
        <v>5</v>
      </c>
      <c r="F1729" t="s">
        <v>7</v>
      </c>
      <c r="G1729" t="s">
        <v>11</v>
      </c>
      <c r="H1729" t="s">
        <v>11</v>
      </c>
    </row>
    <row r="1730" spans="1:8" x14ac:dyDescent="0.35">
      <c r="A1730" t="s">
        <v>41</v>
      </c>
      <c r="B1730" t="s">
        <v>95</v>
      </c>
      <c r="C1730" t="s">
        <v>2413</v>
      </c>
      <c r="D1730">
        <v>1</v>
      </c>
      <c r="E1730">
        <v>5</v>
      </c>
      <c r="F1730" t="s">
        <v>7</v>
      </c>
      <c r="G1730" t="s">
        <v>11</v>
      </c>
      <c r="H1730" t="s">
        <v>11</v>
      </c>
    </row>
    <row r="1731" spans="1:8" x14ac:dyDescent="0.35">
      <c r="A1731" t="s">
        <v>41</v>
      </c>
      <c r="B1731" t="s">
        <v>95</v>
      </c>
      <c r="C1731" t="s">
        <v>2253</v>
      </c>
      <c r="D1731">
        <v>3</v>
      </c>
      <c r="E1731">
        <v>5</v>
      </c>
      <c r="F1731" t="s">
        <v>7</v>
      </c>
      <c r="G1731" t="s">
        <v>11</v>
      </c>
      <c r="H1731" t="s">
        <v>11</v>
      </c>
    </row>
    <row r="1732" spans="1:8" x14ac:dyDescent="0.35">
      <c r="A1732" t="s">
        <v>41</v>
      </c>
      <c r="B1732" t="s">
        <v>95</v>
      </c>
      <c r="C1732" t="s">
        <v>1469</v>
      </c>
      <c r="D1732">
        <v>1</v>
      </c>
      <c r="E1732">
        <v>5</v>
      </c>
      <c r="F1732" t="s">
        <v>7</v>
      </c>
      <c r="G1732" t="s">
        <v>11</v>
      </c>
      <c r="H1732" t="s">
        <v>11</v>
      </c>
    </row>
    <row r="1733" spans="1:8" x14ac:dyDescent="0.35">
      <c r="A1733" t="s">
        <v>41</v>
      </c>
      <c r="B1733" t="s">
        <v>95</v>
      </c>
      <c r="C1733" t="s">
        <v>2414</v>
      </c>
      <c r="D1733">
        <v>1</v>
      </c>
      <c r="E1733">
        <v>5</v>
      </c>
      <c r="F1733" t="s">
        <v>7</v>
      </c>
      <c r="G1733" t="s">
        <v>11</v>
      </c>
      <c r="H1733" t="s">
        <v>11</v>
      </c>
    </row>
    <row r="1734" spans="1:8" x14ac:dyDescent="0.35">
      <c r="A1734" t="s">
        <v>41</v>
      </c>
      <c r="B1734" t="s">
        <v>95</v>
      </c>
      <c r="C1734" t="s">
        <v>2415</v>
      </c>
      <c r="D1734">
        <v>1</v>
      </c>
      <c r="E1734">
        <v>5</v>
      </c>
      <c r="F1734" t="s">
        <v>7</v>
      </c>
      <c r="G1734" t="s">
        <v>11</v>
      </c>
      <c r="H1734" t="s">
        <v>11</v>
      </c>
    </row>
    <row r="1735" spans="1:8" x14ac:dyDescent="0.35">
      <c r="A1735" t="s">
        <v>41</v>
      </c>
      <c r="B1735" t="s">
        <v>95</v>
      </c>
      <c r="C1735" t="s">
        <v>2416</v>
      </c>
      <c r="D1735">
        <v>2</v>
      </c>
      <c r="E1735">
        <v>5</v>
      </c>
      <c r="F1735" t="s">
        <v>7</v>
      </c>
      <c r="G1735" t="s">
        <v>11</v>
      </c>
      <c r="H1735" t="s">
        <v>11</v>
      </c>
    </row>
    <row r="1736" spans="1:8" x14ac:dyDescent="0.35">
      <c r="A1736" t="s">
        <v>41</v>
      </c>
      <c r="B1736" t="s">
        <v>95</v>
      </c>
      <c r="C1736" t="s">
        <v>1991</v>
      </c>
      <c r="D1736">
        <v>1</v>
      </c>
      <c r="E1736">
        <v>5</v>
      </c>
      <c r="F1736" t="s">
        <v>7</v>
      </c>
      <c r="G1736" t="s">
        <v>11</v>
      </c>
      <c r="H1736" t="s">
        <v>11</v>
      </c>
    </row>
    <row r="1737" spans="1:8" x14ac:dyDescent="0.35">
      <c r="A1737" t="s">
        <v>41</v>
      </c>
      <c r="B1737" t="s">
        <v>95</v>
      </c>
      <c r="C1737" t="s">
        <v>1993</v>
      </c>
      <c r="D1737">
        <v>2</v>
      </c>
      <c r="E1737">
        <v>5</v>
      </c>
      <c r="F1737" t="s">
        <v>7</v>
      </c>
      <c r="G1737" t="s">
        <v>11</v>
      </c>
      <c r="H1737" t="s">
        <v>11</v>
      </c>
    </row>
    <row r="1738" spans="1:8" x14ac:dyDescent="0.35">
      <c r="A1738" t="s">
        <v>41</v>
      </c>
      <c r="B1738" t="s">
        <v>95</v>
      </c>
      <c r="C1738" t="s">
        <v>1994</v>
      </c>
      <c r="D1738">
        <v>2</v>
      </c>
      <c r="E1738">
        <v>5</v>
      </c>
      <c r="F1738" t="s">
        <v>7</v>
      </c>
      <c r="G1738" t="s">
        <v>11</v>
      </c>
      <c r="H1738" t="s">
        <v>11</v>
      </c>
    </row>
    <row r="1739" spans="1:8" x14ac:dyDescent="0.35">
      <c r="A1739" t="s">
        <v>41</v>
      </c>
      <c r="B1739" t="s">
        <v>95</v>
      </c>
      <c r="C1739" t="s">
        <v>1933</v>
      </c>
      <c r="D1739">
        <v>2</v>
      </c>
      <c r="E1739">
        <v>5</v>
      </c>
      <c r="F1739" t="s">
        <v>7</v>
      </c>
      <c r="G1739" t="s">
        <v>11</v>
      </c>
      <c r="H1739" t="s">
        <v>11</v>
      </c>
    </row>
    <row r="1740" spans="1:8" x14ac:dyDescent="0.35">
      <c r="A1740" t="s">
        <v>41</v>
      </c>
      <c r="B1740" t="s">
        <v>95</v>
      </c>
      <c r="C1740" t="s">
        <v>1997</v>
      </c>
      <c r="D1740">
        <v>1</v>
      </c>
      <c r="E1740">
        <v>5</v>
      </c>
      <c r="F1740" t="s">
        <v>7</v>
      </c>
      <c r="G1740" t="s">
        <v>11</v>
      </c>
      <c r="H1740" t="s">
        <v>11</v>
      </c>
    </row>
    <row r="1741" spans="1:8" x14ac:dyDescent="0.35">
      <c r="A1741" t="s">
        <v>41</v>
      </c>
      <c r="B1741" t="s">
        <v>95</v>
      </c>
      <c r="C1741" t="s">
        <v>2417</v>
      </c>
      <c r="D1741">
        <v>1</v>
      </c>
      <c r="E1741">
        <v>5</v>
      </c>
      <c r="F1741" t="s">
        <v>7</v>
      </c>
      <c r="G1741" t="s">
        <v>11</v>
      </c>
      <c r="H1741" t="s">
        <v>11</v>
      </c>
    </row>
    <row r="1742" spans="1:8" x14ac:dyDescent="0.35">
      <c r="A1742" t="s">
        <v>41</v>
      </c>
      <c r="B1742" t="s">
        <v>95</v>
      </c>
      <c r="C1742" t="s">
        <v>1744</v>
      </c>
      <c r="D1742">
        <v>3</v>
      </c>
      <c r="E1742">
        <v>5</v>
      </c>
      <c r="F1742" t="s">
        <v>7</v>
      </c>
      <c r="G1742" t="s">
        <v>11</v>
      </c>
      <c r="H1742" t="s">
        <v>11</v>
      </c>
    </row>
    <row r="1743" spans="1:8" x14ac:dyDescent="0.35">
      <c r="A1743" t="s">
        <v>41</v>
      </c>
      <c r="B1743" t="s">
        <v>95</v>
      </c>
      <c r="C1743" t="s">
        <v>2418</v>
      </c>
      <c r="D1743">
        <v>1</v>
      </c>
      <c r="E1743">
        <v>5</v>
      </c>
      <c r="F1743" t="s">
        <v>7</v>
      </c>
      <c r="G1743" t="s">
        <v>11</v>
      </c>
      <c r="H1743" t="s">
        <v>11</v>
      </c>
    </row>
    <row r="1744" spans="1:8" x14ac:dyDescent="0.35">
      <c r="A1744" t="s">
        <v>41</v>
      </c>
      <c r="B1744" t="s">
        <v>95</v>
      </c>
      <c r="C1744" t="s">
        <v>1799</v>
      </c>
      <c r="D1744">
        <v>2</v>
      </c>
      <c r="E1744">
        <v>5</v>
      </c>
      <c r="F1744" t="s">
        <v>7</v>
      </c>
      <c r="G1744" t="s">
        <v>11</v>
      </c>
      <c r="H1744" t="s">
        <v>11</v>
      </c>
    </row>
    <row r="1745" spans="1:8" x14ac:dyDescent="0.35">
      <c r="A1745" t="s">
        <v>41</v>
      </c>
      <c r="B1745" t="s">
        <v>95</v>
      </c>
      <c r="C1745" t="s">
        <v>1376</v>
      </c>
      <c r="D1745">
        <v>1</v>
      </c>
      <c r="E1745">
        <v>5</v>
      </c>
      <c r="F1745" t="s">
        <v>7</v>
      </c>
      <c r="G1745" t="s">
        <v>11</v>
      </c>
      <c r="H1745" t="s">
        <v>11</v>
      </c>
    </row>
    <row r="1746" spans="1:8" x14ac:dyDescent="0.35">
      <c r="A1746" t="s">
        <v>41</v>
      </c>
      <c r="B1746" t="s">
        <v>95</v>
      </c>
      <c r="C1746" t="s">
        <v>1755</v>
      </c>
      <c r="D1746">
        <v>1</v>
      </c>
      <c r="E1746">
        <v>5</v>
      </c>
      <c r="F1746" t="s">
        <v>7</v>
      </c>
      <c r="G1746" t="s">
        <v>11</v>
      </c>
      <c r="H1746" t="s">
        <v>11</v>
      </c>
    </row>
    <row r="1747" spans="1:8" x14ac:dyDescent="0.35">
      <c r="A1747" t="s">
        <v>41</v>
      </c>
      <c r="B1747" t="s">
        <v>95</v>
      </c>
      <c r="C1747" t="s">
        <v>1756</v>
      </c>
      <c r="D1747">
        <v>1</v>
      </c>
      <c r="E1747">
        <v>5</v>
      </c>
      <c r="F1747" t="s">
        <v>7</v>
      </c>
      <c r="G1747" t="s">
        <v>11</v>
      </c>
      <c r="H1747" t="s">
        <v>11</v>
      </c>
    </row>
    <row r="1748" spans="1:8" x14ac:dyDescent="0.35">
      <c r="A1748" t="s">
        <v>41</v>
      </c>
      <c r="B1748" t="s">
        <v>95</v>
      </c>
      <c r="C1748" t="s">
        <v>1757</v>
      </c>
      <c r="D1748">
        <v>3</v>
      </c>
      <c r="E1748">
        <v>5</v>
      </c>
      <c r="F1748" t="s">
        <v>7</v>
      </c>
      <c r="G1748" t="s">
        <v>11</v>
      </c>
      <c r="H1748" t="s">
        <v>11</v>
      </c>
    </row>
    <row r="1749" spans="1:8" x14ac:dyDescent="0.35">
      <c r="A1749" t="s">
        <v>41</v>
      </c>
      <c r="B1749" t="s">
        <v>95</v>
      </c>
      <c r="C1749" t="s">
        <v>2117</v>
      </c>
      <c r="D1749">
        <v>1</v>
      </c>
      <c r="E1749">
        <v>5</v>
      </c>
      <c r="F1749" t="s">
        <v>7</v>
      </c>
      <c r="G1749" t="s">
        <v>11</v>
      </c>
      <c r="H1749" t="s">
        <v>11</v>
      </c>
    </row>
    <row r="1750" spans="1:8" x14ac:dyDescent="0.35">
      <c r="A1750" t="s">
        <v>45</v>
      </c>
      <c r="B1750" t="s">
        <v>96</v>
      </c>
      <c r="C1750" t="s">
        <v>2419</v>
      </c>
      <c r="D1750">
        <v>1</v>
      </c>
      <c r="E1750">
        <v>5</v>
      </c>
      <c r="F1750" t="s">
        <v>75</v>
      </c>
      <c r="G1750" t="s">
        <v>11</v>
      </c>
      <c r="H1750" t="s">
        <v>11</v>
      </c>
    </row>
    <row r="1751" spans="1:8" x14ac:dyDescent="0.35">
      <c r="A1751" t="s">
        <v>45</v>
      </c>
      <c r="B1751" t="s">
        <v>96</v>
      </c>
      <c r="C1751" t="s">
        <v>2420</v>
      </c>
      <c r="D1751">
        <v>2</v>
      </c>
      <c r="E1751">
        <v>5</v>
      </c>
      <c r="F1751" t="s">
        <v>75</v>
      </c>
      <c r="G1751" t="s">
        <v>11</v>
      </c>
      <c r="H1751" t="s">
        <v>11</v>
      </c>
    </row>
    <row r="1752" spans="1:8" x14ac:dyDescent="0.35">
      <c r="A1752" t="s">
        <v>45</v>
      </c>
      <c r="B1752" t="s">
        <v>96</v>
      </c>
      <c r="C1752" t="s">
        <v>1432</v>
      </c>
      <c r="D1752">
        <v>3</v>
      </c>
      <c r="E1752">
        <v>3</v>
      </c>
      <c r="F1752" t="s">
        <v>75</v>
      </c>
      <c r="G1752" t="s">
        <v>11</v>
      </c>
      <c r="H1752" t="s">
        <v>11</v>
      </c>
    </row>
    <row r="1753" spans="1:8" x14ac:dyDescent="0.35">
      <c r="A1753" t="s">
        <v>45</v>
      </c>
      <c r="B1753" t="s">
        <v>96</v>
      </c>
      <c r="C1753" t="s">
        <v>1555</v>
      </c>
      <c r="D1753">
        <v>1</v>
      </c>
      <c r="E1753">
        <v>5</v>
      </c>
      <c r="F1753" t="s">
        <v>75</v>
      </c>
      <c r="G1753" t="s">
        <v>11</v>
      </c>
      <c r="H1753" t="s">
        <v>11</v>
      </c>
    </row>
    <row r="1754" spans="1:8" x14ac:dyDescent="0.35">
      <c r="A1754" t="s">
        <v>45</v>
      </c>
      <c r="B1754" t="s">
        <v>96</v>
      </c>
      <c r="C1754" t="s">
        <v>2421</v>
      </c>
      <c r="D1754">
        <v>2</v>
      </c>
      <c r="E1754">
        <v>5</v>
      </c>
      <c r="F1754" t="s">
        <v>75</v>
      </c>
      <c r="G1754" t="s">
        <v>11</v>
      </c>
      <c r="H1754" t="s">
        <v>11</v>
      </c>
    </row>
    <row r="1755" spans="1:8" x14ac:dyDescent="0.35">
      <c r="A1755" t="s">
        <v>45</v>
      </c>
      <c r="B1755" t="s">
        <v>96</v>
      </c>
      <c r="C1755" t="s">
        <v>2422</v>
      </c>
      <c r="D1755">
        <v>2</v>
      </c>
      <c r="E1755">
        <v>5</v>
      </c>
      <c r="F1755" t="s">
        <v>75</v>
      </c>
      <c r="G1755" t="s">
        <v>11</v>
      </c>
      <c r="H1755" t="s">
        <v>11</v>
      </c>
    </row>
    <row r="1756" spans="1:8" x14ac:dyDescent="0.35">
      <c r="A1756" t="s">
        <v>45</v>
      </c>
      <c r="B1756" t="s">
        <v>96</v>
      </c>
      <c r="C1756" t="s">
        <v>2423</v>
      </c>
      <c r="D1756">
        <v>1</v>
      </c>
      <c r="E1756">
        <v>5</v>
      </c>
      <c r="F1756" t="s">
        <v>75</v>
      </c>
      <c r="G1756" t="s">
        <v>11</v>
      </c>
      <c r="H1756" t="s">
        <v>11</v>
      </c>
    </row>
    <row r="1757" spans="1:8" x14ac:dyDescent="0.35">
      <c r="A1757" t="s">
        <v>45</v>
      </c>
      <c r="B1757" t="s">
        <v>96</v>
      </c>
      <c r="C1757" t="s">
        <v>1492</v>
      </c>
      <c r="D1757">
        <v>2</v>
      </c>
      <c r="E1757">
        <v>5</v>
      </c>
      <c r="F1757" t="s">
        <v>75</v>
      </c>
      <c r="G1757" t="s">
        <v>11</v>
      </c>
      <c r="H1757" t="s">
        <v>11</v>
      </c>
    </row>
    <row r="1758" spans="1:8" x14ac:dyDescent="0.35">
      <c r="A1758" t="s">
        <v>45</v>
      </c>
      <c r="B1758" t="s">
        <v>96</v>
      </c>
      <c r="C1758" t="s">
        <v>2424</v>
      </c>
      <c r="D1758">
        <v>1</v>
      </c>
      <c r="E1758">
        <v>5</v>
      </c>
      <c r="F1758" t="s">
        <v>75</v>
      </c>
      <c r="G1758" t="s">
        <v>11</v>
      </c>
      <c r="H1758" t="s">
        <v>11</v>
      </c>
    </row>
    <row r="1759" spans="1:8" x14ac:dyDescent="0.35">
      <c r="A1759" t="s">
        <v>45</v>
      </c>
      <c r="B1759" t="s">
        <v>96</v>
      </c>
      <c r="C1759" t="s">
        <v>1453</v>
      </c>
      <c r="D1759">
        <v>1</v>
      </c>
      <c r="E1759">
        <v>5</v>
      </c>
      <c r="F1759" t="s">
        <v>75</v>
      </c>
      <c r="G1759" t="s">
        <v>11</v>
      </c>
      <c r="H1759" t="s">
        <v>11</v>
      </c>
    </row>
    <row r="1760" spans="1:8" x14ac:dyDescent="0.35">
      <c r="A1760" t="s">
        <v>45</v>
      </c>
      <c r="B1760" t="s">
        <v>96</v>
      </c>
      <c r="C1760" t="s">
        <v>1919</v>
      </c>
      <c r="D1760">
        <v>1</v>
      </c>
      <c r="E1760">
        <v>5</v>
      </c>
      <c r="F1760" t="s">
        <v>75</v>
      </c>
      <c r="G1760" t="s">
        <v>11</v>
      </c>
      <c r="H1760" t="s">
        <v>11</v>
      </c>
    </row>
    <row r="1761" spans="1:8" x14ac:dyDescent="0.35">
      <c r="A1761" t="s">
        <v>45</v>
      </c>
      <c r="B1761" t="s">
        <v>96</v>
      </c>
      <c r="C1761" t="s">
        <v>1572</v>
      </c>
      <c r="D1761">
        <v>1</v>
      </c>
      <c r="E1761">
        <v>5</v>
      </c>
      <c r="F1761" t="s">
        <v>75</v>
      </c>
      <c r="G1761" t="s">
        <v>11</v>
      </c>
      <c r="H1761" t="s">
        <v>11</v>
      </c>
    </row>
    <row r="1762" spans="1:8" x14ac:dyDescent="0.35">
      <c r="A1762" t="s">
        <v>45</v>
      </c>
      <c r="B1762" t="s">
        <v>96</v>
      </c>
      <c r="C1762" t="s">
        <v>2425</v>
      </c>
      <c r="D1762">
        <v>2</v>
      </c>
      <c r="E1762">
        <v>5</v>
      </c>
      <c r="F1762" t="s">
        <v>75</v>
      </c>
      <c r="G1762" t="s">
        <v>11</v>
      </c>
      <c r="H1762" t="s">
        <v>11</v>
      </c>
    </row>
    <row r="1763" spans="1:8" x14ac:dyDescent="0.35">
      <c r="A1763" t="s">
        <v>45</v>
      </c>
      <c r="B1763" t="s">
        <v>96</v>
      </c>
      <c r="C1763" t="s">
        <v>2426</v>
      </c>
      <c r="D1763">
        <v>1</v>
      </c>
      <c r="E1763">
        <v>5</v>
      </c>
      <c r="F1763" t="s">
        <v>75</v>
      </c>
      <c r="G1763" t="s">
        <v>11</v>
      </c>
      <c r="H1763" t="s">
        <v>11</v>
      </c>
    </row>
    <row r="1764" spans="1:8" x14ac:dyDescent="0.35">
      <c r="A1764" t="s">
        <v>45</v>
      </c>
      <c r="B1764" t="s">
        <v>96</v>
      </c>
      <c r="C1764" t="s">
        <v>2427</v>
      </c>
      <c r="D1764">
        <v>2</v>
      </c>
      <c r="E1764">
        <v>5</v>
      </c>
      <c r="F1764" t="s">
        <v>75</v>
      </c>
      <c r="G1764" t="s">
        <v>11</v>
      </c>
      <c r="H1764" t="s">
        <v>11</v>
      </c>
    </row>
    <row r="1765" spans="1:8" x14ac:dyDescent="0.35">
      <c r="A1765" t="s">
        <v>45</v>
      </c>
      <c r="B1765" t="s">
        <v>96</v>
      </c>
      <c r="C1765" t="s">
        <v>2428</v>
      </c>
      <c r="D1765">
        <v>2</v>
      </c>
      <c r="E1765">
        <v>5</v>
      </c>
      <c r="F1765" t="s">
        <v>75</v>
      </c>
      <c r="G1765" t="s">
        <v>11</v>
      </c>
      <c r="H1765" t="s">
        <v>11</v>
      </c>
    </row>
    <row r="1766" spans="1:8" x14ac:dyDescent="0.35">
      <c r="A1766" t="s">
        <v>45</v>
      </c>
      <c r="B1766" t="s">
        <v>96</v>
      </c>
      <c r="C1766" t="s">
        <v>2429</v>
      </c>
      <c r="D1766">
        <v>1</v>
      </c>
      <c r="E1766">
        <v>5</v>
      </c>
      <c r="F1766" t="s">
        <v>75</v>
      </c>
      <c r="G1766" t="s">
        <v>11</v>
      </c>
      <c r="H1766" t="s">
        <v>11</v>
      </c>
    </row>
    <row r="1767" spans="1:8" x14ac:dyDescent="0.35">
      <c r="A1767" t="s">
        <v>42</v>
      </c>
      <c r="B1767" t="s">
        <v>79</v>
      </c>
      <c r="C1767" t="s">
        <v>2430</v>
      </c>
      <c r="D1767">
        <v>2</v>
      </c>
      <c r="E1767">
        <v>6</v>
      </c>
      <c r="F1767" t="s">
        <v>7</v>
      </c>
      <c r="G1767" t="s">
        <v>11</v>
      </c>
      <c r="H1767" t="s">
        <v>11</v>
      </c>
    </row>
    <row r="1768" spans="1:8" x14ac:dyDescent="0.35">
      <c r="A1768" t="s">
        <v>42</v>
      </c>
      <c r="B1768" t="s">
        <v>79</v>
      </c>
      <c r="C1768" t="s">
        <v>1430</v>
      </c>
      <c r="D1768">
        <v>1</v>
      </c>
      <c r="E1768">
        <v>6</v>
      </c>
      <c r="F1768" t="s">
        <v>7</v>
      </c>
      <c r="G1768" t="s">
        <v>11</v>
      </c>
      <c r="H1768" t="s">
        <v>11</v>
      </c>
    </row>
    <row r="1769" spans="1:8" x14ac:dyDescent="0.35">
      <c r="A1769" t="s">
        <v>42</v>
      </c>
      <c r="B1769" t="s">
        <v>79</v>
      </c>
      <c r="C1769" t="s">
        <v>2431</v>
      </c>
      <c r="D1769">
        <v>2</v>
      </c>
      <c r="E1769">
        <v>5</v>
      </c>
      <c r="F1769" t="s">
        <v>7</v>
      </c>
      <c r="G1769" t="s">
        <v>11</v>
      </c>
      <c r="H1769" t="s">
        <v>11</v>
      </c>
    </row>
    <row r="1770" spans="1:8" x14ac:dyDescent="0.35">
      <c r="A1770" t="s">
        <v>42</v>
      </c>
      <c r="B1770" t="s">
        <v>79</v>
      </c>
      <c r="C1770" t="s">
        <v>2432</v>
      </c>
      <c r="D1770">
        <v>2</v>
      </c>
      <c r="E1770">
        <v>6</v>
      </c>
      <c r="F1770" t="s">
        <v>7</v>
      </c>
      <c r="G1770" t="s">
        <v>11</v>
      </c>
      <c r="H1770" t="s">
        <v>11</v>
      </c>
    </row>
    <row r="1771" spans="1:8" x14ac:dyDescent="0.35">
      <c r="A1771" t="s">
        <v>42</v>
      </c>
      <c r="B1771" t="s">
        <v>79</v>
      </c>
      <c r="C1771" t="s">
        <v>2433</v>
      </c>
      <c r="D1771">
        <v>2</v>
      </c>
      <c r="E1771">
        <v>6</v>
      </c>
      <c r="F1771" t="s">
        <v>7</v>
      </c>
      <c r="G1771" t="s">
        <v>11</v>
      </c>
      <c r="H1771" t="s">
        <v>11</v>
      </c>
    </row>
    <row r="1772" spans="1:8" x14ac:dyDescent="0.35">
      <c r="A1772" t="s">
        <v>42</v>
      </c>
      <c r="B1772" t="s">
        <v>79</v>
      </c>
      <c r="C1772" t="s">
        <v>1626</v>
      </c>
      <c r="D1772">
        <v>2</v>
      </c>
      <c r="E1772">
        <v>5</v>
      </c>
      <c r="F1772" t="s">
        <v>7</v>
      </c>
      <c r="G1772" t="s">
        <v>11</v>
      </c>
      <c r="H1772" t="s">
        <v>11</v>
      </c>
    </row>
    <row r="1773" spans="1:8" x14ac:dyDescent="0.35">
      <c r="A1773" t="s">
        <v>42</v>
      </c>
      <c r="B1773" t="s">
        <v>79</v>
      </c>
      <c r="C1773" t="s">
        <v>2434</v>
      </c>
      <c r="D1773">
        <v>2</v>
      </c>
      <c r="E1773">
        <v>6</v>
      </c>
      <c r="F1773" t="s">
        <v>7</v>
      </c>
      <c r="G1773" t="s">
        <v>11</v>
      </c>
      <c r="H1773" t="s">
        <v>11</v>
      </c>
    </row>
    <row r="1774" spans="1:8" x14ac:dyDescent="0.35">
      <c r="A1774" t="s">
        <v>42</v>
      </c>
      <c r="B1774" t="s">
        <v>79</v>
      </c>
      <c r="C1774" t="s">
        <v>2435</v>
      </c>
      <c r="D1774">
        <v>2</v>
      </c>
      <c r="E1774">
        <v>5</v>
      </c>
      <c r="F1774" t="s">
        <v>7</v>
      </c>
      <c r="G1774" t="s">
        <v>11</v>
      </c>
      <c r="H1774" t="s">
        <v>11</v>
      </c>
    </row>
    <row r="1775" spans="1:8" x14ac:dyDescent="0.35">
      <c r="A1775" t="s">
        <v>42</v>
      </c>
      <c r="B1775" t="s">
        <v>79</v>
      </c>
      <c r="C1775" t="s">
        <v>2436</v>
      </c>
      <c r="D1775">
        <v>2</v>
      </c>
      <c r="E1775">
        <v>5</v>
      </c>
      <c r="F1775" t="s">
        <v>7</v>
      </c>
      <c r="G1775" t="s">
        <v>11</v>
      </c>
      <c r="H1775" t="s">
        <v>11</v>
      </c>
    </row>
    <row r="1776" spans="1:8" x14ac:dyDescent="0.35">
      <c r="A1776" t="s">
        <v>42</v>
      </c>
      <c r="B1776" t="s">
        <v>79</v>
      </c>
      <c r="C1776" t="s">
        <v>1885</v>
      </c>
      <c r="D1776">
        <v>2</v>
      </c>
      <c r="E1776">
        <v>6</v>
      </c>
      <c r="F1776" t="s">
        <v>7</v>
      </c>
      <c r="G1776" t="s">
        <v>11</v>
      </c>
      <c r="H1776" t="s">
        <v>11</v>
      </c>
    </row>
    <row r="1777" spans="1:8" x14ac:dyDescent="0.35">
      <c r="A1777" t="s">
        <v>43</v>
      </c>
      <c r="B1777" t="s">
        <v>97</v>
      </c>
      <c r="C1777" t="s">
        <v>2437</v>
      </c>
      <c r="D1777">
        <v>3</v>
      </c>
      <c r="E1777">
        <v>4</v>
      </c>
      <c r="F1777" t="s">
        <v>7</v>
      </c>
      <c r="G1777" t="s">
        <v>11</v>
      </c>
      <c r="H1777" t="s">
        <v>11</v>
      </c>
    </row>
    <row r="1778" spans="1:8" x14ac:dyDescent="0.35">
      <c r="A1778" t="s">
        <v>43</v>
      </c>
      <c r="B1778" t="s">
        <v>97</v>
      </c>
      <c r="C1778" t="s">
        <v>2438</v>
      </c>
      <c r="D1778">
        <v>2</v>
      </c>
      <c r="E1778">
        <v>5</v>
      </c>
      <c r="F1778" t="s">
        <v>7</v>
      </c>
      <c r="G1778" t="s">
        <v>11</v>
      </c>
      <c r="H1778" t="s">
        <v>11</v>
      </c>
    </row>
    <row r="1779" spans="1:8" x14ac:dyDescent="0.35">
      <c r="A1779" t="s">
        <v>43</v>
      </c>
      <c r="B1779" t="s">
        <v>97</v>
      </c>
      <c r="C1779" t="s">
        <v>2439</v>
      </c>
      <c r="D1779">
        <v>2</v>
      </c>
      <c r="E1779">
        <v>4</v>
      </c>
      <c r="F1779" t="s">
        <v>7</v>
      </c>
      <c r="G1779" t="s">
        <v>11</v>
      </c>
      <c r="H1779" t="s">
        <v>11</v>
      </c>
    </row>
    <row r="1780" spans="1:8" x14ac:dyDescent="0.35">
      <c r="A1780" t="s">
        <v>43</v>
      </c>
      <c r="B1780" t="s">
        <v>97</v>
      </c>
      <c r="C1780" t="s">
        <v>1668</v>
      </c>
      <c r="D1780">
        <v>2</v>
      </c>
      <c r="E1780">
        <v>4</v>
      </c>
      <c r="F1780" t="s">
        <v>7</v>
      </c>
      <c r="G1780" t="s">
        <v>11</v>
      </c>
      <c r="H1780" t="s">
        <v>11</v>
      </c>
    </row>
    <row r="1781" spans="1:8" x14ac:dyDescent="0.35">
      <c r="A1781" t="s">
        <v>43</v>
      </c>
      <c r="B1781" t="s">
        <v>97</v>
      </c>
      <c r="C1781" t="s">
        <v>2440</v>
      </c>
      <c r="D1781">
        <v>3</v>
      </c>
      <c r="E1781">
        <v>4</v>
      </c>
      <c r="F1781" t="s">
        <v>7</v>
      </c>
      <c r="G1781" t="s">
        <v>11</v>
      </c>
      <c r="H1781" t="s">
        <v>11</v>
      </c>
    </row>
    <row r="1782" spans="1:8" x14ac:dyDescent="0.35">
      <c r="A1782" t="s">
        <v>43</v>
      </c>
      <c r="B1782" t="s">
        <v>97</v>
      </c>
      <c r="C1782" t="s">
        <v>1809</v>
      </c>
      <c r="D1782">
        <v>2</v>
      </c>
      <c r="E1782">
        <v>4</v>
      </c>
      <c r="F1782" t="s">
        <v>7</v>
      </c>
      <c r="G1782" t="s">
        <v>11</v>
      </c>
      <c r="H1782" t="s">
        <v>11</v>
      </c>
    </row>
    <row r="1783" spans="1:8" x14ac:dyDescent="0.35">
      <c r="A1783" t="s">
        <v>43</v>
      </c>
      <c r="B1783" t="s">
        <v>97</v>
      </c>
      <c r="C1783" t="s">
        <v>2139</v>
      </c>
      <c r="D1783">
        <v>2</v>
      </c>
      <c r="E1783">
        <v>4</v>
      </c>
      <c r="F1783" t="s">
        <v>7</v>
      </c>
      <c r="G1783" t="s">
        <v>11</v>
      </c>
      <c r="H1783" t="s">
        <v>11</v>
      </c>
    </row>
    <row r="1784" spans="1:8" x14ac:dyDescent="0.35">
      <c r="A1784" t="s">
        <v>43</v>
      </c>
      <c r="B1784" t="s">
        <v>97</v>
      </c>
      <c r="C1784" t="s">
        <v>2441</v>
      </c>
      <c r="D1784">
        <v>2</v>
      </c>
      <c r="E1784">
        <v>4</v>
      </c>
      <c r="F1784" t="s">
        <v>7</v>
      </c>
      <c r="G1784" t="s">
        <v>11</v>
      </c>
      <c r="H1784" t="s">
        <v>11</v>
      </c>
    </row>
    <row r="1785" spans="1:8" x14ac:dyDescent="0.35">
      <c r="A1785" t="s">
        <v>43</v>
      </c>
      <c r="B1785" t="s">
        <v>97</v>
      </c>
      <c r="C1785" t="s">
        <v>2442</v>
      </c>
      <c r="D1785">
        <v>2</v>
      </c>
      <c r="E1785">
        <v>4</v>
      </c>
      <c r="F1785" t="s">
        <v>7</v>
      </c>
      <c r="G1785" t="s">
        <v>11</v>
      </c>
      <c r="H1785" t="s">
        <v>11</v>
      </c>
    </row>
    <row r="1786" spans="1:8" x14ac:dyDescent="0.35">
      <c r="A1786" t="s">
        <v>43</v>
      </c>
      <c r="B1786" t="s">
        <v>97</v>
      </c>
      <c r="C1786" t="s">
        <v>2443</v>
      </c>
      <c r="D1786">
        <v>1</v>
      </c>
      <c r="E1786">
        <v>5</v>
      </c>
      <c r="F1786" t="s">
        <v>7</v>
      </c>
      <c r="G1786" t="s">
        <v>11</v>
      </c>
      <c r="H1786" t="s">
        <v>11</v>
      </c>
    </row>
    <row r="1787" spans="1:8" x14ac:dyDescent="0.35">
      <c r="A1787" t="s">
        <v>43</v>
      </c>
      <c r="B1787" t="s">
        <v>97</v>
      </c>
      <c r="C1787" t="s">
        <v>1835</v>
      </c>
      <c r="D1787">
        <v>1</v>
      </c>
      <c r="E1787">
        <v>5</v>
      </c>
      <c r="F1787" t="s">
        <v>7</v>
      </c>
      <c r="G1787" t="s">
        <v>11</v>
      </c>
      <c r="H1787" t="s">
        <v>11</v>
      </c>
    </row>
    <row r="1788" spans="1:8" x14ac:dyDescent="0.35">
      <c r="A1788" t="s">
        <v>43</v>
      </c>
      <c r="B1788" t="s">
        <v>97</v>
      </c>
      <c r="C1788" t="s">
        <v>1595</v>
      </c>
      <c r="D1788">
        <v>2</v>
      </c>
      <c r="E1788">
        <v>4</v>
      </c>
      <c r="F1788" t="s">
        <v>7</v>
      </c>
      <c r="G1788" t="s">
        <v>11</v>
      </c>
      <c r="H1788" t="s">
        <v>11</v>
      </c>
    </row>
    <row r="1789" spans="1:8" x14ac:dyDescent="0.35">
      <c r="A1789" t="s">
        <v>43</v>
      </c>
      <c r="B1789" t="s">
        <v>97</v>
      </c>
      <c r="C1789" t="s">
        <v>2444</v>
      </c>
      <c r="D1789">
        <v>1</v>
      </c>
      <c r="E1789">
        <v>4</v>
      </c>
      <c r="F1789" t="s">
        <v>7</v>
      </c>
      <c r="G1789" t="s">
        <v>11</v>
      </c>
      <c r="H1789" t="s">
        <v>11</v>
      </c>
    </row>
    <row r="1790" spans="1:8" x14ac:dyDescent="0.35">
      <c r="A1790" t="s">
        <v>43</v>
      </c>
      <c r="B1790" t="s">
        <v>97</v>
      </c>
      <c r="C1790" t="s">
        <v>1973</v>
      </c>
      <c r="D1790">
        <v>1</v>
      </c>
      <c r="E1790">
        <v>5</v>
      </c>
      <c r="F1790" t="s">
        <v>7</v>
      </c>
      <c r="G1790" t="s">
        <v>11</v>
      </c>
      <c r="H1790" t="s">
        <v>11</v>
      </c>
    </row>
    <row r="1791" spans="1:8" x14ac:dyDescent="0.35">
      <c r="A1791" t="s">
        <v>43</v>
      </c>
      <c r="B1791" t="s">
        <v>97</v>
      </c>
      <c r="C1791" t="s">
        <v>2445</v>
      </c>
      <c r="D1791">
        <v>3</v>
      </c>
      <c r="E1791">
        <v>4</v>
      </c>
      <c r="F1791" t="s">
        <v>7</v>
      </c>
      <c r="G1791" t="s">
        <v>11</v>
      </c>
      <c r="H1791" t="s">
        <v>11</v>
      </c>
    </row>
    <row r="1792" spans="1:8" x14ac:dyDescent="0.35">
      <c r="A1792" t="s">
        <v>43</v>
      </c>
      <c r="B1792" t="s">
        <v>97</v>
      </c>
      <c r="C1792" t="s">
        <v>2446</v>
      </c>
      <c r="D1792">
        <v>2</v>
      </c>
      <c r="E1792">
        <v>5</v>
      </c>
      <c r="F1792" t="s">
        <v>7</v>
      </c>
      <c r="G1792" t="s">
        <v>11</v>
      </c>
      <c r="H1792" t="s">
        <v>11</v>
      </c>
    </row>
    <row r="1793" spans="1:8" x14ac:dyDescent="0.35">
      <c r="A1793" t="s">
        <v>43</v>
      </c>
      <c r="B1793" t="s">
        <v>97</v>
      </c>
      <c r="C1793" t="s">
        <v>2447</v>
      </c>
      <c r="D1793">
        <v>2</v>
      </c>
      <c r="E1793">
        <v>4</v>
      </c>
      <c r="F1793" t="s">
        <v>7</v>
      </c>
      <c r="G1793" t="s">
        <v>11</v>
      </c>
      <c r="H1793" t="s">
        <v>11</v>
      </c>
    </row>
    <row r="1794" spans="1:8" x14ac:dyDescent="0.35">
      <c r="A1794" t="s">
        <v>43</v>
      </c>
      <c r="B1794" t="s">
        <v>97</v>
      </c>
      <c r="C1794" t="s">
        <v>2115</v>
      </c>
      <c r="D1794">
        <v>1</v>
      </c>
      <c r="E1794">
        <v>5</v>
      </c>
      <c r="F1794" t="s">
        <v>7</v>
      </c>
      <c r="G1794" t="s">
        <v>11</v>
      </c>
      <c r="H1794" t="s">
        <v>11</v>
      </c>
    </row>
    <row r="1795" spans="1:8" x14ac:dyDescent="0.35">
      <c r="A1795" t="s">
        <v>43</v>
      </c>
      <c r="B1795" t="s">
        <v>97</v>
      </c>
      <c r="C1795" t="s">
        <v>1602</v>
      </c>
      <c r="D1795">
        <v>1</v>
      </c>
      <c r="E1795">
        <v>5</v>
      </c>
      <c r="F1795" t="s">
        <v>7</v>
      </c>
      <c r="G1795" t="s">
        <v>11</v>
      </c>
      <c r="H1795" t="s">
        <v>11</v>
      </c>
    </row>
    <row r="1796" spans="1:8" x14ac:dyDescent="0.35">
      <c r="A1796" t="s">
        <v>43</v>
      </c>
      <c r="B1796" t="s">
        <v>97</v>
      </c>
      <c r="C1796" t="s">
        <v>1476</v>
      </c>
      <c r="D1796">
        <v>2</v>
      </c>
      <c r="E1796">
        <v>4</v>
      </c>
      <c r="F1796" t="s">
        <v>7</v>
      </c>
      <c r="G1796" t="s">
        <v>11</v>
      </c>
      <c r="H1796" t="s">
        <v>11</v>
      </c>
    </row>
    <row r="1797" spans="1:8" x14ac:dyDescent="0.35">
      <c r="A1797" t="s">
        <v>43</v>
      </c>
      <c r="B1797" t="s">
        <v>97</v>
      </c>
      <c r="C1797" t="s">
        <v>1754</v>
      </c>
      <c r="D1797">
        <v>1</v>
      </c>
      <c r="E1797">
        <v>5</v>
      </c>
      <c r="F1797" t="s">
        <v>7</v>
      </c>
      <c r="G1797" t="s">
        <v>11</v>
      </c>
      <c r="H1797" t="s">
        <v>11</v>
      </c>
    </row>
    <row r="1798" spans="1:8" x14ac:dyDescent="0.35">
      <c r="A1798" t="s">
        <v>44</v>
      </c>
      <c r="B1798" t="s">
        <v>98</v>
      </c>
      <c r="C1798" t="s">
        <v>2448</v>
      </c>
      <c r="D1798">
        <v>1</v>
      </c>
      <c r="E1798">
        <v>4</v>
      </c>
      <c r="F1798" t="s">
        <v>75</v>
      </c>
      <c r="G1798" t="s">
        <v>11</v>
      </c>
      <c r="H1798" t="s">
        <v>11</v>
      </c>
    </row>
    <row r="1799" spans="1:8" x14ac:dyDescent="0.35">
      <c r="A1799" t="s">
        <v>44</v>
      </c>
      <c r="B1799" t="s">
        <v>98</v>
      </c>
      <c r="C1799" t="s">
        <v>2449</v>
      </c>
      <c r="D1799">
        <v>2</v>
      </c>
      <c r="E1799">
        <v>5</v>
      </c>
      <c r="F1799" t="s">
        <v>75</v>
      </c>
      <c r="G1799" t="s">
        <v>11</v>
      </c>
      <c r="H1799" t="s">
        <v>11</v>
      </c>
    </row>
    <row r="1800" spans="1:8" x14ac:dyDescent="0.35">
      <c r="A1800" t="s">
        <v>44</v>
      </c>
      <c r="B1800" t="s">
        <v>98</v>
      </c>
      <c r="C1800" t="s">
        <v>2450</v>
      </c>
      <c r="D1800">
        <v>2</v>
      </c>
      <c r="E1800">
        <v>3</v>
      </c>
      <c r="F1800" t="s">
        <v>75</v>
      </c>
      <c r="G1800" t="s">
        <v>11</v>
      </c>
      <c r="H1800" t="s">
        <v>11</v>
      </c>
    </row>
    <row r="1801" spans="1:8" x14ac:dyDescent="0.35">
      <c r="A1801" t="s">
        <v>44</v>
      </c>
      <c r="B1801" t="s">
        <v>98</v>
      </c>
      <c r="C1801" t="s">
        <v>2451</v>
      </c>
      <c r="D1801">
        <v>2</v>
      </c>
      <c r="E1801">
        <v>4</v>
      </c>
      <c r="F1801" t="s">
        <v>75</v>
      </c>
      <c r="G1801" t="s">
        <v>11</v>
      </c>
      <c r="H1801" t="s">
        <v>11</v>
      </c>
    </row>
    <row r="1802" spans="1:8" x14ac:dyDescent="0.35">
      <c r="A1802" t="s">
        <v>44</v>
      </c>
      <c r="B1802" t="s">
        <v>98</v>
      </c>
      <c r="C1802" t="s">
        <v>2386</v>
      </c>
      <c r="D1802">
        <v>1</v>
      </c>
      <c r="E1802">
        <v>5</v>
      </c>
      <c r="F1802" t="s">
        <v>75</v>
      </c>
      <c r="G1802" t="s">
        <v>11</v>
      </c>
      <c r="H1802" t="s">
        <v>11</v>
      </c>
    </row>
    <row r="1803" spans="1:8" x14ac:dyDescent="0.35">
      <c r="A1803" t="s">
        <v>44</v>
      </c>
      <c r="B1803" t="s">
        <v>98</v>
      </c>
      <c r="C1803" t="s">
        <v>2452</v>
      </c>
      <c r="D1803">
        <v>2</v>
      </c>
      <c r="E1803">
        <v>4</v>
      </c>
      <c r="F1803" t="s">
        <v>75</v>
      </c>
      <c r="G1803" t="s">
        <v>11</v>
      </c>
      <c r="H1803" t="s">
        <v>11</v>
      </c>
    </row>
    <row r="1804" spans="1:8" x14ac:dyDescent="0.35">
      <c r="A1804" t="s">
        <v>44</v>
      </c>
      <c r="B1804" t="s">
        <v>98</v>
      </c>
      <c r="C1804" t="s">
        <v>2453</v>
      </c>
      <c r="D1804">
        <v>2</v>
      </c>
      <c r="E1804">
        <v>4</v>
      </c>
      <c r="F1804" t="s">
        <v>75</v>
      </c>
      <c r="G1804" t="s">
        <v>11</v>
      </c>
      <c r="H1804" t="s">
        <v>11</v>
      </c>
    </row>
    <row r="1805" spans="1:8" x14ac:dyDescent="0.35">
      <c r="A1805" t="s">
        <v>44</v>
      </c>
      <c r="B1805" t="s">
        <v>98</v>
      </c>
      <c r="C1805" t="s">
        <v>2454</v>
      </c>
      <c r="D1805">
        <v>2</v>
      </c>
      <c r="E1805">
        <v>3</v>
      </c>
      <c r="F1805" t="s">
        <v>75</v>
      </c>
      <c r="G1805" t="s">
        <v>11</v>
      </c>
      <c r="H1805" t="s">
        <v>11</v>
      </c>
    </row>
    <row r="1806" spans="1:8" x14ac:dyDescent="0.35">
      <c r="A1806" t="s">
        <v>44</v>
      </c>
      <c r="B1806" t="s">
        <v>98</v>
      </c>
      <c r="C1806" t="s">
        <v>2455</v>
      </c>
      <c r="D1806">
        <v>2</v>
      </c>
      <c r="E1806">
        <v>3</v>
      </c>
      <c r="F1806" t="s">
        <v>75</v>
      </c>
      <c r="G1806" t="s">
        <v>11</v>
      </c>
      <c r="H1806" t="s">
        <v>11</v>
      </c>
    </row>
    <row r="1807" spans="1:8" x14ac:dyDescent="0.35">
      <c r="A1807" t="s">
        <v>44</v>
      </c>
      <c r="B1807" t="s">
        <v>98</v>
      </c>
      <c r="C1807" t="s">
        <v>1445</v>
      </c>
      <c r="D1807">
        <v>2</v>
      </c>
      <c r="E1807">
        <v>4</v>
      </c>
      <c r="F1807" t="s">
        <v>75</v>
      </c>
      <c r="G1807" t="s">
        <v>11</v>
      </c>
      <c r="H1807" t="s">
        <v>11</v>
      </c>
    </row>
    <row r="1808" spans="1:8" x14ac:dyDescent="0.35">
      <c r="A1808" t="s">
        <v>44</v>
      </c>
      <c r="B1808" t="s">
        <v>98</v>
      </c>
      <c r="C1808" t="s">
        <v>2456</v>
      </c>
      <c r="D1808">
        <v>2</v>
      </c>
      <c r="E1808">
        <v>4</v>
      </c>
      <c r="F1808" t="s">
        <v>75</v>
      </c>
      <c r="G1808" t="s">
        <v>11</v>
      </c>
      <c r="H1808" t="s">
        <v>11</v>
      </c>
    </row>
    <row r="1809" spans="1:8" x14ac:dyDescent="0.35">
      <c r="A1809" t="s">
        <v>44</v>
      </c>
      <c r="B1809" t="s">
        <v>98</v>
      </c>
      <c r="C1809" t="s">
        <v>2457</v>
      </c>
      <c r="D1809">
        <v>2</v>
      </c>
      <c r="E1809">
        <v>5</v>
      </c>
      <c r="F1809" t="s">
        <v>75</v>
      </c>
      <c r="G1809" t="s">
        <v>11</v>
      </c>
      <c r="H1809" t="s">
        <v>11</v>
      </c>
    </row>
    <row r="1810" spans="1:8" x14ac:dyDescent="0.35">
      <c r="A1810" t="s">
        <v>44</v>
      </c>
      <c r="B1810" t="s">
        <v>98</v>
      </c>
      <c r="C1810" t="s">
        <v>2458</v>
      </c>
      <c r="D1810">
        <v>2</v>
      </c>
      <c r="E1810">
        <v>3</v>
      </c>
      <c r="F1810" t="s">
        <v>75</v>
      </c>
      <c r="G1810" t="s">
        <v>11</v>
      </c>
      <c r="H1810" t="s">
        <v>11</v>
      </c>
    </row>
    <row r="1811" spans="1:8" x14ac:dyDescent="0.35">
      <c r="A1811" t="s">
        <v>44</v>
      </c>
      <c r="B1811" t="s">
        <v>98</v>
      </c>
      <c r="C1811" t="s">
        <v>2459</v>
      </c>
      <c r="D1811">
        <v>2</v>
      </c>
      <c r="E1811">
        <v>3</v>
      </c>
      <c r="F1811" t="s">
        <v>75</v>
      </c>
      <c r="G1811" t="s">
        <v>11</v>
      </c>
      <c r="H1811" t="s">
        <v>11</v>
      </c>
    </row>
    <row r="1812" spans="1:8" x14ac:dyDescent="0.35">
      <c r="A1812" t="s">
        <v>44</v>
      </c>
      <c r="B1812" t="s">
        <v>98</v>
      </c>
      <c r="C1812" t="s">
        <v>1453</v>
      </c>
      <c r="D1812">
        <v>2</v>
      </c>
      <c r="E1812">
        <v>4</v>
      </c>
      <c r="F1812" t="s">
        <v>75</v>
      </c>
      <c r="G1812" t="s">
        <v>11</v>
      </c>
      <c r="H1812" t="s">
        <v>11</v>
      </c>
    </row>
    <row r="1813" spans="1:8" x14ac:dyDescent="0.35">
      <c r="A1813" t="s">
        <v>44</v>
      </c>
      <c r="B1813" t="s">
        <v>98</v>
      </c>
      <c r="C1813" t="s">
        <v>2460</v>
      </c>
      <c r="D1813">
        <v>2</v>
      </c>
      <c r="E1813">
        <v>5</v>
      </c>
      <c r="F1813" t="s">
        <v>75</v>
      </c>
      <c r="G1813" t="s">
        <v>11</v>
      </c>
      <c r="H1813" t="s">
        <v>11</v>
      </c>
    </row>
    <row r="1814" spans="1:8" x14ac:dyDescent="0.35">
      <c r="A1814" t="s">
        <v>44</v>
      </c>
      <c r="B1814" t="s">
        <v>98</v>
      </c>
      <c r="C1814" t="s">
        <v>2461</v>
      </c>
      <c r="D1814">
        <v>2</v>
      </c>
      <c r="E1814">
        <v>3</v>
      </c>
      <c r="F1814" t="s">
        <v>75</v>
      </c>
      <c r="G1814" t="s">
        <v>11</v>
      </c>
      <c r="H1814" t="s">
        <v>11</v>
      </c>
    </row>
    <row r="1815" spans="1:8" x14ac:dyDescent="0.35">
      <c r="A1815" t="s">
        <v>44</v>
      </c>
      <c r="B1815" t="s">
        <v>98</v>
      </c>
      <c r="C1815" t="s">
        <v>2462</v>
      </c>
      <c r="D1815">
        <v>2</v>
      </c>
      <c r="E1815">
        <v>5</v>
      </c>
      <c r="F1815" t="s">
        <v>75</v>
      </c>
      <c r="G1815" t="s">
        <v>11</v>
      </c>
      <c r="H1815" t="s">
        <v>11</v>
      </c>
    </row>
    <row r="1816" spans="1:8" x14ac:dyDescent="0.35">
      <c r="A1816" t="s">
        <v>44</v>
      </c>
      <c r="B1816" t="s">
        <v>98</v>
      </c>
      <c r="C1816" t="s">
        <v>2463</v>
      </c>
      <c r="D1816">
        <v>1</v>
      </c>
      <c r="E1816">
        <v>5</v>
      </c>
      <c r="F1816" t="s">
        <v>75</v>
      </c>
      <c r="G1816" t="s">
        <v>11</v>
      </c>
      <c r="H1816" t="s">
        <v>11</v>
      </c>
    </row>
    <row r="1817" spans="1:8" x14ac:dyDescent="0.35">
      <c r="A1817" t="s">
        <v>44</v>
      </c>
      <c r="B1817" t="s">
        <v>98</v>
      </c>
      <c r="C1817" t="s">
        <v>1576</v>
      </c>
      <c r="D1817">
        <v>2</v>
      </c>
      <c r="E1817">
        <v>3</v>
      </c>
      <c r="F1817" t="s">
        <v>75</v>
      </c>
      <c r="G1817" t="s">
        <v>11</v>
      </c>
      <c r="H1817" t="s">
        <v>11</v>
      </c>
    </row>
    <row r="1818" spans="1:8" x14ac:dyDescent="0.35">
      <c r="A1818" t="s">
        <v>44</v>
      </c>
      <c r="B1818" t="s">
        <v>98</v>
      </c>
      <c r="C1818" t="s">
        <v>2464</v>
      </c>
      <c r="D1818">
        <v>2</v>
      </c>
      <c r="E1818">
        <v>4</v>
      </c>
      <c r="F1818" t="s">
        <v>75</v>
      </c>
      <c r="G1818" t="s">
        <v>11</v>
      </c>
      <c r="H1818" t="s">
        <v>11</v>
      </c>
    </row>
    <row r="1819" spans="1:8" x14ac:dyDescent="0.35">
      <c r="A1819" t="s">
        <v>44</v>
      </c>
      <c r="B1819" t="s">
        <v>98</v>
      </c>
      <c r="C1819" t="s">
        <v>2465</v>
      </c>
      <c r="D1819">
        <v>1</v>
      </c>
      <c r="E1819">
        <v>5</v>
      </c>
      <c r="F1819" t="s">
        <v>75</v>
      </c>
      <c r="G1819" t="s">
        <v>11</v>
      </c>
      <c r="H1819" t="s">
        <v>11</v>
      </c>
    </row>
    <row r="1820" spans="1:8" x14ac:dyDescent="0.35">
      <c r="A1820" t="s">
        <v>44</v>
      </c>
      <c r="B1820" t="s">
        <v>98</v>
      </c>
      <c r="C1820" t="s">
        <v>2368</v>
      </c>
      <c r="D1820">
        <v>2</v>
      </c>
      <c r="E1820">
        <v>4</v>
      </c>
      <c r="F1820" t="s">
        <v>75</v>
      </c>
      <c r="G1820" t="s">
        <v>11</v>
      </c>
      <c r="H1820" t="s">
        <v>11</v>
      </c>
    </row>
    <row r="1821" spans="1:8" x14ac:dyDescent="0.35">
      <c r="A1821" t="s">
        <v>44</v>
      </c>
      <c r="B1821" t="s">
        <v>98</v>
      </c>
      <c r="C1821" t="s">
        <v>1586</v>
      </c>
      <c r="D1821">
        <v>2</v>
      </c>
      <c r="E1821">
        <v>5</v>
      </c>
      <c r="F1821" t="s">
        <v>75</v>
      </c>
      <c r="G1821" t="s">
        <v>11</v>
      </c>
      <c r="H1821" t="s">
        <v>11</v>
      </c>
    </row>
    <row r="1822" spans="1:8" x14ac:dyDescent="0.35">
      <c r="A1822" t="s">
        <v>44</v>
      </c>
      <c r="B1822" t="s">
        <v>98</v>
      </c>
      <c r="C1822" t="s">
        <v>1587</v>
      </c>
      <c r="D1822">
        <v>1</v>
      </c>
      <c r="E1822">
        <v>5</v>
      </c>
      <c r="F1822" t="s">
        <v>75</v>
      </c>
      <c r="G1822" t="s">
        <v>11</v>
      </c>
      <c r="H1822" t="s">
        <v>11</v>
      </c>
    </row>
    <row r="1823" spans="1:8" x14ac:dyDescent="0.35">
      <c r="A1823" t="s">
        <v>44</v>
      </c>
      <c r="B1823" t="s">
        <v>98</v>
      </c>
      <c r="C1823" t="s">
        <v>2466</v>
      </c>
      <c r="D1823">
        <v>2</v>
      </c>
      <c r="E1823">
        <v>5</v>
      </c>
      <c r="F1823" t="s">
        <v>75</v>
      </c>
      <c r="G1823" t="s">
        <v>11</v>
      </c>
      <c r="H1823" t="s">
        <v>11</v>
      </c>
    </row>
    <row r="1824" spans="1:8" x14ac:dyDescent="0.35">
      <c r="A1824" t="s">
        <v>44</v>
      </c>
      <c r="B1824" t="s">
        <v>98</v>
      </c>
      <c r="C1824" t="s">
        <v>2467</v>
      </c>
      <c r="D1824">
        <v>1</v>
      </c>
      <c r="E1824">
        <v>5</v>
      </c>
      <c r="F1824" t="s">
        <v>75</v>
      </c>
      <c r="G1824" t="s">
        <v>11</v>
      </c>
      <c r="H1824" t="s">
        <v>11</v>
      </c>
    </row>
    <row r="1825" spans="1:8" x14ac:dyDescent="0.35">
      <c r="A1825" t="s">
        <v>44</v>
      </c>
      <c r="B1825" t="s">
        <v>98</v>
      </c>
      <c r="C1825" t="s">
        <v>1524</v>
      </c>
      <c r="D1825">
        <v>2</v>
      </c>
      <c r="E1825">
        <v>4</v>
      </c>
      <c r="F1825" t="s">
        <v>75</v>
      </c>
      <c r="G1825" t="s">
        <v>11</v>
      </c>
      <c r="H1825" t="s">
        <v>11</v>
      </c>
    </row>
    <row r="1826" spans="1:8" x14ac:dyDescent="0.35">
      <c r="A1826" t="s">
        <v>44</v>
      </c>
      <c r="B1826" t="s">
        <v>98</v>
      </c>
      <c r="C1826" t="s">
        <v>2468</v>
      </c>
      <c r="D1826">
        <v>2</v>
      </c>
      <c r="E1826">
        <v>4</v>
      </c>
      <c r="F1826" t="s">
        <v>75</v>
      </c>
      <c r="G1826" t="s">
        <v>11</v>
      </c>
      <c r="H1826" t="s">
        <v>11</v>
      </c>
    </row>
    <row r="1827" spans="1:8" x14ac:dyDescent="0.35">
      <c r="A1827" t="s">
        <v>44</v>
      </c>
      <c r="B1827" t="s">
        <v>98</v>
      </c>
      <c r="C1827" t="s">
        <v>2469</v>
      </c>
      <c r="D1827">
        <v>1</v>
      </c>
      <c r="E1827">
        <v>5</v>
      </c>
      <c r="F1827" t="s">
        <v>75</v>
      </c>
      <c r="G1827" t="s">
        <v>11</v>
      </c>
      <c r="H1827" t="s">
        <v>11</v>
      </c>
    </row>
    <row r="1828" spans="1:8" x14ac:dyDescent="0.35">
      <c r="A1828" t="s">
        <v>44</v>
      </c>
      <c r="B1828" t="s">
        <v>98</v>
      </c>
      <c r="C1828" t="s">
        <v>2470</v>
      </c>
      <c r="D1828">
        <v>2</v>
      </c>
      <c r="E1828">
        <v>5</v>
      </c>
      <c r="F1828" t="s">
        <v>75</v>
      </c>
      <c r="G1828" t="s">
        <v>11</v>
      </c>
      <c r="H1828" t="s">
        <v>11</v>
      </c>
    </row>
    <row r="1829" spans="1:8" x14ac:dyDescent="0.35">
      <c r="A1829" t="s">
        <v>44</v>
      </c>
      <c r="B1829" t="s">
        <v>98</v>
      </c>
      <c r="C1829" t="s">
        <v>1476</v>
      </c>
      <c r="D1829">
        <v>2</v>
      </c>
      <c r="E1829">
        <v>4</v>
      </c>
      <c r="F1829" t="s">
        <v>75</v>
      </c>
      <c r="G1829" t="s">
        <v>11</v>
      </c>
      <c r="H1829" t="s">
        <v>11</v>
      </c>
    </row>
    <row r="1830" spans="1:8" x14ac:dyDescent="0.35">
      <c r="A1830" t="s">
        <v>44</v>
      </c>
      <c r="B1830" t="s">
        <v>98</v>
      </c>
      <c r="C1830" t="s">
        <v>2471</v>
      </c>
      <c r="D1830">
        <v>2</v>
      </c>
      <c r="E1830">
        <v>4</v>
      </c>
      <c r="F1830" t="s">
        <v>75</v>
      </c>
      <c r="G1830" t="s">
        <v>11</v>
      </c>
      <c r="H1830" t="s">
        <v>11</v>
      </c>
    </row>
    <row r="1831" spans="1:8" x14ac:dyDescent="0.35">
      <c r="A1831" t="s">
        <v>46</v>
      </c>
      <c r="B1831" t="s">
        <v>80</v>
      </c>
      <c r="C1831" t="s">
        <v>2472</v>
      </c>
      <c r="D1831">
        <v>1</v>
      </c>
      <c r="E1831">
        <v>5</v>
      </c>
      <c r="F1831" t="s">
        <v>7</v>
      </c>
      <c r="G1831" t="s">
        <v>11</v>
      </c>
      <c r="H1831" t="s">
        <v>11</v>
      </c>
    </row>
    <row r="1832" spans="1:8" x14ac:dyDescent="0.35">
      <c r="A1832" t="s">
        <v>46</v>
      </c>
      <c r="B1832" t="s">
        <v>80</v>
      </c>
      <c r="C1832" t="s">
        <v>2118</v>
      </c>
      <c r="D1832">
        <v>1</v>
      </c>
      <c r="E1832">
        <v>6</v>
      </c>
      <c r="F1832" t="s">
        <v>7</v>
      </c>
      <c r="G1832" t="s">
        <v>11</v>
      </c>
      <c r="H1832" t="s">
        <v>11</v>
      </c>
    </row>
    <row r="1833" spans="1:8" x14ac:dyDescent="0.35">
      <c r="A1833" t="s">
        <v>46</v>
      </c>
      <c r="B1833" t="s">
        <v>80</v>
      </c>
      <c r="C1833" t="s">
        <v>2473</v>
      </c>
      <c r="D1833">
        <v>3</v>
      </c>
      <c r="E1833">
        <v>4</v>
      </c>
      <c r="F1833" t="s">
        <v>7</v>
      </c>
      <c r="G1833" t="s">
        <v>11</v>
      </c>
      <c r="H1833" t="s">
        <v>11</v>
      </c>
    </row>
    <row r="1834" spans="1:8" x14ac:dyDescent="0.35">
      <c r="A1834" t="s">
        <v>46</v>
      </c>
      <c r="B1834" t="s">
        <v>80</v>
      </c>
      <c r="C1834" t="s">
        <v>2474</v>
      </c>
      <c r="D1834">
        <v>1</v>
      </c>
      <c r="E1834">
        <v>6</v>
      </c>
      <c r="F1834" t="s">
        <v>7</v>
      </c>
      <c r="G1834" t="s">
        <v>11</v>
      </c>
      <c r="H1834" t="s">
        <v>11</v>
      </c>
    </row>
    <row r="1835" spans="1:8" x14ac:dyDescent="0.35">
      <c r="A1835" t="s">
        <v>46</v>
      </c>
      <c r="B1835" t="s">
        <v>80</v>
      </c>
      <c r="C1835" t="s">
        <v>2475</v>
      </c>
      <c r="D1835">
        <v>1</v>
      </c>
      <c r="E1835">
        <v>6</v>
      </c>
      <c r="F1835" t="s">
        <v>7</v>
      </c>
      <c r="G1835" t="s">
        <v>11</v>
      </c>
      <c r="H1835" t="s">
        <v>11</v>
      </c>
    </row>
    <row r="1836" spans="1:8" x14ac:dyDescent="0.35">
      <c r="A1836" t="s">
        <v>46</v>
      </c>
      <c r="B1836" t="s">
        <v>80</v>
      </c>
      <c r="C1836" t="s">
        <v>2476</v>
      </c>
      <c r="D1836">
        <v>1</v>
      </c>
      <c r="E1836">
        <v>5</v>
      </c>
      <c r="F1836" t="s">
        <v>7</v>
      </c>
      <c r="G1836" t="s">
        <v>11</v>
      </c>
      <c r="H1836" t="s">
        <v>11</v>
      </c>
    </row>
    <row r="1837" spans="1:8" x14ac:dyDescent="0.35">
      <c r="A1837" t="s">
        <v>46</v>
      </c>
      <c r="B1837" t="s">
        <v>80</v>
      </c>
      <c r="C1837" t="s">
        <v>1946</v>
      </c>
      <c r="D1837">
        <v>1</v>
      </c>
      <c r="E1837">
        <v>5</v>
      </c>
      <c r="F1837" t="s">
        <v>7</v>
      </c>
      <c r="G1837" t="s">
        <v>11</v>
      </c>
      <c r="H1837" t="s">
        <v>11</v>
      </c>
    </row>
    <row r="1838" spans="1:8" x14ac:dyDescent="0.35">
      <c r="A1838" t="s">
        <v>46</v>
      </c>
      <c r="B1838" t="s">
        <v>80</v>
      </c>
      <c r="C1838" t="s">
        <v>2477</v>
      </c>
      <c r="D1838">
        <v>1</v>
      </c>
      <c r="E1838">
        <v>5</v>
      </c>
      <c r="F1838" t="s">
        <v>7</v>
      </c>
      <c r="G1838" t="s">
        <v>11</v>
      </c>
      <c r="H1838" t="s">
        <v>11</v>
      </c>
    </row>
    <row r="1839" spans="1:8" x14ac:dyDescent="0.35">
      <c r="A1839" t="s">
        <v>46</v>
      </c>
      <c r="B1839" t="s">
        <v>80</v>
      </c>
      <c r="C1839" t="s">
        <v>2478</v>
      </c>
      <c r="D1839">
        <v>1</v>
      </c>
      <c r="E1839">
        <v>6</v>
      </c>
      <c r="F1839" t="s">
        <v>7</v>
      </c>
      <c r="G1839" t="s">
        <v>11</v>
      </c>
      <c r="H1839" t="s">
        <v>11</v>
      </c>
    </row>
    <row r="1840" spans="1:8" x14ac:dyDescent="0.35">
      <c r="A1840" t="s">
        <v>46</v>
      </c>
      <c r="B1840" t="s">
        <v>80</v>
      </c>
      <c r="C1840" t="s">
        <v>1807</v>
      </c>
      <c r="D1840">
        <v>2</v>
      </c>
      <c r="E1840">
        <v>6</v>
      </c>
      <c r="F1840" t="s">
        <v>7</v>
      </c>
      <c r="G1840" t="s">
        <v>11</v>
      </c>
      <c r="H1840" t="s">
        <v>11</v>
      </c>
    </row>
    <row r="1841" spans="1:8" x14ac:dyDescent="0.35">
      <c r="A1841" t="s">
        <v>46</v>
      </c>
      <c r="B1841" t="s">
        <v>80</v>
      </c>
      <c r="C1841" t="s">
        <v>1434</v>
      </c>
      <c r="D1841">
        <v>1</v>
      </c>
      <c r="E1841">
        <v>5</v>
      </c>
      <c r="F1841" t="s">
        <v>7</v>
      </c>
      <c r="G1841" t="s">
        <v>11</v>
      </c>
      <c r="H1841" t="s">
        <v>11</v>
      </c>
    </row>
    <row r="1842" spans="1:8" x14ac:dyDescent="0.35">
      <c r="A1842" t="s">
        <v>46</v>
      </c>
      <c r="B1842" t="s">
        <v>80</v>
      </c>
      <c r="C1842" t="s">
        <v>2479</v>
      </c>
      <c r="D1842">
        <v>1</v>
      </c>
      <c r="E1842">
        <v>5</v>
      </c>
      <c r="F1842" t="s">
        <v>7</v>
      </c>
      <c r="G1842" t="s">
        <v>11</v>
      </c>
      <c r="H1842" t="s">
        <v>11</v>
      </c>
    </row>
    <row r="1843" spans="1:8" x14ac:dyDescent="0.35">
      <c r="A1843" t="s">
        <v>46</v>
      </c>
      <c r="B1843" t="s">
        <v>80</v>
      </c>
      <c r="C1843" t="s">
        <v>1859</v>
      </c>
      <c r="D1843">
        <v>1</v>
      </c>
      <c r="E1843">
        <v>6</v>
      </c>
      <c r="F1843" t="s">
        <v>7</v>
      </c>
      <c r="G1843" t="s">
        <v>11</v>
      </c>
      <c r="H1843" t="s">
        <v>11</v>
      </c>
    </row>
    <row r="1844" spans="1:8" x14ac:dyDescent="0.35">
      <c r="A1844" t="s">
        <v>46</v>
      </c>
      <c r="B1844" t="s">
        <v>80</v>
      </c>
      <c r="C1844" t="s">
        <v>2480</v>
      </c>
      <c r="D1844">
        <v>1</v>
      </c>
      <c r="E1844">
        <v>5</v>
      </c>
      <c r="F1844" t="s">
        <v>7</v>
      </c>
      <c r="G1844" t="s">
        <v>11</v>
      </c>
      <c r="H1844" t="s">
        <v>11</v>
      </c>
    </row>
    <row r="1845" spans="1:8" x14ac:dyDescent="0.35">
      <c r="A1845" t="s">
        <v>46</v>
      </c>
      <c r="B1845" t="s">
        <v>80</v>
      </c>
      <c r="C1845" t="s">
        <v>2481</v>
      </c>
      <c r="D1845">
        <v>1</v>
      </c>
      <c r="E1845">
        <v>5</v>
      </c>
      <c r="F1845" t="s">
        <v>7</v>
      </c>
      <c r="G1845" t="s">
        <v>11</v>
      </c>
      <c r="H1845" t="s">
        <v>11</v>
      </c>
    </row>
    <row r="1846" spans="1:8" x14ac:dyDescent="0.35">
      <c r="A1846" t="s">
        <v>46</v>
      </c>
      <c r="B1846" t="s">
        <v>80</v>
      </c>
      <c r="C1846" t="s">
        <v>2139</v>
      </c>
      <c r="D1846">
        <v>3</v>
      </c>
      <c r="E1846">
        <v>6</v>
      </c>
      <c r="F1846" t="s">
        <v>7</v>
      </c>
      <c r="G1846" t="s">
        <v>11</v>
      </c>
      <c r="H1846" t="s">
        <v>11</v>
      </c>
    </row>
    <row r="1847" spans="1:8" x14ac:dyDescent="0.35">
      <c r="A1847" t="s">
        <v>46</v>
      </c>
      <c r="B1847" t="s">
        <v>80</v>
      </c>
      <c r="C1847" t="s">
        <v>1341</v>
      </c>
      <c r="D1847">
        <v>3</v>
      </c>
      <c r="E1847">
        <v>6</v>
      </c>
      <c r="F1847" t="s">
        <v>7</v>
      </c>
      <c r="G1847" t="s">
        <v>11</v>
      </c>
      <c r="H1847" t="s">
        <v>11</v>
      </c>
    </row>
    <row r="1848" spans="1:8" x14ac:dyDescent="0.35">
      <c r="A1848" t="s">
        <v>46</v>
      </c>
      <c r="B1848" t="s">
        <v>80</v>
      </c>
      <c r="C1848" t="s">
        <v>1443</v>
      </c>
      <c r="D1848">
        <v>3</v>
      </c>
      <c r="E1848">
        <v>6</v>
      </c>
      <c r="F1848" t="s">
        <v>7</v>
      </c>
      <c r="G1848" t="s">
        <v>11</v>
      </c>
      <c r="H1848" t="s">
        <v>11</v>
      </c>
    </row>
    <row r="1849" spans="1:8" x14ac:dyDescent="0.35">
      <c r="A1849" t="s">
        <v>46</v>
      </c>
      <c r="B1849" t="s">
        <v>80</v>
      </c>
      <c r="C1849" t="s">
        <v>2160</v>
      </c>
      <c r="D1849">
        <v>1</v>
      </c>
      <c r="E1849">
        <v>5</v>
      </c>
      <c r="F1849" t="s">
        <v>7</v>
      </c>
      <c r="G1849" t="s">
        <v>11</v>
      </c>
      <c r="H1849" t="s">
        <v>11</v>
      </c>
    </row>
    <row r="1850" spans="1:8" x14ac:dyDescent="0.35">
      <c r="A1850" t="s">
        <v>46</v>
      </c>
      <c r="B1850" t="s">
        <v>80</v>
      </c>
      <c r="C1850" t="s">
        <v>1343</v>
      </c>
      <c r="D1850">
        <v>1</v>
      </c>
      <c r="E1850">
        <v>5</v>
      </c>
      <c r="F1850" t="s">
        <v>7</v>
      </c>
      <c r="G1850" t="s">
        <v>11</v>
      </c>
      <c r="H1850" t="s">
        <v>11</v>
      </c>
    </row>
    <row r="1851" spans="1:8" x14ac:dyDescent="0.35">
      <c r="A1851" t="s">
        <v>46</v>
      </c>
      <c r="B1851" t="s">
        <v>80</v>
      </c>
      <c r="C1851" t="s">
        <v>1621</v>
      </c>
      <c r="D1851">
        <v>3</v>
      </c>
      <c r="E1851">
        <v>6</v>
      </c>
      <c r="F1851" t="s">
        <v>7</v>
      </c>
      <c r="G1851" t="s">
        <v>11</v>
      </c>
      <c r="H1851" t="s">
        <v>11</v>
      </c>
    </row>
    <row r="1852" spans="1:8" x14ac:dyDescent="0.35">
      <c r="A1852" t="s">
        <v>46</v>
      </c>
      <c r="B1852" t="s">
        <v>80</v>
      </c>
      <c r="C1852" t="s">
        <v>2482</v>
      </c>
      <c r="D1852">
        <v>3</v>
      </c>
      <c r="E1852">
        <v>6</v>
      </c>
      <c r="F1852" t="s">
        <v>7</v>
      </c>
      <c r="G1852" t="s">
        <v>11</v>
      </c>
      <c r="H1852" t="s">
        <v>11</v>
      </c>
    </row>
    <row r="1853" spans="1:8" x14ac:dyDescent="0.35">
      <c r="A1853" t="s">
        <v>46</v>
      </c>
      <c r="B1853" t="s">
        <v>80</v>
      </c>
      <c r="C1853" t="s">
        <v>1348</v>
      </c>
      <c r="D1853">
        <v>2</v>
      </c>
      <c r="E1853">
        <v>6</v>
      </c>
      <c r="F1853" t="s">
        <v>7</v>
      </c>
      <c r="G1853" t="s">
        <v>11</v>
      </c>
      <c r="H1853" t="s">
        <v>11</v>
      </c>
    </row>
    <row r="1854" spans="1:8" x14ac:dyDescent="0.35">
      <c r="A1854" t="s">
        <v>46</v>
      </c>
      <c r="B1854" t="s">
        <v>80</v>
      </c>
      <c r="C1854" t="s">
        <v>1496</v>
      </c>
      <c r="D1854">
        <v>3</v>
      </c>
      <c r="E1854">
        <v>4</v>
      </c>
      <c r="F1854" t="s">
        <v>7</v>
      </c>
      <c r="G1854" t="s">
        <v>11</v>
      </c>
      <c r="H1854" t="s">
        <v>11</v>
      </c>
    </row>
    <row r="1855" spans="1:8" x14ac:dyDescent="0.35">
      <c r="A1855" t="s">
        <v>46</v>
      </c>
      <c r="B1855" t="s">
        <v>80</v>
      </c>
      <c r="C1855" t="s">
        <v>1789</v>
      </c>
      <c r="D1855">
        <v>2</v>
      </c>
      <c r="E1855">
        <v>6</v>
      </c>
      <c r="F1855" t="s">
        <v>7</v>
      </c>
      <c r="G1855" t="s">
        <v>11</v>
      </c>
      <c r="H1855" t="s">
        <v>11</v>
      </c>
    </row>
    <row r="1856" spans="1:8" x14ac:dyDescent="0.35">
      <c r="A1856" t="s">
        <v>46</v>
      </c>
      <c r="B1856" t="s">
        <v>80</v>
      </c>
      <c r="C1856" t="s">
        <v>1827</v>
      </c>
      <c r="D1856">
        <v>1</v>
      </c>
      <c r="E1856">
        <v>5</v>
      </c>
      <c r="F1856" t="s">
        <v>7</v>
      </c>
      <c r="G1856" t="s">
        <v>11</v>
      </c>
      <c r="H1856" t="s">
        <v>11</v>
      </c>
    </row>
    <row r="1857" spans="1:8" x14ac:dyDescent="0.35">
      <c r="A1857" t="s">
        <v>46</v>
      </c>
      <c r="B1857" t="s">
        <v>80</v>
      </c>
      <c r="C1857" t="s">
        <v>1356</v>
      </c>
      <c r="D1857">
        <v>1</v>
      </c>
      <c r="E1857">
        <v>6</v>
      </c>
      <c r="F1857" t="s">
        <v>7</v>
      </c>
      <c r="G1857" t="s">
        <v>11</v>
      </c>
      <c r="H1857" t="s">
        <v>11</v>
      </c>
    </row>
    <row r="1858" spans="1:8" x14ac:dyDescent="0.35">
      <c r="A1858" t="s">
        <v>46</v>
      </c>
      <c r="B1858" t="s">
        <v>80</v>
      </c>
      <c r="C1858" t="s">
        <v>1361</v>
      </c>
      <c r="D1858">
        <v>2</v>
      </c>
      <c r="E1858">
        <v>5</v>
      </c>
      <c r="F1858" t="s">
        <v>7</v>
      </c>
      <c r="G1858" t="s">
        <v>11</v>
      </c>
      <c r="H1858" t="s">
        <v>11</v>
      </c>
    </row>
    <row r="1859" spans="1:8" x14ac:dyDescent="0.35">
      <c r="A1859" t="s">
        <v>46</v>
      </c>
      <c r="B1859" t="s">
        <v>80</v>
      </c>
      <c r="C1859" t="s">
        <v>1362</v>
      </c>
      <c r="D1859">
        <v>2</v>
      </c>
      <c r="E1859">
        <v>6</v>
      </c>
      <c r="F1859" t="s">
        <v>7</v>
      </c>
      <c r="G1859" t="s">
        <v>11</v>
      </c>
      <c r="H1859" t="s">
        <v>11</v>
      </c>
    </row>
    <row r="1860" spans="1:8" x14ac:dyDescent="0.35">
      <c r="A1860" t="s">
        <v>46</v>
      </c>
      <c r="B1860" t="s">
        <v>80</v>
      </c>
      <c r="C1860" t="s">
        <v>1635</v>
      </c>
      <c r="D1860">
        <v>3</v>
      </c>
      <c r="E1860">
        <v>4</v>
      </c>
      <c r="F1860" t="s">
        <v>7</v>
      </c>
      <c r="G1860" t="s">
        <v>11</v>
      </c>
      <c r="H1860" t="s">
        <v>11</v>
      </c>
    </row>
    <row r="1861" spans="1:8" x14ac:dyDescent="0.35">
      <c r="A1861" t="s">
        <v>46</v>
      </c>
      <c r="B1861" t="s">
        <v>80</v>
      </c>
      <c r="C1861" t="s">
        <v>2483</v>
      </c>
      <c r="D1861">
        <v>3</v>
      </c>
      <c r="E1861">
        <v>4</v>
      </c>
      <c r="F1861" t="s">
        <v>7</v>
      </c>
      <c r="G1861" t="s">
        <v>11</v>
      </c>
      <c r="H1861" t="s">
        <v>11</v>
      </c>
    </row>
    <row r="1862" spans="1:8" x14ac:dyDescent="0.35">
      <c r="A1862" t="s">
        <v>46</v>
      </c>
      <c r="B1862" t="s">
        <v>80</v>
      </c>
      <c r="C1862" t="s">
        <v>2484</v>
      </c>
      <c r="D1862">
        <v>2</v>
      </c>
      <c r="E1862">
        <v>5</v>
      </c>
      <c r="F1862" t="s">
        <v>7</v>
      </c>
      <c r="G1862" t="s">
        <v>11</v>
      </c>
      <c r="H1862" t="s">
        <v>11</v>
      </c>
    </row>
    <row r="1863" spans="1:8" x14ac:dyDescent="0.35">
      <c r="A1863" t="s">
        <v>46</v>
      </c>
      <c r="B1863" t="s">
        <v>80</v>
      </c>
      <c r="C1863" t="s">
        <v>1792</v>
      </c>
      <c r="D1863">
        <v>2</v>
      </c>
      <c r="E1863">
        <v>6</v>
      </c>
      <c r="F1863" t="s">
        <v>7</v>
      </c>
      <c r="G1863" t="s">
        <v>11</v>
      </c>
      <c r="H1863" t="s">
        <v>11</v>
      </c>
    </row>
    <row r="1864" spans="1:8" x14ac:dyDescent="0.35">
      <c r="A1864" t="s">
        <v>46</v>
      </c>
      <c r="B1864" t="s">
        <v>80</v>
      </c>
      <c r="C1864" t="s">
        <v>2485</v>
      </c>
      <c r="D1864">
        <v>1</v>
      </c>
      <c r="E1864">
        <v>5</v>
      </c>
      <c r="F1864" t="s">
        <v>7</v>
      </c>
      <c r="G1864" t="s">
        <v>11</v>
      </c>
      <c r="H1864" t="s">
        <v>11</v>
      </c>
    </row>
    <row r="1865" spans="1:8" x14ac:dyDescent="0.35">
      <c r="A1865" t="s">
        <v>46</v>
      </c>
      <c r="B1865" t="s">
        <v>80</v>
      </c>
      <c r="C1865" t="s">
        <v>2486</v>
      </c>
      <c r="D1865">
        <v>1</v>
      </c>
      <c r="E1865">
        <v>5</v>
      </c>
      <c r="F1865" t="s">
        <v>7</v>
      </c>
      <c r="G1865" t="s">
        <v>11</v>
      </c>
      <c r="H1865" t="s">
        <v>11</v>
      </c>
    </row>
    <row r="1866" spans="1:8" x14ac:dyDescent="0.35">
      <c r="A1866" t="s">
        <v>46</v>
      </c>
      <c r="B1866" t="s">
        <v>80</v>
      </c>
      <c r="C1866" t="s">
        <v>1509</v>
      </c>
      <c r="D1866">
        <v>1</v>
      </c>
      <c r="E1866">
        <v>5</v>
      </c>
      <c r="F1866" t="s">
        <v>7</v>
      </c>
      <c r="G1866" t="s">
        <v>11</v>
      </c>
      <c r="H1866" t="s">
        <v>11</v>
      </c>
    </row>
    <row r="1867" spans="1:8" x14ac:dyDescent="0.35">
      <c r="A1867" t="s">
        <v>46</v>
      </c>
      <c r="B1867" t="s">
        <v>80</v>
      </c>
      <c r="C1867" t="s">
        <v>2085</v>
      </c>
      <c r="D1867">
        <v>2</v>
      </c>
      <c r="E1867">
        <v>5</v>
      </c>
      <c r="F1867" t="s">
        <v>7</v>
      </c>
      <c r="G1867" t="s">
        <v>11</v>
      </c>
      <c r="H1867" t="s">
        <v>11</v>
      </c>
    </row>
    <row r="1868" spans="1:8" x14ac:dyDescent="0.35">
      <c r="A1868" t="s">
        <v>46</v>
      </c>
      <c r="B1868" t="s">
        <v>80</v>
      </c>
      <c r="C1868" t="s">
        <v>2487</v>
      </c>
      <c r="D1868">
        <v>2</v>
      </c>
      <c r="E1868">
        <v>5</v>
      </c>
      <c r="F1868" t="s">
        <v>7</v>
      </c>
      <c r="G1868" t="s">
        <v>11</v>
      </c>
      <c r="H1868" t="s">
        <v>11</v>
      </c>
    </row>
    <row r="1869" spans="1:8" x14ac:dyDescent="0.35">
      <c r="A1869" t="s">
        <v>46</v>
      </c>
      <c r="B1869" t="s">
        <v>80</v>
      </c>
      <c r="C1869" t="s">
        <v>2197</v>
      </c>
      <c r="D1869">
        <v>1</v>
      </c>
      <c r="E1869">
        <v>6</v>
      </c>
      <c r="F1869" t="s">
        <v>7</v>
      </c>
      <c r="G1869" t="s">
        <v>11</v>
      </c>
      <c r="H1869" t="s">
        <v>11</v>
      </c>
    </row>
    <row r="1870" spans="1:8" x14ac:dyDescent="0.35">
      <c r="A1870" t="s">
        <v>46</v>
      </c>
      <c r="B1870" t="s">
        <v>80</v>
      </c>
      <c r="C1870" t="s">
        <v>1642</v>
      </c>
      <c r="D1870">
        <v>1</v>
      </c>
      <c r="E1870">
        <v>5</v>
      </c>
      <c r="F1870" t="s">
        <v>7</v>
      </c>
      <c r="G1870" t="s">
        <v>11</v>
      </c>
      <c r="H1870" t="s">
        <v>11</v>
      </c>
    </row>
    <row r="1871" spans="1:8" x14ac:dyDescent="0.35">
      <c r="A1871" t="s">
        <v>46</v>
      </c>
      <c r="B1871" t="s">
        <v>80</v>
      </c>
      <c r="C1871" t="s">
        <v>2488</v>
      </c>
      <c r="D1871">
        <v>3</v>
      </c>
      <c r="E1871">
        <v>4</v>
      </c>
      <c r="F1871" t="s">
        <v>7</v>
      </c>
      <c r="G1871" t="s">
        <v>11</v>
      </c>
      <c r="H1871" t="s">
        <v>11</v>
      </c>
    </row>
    <row r="1872" spans="1:8" x14ac:dyDescent="0.35">
      <c r="A1872" t="s">
        <v>46</v>
      </c>
      <c r="B1872" t="s">
        <v>80</v>
      </c>
      <c r="C1872" t="s">
        <v>2489</v>
      </c>
      <c r="D1872">
        <v>1</v>
      </c>
      <c r="E1872">
        <v>5</v>
      </c>
      <c r="F1872" t="s">
        <v>7</v>
      </c>
      <c r="G1872" t="s">
        <v>11</v>
      </c>
      <c r="H1872" t="s">
        <v>11</v>
      </c>
    </row>
    <row r="1873" spans="1:8" x14ac:dyDescent="0.35">
      <c r="A1873" t="s">
        <v>46</v>
      </c>
      <c r="B1873" t="s">
        <v>80</v>
      </c>
      <c r="C1873" t="s">
        <v>1732</v>
      </c>
      <c r="D1873">
        <v>3</v>
      </c>
      <c r="E1873">
        <v>4</v>
      </c>
      <c r="F1873" t="s">
        <v>7</v>
      </c>
      <c r="G1873" t="s">
        <v>11</v>
      </c>
      <c r="H1873" t="s">
        <v>11</v>
      </c>
    </row>
    <row r="1874" spans="1:8" x14ac:dyDescent="0.35">
      <c r="A1874" t="s">
        <v>46</v>
      </c>
      <c r="B1874" t="s">
        <v>80</v>
      </c>
      <c r="C1874" t="s">
        <v>2490</v>
      </c>
      <c r="D1874">
        <v>3</v>
      </c>
      <c r="E1874">
        <v>5</v>
      </c>
      <c r="F1874" t="s">
        <v>7</v>
      </c>
      <c r="G1874" t="s">
        <v>11</v>
      </c>
      <c r="H1874" t="s">
        <v>11</v>
      </c>
    </row>
    <row r="1875" spans="1:8" x14ac:dyDescent="0.35">
      <c r="A1875" t="s">
        <v>46</v>
      </c>
      <c r="B1875" t="s">
        <v>80</v>
      </c>
      <c r="C1875" t="s">
        <v>2491</v>
      </c>
      <c r="D1875">
        <v>2</v>
      </c>
      <c r="E1875">
        <v>6</v>
      </c>
      <c r="F1875" t="s">
        <v>7</v>
      </c>
      <c r="G1875" t="s">
        <v>11</v>
      </c>
      <c r="H1875" t="s">
        <v>11</v>
      </c>
    </row>
    <row r="1876" spans="1:8" x14ac:dyDescent="0.35">
      <c r="A1876" t="s">
        <v>46</v>
      </c>
      <c r="B1876" t="s">
        <v>80</v>
      </c>
      <c r="C1876" t="s">
        <v>2492</v>
      </c>
      <c r="D1876">
        <v>2</v>
      </c>
      <c r="E1876">
        <v>5</v>
      </c>
      <c r="F1876" t="s">
        <v>7</v>
      </c>
      <c r="G1876" t="s">
        <v>11</v>
      </c>
      <c r="H1876" t="s">
        <v>11</v>
      </c>
    </row>
    <row r="1877" spans="1:8" x14ac:dyDescent="0.35">
      <c r="A1877" t="s">
        <v>46</v>
      </c>
      <c r="B1877" t="s">
        <v>80</v>
      </c>
      <c r="C1877" t="s">
        <v>2493</v>
      </c>
      <c r="D1877">
        <v>2</v>
      </c>
      <c r="E1877">
        <v>5</v>
      </c>
      <c r="F1877" t="s">
        <v>7</v>
      </c>
      <c r="G1877" t="s">
        <v>11</v>
      </c>
      <c r="H1877" t="s">
        <v>11</v>
      </c>
    </row>
    <row r="1878" spans="1:8" x14ac:dyDescent="0.35">
      <c r="A1878" t="s">
        <v>46</v>
      </c>
      <c r="B1878" t="s">
        <v>80</v>
      </c>
      <c r="C1878" t="s">
        <v>2494</v>
      </c>
      <c r="D1878">
        <v>1</v>
      </c>
      <c r="E1878">
        <v>6</v>
      </c>
      <c r="F1878" t="s">
        <v>7</v>
      </c>
      <c r="G1878" t="s">
        <v>11</v>
      </c>
      <c r="H1878" t="s">
        <v>11</v>
      </c>
    </row>
    <row r="1879" spans="1:8" x14ac:dyDescent="0.35">
      <c r="A1879" t="s">
        <v>46</v>
      </c>
      <c r="B1879" t="s">
        <v>80</v>
      </c>
      <c r="C1879" t="s">
        <v>1843</v>
      </c>
      <c r="D1879">
        <v>1</v>
      </c>
      <c r="E1879">
        <v>6</v>
      </c>
      <c r="F1879" t="s">
        <v>7</v>
      </c>
      <c r="G1879" t="s">
        <v>11</v>
      </c>
      <c r="H1879" t="s">
        <v>11</v>
      </c>
    </row>
    <row r="1880" spans="1:8" x14ac:dyDescent="0.35">
      <c r="A1880" t="s">
        <v>46</v>
      </c>
      <c r="B1880" t="s">
        <v>80</v>
      </c>
      <c r="C1880" t="s">
        <v>2495</v>
      </c>
      <c r="D1880">
        <v>1</v>
      </c>
      <c r="E1880">
        <v>5</v>
      </c>
      <c r="F1880" t="s">
        <v>7</v>
      </c>
      <c r="G1880" t="s">
        <v>11</v>
      </c>
      <c r="H1880" t="s">
        <v>11</v>
      </c>
    </row>
    <row r="1881" spans="1:8" x14ac:dyDescent="0.35">
      <c r="A1881" t="s">
        <v>46</v>
      </c>
      <c r="B1881" t="s">
        <v>80</v>
      </c>
      <c r="C1881" t="s">
        <v>1884</v>
      </c>
      <c r="D1881">
        <v>1</v>
      </c>
      <c r="E1881">
        <v>6</v>
      </c>
      <c r="F1881" t="s">
        <v>7</v>
      </c>
      <c r="G1881" t="s">
        <v>11</v>
      </c>
      <c r="H1881" t="s">
        <v>11</v>
      </c>
    </row>
    <row r="1882" spans="1:8" x14ac:dyDescent="0.35">
      <c r="A1882" t="s">
        <v>46</v>
      </c>
      <c r="B1882" t="s">
        <v>80</v>
      </c>
      <c r="C1882" t="s">
        <v>2144</v>
      </c>
      <c r="D1882">
        <v>3</v>
      </c>
      <c r="E1882">
        <v>4</v>
      </c>
      <c r="F1882" t="s">
        <v>7</v>
      </c>
      <c r="G1882" t="s">
        <v>11</v>
      </c>
      <c r="H1882" t="s">
        <v>11</v>
      </c>
    </row>
    <row r="1883" spans="1:8" x14ac:dyDescent="0.35">
      <c r="A1883" t="s">
        <v>46</v>
      </c>
      <c r="B1883" t="s">
        <v>80</v>
      </c>
      <c r="C1883" t="s">
        <v>1885</v>
      </c>
      <c r="D1883">
        <v>1</v>
      </c>
      <c r="E1883">
        <v>6</v>
      </c>
      <c r="F1883" t="s">
        <v>7</v>
      </c>
      <c r="G1883" t="s">
        <v>11</v>
      </c>
      <c r="H1883" t="s">
        <v>11</v>
      </c>
    </row>
    <row r="1884" spans="1:8" x14ac:dyDescent="0.35">
      <c r="A1884" t="s">
        <v>46</v>
      </c>
      <c r="B1884" t="s">
        <v>80</v>
      </c>
      <c r="C1884" t="s">
        <v>2496</v>
      </c>
      <c r="D1884">
        <v>1</v>
      </c>
      <c r="E1884">
        <v>5</v>
      </c>
      <c r="F1884" t="s">
        <v>7</v>
      </c>
      <c r="G1884" t="s">
        <v>11</v>
      </c>
      <c r="H1884" t="s">
        <v>11</v>
      </c>
    </row>
    <row r="1885" spans="1:8" x14ac:dyDescent="0.35">
      <c r="A1885" t="s">
        <v>46</v>
      </c>
      <c r="B1885" t="s">
        <v>80</v>
      </c>
      <c r="C1885" t="s">
        <v>2497</v>
      </c>
      <c r="D1885">
        <v>1</v>
      </c>
      <c r="E1885">
        <v>6</v>
      </c>
      <c r="F1885" t="s">
        <v>7</v>
      </c>
      <c r="G1885" t="s">
        <v>11</v>
      </c>
      <c r="H1885" t="s">
        <v>11</v>
      </c>
    </row>
    <row r="1886" spans="1:8" x14ac:dyDescent="0.35">
      <c r="A1886" t="s">
        <v>46</v>
      </c>
      <c r="B1886" t="s">
        <v>80</v>
      </c>
      <c r="C1886" t="s">
        <v>2498</v>
      </c>
      <c r="D1886">
        <v>1</v>
      </c>
      <c r="E1886">
        <v>6</v>
      </c>
      <c r="F1886" t="s">
        <v>7</v>
      </c>
      <c r="G1886" t="s">
        <v>11</v>
      </c>
      <c r="H1886" t="s">
        <v>11</v>
      </c>
    </row>
    <row r="1887" spans="1:8" x14ac:dyDescent="0.35">
      <c r="A1887" t="s">
        <v>46</v>
      </c>
      <c r="B1887" t="s">
        <v>80</v>
      </c>
      <c r="C1887" t="s">
        <v>1754</v>
      </c>
      <c r="D1887">
        <v>3</v>
      </c>
      <c r="E1887">
        <v>6</v>
      </c>
      <c r="F1887" t="s">
        <v>7</v>
      </c>
      <c r="G1887" t="s">
        <v>11</v>
      </c>
      <c r="H1887" t="s">
        <v>11</v>
      </c>
    </row>
    <row r="1888" spans="1:8" x14ac:dyDescent="0.35">
      <c r="A1888" t="s">
        <v>46</v>
      </c>
      <c r="B1888" t="s">
        <v>80</v>
      </c>
      <c r="C1888" t="s">
        <v>1376</v>
      </c>
      <c r="D1888">
        <v>1</v>
      </c>
      <c r="E1888">
        <v>5</v>
      </c>
      <c r="F1888" t="s">
        <v>7</v>
      </c>
      <c r="G1888" t="s">
        <v>11</v>
      </c>
      <c r="H1888" t="s">
        <v>11</v>
      </c>
    </row>
    <row r="1889" spans="1:8" x14ac:dyDescent="0.35">
      <c r="A1889" t="s">
        <v>46</v>
      </c>
      <c r="B1889" t="s">
        <v>80</v>
      </c>
      <c r="C1889" t="s">
        <v>1755</v>
      </c>
      <c r="D1889">
        <v>2</v>
      </c>
      <c r="E1889">
        <v>5</v>
      </c>
      <c r="F1889" t="s">
        <v>7</v>
      </c>
      <c r="G1889" t="s">
        <v>11</v>
      </c>
      <c r="H1889" t="s">
        <v>11</v>
      </c>
    </row>
    <row r="1890" spans="1:8" x14ac:dyDescent="0.35">
      <c r="A1890" t="s">
        <v>46</v>
      </c>
      <c r="B1890" t="s">
        <v>80</v>
      </c>
      <c r="C1890" t="s">
        <v>2499</v>
      </c>
      <c r="D1890">
        <v>3</v>
      </c>
      <c r="E1890">
        <v>4</v>
      </c>
      <c r="F1890" t="s">
        <v>7</v>
      </c>
      <c r="G1890" t="s">
        <v>11</v>
      </c>
      <c r="H1890" t="s">
        <v>11</v>
      </c>
    </row>
    <row r="1891" spans="1:8" x14ac:dyDescent="0.35">
      <c r="A1891" t="s">
        <v>46</v>
      </c>
      <c r="B1891" t="s">
        <v>80</v>
      </c>
      <c r="C1891" t="s">
        <v>2500</v>
      </c>
      <c r="D1891">
        <v>1</v>
      </c>
      <c r="E1891">
        <v>6</v>
      </c>
      <c r="F1891" t="s">
        <v>7</v>
      </c>
      <c r="G1891" t="s">
        <v>11</v>
      </c>
      <c r="H1891" t="s">
        <v>11</v>
      </c>
    </row>
    <row r="1892" spans="1:8" x14ac:dyDescent="0.35">
      <c r="A1892" t="s">
        <v>46</v>
      </c>
      <c r="B1892" t="s">
        <v>80</v>
      </c>
      <c r="C1892" t="s">
        <v>2501</v>
      </c>
      <c r="D1892">
        <v>1</v>
      </c>
      <c r="E1892">
        <v>5</v>
      </c>
      <c r="F1892" t="s">
        <v>7</v>
      </c>
      <c r="G1892" t="s">
        <v>11</v>
      </c>
      <c r="H1892" t="s">
        <v>11</v>
      </c>
    </row>
    <row r="1893" spans="1:8" x14ac:dyDescent="0.35">
      <c r="A1893" t="s">
        <v>38</v>
      </c>
      <c r="B1893" t="s">
        <v>99</v>
      </c>
      <c r="C1893" t="s">
        <v>2502</v>
      </c>
      <c r="D1893">
        <v>3</v>
      </c>
      <c r="E1893">
        <v>4</v>
      </c>
      <c r="F1893" t="s">
        <v>7</v>
      </c>
      <c r="G1893" t="s">
        <v>11</v>
      </c>
      <c r="H1893" t="s">
        <v>11</v>
      </c>
    </row>
    <row r="1894" spans="1:8" x14ac:dyDescent="0.35">
      <c r="A1894" t="s">
        <v>38</v>
      </c>
      <c r="B1894" t="s">
        <v>99</v>
      </c>
      <c r="C1894" t="s">
        <v>1800</v>
      </c>
      <c r="D1894">
        <v>2</v>
      </c>
      <c r="E1894">
        <v>4</v>
      </c>
      <c r="F1894" t="s">
        <v>7</v>
      </c>
      <c r="G1894" t="s">
        <v>11</v>
      </c>
      <c r="H1894" t="s">
        <v>11</v>
      </c>
    </row>
    <row r="1895" spans="1:8" x14ac:dyDescent="0.35">
      <c r="A1895" t="s">
        <v>38</v>
      </c>
      <c r="B1895" t="s">
        <v>99</v>
      </c>
      <c r="C1895" t="s">
        <v>2503</v>
      </c>
      <c r="D1895">
        <v>1</v>
      </c>
      <c r="E1895">
        <v>5</v>
      </c>
      <c r="F1895" t="s">
        <v>7</v>
      </c>
      <c r="G1895" t="s">
        <v>11</v>
      </c>
      <c r="H1895" t="s">
        <v>11</v>
      </c>
    </row>
    <row r="1896" spans="1:8" x14ac:dyDescent="0.35">
      <c r="A1896" t="s">
        <v>38</v>
      </c>
      <c r="B1896" t="s">
        <v>99</v>
      </c>
      <c r="C1896" t="s">
        <v>2504</v>
      </c>
      <c r="D1896">
        <v>3</v>
      </c>
      <c r="E1896">
        <v>3</v>
      </c>
      <c r="F1896" t="s">
        <v>7</v>
      </c>
      <c r="G1896" t="s">
        <v>11</v>
      </c>
      <c r="H1896" t="s">
        <v>11</v>
      </c>
    </row>
    <row r="1897" spans="1:8" x14ac:dyDescent="0.35">
      <c r="A1897" t="s">
        <v>38</v>
      </c>
      <c r="B1897" t="s">
        <v>99</v>
      </c>
      <c r="C1897" t="s">
        <v>2505</v>
      </c>
      <c r="D1897">
        <v>2</v>
      </c>
      <c r="E1897">
        <v>5</v>
      </c>
      <c r="F1897" t="s">
        <v>7</v>
      </c>
      <c r="G1897" t="s">
        <v>11</v>
      </c>
      <c r="H1897" t="s">
        <v>11</v>
      </c>
    </row>
    <row r="1898" spans="1:8" x14ac:dyDescent="0.35">
      <c r="A1898" t="s">
        <v>38</v>
      </c>
      <c r="B1898" t="s">
        <v>99</v>
      </c>
      <c r="C1898" t="s">
        <v>2506</v>
      </c>
      <c r="D1898">
        <v>2</v>
      </c>
      <c r="E1898">
        <v>5</v>
      </c>
      <c r="F1898" t="s">
        <v>7</v>
      </c>
      <c r="G1898" t="s">
        <v>11</v>
      </c>
      <c r="H1898" t="s">
        <v>11</v>
      </c>
    </row>
    <row r="1899" spans="1:8" x14ac:dyDescent="0.35">
      <c r="A1899" t="s">
        <v>38</v>
      </c>
      <c r="B1899" t="s">
        <v>99</v>
      </c>
      <c r="C1899" t="s">
        <v>2507</v>
      </c>
      <c r="D1899">
        <v>3</v>
      </c>
      <c r="E1899">
        <v>3</v>
      </c>
      <c r="F1899" t="s">
        <v>7</v>
      </c>
      <c r="G1899" t="s">
        <v>11</v>
      </c>
      <c r="H1899" t="s">
        <v>11</v>
      </c>
    </row>
    <row r="1900" spans="1:8" x14ac:dyDescent="0.35">
      <c r="A1900" t="s">
        <v>38</v>
      </c>
      <c r="B1900" t="s">
        <v>99</v>
      </c>
      <c r="C1900" t="s">
        <v>2508</v>
      </c>
      <c r="D1900">
        <v>3</v>
      </c>
      <c r="E1900">
        <v>4</v>
      </c>
      <c r="F1900" t="s">
        <v>7</v>
      </c>
      <c r="G1900" t="s">
        <v>11</v>
      </c>
      <c r="H1900" t="s">
        <v>11</v>
      </c>
    </row>
    <row r="1901" spans="1:8" x14ac:dyDescent="0.35">
      <c r="A1901" t="s">
        <v>38</v>
      </c>
      <c r="B1901" t="s">
        <v>99</v>
      </c>
      <c r="C1901" t="s">
        <v>2509</v>
      </c>
      <c r="D1901">
        <v>3</v>
      </c>
      <c r="E1901">
        <v>3</v>
      </c>
      <c r="F1901" t="s">
        <v>7</v>
      </c>
      <c r="G1901" t="s">
        <v>11</v>
      </c>
      <c r="H1901" t="s">
        <v>11</v>
      </c>
    </row>
    <row r="1902" spans="1:8" x14ac:dyDescent="0.35">
      <c r="A1902" t="s">
        <v>38</v>
      </c>
      <c r="B1902" t="s">
        <v>99</v>
      </c>
      <c r="C1902" t="s">
        <v>2510</v>
      </c>
      <c r="D1902">
        <v>3</v>
      </c>
      <c r="E1902">
        <v>3</v>
      </c>
      <c r="F1902" t="s">
        <v>7</v>
      </c>
      <c r="G1902" t="s">
        <v>115</v>
      </c>
      <c r="H1902" t="s">
        <v>11</v>
      </c>
    </row>
    <row r="1903" spans="1:8" x14ac:dyDescent="0.35">
      <c r="A1903" t="s">
        <v>38</v>
      </c>
      <c r="B1903" t="s">
        <v>99</v>
      </c>
      <c r="C1903" t="s">
        <v>2511</v>
      </c>
      <c r="D1903">
        <v>1</v>
      </c>
      <c r="E1903">
        <v>4</v>
      </c>
      <c r="F1903" t="s">
        <v>7</v>
      </c>
      <c r="G1903" t="s">
        <v>11</v>
      </c>
      <c r="H1903" t="s">
        <v>11</v>
      </c>
    </row>
    <row r="1904" spans="1:8" x14ac:dyDescent="0.35">
      <c r="A1904" t="s">
        <v>38</v>
      </c>
      <c r="B1904" t="s">
        <v>99</v>
      </c>
      <c r="C1904" t="s">
        <v>1666</v>
      </c>
      <c r="D1904">
        <v>2</v>
      </c>
      <c r="E1904">
        <v>4</v>
      </c>
      <c r="F1904" t="s">
        <v>7</v>
      </c>
      <c r="G1904" t="s">
        <v>11</v>
      </c>
      <c r="H1904" t="s">
        <v>11</v>
      </c>
    </row>
    <row r="1905" spans="1:8" x14ac:dyDescent="0.35">
      <c r="A1905" t="s">
        <v>38</v>
      </c>
      <c r="B1905" t="s">
        <v>99</v>
      </c>
      <c r="C1905" t="s">
        <v>2512</v>
      </c>
      <c r="D1905">
        <v>3</v>
      </c>
      <c r="E1905">
        <v>3</v>
      </c>
      <c r="F1905" t="s">
        <v>7</v>
      </c>
      <c r="G1905" t="s">
        <v>11</v>
      </c>
      <c r="H1905" t="s">
        <v>11</v>
      </c>
    </row>
    <row r="1906" spans="1:8" x14ac:dyDescent="0.35">
      <c r="A1906" t="s">
        <v>38</v>
      </c>
      <c r="B1906" t="s">
        <v>99</v>
      </c>
      <c r="C1906" t="s">
        <v>2017</v>
      </c>
      <c r="D1906">
        <v>2</v>
      </c>
      <c r="E1906">
        <v>4</v>
      </c>
      <c r="F1906" t="s">
        <v>7</v>
      </c>
      <c r="G1906" t="s">
        <v>11</v>
      </c>
      <c r="H1906" t="s">
        <v>11</v>
      </c>
    </row>
    <row r="1907" spans="1:8" x14ac:dyDescent="0.35">
      <c r="A1907" t="s">
        <v>38</v>
      </c>
      <c r="B1907" t="s">
        <v>99</v>
      </c>
      <c r="C1907" t="s">
        <v>1668</v>
      </c>
      <c r="D1907">
        <v>3</v>
      </c>
      <c r="E1907">
        <v>3</v>
      </c>
      <c r="F1907" t="s">
        <v>7</v>
      </c>
      <c r="G1907" t="s">
        <v>11</v>
      </c>
      <c r="H1907" t="s">
        <v>11</v>
      </c>
    </row>
    <row r="1908" spans="1:8" x14ac:dyDescent="0.35">
      <c r="A1908" t="s">
        <v>38</v>
      </c>
      <c r="B1908" t="s">
        <v>99</v>
      </c>
      <c r="C1908" t="s">
        <v>2513</v>
      </c>
      <c r="D1908">
        <v>3</v>
      </c>
      <c r="E1908">
        <v>3</v>
      </c>
      <c r="F1908" t="s">
        <v>7</v>
      </c>
      <c r="G1908" t="s">
        <v>115</v>
      </c>
      <c r="H1908" t="s">
        <v>11</v>
      </c>
    </row>
    <row r="1909" spans="1:8" x14ac:dyDescent="0.35">
      <c r="A1909" t="s">
        <v>38</v>
      </c>
      <c r="B1909" t="s">
        <v>99</v>
      </c>
      <c r="C1909" t="s">
        <v>2514</v>
      </c>
      <c r="D1909">
        <v>2</v>
      </c>
      <c r="E1909">
        <v>4</v>
      </c>
      <c r="F1909" t="s">
        <v>7</v>
      </c>
      <c r="G1909" t="s">
        <v>11</v>
      </c>
      <c r="H1909" t="s">
        <v>11</v>
      </c>
    </row>
    <row r="1910" spans="1:8" x14ac:dyDescent="0.35">
      <c r="A1910" t="s">
        <v>38</v>
      </c>
      <c r="B1910" t="s">
        <v>99</v>
      </c>
      <c r="C1910" t="s">
        <v>2515</v>
      </c>
      <c r="D1910">
        <v>2</v>
      </c>
      <c r="E1910">
        <v>4</v>
      </c>
      <c r="F1910" t="s">
        <v>7</v>
      </c>
      <c r="G1910" t="s">
        <v>11</v>
      </c>
      <c r="H1910" t="s">
        <v>11</v>
      </c>
    </row>
    <row r="1911" spans="1:8" x14ac:dyDescent="0.35">
      <c r="A1911" t="s">
        <v>38</v>
      </c>
      <c r="B1911" t="s">
        <v>99</v>
      </c>
      <c r="C1911" t="s">
        <v>1672</v>
      </c>
      <c r="D1911">
        <v>3</v>
      </c>
      <c r="E1911">
        <v>4</v>
      </c>
      <c r="F1911" t="s">
        <v>7</v>
      </c>
      <c r="G1911" t="s">
        <v>11</v>
      </c>
      <c r="H1911" t="s">
        <v>11</v>
      </c>
    </row>
    <row r="1912" spans="1:8" x14ac:dyDescent="0.35">
      <c r="A1912" t="s">
        <v>38</v>
      </c>
      <c r="B1912" t="s">
        <v>99</v>
      </c>
      <c r="C1912" t="s">
        <v>1321</v>
      </c>
      <c r="D1912">
        <v>1</v>
      </c>
      <c r="E1912">
        <v>4</v>
      </c>
      <c r="F1912" t="s">
        <v>7</v>
      </c>
      <c r="G1912" t="s">
        <v>11</v>
      </c>
      <c r="H1912" t="s">
        <v>11</v>
      </c>
    </row>
    <row r="1913" spans="1:8" x14ac:dyDescent="0.35">
      <c r="A1913" t="s">
        <v>38</v>
      </c>
      <c r="B1913" t="s">
        <v>99</v>
      </c>
      <c r="C1913" t="s">
        <v>2516</v>
      </c>
      <c r="D1913">
        <v>3</v>
      </c>
      <c r="E1913">
        <v>3</v>
      </c>
      <c r="F1913" t="s">
        <v>7</v>
      </c>
      <c r="G1913" t="s">
        <v>11</v>
      </c>
      <c r="H1913" t="s">
        <v>11</v>
      </c>
    </row>
    <row r="1914" spans="1:8" x14ac:dyDescent="0.35">
      <c r="A1914" t="s">
        <v>38</v>
      </c>
      <c r="B1914" t="s">
        <v>99</v>
      </c>
      <c r="C1914" t="s">
        <v>1325</v>
      </c>
      <c r="D1914">
        <v>2</v>
      </c>
      <c r="E1914">
        <v>4</v>
      </c>
      <c r="F1914" t="s">
        <v>7</v>
      </c>
      <c r="G1914" t="s">
        <v>11</v>
      </c>
      <c r="H1914" t="s">
        <v>11</v>
      </c>
    </row>
    <row r="1915" spans="1:8" x14ac:dyDescent="0.35">
      <c r="A1915" t="s">
        <v>38</v>
      </c>
      <c r="B1915" t="s">
        <v>99</v>
      </c>
      <c r="C1915" t="s">
        <v>1433</v>
      </c>
      <c r="D1915">
        <v>2</v>
      </c>
      <c r="E1915">
        <v>4</v>
      </c>
      <c r="F1915" t="s">
        <v>7</v>
      </c>
      <c r="G1915" t="s">
        <v>11</v>
      </c>
      <c r="H1915" t="s">
        <v>11</v>
      </c>
    </row>
    <row r="1916" spans="1:8" x14ac:dyDescent="0.35">
      <c r="A1916" t="s">
        <v>38</v>
      </c>
      <c r="B1916" t="s">
        <v>99</v>
      </c>
      <c r="C1916" t="s">
        <v>2517</v>
      </c>
      <c r="D1916">
        <v>3</v>
      </c>
      <c r="E1916">
        <v>3</v>
      </c>
      <c r="F1916" t="s">
        <v>7</v>
      </c>
      <c r="G1916" t="s">
        <v>115</v>
      </c>
      <c r="H1916" t="s">
        <v>11</v>
      </c>
    </row>
    <row r="1917" spans="1:8" x14ac:dyDescent="0.35">
      <c r="A1917" t="s">
        <v>38</v>
      </c>
      <c r="B1917" t="s">
        <v>99</v>
      </c>
      <c r="C1917" t="s">
        <v>2518</v>
      </c>
      <c r="D1917">
        <v>3</v>
      </c>
      <c r="E1917">
        <v>3</v>
      </c>
      <c r="F1917" t="s">
        <v>7</v>
      </c>
      <c r="G1917" t="s">
        <v>11</v>
      </c>
      <c r="H1917" t="s">
        <v>11</v>
      </c>
    </row>
    <row r="1918" spans="1:8" x14ac:dyDescent="0.35">
      <c r="A1918" t="s">
        <v>38</v>
      </c>
      <c r="B1918" t="s">
        <v>99</v>
      </c>
      <c r="C1918" t="s">
        <v>1809</v>
      </c>
      <c r="D1918">
        <v>3</v>
      </c>
      <c r="E1918">
        <v>3</v>
      </c>
      <c r="F1918" t="s">
        <v>7</v>
      </c>
      <c r="G1918" t="s">
        <v>11</v>
      </c>
      <c r="H1918" t="s">
        <v>11</v>
      </c>
    </row>
    <row r="1919" spans="1:8" x14ac:dyDescent="0.35">
      <c r="A1919" t="s">
        <v>38</v>
      </c>
      <c r="B1919" t="s">
        <v>99</v>
      </c>
      <c r="C1919" t="s">
        <v>2519</v>
      </c>
      <c r="D1919">
        <v>3</v>
      </c>
      <c r="E1919">
        <v>3</v>
      </c>
      <c r="F1919" t="s">
        <v>7</v>
      </c>
      <c r="G1919" t="s">
        <v>11</v>
      </c>
      <c r="H1919" t="s">
        <v>11</v>
      </c>
    </row>
    <row r="1920" spans="1:8" x14ac:dyDescent="0.35">
      <c r="A1920" t="s">
        <v>38</v>
      </c>
      <c r="B1920" t="s">
        <v>99</v>
      </c>
      <c r="C1920" t="s">
        <v>2520</v>
      </c>
      <c r="D1920">
        <v>3</v>
      </c>
      <c r="E1920">
        <v>3</v>
      </c>
      <c r="F1920" t="s">
        <v>7</v>
      </c>
      <c r="G1920" t="s">
        <v>11</v>
      </c>
      <c r="H1920" t="s">
        <v>11</v>
      </c>
    </row>
    <row r="1921" spans="1:8" x14ac:dyDescent="0.35">
      <c r="A1921" t="s">
        <v>38</v>
      </c>
      <c r="B1921" t="s">
        <v>99</v>
      </c>
      <c r="C1921" t="s">
        <v>2521</v>
      </c>
      <c r="D1921">
        <v>3</v>
      </c>
      <c r="E1921">
        <v>3</v>
      </c>
      <c r="F1921" t="s">
        <v>7</v>
      </c>
      <c r="G1921" t="s">
        <v>11</v>
      </c>
      <c r="H1921" t="s">
        <v>11</v>
      </c>
    </row>
    <row r="1922" spans="1:8" x14ac:dyDescent="0.35">
      <c r="A1922" t="s">
        <v>38</v>
      </c>
      <c r="B1922" t="s">
        <v>99</v>
      </c>
      <c r="C1922" t="s">
        <v>2522</v>
      </c>
      <c r="D1922">
        <v>3</v>
      </c>
      <c r="E1922">
        <v>4</v>
      </c>
      <c r="F1922" t="s">
        <v>7</v>
      </c>
      <c r="G1922" t="s">
        <v>11</v>
      </c>
      <c r="H1922" t="s">
        <v>11</v>
      </c>
    </row>
    <row r="1923" spans="1:8" x14ac:dyDescent="0.35">
      <c r="A1923" t="s">
        <v>38</v>
      </c>
      <c r="B1923" t="s">
        <v>99</v>
      </c>
      <c r="C1923" t="s">
        <v>2523</v>
      </c>
      <c r="D1923">
        <v>3</v>
      </c>
      <c r="E1923">
        <v>3</v>
      </c>
      <c r="F1923" t="s">
        <v>7</v>
      </c>
      <c r="G1923" t="s">
        <v>11</v>
      </c>
      <c r="H1923" t="s">
        <v>11</v>
      </c>
    </row>
    <row r="1924" spans="1:8" x14ac:dyDescent="0.35">
      <c r="A1924" t="s">
        <v>38</v>
      </c>
      <c r="B1924" t="s">
        <v>99</v>
      </c>
      <c r="C1924" t="s">
        <v>2524</v>
      </c>
      <c r="D1924">
        <v>3</v>
      </c>
      <c r="E1924">
        <v>4</v>
      </c>
      <c r="F1924" t="s">
        <v>7</v>
      </c>
      <c r="G1924" t="s">
        <v>11</v>
      </c>
      <c r="H1924" t="s">
        <v>11</v>
      </c>
    </row>
    <row r="1925" spans="1:8" x14ac:dyDescent="0.35">
      <c r="A1925" t="s">
        <v>38</v>
      </c>
      <c r="B1925" t="s">
        <v>99</v>
      </c>
      <c r="C1925" t="s">
        <v>2525</v>
      </c>
      <c r="D1925">
        <v>3</v>
      </c>
      <c r="E1925">
        <v>3</v>
      </c>
      <c r="F1925" t="s">
        <v>7</v>
      </c>
      <c r="G1925" t="s">
        <v>11</v>
      </c>
      <c r="H1925" t="s">
        <v>11</v>
      </c>
    </row>
    <row r="1926" spans="1:8" x14ac:dyDescent="0.35">
      <c r="A1926" t="s">
        <v>38</v>
      </c>
      <c r="B1926" t="s">
        <v>99</v>
      </c>
      <c r="C1926" t="s">
        <v>1696</v>
      </c>
      <c r="D1926">
        <v>2</v>
      </c>
      <c r="E1926">
        <v>4</v>
      </c>
      <c r="F1926" t="s">
        <v>7</v>
      </c>
      <c r="G1926" t="s">
        <v>11</v>
      </c>
      <c r="H1926" t="s">
        <v>11</v>
      </c>
    </row>
    <row r="1927" spans="1:8" x14ac:dyDescent="0.35">
      <c r="A1927" t="s">
        <v>38</v>
      </c>
      <c r="B1927" t="s">
        <v>99</v>
      </c>
      <c r="C1927" t="s">
        <v>1341</v>
      </c>
      <c r="D1927">
        <v>2</v>
      </c>
      <c r="E1927">
        <v>4</v>
      </c>
      <c r="F1927" t="s">
        <v>7</v>
      </c>
      <c r="G1927" t="s">
        <v>11</v>
      </c>
      <c r="H1927" t="s">
        <v>11</v>
      </c>
    </row>
    <row r="1928" spans="1:8" x14ac:dyDescent="0.35">
      <c r="A1928" t="s">
        <v>38</v>
      </c>
      <c r="B1928" t="s">
        <v>99</v>
      </c>
      <c r="C1928" t="s">
        <v>2526</v>
      </c>
      <c r="D1928">
        <v>2</v>
      </c>
      <c r="E1928">
        <v>3</v>
      </c>
      <c r="F1928" t="s">
        <v>7</v>
      </c>
      <c r="G1928" t="s">
        <v>11</v>
      </c>
      <c r="H1928" t="s">
        <v>11</v>
      </c>
    </row>
    <row r="1929" spans="1:8" x14ac:dyDescent="0.35">
      <c r="A1929" t="s">
        <v>38</v>
      </c>
      <c r="B1929" t="s">
        <v>99</v>
      </c>
      <c r="C1929" t="s">
        <v>2527</v>
      </c>
      <c r="D1929">
        <v>3</v>
      </c>
      <c r="E1929">
        <v>4</v>
      </c>
      <c r="F1929" t="s">
        <v>7</v>
      </c>
      <c r="G1929" t="s">
        <v>11</v>
      </c>
      <c r="H1929" t="s">
        <v>11</v>
      </c>
    </row>
    <row r="1930" spans="1:8" x14ac:dyDescent="0.35">
      <c r="A1930" t="s">
        <v>38</v>
      </c>
      <c r="B1930" t="s">
        <v>99</v>
      </c>
      <c r="C1930" t="s">
        <v>1413</v>
      </c>
      <c r="D1930">
        <v>2</v>
      </c>
      <c r="E1930">
        <v>4</v>
      </c>
      <c r="F1930" t="s">
        <v>7</v>
      </c>
      <c r="G1930" t="s">
        <v>11</v>
      </c>
      <c r="H1930" t="s">
        <v>11</v>
      </c>
    </row>
    <row r="1931" spans="1:8" x14ac:dyDescent="0.35">
      <c r="A1931" t="s">
        <v>38</v>
      </c>
      <c r="B1931" t="s">
        <v>99</v>
      </c>
      <c r="C1931" t="s">
        <v>2528</v>
      </c>
      <c r="D1931">
        <v>3</v>
      </c>
      <c r="E1931">
        <v>4</v>
      </c>
      <c r="F1931" t="s">
        <v>7</v>
      </c>
      <c r="G1931" t="s">
        <v>11</v>
      </c>
      <c r="H1931" t="s">
        <v>11</v>
      </c>
    </row>
    <row r="1932" spans="1:8" x14ac:dyDescent="0.35">
      <c r="A1932" t="s">
        <v>38</v>
      </c>
      <c r="B1932" t="s">
        <v>99</v>
      </c>
      <c r="C1932" t="s">
        <v>1343</v>
      </c>
      <c r="D1932">
        <v>3</v>
      </c>
      <c r="E1932">
        <v>3</v>
      </c>
      <c r="F1932" t="s">
        <v>7</v>
      </c>
      <c r="G1932" t="s">
        <v>11</v>
      </c>
      <c r="H1932" t="s">
        <v>11</v>
      </c>
    </row>
    <row r="1933" spans="1:8" x14ac:dyDescent="0.35">
      <c r="A1933" t="s">
        <v>38</v>
      </c>
      <c r="B1933" t="s">
        <v>99</v>
      </c>
      <c r="C1933" t="s">
        <v>2529</v>
      </c>
      <c r="D1933">
        <v>3</v>
      </c>
      <c r="E1933">
        <v>4</v>
      </c>
      <c r="F1933" t="s">
        <v>7</v>
      </c>
      <c r="G1933" t="s">
        <v>11</v>
      </c>
      <c r="H1933" t="s">
        <v>11</v>
      </c>
    </row>
    <row r="1934" spans="1:8" x14ac:dyDescent="0.35">
      <c r="A1934" t="s">
        <v>38</v>
      </c>
      <c r="B1934" t="s">
        <v>99</v>
      </c>
      <c r="C1934" t="s">
        <v>2530</v>
      </c>
      <c r="D1934">
        <v>3</v>
      </c>
      <c r="E1934">
        <v>4</v>
      </c>
      <c r="F1934" t="s">
        <v>7</v>
      </c>
      <c r="G1934" t="s">
        <v>11</v>
      </c>
      <c r="H1934" t="s">
        <v>11</v>
      </c>
    </row>
    <row r="1935" spans="1:8" x14ac:dyDescent="0.35">
      <c r="A1935" t="s">
        <v>38</v>
      </c>
      <c r="B1935" t="s">
        <v>99</v>
      </c>
      <c r="C1935" t="s">
        <v>2531</v>
      </c>
      <c r="D1935">
        <v>3</v>
      </c>
      <c r="E1935">
        <v>4</v>
      </c>
      <c r="F1935" t="s">
        <v>7</v>
      </c>
      <c r="G1935" t="s">
        <v>11</v>
      </c>
      <c r="H1935" t="s">
        <v>11</v>
      </c>
    </row>
    <row r="1936" spans="1:8" x14ac:dyDescent="0.35">
      <c r="A1936" t="s">
        <v>38</v>
      </c>
      <c r="B1936" t="s">
        <v>99</v>
      </c>
      <c r="C1936" t="s">
        <v>2532</v>
      </c>
      <c r="D1936">
        <v>2</v>
      </c>
      <c r="E1936">
        <v>4</v>
      </c>
      <c r="F1936" t="s">
        <v>7</v>
      </c>
      <c r="G1936" t="s">
        <v>11</v>
      </c>
      <c r="H1936" t="s">
        <v>11</v>
      </c>
    </row>
    <row r="1937" spans="1:8" x14ac:dyDescent="0.35">
      <c r="A1937" t="s">
        <v>38</v>
      </c>
      <c r="B1937" t="s">
        <v>99</v>
      </c>
      <c r="C1937" t="s">
        <v>1818</v>
      </c>
      <c r="D1937">
        <v>1</v>
      </c>
      <c r="E1937">
        <v>4</v>
      </c>
      <c r="F1937" t="s">
        <v>7</v>
      </c>
      <c r="G1937" t="s">
        <v>11</v>
      </c>
      <c r="H1937" t="s">
        <v>11</v>
      </c>
    </row>
    <row r="1938" spans="1:8" x14ac:dyDescent="0.35">
      <c r="A1938" t="s">
        <v>38</v>
      </c>
      <c r="B1938" t="s">
        <v>99</v>
      </c>
      <c r="C1938" t="s">
        <v>2533</v>
      </c>
      <c r="D1938">
        <v>3</v>
      </c>
      <c r="E1938">
        <v>4</v>
      </c>
      <c r="F1938" t="s">
        <v>7</v>
      </c>
      <c r="G1938" t="s">
        <v>11</v>
      </c>
      <c r="H1938" t="s">
        <v>11</v>
      </c>
    </row>
    <row r="1939" spans="1:8" x14ac:dyDescent="0.35">
      <c r="A1939" t="s">
        <v>38</v>
      </c>
      <c r="B1939" t="s">
        <v>99</v>
      </c>
      <c r="C1939" t="s">
        <v>2534</v>
      </c>
      <c r="D1939">
        <v>3</v>
      </c>
      <c r="E1939">
        <v>3</v>
      </c>
      <c r="F1939" t="s">
        <v>7</v>
      </c>
      <c r="G1939" t="s">
        <v>11</v>
      </c>
      <c r="H1939" t="s">
        <v>11</v>
      </c>
    </row>
    <row r="1940" spans="1:8" x14ac:dyDescent="0.35">
      <c r="A1940" t="s">
        <v>38</v>
      </c>
      <c r="B1940" t="s">
        <v>99</v>
      </c>
      <c r="C1940" t="s">
        <v>2535</v>
      </c>
      <c r="D1940">
        <v>3</v>
      </c>
      <c r="E1940">
        <v>3</v>
      </c>
      <c r="F1940" t="s">
        <v>7</v>
      </c>
      <c r="G1940" t="s">
        <v>11</v>
      </c>
      <c r="H1940" t="s">
        <v>11</v>
      </c>
    </row>
    <row r="1941" spans="1:8" x14ac:dyDescent="0.35">
      <c r="A1941" t="s">
        <v>38</v>
      </c>
      <c r="B1941" t="s">
        <v>99</v>
      </c>
      <c r="C1941" t="s">
        <v>2536</v>
      </c>
      <c r="D1941">
        <v>2</v>
      </c>
      <c r="E1941">
        <v>4</v>
      </c>
      <c r="F1941" t="s">
        <v>7</v>
      </c>
      <c r="G1941" t="s">
        <v>11</v>
      </c>
      <c r="H1941" t="s">
        <v>11</v>
      </c>
    </row>
    <row r="1942" spans="1:8" x14ac:dyDescent="0.35">
      <c r="A1942" t="s">
        <v>38</v>
      </c>
      <c r="B1942" t="s">
        <v>99</v>
      </c>
      <c r="C1942" t="s">
        <v>1347</v>
      </c>
      <c r="D1942">
        <v>2</v>
      </c>
      <c r="E1942">
        <v>4</v>
      </c>
      <c r="F1942" t="s">
        <v>7</v>
      </c>
      <c r="G1942" t="s">
        <v>11</v>
      </c>
      <c r="H1942" t="s">
        <v>11</v>
      </c>
    </row>
    <row r="1943" spans="1:8" x14ac:dyDescent="0.35">
      <c r="A1943" t="s">
        <v>38</v>
      </c>
      <c r="B1943" t="s">
        <v>99</v>
      </c>
      <c r="C1943" t="s">
        <v>2537</v>
      </c>
      <c r="D1943">
        <v>3</v>
      </c>
      <c r="E1943">
        <v>3</v>
      </c>
      <c r="F1943" t="s">
        <v>7</v>
      </c>
      <c r="G1943" t="s">
        <v>11</v>
      </c>
      <c r="H1943" t="s">
        <v>11</v>
      </c>
    </row>
    <row r="1944" spans="1:8" x14ac:dyDescent="0.35">
      <c r="A1944" t="s">
        <v>38</v>
      </c>
      <c r="B1944" t="s">
        <v>99</v>
      </c>
      <c r="C1944" t="s">
        <v>1714</v>
      </c>
      <c r="D1944">
        <v>3</v>
      </c>
      <c r="E1944">
        <v>3</v>
      </c>
      <c r="F1944" t="s">
        <v>7</v>
      </c>
      <c r="G1944" t="s">
        <v>11</v>
      </c>
      <c r="H1944" t="s">
        <v>11</v>
      </c>
    </row>
    <row r="1945" spans="1:8" x14ac:dyDescent="0.35">
      <c r="A1945" t="s">
        <v>38</v>
      </c>
      <c r="B1945" t="s">
        <v>99</v>
      </c>
      <c r="C1945" t="s">
        <v>1352</v>
      </c>
      <c r="D1945">
        <v>3</v>
      </c>
      <c r="E1945">
        <v>4</v>
      </c>
      <c r="F1945" t="s">
        <v>7</v>
      </c>
      <c r="G1945" t="s">
        <v>11</v>
      </c>
      <c r="H1945" t="s">
        <v>11</v>
      </c>
    </row>
    <row r="1946" spans="1:8" x14ac:dyDescent="0.35">
      <c r="A1946" t="s">
        <v>38</v>
      </c>
      <c r="B1946" t="s">
        <v>99</v>
      </c>
      <c r="C1946" t="s">
        <v>2538</v>
      </c>
      <c r="D1946">
        <v>3</v>
      </c>
      <c r="E1946">
        <v>3</v>
      </c>
      <c r="F1946" t="s">
        <v>7</v>
      </c>
      <c r="G1946" t="s">
        <v>11</v>
      </c>
      <c r="H1946" t="s">
        <v>11</v>
      </c>
    </row>
    <row r="1947" spans="1:8" x14ac:dyDescent="0.35">
      <c r="A1947" t="s">
        <v>38</v>
      </c>
      <c r="B1947" t="s">
        <v>99</v>
      </c>
      <c r="C1947" t="s">
        <v>1453</v>
      </c>
      <c r="D1947">
        <v>2</v>
      </c>
      <c r="E1947">
        <v>4</v>
      </c>
      <c r="F1947" t="s">
        <v>7</v>
      </c>
      <c r="G1947" t="s">
        <v>11</v>
      </c>
      <c r="H1947" t="s">
        <v>11</v>
      </c>
    </row>
    <row r="1948" spans="1:8" x14ac:dyDescent="0.35">
      <c r="A1948" t="s">
        <v>38</v>
      </c>
      <c r="B1948" t="s">
        <v>99</v>
      </c>
      <c r="C1948" t="s">
        <v>1355</v>
      </c>
      <c r="D1948">
        <v>2</v>
      </c>
      <c r="E1948">
        <v>4</v>
      </c>
      <c r="F1948" t="s">
        <v>7</v>
      </c>
      <c r="G1948" t="s">
        <v>11</v>
      </c>
      <c r="H1948" t="s">
        <v>11</v>
      </c>
    </row>
    <row r="1949" spans="1:8" x14ac:dyDescent="0.35">
      <c r="A1949" t="s">
        <v>38</v>
      </c>
      <c r="B1949" t="s">
        <v>99</v>
      </c>
      <c r="C1949" t="s">
        <v>1356</v>
      </c>
      <c r="D1949">
        <v>2</v>
      </c>
      <c r="E1949">
        <v>4</v>
      </c>
      <c r="F1949" t="s">
        <v>7</v>
      </c>
      <c r="G1949" t="s">
        <v>11</v>
      </c>
      <c r="H1949" t="s">
        <v>11</v>
      </c>
    </row>
    <row r="1950" spans="1:8" x14ac:dyDescent="0.35">
      <c r="A1950" t="s">
        <v>38</v>
      </c>
      <c r="B1950" t="s">
        <v>99</v>
      </c>
      <c r="C1950" t="s">
        <v>1633</v>
      </c>
      <c r="D1950">
        <v>3</v>
      </c>
      <c r="E1950">
        <v>3</v>
      </c>
      <c r="F1950" t="s">
        <v>7</v>
      </c>
      <c r="G1950" t="s">
        <v>11</v>
      </c>
      <c r="H1950" t="s">
        <v>11</v>
      </c>
    </row>
    <row r="1951" spans="1:8" x14ac:dyDescent="0.35">
      <c r="A1951" t="s">
        <v>38</v>
      </c>
      <c r="B1951" t="s">
        <v>99</v>
      </c>
      <c r="C1951" t="s">
        <v>2539</v>
      </c>
      <c r="D1951">
        <v>2</v>
      </c>
      <c r="E1951">
        <v>4</v>
      </c>
      <c r="F1951" t="s">
        <v>7</v>
      </c>
      <c r="G1951" t="s">
        <v>11</v>
      </c>
      <c r="H1951" t="s">
        <v>11</v>
      </c>
    </row>
    <row r="1952" spans="1:8" x14ac:dyDescent="0.35">
      <c r="A1952" t="s">
        <v>38</v>
      </c>
      <c r="B1952" t="s">
        <v>99</v>
      </c>
      <c r="C1952" t="s">
        <v>2540</v>
      </c>
      <c r="D1952">
        <v>3</v>
      </c>
      <c r="E1952">
        <v>3</v>
      </c>
      <c r="F1952" t="s">
        <v>7</v>
      </c>
      <c r="G1952" t="s">
        <v>11</v>
      </c>
      <c r="H1952" t="s">
        <v>11</v>
      </c>
    </row>
    <row r="1953" spans="1:8" x14ac:dyDescent="0.35">
      <c r="A1953" t="s">
        <v>38</v>
      </c>
      <c r="B1953" t="s">
        <v>99</v>
      </c>
      <c r="C1953" t="s">
        <v>1722</v>
      </c>
      <c r="D1953">
        <v>1</v>
      </c>
      <c r="E1953">
        <v>5</v>
      </c>
      <c r="F1953" t="s">
        <v>7</v>
      </c>
      <c r="G1953" t="s">
        <v>11</v>
      </c>
      <c r="H1953" t="s">
        <v>11</v>
      </c>
    </row>
    <row r="1954" spans="1:8" x14ac:dyDescent="0.35">
      <c r="A1954" t="s">
        <v>38</v>
      </c>
      <c r="B1954" t="s">
        <v>99</v>
      </c>
      <c r="C1954" t="s">
        <v>1362</v>
      </c>
      <c r="D1954">
        <v>3</v>
      </c>
      <c r="E1954">
        <v>3</v>
      </c>
      <c r="F1954" t="s">
        <v>7</v>
      </c>
      <c r="G1954" t="s">
        <v>11</v>
      </c>
      <c r="H1954" t="s">
        <v>11</v>
      </c>
    </row>
    <row r="1955" spans="1:8" x14ac:dyDescent="0.35">
      <c r="A1955" t="s">
        <v>38</v>
      </c>
      <c r="B1955" t="s">
        <v>99</v>
      </c>
      <c r="C1955" t="s">
        <v>2541</v>
      </c>
      <c r="D1955">
        <v>3</v>
      </c>
      <c r="E1955">
        <v>3</v>
      </c>
      <c r="F1955" t="s">
        <v>7</v>
      </c>
      <c r="G1955" t="s">
        <v>11</v>
      </c>
      <c r="H1955" t="s">
        <v>11</v>
      </c>
    </row>
    <row r="1956" spans="1:8" x14ac:dyDescent="0.35">
      <c r="A1956" t="s">
        <v>38</v>
      </c>
      <c r="B1956" t="s">
        <v>99</v>
      </c>
      <c r="C1956" t="s">
        <v>2542</v>
      </c>
      <c r="D1956">
        <v>3</v>
      </c>
      <c r="E1956">
        <v>4</v>
      </c>
      <c r="F1956" t="s">
        <v>7</v>
      </c>
      <c r="G1956" t="s">
        <v>11</v>
      </c>
      <c r="H1956" t="s">
        <v>11</v>
      </c>
    </row>
    <row r="1957" spans="1:8" x14ac:dyDescent="0.35">
      <c r="A1957" t="s">
        <v>38</v>
      </c>
      <c r="B1957" t="s">
        <v>99</v>
      </c>
      <c r="C1957" t="s">
        <v>2543</v>
      </c>
      <c r="D1957">
        <v>3</v>
      </c>
      <c r="E1957">
        <v>3</v>
      </c>
      <c r="F1957" t="s">
        <v>7</v>
      </c>
      <c r="G1957" t="s">
        <v>115</v>
      </c>
      <c r="H1957" t="s">
        <v>11</v>
      </c>
    </row>
    <row r="1958" spans="1:8" x14ac:dyDescent="0.35">
      <c r="A1958" t="s">
        <v>38</v>
      </c>
      <c r="B1958" t="s">
        <v>99</v>
      </c>
      <c r="C1958" t="s">
        <v>2544</v>
      </c>
      <c r="D1958">
        <v>3</v>
      </c>
      <c r="E1958">
        <v>4</v>
      </c>
      <c r="F1958" t="s">
        <v>7</v>
      </c>
      <c r="G1958" t="s">
        <v>11</v>
      </c>
      <c r="H1958" t="s">
        <v>11</v>
      </c>
    </row>
    <row r="1959" spans="1:8" x14ac:dyDescent="0.35">
      <c r="A1959" t="s">
        <v>38</v>
      </c>
      <c r="B1959" t="s">
        <v>99</v>
      </c>
      <c r="C1959" t="s">
        <v>2545</v>
      </c>
      <c r="D1959">
        <v>3</v>
      </c>
      <c r="E1959">
        <v>3</v>
      </c>
      <c r="F1959" t="s">
        <v>7</v>
      </c>
      <c r="G1959" t="s">
        <v>115</v>
      </c>
      <c r="H1959" t="s">
        <v>11</v>
      </c>
    </row>
    <row r="1960" spans="1:8" x14ac:dyDescent="0.35">
      <c r="A1960" t="s">
        <v>38</v>
      </c>
      <c r="B1960" t="s">
        <v>99</v>
      </c>
      <c r="C1960" t="s">
        <v>1509</v>
      </c>
      <c r="D1960">
        <v>3</v>
      </c>
      <c r="E1960">
        <v>4</v>
      </c>
      <c r="F1960" t="s">
        <v>7</v>
      </c>
      <c r="G1960" t="s">
        <v>11</v>
      </c>
      <c r="H1960" t="s">
        <v>11</v>
      </c>
    </row>
    <row r="1961" spans="1:8" x14ac:dyDescent="0.35">
      <c r="A1961" t="s">
        <v>38</v>
      </c>
      <c r="B1961" t="s">
        <v>99</v>
      </c>
      <c r="C1961" t="s">
        <v>2546</v>
      </c>
      <c r="D1961">
        <v>3</v>
      </c>
      <c r="E1961">
        <v>3</v>
      </c>
      <c r="F1961" t="s">
        <v>7</v>
      </c>
      <c r="G1961" t="s">
        <v>11</v>
      </c>
      <c r="H1961" t="s">
        <v>11</v>
      </c>
    </row>
    <row r="1962" spans="1:8" x14ac:dyDescent="0.35">
      <c r="A1962" t="s">
        <v>38</v>
      </c>
      <c r="B1962" t="s">
        <v>99</v>
      </c>
      <c r="C1962" t="s">
        <v>2547</v>
      </c>
      <c r="D1962">
        <v>3</v>
      </c>
      <c r="E1962">
        <v>3</v>
      </c>
      <c r="F1962" t="s">
        <v>7</v>
      </c>
      <c r="G1962" t="s">
        <v>11</v>
      </c>
      <c r="H1962" t="s">
        <v>11</v>
      </c>
    </row>
    <row r="1963" spans="1:8" x14ac:dyDescent="0.35">
      <c r="A1963" t="s">
        <v>38</v>
      </c>
      <c r="B1963" t="s">
        <v>99</v>
      </c>
      <c r="C1963" t="s">
        <v>2548</v>
      </c>
      <c r="D1963">
        <v>3</v>
      </c>
      <c r="E1963">
        <v>3</v>
      </c>
      <c r="F1963" t="s">
        <v>7</v>
      </c>
      <c r="G1963" t="s">
        <v>115</v>
      </c>
      <c r="H1963" t="s">
        <v>11</v>
      </c>
    </row>
    <row r="1964" spans="1:8" x14ac:dyDescent="0.35">
      <c r="A1964" t="s">
        <v>38</v>
      </c>
      <c r="B1964" t="s">
        <v>99</v>
      </c>
      <c r="C1964" t="s">
        <v>2549</v>
      </c>
      <c r="D1964">
        <v>3</v>
      </c>
      <c r="E1964">
        <v>3</v>
      </c>
      <c r="F1964" t="s">
        <v>7</v>
      </c>
      <c r="G1964" t="s">
        <v>11</v>
      </c>
      <c r="H1964" t="s">
        <v>11</v>
      </c>
    </row>
    <row r="1965" spans="1:8" x14ac:dyDescent="0.35">
      <c r="A1965" t="s">
        <v>38</v>
      </c>
      <c r="B1965" t="s">
        <v>99</v>
      </c>
      <c r="C1965" t="s">
        <v>2550</v>
      </c>
      <c r="D1965">
        <v>3</v>
      </c>
      <c r="E1965">
        <v>4</v>
      </c>
      <c r="F1965" t="s">
        <v>7</v>
      </c>
      <c r="G1965" t="s">
        <v>11</v>
      </c>
      <c r="H1965" t="s">
        <v>11</v>
      </c>
    </row>
    <row r="1966" spans="1:8" x14ac:dyDescent="0.35">
      <c r="A1966" t="s">
        <v>38</v>
      </c>
      <c r="B1966" t="s">
        <v>99</v>
      </c>
      <c r="C1966" t="s">
        <v>2551</v>
      </c>
      <c r="D1966">
        <v>3</v>
      </c>
      <c r="E1966">
        <v>3</v>
      </c>
      <c r="F1966" t="s">
        <v>7</v>
      </c>
      <c r="G1966" t="s">
        <v>11</v>
      </c>
      <c r="H1966" t="s">
        <v>11</v>
      </c>
    </row>
    <row r="1967" spans="1:8" x14ac:dyDescent="0.35">
      <c r="A1967" t="s">
        <v>38</v>
      </c>
      <c r="B1967" t="s">
        <v>99</v>
      </c>
      <c r="C1967" t="s">
        <v>1464</v>
      </c>
      <c r="D1967">
        <v>2</v>
      </c>
      <c r="E1967">
        <v>4</v>
      </c>
      <c r="F1967" t="s">
        <v>7</v>
      </c>
      <c r="G1967" t="s">
        <v>11</v>
      </c>
      <c r="H1967" t="s">
        <v>11</v>
      </c>
    </row>
    <row r="1968" spans="1:8" x14ac:dyDescent="0.35">
      <c r="A1968" t="s">
        <v>38</v>
      </c>
      <c r="B1968" t="s">
        <v>99</v>
      </c>
      <c r="C1968" t="s">
        <v>1367</v>
      </c>
      <c r="D1968">
        <v>3</v>
      </c>
      <c r="E1968">
        <v>3</v>
      </c>
      <c r="F1968" t="s">
        <v>7</v>
      </c>
      <c r="G1968" t="s">
        <v>11</v>
      </c>
      <c r="H1968" t="s">
        <v>11</v>
      </c>
    </row>
    <row r="1969" spans="1:8" x14ac:dyDescent="0.35">
      <c r="A1969" t="s">
        <v>38</v>
      </c>
      <c r="B1969" t="s">
        <v>99</v>
      </c>
      <c r="C1969" t="s">
        <v>1732</v>
      </c>
      <c r="D1969">
        <v>3</v>
      </c>
      <c r="E1969">
        <v>3</v>
      </c>
      <c r="F1969" t="s">
        <v>7</v>
      </c>
      <c r="G1969" t="s">
        <v>11</v>
      </c>
      <c r="H1969" t="s">
        <v>11</v>
      </c>
    </row>
    <row r="1970" spans="1:8" x14ac:dyDescent="0.35">
      <c r="A1970" t="s">
        <v>38</v>
      </c>
      <c r="B1970" t="s">
        <v>99</v>
      </c>
      <c r="C1970" t="s">
        <v>2552</v>
      </c>
      <c r="D1970">
        <v>3</v>
      </c>
      <c r="E1970">
        <v>3</v>
      </c>
      <c r="F1970" t="s">
        <v>7</v>
      </c>
      <c r="G1970" t="s">
        <v>11</v>
      </c>
      <c r="H1970" t="s">
        <v>11</v>
      </c>
    </row>
    <row r="1971" spans="1:8" x14ac:dyDescent="0.35">
      <c r="A1971" t="s">
        <v>38</v>
      </c>
      <c r="B1971" t="s">
        <v>99</v>
      </c>
      <c r="C1971" t="s">
        <v>2435</v>
      </c>
      <c r="D1971">
        <v>1</v>
      </c>
      <c r="E1971">
        <v>4</v>
      </c>
      <c r="F1971" t="s">
        <v>7</v>
      </c>
      <c r="G1971" t="s">
        <v>11</v>
      </c>
      <c r="H1971" t="s">
        <v>11</v>
      </c>
    </row>
    <row r="1972" spans="1:8" x14ac:dyDescent="0.35">
      <c r="A1972" t="s">
        <v>38</v>
      </c>
      <c r="B1972" t="s">
        <v>99</v>
      </c>
      <c r="C1972" t="s">
        <v>2056</v>
      </c>
      <c r="D1972">
        <v>3</v>
      </c>
      <c r="E1972">
        <v>3</v>
      </c>
      <c r="F1972" t="s">
        <v>7</v>
      </c>
      <c r="G1972" t="s">
        <v>11</v>
      </c>
      <c r="H1972" t="s">
        <v>11</v>
      </c>
    </row>
    <row r="1973" spans="1:8" x14ac:dyDescent="0.35">
      <c r="A1973" t="s">
        <v>38</v>
      </c>
      <c r="B1973" t="s">
        <v>99</v>
      </c>
      <c r="C1973" t="s">
        <v>2553</v>
      </c>
      <c r="D1973">
        <v>2</v>
      </c>
      <c r="E1973">
        <v>4</v>
      </c>
      <c r="F1973" t="s">
        <v>7</v>
      </c>
      <c r="G1973" t="s">
        <v>11</v>
      </c>
      <c r="H1973" t="s">
        <v>11</v>
      </c>
    </row>
    <row r="1974" spans="1:8" x14ac:dyDescent="0.35">
      <c r="A1974" t="s">
        <v>38</v>
      </c>
      <c r="B1974" t="s">
        <v>99</v>
      </c>
      <c r="C1974" t="s">
        <v>2554</v>
      </c>
      <c r="D1974">
        <v>3</v>
      </c>
      <c r="E1974">
        <v>3</v>
      </c>
      <c r="F1974" t="s">
        <v>7</v>
      </c>
      <c r="G1974" t="s">
        <v>11</v>
      </c>
      <c r="H1974" t="s">
        <v>11</v>
      </c>
    </row>
    <row r="1975" spans="1:8" x14ac:dyDescent="0.35">
      <c r="A1975" t="s">
        <v>38</v>
      </c>
      <c r="B1975" t="s">
        <v>99</v>
      </c>
      <c r="C1975" t="s">
        <v>2338</v>
      </c>
      <c r="D1975">
        <v>3</v>
      </c>
      <c r="E1975">
        <v>3</v>
      </c>
      <c r="F1975" t="s">
        <v>7</v>
      </c>
      <c r="G1975" t="s">
        <v>11</v>
      </c>
      <c r="H1975" t="s">
        <v>11</v>
      </c>
    </row>
    <row r="1976" spans="1:8" x14ac:dyDescent="0.35">
      <c r="A1976" t="s">
        <v>38</v>
      </c>
      <c r="B1976" t="s">
        <v>99</v>
      </c>
      <c r="C1976" t="s">
        <v>2555</v>
      </c>
      <c r="D1976">
        <v>3</v>
      </c>
      <c r="E1976">
        <v>3</v>
      </c>
      <c r="F1976" t="s">
        <v>7</v>
      </c>
      <c r="G1976" t="s">
        <v>11</v>
      </c>
      <c r="H1976" t="s">
        <v>11</v>
      </c>
    </row>
    <row r="1977" spans="1:8" x14ac:dyDescent="0.35">
      <c r="A1977" t="s">
        <v>38</v>
      </c>
      <c r="B1977" t="s">
        <v>99</v>
      </c>
      <c r="C1977" t="s">
        <v>2556</v>
      </c>
      <c r="D1977">
        <v>2</v>
      </c>
      <c r="E1977">
        <v>4</v>
      </c>
      <c r="F1977" t="s">
        <v>7</v>
      </c>
      <c r="G1977" t="s">
        <v>11</v>
      </c>
      <c r="H1977" t="s">
        <v>11</v>
      </c>
    </row>
    <row r="1978" spans="1:8" x14ac:dyDescent="0.35">
      <c r="A1978" t="s">
        <v>38</v>
      </c>
      <c r="B1978" t="s">
        <v>99</v>
      </c>
      <c r="C1978" t="s">
        <v>2557</v>
      </c>
      <c r="D1978">
        <v>2</v>
      </c>
      <c r="E1978">
        <v>4</v>
      </c>
      <c r="F1978" t="s">
        <v>7</v>
      </c>
      <c r="G1978" t="s">
        <v>11</v>
      </c>
      <c r="H1978" t="s">
        <v>11</v>
      </c>
    </row>
    <row r="1979" spans="1:8" x14ac:dyDescent="0.35">
      <c r="A1979" t="s">
        <v>38</v>
      </c>
      <c r="B1979" t="s">
        <v>99</v>
      </c>
      <c r="C1979" t="s">
        <v>2558</v>
      </c>
      <c r="D1979">
        <v>2</v>
      </c>
      <c r="E1979">
        <v>4</v>
      </c>
      <c r="F1979" t="s">
        <v>7</v>
      </c>
      <c r="G1979" t="s">
        <v>11</v>
      </c>
      <c r="H1979" t="s">
        <v>11</v>
      </c>
    </row>
    <row r="1980" spans="1:8" x14ac:dyDescent="0.35">
      <c r="A1980" t="s">
        <v>38</v>
      </c>
      <c r="B1980" t="s">
        <v>99</v>
      </c>
      <c r="C1980" t="s">
        <v>2559</v>
      </c>
      <c r="D1980">
        <v>1</v>
      </c>
      <c r="E1980">
        <v>4</v>
      </c>
      <c r="F1980" t="s">
        <v>7</v>
      </c>
      <c r="G1980" t="s">
        <v>11</v>
      </c>
      <c r="H1980" t="s">
        <v>11</v>
      </c>
    </row>
    <row r="1981" spans="1:8" x14ac:dyDescent="0.35">
      <c r="A1981" t="s">
        <v>38</v>
      </c>
      <c r="B1981" t="s">
        <v>99</v>
      </c>
      <c r="C1981" t="s">
        <v>2560</v>
      </c>
      <c r="D1981">
        <v>3</v>
      </c>
      <c r="E1981">
        <v>3</v>
      </c>
      <c r="F1981" t="s">
        <v>7</v>
      </c>
      <c r="G1981" t="s">
        <v>11</v>
      </c>
      <c r="H1981" t="s">
        <v>11</v>
      </c>
    </row>
    <row r="1982" spans="1:8" x14ac:dyDescent="0.35">
      <c r="A1982" t="s">
        <v>38</v>
      </c>
      <c r="B1982" t="s">
        <v>99</v>
      </c>
      <c r="C1982" t="s">
        <v>1476</v>
      </c>
      <c r="D1982">
        <v>3</v>
      </c>
      <c r="E1982">
        <v>3</v>
      </c>
      <c r="F1982" t="s">
        <v>7</v>
      </c>
      <c r="G1982" t="s">
        <v>11</v>
      </c>
      <c r="H1982" t="s">
        <v>11</v>
      </c>
    </row>
    <row r="1983" spans="1:8" x14ac:dyDescent="0.35">
      <c r="A1983" t="s">
        <v>38</v>
      </c>
      <c r="B1983" t="s">
        <v>99</v>
      </c>
      <c r="C1983" t="s">
        <v>2561</v>
      </c>
      <c r="D1983">
        <v>2</v>
      </c>
      <c r="E1983">
        <v>4</v>
      </c>
      <c r="F1983" t="s">
        <v>7</v>
      </c>
      <c r="G1983" t="s">
        <v>11</v>
      </c>
      <c r="H1983" t="s">
        <v>11</v>
      </c>
    </row>
    <row r="1984" spans="1:8" x14ac:dyDescent="0.35">
      <c r="A1984" t="s">
        <v>38</v>
      </c>
      <c r="B1984" t="s">
        <v>99</v>
      </c>
      <c r="C1984" t="s">
        <v>2562</v>
      </c>
      <c r="D1984">
        <v>2</v>
      </c>
      <c r="E1984">
        <v>4</v>
      </c>
      <c r="F1984" t="s">
        <v>7</v>
      </c>
      <c r="G1984" t="s">
        <v>11</v>
      </c>
      <c r="H1984" t="s">
        <v>11</v>
      </c>
    </row>
    <row r="1985" spans="1:8" x14ac:dyDescent="0.35">
      <c r="A1985" t="s">
        <v>38</v>
      </c>
      <c r="B1985" t="s">
        <v>99</v>
      </c>
      <c r="C1985" t="s">
        <v>1754</v>
      </c>
      <c r="D1985">
        <v>2</v>
      </c>
      <c r="E1985">
        <v>4</v>
      </c>
      <c r="F1985" t="s">
        <v>7</v>
      </c>
      <c r="G1985" t="s">
        <v>11</v>
      </c>
      <c r="H1985" t="s">
        <v>11</v>
      </c>
    </row>
    <row r="1986" spans="1:8" x14ac:dyDescent="0.35">
      <c r="A1986" t="s">
        <v>38</v>
      </c>
      <c r="B1986" t="s">
        <v>99</v>
      </c>
      <c r="C1986" t="s">
        <v>1376</v>
      </c>
      <c r="D1986">
        <v>3</v>
      </c>
      <c r="E1986">
        <v>3</v>
      </c>
      <c r="F1986" t="s">
        <v>7</v>
      </c>
      <c r="G1986" t="s">
        <v>11</v>
      </c>
      <c r="H1986" t="s">
        <v>11</v>
      </c>
    </row>
    <row r="1987" spans="1:8" x14ac:dyDescent="0.35">
      <c r="A1987" t="s">
        <v>38</v>
      </c>
      <c r="B1987" t="s">
        <v>99</v>
      </c>
      <c r="C1987" t="s">
        <v>2563</v>
      </c>
      <c r="D1987">
        <v>1</v>
      </c>
      <c r="E1987">
        <v>5</v>
      </c>
      <c r="F1987" t="s">
        <v>7</v>
      </c>
      <c r="G1987" t="s">
        <v>11</v>
      </c>
      <c r="H1987" t="s">
        <v>11</v>
      </c>
    </row>
    <row r="1988" spans="1:8" x14ac:dyDescent="0.35">
      <c r="A1988" t="s">
        <v>38</v>
      </c>
      <c r="B1988" t="s">
        <v>99</v>
      </c>
      <c r="C1988" t="s">
        <v>1755</v>
      </c>
      <c r="D1988">
        <v>3</v>
      </c>
      <c r="E1988">
        <v>3</v>
      </c>
      <c r="F1988" t="s">
        <v>7</v>
      </c>
      <c r="G1988" t="s">
        <v>11</v>
      </c>
      <c r="H1988" t="s">
        <v>11</v>
      </c>
    </row>
    <row r="1989" spans="1:8" x14ac:dyDescent="0.35">
      <c r="A1989" t="s">
        <v>38</v>
      </c>
      <c r="B1989" t="s">
        <v>99</v>
      </c>
      <c r="C1989" t="s">
        <v>1759</v>
      </c>
      <c r="D1989">
        <v>2</v>
      </c>
      <c r="E1989">
        <v>4</v>
      </c>
      <c r="F1989" t="s">
        <v>7</v>
      </c>
      <c r="G1989" t="s">
        <v>11</v>
      </c>
      <c r="H1989" t="s">
        <v>11</v>
      </c>
    </row>
    <row r="1990" spans="1:8" x14ac:dyDescent="0.35">
      <c r="A1990" t="s">
        <v>38</v>
      </c>
      <c r="B1990" t="s">
        <v>99</v>
      </c>
      <c r="C1990" t="s">
        <v>2004</v>
      </c>
      <c r="D1990">
        <v>3</v>
      </c>
      <c r="E1990">
        <v>3</v>
      </c>
      <c r="F1990" t="s">
        <v>7</v>
      </c>
      <c r="G1990" t="s">
        <v>11</v>
      </c>
      <c r="H1990" t="s">
        <v>11</v>
      </c>
    </row>
    <row r="1991" spans="1:8" x14ac:dyDescent="0.35">
      <c r="A1991" t="s">
        <v>38</v>
      </c>
      <c r="B1991" t="s">
        <v>99</v>
      </c>
      <c r="C1991" t="s">
        <v>2564</v>
      </c>
      <c r="D1991">
        <v>2</v>
      </c>
      <c r="E1991">
        <v>4</v>
      </c>
      <c r="F1991" t="s">
        <v>7</v>
      </c>
      <c r="G1991" t="s">
        <v>11</v>
      </c>
      <c r="H1991" t="s">
        <v>11</v>
      </c>
    </row>
    <row r="1992" spans="1:8" x14ac:dyDescent="0.35">
      <c r="A1992" t="s">
        <v>38</v>
      </c>
      <c r="B1992" t="s">
        <v>99</v>
      </c>
      <c r="C1992" t="s">
        <v>2565</v>
      </c>
      <c r="D1992">
        <v>2</v>
      </c>
      <c r="E1992">
        <v>5</v>
      </c>
      <c r="F1992" t="s">
        <v>7</v>
      </c>
      <c r="G1992" t="s">
        <v>11</v>
      </c>
      <c r="H1992" t="s">
        <v>11</v>
      </c>
    </row>
    <row r="1993" spans="1:8" x14ac:dyDescent="0.35">
      <c r="A1993" t="s">
        <v>39</v>
      </c>
      <c r="B1993" t="s">
        <v>71</v>
      </c>
      <c r="C1993" t="s">
        <v>1537</v>
      </c>
      <c r="D1993">
        <v>1</v>
      </c>
      <c r="E1993">
        <v>6</v>
      </c>
      <c r="F1993" t="s">
        <v>7</v>
      </c>
      <c r="G1993" t="s">
        <v>11</v>
      </c>
      <c r="H1993" t="s">
        <v>11</v>
      </c>
    </row>
    <row r="1994" spans="1:8" x14ac:dyDescent="0.35">
      <c r="A1994" t="s">
        <v>39</v>
      </c>
      <c r="B1994" t="s">
        <v>71</v>
      </c>
      <c r="C1994" t="s">
        <v>2566</v>
      </c>
      <c r="D1994">
        <v>1</v>
      </c>
      <c r="E1994">
        <v>7</v>
      </c>
      <c r="F1994" t="s">
        <v>11</v>
      </c>
      <c r="G1994" t="s">
        <v>11</v>
      </c>
      <c r="H1994" t="s">
        <v>11</v>
      </c>
    </row>
    <row r="1995" spans="1:8" x14ac:dyDescent="0.35">
      <c r="A1995" t="s">
        <v>39</v>
      </c>
      <c r="B1995" t="s">
        <v>71</v>
      </c>
      <c r="C1995" t="s">
        <v>2567</v>
      </c>
      <c r="D1995">
        <v>1</v>
      </c>
      <c r="E1995">
        <v>7</v>
      </c>
      <c r="F1995" t="s">
        <v>11</v>
      </c>
      <c r="G1995" t="s">
        <v>11</v>
      </c>
      <c r="H1995" t="s">
        <v>11</v>
      </c>
    </row>
    <row r="1996" spans="1:8" x14ac:dyDescent="0.35">
      <c r="A1996" t="s">
        <v>39</v>
      </c>
      <c r="B1996" t="s">
        <v>71</v>
      </c>
      <c r="C1996" t="s">
        <v>2568</v>
      </c>
      <c r="D1996">
        <v>1</v>
      </c>
      <c r="E1996">
        <v>6</v>
      </c>
      <c r="F1996" t="s">
        <v>7</v>
      </c>
      <c r="G1996" t="s">
        <v>11</v>
      </c>
      <c r="H1996" t="s">
        <v>11</v>
      </c>
    </row>
    <row r="1997" spans="1:8" x14ac:dyDescent="0.35">
      <c r="A1997" t="s">
        <v>39</v>
      </c>
      <c r="B1997" t="s">
        <v>71</v>
      </c>
      <c r="C1997" t="s">
        <v>2569</v>
      </c>
      <c r="D1997">
        <v>1</v>
      </c>
      <c r="E1997">
        <v>7</v>
      </c>
      <c r="F1997" t="s">
        <v>11</v>
      </c>
      <c r="G1997" t="s">
        <v>11</v>
      </c>
      <c r="H1997" t="s">
        <v>11</v>
      </c>
    </row>
    <row r="1998" spans="1:8" x14ac:dyDescent="0.35">
      <c r="A1998" t="s">
        <v>39</v>
      </c>
      <c r="B1998" t="s">
        <v>71</v>
      </c>
      <c r="C1998" t="s">
        <v>2570</v>
      </c>
      <c r="D1998">
        <v>1</v>
      </c>
      <c r="E1998">
        <v>6</v>
      </c>
      <c r="F1998" t="s">
        <v>7</v>
      </c>
      <c r="G1998" t="s">
        <v>11</v>
      </c>
      <c r="H1998" t="s">
        <v>11</v>
      </c>
    </row>
    <row r="1999" spans="1:8" x14ac:dyDescent="0.35">
      <c r="A1999" t="s">
        <v>39</v>
      </c>
      <c r="B1999" t="s">
        <v>71</v>
      </c>
      <c r="C1999" t="s">
        <v>1666</v>
      </c>
      <c r="D1999">
        <v>1</v>
      </c>
      <c r="E1999">
        <v>7</v>
      </c>
      <c r="F1999" t="s">
        <v>11</v>
      </c>
      <c r="G1999" t="s">
        <v>11</v>
      </c>
      <c r="H1999" t="s">
        <v>11</v>
      </c>
    </row>
    <row r="2000" spans="1:8" x14ac:dyDescent="0.35">
      <c r="A2000" t="s">
        <v>39</v>
      </c>
      <c r="B2000" t="s">
        <v>71</v>
      </c>
      <c r="C2000" t="s">
        <v>2571</v>
      </c>
      <c r="D2000">
        <v>1</v>
      </c>
      <c r="E2000">
        <v>6</v>
      </c>
      <c r="F2000" t="s">
        <v>7</v>
      </c>
      <c r="G2000" t="s">
        <v>11</v>
      </c>
      <c r="H2000" t="s">
        <v>11</v>
      </c>
    </row>
    <row r="2001" spans="1:8" x14ac:dyDescent="0.35">
      <c r="A2001" t="s">
        <v>39</v>
      </c>
      <c r="B2001" t="s">
        <v>71</v>
      </c>
      <c r="C2001" t="s">
        <v>1804</v>
      </c>
      <c r="D2001">
        <v>1</v>
      </c>
      <c r="E2001">
        <v>7</v>
      </c>
      <c r="F2001" t="s">
        <v>11</v>
      </c>
      <c r="G2001" t="s">
        <v>11</v>
      </c>
      <c r="H2001" t="s">
        <v>11</v>
      </c>
    </row>
    <row r="2002" spans="1:8" x14ac:dyDescent="0.35">
      <c r="A2002" t="s">
        <v>39</v>
      </c>
      <c r="B2002" t="s">
        <v>71</v>
      </c>
      <c r="C2002" t="s">
        <v>2572</v>
      </c>
      <c r="D2002">
        <v>1</v>
      </c>
      <c r="E2002">
        <v>7</v>
      </c>
      <c r="F2002" t="s">
        <v>11</v>
      </c>
      <c r="G2002" t="s">
        <v>11</v>
      </c>
      <c r="H2002" t="s">
        <v>11</v>
      </c>
    </row>
    <row r="2003" spans="1:8" x14ac:dyDescent="0.35">
      <c r="A2003" t="s">
        <v>39</v>
      </c>
      <c r="B2003" t="s">
        <v>71</v>
      </c>
      <c r="C2003" t="s">
        <v>2573</v>
      </c>
      <c r="D2003">
        <v>1</v>
      </c>
      <c r="E2003">
        <v>6</v>
      </c>
      <c r="F2003" t="s">
        <v>7</v>
      </c>
      <c r="G2003" t="s">
        <v>11</v>
      </c>
      <c r="H2003" t="s">
        <v>11</v>
      </c>
    </row>
    <row r="2004" spans="1:8" x14ac:dyDescent="0.35">
      <c r="A2004" t="s">
        <v>39</v>
      </c>
      <c r="B2004" t="s">
        <v>71</v>
      </c>
      <c r="C2004" t="s">
        <v>2574</v>
      </c>
      <c r="D2004">
        <v>1</v>
      </c>
      <c r="E2004">
        <v>7</v>
      </c>
      <c r="F2004" t="s">
        <v>11</v>
      </c>
      <c r="G2004" t="s">
        <v>11</v>
      </c>
      <c r="H2004" t="s">
        <v>11</v>
      </c>
    </row>
    <row r="2005" spans="1:8" x14ac:dyDescent="0.35">
      <c r="A2005" t="s">
        <v>39</v>
      </c>
      <c r="B2005" t="s">
        <v>71</v>
      </c>
      <c r="C2005" t="s">
        <v>2575</v>
      </c>
      <c r="D2005">
        <v>1</v>
      </c>
      <c r="E2005">
        <v>6</v>
      </c>
      <c r="F2005" t="s">
        <v>7</v>
      </c>
      <c r="G2005" t="s">
        <v>11</v>
      </c>
      <c r="H2005" t="s">
        <v>11</v>
      </c>
    </row>
    <row r="2006" spans="1:8" x14ac:dyDescent="0.35">
      <c r="A2006" t="s">
        <v>39</v>
      </c>
      <c r="B2006" t="s">
        <v>71</v>
      </c>
      <c r="C2006" t="s">
        <v>2455</v>
      </c>
      <c r="D2006">
        <v>1</v>
      </c>
      <c r="E2006">
        <v>7</v>
      </c>
      <c r="F2006" t="s">
        <v>11</v>
      </c>
      <c r="G2006" t="s">
        <v>11</v>
      </c>
      <c r="H2006" t="s">
        <v>11</v>
      </c>
    </row>
    <row r="2007" spans="1:8" x14ac:dyDescent="0.35">
      <c r="A2007" t="s">
        <v>39</v>
      </c>
      <c r="B2007" t="s">
        <v>71</v>
      </c>
      <c r="C2007" t="s">
        <v>2576</v>
      </c>
      <c r="D2007">
        <v>1</v>
      </c>
      <c r="E2007">
        <v>6</v>
      </c>
      <c r="F2007" t="s">
        <v>7</v>
      </c>
      <c r="G2007" t="s">
        <v>11</v>
      </c>
      <c r="H2007" t="s">
        <v>11</v>
      </c>
    </row>
    <row r="2008" spans="1:8" x14ac:dyDescent="0.35">
      <c r="A2008" t="s">
        <v>39</v>
      </c>
      <c r="B2008" t="s">
        <v>71</v>
      </c>
      <c r="C2008" t="s">
        <v>2577</v>
      </c>
      <c r="D2008">
        <v>1</v>
      </c>
      <c r="E2008">
        <v>7</v>
      </c>
      <c r="F2008" t="s">
        <v>11</v>
      </c>
      <c r="G2008" t="s">
        <v>11</v>
      </c>
      <c r="H2008" t="s">
        <v>11</v>
      </c>
    </row>
    <row r="2009" spans="1:8" x14ac:dyDescent="0.35">
      <c r="A2009" t="s">
        <v>39</v>
      </c>
      <c r="B2009" t="s">
        <v>71</v>
      </c>
      <c r="C2009" t="s">
        <v>2355</v>
      </c>
      <c r="D2009">
        <v>1</v>
      </c>
      <c r="E2009">
        <v>6</v>
      </c>
      <c r="F2009" t="s">
        <v>7</v>
      </c>
      <c r="G2009" t="s">
        <v>11</v>
      </c>
      <c r="H2009" t="s">
        <v>11</v>
      </c>
    </row>
    <row r="2010" spans="1:8" x14ac:dyDescent="0.35">
      <c r="A2010" t="s">
        <v>39</v>
      </c>
      <c r="B2010" t="s">
        <v>71</v>
      </c>
      <c r="C2010" t="s">
        <v>2578</v>
      </c>
      <c r="D2010">
        <v>1</v>
      </c>
      <c r="E2010">
        <v>7</v>
      </c>
      <c r="F2010" t="s">
        <v>11</v>
      </c>
      <c r="G2010" t="s">
        <v>11</v>
      </c>
      <c r="H2010" t="s">
        <v>11</v>
      </c>
    </row>
    <row r="2011" spans="1:8" x14ac:dyDescent="0.35">
      <c r="A2011" t="s">
        <v>39</v>
      </c>
      <c r="B2011" t="s">
        <v>71</v>
      </c>
      <c r="C2011" t="s">
        <v>1445</v>
      </c>
      <c r="D2011">
        <v>1</v>
      </c>
      <c r="E2011">
        <v>6</v>
      </c>
      <c r="F2011" t="s">
        <v>7</v>
      </c>
      <c r="G2011" t="s">
        <v>11</v>
      </c>
      <c r="H2011" t="s">
        <v>11</v>
      </c>
    </row>
    <row r="2012" spans="1:8" x14ac:dyDescent="0.35">
      <c r="A2012" t="s">
        <v>39</v>
      </c>
      <c r="B2012" t="s">
        <v>71</v>
      </c>
      <c r="C2012" t="s">
        <v>2579</v>
      </c>
      <c r="D2012">
        <v>1</v>
      </c>
      <c r="E2012">
        <v>7</v>
      </c>
      <c r="F2012" t="s">
        <v>11</v>
      </c>
      <c r="G2012" t="s">
        <v>11</v>
      </c>
      <c r="H2012" t="s">
        <v>11</v>
      </c>
    </row>
    <row r="2013" spans="1:8" x14ac:dyDescent="0.35">
      <c r="A2013" t="s">
        <v>39</v>
      </c>
      <c r="B2013" t="s">
        <v>71</v>
      </c>
      <c r="C2013" t="s">
        <v>2580</v>
      </c>
      <c r="D2013">
        <v>1</v>
      </c>
      <c r="E2013">
        <v>6</v>
      </c>
      <c r="F2013" t="s">
        <v>7</v>
      </c>
      <c r="G2013" t="s">
        <v>11</v>
      </c>
      <c r="H2013" t="s">
        <v>11</v>
      </c>
    </row>
    <row r="2014" spans="1:8" x14ac:dyDescent="0.35">
      <c r="A2014" t="s">
        <v>39</v>
      </c>
      <c r="B2014" t="s">
        <v>71</v>
      </c>
      <c r="C2014" t="s">
        <v>2581</v>
      </c>
      <c r="D2014">
        <v>1</v>
      </c>
      <c r="E2014">
        <v>7</v>
      </c>
      <c r="F2014" t="s">
        <v>11</v>
      </c>
      <c r="G2014" t="s">
        <v>11</v>
      </c>
      <c r="H2014" t="s">
        <v>11</v>
      </c>
    </row>
    <row r="2015" spans="1:8" x14ac:dyDescent="0.35">
      <c r="A2015" t="s">
        <v>39</v>
      </c>
      <c r="B2015" t="s">
        <v>71</v>
      </c>
      <c r="C2015" t="s">
        <v>2582</v>
      </c>
      <c r="D2015">
        <v>1</v>
      </c>
      <c r="E2015">
        <v>6</v>
      </c>
      <c r="F2015" t="s">
        <v>7</v>
      </c>
      <c r="G2015" t="s">
        <v>11</v>
      </c>
      <c r="H2015" t="s">
        <v>11</v>
      </c>
    </row>
    <row r="2016" spans="1:8" x14ac:dyDescent="0.35">
      <c r="A2016" t="s">
        <v>39</v>
      </c>
      <c r="B2016" t="s">
        <v>71</v>
      </c>
      <c r="C2016" t="s">
        <v>1455</v>
      </c>
      <c r="D2016">
        <v>1</v>
      </c>
      <c r="E2016">
        <v>6</v>
      </c>
      <c r="F2016" t="s">
        <v>7</v>
      </c>
      <c r="G2016" t="s">
        <v>11</v>
      </c>
      <c r="H2016" t="s">
        <v>11</v>
      </c>
    </row>
    <row r="2017" spans="1:8" x14ac:dyDescent="0.35">
      <c r="A2017" t="s">
        <v>39</v>
      </c>
      <c r="B2017" t="s">
        <v>71</v>
      </c>
      <c r="C2017" t="s">
        <v>1832</v>
      </c>
      <c r="D2017">
        <v>1</v>
      </c>
      <c r="E2017">
        <v>7</v>
      </c>
      <c r="F2017" t="s">
        <v>11</v>
      </c>
      <c r="G2017" t="s">
        <v>11</v>
      </c>
      <c r="H2017" t="s">
        <v>11</v>
      </c>
    </row>
    <row r="2018" spans="1:8" x14ac:dyDescent="0.35">
      <c r="A2018" t="s">
        <v>39</v>
      </c>
      <c r="B2018" t="s">
        <v>71</v>
      </c>
      <c r="C2018" t="s">
        <v>1720</v>
      </c>
      <c r="D2018">
        <v>1</v>
      </c>
      <c r="E2018">
        <v>6</v>
      </c>
      <c r="F2018" t="s">
        <v>7</v>
      </c>
      <c r="G2018" t="s">
        <v>11</v>
      </c>
      <c r="H2018" t="s">
        <v>11</v>
      </c>
    </row>
    <row r="2019" spans="1:8" x14ac:dyDescent="0.35">
      <c r="A2019" t="s">
        <v>39</v>
      </c>
      <c r="B2019" t="s">
        <v>71</v>
      </c>
      <c r="C2019" t="s">
        <v>2583</v>
      </c>
      <c r="D2019">
        <v>1</v>
      </c>
      <c r="E2019">
        <v>6</v>
      </c>
      <c r="F2019" t="s">
        <v>7</v>
      </c>
      <c r="G2019" t="s">
        <v>11</v>
      </c>
      <c r="H2019" t="s">
        <v>11</v>
      </c>
    </row>
    <row r="2020" spans="1:8" x14ac:dyDescent="0.35">
      <c r="A2020" t="s">
        <v>39</v>
      </c>
      <c r="B2020" t="s">
        <v>71</v>
      </c>
      <c r="C2020" t="s">
        <v>1833</v>
      </c>
      <c r="D2020">
        <v>1</v>
      </c>
      <c r="E2020">
        <v>7</v>
      </c>
      <c r="F2020" t="s">
        <v>11</v>
      </c>
      <c r="G2020" t="s">
        <v>11</v>
      </c>
      <c r="H2020" t="s">
        <v>11</v>
      </c>
    </row>
    <row r="2021" spans="1:8" x14ac:dyDescent="0.35">
      <c r="A2021" t="s">
        <v>39</v>
      </c>
      <c r="B2021" t="s">
        <v>71</v>
      </c>
      <c r="C2021" t="s">
        <v>1835</v>
      </c>
      <c r="D2021">
        <v>1</v>
      </c>
      <c r="E2021">
        <v>6</v>
      </c>
      <c r="F2021" t="s">
        <v>7</v>
      </c>
      <c r="G2021" t="s">
        <v>11</v>
      </c>
      <c r="H2021" t="s">
        <v>11</v>
      </c>
    </row>
    <row r="2022" spans="1:8" x14ac:dyDescent="0.35">
      <c r="A2022" t="s">
        <v>39</v>
      </c>
      <c r="B2022" t="s">
        <v>71</v>
      </c>
      <c r="C2022" t="s">
        <v>1974</v>
      </c>
      <c r="D2022">
        <v>1</v>
      </c>
      <c r="E2022">
        <v>6</v>
      </c>
      <c r="F2022" t="s">
        <v>7</v>
      </c>
      <c r="G2022" t="s">
        <v>11</v>
      </c>
      <c r="H2022" t="s">
        <v>11</v>
      </c>
    </row>
    <row r="2023" spans="1:8" x14ac:dyDescent="0.35">
      <c r="A2023" t="s">
        <v>39</v>
      </c>
      <c r="B2023" t="s">
        <v>71</v>
      </c>
      <c r="C2023" t="s">
        <v>2584</v>
      </c>
      <c r="D2023">
        <v>1</v>
      </c>
      <c r="E2023">
        <v>7</v>
      </c>
      <c r="F2023" t="s">
        <v>11</v>
      </c>
      <c r="G2023" t="s">
        <v>11</v>
      </c>
      <c r="H2023" t="s">
        <v>11</v>
      </c>
    </row>
    <row r="2024" spans="1:8" x14ac:dyDescent="0.35">
      <c r="A2024" t="s">
        <v>39</v>
      </c>
      <c r="B2024" t="s">
        <v>71</v>
      </c>
      <c r="C2024" t="s">
        <v>2048</v>
      </c>
      <c r="D2024">
        <v>1</v>
      </c>
      <c r="E2024">
        <v>7</v>
      </c>
      <c r="F2024" t="s">
        <v>11</v>
      </c>
      <c r="G2024" t="s">
        <v>11</v>
      </c>
      <c r="H2024" t="s">
        <v>11</v>
      </c>
    </row>
    <row r="2025" spans="1:8" x14ac:dyDescent="0.35">
      <c r="A2025" t="s">
        <v>39</v>
      </c>
      <c r="B2025" t="s">
        <v>71</v>
      </c>
      <c r="C2025" t="s">
        <v>2585</v>
      </c>
      <c r="D2025">
        <v>1</v>
      </c>
      <c r="E2025">
        <v>6</v>
      </c>
      <c r="F2025" t="s">
        <v>7</v>
      </c>
      <c r="G2025" t="s">
        <v>11</v>
      </c>
      <c r="H2025" t="s">
        <v>11</v>
      </c>
    </row>
    <row r="2026" spans="1:8" x14ac:dyDescent="0.35">
      <c r="A2026" t="s">
        <v>39</v>
      </c>
      <c r="B2026" t="s">
        <v>71</v>
      </c>
      <c r="C2026" t="s">
        <v>2586</v>
      </c>
      <c r="D2026">
        <v>1</v>
      </c>
      <c r="E2026">
        <v>7</v>
      </c>
      <c r="F2026" t="s">
        <v>11</v>
      </c>
      <c r="G2026" t="s">
        <v>11</v>
      </c>
      <c r="H2026" t="s">
        <v>11</v>
      </c>
    </row>
    <row r="2027" spans="1:8" x14ac:dyDescent="0.35">
      <c r="A2027" t="s">
        <v>39</v>
      </c>
      <c r="B2027" t="s">
        <v>71</v>
      </c>
      <c r="C2027" t="s">
        <v>1729</v>
      </c>
      <c r="D2027">
        <v>1</v>
      </c>
      <c r="E2027">
        <v>7</v>
      </c>
      <c r="F2027" t="s">
        <v>11</v>
      </c>
      <c r="G2027" t="s">
        <v>11</v>
      </c>
      <c r="H2027" t="s">
        <v>11</v>
      </c>
    </row>
    <row r="2028" spans="1:8" x14ac:dyDescent="0.35">
      <c r="A2028" t="s">
        <v>39</v>
      </c>
      <c r="B2028" t="s">
        <v>71</v>
      </c>
      <c r="C2028" t="s">
        <v>2249</v>
      </c>
      <c r="D2028">
        <v>1</v>
      </c>
      <c r="E2028">
        <v>7</v>
      </c>
      <c r="F2028" t="s">
        <v>11</v>
      </c>
      <c r="G2028" t="s">
        <v>11</v>
      </c>
      <c r="H2028" t="s">
        <v>11</v>
      </c>
    </row>
    <row r="2029" spans="1:8" x14ac:dyDescent="0.35">
      <c r="A2029" t="s">
        <v>39</v>
      </c>
      <c r="B2029" t="s">
        <v>71</v>
      </c>
      <c r="C2029" t="s">
        <v>2587</v>
      </c>
      <c r="D2029">
        <v>1</v>
      </c>
      <c r="E2029">
        <v>6</v>
      </c>
      <c r="F2029" t="s">
        <v>7</v>
      </c>
      <c r="G2029" t="s">
        <v>11</v>
      </c>
      <c r="H2029" t="s">
        <v>11</v>
      </c>
    </row>
    <row r="2030" spans="1:8" x14ac:dyDescent="0.35">
      <c r="A2030" t="s">
        <v>39</v>
      </c>
      <c r="B2030" t="s">
        <v>71</v>
      </c>
      <c r="C2030" t="s">
        <v>2252</v>
      </c>
      <c r="D2030">
        <v>1</v>
      </c>
      <c r="E2030">
        <v>7</v>
      </c>
      <c r="F2030" t="s">
        <v>11</v>
      </c>
      <c r="G2030" t="s">
        <v>11</v>
      </c>
      <c r="H2030" t="s">
        <v>11</v>
      </c>
    </row>
    <row r="2031" spans="1:8" x14ac:dyDescent="0.35">
      <c r="A2031" t="s">
        <v>39</v>
      </c>
      <c r="B2031" t="s">
        <v>71</v>
      </c>
      <c r="C2031" t="s">
        <v>1840</v>
      </c>
      <c r="D2031">
        <v>1</v>
      </c>
      <c r="E2031">
        <v>6</v>
      </c>
      <c r="F2031" t="s">
        <v>7</v>
      </c>
      <c r="G2031" t="s">
        <v>11</v>
      </c>
      <c r="H2031" t="s">
        <v>11</v>
      </c>
    </row>
    <row r="2032" spans="1:8" x14ac:dyDescent="0.35">
      <c r="A2032" t="s">
        <v>39</v>
      </c>
      <c r="B2032" t="s">
        <v>71</v>
      </c>
      <c r="C2032" t="s">
        <v>2588</v>
      </c>
      <c r="D2032">
        <v>1</v>
      </c>
      <c r="E2032">
        <v>7</v>
      </c>
      <c r="F2032" t="s">
        <v>11</v>
      </c>
      <c r="G2032" t="s">
        <v>11</v>
      </c>
      <c r="H2032" t="s">
        <v>11</v>
      </c>
    </row>
    <row r="2033" spans="1:8" x14ac:dyDescent="0.35">
      <c r="A2033" t="s">
        <v>39</v>
      </c>
      <c r="B2033" t="s">
        <v>71</v>
      </c>
      <c r="C2033" t="s">
        <v>2589</v>
      </c>
      <c r="D2033">
        <v>1</v>
      </c>
      <c r="E2033">
        <v>6</v>
      </c>
      <c r="F2033" t="s">
        <v>7</v>
      </c>
      <c r="G2033" t="s">
        <v>11</v>
      </c>
      <c r="H2033" t="s">
        <v>11</v>
      </c>
    </row>
    <row r="2034" spans="1:8" x14ac:dyDescent="0.35">
      <c r="A2034" t="s">
        <v>39</v>
      </c>
      <c r="B2034" t="s">
        <v>71</v>
      </c>
      <c r="C2034" t="s">
        <v>1993</v>
      </c>
      <c r="D2034">
        <v>1</v>
      </c>
      <c r="E2034">
        <v>7</v>
      </c>
      <c r="F2034" t="s">
        <v>11</v>
      </c>
      <c r="G2034" t="s">
        <v>11</v>
      </c>
      <c r="H2034" t="s">
        <v>11</v>
      </c>
    </row>
    <row r="2035" spans="1:8" x14ac:dyDescent="0.35">
      <c r="A2035" t="s">
        <v>39</v>
      </c>
      <c r="B2035" t="s">
        <v>71</v>
      </c>
      <c r="C2035" t="s">
        <v>1933</v>
      </c>
      <c r="D2035">
        <v>1</v>
      </c>
      <c r="E2035">
        <v>6</v>
      </c>
      <c r="F2035" t="s">
        <v>7</v>
      </c>
      <c r="G2035" t="s">
        <v>11</v>
      </c>
      <c r="H2035" t="s">
        <v>11</v>
      </c>
    </row>
    <row r="2036" spans="1:8" x14ac:dyDescent="0.35">
      <c r="A2036" t="s">
        <v>39</v>
      </c>
      <c r="B2036" t="s">
        <v>71</v>
      </c>
      <c r="C2036" t="s">
        <v>2590</v>
      </c>
      <c r="D2036">
        <v>1</v>
      </c>
      <c r="E2036">
        <v>6</v>
      </c>
      <c r="F2036" t="s">
        <v>7</v>
      </c>
      <c r="G2036" t="s">
        <v>11</v>
      </c>
      <c r="H2036" t="s">
        <v>11</v>
      </c>
    </row>
    <row r="2037" spans="1:8" x14ac:dyDescent="0.35">
      <c r="A2037" t="s">
        <v>39</v>
      </c>
      <c r="B2037" t="s">
        <v>71</v>
      </c>
      <c r="C2037" t="s">
        <v>1844</v>
      </c>
      <c r="D2037">
        <v>1</v>
      </c>
      <c r="E2037">
        <v>6</v>
      </c>
      <c r="F2037" t="s">
        <v>7</v>
      </c>
      <c r="G2037" t="s">
        <v>11</v>
      </c>
      <c r="H2037" t="s">
        <v>11</v>
      </c>
    </row>
    <row r="2038" spans="1:8" x14ac:dyDescent="0.35">
      <c r="A2038" t="s">
        <v>39</v>
      </c>
      <c r="B2038" t="s">
        <v>71</v>
      </c>
      <c r="C2038" t="s">
        <v>2259</v>
      </c>
      <c r="D2038">
        <v>1</v>
      </c>
      <c r="E2038">
        <v>7</v>
      </c>
      <c r="F2038" t="s">
        <v>11</v>
      </c>
      <c r="G2038" t="s">
        <v>11</v>
      </c>
      <c r="H2038" t="s">
        <v>11</v>
      </c>
    </row>
    <row r="2039" spans="1:8" x14ac:dyDescent="0.35">
      <c r="A2039" t="s">
        <v>39</v>
      </c>
      <c r="B2039" t="s">
        <v>71</v>
      </c>
      <c r="C2039" t="s">
        <v>2591</v>
      </c>
      <c r="D2039">
        <v>1</v>
      </c>
      <c r="E2039">
        <v>7</v>
      </c>
      <c r="F2039" t="s">
        <v>11</v>
      </c>
      <c r="G2039" t="s">
        <v>11</v>
      </c>
      <c r="H2039" t="s">
        <v>11</v>
      </c>
    </row>
    <row r="2040" spans="1:8" x14ac:dyDescent="0.35">
      <c r="A2040" t="s">
        <v>39</v>
      </c>
      <c r="B2040" t="s">
        <v>71</v>
      </c>
      <c r="C2040" t="s">
        <v>2592</v>
      </c>
      <c r="D2040">
        <v>1</v>
      </c>
      <c r="E2040">
        <v>7</v>
      </c>
      <c r="F2040" t="s">
        <v>11</v>
      </c>
      <c r="G2040" t="s">
        <v>11</v>
      </c>
      <c r="H2040" t="s">
        <v>11</v>
      </c>
    </row>
    <row r="2041" spans="1:8" x14ac:dyDescent="0.35">
      <c r="A2041" t="s">
        <v>39</v>
      </c>
      <c r="B2041" t="s">
        <v>71</v>
      </c>
      <c r="C2041" t="s">
        <v>2593</v>
      </c>
      <c r="D2041">
        <v>1</v>
      </c>
      <c r="E2041">
        <v>7</v>
      </c>
      <c r="F2041" t="s">
        <v>11</v>
      </c>
      <c r="G2041" t="s">
        <v>11</v>
      </c>
      <c r="H2041" t="s">
        <v>11</v>
      </c>
    </row>
    <row r="2042" spans="1:8" x14ac:dyDescent="0.35">
      <c r="A2042" t="s">
        <v>39</v>
      </c>
      <c r="B2042" t="s">
        <v>71</v>
      </c>
      <c r="C2042" t="s">
        <v>2594</v>
      </c>
      <c r="D2042">
        <v>1</v>
      </c>
      <c r="E2042">
        <v>7</v>
      </c>
      <c r="F2042" t="s">
        <v>11</v>
      </c>
      <c r="G2042" t="s">
        <v>11</v>
      </c>
      <c r="H2042" t="s">
        <v>11</v>
      </c>
    </row>
    <row r="2043" spans="1:8" x14ac:dyDescent="0.35">
      <c r="A2043" t="s">
        <v>39</v>
      </c>
      <c r="B2043" t="s">
        <v>71</v>
      </c>
      <c r="C2043" t="s">
        <v>2595</v>
      </c>
      <c r="D2043">
        <v>1</v>
      </c>
      <c r="E2043">
        <v>7</v>
      </c>
      <c r="F2043" t="s">
        <v>11</v>
      </c>
      <c r="G2043" t="s">
        <v>11</v>
      </c>
      <c r="H2043" t="s">
        <v>11</v>
      </c>
    </row>
    <row r="2044" spans="1:8" x14ac:dyDescent="0.35">
      <c r="A2044" t="s">
        <v>39</v>
      </c>
      <c r="B2044" t="s">
        <v>71</v>
      </c>
      <c r="C2044" t="s">
        <v>1893</v>
      </c>
      <c r="D2044">
        <v>1</v>
      </c>
      <c r="E2044">
        <v>7</v>
      </c>
      <c r="F2044" t="s">
        <v>11</v>
      </c>
      <c r="G2044" t="s">
        <v>11</v>
      </c>
      <c r="H2044" t="s">
        <v>11</v>
      </c>
    </row>
    <row r="2045" spans="1:8" x14ac:dyDescent="0.35">
      <c r="A2045" t="s">
        <v>39</v>
      </c>
      <c r="B2045" t="s">
        <v>71</v>
      </c>
      <c r="C2045" t="s">
        <v>2596</v>
      </c>
      <c r="D2045">
        <v>1</v>
      </c>
      <c r="E2045">
        <v>7</v>
      </c>
      <c r="F2045" t="s">
        <v>11</v>
      </c>
      <c r="G2045" t="s">
        <v>11</v>
      </c>
      <c r="H2045" t="s">
        <v>11</v>
      </c>
    </row>
    <row r="2046" spans="1:8" x14ac:dyDescent="0.35">
      <c r="A2046" t="s">
        <v>68</v>
      </c>
      <c r="C2046" t="s">
        <v>2597</v>
      </c>
      <c r="D2046" t="s">
        <v>11</v>
      </c>
      <c r="E2046">
        <v>1</v>
      </c>
      <c r="F2046" t="s">
        <v>7</v>
      </c>
      <c r="G2046" t="s">
        <v>115</v>
      </c>
      <c r="H2046" t="s">
        <v>3675</v>
      </c>
    </row>
    <row r="2047" spans="1:8" x14ac:dyDescent="0.35">
      <c r="A2047" t="s">
        <v>47</v>
      </c>
      <c r="B2047" t="s">
        <v>100</v>
      </c>
      <c r="C2047" t="s">
        <v>1537</v>
      </c>
      <c r="D2047">
        <v>1</v>
      </c>
      <c r="E2047">
        <v>4</v>
      </c>
      <c r="F2047" t="s">
        <v>7</v>
      </c>
      <c r="G2047" t="s">
        <v>11</v>
      </c>
      <c r="H2047" t="s">
        <v>11</v>
      </c>
    </row>
    <row r="2048" spans="1:8" x14ac:dyDescent="0.35">
      <c r="A2048" t="s">
        <v>47</v>
      </c>
      <c r="B2048" t="s">
        <v>100</v>
      </c>
      <c r="C2048" t="s">
        <v>1854</v>
      </c>
      <c r="D2048">
        <v>1</v>
      </c>
      <c r="E2048">
        <v>5</v>
      </c>
      <c r="F2048" t="s">
        <v>7</v>
      </c>
      <c r="G2048" t="s">
        <v>11</v>
      </c>
      <c r="H2048" t="s">
        <v>11</v>
      </c>
    </row>
    <row r="2049" spans="1:8" x14ac:dyDescent="0.35">
      <c r="A2049" t="s">
        <v>47</v>
      </c>
      <c r="B2049" t="s">
        <v>100</v>
      </c>
      <c r="C2049" t="s">
        <v>2598</v>
      </c>
      <c r="D2049">
        <v>1</v>
      </c>
      <c r="E2049">
        <v>5</v>
      </c>
      <c r="F2049" t="s">
        <v>7</v>
      </c>
      <c r="G2049" t="s">
        <v>11</v>
      </c>
      <c r="H2049" t="s">
        <v>11</v>
      </c>
    </row>
    <row r="2050" spans="1:8" x14ac:dyDescent="0.35">
      <c r="A2050" t="s">
        <v>47</v>
      </c>
      <c r="B2050" t="s">
        <v>100</v>
      </c>
      <c r="C2050" t="s">
        <v>2599</v>
      </c>
      <c r="D2050">
        <v>2</v>
      </c>
      <c r="E2050">
        <v>5</v>
      </c>
      <c r="F2050" t="s">
        <v>7</v>
      </c>
      <c r="G2050" t="s">
        <v>11</v>
      </c>
      <c r="H2050" t="s">
        <v>11</v>
      </c>
    </row>
    <row r="2051" spans="1:8" x14ac:dyDescent="0.35">
      <c r="A2051" t="s">
        <v>47</v>
      </c>
      <c r="B2051" t="s">
        <v>100</v>
      </c>
      <c r="C2051" t="s">
        <v>2600</v>
      </c>
      <c r="D2051">
        <v>2</v>
      </c>
      <c r="E2051">
        <v>5</v>
      </c>
      <c r="F2051" t="s">
        <v>7</v>
      </c>
      <c r="G2051" t="s">
        <v>11</v>
      </c>
      <c r="H2051" t="s">
        <v>11</v>
      </c>
    </row>
    <row r="2052" spans="1:8" x14ac:dyDescent="0.35">
      <c r="A2052" t="s">
        <v>47</v>
      </c>
      <c r="B2052" t="s">
        <v>100</v>
      </c>
      <c r="C2052" t="s">
        <v>2601</v>
      </c>
      <c r="D2052">
        <v>1</v>
      </c>
      <c r="E2052">
        <v>5</v>
      </c>
      <c r="F2052" t="s">
        <v>7</v>
      </c>
      <c r="G2052" t="s">
        <v>11</v>
      </c>
      <c r="H2052" t="s">
        <v>11</v>
      </c>
    </row>
    <row r="2053" spans="1:8" x14ac:dyDescent="0.35">
      <c r="A2053" t="s">
        <v>47</v>
      </c>
      <c r="B2053" t="s">
        <v>100</v>
      </c>
      <c r="C2053" t="s">
        <v>2602</v>
      </c>
      <c r="D2053">
        <v>1</v>
      </c>
      <c r="E2053">
        <v>5</v>
      </c>
      <c r="F2053" t="s">
        <v>7</v>
      </c>
      <c r="G2053" t="s">
        <v>11</v>
      </c>
      <c r="H2053" t="s">
        <v>11</v>
      </c>
    </row>
    <row r="2054" spans="1:8" x14ac:dyDescent="0.35">
      <c r="A2054" t="s">
        <v>47</v>
      </c>
      <c r="B2054" t="s">
        <v>100</v>
      </c>
      <c r="C2054" t="s">
        <v>1802</v>
      </c>
      <c r="D2054">
        <v>2</v>
      </c>
      <c r="E2054">
        <v>4</v>
      </c>
      <c r="F2054" t="s">
        <v>7</v>
      </c>
      <c r="G2054" t="s">
        <v>11</v>
      </c>
      <c r="H2054" t="s">
        <v>11</v>
      </c>
    </row>
    <row r="2055" spans="1:8" x14ac:dyDescent="0.35">
      <c r="A2055" t="s">
        <v>47</v>
      </c>
      <c r="B2055" t="s">
        <v>100</v>
      </c>
      <c r="C2055" t="s">
        <v>1318</v>
      </c>
      <c r="D2055">
        <v>1</v>
      </c>
      <c r="E2055">
        <v>5</v>
      </c>
      <c r="F2055" t="s">
        <v>7</v>
      </c>
      <c r="G2055" t="s">
        <v>11</v>
      </c>
      <c r="H2055" t="s">
        <v>11</v>
      </c>
    </row>
    <row r="2056" spans="1:8" x14ac:dyDescent="0.35">
      <c r="A2056" t="s">
        <v>47</v>
      </c>
      <c r="B2056" t="s">
        <v>100</v>
      </c>
      <c r="C2056" t="s">
        <v>1430</v>
      </c>
      <c r="D2056">
        <v>1</v>
      </c>
      <c r="E2056">
        <v>5</v>
      </c>
      <c r="F2056" t="s">
        <v>7</v>
      </c>
      <c r="G2056" t="s">
        <v>11</v>
      </c>
      <c r="H2056" t="s">
        <v>11</v>
      </c>
    </row>
    <row r="2057" spans="1:8" x14ac:dyDescent="0.35">
      <c r="A2057" t="s">
        <v>47</v>
      </c>
      <c r="B2057" t="s">
        <v>100</v>
      </c>
      <c r="C2057" t="s">
        <v>1805</v>
      </c>
      <c r="D2057">
        <v>1</v>
      </c>
      <c r="E2057">
        <v>5</v>
      </c>
      <c r="F2057" t="s">
        <v>7</v>
      </c>
      <c r="G2057" t="s">
        <v>11</v>
      </c>
      <c r="H2057" t="s">
        <v>11</v>
      </c>
    </row>
    <row r="2058" spans="1:8" x14ac:dyDescent="0.35">
      <c r="A2058" t="s">
        <v>47</v>
      </c>
      <c r="B2058" t="s">
        <v>100</v>
      </c>
      <c r="C2058" t="s">
        <v>1432</v>
      </c>
      <c r="D2058">
        <v>1</v>
      </c>
      <c r="E2058">
        <v>5</v>
      </c>
      <c r="F2058" t="s">
        <v>7</v>
      </c>
      <c r="G2058" t="s">
        <v>11</v>
      </c>
      <c r="H2058" t="s">
        <v>11</v>
      </c>
    </row>
    <row r="2059" spans="1:8" x14ac:dyDescent="0.35">
      <c r="A2059" t="s">
        <v>47</v>
      </c>
      <c r="B2059" t="s">
        <v>100</v>
      </c>
      <c r="C2059" t="s">
        <v>2603</v>
      </c>
      <c r="D2059">
        <v>2</v>
      </c>
      <c r="E2059">
        <v>4</v>
      </c>
      <c r="F2059" t="s">
        <v>7</v>
      </c>
      <c r="G2059" t="s">
        <v>11</v>
      </c>
      <c r="H2059" t="s">
        <v>11</v>
      </c>
    </row>
    <row r="2060" spans="1:8" x14ac:dyDescent="0.35">
      <c r="A2060" t="s">
        <v>47</v>
      </c>
      <c r="B2060" t="s">
        <v>100</v>
      </c>
      <c r="C2060" t="s">
        <v>1807</v>
      </c>
      <c r="D2060">
        <v>1</v>
      </c>
      <c r="E2060">
        <v>5</v>
      </c>
      <c r="F2060" t="s">
        <v>7</v>
      </c>
      <c r="G2060" t="s">
        <v>11</v>
      </c>
      <c r="H2060" t="s">
        <v>11</v>
      </c>
    </row>
    <row r="2061" spans="1:8" x14ac:dyDescent="0.35">
      <c r="A2061" t="s">
        <v>47</v>
      </c>
      <c r="B2061" t="s">
        <v>100</v>
      </c>
      <c r="C2061" t="s">
        <v>2604</v>
      </c>
      <c r="D2061">
        <v>1</v>
      </c>
      <c r="E2061">
        <v>5</v>
      </c>
      <c r="F2061" t="s">
        <v>7</v>
      </c>
      <c r="G2061" t="s">
        <v>11</v>
      </c>
      <c r="H2061" t="s">
        <v>11</v>
      </c>
    </row>
    <row r="2062" spans="1:8" x14ac:dyDescent="0.35">
      <c r="A2062" t="s">
        <v>47</v>
      </c>
      <c r="B2062" t="s">
        <v>100</v>
      </c>
      <c r="C2062" t="s">
        <v>2605</v>
      </c>
      <c r="D2062">
        <v>1</v>
      </c>
      <c r="E2062">
        <v>5</v>
      </c>
      <c r="F2062" t="s">
        <v>7</v>
      </c>
      <c r="G2062" t="s">
        <v>11</v>
      </c>
      <c r="H2062" t="s">
        <v>11</v>
      </c>
    </row>
    <row r="2063" spans="1:8" x14ac:dyDescent="0.35">
      <c r="A2063" t="s">
        <v>47</v>
      </c>
      <c r="B2063" t="s">
        <v>100</v>
      </c>
      <c r="C2063" t="s">
        <v>1437</v>
      </c>
      <c r="D2063">
        <v>1</v>
      </c>
      <c r="E2063">
        <v>5</v>
      </c>
      <c r="F2063" t="s">
        <v>7</v>
      </c>
      <c r="G2063" t="s">
        <v>11</v>
      </c>
      <c r="H2063" t="s">
        <v>11</v>
      </c>
    </row>
    <row r="2064" spans="1:8" x14ac:dyDescent="0.35">
      <c r="A2064" t="s">
        <v>47</v>
      </c>
      <c r="B2064" t="s">
        <v>100</v>
      </c>
      <c r="C2064" t="s">
        <v>2606</v>
      </c>
      <c r="D2064">
        <v>2</v>
      </c>
      <c r="E2064">
        <v>5</v>
      </c>
      <c r="F2064" t="s">
        <v>7</v>
      </c>
      <c r="G2064" t="s">
        <v>11</v>
      </c>
      <c r="H2064" t="s">
        <v>11</v>
      </c>
    </row>
    <row r="2065" spans="1:8" x14ac:dyDescent="0.35">
      <c r="A2065" t="s">
        <v>47</v>
      </c>
      <c r="B2065" t="s">
        <v>100</v>
      </c>
      <c r="C2065" t="s">
        <v>2607</v>
      </c>
      <c r="D2065">
        <v>1</v>
      </c>
      <c r="E2065">
        <v>5</v>
      </c>
      <c r="F2065" t="s">
        <v>7</v>
      </c>
      <c r="G2065" t="s">
        <v>11</v>
      </c>
      <c r="H2065" t="s">
        <v>11</v>
      </c>
    </row>
    <row r="2066" spans="1:8" x14ac:dyDescent="0.35">
      <c r="A2066" t="s">
        <v>47</v>
      </c>
      <c r="B2066" t="s">
        <v>100</v>
      </c>
      <c r="C2066" t="s">
        <v>2608</v>
      </c>
      <c r="D2066">
        <v>2</v>
      </c>
      <c r="E2066">
        <v>5</v>
      </c>
      <c r="F2066" t="s">
        <v>7</v>
      </c>
      <c r="G2066" t="s">
        <v>11</v>
      </c>
      <c r="H2066" t="s">
        <v>11</v>
      </c>
    </row>
    <row r="2067" spans="1:8" x14ac:dyDescent="0.35">
      <c r="A2067" t="s">
        <v>47</v>
      </c>
      <c r="B2067" t="s">
        <v>100</v>
      </c>
      <c r="C2067" t="s">
        <v>1859</v>
      </c>
      <c r="D2067">
        <v>1</v>
      </c>
      <c r="E2067">
        <v>5</v>
      </c>
      <c r="F2067" t="s">
        <v>7</v>
      </c>
      <c r="G2067" t="s">
        <v>11</v>
      </c>
      <c r="H2067" t="s">
        <v>11</v>
      </c>
    </row>
    <row r="2068" spans="1:8" x14ac:dyDescent="0.35">
      <c r="A2068" t="s">
        <v>47</v>
      </c>
      <c r="B2068" t="s">
        <v>100</v>
      </c>
      <c r="C2068" t="s">
        <v>2481</v>
      </c>
      <c r="D2068">
        <v>2</v>
      </c>
      <c r="E2068">
        <v>5</v>
      </c>
      <c r="F2068" t="s">
        <v>7</v>
      </c>
      <c r="G2068" t="s">
        <v>11</v>
      </c>
      <c r="H2068" t="s">
        <v>11</v>
      </c>
    </row>
    <row r="2069" spans="1:8" x14ac:dyDescent="0.35">
      <c r="A2069" t="s">
        <v>47</v>
      </c>
      <c r="B2069" t="s">
        <v>100</v>
      </c>
      <c r="C2069" t="s">
        <v>1592</v>
      </c>
      <c r="D2069">
        <v>1</v>
      </c>
      <c r="E2069">
        <v>5</v>
      </c>
      <c r="F2069" t="s">
        <v>7</v>
      </c>
      <c r="G2069" t="s">
        <v>11</v>
      </c>
      <c r="H2069" t="s">
        <v>11</v>
      </c>
    </row>
    <row r="2070" spans="1:8" x14ac:dyDescent="0.35">
      <c r="A2070" t="s">
        <v>47</v>
      </c>
      <c r="B2070" t="s">
        <v>100</v>
      </c>
      <c r="C2070" t="s">
        <v>1340</v>
      </c>
      <c r="D2070">
        <v>1</v>
      </c>
      <c r="E2070">
        <v>5</v>
      </c>
      <c r="F2070" t="s">
        <v>7</v>
      </c>
      <c r="G2070" t="s">
        <v>11</v>
      </c>
      <c r="H2070" t="s">
        <v>11</v>
      </c>
    </row>
    <row r="2071" spans="1:8" x14ac:dyDescent="0.35">
      <c r="A2071" t="s">
        <v>47</v>
      </c>
      <c r="B2071" t="s">
        <v>100</v>
      </c>
      <c r="C2071" t="s">
        <v>1341</v>
      </c>
      <c r="D2071">
        <v>1</v>
      </c>
      <c r="E2071">
        <v>5</v>
      </c>
      <c r="F2071" t="s">
        <v>7</v>
      </c>
      <c r="G2071" t="s">
        <v>11</v>
      </c>
      <c r="H2071" t="s">
        <v>11</v>
      </c>
    </row>
    <row r="2072" spans="1:8" x14ac:dyDescent="0.35">
      <c r="A2072" t="s">
        <v>47</v>
      </c>
      <c r="B2072" t="s">
        <v>100</v>
      </c>
      <c r="C2072" t="s">
        <v>1443</v>
      </c>
      <c r="D2072">
        <v>2</v>
      </c>
      <c r="E2072">
        <v>5</v>
      </c>
      <c r="F2072" t="s">
        <v>7</v>
      </c>
      <c r="G2072" t="s">
        <v>11</v>
      </c>
      <c r="H2072" t="s">
        <v>11</v>
      </c>
    </row>
    <row r="2073" spans="1:8" x14ac:dyDescent="0.35">
      <c r="A2073" t="s">
        <v>47</v>
      </c>
      <c r="B2073" t="s">
        <v>100</v>
      </c>
      <c r="C2073" t="s">
        <v>2609</v>
      </c>
      <c r="D2073">
        <v>2</v>
      </c>
      <c r="E2073">
        <v>4</v>
      </c>
      <c r="F2073" t="s">
        <v>7</v>
      </c>
      <c r="G2073" t="s">
        <v>11</v>
      </c>
      <c r="H2073" t="s">
        <v>11</v>
      </c>
    </row>
    <row r="2074" spans="1:8" x14ac:dyDescent="0.35">
      <c r="A2074" t="s">
        <v>47</v>
      </c>
      <c r="B2074" t="s">
        <v>100</v>
      </c>
      <c r="C2074" t="s">
        <v>2610</v>
      </c>
      <c r="D2074">
        <v>2</v>
      </c>
      <c r="E2074">
        <v>5</v>
      </c>
      <c r="F2074" t="s">
        <v>7</v>
      </c>
      <c r="G2074" t="s">
        <v>11</v>
      </c>
      <c r="H2074" t="s">
        <v>11</v>
      </c>
    </row>
    <row r="2075" spans="1:8" x14ac:dyDescent="0.35">
      <c r="A2075" t="s">
        <v>47</v>
      </c>
      <c r="B2075" t="s">
        <v>100</v>
      </c>
      <c r="C2075" t="s">
        <v>1343</v>
      </c>
      <c r="D2075">
        <v>1</v>
      </c>
      <c r="E2075">
        <v>5</v>
      </c>
      <c r="F2075" t="s">
        <v>7</v>
      </c>
      <c r="G2075" t="s">
        <v>11</v>
      </c>
      <c r="H2075" t="s">
        <v>11</v>
      </c>
    </row>
    <row r="2076" spans="1:8" x14ac:dyDescent="0.35">
      <c r="A2076" t="s">
        <v>47</v>
      </c>
      <c r="B2076" t="s">
        <v>100</v>
      </c>
      <c r="C2076" t="s">
        <v>2611</v>
      </c>
      <c r="D2076">
        <v>1</v>
      </c>
      <c r="E2076">
        <v>5</v>
      </c>
      <c r="F2076" t="s">
        <v>7</v>
      </c>
      <c r="G2076" t="s">
        <v>11</v>
      </c>
      <c r="H2076" t="s">
        <v>11</v>
      </c>
    </row>
    <row r="2077" spans="1:8" x14ac:dyDescent="0.35">
      <c r="A2077" t="s">
        <v>47</v>
      </c>
      <c r="B2077" t="s">
        <v>100</v>
      </c>
      <c r="C2077" t="s">
        <v>1621</v>
      </c>
      <c r="D2077">
        <v>1</v>
      </c>
      <c r="E2077">
        <v>4</v>
      </c>
      <c r="F2077" t="s">
        <v>7</v>
      </c>
      <c r="G2077" t="s">
        <v>11</v>
      </c>
      <c r="H2077" t="s">
        <v>11</v>
      </c>
    </row>
    <row r="2078" spans="1:8" x14ac:dyDescent="0.35">
      <c r="A2078" t="s">
        <v>47</v>
      </c>
      <c r="B2078" t="s">
        <v>100</v>
      </c>
      <c r="C2078" t="s">
        <v>1705</v>
      </c>
      <c r="D2078">
        <v>1</v>
      </c>
      <c r="E2078">
        <v>5</v>
      </c>
      <c r="F2078" t="s">
        <v>7</v>
      </c>
      <c r="G2078" t="s">
        <v>11</v>
      </c>
      <c r="H2078" t="s">
        <v>11</v>
      </c>
    </row>
    <row r="2079" spans="1:8" x14ac:dyDescent="0.35">
      <c r="A2079" t="s">
        <v>47</v>
      </c>
      <c r="B2079" t="s">
        <v>100</v>
      </c>
      <c r="C2079" t="s">
        <v>1817</v>
      </c>
      <c r="D2079">
        <v>1</v>
      </c>
      <c r="E2079">
        <v>5</v>
      </c>
      <c r="F2079" t="s">
        <v>7</v>
      </c>
      <c r="G2079" t="s">
        <v>11</v>
      </c>
      <c r="H2079" t="s">
        <v>11</v>
      </c>
    </row>
    <row r="2080" spans="1:8" x14ac:dyDescent="0.35">
      <c r="A2080" t="s">
        <v>47</v>
      </c>
      <c r="B2080" t="s">
        <v>100</v>
      </c>
      <c r="C2080" t="s">
        <v>1864</v>
      </c>
      <c r="D2080">
        <v>1</v>
      </c>
      <c r="E2080">
        <v>5</v>
      </c>
      <c r="F2080" t="s">
        <v>7</v>
      </c>
      <c r="G2080" t="s">
        <v>11</v>
      </c>
      <c r="H2080" t="s">
        <v>11</v>
      </c>
    </row>
    <row r="2081" spans="1:8" x14ac:dyDescent="0.35">
      <c r="A2081" t="s">
        <v>47</v>
      </c>
      <c r="B2081" t="s">
        <v>100</v>
      </c>
      <c r="C2081" t="s">
        <v>1345</v>
      </c>
      <c r="D2081">
        <v>2</v>
      </c>
      <c r="E2081">
        <v>5</v>
      </c>
      <c r="F2081" t="s">
        <v>7</v>
      </c>
      <c r="G2081" t="s">
        <v>11</v>
      </c>
      <c r="H2081" t="s">
        <v>11</v>
      </c>
    </row>
    <row r="2082" spans="1:8" x14ac:dyDescent="0.35">
      <c r="A2082" t="s">
        <v>47</v>
      </c>
      <c r="B2082" t="s">
        <v>100</v>
      </c>
      <c r="C2082" t="s">
        <v>2612</v>
      </c>
      <c r="D2082">
        <v>2</v>
      </c>
      <c r="E2082">
        <v>5</v>
      </c>
      <c r="F2082" t="s">
        <v>7</v>
      </c>
      <c r="G2082" t="s">
        <v>11</v>
      </c>
      <c r="H2082" t="s">
        <v>11</v>
      </c>
    </row>
    <row r="2083" spans="1:8" x14ac:dyDescent="0.35">
      <c r="A2083" t="s">
        <v>47</v>
      </c>
      <c r="B2083" t="s">
        <v>100</v>
      </c>
      <c r="C2083" t="s">
        <v>2613</v>
      </c>
      <c r="D2083">
        <v>2</v>
      </c>
      <c r="E2083">
        <v>5</v>
      </c>
      <c r="F2083" t="s">
        <v>7</v>
      </c>
      <c r="G2083" t="s">
        <v>11</v>
      </c>
      <c r="H2083" t="s">
        <v>11</v>
      </c>
    </row>
    <row r="2084" spans="1:8" x14ac:dyDescent="0.35">
      <c r="A2084" t="s">
        <v>47</v>
      </c>
      <c r="B2084" t="s">
        <v>100</v>
      </c>
      <c r="C2084" t="s">
        <v>1627</v>
      </c>
      <c r="D2084">
        <v>1</v>
      </c>
      <c r="E2084">
        <v>5</v>
      </c>
      <c r="F2084" t="s">
        <v>7</v>
      </c>
      <c r="G2084" t="s">
        <v>11</v>
      </c>
      <c r="H2084" t="s">
        <v>11</v>
      </c>
    </row>
    <row r="2085" spans="1:8" x14ac:dyDescent="0.35">
      <c r="A2085" t="s">
        <v>47</v>
      </c>
      <c r="B2085" t="s">
        <v>100</v>
      </c>
      <c r="C2085" t="s">
        <v>2167</v>
      </c>
      <c r="D2085">
        <v>1</v>
      </c>
      <c r="E2085">
        <v>5</v>
      </c>
      <c r="F2085" t="s">
        <v>7</v>
      </c>
      <c r="G2085" t="s">
        <v>11</v>
      </c>
      <c r="H2085" t="s">
        <v>11</v>
      </c>
    </row>
    <row r="2086" spans="1:8" x14ac:dyDescent="0.35">
      <c r="A2086" t="s">
        <v>47</v>
      </c>
      <c r="B2086" t="s">
        <v>100</v>
      </c>
      <c r="C2086" t="s">
        <v>1347</v>
      </c>
      <c r="D2086">
        <v>2</v>
      </c>
      <c r="E2086">
        <v>5</v>
      </c>
      <c r="F2086" t="s">
        <v>7</v>
      </c>
      <c r="G2086" t="s">
        <v>11</v>
      </c>
      <c r="H2086" t="s">
        <v>11</v>
      </c>
    </row>
    <row r="2087" spans="1:8" x14ac:dyDescent="0.35">
      <c r="A2087" t="s">
        <v>47</v>
      </c>
      <c r="B2087" t="s">
        <v>100</v>
      </c>
      <c r="C2087" t="s">
        <v>1348</v>
      </c>
      <c r="D2087">
        <v>1</v>
      </c>
      <c r="E2087">
        <v>5</v>
      </c>
      <c r="F2087" t="s">
        <v>7</v>
      </c>
      <c r="G2087" t="s">
        <v>11</v>
      </c>
      <c r="H2087" t="s">
        <v>11</v>
      </c>
    </row>
    <row r="2088" spans="1:8" x14ac:dyDescent="0.35">
      <c r="A2088" t="s">
        <v>47</v>
      </c>
      <c r="B2088" t="s">
        <v>100</v>
      </c>
      <c r="C2088" t="s">
        <v>1825</v>
      </c>
      <c r="D2088">
        <v>1</v>
      </c>
      <c r="E2088">
        <v>5</v>
      </c>
      <c r="F2088" t="s">
        <v>7</v>
      </c>
      <c r="G2088" t="s">
        <v>11</v>
      </c>
      <c r="H2088" t="s">
        <v>11</v>
      </c>
    </row>
    <row r="2089" spans="1:8" x14ac:dyDescent="0.35">
      <c r="A2089" t="s">
        <v>47</v>
      </c>
      <c r="B2089" t="s">
        <v>100</v>
      </c>
      <c r="C2089" t="s">
        <v>1497</v>
      </c>
      <c r="D2089">
        <v>2</v>
      </c>
      <c r="E2089">
        <v>5</v>
      </c>
      <c r="F2089" t="s">
        <v>7</v>
      </c>
      <c r="G2089" t="s">
        <v>11</v>
      </c>
      <c r="H2089" t="s">
        <v>11</v>
      </c>
    </row>
    <row r="2090" spans="1:8" x14ac:dyDescent="0.35">
      <c r="A2090" t="s">
        <v>47</v>
      </c>
      <c r="B2090" t="s">
        <v>100</v>
      </c>
      <c r="C2090" t="s">
        <v>1351</v>
      </c>
      <c r="D2090">
        <v>2</v>
      </c>
      <c r="E2090">
        <v>4</v>
      </c>
      <c r="F2090" t="s">
        <v>7</v>
      </c>
      <c r="G2090" t="s">
        <v>11</v>
      </c>
      <c r="H2090" t="s">
        <v>11</v>
      </c>
    </row>
    <row r="2091" spans="1:8" x14ac:dyDescent="0.35">
      <c r="A2091" t="s">
        <v>47</v>
      </c>
      <c r="B2091" t="s">
        <v>100</v>
      </c>
      <c r="C2091" t="s">
        <v>2614</v>
      </c>
      <c r="D2091">
        <v>1</v>
      </c>
      <c r="E2091">
        <v>5</v>
      </c>
      <c r="F2091" t="s">
        <v>7</v>
      </c>
      <c r="G2091" t="s">
        <v>11</v>
      </c>
      <c r="H2091" t="s">
        <v>11</v>
      </c>
    </row>
    <row r="2092" spans="1:8" x14ac:dyDescent="0.35">
      <c r="A2092" t="s">
        <v>47</v>
      </c>
      <c r="B2092" t="s">
        <v>100</v>
      </c>
      <c r="C2092" t="s">
        <v>1455</v>
      </c>
      <c r="D2092">
        <v>1</v>
      </c>
      <c r="E2092">
        <v>5</v>
      </c>
      <c r="F2092" t="s">
        <v>7</v>
      </c>
      <c r="G2092" t="s">
        <v>11</v>
      </c>
      <c r="H2092" t="s">
        <v>11</v>
      </c>
    </row>
    <row r="2093" spans="1:8" x14ac:dyDescent="0.35">
      <c r="A2093" t="s">
        <v>47</v>
      </c>
      <c r="B2093" t="s">
        <v>100</v>
      </c>
      <c r="C2093" t="s">
        <v>2615</v>
      </c>
      <c r="D2093">
        <v>2</v>
      </c>
      <c r="E2093">
        <v>5</v>
      </c>
      <c r="F2093" t="s">
        <v>7</v>
      </c>
      <c r="G2093" t="s">
        <v>11</v>
      </c>
      <c r="H2093" t="s">
        <v>11</v>
      </c>
    </row>
    <row r="2094" spans="1:8" x14ac:dyDescent="0.35">
      <c r="A2094" t="s">
        <v>47</v>
      </c>
      <c r="B2094" t="s">
        <v>100</v>
      </c>
      <c r="C2094" t="s">
        <v>1918</v>
      </c>
      <c r="D2094">
        <v>2</v>
      </c>
      <c r="E2094">
        <v>5</v>
      </c>
      <c r="F2094" t="s">
        <v>7</v>
      </c>
      <c r="G2094" t="s">
        <v>11</v>
      </c>
      <c r="H2094" t="s">
        <v>11</v>
      </c>
    </row>
    <row r="2095" spans="1:8" x14ac:dyDescent="0.35">
      <c r="A2095" t="s">
        <v>47</v>
      </c>
      <c r="B2095" t="s">
        <v>100</v>
      </c>
      <c r="C2095" t="s">
        <v>1356</v>
      </c>
      <c r="D2095">
        <v>1</v>
      </c>
      <c r="E2095">
        <v>5</v>
      </c>
      <c r="F2095" t="s">
        <v>7</v>
      </c>
      <c r="G2095" t="s">
        <v>11</v>
      </c>
      <c r="H2095" t="s">
        <v>11</v>
      </c>
    </row>
    <row r="2096" spans="1:8" x14ac:dyDescent="0.35">
      <c r="A2096" t="s">
        <v>47</v>
      </c>
      <c r="B2096" t="s">
        <v>100</v>
      </c>
      <c r="C2096" t="s">
        <v>2616</v>
      </c>
      <c r="D2096">
        <v>2</v>
      </c>
      <c r="E2096">
        <v>5</v>
      </c>
      <c r="F2096" t="s">
        <v>7</v>
      </c>
      <c r="G2096" t="s">
        <v>11</v>
      </c>
      <c r="H2096" t="s">
        <v>11</v>
      </c>
    </row>
    <row r="2097" spans="1:8" x14ac:dyDescent="0.35">
      <c r="A2097" t="s">
        <v>47</v>
      </c>
      <c r="B2097" t="s">
        <v>100</v>
      </c>
      <c r="C2097" t="s">
        <v>1358</v>
      </c>
      <c r="D2097">
        <v>1</v>
      </c>
      <c r="E2097">
        <v>5</v>
      </c>
      <c r="F2097" t="s">
        <v>7</v>
      </c>
      <c r="G2097" t="s">
        <v>11</v>
      </c>
      <c r="H2097" t="s">
        <v>11</v>
      </c>
    </row>
    <row r="2098" spans="1:8" x14ac:dyDescent="0.35">
      <c r="A2098" t="s">
        <v>47</v>
      </c>
      <c r="B2098" t="s">
        <v>100</v>
      </c>
      <c r="C2098" t="s">
        <v>2617</v>
      </c>
      <c r="D2098">
        <v>2</v>
      </c>
      <c r="E2098">
        <v>5</v>
      </c>
      <c r="F2098" t="s">
        <v>7</v>
      </c>
      <c r="G2098" t="s">
        <v>11</v>
      </c>
      <c r="H2098" t="s">
        <v>11</v>
      </c>
    </row>
    <row r="2099" spans="1:8" x14ac:dyDescent="0.35">
      <c r="A2099" t="s">
        <v>47</v>
      </c>
      <c r="B2099" t="s">
        <v>100</v>
      </c>
      <c r="C2099" t="s">
        <v>2618</v>
      </c>
      <c r="D2099">
        <v>2</v>
      </c>
      <c r="E2099">
        <v>5</v>
      </c>
      <c r="F2099" t="s">
        <v>7</v>
      </c>
      <c r="G2099" t="s">
        <v>11</v>
      </c>
      <c r="H2099" t="s">
        <v>11</v>
      </c>
    </row>
    <row r="2100" spans="1:8" x14ac:dyDescent="0.35">
      <c r="A2100" t="s">
        <v>47</v>
      </c>
      <c r="B2100" t="s">
        <v>100</v>
      </c>
      <c r="C2100" t="s">
        <v>1835</v>
      </c>
      <c r="D2100">
        <v>1</v>
      </c>
      <c r="E2100">
        <v>5</v>
      </c>
      <c r="F2100" t="s">
        <v>7</v>
      </c>
      <c r="G2100" t="s">
        <v>11</v>
      </c>
      <c r="H2100" t="s">
        <v>11</v>
      </c>
    </row>
    <row r="2101" spans="1:8" x14ac:dyDescent="0.35">
      <c r="A2101" t="s">
        <v>47</v>
      </c>
      <c r="B2101" t="s">
        <v>100</v>
      </c>
      <c r="C2101" t="s">
        <v>1872</v>
      </c>
      <c r="D2101">
        <v>1</v>
      </c>
      <c r="E2101">
        <v>5</v>
      </c>
      <c r="F2101" t="s">
        <v>7</v>
      </c>
      <c r="G2101" t="s">
        <v>11</v>
      </c>
      <c r="H2101" t="s">
        <v>11</v>
      </c>
    </row>
    <row r="2102" spans="1:8" x14ac:dyDescent="0.35">
      <c r="A2102" t="s">
        <v>47</v>
      </c>
      <c r="B2102" t="s">
        <v>100</v>
      </c>
      <c r="C2102" t="s">
        <v>1361</v>
      </c>
      <c r="D2102">
        <v>2</v>
      </c>
      <c r="E2102">
        <v>5</v>
      </c>
      <c r="F2102" t="s">
        <v>7</v>
      </c>
      <c r="G2102" t="s">
        <v>11</v>
      </c>
      <c r="H2102" t="s">
        <v>11</v>
      </c>
    </row>
    <row r="2103" spans="1:8" x14ac:dyDescent="0.35">
      <c r="A2103" t="s">
        <v>47</v>
      </c>
      <c r="B2103" t="s">
        <v>100</v>
      </c>
      <c r="C2103" t="s">
        <v>1362</v>
      </c>
      <c r="D2103">
        <v>1</v>
      </c>
      <c r="E2103">
        <v>5</v>
      </c>
      <c r="F2103" t="s">
        <v>7</v>
      </c>
      <c r="G2103" t="s">
        <v>11</v>
      </c>
      <c r="H2103" t="s">
        <v>11</v>
      </c>
    </row>
    <row r="2104" spans="1:8" x14ac:dyDescent="0.35">
      <c r="A2104" t="s">
        <v>47</v>
      </c>
      <c r="B2104" t="s">
        <v>100</v>
      </c>
      <c r="C2104" t="s">
        <v>1363</v>
      </c>
      <c r="D2104">
        <v>2</v>
      </c>
      <c r="E2104">
        <v>5</v>
      </c>
      <c r="F2104" t="s">
        <v>7</v>
      </c>
      <c r="G2104" t="s">
        <v>11</v>
      </c>
      <c r="H2104" t="s">
        <v>11</v>
      </c>
    </row>
    <row r="2105" spans="1:8" x14ac:dyDescent="0.35">
      <c r="A2105" t="s">
        <v>47</v>
      </c>
      <c r="B2105" t="s">
        <v>100</v>
      </c>
      <c r="C2105" t="s">
        <v>2619</v>
      </c>
      <c r="D2105">
        <v>1</v>
      </c>
      <c r="E2105">
        <v>5</v>
      </c>
      <c r="F2105" t="s">
        <v>7</v>
      </c>
      <c r="G2105" t="s">
        <v>11</v>
      </c>
      <c r="H2105" t="s">
        <v>11</v>
      </c>
    </row>
    <row r="2106" spans="1:8" x14ac:dyDescent="0.35">
      <c r="A2106" t="s">
        <v>47</v>
      </c>
      <c r="B2106" t="s">
        <v>100</v>
      </c>
      <c r="C2106" t="s">
        <v>2620</v>
      </c>
      <c r="D2106">
        <v>1</v>
      </c>
      <c r="E2106">
        <v>5</v>
      </c>
      <c r="F2106" t="s">
        <v>7</v>
      </c>
      <c r="G2106" t="s">
        <v>11</v>
      </c>
      <c r="H2106" t="s">
        <v>11</v>
      </c>
    </row>
    <row r="2107" spans="1:8" x14ac:dyDescent="0.35">
      <c r="A2107" t="s">
        <v>47</v>
      </c>
      <c r="B2107" t="s">
        <v>100</v>
      </c>
      <c r="C2107" t="s">
        <v>1873</v>
      </c>
      <c r="D2107">
        <v>2</v>
      </c>
      <c r="E2107">
        <v>5</v>
      </c>
      <c r="F2107" t="s">
        <v>7</v>
      </c>
      <c r="G2107" t="s">
        <v>11</v>
      </c>
      <c r="H2107" t="s">
        <v>11</v>
      </c>
    </row>
    <row r="2108" spans="1:8" x14ac:dyDescent="0.35">
      <c r="A2108" t="s">
        <v>47</v>
      </c>
      <c r="B2108" t="s">
        <v>100</v>
      </c>
      <c r="C2108" t="s">
        <v>1981</v>
      </c>
      <c r="D2108">
        <v>2</v>
      </c>
      <c r="E2108">
        <v>5</v>
      </c>
      <c r="F2108" t="s">
        <v>7</v>
      </c>
      <c r="G2108" t="s">
        <v>11</v>
      </c>
      <c r="H2108" t="s">
        <v>11</v>
      </c>
    </row>
    <row r="2109" spans="1:8" x14ac:dyDescent="0.35">
      <c r="A2109" t="s">
        <v>47</v>
      </c>
      <c r="B2109" t="s">
        <v>100</v>
      </c>
      <c r="C2109" t="s">
        <v>1727</v>
      </c>
      <c r="D2109">
        <v>2</v>
      </c>
      <c r="E2109">
        <v>5</v>
      </c>
      <c r="F2109" t="s">
        <v>7</v>
      </c>
      <c r="G2109" t="s">
        <v>11</v>
      </c>
      <c r="H2109" t="s">
        <v>11</v>
      </c>
    </row>
    <row r="2110" spans="1:8" x14ac:dyDescent="0.35">
      <c r="A2110" t="s">
        <v>47</v>
      </c>
      <c r="B2110" t="s">
        <v>100</v>
      </c>
      <c r="C2110" t="s">
        <v>1364</v>
      </c>
      <c r="D2110">
        <v>1</v>
      </c>
      <c r="E2110">
        <v>5</v>
      </c>
      <c r="F2110" t="s">
        <v>7</v>
      </c>
      <c r="G2110" t="s">
        <v>11</v>
      </c>
      <c r="H2110" t="s">
        <v>11</v>
      </c>
    </row>
    <row r="2111" spans="1:8" x14ac:dyDescent="0.35">
      <c r="A2111" t="s">
        <v>47</v>
      </c>
      <c r="B2111" t="s">
        <v>100</v>
      </c>
      <c r="C2111" t="s">
        <v>2621</v>
      </c>
      <c r="D2111">
        <v>1</v>
      </c>
      <c r="E2111">
        <v>5</v>
      </c>
      <c r="F2111" t="s">
        <v>7</v>
      </c>
      <c r="G2111" t="s">
        <v>11</v>
      </c>
      <c r="H2111" t="s">
        <v>11</v>
      </c>
    </row>
    <row r="2112" spans="1:8" x14ac:dyDescent="0.35">
      <c r="A2112" t="s">
        <v>47</v>
      </c>
      <c r="B2112" t="s">
        <v>100</v>
      </c>
      <c r="C2112" t="s">
        <v>1366</v>
      </c>
      <c r="D2112">
        <v>1</v>
      </c>
      <c r="E2112">
        <v>4</v>
      </c>
      <c r="F2112" t="s">
        <v>7</v>
      </c>
      <c r="G2112" t="s">
        <v>11</v>
      </c>
      <c r="H2112" t="s">
        <v>11</v>
      </c>
    </row>
    <row r="2113" spans="1:8" x14ac:dyDescent="0.35">
      <c r="A2113" t="s">
        <v>47</v>
      </c>
      <c r="B2113" t="s">
        <v>100</v>
      </c>
      <c r="C2113" t="s">
        <v>2622</v>
      </c>
      <c r="D2113">
        <v>2</v>
      </c>
      <c r="E2113">
        <v>5</v>
      </c>
      <c r="F2113" t="s">
        <v>7</v>
      </c>
      <c r="G2113" t="s">
        <v>11</v>
      </c>
      <c r="H2113" t="s">
        <v>11</v>
      </c>
    </row>
    <row r="2114" spans="1:8" x14ac:dyDescent="0.35">
      <c r="A2114" t="s">
        <v>47</v>
      </c>
      <c r="B2114" t="s">
        <v>100</v>
      </c>
      <c r="C2114" t="s">
        <v>2623</v>
      </c>
      <c r="D2114">
        <v>1</v>
      </c>
      <c r="E2114">
        <v>5</v>
      </c>
      <c r="F2114" t="s">
        <v>7</v>
      </c>
      <c r="G2114" t="s">
        <v>11</v>
      </c>
      <c r="H2114" t="s">
        <v>11</v>
      </c>
    </row>
    <row r="2115" spans="1:8" x14ac:dyDescent="0.35">
      <c r="A2115" t="s">
        <v>47</v>
      </c>
      <c r="B2115" t="s">
        <v>100</v>
      </c>
      <c r="C2115" t="s">
        <v>1642</v>
      </c>
      <c r="D2115">
        <v>2</v>
      </c>
      <c r="E2115">
        <v>5</v>
      </c>
      <c r="F2115" t="s">
        <v>7</v>
      </c>
      <c r="G2115" t="s">
        <v>11</v>
      </c>
      <c r="H2115" t="s">
        <v>11</v>
      </c>
    </row>
    <row r="2116" spans="1:8" x14ac:dyDescent="0.35">
      <c r="A2116" t="s">
        <v>47</v>
      </c>
      <c r="B2116" t="s">
        <v>100</v>
      </c>
      <c r="C2116" t="s">
        <v>1840</v>
      </c>
      <c r="D2116">
        <v>1</v>
      </c>
      <c r="E2116">
        <v>5</v>
      </c>
      <c r="F2116" t="s">
        <v>7</v>
      </c>
      <c r="G2116" t="s">
        <v>11</v>
      </c>
      <c r="H2116" t="s">
        <v>11</v>
      </c>
    </row>
    <row r="2117" spans="1:8" x14ac:dyDescent="0.35">
      <c r="A2117" t="s">
        <v>47</v>
      </c>
      <c r="B2117" t="s">
        <v>100</v>
      </c>
      <c r="C2117" t="s">
        <v>2624</v>
      </c>
      <c r="D2117">
        <v>1</v>
      </c>
      <c r="E2117">
        <v>5</v>
      </c>
      <c r="F2117" t="s">
        <v>7</v>
      </c>
      <c r="G2117" t="s">
        <v>11</v>
      </c>
      <c r="H2117" t="s">
        <v>11</v>
      </c>
    </row>
    <row r="2118" spans="1:8" x14ac:dyDescent="0.35">
      <c r="A2118" t="s">
        <v>47</v>
      </c>
      <c r="B2118" t="s">
        <v>100</v>
      </c>
      <c r="C2118" t="s">
        <v>2625</v>
      </c>
      <c r="D2118">
        <v>2</v>
      </c>
      <c r="E2118">
        <v>5</v>
      </c>
      <c r="F2118" t="s">
        <v>7</v>
      </c>
      <c r="G2118" t="s">
        <v>11</v>
      </c>
      <c r="H2118" t="s">
        <v>11</v>
      </c>
    </row>
    <row r="2119" spans="1:8" x14ac:dyDescent="0.35">
      <c r="A2119" t="s">
        <v>47</v>
      </c>
      <c r="B2119" t="s">
        <v>100</v>
      </c>
      <c r="C2119" t="s">
        <v>2626</v>
      </c>
      <c r="D2119">
        <v>2</v>
      </c>
      <c r="E2119">
        <v>4</v>
      </c>
      <c r="F2119" t="s">
        <v>7</v>
      </c>
      <c r="G2119" t="s">
        <v>11</v>
      </c>
      <c r="H2119" t="s">
        <v>11</v>
      </c>
    </row>
    <row r="2120" spans="1:8" x14ac:dyDescent="0.35">
      <c r="A2120" t="s">
        <v>47</v>
      </c>
      <c r="B2120" t="s">
        <v>100</v>
      </c>
      <c r="C2120" t="s">
        <v>2495</v>
      </c>
      <c r="D2120">
        <v>1</v>
      </c>
      <c r="E2120">
        <v>5</v>
      </c>
      <c r="F2120" t="s">
        <v>7</v>
      </c>
      <c r="G2120" t="s">
        <v>11</v>
      </c>
      <c r="H2120" t="s">
        <v>11</v>
      </c>
    </row>
    <row r="2121" spans="1:8" x14ac:dyDescent="0.35">
      <c r="A2121" t="s">
        <v>47</v>
      </c>
      <c r="B2121" t="s">
        <v>100</v>
      </c>
      <c r="C2121" t="s">
        <v>1370</v>
      </c>
      <c r="D2121">
        <v>1</v>
      </c>
      <c r="E2121">
        <v>5</v>
      </c>
      <c r="F2121" t="s">
        <v>7</v>
      </c>
      <c r="G2121" t="s">
        <v>11</v>
      </c>
      <c r="H2121" t="s">
        <v>11</v>
      </c>
    </row>
    <row r="2122" spans="1:8" x14ac:dyDescent="0.35">
      <c r="A2122" t="s">
        <v>47</v>
      </c>
      <c r="B2122" t="s">
        <v>100</v>
      </c>
      <c r="C2122" t="s">
        <v>1844</v>
      </c>
      <c r="D2122">
        <v>1</v>
      </c>
      <c r="E2122">
        <v>5</v>
      </c>
      <c r="F2122" t="s">
        <v>7</v>
      </c>
      <c r="G2122" t="s">
        <v>11</v>
      </c>
      <c r="H2122" t="s">
        <v>11</v>
      </c>
    </row>
    <row r="2123" spans="1:8" x14ac:dyDescent="0.35">
      <c r="A2123" t="s">
        <v>47</v>
      </c>
      <c r="B2123" t="s">
        <v>100</v>
      </c>
      <c r="C2123" t="s">
        <v>1589</v>
      </c>
      <c r="D2123">
        <v>1</v>
      </c>
      <c r="E2123">
        <v>5</v>
      </c>
      <c r="F2123" t="s">
        <v>7</v>
      </c>
      <c r="G2123" t="s">
        <v>11</v>
      </c>
      <c r="H2123" t="s">
        <v>11</v>
      </c>
    </row>
    <row r="2124" spans="1:8" x14ac:dyDescent="0.35">
      <c r="A2124" t="s">
        <v>47</v>
      </c>
      <c r="B2124" t="s">
        <v>100</v>
      </c>
      <c r="C2124" t="s">
        <v>2627</v>
      </c>
      <c r="D2124">
        <v>2</v>
      </c>
      <c r="E2124">
        <v>5</v>
      </c>
      <c r="F2124" t="s">
        <v>7</v>
      </c>
      <c r="G2124" t="s">
        <v>11</v>
      </c>
      <c r="H2124" t="s">
        <v>11</v>
      </c>
    </row>
    <row r="2125" spans="1:8" x14ac:dyDescent="0.35">
      <c r="A2125" t="s">
        <v>47</v>
      </c>
      <c r="B2125" t="s">
        <v>100</v>
      </c>
      <c r="C2125" t="s">
        <v>2628</v>
      </c>
      <c r="D2125">
        <v>1</v>
      </c>
      <c r="E2125">
        <v>5</v>
      </c>
      <c r="F2125" t="s">
        <v>7</v>
      </c>
      <c r="G2125" t="s">
        <v>11</v>
      </c>
      <c r="H2125" t="s">
        <v>11</v>
      </c>
    </row>
    <row r="2126" spans="1:8" x14ac:dyDescent="0.35">
      <c r="A2126" t="s">
        <v>47</v>
      </c>
      <c r="B2126" t="s">
        <v>100</v>
      </c>
      <c r="C2126" t="s">
        <v>1476</v>
      </c>
      <c r="D2126">
        <v>1</v>
      </c>
      <c r="E2126">
        <v>5</v>
      </c>
      <c r="F2126" t="s">
        <v>7</v>
      </c>
      <c r="G2126" t="s">
        <v>11</v>
      </c>
      <c r="H2126" t="s">
        <v>11</v>
      </c>
    </row>
    <row r="2127" spans="1:8" x14ac:dyDescent="0.35">
      <c r="A2127" t="s">
        <v>47</v>
      </c>
      <c r="B2127" t="s">
        <v>100</v>
      </c>
      <c r="C2127" t="s">
        <v>2629</v>
      </c>
      <c r="D2127">
        <v>1</v>
      </c>
      <c r="E2127">
        <v>5</v>
      </c>
      <c r="F2127" t="s">
        <v>7</v>
      </c>
      <c r="G2127" t="s">
        <v>11</v>
      </c>
      <c r="H2127" t="s">
        <v>11</v>
      </c>
    </row>
    <row r="2128" spans="1:8" x14ac:dyDescent="0.35">
      <c r="A2128" t="s">
        <v>47</v>
      </c>
      <c r="B2128" t="s">
        <v>100</v>
      </c>
      <c r="C2128" t="s">
        <v>2630</v>
      </c>
      <c r="D2128">
        <v>2</v>
      </c>
      <c r="E2128">
        <v>5</v>
      </c>
      <c r="F2128" t="s">
        <v>7</v>
      </c>
      <c r="G2128" t="s">
        <v>11</v>
      </c>
      <c r="H2128" t="s">
        <v>11</v>
      </c>
    </row>
    <row r="2129" spans="1:8" x14ac:dyDescent="0.35">
      <c r="A2129" t="s">
        <v>47</v>
      </c>
      <c r="B2129" t="s">
        <v>100</v>
      </c>
      <c r="C2129" t="s">
        <v>1754</v>
      </c>
      <c r="D2129">
        <v>1</v>
      </c>
      <c r="E2129">
        <v>5</v>
      </c>
      <c r="F2129" t="s">
        <v>7</v>
      </c>
      <c r="G2129" t="s">
        <v>11</v>
      </c>
      <c r="H2129" t="s">
        <v>11</v>
      </c>
    </row>
    <row r="2130" spans="1:8" x14ac:dyDescent="0.35">
      <c r="A2130" t="s">
        <v>47</v>
      </c>
      <c r="B2130" t="s">
        <v>100</v>
      </c>
      <c r="C2130" t="s">
        <v>1376</v>
      </c>
      <c r="D2130">
        <v>2</v>
      </c>
      <c r="E2130">
        <v>4</v>
      </c>
      <c r="F2130" t="s">
        <v>7</v>
      </c>
      <c r="G2130" t="s">
        <v>11</v>
      </c>
      <c r="H2130" t="s">
        <v>11</v>
      </c>
    </row>
    <row r="2131" spans="1:8" x14ac:dyDescent="0.35">
      <c r="A2131" t="s">
        <v>47</v>
      </c>
      <c r="B2131" t="s">
        <v>100</v>
      </c>
      <c r="C2131" t="s">
        <v>1755</v>
      </c>
      <c r="D2131">
        <v>1</v>
      </c>
      <c r="E2131">
        <v>5</v>
      </c>
      <c r="F2131" t="s">
        <v>7</v>
      </c>
      <c r="G2131" t="s">
        <v>11</v>
      </c>
      <c r="H2131" t="s">
        <v>11</v>
      </c>
    </row>
    <row r="2132" spans="1:8" x14ac:dyDescent="0.35">
      <c r="A2132" t="s">
        <v>47</v>
      </c>
      <c r="B2132" t="s">
        <v>100</v>
      </c>
      <c r="C2132" t="s">
        <v>2596</v>
      </c>
      <c r="D2132">
        <v>2</v>
      </c>
      <c r="E2132">
        <v>5</v>
      </c>
      <c r="F2132" t="s">
        <v>7</v>
      </c>
      <c r="G2132" t="s">
        <v>11</v>
      </c>
      <c r="H2132" t="s">
        <v>11</v>
      </c>
    </row>
    <row r="2133" spans="1:8" x14ac:dyDescent="0.35">
      <c r="A2133" t="s">
        <v>47</v>
      </c>
      <c r="B2133" t="s">
        <v>100</v>
      </c>
      <c r="C2133" t="s">
        <v>2631</v>
      </c>
      <c r="D2133">
        <v>2</v>
      </c>
      <c r="E2133">
        <v>5</v>
      </c>
      <c r="F2133" t="s">
        <v>7</v>
      </c>
      <c r="G2133" t="s">
        <v>11</v>
      </c>
      <c r="H2133" t="s">
        <v>11</v>
      </c>
    </row>
    <row r="2134" spans="1:8" x14ac:dyDescent="0.35">
      <c r="A2134" t="s">
        <v>47</v>
      </c>
      <c r="B2134" t="s">
        <v>100</v>
      </c>
      <c r="C2134" t="s">
        <v>2632</v>
      </c>
      <c r="D2134">
        <v>1</v>
      </c>
      <c r="E2134">
        <v>5</v>
      </c>
      <c r="F2134" t="s">
        <v>7</v>
      </c>
      <c r="G2134" t="s">
        <v>11</v>
      </c>
      <c r="H2134" t="s">
        <v>11</v>
      </c>
    </row>
    <row r="2135" spans="1:8" x14ac:dyDescent="0.35">
      <c r="A2135" t="s">
        <v>48</v>
      </c>
      <c r="B2135" t="s">
        <v>110</v>
      </c>
      <c r="C2135" t="s">
        <v>1895</v>
      </c>
      <c r="D2135">
        <v>2</v>
      </c>
      <c r="E2135">
        <v>3</v>
      </c>
      <c r="F2135" t="s">
        <v>7</v>
      </c>
      <c r="G2135" t="s">
        <v>11</v>
      </c>
      <c r="H2135" t="s">
        <v>11</v>
      </c>
    </row>
    <row r="2136" spans="1:8" x14ac:dyDescent="0.35">
      <c r="A2136" t="s">
        <v>48</v>
      </c>
      <c r="B2136" t="s">
        <v>110</v>
      </c>
      <c r="C2136" t="s">
        <v>2633</v>
      </c>
      <c r="D2136">
        <v>3</v>
      </c>
      <c r="E2136">
        <v>3</v>
      </c>
      <c r="F2136" t="s">
        <v>7</v>
      </c>
      <c r="G2136" t="s">
        <v>11</v>
      </c>
      <c r="H2136" t="s">
        <v>11</v>
      </c>
    </row>
    <row r="2137" spans="1:8" x14ac:dyDescent="0.35">
      <c r="A2137" t="s">
        <v>48</v>
      </c>
      <c r="B2137" t="s">
        <v>110</v>
      </c>
      <c r="C2137" t="s">
        <v>2634</v>
      </c>
      <c r="D2137">
        <v>3</v>
      </c>
      <c r="E2137">
        <v>3</v>
      </c>
      <c r="F2137" t="s">
        <v>7</v>
      </c>
      <c r="G2137" t="s">
        <v>11</v>
      </c>
      <c r="H2137" t="s">
        <v>11</v>
      </c>
    </row>
    <row r="2138" spans="1:8" x14ac:dyDescent="0.35">
      <c r="A2138" t="s">
        <v>48</v>
      </c>
      <c r="B2138" t="s">
        <v>110</v>
      </c>
      <c r="C2138" t="s">
        <v>2635</v>
      </c>
      <c r="D2138">
        <v>2</v>
      </c>
      <c r="E2138">
        <v>4</v>
      </c>
      <c r="F2138" t="s">
        <v>75</v>
      </c>
      <c r="G2138" t="s">
        <v>11</v>
      </c>
      <c r="H2138" t="s">
        <v>11</v>
      </c>
    </row>
    <row r="2139" spans="1:8" x14ac:dyDescent="0.35">
      <c r="A2139" t="s">
        <v>48</v>
      </c>
      <c r="B2139" t="s">
        <v>110</v>
      </c>
      <c r="C2139" t="s">
        <v>2636</v>
      </c>
      <c r="D2139">
        <v>3</v>
      </c>
      <c r="E2139">
        <v>3</v>
      </c>
      <c r="F2139" t="s">
        <v>7</v>
      </c>
      <c r="G2139" t="s">
        <v>11</v>
      </c>
      <c r="H2139" t="s">
        <v>11</v>
      </c>
    </row>
    <row r="2140" spans="1:8" x14ac:dyDescent="0.35">
      <c r="A2140" t="s">
        <v>48</v>
      </c>
      <c r="B2140" t="s">
        <v>110</v>
      </c>
      <c r="C2140" t="s">
        <v>1772</v>
      </c>
      <c r="D2140">
        <v>3</v>
      </c>
      <c r="E2140">
        <v>3</v>
      </c>
      <c r="F2140" t="s">
        <v>7</v>
      </c>
      <c r="G2140" t="s">
        <v>11</v>
      </c>
      <c r="H2140" t="s">
        <v>11</v>
      </c>
    </row>
    <row r="2141" spans="1:8" x14ac:dyDescent="0.35">
      <c r="A2141" t="s">
        <v>48</v>
      </c>
      <c r="B2141" t="s">
        <v>110</v>
      </c>
      <c r="C2141" t="s">
        <v>1664</v>
      </c>
      <c r="D2141">
        <v>3</v>
      </c>
      <c r="E2141">
        <v>3</v>
      </c>
      <c r="F2141" t="s">
        <v>7</v>
      </c>
      <c r="G2141" t="s">
        <v>11</v>
      </c>
      <c r="H2141" t="s">
        <v>11</v>
      </c>
    </row>
    <row r="2142" spans="1:8" x14ac:dyDescent="0.35">
      <c r="A2142" t="s">
        <v>48</v>
      </c>
      <c r="B2142" t="s">
        <v>110</v>
      </c>
      <c r="C2142" t="s">
        <v>2069</v>
      </c>
      <c r="D2142">
        <v>3</v>
      </c>
      <c r="E2142">
        <v>3</v>
      </c>
      <c r="F2142" t="s">
        <v>7</v>
      </c>
      <c r="G2142" t="s">
        <v>11</v>
      </c>
      <c r="H2142" t="s">
        <v>11</v>
      </c>
    </row>
    <row r="2143" spans="1:8" x14ac:dyDescent="0.35">
      <c r="A2143" t="s">
        <v>48</v>
      </c>
      <c r="B2143" t="s">
        <v>110</v>
      </c>
      <c r="C2143" t="s">
        <v>2637</v>
      </c>
      <c r="D2143">
        <v>3</v>
      </c>
      <c r="E2143">
        <v>3</v>
      </c>
      <c r="F2143" t="s">
        <v>7</v>
      </c>
      <c r="G2143" t="s">
        <v>11</v>
      </c>
      <c r="H2143" t="s">
        <v>11</v>
      </c>
    </row>
    <row r="2144" spans="1:8" x14ac:dyDescent="0.35">
      <c r="A2144" t="s">
        <v>48</v>
      </c>
      <c r="B2144" t="s">
        <v>110</v>
      </c>
      <c r="C2144" t="s">
        <v>2021</v>
      </c>
      <c r="D2144">
        <v>3</v>
      </c>
      <c r="E2144">
        <v>3</v>
      </c>
      <c r="F2144" t="s">
        <v>7</v>
      </c>
      <c r="G2144" t="s">
        <v>11</v>
      </c>
      <c r="H2144" t="s">
        <v>11</v>
      </c>
    </row>
    <row r="2145" spans="1:8" x14ac:dyDescent="0.35">
      <c r="A2145" t="s">
        <v>48</v>
      </c>
      <c r="B2145" t="s">
        <v>110</v>
      </c>
      <c r="C2145" t="s">
        <v>1321</v>
      </c>
      <c r="D2145">
        <v>2</v>
      </c>
      <c r="E2145">
        <v>3</v>
      </c>
      <c r="F2145" t="s">
        <v>7</v>
      </c>
      <c r="G2145" t="s">
        <v>11</v>
      </c>
      <c r="H2145" t="s">
        <v>11</v>
      </c>
    </row>
    <row r="2146" spans="1:8" x14ac:dyDescent="0.35">
      <c r="A2146" t="s">
        <v>48</v>
      </c>
      <c r="B2146" t="s">
        <v>110</v>
      </c>
      <c r="C2146" t="s">
        <v>1323</v>
      </c>
      <c r="D2146">
        <v>3</v>
      </c>
      <c r="E2146">
        <v>3</v>
      </c>
      <c r="F2146" t="s">
        <v>7</v>
      </c>
      <c r="G2146" t="s">
        <v>11</v>
      </c>
      <c r="H2146" t="s">
        <v>11</v>
      </c>
    </row>
    <row r="2147" spans="1:8" x14ac:dyDescent="0.35">
      <c r="A2147" t="s">
        <v>48</v>
      </c>
      <c r="B2147" t="s">
        <v>110</v>
      </c>
      <c r="C2147" t="s">
        <v>2638</v>
      </c>
      <c r="D2147">
        <v>2</v>
      </c>
      <c r="E2147">
        <v>4</v>
      </c>
      <c r="F2147" t="s">
        <v>75</v>
      </c>
      <c r="G2147" t="s">
        <v>11</v>
      </c>
      <c r="H2147" t="s">
        <v>11</v>
      </c>
    </row>
    <row r="2148" spans="1:8" x14ac:dyDescent="0.35">
      <c r="A2148" t="s">
        <v>48</v>
      </c>
      <c r="B2148" t="s">
        <v>110</v>
      </c>
      <c r="C2148" t="s">
        <v>1433</v>
      </c>
      <c r="D2148">
        <v>3</v>
      </c>
      <c r="E2148">
        <v>3</v>
      </c>
      <c r="F2148" t="s">
        <v>7</v>
      </c>
      <c r="G2148" t="s">
        <v>11</v>
      </c>
      <c r="H2148" t="s">
        <v>11</v>
      </c>
    </row>
    <row r="2149" spans="1:8" x14ac:dyDescent="0.35">
      <c r="A2149" t="s">
        <v>48</v>
      </c>
      <c r="B2149" t="s">
        <v>110</v>
      </c>
      <c r="C2149" t="s">
        <v>2639</v>
      </c>
      <c r="D2149">
        <v>3</v>
      </c>
      <c r="E2149">
        <v>3</v>
      </c>
      <c r="F2149" t="s">
        <v>7</v>
      </c>
      <c r="G2149" t="s">
        <v>11</v>
      </c>
      <c r="H2149" t="s">
        <v>11</v>
      </c>
    </row>
    <row r="2150" spans="1:8" x14ac:dyDescent="0.35">
      <c r="A2150" t="s">
        <v>48</v>
      </c>
      <c r="B2150" t="s">
        <v>110</v>
      </c>
      <c r="C2150" t="s">
        <v>1949</v>
      </c>
      <c r="D2150">
        <v>3</v>
      </c>
      <c r="E2150">
        <v>3</v>
      </c>
      <c r="F2150" t="s">
        <v>7</v>
      </c>
      <c r="G2150" t="s">
        <v>11</v>
      </c>
      <c r="H2150" t="s">
        <v>11</v>
      </c>
    </row>
    <row r="2151" spans="1:8" x14ac:dyDescent="0.35">
      <c r="A2151" t="s">
        <v>48</v>
      </c>
      <c r="B2151" t="s">
        <v>110</v>
      </c>
      <c r="C2151" t="s">
        <v>2640</v>
      </c>
      <c r="D2151">
        <v>3</v>
      </c>
      <c r="E2151">
        <v>3</v>
      </c>
      <c r="F2151" t="s">
        <v>7</v>
      </c>
      <c r="G2151" t="s">
        <v>11</v>
      </c>
      <c r="H2151" t="s">
        <v>11</v>
      </c>
    </row>
    <row r="2152" spans="1:8" x14ac:dyDescent="0.35">
      <c r="A2152" t="s">
        <v>48</v>
      </c>
      <c r="B2152" t="s">
        <v>110</v>
      </c>
      <c r="C2152" t="s">
        <v>2641</v>
      </c>
      <c r="D2152">
        <v>3</v>
      </c>
      <c r="E2152">
        <v>3</v>
      </c>
      <c r="F2152" t="s">
        <v>7</v>
      </c>
      <c r="G2152" t="s">
        <v>11</v>
      </c>
      <c r="H2152" t="s">
        <v>11</v>
      </c>
    </row>
    <row r="2153" spans="1:8" x14ac:dyDescent="0.35">
      <c r="A2153" t="s">
        <v>48</v>
      </c>
      <c r="B2153" t="s">
        <v>110</v>
      </c>
      <c r="C2153" t="s">
        <v>2642</v>
      </c>
      <c r="D2153">
        <v>3</v>
      </c>
      <c r="E2153">
        <v>3</v>
      </c>
      <c r="F2153" t="s">
        <v>7</v>
      </c>
      <c r="G2153" t="s">
        <v>11</v>
      </c>
      <c r="H2153" t="s">
        <v>11</v>
      </c>
    </row>
    <row r="2154" spans="1:8" x14ac:dyDescent="0.35">
      <c r="A2154" t="s">
        <v>48</v>
      </c>
      <c r="B2154" t="s">
        <v>110</v>
      </c>
      <c r="C2154" t="s">
        <v>1551</v>
      </c>
      <c r="D2154">
        <v>3</v>
      </c>
      <c r="E2154">
        <v>3</v>
      </c>
      <c r="F2154" t="s">
        <v>7</v>
      </c>
      <c r="G2154" t="s">
        <v>11</v>
      </c>
      <c r="H2154" t="s">
        <v>11</v>
      </c>
    </row>
    <row r="2155" spans="1:8" x14ac:dyDescent="0.35">
      <c r="A2155" t="s">
        <v>48</v>
      </c>
      <c r="B2155" t="s">
        <v>110</v>
      </c>
      <c r="C2155" t="s">
        <v>1859</v>
      </c>
      <c r="D2155">
        <v>2</v>
      </c>
      <c r="E2155">
        <v>3</v>
      </c>
      <c r="F2155" t="s">
        <v>7</v>
      </c>
      <c r="G2155" t="s">
        <v>11</v>
      </c>
      <c r="H2155" t="s">
        <v>11</v>
      </c>
    </row>
    <row r="2156" spans="1:8" x14ac:dyDescent="0.35">
      <c r="A2156" t="s">
        <v>48</v>
      </c>
      <c r="B2156" t="s">
        <v>110</v>
      </c>
      <c r="C2156" t="s">
        <v>2643</v>
      </c>
      <c r="D2156">
        <v>3</v>
      </c>
      <c r="E2156">
        <v>3</v>
      </c>
      <c r="F2156" t="s">
        <v>7</v>
      </c>
      <c r="G2156" t="s">
        <v>11</v>
      </c>
      <c r="H2156" t="s">
        <v>11</v>
      </c>
    </row>
    <row r="2157" spans="1:8" x14ac:dyDescent="0.35">
      <c r="A2157" t="s">
        <v>48</v>
      </c>
      <c r="B2157" t="s">
        <v>110</v>
      </c>
      <c r="C2157" t="s">
        <v>1953</v>
      </c>
      <c r="D2157">
        <v>2</v>
      </c>
      <c r="E2157">
        <v>3</v>
      </c>
      <c r="F2157" t="s">
        <v>7</v>
      </c>
      <c r="G2157" t="s">
        <v>11</v>
      </c>
      <c r="H2157" t="s">
        <v>11</v>
      </c>
    </row>
    <row r="2158" spans="1:8" x14ac:dyDescent="0.35">
      <c r="A2158" t="s">
        <v>48</v>
      </c>
      <c r="B2158" t="s">
        <v>110</v>
      </c>
      <c r="C2158" t="s">
        <v>1560</v>
      </c>
      <c r="D2158">
        <v>3</v>
      </c>
      <c r="E2158">
        <v>3</v>
      </c>
      <c r="F2158" t="s">
        <v>7</v>
      </c>
      <c r="G2158" t="s">
        <v>11</v>
      </c>
      <c r="H2158" t="s">
        <v>11</v>
      </c>
    </row>
    <row r="2159" spans="1:8" x14ac:dyDescent="0.35">
      <c r="A2159" t="s">
        <v>48</v>
      </c>
      <c r="B2159" t="s">
        <v>110</v>
      </c>
      <c r="C2159" t="s">
        <v>2644</v>
      </c>
      <c r="D2159">
        <v>3</v>
      </c>
      <c r="E2159">
        <v>3</v>
      </c>
      <c r="F2159" t="s">
        <v>7</v>
      </c>
      <c r="G2159" t="s">
        <v>11</v>
      </c>
      <c r="H2159" t="s">
        <v>11</v>
      </c>
    </row>
    <row r="2160" spans="1:8" x14ac:dyDescent="0.35">
      <c r="A2160" t="s">
        <v>48</v>
      </c>
      <c r="B2160" t="s">
        <v>110</v>
      </c>
      <c r="C2160" t="s">
        <v>1701</v>
      </c>
      <c r="D2160">
        <v>3</v>
      </c>
      <c r="E2160">
        <v>3</v>
      </c>
      <c r="F2160" t="s">
        <v>7</v>
      </c>
      <c r="G2160" t="s">
        <v>11</v>
      </c>
      <c r="H2160" t="s">
        <v>11</v>
      </c>
    </row>
    <row r="2161" spans="1:8" x14ac:dyDescent="0.35">
      <c r="A2161" t="s">
        <v>48</v>
      </c>
      <c r="B2161" t="s">
        <v>110</v>
      </c>
      <c r="C2161" t="s">
        <v>1445</v>
      </c>
      <c r="D2161">
        <v>3</v>
      </c>
      <c r="E2161">
        <v>3</v>
      </c>
      <c r="F2161" t="s">
        <v>7</v>
      </c>
      <c r="G2161" t="s">
        <v>11</v>
      </c>
      <c r="H2161" t="s">
        <v>11</v>
      </c>
    </row>
    <row r="2162" spans="1:8" x14ac:dyDescent="0.35">
      <c r="A2162" t="s">
        <v>48</v>
      </c>
      <c r="B2162" t="s">
        <v>110</v>
      </c>
      <c r="C2162" t="s">
        <v>2645</v>
      </c>
      <c r="D2162">
        <v>3</v>
      </c>
      <c r="E2162">
        <v>3</v>
      </c>
      <c r="F2162" t="s">
        <v>7</v>
      </c>
      <c r="G2162" t="s">
        <v>11</v>
      </c>
      <c r="H2162" t="s">
        <v>11</v>
      </c>
    </row>
    <row r="2163" spans="1:8" x14ac:dyDescent="0.35">
      <c r="A2163" t="s">
        <v>48</v>
      </c>
      <c r="B2163" t="s">
        <v>110</v>
      </c>
      <c r="C2163" t="s">
        <v>2646</v>
      </c>
      <c r="D2163">
        <v>3</v>
      </c>
      <c r="E2163">
        <v>3</v>
      </c>
      <c r="F2163" t="s">
        <v>7</v>
      </c>
      <c r="G2163" t="s">
        <v>11</v>
      </c>
      <c r="H2163" t="s">
        <v>11</v>
      </c>
    </row>
    <row r="2164" spans="1:8" x14ac:dyDescent="0.35">
      <c r="A2164" t="s">
        <v>48</v>
      </c>
      <c r="B2164" t="s">
        <v>110</v>
      </c>
      <c r="C2164" t="s">
        <v>1961</v>
      </c>
      <c r="D2164">
        <v>3</v>
      </c>
      <c r="E2164">
        <v>3</v>
      </c>
      <c r="F2164" t="s">
        <v>7</v>
      </c>
      <c r="G2164" t="s">
        <v>11</v>
      </c>
      <c r="H2164" t="s">
        <v>11</v>
      </c>
    </row>
    <row r="2165" spans="1:8" x14ac:dyDescent="0.35">
      <c r="A2165" t="s">
        <v>48</v>
      </c>
      <c r="B2165" t="s">
        <v>110</v>
      </c>
      <c r="C2165" t="s">
        <v>1963</v>
      </c>
      <c r="D2165">
        <v>3</v>
      </c>
      <c r="E2165">
        <v>3</v>
      </c>
      <c r="F2165" t="s">
        <v>7</v>
      </c>
      <c r="G2165" t="s">
        <v>11</v>
      </c>
      <c r="H2165" t="s">
        <v>11</v>
      </c>
    </row>
    <row r="2166" spans="1:8" x14ac:dyDescent="0.35">
      <c r="A2166" t="s">
        <v>48</v>
      </c>
      <c r="B2166" t="s">
        <v>110</v>
      </c>
      <c r="C2166" t="s">
        <v>2647</v>
      </c>
      <c r="D2166">
        <v>3</v>
      </c>
      <c r="E2166">
        <v>3</v>
      </c>
      <c r="F2166" t="s">
        <v>7</v>
      </c>
      <c r="G2166" t="s">
        <v>11</v>
      </c>
      <c r="H2166" t="s">
        <v>11</v>
      </c>
    </row>
    <row r="2167" spans="1:8" x14ac:dyDescent="0.35">
      <c r="A2167" t="s">
        <v>48</v>
      </c>
      <c r="B2167" t="s">
        <v>110</v>
      </c>
      <c r="C2167" t="s">
        <v>1347</v>
      </c>
      <c r="D2167">
        <v>3</v>
      </c>
      <c r="E2167">
        <v>3</v>
      </c>
      <c r="F2167" t="s">
        <v>7</v>
      </c>
      <c r="G2167" t="s">
        <v>11</v>
      </c>
      <c r="H2167" t="s">
        <v>11</v>
      </c>
    </row>
    <row r="2168" spans="1:8" x14ac:dyDescent="0.35">
      <c r="A2168" t="s">
        <v>48</v>
      </c>
      <c r="B2168" t="s">
        <v>110</v>
      </c>
      <c r="C2168" t="s">
        <v>1348</v>
      </c>
      <c r="D2168">
        <v>3</v>
      </c>
      <c r="E2168">
        <v>3</v>
      </c>
      <c r="F2168" t="s">
        <v>7</v>
      </c>
      <c r="G2168" t="s">
        <v>11</v>
      </c>
      <c r="H2168" t="s">
        <v>11</v>
      </c>
    </row>
    <row r="2169" spans="1:8" x14ac:dyDescent="0.35">
      <c r="A2169" t="s">
        <v>48</v>
      </c>
      <c r="B2169" t="s">
        <v>110</v>
      </c>
      <c r="C2169" t="s">
        <v>2537</v>
      </c>
      <c r="D2169">
        <v>3</v>
      </c>
      <c r="E2169">
        <v>3</v>
      </c>
      <c r="F2169" t="s">
        <v>7</v>
      </c>
      <c r="G2169" t="s">
        <v>11</v>
      </c>
      <c r="H2169" t="s">
        <v>11</v>
      </c>
    </row>
    <row r="2170" spans="1:8" x14ac:dyDescent="0.35">
      <c r="A2170" t="s">
        <v>48</v>
      </c>
      <c r="B2170" t="s">
        <v>110</v>
      </c>
      <c r="C2170" t="s">
        <v>2648</v>
      </c>
      <c r="D2170">
        <v>3</v>
      </c>
      <c r="E2170">
        <v>3</v>
      </c>
      <c r="F2170" t="s">
        <v>7</v>
      </c>
      <c r="G2170" t="s">
        <v>11</v>
      </c>
      <c r="H2170" t="s">
        <v>11</v>
      </c>
    </row>
    <row r="2171" spans="1:8" x14ac:dyDescent="0.35">
      <c r="A2171" t="s">
        <v>48</v>
      </c>
      <c r="B2171" t="s">
        <v>110</v>
      </c>
      <c r="C2171" t="s">
        <v>2649</v>
      </c>
      <c r="D2171">
        <v>3</v>
      </c>
      <c r="E2171">
        <v>3</v>
      </c>
      <c r="F2171" t="s">
        <v>7</v>
      </c>
      <c r="G2171" t="s">
        <v>11</v>
      </c>
      <c r="H2171" t="s">
        <v>11</v>
      </c>
    </row>
    <row r="2172" spans="1:8" x14ac:dyDescent="0.35">
      <c r="A2172" t="s">
        <v>48</v>
      </c>
      <c r="B2172" t="s">
        <v>110</v>
      </c>
      <c r="C2172" t="s">
        <v>1566</v>
      </c>
      <c r="D2172">
        <v>3</v>
      </c>
      <c r="E2172">
        <v>3</v>
      </c>
      <c r="F2172" t="s">
        <v>7</v>
      </c>
      <c r="G2172" t="s">
        <v>11</v>
      </c>
      <c r="H2172" t="s">
        <v>11</v>
      </c>
    </row>
    <row r="2173" spans="1:8" x14ac:dyDescent="0.35">
      <c r="A2173" t="s">
        <v>48</v>
      </c>
      <c r="B2173" t="s">
        <v>110</v>
      </c>
      <c r="C2173" t="s">
        <v>2650</v>
      </c>
      <c r="D2173">
        <v>3</v>
      </c>
      <c r="E2173">
        <v>3</v>
      </c>
      <c r="F2173" t="s">
        <v>7</v>
      </c>
      <c r="G2173" t="s">
        <v>11</v>
      </c>
      <c r="H2173" t="s">
        <v>11</v>
      </c>
    </row>
    <row r="2174" spans="1:8" x14ac:dyDescent="0.35">
      <c r="A2174" t="s">
        <v>48</v>
      </c>
      <c r="B2174" t="s">
        <v>110</v>
      </c>
      <c r="C2174" t="s">
        <v>2651</v>
      </c>
      <c r="D2174">
        <v>3</v>
      </c>
      <c r="E2174">
        <v>3</v>
      </c>
      <c r="F2174" t="s">
        <v>7</v>
      </c>
      <c r="G2174" t="s">
        <v>11</v>
      </c>
      <c r="H2174" t="s">
        <v>11</v>
      </c>
    </row>
    <row r="2175" spans="1:8" x14ac:dyDescent="0.35">
      <c r="A2175" t="s">
        <v>48</v>
      </c>
      <c r="B2175" t="s">
        <v>110</v>
      </c>
      <c r="C2175" t="s">
        <v>1453</v>
      </c>
      <c r="D2175">
        <v>3</v>
      </c>
      <c r="E2175">
        <v>3</v>
      </c>
      <c r="F2175" t="s">
        <v>7</v>
      </c>
      <c r="G2175" t="s">
        <v>11</v>
      </c>
      <c r="H2175" t="s">
        <v>11</v>
      </c>
    </row>
    <row r="2176" spans="1:8" x14ac:dyDescent="0.35">
      <c r="A2176" t="s">
        <v>48</v>
      </c>
      <c r="B2176" t="s">
        <v>110</v>
      </c>
      <c r="C2176" t="s">
        <v>1455</v>
      </c>
      <c r="D2176">
        <v>3</v>
      </c>
      <c r="E2176">
        <v>3</v>
      </c>
      <c r="F2176" t="s">
        <v>7</v>
      </c>
      <c r="G2176" t="s">
        <v>11</v>
      </c>
      <c r="H2176" t="s">
        <v>11</v>
      </c>
    </row>
    <row r="2177" spans="1:8" x14ac:dyDescent="0.35">
      <c r="A2177" t="s">
        <v>48</v>
      </c>
      <c r="B2177" t="s">
        <v>110</v>
      </c>
      <c r="C2177" t="s">
        <v>2652</v>
      </c>
      <c r="D2177">
        <v>3</v>
      </c>
      <c r="E2177">
        <v>3</v>
      </c>
      <c r="F2177" t="s">
        <v>7</v>
      </c>
      <c r="G2177" t="s">
        <v>11</v>
      </c>
      <c r="H2177" t="s">
        <v>11</v>
      </c>
    </row>
    <row r="2178" spans="1:8" x14ac:dyDescent="0.35">
      <c r="A2178" t="s">
        <v>48</v>
      </c>
      <c r="B2178" t="s">
        <v>110</v>
      </c>
      <c r="C2178" t="s">
        <v>2653</v>
      </c>
      <c r="D2178">
        <v>3</v>
      </c>
      <c r="E2178">
        <v>3</v>
      </c>
      <c r="F2178" t="s">
        <v>7</v>
      </c>
      <c r="G2178" t="s">
        <v>11</v>
      </c>
      <c r="H2178" t="s">
        <v>11</v>
      </c>
    </row>
    <row r="2179" spans="1:8" x14ac:dyDescent="0.35">
      <c r="A2179" t="s">
        <v>48</v>
      </c>
      <c r="B2179" t="s">
        <v>110</v>
      </c>
      <c r="C2179" t="s">
        <v>1359</v>
      </c>
      <c r="D2179">
        <v>3</v>
      </c>
      <c r="E2179">
        <v>3</v>
      </c>
      <c r="F2179" t="s">
        <v>7</v>
      </c>
      <c r="G2179" t="s">
        <v>11</v>
      </c>
      <c r="H2179" t="s">
        <v>11</v>
      </c>
    </row>
    <row r="2180" spans="1:8" x14ac:dyDescent="0.35">
      <c r="A2180" t="s">
        <v>48</v>
      </c>
      <c r="B2180" t="s">
        <v>110</v>
      </c>
      <c r="C2180" t="s">
        <v>2654</v>
      </c>
      <c r="D2180">
        <v>2</v>
      </c>
      <c r="E2180">
        <v>3</v>
      </c>
      <c r="F2180" t="s">
        <v>7</v>
      </c>
      <c r="G2180" t="s">
        <v>11</v>
      </c>
      <c r="H2180" t="s">
        <v>11</v>
      </c>
    </row>
    <row r="2181" spans="1:8" x14ac:dyDescent="0.35">
      <c r="A2181" t="s">
        <v>48</v>
      </c>
      <c r="B2181" t="s">
        <v>110</v>
      </c>
      <c r="C2181" t="s">
        <v>2655</v>
      </c>
      <c r="D2181">
        <v>3</v>
      </c>
      <c r="E2181">
        <v>3</v>
      </c>
      <c r="F2181" t="s">
        <v>7</v>
      </c>
      <c r="G2181" t="s">
        <v>11</v>
      </c>
      <c r="H2181" t="s">
        <v>11</v>
      </c>
    </row>
    <row r="2182" spans="1:8" x14ac:dyDescent="0.35">
      <c r="A2182" t="s">
        <v>48</v>
      </c>
      <c r="B2182" t="s">
        <v>110</v>
      </c>
      <c r="C2182" t="s">
        <v>2656</v>
      </c>
      <c r="D2182">
        <v>3</v>
      </c>
      <c r="E2182">
        <v>3</v>
      </c>
      <c r="F2182" t="s">
        <v>7</v>
      </c>
      <c r="G2182" t="s">
        <v>11</v>
      </c>
      <c r="H2182" t="s">
        <v>11</v>
      </c>
    </row>
    <row r="2183" spans="1:8" x14ac:dyDescent="0.35">
      <c r="A2183" t="s">
        <v>48</v>
      </c>
      <c r="B2183" t="s">
        <v>110</v>
      </c>
      <c r="C2183" t="s">
        <v>1720</v>
      </c>
      <c r="D2183">
        <v>3</v>
      </c>
      <c r="E2183">
        <v>3</v>
      </c>
      <c r="F2183" t="s">
        <v>7</v>
      </c>
      <c r="G2183" t="s">
        <v>11</v>
      </c>
      <c r="H2183" t="s">
        <v>11</v>
      </c>
    </row>
    <row r="2184" spans="1:8" x14ac:dyDescent="0.35">
      <c r="A2184" t="s">
        <v>48</v>
      </c>
      <c r="B2184" t="s">
        <v>110</v>
      </c>
      <c r="C2184" t="s">
        <v>1723</v>
      </c>
      <c r="D2184">
        <v>3</v>
      </c>
      <c r="E2184">
        <v>3</v>
      </c>
      <c r="F2184" t="s">
        <v>7</v>
      </c>
      <c r="G2184" t="s">
        <v>11</v>
      </c>
      <c r="H2184" t="s">
        <v>11</v>
      </c>
    </row>
    <row r="2185" spans="1:8" x14ac:dyDescent="0.35">
      <c r="A2185" t="s">
        <v>48</v>
      </c>
      <c r="B2185" t="s">
        <v>110</v>
      </c>
      <c r="C2185" t="s">
        <v>2657</v>
      </c>
      <c r="D2185">
        <v>3</v>
      </c>
      <c r="E2185">
        <v>3</v>
      </c>
      <c r="F2185" t="s">
        <v>7</v>
      </c>
      <c r="G2185" t="s">
        <v>11</v>
      </c>
      <c r="H2185" t="s">
        <v>11</v>
      </c>
    </row>
    <row r="2186" spans="1:8" x14ac:dyDescent="0.35">
      <c r="A2186" t="s">
        <v>48</v>
      </c>
      <c r="B2186" t="s">
        <v>110</v>
      </c>
      <c r="C2186" t="s">
        <v>1873</v>
      </c>
      <c r="D2186">
        <v>3</v>
      </c>
      <c r="E2186">
        <v>3</v>
      </c>
      <c r="F2186" t="s">
        <v>7</v>
      </c>
      <c r="G2186" t="s">
        <v>11</v>
      </c>
      <c r="H2186" t="s">
        <v>11</v>
      </c>
    </row>
    <row r="2187" spans="1:8" x14ac:dyDescent="0.35">
      <c r="A2187" t="s">
        <v>48</v>
      </c>
      <c r="B2187" t="s">
        <v>110</v>
      </c>
      <c r="C2187" t="s">
        <v>2658</v>
      </c>
      <c r="D2187">
        <v>3</v>
      </c>
      <c r="E2187">
        <v>3</v>
      </c>
      <c r="F2187" t="s">
        <v>7</v>
      </c>
      <c r="G2187" t="s">
        <v>11</v>
      </c>
      <c r="H2187" t="s">
        <v>11</v>
      </c>
    </row>
    <row r="2188" spans="1:8" x14ac:dyDescent="0.35">
      <c r="A2188" t="s">
        <v>48</v>
      </c>
      <c r="B2188" t="s">
        <v>110</v>
      </c>
      <c r="C2188" t="s">
        <v>2659</v>
      </c>
      <c r="D2188">
        <v>3</v>
      </c>
      <c r="E2188">
        <v>3</v>
      </c>
      <c r="F2188" t="s">
        <v>7</v>
      </c>
      <c r="G2188" t="s">
        <v>11</v>
      </c>
      <c r="H2188" t="s">
        <v>11</v>
      </c>
    </row>
    <row r="2189" spans="1:8" x14ac:dyDescent="0.35">
      <c r="A2189" t="s">
        <v>48</v>
      </c>
      <c r="B2189" t="s">
        <v>110</v>
      </c>
      <c r="C2189" t="s">
        <v>2660</v>
      </c>
      <c r="D2189">
        <v>3</v>
      </c>
      <c r="E2189">
        <v>3</v>
      </c>
      <c r="F2189" t="s">
        <v>7</v>
      </c>
      <c r="G2189" t="s">
        <v>11</v>
      </c>
      <c r="H2189" t="s">
        <v>11</v>
      </c>
    </row>
    <row r="2190" spans="1:8" x14ac:dyDescent="0.35">
      <c r="A2190" t="s">
        <v>48</v>
      </c>
      <c r="B2190" t="s">
        <v>110</v>
      </c>
      <c r="C2190" t="s">
        <v>2661</v>
      </c>
      <c r="D2190">
        <v>3</v>
      </c>
      <c r="E2190">
        <v>3</v>
      </c>
      <c r="F2190" t="s">
        <v>7</v>
      </c>
      <c r="G2190" t="s">
        <v>11</v>
      </c>
      <c r="H2190" t="s">
        <v>11</v>
      </c>
    </row>
    <row r="2191" spans="1:8" x14ac:dyDescent="0.35">
      <c r="A2191" t="s">
        <v>48</v>
      </c>
      <c r="B2191" t="s">
        <v>110</v>
      </c>
      <c r="C2191" t="s">
        <v>1979</v>
      </c>
      <c r="D2191">
        <v>3</v>
      </c>
      <c r="E2191">
        <v>3</v>
      </c>
      <c r="F2191" t="s">
        <v>7</v>
      </c>
      <c r="G2191" t="s">
        <v>11</v>
      </c>
      <c r="H2191" t="s">
        <v>11</v>
      </c>
    </row>
    <row r="2192" spans="1:8" x14ac:dyDescent="0.35">
      <c r="A2192" t="s">
        <v>48</v>
      </c>
      <c r="B2192" t="s">
        <v>110</v>
      </c>
      <c r="C2192" t="s">
        <v>1981</v>
      </c>
      <c r="D2192">
        <v>3</v>
      </c>
      <c r="E2192">
        <v>3</v>
      </c>
      <c r="F2192" t="s">
        <v>7</v>
      </c>
      <c r="G2192" t="s">
        <v>11</v>
      </c>
      <c r="H2192" t="s">
        <v>11</v>
      </c>
    </row>
    <row r="2193" spans="1:8" x14ac:dyDescent="0.35">
      <c r="A2193" t="s">
        <v>48</v>
      </c>
      <c r="B2193" t="s">
        <v>110</v>
      </c>
      <c r="C2193" t="s">
        <v>1982</v>
      </c>
      <c r="D2193">
        <v>3</v>
      </c>
      <c r="E2193">
        <v>3</v>
      </c>
      <c r="F2193" t="s">
        <v>7</v>
      </c>
      <c r="G2193" t="s">
        <v>11</v>
      </c>
      <c r="H2193" t="s">
        <v>11</v>
      </c>
    </row>
    <row r="2194" spans="1:8" x14ac:dyDescent="0.35">
      <c r="A2194" t="s">
        <v>48</v>
      </c>
      <c r="B2194" t="s">
        <v>110</v>
      </c>
      <c r="C2194" t="s">
        <v>2662</v>
      </c>
      <c r="D2194">
        <v>3</v>
      </c>
      <c r="E2194">
        <v>3</v>
      </c>
      <c r="F2194" t="s">
        <v>7</v>
      </c>
      <c r="G2194" t="s">
        <v>11</v>
      </c>
      <c r="H2194" t="s">
        <v>11</v>
      </c>
    </row>
    <row r="2195" spans="1:8" x14ac:dyDescent="0.35">
      <c r="A2195" t="s">
        <v>48</v>
      </c>
      <c r="B2195" t="s">
        <v>110</v>
      </c>
      <c r="C2195" t="s">
        <v>2663</v>
      </c>
      <c r="D2195">
        <v>3</v>
      </c>
      <c r="E2195">
        <v>3</v>
      </c>
      <c r="F2195" t="s">
        <v>7</v>
      </c>
      <c r="G2195" t="s">
        <v>11</v>
      </c>
      <c r="H2195" t="s">
        <v>11</v>
      </c>
    </row>
    <row r="2196" spans="1:8" x14ac:dyDescent="0.35">
      <c r="A2196" t="s">
        <v>48</v>
      </c>
      <c r="B2196" t="s">
        <v>110</v>
      </c>
      <c r="C2196" t="s">
        <v>2291</v>
      </c>
      <c r="D2196">
        <v>3</v>
      </c>
      <c r="E2196">
        <v>3</v>
      </c>
      <c r="F2196" t="s">
        <v>7</v>
      </c>
      <c r="G2196" t="s">
        <v>11</v>
      </c>
      <c r="H2196" t="s">
        <v>11</v>
      </c>
    </row>
    <row r="2197" spans="1:8" x14ac:dyDescent="0.35">
      <c r="A2197" t="s">
        <v>48</v>
      </c>
      <c r="B2197" t="s">
        <v>110</v>
      </c>
      <c r="C2197" t="s">
        <v>1983</v>
      </c>
      <c r="D2197">
        <v>3</v>
      </c>
      <c r="E2197">
        <v>3</v>
      </c>
      <c r="F2197" t="s">
        <v>7</v>
      </c>
      <c r="G2197" t="s">
        <v>11</v>
      </c>
      <c r="H2197" t="s">
        <v>11</v>
      </c>
    </row>
    <row r="2198" spans="1:8" x14ac:dyDescent="0.35">
      <c r="A2198" t="s">
        <v>48</v>
      </c>
      <c r="B2198" t="s">
        <v>110</v>
      </c>
      <c r="C2198" t="s">
        <v>2664</v>
      </c>
      <c r="D2198">
        <v>3</v>
      </c>
      <c r="E2198">
        <v>3</v>
      </c>
      <c r="F2198" t="s">
        <v>7</v>
      </c>
      <c r="G2198" t="s">
        <v>11</v>
      </c>
      <c r="H2198" t="s">
        <v>11</v>
      </c>
    </row>
    <row r="2199" spans="1:8" x14ac:dyDescent="0.35">
      <c r="A2199" t="s">
        <v>48</v>
      </c>
      <c r="B2199" t="s">
        <v>110</v>
      </c>
      <c r="C2199" t="s">
        <v>2665</v>
      </c>
      <c r="D2199">
        <v>3</v>
      </c>
      <c r="E2199">
        <v>3</v>
      </c>
      <c r="F2199" t="s">
        <v>7</v>
      </c>
      <c r="G2199" t="s">
        <v>11</v>
      </c>
      <c r="H2199" t="s">
        <v>11</v>
      </c>
    </row>
    <row r="2200" spans="1:8" x14ac:dyDescent="0.35">
      <c r="A2200" t="s">
        <v>48</v>
      </c>
      <c r="B2200" t="s">
        <v>110</v>
      </c>
      <c r="C2200" t="s">
        <v>2666</v>
      </c>
      <c r="D2200">
        <v>3</v>
      </c>
      <c r="E2200">
        <v>3</v>
      </c>
      <c r="F2200" t="s">
        <v>7</v>
      </c>
      <c r="G2200" t="s">
        <v>11</v>
      </c>
      <c r="H2200" t="s">
        <v>11</v>
      </c>
    </row>
    <row r="2201" spans="1:8" x14ac:dyDescent="0.35">
      <c r="A2201" t="s">
        <v>48</v>
      </c>
      <c r="B2201" t="s">
        <v>110</v>
      </c>
      <c r="C2201" t="s">
        <v>1647</v>
      </c>
      <c r="D2201">
        <v>3</v>
      </c>
      <c r="E2201">
        <v>3</v>
      </c>
      <c r="F2201" t="s">
        <v>7</v>
      </c>
      <c r="G2201" t="s">
        <v>11</v>
      </c>
      <c r="H2201" t="s">
        <v>11</v>
      </c>
    </row>
    <row r="2202" spans="1:8" x14ac:dyDescent="0.35">
      <c r="A2202" t="s">
        <v>48</v>
      </c>
      <c r="B2202" t="s">
        <v>110</v>
      </c>
      <c r="C2202" t="s">
        <v>2667</v>
      </c>
      <c r="D2202">
        <v>2</v>
      </c>
      <c r="E2202">
        <v>3</v>
      </c>
      <c r="F2202" t="s">
        <v>7</v>
      </c>
      <c r="G2202" t="s">
        <v>11</v>
      </c>
      <c r="H2202" t="s">
        <v>11</v>
      </c>
    </row>
    <row r="2203" spans="1:8" x14ac:dyDescent="0.35">
      <c r="A2203" t="s">
        <v>48</v>
      </c>
      <c r="B2203" t="s">
        <v>110</v>
      </c>
      <c r="C2203" t="s">
        <v>1737</v>
      </c>
      <c r="D2203">
        <v>3</v>
      </c>
      <c r="E2203">
        <v>3</v>
      </c>
      <c r="F2203" t="s">
        <v>7</v>
      </c>
      <c r="G2203" t="s">
        <v>11</v>
      </c>
      <c r="H2203" t="s">
        <v>11</v>
      </c>
    </row>
    <row r="2204" spans="1:8" x14ac:dyDescent="0.35">
      <c r="A2204" t="s">
        <v>48</v>
      </c>
      <c r="B2204" t="s">
        <v>110</v>
      </c>
      <c r="C2204" t="s">
        <v>2342</v>
      </c>
      <c r="D2204">
        <v>2</v>
      </c>
      <c r="E2204">
        <v>4</v>
      </c>
      <c r="F2204" t="s">
        <v>75</v>
      </c>
      <c r="G2204" t="s">
        <v>11</v>
      </c>
      <c r="H2204" t="s">
        <v>11</v>
      </c>
    </row>
    <row r="2205" spans="1:8" x14ac:dyDescent="0.35">
      <c r="A2205" t="s">
        <v>48</v>
      </c>
      <c r="B2205" t="s">
        <v>110</v>
      </c>
      <c r="C2205" t="s">
        <v>2668</v>
      </c>
      <c r="D2205">
        <v>3</v>
      </c>
      <c r="E2205">
        <v>3</v>
      </c>
      <c r="F2205" t="s">
        <v>7</v>
      </c>
      <c r="G2205" t="s">
        <v>11</v>
      </c>
      <c r="H2205" t="s">
        <v>11</v>
      </c>
    </row>
    <row r="2206" spans="1:8" x14ac:dyDescent="0.35">
      <c r="A2206" t="s">
        <v>48</v>
      </c>
      <c r="B2206" t="s">
        <v>110</v>
      </c>
      <c r="C2206" t="s">
        <v>2669</v>
      </c>
      <c r="D2206">
        <v>3</v>
      </c>
      <c r="E2206">
        <v>3</v>
      </c>
      <c r="F2206" t="s">
        <v>7</v>
      </c>
      <c r="G2206" t="s">
        <v>11</v>
      </c>
      <c r="H2206" t="s">
        <v>11</v>
      </c>
    </row>
    <row r="2207" spans="1:8" x14ac:dyDescent="0.35">
      <c r="A2207" t="s">
        <v>48</v>
      </c>
      <c r="B2207" t="s">
        <v>110</v>
      </c>
      <c r="C2207" t="s">
        <v>2670</v>
      </c>
      <c r="D2207">
        <v>3</v>
      </c>
      <c r="E2207">
        <v>3</v>
      </c>
      <c r="F2207" t="s">
        <v>7</v>
      </c>
      <c r="G2207" t="s">
        <v>11</v>
      </c>
      <c r="H2207" t="s">
        <v>11</v>
      </c>
    </row>
    <row r="2208" spans="1:8" x14ac:dyDescent="0.35">
      <c r="A2208" t="s">
        <v>48</v>
      </c>
      <c r="B2208" t="s">
        <v>110</v>
      </c>
      <c r="C2208" t="s">
        <v>1376</v>
      </c>
      <c r="D2208">
        <v>3</v>
      </c>
      <c r="E2208">
        <v>3</v>
      </c>
      <c r="F2208" t="s">
        <v>7</v>
      </c>
      <c r="G2208" t="s">
        <v>11</v>
      </c>
      <c r="H2208" t="s">
        <v>11</v>
      </c>
    </row>
    <row r="2209" spans="1:8" x14ac:dyDescent="0.35">
      <c r="A2209" t="s">
        <v>48</v>
      </c>
      <c r="B2209" t="s">
        <v>110</v>
      </c>
      <c r="C2209" t="s">
        <v>2671</v>
      </c>
      <c r="D2209">
        <v>3</v>
      </c>
      <c r="E2209">
        <v>3</v>
      </c>
      <c r="F2209" t="s">
        <v>7</v>
      </c>
      <c r="G2209" t="s">
        <v>11</v>
      </c>
      <c r="H2209" t="s">
        <v>11</v>
      </c>
    </row>
    <row r="2210" spans="1:8" x14ac:dyDescent="0.35">
      <c r="A2210" t="s">
        <v>48</v>
      </c>
      <c r="B2210" t="s">
        <v>110</v>
      </c>
      <c r="C2210" t="s">
        <v>2672</v>
      </c>
      <c r="D2210">
        <v>3</v>
      </c>
      <c r="E2210">
        <v>3</v>
      </c>
      <c r="F2210" t="s">
        <v>7</v>
      </c>
      <c r="G2210" t="s">
        <v>11</v>
      </c>
      <c r="H2210" t="s">
        <v>11</v>
      </c>
    </row>
    <row r="2211" spans="1:8" x14ac:dyDescent="0.35">
      <c r="A2211" t="s">
        <v>48</v>
      </c>
      <c r="B2211" t="s">
        <v>110</v>
      </c>
      <c r="C2211" t="s">
        <v>2673</v>
      </c>
      <c r="D2211">
        <v>3</v>
      </c>
      <c r="E2211">
        <v>3</v>
      </c>
      <c r="F2211" t="s">
        <v>7</v>
      </c>
      <c r="G2211" t="s">
        <v>11</v>
      </c>
      <c r="H2211" t="s">
        <v>11</v>
      </c>
    </row>
    <row r="2212" spans="1:8" x14ac:dyDescent="0.35">
      <c r="A2212" t="s">
        <v>49</v>
      </c>
      <c r="B2212" t="s">
        <v>101</v>
      </c>
      <c r="C2212" t="s">
        <v>1605</v>
      </c>
      <c r="D2212">
        <v>2</v>
      </c>
      <c r="E2212">
        <v>5</v>
      </c>
      <c r="F2212" t="s">
        <v>75</v>
      </c>
      <c r="G2212" t="s">
        <v>11</v>
      </c>
      <c r="H2212" t="s">
        <v>11</v>
      </c>
    </row>
    <row r="2213" spans="1:8" x14ac:dyDescent="0.35">
      <c r="A2213" t="s">
        <v>49</v>
      </c>
      <c r="B2213" t="s">
        <v>101</v>
      </c>
      <c r="C2213" t="s">
        <v>1427</v>
      </c>
      <c r="D2213">
        <v>3</v>
      </c>
      <c r="E2213">
        <v>4</v>
      </c>
      <c r="F2213" t="s">
        <v>105</v>
      </c>
      <c r="G2213" t="s">
        <v>11</v>
      </c>
      <c r="H2213" t="s">
        <v>11</v>
      </c>
    </row>
    <row r="2214" spans="1:8" x14ac:dyDescent="0.35">
      <c r="A2214" t="s">
        <v>49</v>
      </c>
      <c r="B2214" t="s">
        <v>101</v>
      </c>
      <c r="C2214" t="s">
        <v>2674</v>
      </c>
      <c r="D2214">
        <v>3</v>
      </c>
      <c r="E2214">
        <v>4</v>
      </c>
      <c r="F2214" t="s">
        <v>105</v>
      </c>
      <c r="G2214" t="s">
        <v>11</v>
      </c>
      <c r="H2214" t="s">
        <v>11</v>
      </c>
    </row>
    <row r="2215" spans="1:8" x14ac:dyDescent="0.35">
      <c r="A2215" t="s">
        <v>49</v>
      </c>
      <c r="B2215" t="s">
        <v>101</v>
      </c>
      <c r="C2215" t="s">
        <v>2675</v>
      </c>
      <c r="D2215">
        <v>2</v>
      </c>
      <c r="E2215">
        <v>4</v>
      </c>
      <c r="F2215" t="s">
        <v>105</v>
      </c>
      <c r="G2215" t="s">
        <v>11</v>
      </c>
      <c r="H2215" t="s">
        <v>11</v>
      </c>
    </row>
    <row r="2216" spans="1:8" x14ac:dyDescent="0.35">
      <c r="A2216" t="s">
        <v>49</v>
      </c>
      <c r="B2216" t="s">
        <v>101</v>
      </c>
      <c r="C2216" t="s">
        <v>1434</v>
      </c>
      <c r="D2216">
        <v>2</v>
      </c>
      <c r="E2216">
        <v>4</v>
      </c>
      <c r="F2216" t="s">
        <v>105</v>
      </c>
      <c r="G2216" t="s">
        <v>11</v>
      </c>
      <c r="H2216" t="s">
        <v>11</v>
      </c>
    </row>
    <row r="2217" spans="1:8" x14ac:dyDescent="0.35">
      <c r="A2217" t="s">
        <v>49</v>
      </c>
      <c r="B2217" t="s">
        <v>101</v>
      </c>
      <c r="C2217" t="s">
        <v>2432</v>
      </c>
      <c r="D2217">
        <v>3</v>
      </c>
      <c r="E2217">
        <v>4</v>
      </c>
      <c r="F2217" t="s">
        <v>105</v>
      </c>
      <c r="G2217" t="s">
        <v>11</v>
      </c>
      <c r="H2217" t="s">
        <v>11</v>
      </c>
    </row>
    <row r="2218" spans="1:8" x14ac:dyDescent="0.35">
      <c r="A2218" t="s">
        <v>49</v>
      </c>
      <c r="B2218" t="s">
        <v>101</v>
      </c>
      <c r="C2218" t="s">
        <v>2676</v>
      </c>
      <c r="D2218">
        <v>2</v>
      </c>
      <c r="E2218">
        <v>5</v>
      </c>
      <c r="F2218" t="s">
        <v>75</v>
      </c>
      <c r="G2218" t="s">
        <v>11</v>
      </c>
      <c r="H2218" t="s">
        <v>11</v>
      </c>
    </row>
    <row r="2219" spans="1:8" x14ac:dyDescent="0.35">
      <c r="A2219" t="s">
        <v>49</v>
      </c>
      <c r="B2219" t="s">
        <v>101</v>
      </c>
      <c r="C2219" t="s">
        <v>2452</v>
      </c>
      <c r="D2219">
        <v>3</v>
      </c>
      <c r="E2219">
        <v>4</v>
      </c>
      <c r="F2219" t="s">
        <v>105</v>
      </c>
      <c r="G2219" t="s">
        <v>11</v>
      </c>
      <c r="H2219" t="s">
        <v>11</v>
      </c>
    </row>
    <row r="2220" spans="1:8" x14ac:dyDescent="0.35">
      <c r="A2220" t="s">
        <v>49</v>
      </c>
      <c r="B2220" t="s">
        <v>101</v>
      </c>
      <c r="C2220" t="s">
        <v>2677</v>
      </c>
      <c r="D2220">
        <v>3</v>
      </c>
      <c r="E2220">
        <v>5</v>
      </c>
      <c r="F2220" t="s">
        <v>75</v>
      </c>
      <c r="G2220" t="s">
        <v>11</v>
      </c>
      <c r="H2220" t="s">
        <v>11</v>
      </c>
    </row>
    <row r="2221" spans="1:8" x14ac:dyDescent="0.35">
      <c r="A2221" t="s">
        <v>49</v>
      </c>
      <c r="B2221" t="s">
        <v>101</v>
      </c>
      <c r="C2221" t="s">
        <v>1555</v>
      </c>
      <c r="D2221">
        <v>3</v>
      </c>
      <c r="E2221">
        <v>4</v>
      </c>
      <c r="F2221" t="s">
        <v>105</v>
      </c>
      <c r="G2221" t="s">
        <v>11</v>
      </c>
      <c r="H2221" t="s">
        <v>11</v>
      </c>
    </row>
    <row r="2222" spans="1:8" x14ac:dyDescent="0.35">
      <c r="A2222" t="s">
        <v>49</v>
      </c>
      <c r="B2222" t="s">
        <v>101</v>
      </c>
      <c r="C2222" t="s">
        <v>2678</v>
      </c>
      <c r="D2222">
        <v>2</v>
      </c>
      <c r="E2222">
        <v>5</v>
      </c>
      <c r="F2222" t="s">
        <v>75</v>
      </c>
      <c r="G2222" t="s">
        <v>11</v>
      </c>
      <c r="H2222" t="s">
        <v>11</v>
      </c>
    </row>
    <row r="2223" spans="1:8" x14ac:dyDescent="0.35">
      <c r="A2223" t="s">
        <v>49</v>
      </c>
      <c r="B2223" t="s">
        <v>101</v>
      </c>
      <c r="C2223" t="s">
        <v>1445</v>
      </c>
      <c r="D2223">
        <v>2</v>
      </c>
      <c r="E2223">
        <v>5</v>
      </c>
      <c r="F2223" t="s">
        <v>75</v>
      </c>
      <c r="G2223" t="s">
        <v>11</v>
      </c>
      <c r="H2223" t="s">
        <v>11</v>
      </c>
    </row>
    <row r="2224" spans="1:8" x14ac:dyDescent="0.35">
      <c r="A2224" t="s">
        <v>49</v>
      </c>
      <c r="B2224" t="s">
        <v>101</v>
      </c>
      <c r="C2224" t="s">
        <v>2679</v>
      </c>
      <c r="D2224">
        <v>2</v>
      </c>
      <c r="E2224">
        <v>5</v>
      </c>
      <c r="F2224" t="s">
        <v>75</v>
      </c>
      <c r="G2224" t="s">
        <v>11</v>
      </c>
      <c r="H2224" t="s">
        <v>11</v>
      </c>
    </row>
    <row r="2225" spans="1:8" x14ac:dyDescent="0.35">
      <c r="A2225" t="s">
        <v>49</v>
      </c>
      <c r="B2225" t="s">
        <v>101</v>
      </c>
      <c r="C2225" t="s">
        <v>2680</v>
      </c>
      <c r="D2225">
        <v>2</v>
      </c>
      <c r="E2225">
        <v>5</v>
      </c>
      <c r="F2225" t="s">
        <v>75</v>
      </c>
      <c r="G2225" t="s">
        <v>11</v>
      </c>
      <c r="H2225" t="s">
        <v>11</v>
      </c>
    </row>
    <row r="2226" spans="1:8" x14ac:dyDescent="0.35">
      <c r="A2226" t="s">
        <v>49</v>
      </c>
      <c r="B2226" t="s">
        <v>101</v>
      </c>
      <c r="C2226" t="s">
        <v>1347</v>
      </c>
      <c r="D2226">
        <v>3</v>
      </c>
      <c r="E2226">
        <v>4</v>
      </c>
      <c r="F2226" t="s">
        <v>105</v>
      </c>
      <c r="G2226" t="s">
        <v>11</v>
      </c>
      <c r="H2226" t="s">
        <v>11</v>
      </c>
    </row>
    <row r="2227" spans="1:8" x14ac:dyDescent="0.35">
      <c r="A2227" t="s">
        <v>49</v>
      </c>
      <c r="B2227" t="s">
        <v>101</v>
      </c>
      <c r="C2227" t="s">
        <v>1348</v>
      </c>
      <c r="D2227">
        <v>2</v>
      </c>
      <c r="E2227">
        <v>5</v>
      </c>
      <c r="F2227" t="s">
        <v>75</v>
      </c>
      <c r="G2227" t="s">
        <v>11</v>
      </c>
      <c r="H2227" t="s">
        <v>11</v>
      </c>
    </row>
    <row r="2228" spans="1:8" x14ac:dyDescent="0.35">
      <c r="A2228" t="s">
        <v>49</v>
      </c>
      <c r="B2228" t="s">
        <v>101</v>
      </c>
      <c r="C2228" t="s">
        <v>2681</v>
      </c>
      <c r="D2228">
        <v>3</v>
      </c>
      <c r="E2228">
        <v>4</v>
      </c>
      <c r="F2228" t="s">
        <v>105</v>
      </c>
      <c r="G2228" t="s">
        <v>11</v>
      </c>
      <c r="H2228" t="s">
        <v>11</v>
      </c>
    </row>
    <row r="2229" spans="1:8" x14ac:dyDescent="0.35">
      <c r="A2229" t="s">
        <v>49</v>
      </c>
      <c r="B2229" t="s">
        <v>101</v>
      </c>
      <c r="C2229" t="s">
        <v>2682</v>
      </c>
      <c r="D2229">
        <v>2</v>
      </c>
      <c r="E2229">
        <v>5</v>
      </c>
      <c r="F2229" t="s">
        <v>75</v>
      </c>
      <c r="G2229" t="s">
        <v>11</v>
      </c>
      <c r="H2229" t="s">
        <v>11</v>
      </c>
    </row>
    <row r="2230" spans="1:8" x14ac:dyDescent="0.35">
      <c r="A2230" t="s">
        <v>49</v>
      </c>
      <c r="B2230" t="s">
        <v>101</v>
      </c>
      <c r="C2230" t="s">
        <v>1497</v>
      </c>
      <c r="D2230">
        <v>2</v>
      </c>
      <c r="E2230">
        <v>5</v>
      </c>
      <c r="F2230" t="s">
        <v>75</v>
      </c>
      <c r="G2230" t="s">
        <v>11</v>
      </c>
      <c r="H2230" t="s">
        <v>11</v>
      </c>
    </row>
    <row r="2231" spans="1:8" x14ac:dyDescent="0.35">
      <c r="A2231" t="s">
        <v>49</v>
      </c>
      <c r="B2231" t="s">
        <v>101</v>
      </c>
      <c r="C2231" t="s">
        <v>1969</v>
      </c>
      <c r="D2231">
        <v>3</v>
      </c>
      <c r="E2231">
        <v>4</v>
      </c>
      <c r="F2231" t="s">
        <v>105</v>
      </c>
      <c r="G2231" t="s">
        <v>11</v>
      </c>
      <c r="H2231" t="s">
        <v>11</v>
      </c>
    </row>
    <row r="2232" spans="1:8" x14ac:dyDescent="0.35">
      <c r="A2232" t="s">
        <v>49</v>
      </c>
      <c r="B2232" t="s">
        <v>101</v>
      </c>
      <c r="C2232" t="s">
        <v>1453</v>
      </c>
      <c r="D2232">
        <v>3</v>
      </c>
      <c r="E2232">
        <v>4</v>
      </c>
      <c r="F2232" t="s">
        <v>105</v>
      </c>
      <c r="G2232" t="s">
        <v>11</v>
      </c>
      <c r="H2232" t="s">
        <v>11</v>
      </c>
    </row>
    <row r="2233" spans="1:8" x14ac:dyDescent="0.35">
      <c r="A2233" t="s">
        <v>49</v>
      </c>
      <c r="B2233" t="s">
        <v>101</v>
      </c>
      <c r="C2233" t="s">
        <v>1916</v>
      </c>
      <c r="D2233">
        <v>3</v>
      </c>
      <c r="E2233">
        <v>4</v>
      </c>
      <c r="F2233" t="s">
        <v>105</v>
      </c>
      <c r="G2233" t="s">
        <v>11</v>
      </c>
      <c r="H2233" t="s">
        <v>11</v>
      </c>
    </row>
    <row r="2234" spans="1:8" x14ac:dyDescent="0.35">
      <c r="A2234" t="s">
        <v>49</v>
      </c>
      <c r="B2234" t="s">
        <v>101</v>
      </c>
      <c r="C2234" t="s">
        <v>2683</v>
      </c>
      <c r="D2234">
        <v>2</v>
      </c>
      <c r="E2234">
        <v>5</v>
      </c>
      <c r="F2234" t="s">
        <v>75</v>
      </c>
      <c r="G2234" t="s">
        <v>11</v>
      </c>
      <c r="H2234" t="s">
        <v>11</v>
      </c>
    </row>
    <row r="2235" spans="1:8" x14ac:dyDescent="0.35">
      <c r="A2235" t="s">
        <v>49</v>
      </c>
      <c r="B2235" t="s">
        <v>101</v>
      </c>
      <c r="C2235" t="s">
        <v>1358</v>
      </c>
      <c r="D2235">
        <v>3</v>
      </c>
      <c r="E2235">
        <v>4</v>
      </c>
      <c r="F2235" t="s">
        <v>105</v>
      </c>
      <c r="G2235" t="s">
        <v>11</v>
      </c>
      <c r="H2235" t="s">
        <v>11</v>
      </c>
    </row>
    <row r="2236" spans="1:8" x14ac:dyDescent="0.35">
      <c r="A2236" t="s">
        <v>49</v>
      </c>
      <c r="B2236" t="s">
        <v>101</v>
      </c>
      <c r="C2236" t="s">
        <v>2619</v>
      </c>
      <c r="D2236">
        <v>2</v>
      </c>
      <c r="E2236">
        <v>5</v>
      </c>
      <c r="F2236" t="s">
        <v>75</v>
      </c>
      <c r="G2236" t="s">
        <v>11</v>
      </c>
      <c r="H2236" t="s">
        <v>11</v>
      </c>
    </row>
    <row r="2237" spans="1:8" x14ac:dyDescent="0.35">
      <c r="A2237" t="s">
        <v>49</v>
      </c>
      <c r="B2237" t="s">
        <v>101</v>
      </c>
      <c r="C2237" t="s">
        <v>2684</v>
      </c>
      <c r="D2237">
        <v>2</v>
      </c>
      <c r="E2237">
        <v>4</v>
      </c>
      <c r="F2237" t="s">
        <v>105</v>
      </c>
      <c r="G2237" t="s">
        <v>11</v>
      </c>
      <c r="H2237" t="s">
        <v>11</v>
      </c>
    </row>
    <row r="2238" spans="1:8" x14ac:dyDescent="0.35">
      <c r="A2238" t="s">
        <v>49</v>
      </c>
      <c r="B2238" t="s">
        <v>101</v>
      </c>
      <c r="C2238" t="s">
        <v>1464</v>
      </c>
      <c r="D2238">
        <v>3</v>
      </c>
      <c r="E2238">
        <v>4</v>
      </c>
      <c r="F2238" t="s">
        <v>105</v>
      </c>
      <c r="G2238" t="s">
        <v>11</v>
      </c>
      <c r="H2238" t="s">
        <v>11</v>
      </c>
    </row>
    <row r="2239" spans="1:8" x14ac:dyDescent="0.35">
      <c r="A2239" t="s">
        <v>49</v>
      </c>
      <c r="B2239" t="s">
        <v>101</v>
      </c>
      <c r="C2239" t="s">
        <v>1994</v>
      </c>
      <c r="D2239">
        <v>2</v>
      </c>
      <c r="E2239">
        <v>5</v>
      </c>
      <c r="F2239" t="s">
        <v>75</v>
      </c>
      <c r="G2239" t="s">
        <v>11</v>
      </c>
      <c r="H2239" t="s">
        <v>11</v>
      </c>
    </row>
    <row r="2240" spans="1:8" x14ac:dyDescent="0.35">
      <c r="A2240" t="s">
        <v>49</v>
      </c>
      <c r="B2240" t="s">
        <v>101</v>
      </c>
      <c r="C2240" t="s">
        <v>2685</v>
      </c>
      <c r="D2240">
        <v>3</v>
      </c>
      <c r="E2240">
        <v>4</v>
      </c>
      <c r="F2240" t="s">
        <v>105</v>
      </c>
      <c r="G2240" t="s">
        <v>11</v>
      </c>
      <c r="H2240" t="s">
        <v>11</v>
      </c>
    </row>
    <row r="2241" spans="1:8" x14ac:dyDescent="0.35">
      <c r="A2241" t="s">
        <v>49</v>
      </c>
      <c r="B2241" t="s">
        <v>101</v>
      </c>
      <c r="C2241" t="s">
        <v>2686</v>
      </c>
      <c r="D2241">
        <v>2</v>
      </c>
      <c r="E2241">
        <v>5</v>
      </c>
      <c r="F2241" t="s">
        <v>75</v>
      </c>
      <c r="G2241" t="s">
        <v>11</v>
      </c>
      <c r="H2241" t="s">
        <v>11</v>
      </c>
    </row>
    <row r="2242" spans="1:8" x14ac:dyDescent="0.35">
      <c r="A2242" t="s">
        <v>49</v>
      </c>
      <c r="B2242" t="s">
        <v>101</v>
      </c>
      <c r="C2242" t="s">
        <v>1476</v>
      </c>
      <c r="D2242">
        <v>2</v>
      </c>
      <c r="E2242">
        <v>5</v>
      </c>
      <c r="F2242" t="s">
        <v>75</v>
      </c>
      <c r="G2242" t="s">
        <v>11</v>
      </c>
      <c r="H2242" t="s">
        <v>11</v>
      </c>
    </row>
    <row r="2243" spans="1:8" x14ac:dyDescent="0.35">
      <c r="A2243" t="s">
        <v>49</v>
      </c>
      <c r="B2243" t="s">
        <v>101</v>
      </c>
      <c r="C2243" t="s">
        <v>2687</v>
      </c>
      <c r="D2243">
        <v>3</v>
      </c>
      <c r="E2243">
        <v>5</v>
      </c>
      <c r="F2243" t="s">
        <v>75</v>
      </c>
      <c r="G2243" t="s">
        <v>11</v>
      </c>
      <c r="H2243" t="s">
        <v>11</v>
      </c>
    </row>
    <row r="2244" spans="1:8" x14ac:dyDescent="0.35">
      <c r="A2244" t="s">
        <v>49</v>
      </c>
      <c r="B2244" t="s">
        <v>101</v>
      </c>
      <c r="C2244" t="s">
        <v>2688</v>
      </c>
      <c r="D2244">
        <v>2</v>
      </c>
      <c r="E2244">
        <v>5</v>
      </c>
      <c r="F2244" t="s">
        <v>75</v>
      </c>
      <c r="G2244" t="s">
        <v>11</v>
      </c>
      <c r="H2244" t="s">
        <v>11</v>
      </c>
    </row>
    <row r="2245" spans="1:8" x14ac:dyDescent="0.35">
      <c r="A2245" t="s">
        <v>49</v>
      </c>
      <c r="B2245" t="s">
        <v>101</v>
      </c>
      <c r="C2245" t="s">
        <v>1376</v>
      </c>
      <c r="D2245">
        <v>2</v>
      </c>
      <c r="E2245">
        <v>4</v>
      </c>
      <c r="F2245" t="s">
        <v>105</v>
      </c>
      <c r="G2245" t="s">
        <v>11</v>
      </c>
      <c r="H2245" t="s">
        <v>11</v>
      </c>
    </row>
    <row r="2246" spans="1:8" x14ac:dyDescent="0.35">
      <c r="A2246" t="s">
        <v>49</v>
      </c>
      <c r="B2246" t="s">
        <v>101</v>
      </c>
      <c r="C2246" t="s">
        <v>1757</v>
      </c>
      <c r="D2246">
        <v>2</v>
      </c>
      <c r="E2246">
        <v>5</v>
      </c>
      <c r="F2246" t="s">
        <v>75</v>
      </c>
      <c r="G2246" t="s">
        <v>11</v>
      </c>
      <c r="H2246" t="s">
        <v>11</v>
      </c>
    </row>
    <row r="2247" spans="1:8" x14ac:dyDescent="0.35">
      <c r="A2247" t="s">
        <v>49</v>
      </c>
      <c r="B2247" t="s">
        <v>101</v>
      </c>
      <c r="C2247" t="s">
        <v>2689</v>
      </c>
      <c r="D2247">
        <v>2</v>
      </c>
      <c r="E2247">
        <v>4</v>
      </c>
      <c r="F2247" t="s">
        <v>105</v>
      </c>
      <c r="G2247" t="s">
        <v>11</v>
      </c>
      <c r="H2247" t="s">
        <v>11</v>
      </c>
    </row>
    <row r="2248" spans="1:8" x14ac:dyDescent="0.35">
      <c r="A2248" t="s">
        <v>50</v>
      </c>
      <c r="B2248" t="s">
        <v>81</v>
      </c>
      <c r="C2248" t="s">
        <v>1537</v>
      </c>
      <c r="D2248">
        <v>1</v>
      </c>
      <c r="E2248">
        <v>5</v>
      </c>
      <c r="F2248" t="s">
        <v>7</v>
      </c>
      <c r="G2248" t="s">
        <v>11</v>
      </c>
      <c r="H2248" t="s">
        <v>11</v>
      </c>
    </row>
    <row r="2249" spans="1:8" x14ac:dyDescent="0.35">
      <c r="A2249" t="s">
        <v>50</v>
      </c>
      <c r="B2249" t="s">
        <v>81</v>
      </c>
      <c r="C2249" t="s">
        <v>2690</v>
      </c>
      <c r="D2249">
        <v>1</v>
      </c>
      <c r="E2249">
        <v>5</v>
      </c>
      <c r="F2249" t="s">
        <v>7</v>
      </c>
      <c r="G2249" t="s">
        <v>11</v>
      </c>
      <c r="H2249" t="s">
        <v>11</v>
      </c>
    </row>
    <row r="2250" spans="1:8" x14ac:dyDescent="0.35">
      <c r="A2250" t="s">
        <v>50</v>
      </c>
      <c r="B2250" t="s">
        <v>81</v>
      </c>
      <c r="C2250" t="s">
        <v>2691</v>
      </c>
      <c r="D2250">
        <v>1</v>
      </c>
      <c r="E2250">
        <v>5</v>
      </c>
      <c r="F2250" t="s">
        <v>7</v>
      </c>
      <c r="G2250" t="s">
        <v>11</v>
      </c>
      <c r="H2250" t="s">
        <v>11</v>
      </c>
    </row>
    <row r="2251" spans="1:8" x14ac:dyDescent="0.35">
      <c r="A2251" t="s">
        <v>50</v>
      </c>
      <c r="B2251" t="s">
        <v>81</v>
      </c>
      <c r="C2251" t="s">
        <v>2635</v>
      </c>
      <c r="D2251">
        <v>1</v>
      </c>
      <c r="E2251">
        <v>5</v>
      </c>
      <c r="F2251" t="s">
        <v>7</v>
      </c>
      <c r="G2251" t="s">
        <v>11</v>
      </c>
      <c r="H2251" t="s">
        <v>11</v>
      </c>
    </row>
    <row r="2252" spans="1:8" x14ac:dyDescent="0.35">
      <c r="A2252" t="s">
        <v>50</v>
      </c>
      <c r="B2252" t="s">
        <v>81</v>
      </c>
      <c r="C2252" t="s">
        <v>2692</v>
      </c>
      <c r="D2252">
        <v>1</v>
      </c>
      <c r="E2252">
        <v>5</v>
      </c>
      <c r="F2252" t="s">
        <v>7</v>
      </c>
      <c r="G2252" t="s">
        <v>11</v>
      </c>
      <c r="H2252" t="s">
        <v>11</v>
      </c>
    </row>
    <row r="2253" spans="1:8" x14ac:dyDescent="0.35">
      <c r="A2253" t="s">
        <v>50</v>
      </c>
      <c r="B2253" t="s">
        <v>81</v>
      </c>
      <c r="C2253" t="s">
        <v>2693</v>
      </c>
      <c r="D2253">
        <v>1</v>
      </c>
      <c r="E2253">
        <v>5</v>
      </c>
      <c r="F2253" t="s">
        <v>7</v>
      </c>
      <c r="G2253" t="s">
        <v>11</v>
      </c>
      <c r="H2253" t="s">
        <v>11</v>
      </c>
    </row>
    <row r="2254" spans="1:8" x14ac:dyDescent="0.35">
      <c r="A2254" t="s">
        <v>50</v>
      </c>
      <c r="B2254" t="s">
        <v>81</v>
      </c>
      <c r="C2254" t="s">
        <v>2694</v>
      </c>
      <c r="D2254">
        <v>1</v>
      </c>
      <c r="E2254">
        <v>5</v>
      </c>
      <c r="F2254" t="s">
        <v>7</v>
      </c>
      <c r="G2254" t="s">
        <v>11</v>
      </c>
      <c r="H2254" t="s">
        <v>11</v>
      </c>
    </row>
    <row r="2255" spans="1:8" x14ac:dyDescent="0.35">
      <c r="A2255" t="s">
        <v>50</v>
      </c>
      <c r="B2255" t="s">
        <v>81</v>
      </c>
      <c r="C2255" t="s">
        <v>1607</v>
      </c>
      <c r="D2255">
        <v>1</v>
      </c>
      <c r="E2255">
        <v>5</v>
      </c>
      <c r="F2255" t="s">
        <v>7</v>
      </c>
      <c r="G2255" t="s">
        <v>11</v>
      </c>
      <c r="H2255" t="s">
        <v>11</v>
      </c>
    </row>
    <row r="2256" spans="1:8" x14ac:dyDescent="0.35">
      <c r="A2256" t="s">
        <v>50</v>
      </c>
      <c r="B2256" t="s">
        <v>81</v>
      </c>
      <c r="C2256" t="s">
        <v>2695</v>
      </c>
      <c r="D2256">
        <v>1</v>
      </c>
      <c r="E2256">
        <v>4</v>
      </c>
      <c r="F2256" t="s">
        <v>7</v>
      </c>
      <c r="G2256" t="s">
        <v>11</v>
      </c>
      <c r="H2256" t="s">
        <v>11</v>
      </c>
    </row>
    <row r="2257" spans="1:8" x14ac:dyDescent="0.35">
      <c r="A2257" t="s">
        <v>50</v>
      </c>
      <c r="B2257" t="s">
        <v>81</v>
      </c>
      <c r="C2257" t="s">
        <v>1318</v>
      </c>
      <c r="D2257">
        <v>1</v>
      </c>
      <c r="E2257">
        <v>5</v>
      </c>
      <c r="F2257" t="s">
        <v>7</v>
      </c>
      <c r="G2257" t="s">
        <v>11</v>
      </c>
      <c r="H2257" t="s">
        <v>11</v>
      </c>
    </row>
    <row r="2258" spans="1:8" x14ac:dyDescent="0.35">
      <c r="A2258" t="s">
        <v>50</v>
      </c>
      <c r="B2258" t="s">
        <v>81</v>
      </c>
      <c r="C2258" t="s">
        <v>2696</v>
      </c>
      <c r="D2258">
        <v>2</v>
      </c>
      <c r="E2258">
        <v>5</v>
      </c>
      <c r="F2258" t="s">
        <v>7</v>
      </c>
      <c r="G2258" t="s">
        <v>11</v>
      </c>
      <c r="H2258" t="s">
        <v>11</v>
      </c>
    </row>
    <row r="2259" spans="1:8" x14ac:dyDescent="0.35">
      <c r="A2259" t="s">
        <v>50</v>
      </c>
      <c r="B2259" t="s">
        <v>81</v>
      </c>
      <c r="C2259" t="s">
        <v>2071</v>
      </c>
      <c r="D2259">
        <v>1</v>
      </c>
      <c r="E2259">
        <v>6</v>
      </c>
      <c r="F2259" t="s">
        <v>7</v>
      </c>
      <c r="G2259" t="s">
        <v>11</v>
      </c>
      <c r="H2259" t="s">
        <v>11</v>
      </c>
    </row>
    <row r="2260" spans="1:8" x14ac:dyDescent="0.35">
      <c r="A2260" t="s">
        <v>50</v>
      </c>
      <c r="B2260" t="s">
        <v>81</v>
      </c>
      <c r="C2260" t="s">
        <v>2346</v>
      </c>
      <c r="D2260">
        <v>1</v>
      </c>
      <c r="E2260">
        <v>5</v>
      </c>
      <c r="F2260" t="s">
        <v>7</v>
      </c>
      <c r="G2260" t="s">
        <v>11</v>
      </c>
      <c r="H2260" t="s">
        <v>11</v>
      </c>
    </row>
    <row r="2261" spans="1:8" x14ac:dyDescent="0.35">
      <c r="A2261" t="s">
        <v>50</v>
      </c>
      <c r="B2261" t="s">
        <v>81</v>
      </c>
      <c r="C2261" t="s">
        <v>2697</v>
      </c>
      <c r="D2261">
        <v>1</v>
      </c>
      <c r="E2261">
        <v>5</v>
      </c>
      <c r="F2261" t="s">
        <v>7</v>
      </c>
      <c r="G2261" t="s">
        <v>11</v>
      </c>
      <c r="H2261" t="s">
        <v>11</v>
      </c>
    </row>
    <row r="2262" spans="1:8" x14ac:dyDescent="0.35">
      <c r="A2262" t="s">
        <v>50</v>
      </c>
      <c r="B2262" t="s">
        <v>81</v>
      </c>
      <c r="C2262" t="s">
        <v>2698</v>
      </c>
      <c r="D2262">
        <v>1</v>
      </c>
      <c r="E2262">
        <v>4</v>
      </c>
      <c r="F2262" t="s">
        <v>7</v>
      </c>
      <c r="G2262" t="s">
        <v>11</v>
      </c>
      <c r="H2262" t="s">
        <v>11</v>
      </c>
    </row>
    <row r="2263" spans="1:8" x14ac:dyDescent="0.35">
      <c r="A2263" t="s">
        <v>50</v>
      </c>
      <c r="B2263" t="s">
        <v>81</v>
      </c>
      <c r="C2263" t="s">
        <v>2699</v>
      </c>
      <c r="D2263">
        <v>1</v>
      </c>
      <c r="E2263">
        <v>5</v>
      </c>
      <c r="F2263" t="s">
        <v>7</v>
      </c>
      <c r="G2263" t="s">
        <v>11</v>
      </c>
      <c r="H2263" t="s">
        <v>11</v>
      </c>
    </row>
    <row r="2264" spans="1:8" x14ac:dyDescent="0.35">
      <c r="A2264" t="s">
        <v>50</v>
      </c>
      <c r="B2264" t="s">
        <v>81</v>
      </c>
      <c r="C2264" t="s">
        <v>2700</v>
      </c>
      <c r="D2264">
        <v>1</v>
      </c>
      <c r="E2264">
        <v>6</v>
      </c>
      <c r="F2264" t="s">
        <v>7</v>
      </c>
      <c r="G2264" t="s">
        <v>11</v>
      </c>
      <c r="H2264" t="s">
        <v>11</v>
      </c>
    </row>
    <row r="2265" spans="1:8" x14ac:dyDescent="0.35">
      <c r="A2265" t="s">
        <v>50</v>
      </c>
      <c r="B2265" t="s">
        <v>81</v>
      </c>
      <c r="C2265" t="s">
        <v>1807</v>
      </c>
      <c r="D2265">
        <v>1</v>
      </c>
      <c r="E2265">
        <v>5</v>
      </c>
      <c r="F2265" t="s">
        <v>7</v>
      </c>
      <c r="G2265" t="s">
        <v>11</v>
      </c>
      <c r="H2265" t="s">
        <v>11</v>
      </c>
    </row>
    <row r="2266" spans="1:8" x14ac:dyDescent="0.35">
      <c r="A2266" t="s">
        <v>50</v>
      </c>
      <c r="B2266" t="s">
        <v>81</v>
      </c>
      <c r="C2266" t="s">
        <v>1434</v>
      </c>
      <c r="D2266">
        <v>1</v>
      </c>
      <c r="E2266">
        <v>5</v>
      </c>
      <c r="F2266" t="s">
        <v>7</v>
      </c>
      <c r="G2266" t="s">
        <v>11</v>
      </c>
      <c r="H2266" t="s">
        <v>11</v>
      </c>
    </row>
    <row r="2267" spans="1:8" x14ac:dyDescent="0.35">
      <c r="A2267" t="s">
        <v>50</v>
      </c>
      <c r="B2267" t="s">
        <v>81</v>
      </c>
      <c r="C2267" t="s">
        <v>1437</v>
      </c>
      <c r="D2267">
        <v>2</v>
      </c>
      <c r="E2267">
        <v>5</v>
      </c>
      <c r="F2267" t="s">
        <v>7</v>
      </c>
      <c r="G2267" t="s">
        <v>11</v>
      </c>
      <c r="H2267" t="s">
        <v>11</v>
      </c>
    </row>
    <row r="2268" spans="1:8" x14ac:dyDescent="0.35">
      <c r="A2268" t="s">
        <v>50</v>
      </c>
      <c r="B2268" t="s">
        <v>81</v>
      </c>
      <c r="C2268" t="s">
        <v>1809</v>
      </c>
      <c r="D2268">
        <v>1</v>
      </c>
      <c r="E2268">
        <v>5</v>
      </c>
      <c r="F2268" t="s">
        <v>7</v>
      </c>
      <c r="G2268" t="s">
        <v>11</v>
      </c>
      <c r="H2268" t="s">
        <v>11</v>
      </c>
    </row>
    <row r="2269" spans="1:8" x14ac:dyDescent="0.35">
      <c r="A2269" t="s">
        <v>50</v>
      </c>
      <c r="B2269" t="s">
        <v>81</v>
      </c>
      <c r="C2269" t="s">
        <v>2701</v>
      </c>
      <c r="D2269">
        <v>1</v>
      </c>
      <c r="E2269">
        <v>5</v>
      </c>
      <c r="F2269" t="s">
        <v>7</v>
      </c>
      <c r="G2269" t="s">
        <v>11</v>
      </c>
      <c r="H2269" t="s">
        <v>11</v>
      </c>
    </row>
    <row r="2270" spans="1:8" x14ac:dyDescent="0.35">
      <c r="A2270" t="s">
        <v>50</v>
      </c>
      <c r="B2270" t="s">
        <v>81</v>
      </c>
      <c r="C2270" t="s">
        <v>1859</v>
      </c>
      <c r="D2270">
        <v>1</v>
      </c>
      <c r="E2270">
        <v>4</v>
      </c>
      <c r="F2270" t="s">
        <v>7</v>
      </c>
      <c r="G2270" t="s">
        <v>11</v>
      </c>
      <c r="H2270" t="s">
        <v>11</v>
      </c>
    </row>
    <row r="2271" spans="1:8" x14ac:dyDescent="0.35">
      <c r="A2271" t="s">
        <v>50</v>
      </c>
      <c r="B2271" t="s">
        <v>81</v>
      </c>
      <c r="C2271" t="s">
        <v>1952</v>
      </c>
      <c r="D2271">
        <v>2</v>
      </c>
      <c r="E2271">
        <v>6</v>
      </c>
      <c r="F2271" t="s">
        <v>7</v>
      </c>
      <c r="G2271" t="s">
        <v>11</v>
      </c>
      <c r="H2271" t="s">
        <v>11</v>
      </c>
    </row>
    <row r="2272" spans="1:8" x14ac:dyDescent="0.35">
      <c r="A2272" t="s">
        <v>50</v>
      </c>
      <c r="B2272" t="s">
        <v>81</v>
      </c>
      <c r="C2272" t="s">
        <v>2481</v>
      </c>
      <c r="D2272">
        <v>2</v>
      </c>
      <c r="E2272">
        <v>5</v>
      </c>
      <c r="F2272" t="s">
        <v>7</v>
      </c>
      <c r="G2272" t="s">
        <v>11</v>
      </c>
      <c r="H2272" t="s">
        <v>11</v>
      </c>
    </row>
    <row r="2273" spans="1:8" x14ac:dyDescent="0.35">
      <c r="A2273" t="s">
        <v>50</v>
      </c>
      <c r="B2273" t="s">
        <v>81</v>
      </c>
      <c r="C2273" t="s">
        <v>1340</v>
      </c>
      <c r="D2273">
        <v>2</v>
      </c>
      <c r="E2273">
        <v>5</v>
      </c>
      <c r="F2273" t="s">
        <v>7</v>
      </c>
      <c r="G2273" t="s">
        <v>11</v>
      </c>
      <c r="H2273" t="s">
        <v>11</v>
      </c>
    </row>
    <row r="2274" spans="1:8" x14ac:dyDescent="0.35">
      <c r="A2274" t="s">
        <v>50</v>
      </c>
      <c r="B2274" t="s">
        <v>81</v>
      </c>
      <c r="C2274" t="s">
        <v>2702</v>
      </c>
      <c r="D2274">
        <v>2</v>
      </c>
      <c r="E2274">
        <v>5</v>
      </c>
      <c r="F2274" t="s">
        <v>7</v>
      </c>
      <c r="G2274" t="s">
        <v>11</v>
      </c>
      <c r="H2274" t="s">
        <v>11</v>
      </c>
    </row>
    <row r="2275" spans="1:8" x14ac:dyDescent="0.35">
      <c r="A2275" t="s">
        <v>50</v>
      </c>
      <c r="B2275" t="s">
        <v>81</v>
      </c>
      <c r="C2275" t="s">
        <v>1341</v>
      </c>
      <c r="D2275">
        <v>1</v>
      </c>
      <c r="E2275">
        <v>5</v>
      </c>
      <c r="F2275" t="s">
        <v>7</v>
      </c>
      <c r="G2275" t="s">
        <v>11</v>
      </c>
      <c r="H2275" t="s">
        <v>11</v>
      </c>
    </row>
    <row r="2276" spans="1:8" x14ac:dyDescent="0.35">
      <c r="A2276" t="s">
        <v>50</v>
      </c>
      <c r="B2276" t="s">
        <v>81</v>
      </c>
      <c r="C2276" t="s">
        <v>1443</v>
      </c>
      <c r="D2276">
        <v>1</v>
      </c>
      <c r="E2276">
        <v>5</v>
      </c>
      <c r="F2276" t="s">
        <v>7</v>
      </c>
      <c r="G2276" t="s">
        <v>11</v>
      </c>
      <c r="H2276" t="s">
        <v>11</v>
      </c>
    </row>
    <row r="2277" spans="1:8" x14ac:dyDescent="0.35">
      <c r="A2277" t="s">
        <v>50</v>
      </c>
      <c r="B2277" t="s">
        <v>81</v>
      </c>
      <c r="C2277" t="s">
        <v>1343</v>
      </c>
      <c r="D2277">
        <v>2</v>
      </c>
      <c r="E2277">
        <v>5</v>
      </c>
      <c r="F2277" t="s">
        <v>7</v>
      </c>
      <c r="G2277" t="s">
        <v>11</v>
      </c>
      <c r="H2277" t="s">
        <v>11</v>
      </c>
    </row>
    <row r="2278" spans="1:8" x14ac:dyDescent="0.35">
      <c r="A2278" t="s">
        <v>50</v>
      </c>
      <c r="B2278" t="s">
        <v>81</v>
      </c>
      <c r="C2278" t="s">
        <v>2703</v>
      </c>
      <c r="D2278">
        <v>1</v>
      </c>
      <c r="E2278">
        <v>5</v>
      </c>
      <c r="F2278" t="s">
        <v>7</v>
      </c>
      <c r="G2278" t="s">
        <v>11</v>
      </c>
      <c r="H2278" t="s">
        <v>11</v>
      </c>
    </row>
    <row r="2279" spans="1:8" x14ac:dyDescent="0.35">
      <c r="A2279" t="s">
        <v>50</v>
      </c>
      <c r="B2279" t="s">
        <v>81</v>
      </c>
      <c r="C2279" t="s">
        <v>2704</v>
      </c>
      <c r="D2279">
        <v>1</v>
      </c>
      <c r="E2279">
        <v>5</v>
      </c>
      <c r="F2279" t="s">
        <v>7</v>
      </c>
      <c r="G2279" t="s">
        <v>11</v>
      </c>
      <c r="H2279" t="s">
        <v>11</v>
      </c>
    </row>
    <row r="2280" spans="1:8" x14ac:dyDescent="0.35">
      <c r="A2280" t="s">
        <v>50</v>
      </c>
      <c r="B2280" t="s">
        <v>81</v>
      </c>
      <c r="C2280" t="s">
        <v>1348</v>
      </c>
      <c r="D2280">
        <v>2</v>
      </c>
      <c r="E2280">
        <v>5</v>
      </c>
      <c r="F2280" t="s">
        <v>7</v>
      </c>
      <c r="G2280" t="s">
        <v>11</v>
      </c>
      <c r="H2280" t="s">
        <v>11</v>
      </c>
    </row>
    <row r="2281" spans="1:8" x14ac:dyDescent="0.35">
      <c r="A2281" t="s">
        <v>50</v>
      </c>
      <c r="B2281" t="s">
        <v>81</v>
      </c>
      <c r="C2281" t="s">
        <v>2705</v>
      </c>
      <c r="D2281">
        <v>1</v>
      </c>
      <c r="E2281">
        <v>5</v>
      </c>
      <c r="F2281" t="s">
        <v>7</v>
      </c>
      <c r="G2281" t="s">
        <v>11</v>
      </c>
      <c r="H2281" t="s">
        <v>11</v>
      </c>
    </row>
    <row r="2282" spans="1:8" x14ac:dyDescent="0.35">
      <c r="A2282" t="s">
        <v>50</v>
      </c>
      <c r="B2282" t="s">
        <v>81</v>
      </c>
      <c r="C2282" t="s">
        <v>2706</v>
      </c>
      <c r="D2282">
        <v>1</v>
      </c>
      <c r="E2282">
        <v>5</v>
      </c>
      <c r="F2282" t="s">
        <v>7</v>
      </c>
      <c r="G2282" t="s">
        <v>11</v>
      </c>
      <c r="H2282" t="s">
        <v>11</v>
      </c>
    </row>
    <row r="2283" spans="1:8" x14ac:dyDescent="0.35">
      <c r="A2283" t="s">
        <v>50</v>
      </c>
      <c r="B2283" t="s">
        <v>81</v>
      </c>
      <c r="C2283" t="s">
        <v>2404</v>
      </c>
      <c r="D2283">
        <v>1</v>
      </c>
      <c r="E2283">
        <v>5</v>
      </c>
      <c r="F2283" t="s">
        <v>7</v>
      </c>
      <c r="G2283" t="s">
        <v>11</v>
      </c>
      <c r="H2283" t="s">
        <v>11</v>
      </c>
    </row>
    <row r="2284" spans="1:8" x14ac:dyDescent="0.35">
      <c r="A2284" t="s">
        <v>50</v>
      </c>
      <c r="B2284" t="s">
        <v>81</v>
      </c>
      <c r="C2284" t="s">
        <v>1351</v>
      </c>
      <c r="D2284">
        <v>2</v>
      </c>
      <c r="E2284">
        <v>5</v>
      </c>
      <c r="F2284" t="s">
        <v>7</v>
      </c>
      <c r="G2284" t="s">
        <v>11</v>
      </c>
      <c r="H2284" t="s">
        <v>11</v>
      </c>
    </row>
    <row r="2285" spans="1:8" x14ac:dyDescent="0.35">
      <c r="A2285" t="s">
        <v>50</v>
      </c>
      <c r="B2285" t="s">
        <v>81</v>
      </c>
      <c r="C2285" t="s">
        <v>2707</v>
      </c>
      <c r="D2285">
        <v>1</v>
      </c>
      <c r="E2285">
        <v>5</v>
      </c>
      <c r="F2285" t="s">
        <v>7</v>
      </c>
      <c r="G2285" t="s">
        <v>11</v>
      </c>
      <c r="H2285" t="s">
        <v>11</v>
      </c>
    </row>
    <row r="2286" spans="1:8" x14ac:dyDescent="0.35">
      <c r="A2286" t="s">
        <v>50</v>
      </c>
      <c r="B2286" t="s">
        <v>81</v>
      </c>
      <c r="C2286" t="s">
        <v>2708</v>
      </c>
      <c r="D2286">
        <v>1</v>
      </c>
      <c r="E2286">
        <v>5</v>
      </c>
      <c r="F2286" t="s">
        <v>7</v>
      </c>
      <c r="G2286" t="s">
        <v>11</v>
      </c>
      <c r="H2286" t="s">
        <v>11</v>
      </c>
    </row>
    <row r="2287" spans="1:8" x14ac:dyDescent="0.35">
      <c r="A2287" t="s">
        <v>50</v>
      </c>
      <c r="B2287" t="s">
        <v>81</v>
      </c>
      <c r="C2287" t="s">
        <v>2709</v>
      </c>
      <c r="D2287">
        <v>1</v>
      </c>
      <c r="E2287">
        <v>5</v>
      </c>
      <c r="F2287" t="s">
        <v>7</v>
      </c>
      <c r="G2287" t="s">
        <v>11</v>
      </c>
      <c r="H2287" t="s">
        <v>11</v>
      </c>
    </row>
    <row r="2288" spans="1:8" x14ac:dyDescent="0.35">
      <c r="A2288" t="s">
        <v>50</v>
      </c>
      <c r="B2288" t="s">
        <v>81</v>
      </c>
      <c r="C2288" t="s">
        <v>2710</v>
      </c>
      <c r="D2288">
        <v>1</v>
      </c>
      <c r="E2288">
        <v>5</v>
      </c>
      <c r="F2288" t="s">
        <v>7</v>
      </c>
      <c r="G2288" t="s">
        <v>11</v>
      </c>
      <c r="H2288" t="s">
        <v>11</v>
      </c>
    </row>
    <row r="2289" spans="1:8" x14ac:dyDescent="0.35">
      <c r="A2289" t="s">
        <v>50</v>
      </c>
      <c r="B2289" t="s">
        <v>81</v>
      </c>
      <c r="C2289" t="s">
        <v>2711</v>
      </c>
      <c r="D2289">
        <v>2</v>
      </c>
      <c r="E2289">
        <v>6</v>
      </c>
      <c r="F2289" t="s">
        <v>7</v>
      </c>
      <c r="G2289" t="s">
        <v>11</v>
      </c>
      <c r="H2289" t="s">
        <v>11</v>
      </c>
    </row>
    <row r="2290" spans="1:8" x14ac:dyDescent="0.35">
      <c r="A2290" t="s">
        <v>50</v>
      </c>
      <c r="B2290" t="s">
        <v>81</v>
      </c>
      <c r="C2290" t="s">
        <v>1835</v>
      </c>
      <c r="D2290">
        <v>2</v>
      </c>
      <c r="E2290">
        <v>5</v>
      </c>
      <c r="F2290" t="s">
        <v>7</v>
      </c>
      <c r="G2290" t="s">
        <v>11</v>
      </c>
      <c r="H2290" t="s">
        <v>11</v>
      </c>
    </row>
    <row r="2291" spans="1:8" x14ac:dyDescent="0.35">
      <c r="A2291" t="s">
        <v>50</v>
      </c>
      <c r="B2291" t="s">
        <v>81</v>
      </c>
      <c r="C2291" t="s">
        <v>2712</v>
      </c>
      <c r="D2291">
        <v>1</v>
      </c>
      <c r="E2291">
        <v>5</v>
      </c>
      <c r="F2291" t="s">
        <v>7</v>
      </c>
      <c r="G2291" t="s">
        <v>11</v>
      </c>
      <c r="H2291" t="s">
        <v>11</v>
      </c>
    </row>
    <row r="2292" spans="1:8" x14ac:dyDescent="0.35">
      <c r="A2292" t="s">
        <v>50</v>
      </c>
      <c r="B2292" t="s">
        <v>81</v>
      </c>
      <c r="C2292" t="s">
        <v>1361</v>
      </c>
      <c r="D2292">
        <v>1</v>
      </c>
      <c r="E2292">
        <v>5</v>
      </c>
      <c r="F2292" t="s">
        <v>7</v>
      </c>
      <c r="G2292" t="s">
        <v>11</v>
      </c>
      <c r="H2292" t="s">
        <v>11</v>
      </c>
    </row>
    <row r="2293" spans="1:8" x14ac:dyDescent="0.35">
      <c r="A2293" t="s">
        <v>50</v>
      </c>
      <c r="B2293" t="s">
        <v>81</v>
      </c>
      <c r="C2293" t="s">
        <v>1362</v>
      </c>
      <c r="D2293">
        <v>1</v>
      </c>
      <c r="E2293">
        <v>4</v>
      </c>
      <c r="F2293" t="s">
        <v>7</v>
      </c>
      <c r="G2293" t="s">
        <v>11</v>
      </c>
      <c r="H2293" t="s">
        <v>11</v>
      </c>
    </row>
    <row r="2294" spans="1:8" x14ac:dyDescent="0.35">
      <c r="A2294" t="s">
        <v>50</v>
      </c>
      <c r="B2294" t="s">
        <v>81</v>
      </c>
      <c r="C2294" t="s">
        <v>2713</v>
      </c>
      <c r="D2294">
        <v>1</v>
      </c>
      <c r="E2294">
        <v>5</v>
      </c>
      <c r="F2294" t="s">
        <v>7</v>
      </c>
      <c r="G2294" t="s">
        <v>11</v>
      </c>
      <c r="H2294" t="s">
        <v>11</v>
      </c>
    </row>
    <row r="2295" spans="1:8" x14ac:dyDescent="0.35">
      <c r="A2295" t="s">
        <v>50</v>
      </c>
      <c r="B2295" t="s">
        <v>81</v>
      </c>
      <c r="C2295" t="s">
        <v>2544</v>
      </c>
      <c r="D2295">
        <v>1</v>
      </c>
      <c r="E2295">
        <v>5</v>
      </c>
      <c r="F2295" t="s">
        <v>7</v>
      </c>
      <c r="G2295" t="s">
        <v>11</v>
      </c>
      <c r="H2295" t="s">
        <v>11</v>
      </c>
    </row>
    <row r="2296" spans="1:8" x14ac:dyDescent="0.35">
      <c r="A2296" t="s">
        <v>50</v>
      </c>
      <c r="B2296" t="s">
        <v>81</v>
      </c>
      <c r="C2296" t="s">
        <v>2714</v>
      </c>
      <c r="D2296">
        <v>1</v>
      </c>
      <c r="E2296">
        <v>5</v>
      </c>
      <c r="F2296" t="s">
        <v>7</v>
      </c>
      <c r="G2296" t="s">
        <v>11</v>
      </c>
      <c r="H2296" t="s">
        <v>11</v>
      </c>
    </row>
    <row r="2297" spans="1:8" x14ac:dyDescent="0.35">
      <c r="A2297" t="s">
        <v>50</v>
      </c>
      <c r="B2297" t="s">
        <v>81</v>
      </c>
      <c r="C2297" t="s">
        <v>1364</v>
      </c>
      <c r="D2297">
        <v>1</v>
      </c>
      <c r="E2297">
        <v>5</v>
      </c>
      <c r="F2297" t="s">
        <v>7</v>
      </c>
      <c r="G2297" t="s">
        <v>11</v>
      </c>
      <c r="H2297" t="s">
        <v>11</v>
      </c>
    </row>
    <row r="2298" spans="1:8" x14ac:dyDescent="0.35">
      <c r="A2298" t="s">
        <v>50</v>
      </c>
      <c r="B2298" t="s">
        <v>81</v>
      </c>
      <c r="C2298" t="s">
        <v>2715</v>
      </c>
      <c r="D2298">
        <v>3</v>
      </c>
      <c r="E2298">
        <v>4</v>
      </c>
      <c r="F2298" t="s">
        <v>7</v>
      </c>
      <c r="G2298" t="s">
        <v>11</v>
      </c>
      <c r="H2298" t="s">
        <v>11</v>
      </c>
    </row>
    <row r="2299" spans="1:8" x14ac:dyDescent="0.35">
      <c r="A2299" t="s">
        <v>50</v>
      </c>
      <c r="B2299" t="s">
        <v>81</v>
      </c>
      <c r="C2299" t="s">
        <v>1366</v>
      </c>
      <c r="D2299">
        <v>2</v>
      </c>
      <c r="E2299">
        <v>5</v>
      </c>
      <c r="F2299" t="s">
        <v>7</v>
      </c>
      <c r="G2299" t="s">
        <v>11</v>
      </c>
      <c r="H2299" t="s">
        <v>11</v>
      </c>
    </row>
    <row r="2300" spans="1:8" x14ac:dyDescent="0.35">
      <c r="A2300" t="s">
        <v>50</v>
      </c>
      <c r="B2300" t="s">
        <v>81</v>
      </c>
      <c r="C2300" t="s">
        <v>2716</v>
      </c>
      <c r="D2300">
        <v>2</v>
      </c>
      <c r="E2300">
        <v>6</v>
      </c>
      <c r="F2300" t="s">
        <v>7</v>
      </c>
      <c r="G2300" t="s">
        <v>11</v>
      </c>
      <c r="H2300" t="s">
        <v>11</v>
      </c>
    </row>
    <row r="2301" spans="1:8" x14ac:dyDescent="0.35">
      <c r="A2301" t="s">
        <v>50</v>
      </c>
      <c r="B2301" t="s">
        <v>81</v>
      </c>
      <c r="C2301" t="s">
        <v>2717</v>
      </c>
      <c r="D2301">
        <v>1</v>
      </c>
      <c r="E2301">
        <v>5</v>
      </c>
      <c r="F2301" t="s">
        <v>7</v>
      </c>
      <c r="G2301" t="s">
        <v>11</v>
      </c>
      <c r="H2301" t="s">
        <v>11</v>
      </c>
    </row>
    <row r="2302" spans="1:8" x14ac:dyDescent="0.35">
      <c r="A2302" t="s">
        <v>50</v>
      </c>
      <c r="B2302" t="s">
        <v>81</v>
      </c>
      <c r="C2302" t="s">
        <v>2718</v>
      </c>
      <c r="D2302">
        <v>1</v>
      </c>
      <c r="E2302">
        <v>5</v>
      </c>
      <c r="F2302" t="s">
        <v>7</v>
      </c>
      <c r="G2302" t="s">
        <v>11</v>
      </c>
      <c r="H2302" t="s">
        <v>11</v>
      </c>
    </row>
    <row r="2303" spans="1:8" x14ac:dyDescent="0.35">
      <c r="A2303" t="s">
        <v>50</v>
      </c>
      <c r="B2303" t="s">
        <v>81</v>
      </c>
      <c r="C2303" t="s">
        <v>2115</v>
      </c>
      <c r="D2303">
        <v>2</v>
      </c>
      <c r="E2303">
        <v>5</v>
      </c>
      <c r="F2303" t="s">
        <v>7</v>
      </c>
      <c r="G2303" t="s">
        <v>11</v>
      </c>
      <c r="H2303" t="s">
        <v>11</v>
      </c>
    </row>
    <row r="2304" spans="1:8" x14ac:dyDescent="0.35">
      <c r="A2304" t="s">
        <v>50</v>
      </c>
      <c r="B2304" t="s">
        <v>81</v>
      </c>
      <c r="C2304" t="s">
        <v>1885</v>
      </c>
      <c r="D2304">
        <v>1</v>
      </c>
      <c r="E2304">
        <v>5</v>
      </c>
      <c r="F2304" t="s">
        <v>7</v>
      </c>
      <c r="G2304" t="s">
        <v>11</v>
      </c>
      <c r="H2304" t="s">
        <v>11</v>
      </c>
    </row>
    <row r="2305" spans="1:8" x14ac:dyDescent="0.35">
      <c r="A2305" t="s">
        <v>50</v>
      </c>
      <c r="B2305" t="s">
        <v>81</v>
      </c>
      <c r="C2305" t="s">
        <v>2719</v>
      </c>
      <c r="D2305">
        <v>1</v>
      </c>
      <c r="E2305">
        <v>6</v>
      </c>
      <c r="F2305" t="s">
        <v>7</v>
      </c>
      <c r="G2305" t="s">
        <v>11</v>
      </c>
      <c r="H2305" t="s">
        <v>11</v>
      </c>
    </row>
    <row r="2306" spans="1:8" x14ac:dyDescent="0.35">
      <c r="A2306" t="s">
        <v>50</v>
      </c>
      <c r="B2306" t="s">
        <v>81</v>
      </c>
      <c r="C2306" t="s">
        <v>2496</v>
      </c>
      <c r="D2306">
        <v>1</v>
      </c>
      <c r="E2306">
        <v>6</v>
      </c>
      <c r="F2306" t="s">
        <v>7</v>
      </c>
      <c r="G2306" t="s">
        <v>11</v>
      </c>
      <c r="H2306" t="s">
        <v>11</v>
      </c>
    </row>
    <row r="2307" spans="1:8" x14ac:dyDescent="0.35">
      <c r="A2307" t="s">
        <v>50</v>
      </c>
      <c r="B2307" t="s">
        <v>81</v>
      </c>
      <c r="C2307" t="s">
        <v>1476</v>
      </c>
      <c r="D2307">
        <v>1</v>
      </c>
      <c r="E2307">
        <v>5</v>
      </c>
      <c r="F2307" t="s">
        <v>7</v>
      </c>
      <c r="G2307" t="s">
        <v>11</v>
      </c>
      <c r="H2307" t="s">
        <v>11</v>
      </c>
    </row>
    <row r="2308" spans="1:8" x14ac:dyDescent="0.35">
      <c r="A2308" t="s">
        <v>50</v>
      </c>
      <c r="B2308" t="s">
        <v>81</v>
      </c>
      <c r="C2308" t="s">
        <v>2720</v>
      </c>
      <c r="D2308">
        <v>1</v>
      </c>
      <c r="E2308">
        <v>5</v>
      </c>
      <c r="F2308" t="s">
        <v>7</v>
      </c>
      <c r="G2308" t="s">
        <v>11</v>
      </c>
      <c r="H2308" t="s">
        <v>11</v>
      </c>
    </row>
    <row r="2309" spans="1:8" x14ac:dyDescent="0.35">
      <c r="A2309" t="s">
        <v>50</v>
      </c>
      <c r="B2309" t="s">
        <v>81</v>
      </c>
      <c r="C2309" t="s">
        <v>1754</v>
      </c>
      <c r="D2309">
        <v>2</v>
      </c>
      <c r="E2309">
        <v>5</v>
      </c>
      <c r="F2309" t="s">
        <v>7</v>
      </c>
      <c r="G2309" t="s">
        <v>11</v>
      </c>
      <c r="H2309" t="s">
        <v>11</v>
      </c>
    </row>
    <row r="2310" spans="1:8" x14ac:dyDescent="0.35">
      <c r="A2310" t="s">
        <v>50</v>
      </c>
      <c r="B2310" t="s">
        <v>81</v>
      </c>
      <c r="C2310" t="s">
        <v>1376</v>
      </c>
      <c r="D2310">
        <v>2</v>
      </c>
      <c r="E2310">
        <v>5</v>
      </c>
      <c r="F2310" t="s">
        <v>7</v>
      </c>
      <c r="G2310" t="s">
        <v>11</v>
      </c>
      <c r="H2310" t="s">
        <v>11</v>
      </c>
    </row>
    <row r="2311" spans="1:8" x14ac:dyDescent="0.35">
      <c r="A2311" t="s">
        <v>50</v>
      </c>
      <c r="B2311" t="s">
        <v>81</v>
      </c>
      <c r="C2311" t="s">
        <v>1755</v>
      </c>
      <c r="D2311">
        <v>2</v>
      </c>
      <c r="E2311">
        <v>6</v>
      </c>
      <c r="F2311" t="s">
        <v>7</v>
      </c>
      <c r="G2311" t="s">
        <v>11</v>
      </c>
      <c r="H2311" t="s">
        <v>11</v>
      </c>
    </row>
    <row r="2312" spans="1:8" x14ac:dyDescent="0.35">
      <c r="A2312" t="s">
        <v>50</v>
      </c>
      <c r="B2312" t="s">
        <v>81</v>
      </c>
      <c r="C2312" t="s">
        <v>2721</v>
      </c>
      <c r="D2312">
        <v>1</v>
      </c>
      <c r="E2312">
        <v>5</v>
      </c>
      <c r="F2312" t="s">
        <v>7</v>
      </c>
      <c r="G2312" t="s">
        <v>11</v>
      </c>
      <c r="H2312" t="s">
        <v>11</v>
      </c>
    </row>
    <row r="2313" spans="1:8" x14ac:dyDescent="0.35">
      <c r="A2313" t="s">
        <v>50</v>
      </c>
      <c r="B2313" t="s">
        <v>81</v>
      </c>
      <c r="C2313" t="s">
        <v>2500</v>
      </c>
      <c r="D2313">
        <v>1</v>
      </c>
      <c r="E2313">
        <v>5</v>
      </c>
      <c r="F2313" t="s">
        <v>7</v>
      </c>
      <c r="G2313" t="s">
        <v>11</v>
      </c>
      <c r="H2313" t="s">
        <v>11</v>
      </c>
    </row>
    <row r="2314" spans="1:8" x14ac:dyDescent="0.35">
      <c r="A2314" t="s">
        <v>50</v>
      </c>
      <c r="B2314" t="s">
        <v>81</v>
      </c>
      <c r="C2314" t="s">
        <v>2117</v>
      </c>
      <c r="D2314">
        <v>1</v>
      </c>
      <c r="E2314">
        <v>4</v>
      </c>
      <c r="F2314" t="s">
        <v>7</v>
      </c>
      <c r="G2314" t="s">
        <v>11</v>
      </c>
      <c r="H2314" t="s">
        <v>11</v>
      </c>
    </row>
    <row r="2315" spans="1:8" x14ac:dyDescent="0.35">
      <c r="A2315" t="s">
        <v>69</v>
      </c>
      <c r="C2315" t="s">
        <v>2722</v>
      </c>
      <c r="D2315">
        <v>2</v>
      </c>
      <c r="E2315">
        <v>1</v>
      </c>
      <c r="F2315" t="s">
        <v>7</v>
      </c>
      <c r="G2315" t="s">
        <v>115</v>
      </c>
      <c r="H2315" t="s">
        <v>3675</v>
      </c>
    </row>
    <row r="2316" spans="1:8" x14ac:dyDescent="0.35">
      <c r="A2316" t="s">
        <v>51</v>
      </c>
      <c r="B2316" t="s">
        <v>102</v>
      </c>
      <c r="C2316" t="s">
        <v>2137</v>
      </c>
      <c r="D2316">
        <v>3</v>
      </c>
      <c r="E2316">
        <v>5</v>
      </c>
      <c r="F2316" t="s">
        <v>7</v>
      </c>
      <c r="G2316" t="s">
        <v>11</v>
      </c>
      <c r="H2316" t="s">
        <v>11</v>
      </c>
    </row>
    <row r="2317" spans="1:8" x14ac:dyDescent="0.35">
      <c r="A2317" t="s">
        <v>51</v>
      </c>
      <c r="B2317" t="s">
        <v>102</v>
      </c>
      <c r="C2317" t="s">
        <v>1600</v>
      </c>
      <c r="D2317">
        <v>1</v>
      </c>
      <c r="E2317">
        <v>5</v>
      </c>
      <c r="F2317" t="s">
        <v>7</v>
      </c>
      <c r="G2317" t="s">
        <v>11</v>
      </c>
      <c r="H2317" t="s">
        <v>11</v>
      </c>
    </row>
    <row r="2318" spans="1:8" x14ac:dyDescent="0.35">
      <c r="A2318" t="s">
        <v>51</v>
      </c>
      <c r="B2318" t="s">
        <v>102</v>
      </c>
      <c r="C2318" t="s">
        <v>2723</v>
      </c>
      <c r="D2318">
        <v>2</v>
      </c>
      <c r="E2318">
        <v>5</v>
      </c>
      <c r="F2318" t="s">
        <v>7</v>
      </c>
      <c r="G2318" t="s">
        <v>11</v>
      </c>
      <c r="H2318" t="s">
        <v>11</v>
      </c>
    </row>
    <row r="2319" spans="1:8" x14ac:dyDescent="0.35">
      <c r="A2319" t="s">
        <v>51</v>
      </c>
      <c r="B2319" t="s">
        <v>102</v>
      </c>
      <c r="C2319" t="s">
        <v>2724</v>
      </c>
      <c r="D2319">
        <v>2</v>
      </c>
      <c r="E2319">
        <v>5</v>
      </c>
      <c r="F2319" t="s">
        <v>7</v>
      </c>
      <c r="G2319" t="s">
        <v>11</v>
      </c>
      <c r="H2319" t="s">
        <v>11</v>
      </c>
    </row>
    <row r="2320" spans="1:8" x14ac:dyDescent="0.35">
      <c r="A2320" t="s">
        <v>51</v>
      </c>
      <c r="B2320" t="s">
        <v>102</v>
      </c>
      <c r="C2320" t="s">
        <v>1376</v>
      </c>
      <c r="D2320">
        <v>1</v>
      </c>
      <c r="E2320">
        <v>5</v>
      </c>
      <c r="F2320" t="s">
        <v>7</v>
      </c>
      <c r="G2320" t="s">
        <v>11</v>
      </c>
      <c r="H2320" t="s">
        <v>11</v>
      </c>
    </row>
    <row r="2321" spans="1:8" x14ac:dyDescent="0.35">
      <c r="A2321" t="s">
        <v>52</v>
      </c>
      <c r="B2321" t="s">
        <v>118</v>
      </c>
      <c r="C2321" t="s">
        <v>2725</v>
      </c>
      <c r="D2321">
        <v>2</v>
      </c>
      <c r="E2321">
        <v>3</v>
      </c>
      <c r="F2321" t="s">
        <v>7</v>
      </c>
      <c r="G2321" t="s">
        <v>11</v>
      </c>
      <c r="H2321" t="s">
        <v>11</v>
      </c>
    </row>
    <row r="2322" spans="1:8" x14ac:dyDescent="0.35">
      <c r="A2322" t="s">
        <v>52</v>
      </c>
      <c r="B2322" t="s">
        <v>118</v>
      </c>
      <c r="C2322" t="s">
        <v>2726</v>
      </c>
      <c r="D2322">
        <v>3</v>
      </c>
      <c r="E2322">
        <v>3</v>
      </c>
      <c r="F2322" t="s">
        <v>7</v>
      </c>
      <c r="G2322" t="s">
        <v>11</v>
      </c>
      <c r="H2322" t="s">
        <v>11</v>
      </c>
    </row>
    <row r="2323" spans="1:8" x14ac:dyDescent="0.35">
      <c r="A2323" t="s">
        <v>52</v>
      </c>
      <c r="B2323" t="s">
        <v>118</v>
      </c>
      <c r="C2323" t="s">
        <v>2727</v>
      </c>
      <c r="D2323">
        <v>3</v>
      </c>
      <c r="E2323">
        <v>3</v>
      </c>
      <c r="F2323" t="s">
        <v>7</v>
      </c>
      <c r="G2323" t="s">
        <v>115</v>
      </c>
      <c r="H2323" t="s">
        <v>11</v>
      </c>
    </row>
    <row r="2324" spans="1:8" x14ac:dyDescent="0.35">
      <c r="A2324" t="s">
        <v>52</v>
      </c>
      <c r="B2324" t="s">
        <v>118</v>
      </c>
      <c r="C2324" t="s">
        <v>1940</v>
      </c>
      <c r="D2324">
        <v>2</v>
      </c>
      <c r="E2324">
        <v>3</v>
      </c>
      <c r="F2324" t="s">
        <v>7</v>
      </c>
      <c r="G2324" t="s">
        <v>11</v>
      </c>
      <c r="H2324" t="s">
        <v>11</v>
      </c>
    </row>
    <row r="2325" spans="1:8" x14ac:dyDescent="0.35">
      <c r="A2325" t="s">
        <v>52</v>
      </c>
      <c r="B2325" t="s">
        <v>118</v>
      </c>
      <c r="C2325" t="s">
        <v>2728</v>
      </c>
      <c r="D2325">
        <v>3</v>
      </c>
      <c r="E2325">
        <v>3</v>
      </c>
      <c r="F2325" t="s">
        <v>7</v>
      </c>
      <c r="G2325" t="s">
        <v>115</v>
      </c>
      <c r="H2325" t="s">
        <v>11</v>
      </c>
    </row>
    <row r="2326" spans="1:8" x14ac:dyDescent="0.35">
      <c r="A2326" t="s">
        <v>52</v>
      </c>
      <c r="B2326" t="s">
        <v>118</v>
      </c>
      <c r="C2326" t="s">
        <v>2729</v>
      </c>
      <c r="D2326">
        <v>3</v>
      </c>
      <c r="E2326">
        <v>3</v>
      </c>
      <c r="F2326" t="s">
        <v>7</v>
      </c>
      <c r="G2326" t="s">
        <v>115</v>
      </c>
      <c r="H2326" t="s">
        <v>11</v>
      </c>
    </row>
    <row r="2327" spans="1:8" x14ac:dyDescent="0.35">
      <c r="A2327" t="s">
        <v>52</v>
      </c>
      <c r="B2327" t="s">
        <v>118</v>
      </c>
      <c r="C2327" t="s">
        <v>2507</v>
      </c>
      <c r="D2327">
        <v>3</v>
      </c>
      <c r="E2327">
        <v>3</v>
      </c>
      <c r="F2327" t="s">
        <v>7</v>
      </c>
      <c r="G2327" t="s">
        <v>115</v>
      </c>
      <c r="H2327" t="s">
        <v>11</v>
      </c>
    </row>
    <row r="2328" spans="1:8" x14ac:dyDescent="0.35">
      <c r="A2328" t="s">
        <v>52</v>
      </c>
      <c r="B2328" t="s">
        <v>118</v>
      </c>
      <c r="C2328" t="s">
        <v>2730</v>
      </c>
      <c r="D2328">
        <v>3</v>
      </c>
      <c r="E2328">
        <v>3</v>
      </c>
      <c r="F2328" t="s">
        <v>7</v>
      </c>
      <c r="G2328" t="s">
        <v>115</v>
      </c>
      <c r="H2328" t="s">
        <v>11</v>
      </c>
    </row>
    <row r="2329" spans="1:8" x14ac:dyDescent="0.35">
      <c r="A2329" t="s">
        <v>52</v>
      </c>
      <c r="B2329" t="s">
        <v>118</v>
      </c>
      <c r="C2329" t="s">
        <v>1319</v>
      </c>
      <c r="D2329">
        <v>3</v>
      </c>
      <c r="E2329">
        <v>3</v>
      </c>
      <c r="F2329" t="s">
        <v>7</v>
      </c>
      <c r="G2329" t="s">
        <v>11</v>
      </c>
      <c r="H2329" t="s">
        <v>11</v>
      </c>
    </row>
    <row r="2330" spans="1:8" x14ac:dyDescent="0.35">
      <c r="A2330" t="s">
        <v>52</v>
      </c>
      <c r="B2330" t="s">
        <v>118</v>
      </c>
      <c r="C2330" t="s">
        <v>2731</v>
      </c>
      <c r="D2330">
        <v>3</v>
      </c>
      <c r="E2330">
        <v>3</v>
      </c>
      <c r="F2330" t="s">
        <v>7</v>
      </c>
      <c r="G2330" t="s">
        <v>115</v>
      </c>
      <c r="H2330" t="s">
        <v>11</v>
      </c>
    </row>
    <row r="2331" spans="1:8" x14ac:dyDescent="0.35">
      <c r="A2331" t="s">
        <v>52</v>
      </c>
      <c r="B2331" t="s">
        <v>118</v>
      </c>
      <c r="C2331" t="s">
        <v>1321</v>
      </c>
      <c r="D2331">
        <v>2</v>
      </c>
      <c r="E2331">
        <v>3</v>
      </c>
      <c r="F2331" t="s">
        <v>7</v>
      </c>
      <c r="G2331" t="s">
        <v>11</v>
      </c>
      <c r="H2331" t="s">
        <v>11</v>
      </c>
    </row>
    <row r="2332" spans="1:8" x14ac:dyDescent="0.35">
      <c r="A2332" t="s">
        <v>52</v>
      </c>
      <c r="B2332" t="s">
        <v>118</v>
      </c>
      <c r="C2332" t="s">
        <v>2698</v>
      </c>
      <c r="D2332">
        <v>3</v>
      </c>
      <c r="E2332">
        <v>3</v>
      </c>
      <c r="F2332" t="s">
        <v>7</v>
      </c>
      <c r="G2332" t="s">
        <v>11</v>
      </c>
      <c r="H2332" t="s">
        <v>11</v>
      </c>
    </row>
    <row r="2333" spans="1:8" x14ac:dyDescent="0.35">
      <c r="A2333" t="s">
        <v>52</v>
      </c>
      <c r="B2333" t="s">
        <v>118</v>
      </c>
      <c r="C2333" t="s">
        <v>2732</v>
      </c>
      <c r="D2333">
        <v>3</v>
      </c>
      <c r="E2333">
        <v>3</v>
      </c>
      <c r="F2333" t="s">
        <v>7</v>
      </c>
      <c r="G2333" t="s">
        <v>11</v>
      </c>
      <c r="H2333" t="s">
        <v>11</v>
      </c>
    </row>
    <row r="2334" spans="1:8" x14ac:dyDescent="0.35">
      <c r="A2334" t="s">
        <v>52</v>
      </c>
      <c r="B2334" t="s">
        <v>118</v>
      </c>
      <c r="C2334" t="s">
        <v>2733</v>
      </c>
      <c r="D2334">
        <v>3</v>
      </c>
      <c r="E2334">
        <v>3</v>
      </c>
      <c r="F2334" t="s">
        <v>7</v>
      </c>
      <c r="G2334" t="s">
        <v>11</v>
      </c>
      <c r="H2334" t="s">
        <v>11</v>
      </c>
    </row>
    <row r="2335" spans="1:8" x14ac:dyDescent="0.35">
      <c r="A2335" t="s">
        <v>52</v>
      </c>
      <c r="B2335" t="s">
        <v>118</v>
      </c>
      <c r="C2335" t="s">
        <v>2734</v>
      </c>
      <c r="D2335">
        <v>3</v>
      </c>
      <c r="E2335">
        <v>3</v>
      </c>
      <c r="F2335" t="s">
        <v>7</v>
      </c>
      <c r="G2335" t="s">
        <v>115</v>
      </c>
      <c r="H2335" t="s">
        <v>11</v>
      </c>
    </row>
    <row r="2336" spans="1:8" x14ac:dyDescent="0.35">
      <c r="A2336" t="s">
        <v>52</v>
      </c>
      <c r="B2336" t="s">
        <v>118</v>
      </c>
      <c r="C2336" t="s">
        <v>2735</v>
      </c>
      <c r="D2336">
        <v>3</v>
      </c>
      <c r="E2336">
        <v>3</v>
      </c>
      <c r="F2336" t="s">
        <v>7</v>
      </c>
      <c r="G2336" t="s">
        <v>11</v>
      </c>
      <c r="H2336" t="s">
        <v>11</v>
      </c>
    </row>
    <row r="2337" spans="1:8" x14ac:dyDescent="0.35">
      <c r="A2337" t="s">
        <v>52</v>
      </c>
      <c r="B2337" t="s">
        <v>118</v>
      </c>
      <c r="C2337" t="s">
        <v>2736</v>
      </c>
      <c r="D2337">
        <v>3</v>
      </c>
      <c r="E2337">
        <v>3</v>
      </c>
      <c r="F2337" t="s">
        <v>7</v>
      </c>
      <c r="G2337" t="s">
        <v>11</v>
      </c>
      <c r="H2337" t="s">
        <v>11</v>
      </c>
    </row>
    <row r="2338" spans="1:8" x14ac:dyDescent="0.35">
      <c r="A2338" t="s">
        <v>52</v>
      </c>
      <c r="B2338" t="s">
        <v>118</v>
      </c>
      <c r="C2338" t="s">
        <v>2126</v>
      </c>
      <c r="D2338">
        <v>3</v>
      </c>
      <c r="E2338">
        <v>3</v>
      </c>
      <c r="F2338" t="s">
        <v>7</v>
      </c>
      <c r="G2338" t="s">
        <v>115</v>
      </c>
      <c r="H2338" t="s">
        <v>11</v>
      </c>
    </row>
    <row r="2339" spans="1:8" x14ac:dyDescent="0.35">
      <c r="A2339" t="s">
        <v>52</v>
      </c>
      <c r="B2339" t="s">
        <v>118</v>
      </c>
      <c r="C2339" t="s">
        <v>2737</v>
      </c>
      <c r="D2339">
        <v>3</v>
      </c>
      <c r="E2339">
        <v>3</v>
      </c>
      <c r="F2339" t="s">
        <v>7</v>
      </c>
      <c r="G2339" t="s">
        <v>11</v>
      </c>
      <c r="H2339" t="s">
        <v>11</v>
      </c>
    </row>
    <row r="2340" spans="1:8" x14ac:dyDescent="0.35">
      <c r="A2340" t="s">
        <v>52</v>
      </c>
      <c r="B2340" t="s">
        <v>118</v>
      </c>
      <c r="C2340" t="s">
        <v>1592</v>
      </c>
      <c r="D2340">
        <v>3</v>
      </c>
      <c r="E2340">
        <v>3</v>
      </c>
      <c r="F2340" t="s">
        <v>7</v>
      </c>
      <c r="G2340" t="s">
        <v>11</v>
      </c>
      <c r="H2340" t="s">
        <v>11</v>
      </c>
    </row>
    <row r="2341" spans="1:8" x14ac:dyDescent="0.35">
      <c r="A2341" t="s">
        <v>52</v>
      </c>
      <c r="B2341" t="s">
        <v>118</v>
      </c>
      <c r="C2341" t="s">
        <v>2738</v>
      </c>
      <c r="D2341">
        <v>3</v>
      </c>
      <c r="E2341">
        <v>3</v>
      </c>
      <c r="F2341" t="s">
        <v>7</v>
      </c>
      <c r="G2341" t="s">
        <v>11</v>
      </c>
      <c r="H2341" t="s">
        <v>11</v>
      </c>
    </row>
    <row r="2342" spans="1:8" x14ac:dyDescent="0.35">
      <c r="A2342" t="s">
        <v>52</v>
      </c>
      <c r="B2342" t="s">
        <v>118</v>
      </c>
      <c r="C2342" t="s">
        <v>2739</v>
      </c>
      <c r="D2342">
        <v>3</v>
      </c>
      <c r="E2342">
        <v>3</v>
      </c>
      <c r="F2342" t="s">
        <v>7</v>
      </c>
      <c r="G2342" t="s">
        <v>115</v>
      </c>
      <c r="H2342" t="s">
        <v>11</v>
      </c>
    </row>
    <row r="2343" spans="1:8" x14ac:dyDescent="0.35">
      <c r="A2343" t="s">
        <v>52</v>
      </c>
      <c r="B2343" t="s">
        <v>118</v>
      </c>
      <c r="C2343" t="s">
        <v>2740</v>
      </c>
      <c r="D2343">
        <v>1</v>
      </c>
      <c r="E2343">
        <v>3</v>
      </c>
      <c r="F2343" t="s">
        <v>7</v>
      </c>
      <c r="G2343" t="s">
        <v>11</v>
      </c>
      <c r="H2343" t="s">
        <v>11</v>
      </c>
    </row>
    <row r="2344" spans="1:8" x14ac:dyDescent="0.35">
      <c r="A2344" t="s">
        <v>52</v>
      </c>
      <c r="B2344" t="s">
        <v>118</v>
      </c>
      <c r="C2344" t="s">
        <v>1960</v>
      </c>
      <c r="D2344">
        <v>3</v>
      </c>
      <c r="E2344">
        <v>3</v>
      </c>
      <c r="F2344" t="s">
        <v>7</v>
      </c>
      <c r="G2344" t="s">
        <v>11</v>
      </c>
      <c r="H2344" t="s">
        <v>11</v>
      </c>
    </row>
    <row r="2345" spans="1:8" x14ac:dyDescent="0.35">
      <c r="A2345" t="s">
        <v>52</v>
      </c>
      <c r="B2345" t="s">
        <v>118</v>
      </c>
      <c r="C2345" t="s">
        <v>2741</v>
      </c>
      <c r="D2345">
        <v>3</v>
      </c>
      <c r="E2345">
        <v>3</v>
      </c>
      <c r="F2345" t="s">
        <v>7</v>
      </c>
      <c r="G2345" t="s">
        <v>115</v>
      </c>
      <c r="H2345" t="s">
        <v>11</v>
      </c>
    </row>
    <row r="2346" spans="1:8" x14ac:dyDescent="0.35">
      <c r="A2346" t="s">
        <v>52</v>
      </c>
      <c r="B2346" t="s">
        <v>118</v>
      </c>
      <c r="C2346" t="s">
        <v>2742</v>
      </c>
      <c r="D2346">
        <v>3</v>
      </c>
      <c r="E2346">
        <v>3</v>
      </c>
      <c r="F2346" t="s">
        <v>7</v>
      </c>
      <c r="G2346" t="s">
        <v>115</v>
      </c>
      <c r="H2346" t="s">
        <v>11</v>
      </c>
    </row>
    <row r="2347" spans="1:8" x14ac:dyDescent="0.35">
      <c r="A2347" t="s">
        <v>52</v>
      </c>
      <c r="B2347" t="s">
        <v>118</v>
      </c>
      <c r="C2347" t="s">
        <v>1711</v>
      </c>
      <c r="D2347">
        <v>3</v>
      </c>
      <c r="E2347">
        <v>3</v>
      </c>
      <c r="F2347" t="s">
        <v>7</v>
      </c>
      <c r="G2347" t="s">
        <v>115</v>
      </c>
      <c r="H2347" t="s">
        <v>11</v>
      </c>
    </row>
    <row r="2348" spans="1:8" x14ac:dyDescent="0.35">
      <c r="A2348" t="s">
        <v>52</v>
      </c>
      <c r="B2348" t="s">
        <v>118</v>
      </c>
      <c r="C2348" t="s">
        <v>2743</v>
      </c>
      <c r="D2348">
        <v>3</v>
      </c>
      <c r="E2348">
        <v>3</v>
      </c>
      <c r="F2348" t="s">
        <v>7</v>
      </c>
      <c r="G2348" t="s">
        <v>11</v>
      </c>
      <c r="H2348" t="s">
        <v>11</v>
      </c>
    </row>
    <row r="2349" spans="1:8" x14ac:dyDescent="0.35">
      <c r="A2349" t="s">
        <v>52</v>
      </c>
      <c r="B2349" t="s">
        <v>118</v>
      </c>
      <c r="C2349" t="s">
        <v>2404</v>
      </c>
      <c r="D2349">
        <v>3</v>
      </c>
      <c r="E2349">
        <v>3</v>
      </c>
      <c r="F2349" t="s">
        <v>7</v>
      </c>
      <c r="G2349" t="s">
        <v>11</v>
      </c>
      <c r="H2349" t="s">
        <v>11</v>
      </c>
    </row>
    <row r="2350" spans="1:8" x14ac:dyDescent="0.35">
      <c r="A2350" t="s">
        <v>52</v>
      </c>
      <c r="B2350" t="s">
        <v>118</v>
      </c>
      <c r="C2350" t="s">
        <v>1716</v>
      </c>
      <c r="D2350">
        <v>2</v>
      </c>
      <c r="E2350">
        <v>3</v>
      </c>
      <c r="F2350" t="s">
        <v>7</v>
      </c>
      <c r="G2350" t="s">
        <v>11</v>
      </c>
      <c r="H2350" t="s">
        <v>11</v>
      </c>
    </row>
    <row r="2351" spans="1:8" x14ac:dyDescent="0.35">
      <c r="A2351" t="s">
        <v>52</v>
      </c>
      <c r="B2351" t="s">
        <v>118</v>
      </c>
      <c r="C2351" t="s">
        <v>1352</v>
      </c>
      <c r="D2351">
        <v>3</v>
      </c>
      <c r="E2351">
        <v>3</v>
      </c>
      <c r="F2351" t="s">
        <v>7</v>
      </c>
      <c r="G2351" t="s">
        <v>11</v>
      </c>
      <c r="H2351" t="s">
        <v>11</v>
      </c>
    </row>
    <row r="2352" spans="1:8" x14ac:dyDescent="0.35">
      <c r="A2352" t="s">
        <v>52</v>
      </c>
      <c r="B2352" t="s">
        <v>118</v>
      </c>
      <c r="C2352" t="s">
        <v>2744</v>
      </c>
      <c r="D2352">
        <v>3</v>
      </c>
      <c r="E2352">
        <v>3</v>
      </c>
      <c r="F2352" t="s">
        <v>7</v>
      </c>
      <c r="G2352" t="s">
        <v>11</v>
      </c>
      <c r="H2352" t="s">
        <v>11</v>
      </c>
    </row>
    <row r="2353" spans="1:8" x14ac:dyDescent="0.35">
      <c r="A2353" t="s">
        <v>52</v>
      </c>
      <c r="B2353" t="s">
        <v>118</v>
      </c>
      <c r="C2353" t="s">
        <v>1358</v>
      </c>
      <c r="D2353">
        <v>3</v>
      </c>
      <c r="E2353">
        <v>3</v>
      </c>
      <c r="F2353" t="s">
        <v>7</v>
      </c>
      <c r="G2353" t="s">
        <v>11</v>
      </c>
      <c r="H2353" t="s">
        <v>11</v>
      </c>
    </row>
    <row r="2354" spans="1:8" x14ac:dyDescent="0.35">
      <c r="A2354" t="s">
        <v>52</v>
      </c>
      <c r="B2354" t="s">
        <v>118</v>
      </c>
      <c r="C2354" t="s">
        <v>2745</v>
      </c>
      <c r="D2354">
        <v>3</v>
      </c>
      <c r="E2354">
        <v>3</v>
      </c>
      <c r="F2354" t="s">
        <v>7</v>
      </c>
      <c r="G2354" t="s">
        <v>11</v>
      </c>
      <c r="H2354" t="s">
        <v>11</v>
      </c>
    </row>
    <row r="2355" spans="1:8" x14ac:dyDescent="0.35">
      <c r="A2355" t="s">
        <v>52</v>
      </c>
      <c r="B2355" t="s">
        <v>118</v>
      </c>
      <c r="C2355" t="s">
        <v>2746</v>
      </c>
      <c r="D2355">
        <v>3</v>
      </c>
      <c r="E2355">
        <v>3</v>
      </c>
      <c r="F2355" t="s">
        <v>7</v>
      </c>
      <c r="G2355" t="s">
        <v>11</v>
      </c>
      <c r="H2355" t="s">
        <v>11</v>
      </c>
    </row>
    <row r="2356" spans="1:8" x14ac:dyDescent="0.35">
      <c r="A2356" t="s">
        <v>52</v>
      </c>
      <c r="B2356" t="s">
        <v>118</v>
      </c>
      <c r="C2356" t="s">
        <v>2747</v>
      </c>
      <c r="D2356">
        <v>3</v>
      </c>
      <c r="E2356">
        <v>3</v>
      </c>
      <c r="F2356" t="s">
        <v>7</v>
      </c>
      <c r="G2356" t="s">
        <v>11</v>
      </c>
      <c r="H2356" t="s">
        <v>11</v>
      </c>
    </row>
    <row r="2357" spans="1:8" x14ac:dyDescent="0.35">
      <c r="A2357" t="s">
        <v>52</v>
      </c>
      <c r="B2357" t="s">
        <v>118</v>
      </c>
      <c r="C2357" t="s">
        <v>1725</v>
      </c>
      <c r="D2357">
        <v>2</v>
      </c>
      <c r="E2357">
        <v>3</v>
      </c>
      <c r="F2357" t="s">
        <v>7</v>
      </c>
      <c r="G2357" t="s">
        <v>11</v>
      </c>
      <c r="H2357" t="s">
        <v>11</v>
      </c>
    </row>
    <row r="2358" spans="1:8" x14ac:dyDescent="0.35">
      <c r="A2358" t="s">
        <v>52</v>
      </c>
      <c r="B2358" t="s">
        <v>118</v>
      </c>
      <c r="C2358" t="s">
        <v>2748</v>
      </c>
      <c r="D2358">
        <v>3</v>
      </c>
      <c r="E2358">
        <v>3</v>
      </c>
      <c r="F2358" t="s">
        <v>7</v>
      </c>
      <c r="G2358" t="s">
        <v>11</v>
      </c>
      <c r="H2358" t="s">
        <v>11</v>
      </c>
    </row>
    <row r="2359" spans="1:8" x14ac:dyDescent="0.35">
      <c r="A2359" t="s">
        <v>52</v>
      </c>
      <c r="B2359" t="s">
        <v>118</v>
      </c>
      <c r="C2359" t="s">
        <v>1365</v>
      </c>
      <c r="D2359">
        <v>2</v>
      </c>
      <c r="E2359">
        <v>3</v>
      </c>
      <c r="F2359" t="s">
        <v>7</v>
      </c>
      <c r="G2359" t="s">
        <v>11</v>
      </c>
      <c r="H2359" t="s">
        <v>11</v>
      </c>
    </row>
    <row r="2360" spans="1:8" x14ac:dyDescent="0.35">
      <c r="A2360" t="s">
        <v>52</v>
      </c>
      <c r="B2360" t="s">
        <v>118</v>
      </c>
      <c r="C2360" t="s">
        <v>1840</v>
      </c>
      <c r="D2360">
        <v>3</v>
      </c>
      <c r="E2360">
        <v>3</v>
      </c>
      <c r="F2360" t="s">
        <v>7</v>
      </c>
      <c r="G2360" t="s">
        <v>11</v>
      </c>
      <c r="H2360" t="s">
        <v>11</v>
      </c>
    </row>
    <row r="2361" spans="1:8" x14ac:dyDescent="0.35">
      <c r="A2361" t="s">
        <v>52</v>
      </c>
      <c r="B2361" t="s">
        <v>118</v>
      </c>
      <c r="C2361" t="s">
        <v>2749</v>
      </c>
      <c r="D2361">
        <v>3</v>
      </c>
      <c r="E2361">
        <v>3</v>
      </c>
      <c r="F2361" t="s">
        <v>7</v>
      </c>
      <c r="G2361" t="s">
        <v>11</v>
      </c>
      <c r="H2361" t="s">
        <v>11</v>
      </c>
    </row>
    <row r="2362" spans="1:8" x14ac:dyDescent="0.35">
      <c r="A2362" t="s">
        <v>52</v>
      </c>
      <c r="B2362" t="s">
        <v>118</v>
      </c>
      <c r="C2362" t="s">
        <v>2750</v>
      </c>
      <c r="D2362">
        <v>2</v>
      </c>
      <c r="E2362">
        <v>3</v>
      </c>
      <c r="F2362" t="s">
        <v>7</v>
      </c>
      <c r="G2362" t="s">
        <v>11</v>
      </c>
      <c r="H2362" t="s">
        <v>11</v>
      </c>
    </row>
    <row r="2363" spans="1:8" x14ac:dyDescent="0.35">
      <c r="A2363" t="s">
        <v>52</v>
      </c>
      <c r="B2363" t="s">
        <v>118</v>
      </c>
      <c r="C2363" t="s">
        <v>1371</v>
      </c>
      <c r="D2363">
        <v>3</v>
      </c>
      <c r="E2363">
        <v>3</v>
      </c>
      <c r="F2363" t="s">
        <v>7</v>
      </c>
      <c r="G2363" t="s">
        <v>11</v>
      </c>
      <c r="H2363" t="s">
        <v>11</v>
      </c>
    </row>
    <row r="2364" spans="1:8" x14ac:dyDescent="0.35">
      <c r="A2364" t="s">
        <v>52</v>
      </c>
      <c r="B2364" t="s">
        <v>118</v>
      </c>
      <c r="C2364" t="s">
        <v>1476</v>
      </c>
      <c r="D2364">
        <v>3</v>
      </c>
      <c r="E2364">
        <v>3</v>
      </c>
      <c r="F2364" t="s">
        <v>7</v>
      </c>
      <c r="G2364" t="s">
        <v>11</v>
      </c>
      <c r="H2364" t="s">
        <v>11</v>
      </c>
    </row>
    <row r="2365" spans="1:8" x14ac:dyDescent="0.35">
      <c r="A2365" t="s">
        <v>52</v>
      </c>
      <c r="B2365" t="s">
        <v>118</v>
      </c>
      <c r="C2365" t="s">
        <v>2751</v>
      </c>
      <c r="D2365">
        <v>3</v>
      </c>
      <c r="E2365">
        <v>3</v>
      </c>
      <c r="F2365" t="s">
        <v>7</v>
      </c>
      <c r="G2365" t="s">
        <v>11</v>
      </c>
      <c r="H2365" t="s">
        <v>11</v>
      </c>
    </row>
    <row r="2366" spans="1:8" x14ac:dyDescent="0.35">
      <c r="A2366" t="s">
        <v>52</v>
      </c>
      <c r="B2366" t="s">
        <v>118</v>
      </c>
      <c r="C2366" t="s">
        <v>2117</v>
      </c>
      <c r="D2366">
        <v>2</v>
      </c>
      <c r="E2366">
        <v>3</v>
      </c>
      <c r="F2366" t="s">
        <v>7</v>
      </c>
      <c r="G2366" t="s">
        <v>11</v>
      </c>
      <c r="H2366" t="s">
        <v>11</v>
      </c>
    </row>
    <row r="2367" spans="1:8" x14ac:dyDescent="0.35">
      <c r="A2367" t="s">
        <v>53</v>
      </c>
      <c r="B2367" t="s">
        <v>82</v>
      </c>
      <c r="C2367" t="s">
        <v>2752</v>
      </c>
      <c r="D2367">
        <v>1</v>
      </c>
      <c r="E2367">
        <v>6</v>
      </c>
      <c r="F2367" t="s">
        <v>7</v>
      </c>
      <c r="G2367" t="s">
        <v>11</v>
      </c>
      <c r="H2367" t="s">
        <v>11</v>
      </c>
    </row>
    <row r="2368" spans="1:8" x14ac:dyDescent="0.35">
      <c r="A2368" t="s">
        <v>53</v>
      </c>
      <c r="B2368" t="s">
        <v>82</v>
      </c>
      <c r="C2368" t="s">
        <v>2753</v>
      </c>
      <c r="D2368">
        <v>1</v>
      </c>
      <c r="E2368">
        <v>6</v>
      </c>
      <c r="F2368" t="s">
        <v>7</v>
      </c>
      <c r="G2368" t="s">
        <v>11</v>
      </c>
      <c r="H2368" t="s">
        <v>11</v>
      </c>
    </row>
    <row r="2369" spans="1:8" x14ac:dyDescent="0.35">
      <c r="A2369" t="s">
        <v>53</v>
      </c>
      <c r="B2369" t="s">
        <v>82</v>
      </c>
      <c r="C2369" t="s">
        <v>2754</v>
      </c>
      <c r="D2369">
        <v>2</v>
      </c>
      <c r="E2369">
        <v>5</v>
      </c>
      <c r="F2369" t="s">
        <v>7</v>
      </c>
      <c r="G2369" t="s">
        <v>11</v>
      </c>
      <c r="H2369" t="s">
        <v>11</v>
      </c>
    </row>
    <row r="2370" spans="1:8" x14ac:dyDescent="0.35">
      <c r="A2370" t="s">
        <v>53</v>
      </c>
      <c r="B2370" t="s">
        <v>82</v>
      </c>
      <c r="C2370" t="s">
        <v>2755</v>
      </c>
      <c r="D2370">
        <v>1</v>
      </c>
      <c r="E2370">
        <v>5</v>
      </c>
      <c r="F2370" t="s">
        <v>7</v>
      </c>
      <c r="G2370" t="s">
        <v>11</v>
      </c>
      <c r="H2370" t="s">
        <v>11</v>
      </c>
    </row>
    <row r="2371" spans="1:8" x14ac:dyDescent="0.35">
      <c r="A2371" t="s">
        <v>53</v>
      </c>
      <c r="B2371" t="s">
        <v>82</v>
      </c>
      <c r="C2371" t="s">
        <v>2756</v>
      </c>
      <c r="D2371">
        <v>1</v>
      </c>
      <c r="E2371">
        <v>6</v>
      </c>
      <c r="F2371" t="s">
        <v>7</v>
      </c>
      <c r="G2371" t="s">
        <v>11</v>
      </c>
      <c r="H2371" t="s">
        <v>11</v>
      </c>
    </row>
    <row r="2372" spans="1:8" x14ac:dyDescent="0.35">
      <c r="A2372" t="s">
        <v>53</v>
      </c>
      <c r="B2372" t="s">
        <v>82</v>
      </c>
      <c r="C2372" t="s">
        <v>1802</v>
      </c>
      <c r="D2372">
        <v>1</v>
      </c>
      <c r="E2372">
        <v>6</v>
      </c>
      <c r="F2372" t="s">
        <v>7</v>
      </c>
      <c r="G2372" t="s">
        <v>11</v>
      </c>
      <c r="H2372" t="s">
        <v>11</v>
      </c>
    </row>
    <row r="2373" spans="1:8" x14ac:dyDescent="0.35">
      <c r="A2373" t="s">
        <v>53</v>
      </c>
      <c r="B2373" t="s">
        <v>82</v>
      </c>
      <c r="C2373" t="s">
        <v>2757</v>
      </c>
      <c r="D2373">
        <v>1</v>
      </c>
      <c r="E2373">
        <v>6</v>
      </c>
      <c r="F2373" t="s">
        <v>7</v>
      </c>
      <c r="G2373" t="s">
        <v>11</v>
      </c>
      <c r="H2373" t="s">
        <v>11</v>
      </c>
    </row>
    <row r="2374" spans="1:8" x14ac:dyDescent="0.35">
      <c r="A2374" t="s">
        <v>53</v>
      </c>
      <c r="B2374" t="s">
        <v>82</v>
      </c>
      <c r="C2374" t="s">
        <v>2383</v>
      </c>
      <c r="D2374">
        <v>1</v>
      </c>
      <c r="E2374">
        <v>6</v>
      </c>
      <c r="F2374" t="s">
        <v>7</v>
      </c>
      <c r="G2374" t="s">
        <v>11</v>
      </c>
      <c r="H2374" t="s">
        <v>11</v>
      </c>
    </row>
    <row r="2375" spans="1:8" x14ac:dyDescent="0.35">
      <c r="A2375" t="s">
        <v>53</v>
      </c>
      <c r="B2375" t="s">
        <v>82</v>
      </c>
      <c r="C2375" t="s">
        <v>1484</v>
      </c>
      <c r="D2375">
        <v>2</v>
      </c>
      <c r="E2375">
        <v>6</v>
      </c>
      <c r="F2375" t="s">
        <v>7</v>
      </c>
      <c r="G2375" t="s">
        <v>11</v>
      </c>
      <c r="H2375" t="s">
        <v>11</v>
      </c>
    </row>
    <row r="2376" spans="1:8" x14ac:dyDescent="0.35">
      <c r="A2376" t="s">
        <v>53</v>
      </c>
      <c r="B2376" t="s">
        <v>82</v>
      </c>
      <c r="C2376" t="s">
        <v>2019</v>
      </c>
      <c r="D2376">
        <v>1</v>
      </c>
      <c r="E2376">
        <v>6</v>
      </c>
      <c r="F2376" t="s">
        <v>7</v>
      </c>
      <c r="G2376" t="s">
        <v>11</v>
      </c>
      <c r="H2376" t="s">
        <v>11</v>
      </c>
    </row>
    <row r="2377" spans="1:8" x14ac:dyDescent="0.35">
      <c r="A2377" t="s">
        <v>53</v>
      </c>
      <c r="B2377" t="s">
        <v>82</v>
      </c>
      <c r="C2377" t="s">
        <v>2758</v>
      </c>
      <c r="D2377">
        <v>1</v>
      </c>
      <c r="E2377">
        <v>5</v>
      </c>
      <c r="F2377" t="s">
        <v>7</v>
      </c>
      <c r="G2377" t="s">
        <v>11</v>
      </c>
      <c r="H2377" t="s">
        <v>11</v>
      </c>
    </row>
    <row r="2378" spans="1:8" x14ac:dyDescent="0.35">
      <c r="A2378" t="s">
        <v>53</v>
      </c>
      <c r="B2378" t="s">
        <v>82</v>
      </c>
      <c r="C2378" t="s">
        <v>1432</v>
      </c>
      <c r="D2378">
        <v>1</v>
      </c>
      <c r="E2378">
        <v>6</v>
      </c>
      <c r="F2378" t="s">
        <v>7</v>
      </c>
      <c r="G2378" t="s">
        <v>11</v>
      </c>
      <c r="H2378" t="s">
        <v>11</v>
      </c>
    </row>
    <row r="2379" spans="1:8" x14ac:dyDescent="0.35">
      <c r="A2379" t="s">
        <v>53</v>
      </c>
      <c r="B2379" t="s">
        <v>82</v>
      </c>
      <c r="C2379" t="s">
        <v>1325</v>
      </c>
      <c r="D2379">
        <v>1</v>
      </c>
      <c r="E2379">
        <v>5</v>
      </c>
      <c r="F2379" t="s">
        <v>7</v>
      </c>
      <c r="G2379" t="s">
        <v>11</v>
      </c>
      <c r="H2379" t="s">
        <v>11</v>
      </c>
    </row>
    <row r="2380" spans="1:8" x14ac:dyDescent="0.35">
      <c r="A2380" t="s">
        <v>53</v>
      </c>
      <c r="B2380" t="s">
        <v>82</v>
      </c>
      <c r="C2380" t="s">
        <v>2759</v>
      </c>
      <c r="D2380">
        <v>1</v>
      </c>
      <c r="E2380">
        <v>6</v>
      </c>
      <c r="F2380" t="s">
        <v>7</v>
      </c>
      <c r="G2380" t="s">
        <v>11</v>
      </c>
      <c r="H2380" t="s">
        <v>11</v>
      </c>
    </row>
    <row r="2381" spans="1:8" x14ac:dyDescent="0.35">
      <c r="A2381" t="s">
        <v>53</v>
      </c>
      <c r="B2381" t="s">
        <v>82</v>
      </c>
      <c r="C2381" t="s">
        <v>2760</v>
      </c>
      <c r="D2381">
        <v>1</v>
      </c>
      <c r="E2381">
        <v>6</v>
      </c>
      <c r="F2381" t="s">
        <v>7</v>
      </c>
      <c r="G2381" t="s">
        <v>11</v>
      </c>
      <c r="H2381" t="s">
        <v>11</v>
      </c>
    </row>
    <row r="2382" spans="1:8" x14ac:dyDescent="0.35">
      <c r="A2382" t="s">
        <v>53</v>
      </c>
      <c r="B2382" t="s">
        <v>82</v>
      </c>
      <c r="C2382" t="s">
        <v>1551</v>
      </c>
      <c r="D2382">
        <v>2</v>
      </c>
      <c r="E2382">
        <v>6</v>
      </c>
      <c r="F2382" t="s">
        <v>7</v>
      </c>
      <c r="G2382" t="s">
        <v>11</v>
      </c>
      <c r="H2382" t="s">
        <v>11</v>
      </c>
    </row>
    <row r="2383" spans="1:8" x14ac:dyDescent="0.35">
      <c r="A2383" t="s">
        <v>53</v>
      </c>
      <c r="B2383" t="s">
        <v>82</v>
      </c>
      <c r="C2383" t="s">
        <v>2761</v>
      </c>
      <c r="D2383">
        <v>1</v>
      </c>
      <c r="E2383">
        <v>6</v>
      </c>
      <c r="F2383" t="s">
        <v>7</v>
      </c>
      <c r="G2383" t="s">
        <v>11</v>
      </c>
      <c r="H2383" t="s">
        <v>11</v>
      </c>
    </row>
    <row r="2384" spans="1:8" x14ac:dyDescent="0.35">
      <c r="A2384" t="s">
        <v>53</v>
      </c>
      <c r="B2384" t="s">
        <v>82</v>
      </c>
      <c r="C2384" t="s">
        <v>2762</v>
      </c>
      <c r="D2384">
        <v>1</v>
      </c>
      <c r="E2384">
        <v>6</v>
      </c>
      <c r="F2384" t="s">
        <v>7</v>
      </c>
      <c r="G2384" t="s">
        <v>11</v>
      </c>
      <c r="H2384" t="s">
        <v>11</v>
      </c>
    </row>
    <row r="2385" spans="1:8" x14ac:dyDescent="0.35">
      <c r="A2385" t="s">
        <v>53</v>
      </c>
      <c r="B2385" t="s">
        <v>82</v>
      </c>
      <c r="C2385" t="s">
        <v>2389</v>
      </c>
      <c r="D2385">
        <v>1</v>
      </c>
      <c r="E2385">
        <v>6</v>
      </c>
      <c r="F2385" t="s">
        <v>7</v>
      </c>
      <c r="G2385" t="s">
        <v>11</v>
      </c>
      <c r="H2385" t="s">
        <v>11</v>
      </c>
    </row>
    <row r="2386" spans="1:8" x14ac:dyDescent="0.35">
      <c r="A2386" t="s">
        <v>53</v>
      </c>
      <c r="B2386" t="s">
        <v>82</v>
      </c>
      <c r="C2386" t="s">
        <v>2643</v>
      </c>
      <c r="D2386">
        <v>2</v>
      </c>
      <c r="E2386">
        <v>6</v>
      </c>
      <c r="F2386" t="s">
        <v>7</v>
      </c>
      <c r="G2386" t="s">
        <v>11</v>
      </c>
      <c r="H2386" t="s">
        <v>11</v>
      </c>
    </row>
    <row r="2387" spans="1:8" x14ac:dyDescent="0.35">
      <c r="A2387" t="s">
        <v>53</v>
      </c>
      <c r="B2387" t="s">
        <v>82</v>
      </c>
      <c r="C2387" t="s">
        <v>1555</v>
      </c>
      <c r="D2387">
        <v>1</v>
      </c>
      <c r="E2387">
        <v>5</v>
      </c>
      <c r="F2387" t="s">
        <v>7</v>
      </c>
      <c r="G2387" t="s">
        <v>11</v>
      </c>
      <c r="H2387" t="s">
        <v>11</v>
      </c>
    </row>
    <row r="2388" spans="1:8" x14ac:dyDescent="0.35">
      <c r="A2388" t="s">
        <v>53</v>
      </c>
      <c r="B2388" t="s">
        <v>82</v>
      </c>
      <c r="C2388" t="s">
        <v>2763</v>
      </c>
      <c r="D2388">
        <v>1</v>
      </c>
      <c r="E2388">
        <v>6</v>
      </c>
      <c r="F2388" t="s">
        <v>7</v>
      </c>
      <c r="G2388" t="s">
        <v>11</v>
      </c>
      <c r="H2388" t="s">
        <v>11</v>
      </c>
    </row>
    <row r="2389" spans="1:8" x14ac:dyDescent="0.35">
      <c r="A2389" t="s">
        <v>53</v>
      </c>
      <c r="B2389" t="s">
        <v>82</v>
      </c>
      <c r="C2389" t="s">
        <v>2764</v>
      </c>
      <c r="D2389">
        <v>2</v>
      </c>
      <c r="E2389">
        <v>6</v>
      </c>
      <c r="F2389" t="s">
        <v>7</v>
      </c>
      <c r="G2389" t="s">
        <v>11</v>
      </c>
      <c r="H2389" t="s">
        <v>11</v>
      </c>
    </row>
    <row r="2390" spans="1:8" x14ac:dyDescent="0.35">
      <c r="A2390" t="s">
        <v>53</v>
      </c>
      <c r="B2390" t="s">
        <v>82</v>
      </c>
      <c r="C2390" t="s">
        <v>2765</v>
      </c>
      <c r="D2390">
        <v>1</v>
      </c>
      <c r="E2390">
        <v>6</v>
      </c>
      <c r="F2390" t="s">
        <v>7</v>
      </c>
      <c r="G2390" t="s">
        <v>11</v>
      </c>
      <c r="H2390" t="s">
        <v>11</v>
      </c>
    </row>
    <row r="2391" spans="1:8" x14ac:dyDescent="0.35">
      <c r="A2391" t="s">
        <v>53</v>
      </c>
      <c r="B2391" t="s">
        <v>82</v>
      </c>
      <c r="C2391" t="s">
        <v>1445</v>
      </c>
      <c r="D2391">
        <v>1</v>
      </c>
      <c r="E2391">
        <v>6</v>
      </c>
      <c r="F2391" t="s">
        <v>7</v>
      </c>
      <c r="G2391" t="s">
        <v>11</v>
      </c>
      <c r="H2391" t="s">
        <v>11</v>
      </c>
    </row>
    <row r="2392" spans="1:8" x14ac:dyDescent="0.35">
      <c r="A2392" t="s">
        <v>53</v>
      </c>
      <c r="B2392" t="s">
        <v>82</v>
      </c>
      <c r="C2392" t="s">
        <v>2766</v>
      </c>
      <c r="D2392">
        <v>2</v>
      </c>
      <c r="E2392">
        <v>5</v>
      </c>
      <c r="F2392" t="s">
        <v>7</v>
      </c>
      <c r="G2392" t="s">
        <v>11</v>
      </c>
      <c r="H2392" t="s">
        <v>11</v>
      </c>
    </row>
    <row r="2393" spans="1:8" x14ac:dyDescent="0.35">
      <c r="A2393" t="s">
        <v>53</v>
      </c>
      <c r="B2393" t="s">
        <v>82</v>
      </c>
      <c r="C2393" t="s">
        <v>2767</v>
      </c>
      <c r="D2393">
        <v>2</v>
      </c>
      <c r="E2393">
        <v>6</v>
      </c>
      <c r="F2393" t="s">
        <v>7</v>
      </c>
      <c r="G2393" t="s">
        <v>11</v>
      </c>
      <c r="H2393" t="s">
        <v>11</v>
      </c>
    </row>
    <row r="2394" spans="1:8" x14ac:dyDescent="0.35">
      <c r="A2394" t="s">
        <v>53</v>
      </c>
      <c r="B2394" t="s">
        <v>82</v>
      </c>
      <c r="C2394" t="s">
        <v>2768</v>
      </c>
      <c r="D2394">
        <v>1</v>
      </c>
      <c r="E2394">
        <v>6</v>
      </c>
      <c r="F2394" t="s">
        <v>7</v>
      </c>
      <c r="G2394" t="s">
        <v>11</v>
      </c>
      <c r="H2394" t="s">
        <v>11</v>
      </c>
    </row>
    <row r="2395" spans="1:8" x14ac:dyDescent="0.35">
      <c r="A2395" t="s">
        <v>53</v>
      </c>
      <c r="B2395" t="s">
        <v>82</v>
      </c>
      <c r="C2395" t="s">
        <v>2769</v>
      </c>
      <c r="D2395">
        <v>1</v>
      </c>
      <c r="E2395">
        <v>6</v>
      </c>
      <c r="F2395" t="s">
        <v>7</v>
      </c>
      <c r="G2395" t="s">
        <v>11</v>
      </c>
      <c r="H2395" t="s">
        <v>11</v>
      </c>
    </row>
    <row r="2396" spans="1:8" x14ac:dyDescent="0.35">
      <c r="A2396" t="s">
        <v>53</v>
      </c>
      <c r="B2396" t="s">
        <v>82</v>
      </c>
      <c r="C2396" t="s">
        <v>2770</v>
      </c>
      <c r="D2396">
        <v>1</v>
      </c>
      <c r="E2396">
        <v>6</v>
      </c>
      <c r="F2396" t="s">
        <v>7</v>
      </c>
      <c r="G2396" t="s">
        <v>11</v>
      </c>
      <c r="H2396" t="s">
        <v>11</v>
      </c>
    </row>
    <row r="2397" spans="1:8" x14ac:dyDescent="0.35">
      <c r="A2397" t="s">
        <v>53</v>
      </c>
      <c r="B2397" t="s">
        <v>82</v>
      </c>
      <c r="C2397" t="s">
        <v>2457</v>
      </c>
      <c r="D2397">
        <v>2</v>
      </c>
      <c r="E2397">
        <v>6</v>
      </c>
      <c r="F2397" t="s">
        <v>7</v>
      </c>
      <c r="G2397" t="s">
        <v>11</v>
      </c>
      <c r="H2397" t="s">
        <v>11</v>
      </c>
    </row>
    <row r="2398" spans="1:8" x14ac:dyDescent="0.35">
      <c r="A2398" t="s">
        <v>53</v>
      </c>
      <c r="B2398" t="s">
        <v>82</v>
      </c>
      <c r="C2398" t="s">
        <v>2647</v>
      </c>
      <c r="D2398">
        <v>1</v>
      </c>
      <c r="E2398">
        <v>6</v>
      </c>
      <c r="F2398" t="s">
        <v>7</v>
      </c>
      <c r="G2398" t="s">
        <v>11</v>
      </c>
      <c r="H2398" t="s">
        <v>11</v>
      </c>
    </row>
    <row r="2399" spans="1:8" x14ac:dyDescent="0.35">
      <c r="A2399" t="s">
        <v>53</v>
      </c>
      <c r="B2399" t="s">
        <v>82</v>
      </c>
      <c r="C2399" t="s">
        <v>2771</v>
      </c>
      <c r="D2399">
        <v>1</v>
      </c>
      <c r="E2399">
        <v>5</v>
      </c>
      <c r="F2399" t="s">
        <v>7</v>
      </c>
      <c r="G2399" t="s">
        <v>11</v>
      </c>
      <c r="H2399" t="s">
        <v>11</v>
      </c>
    </row>
    <row r="2400" spans="1:8" x14ac:dyDescent="0.35">
      <c r="A2400" t="s">
        <v>53</v>
      </c>
      <c r="B2400" t="s">
        <v>82</v>
      </c>
      <c r="C2400" t="s">
        <v>2535</v>
      </c>
      <c r="D2400">
        <v>1</v>
      </c>
      <c r="E2400">
        <v>6</v>
      </c>
      <c r="F2400" t="s">
        <v>7</v>
      </c>
      <c r="G2400" t="s">
        <v>11</v>
      </c>
      <c r="H2400" t="s">
        <v>11</v>
      </c>
    </row>
    <row r="2401" spans="1:8" x14ac:dyDescent="0.35">
      <c r="A2401" t="s">
        <v>53</v>
      </c>
      <c r="B2401" t="s">
        <v>82</v>
      </c>
      <c r="C2401" t="s">
        <v>1347</v>
      </c>
      <c r="D2401">
        <v>2</v>
      </c>
      <c r="E2401">
        <v>5</v>
      </c>
      <c r="F2401" t="s">
        <v>7</v>
      </c>
      <c r="G2401" t="s">
        <v>11</v>
      </c>
      <c r="H2401" t="s">
        <v>11</v>
      </c>
    </row>
    <row r="2402" spans="1:8" x14ac:dyDescent="0.35">
      <c r="A2402" t="s">
        <v>53</v>
      </c>
      <c r="B2402" t="s">
        <v>82</v>
      </c>
      <c r="C2402" t="s">
        <v>2772</v>
      </c>
      <c r="D2402">
        <v>1</v>
      </c>
      <c r="E2402">
        <v>6</v>
      </c>
      <c r="F2402" t="s">
        <v>7</v>
      </c>
      <c r="G2402" t="s">
        <v>11</v>
      </c>
      <c r="H2402" t="s">
        <v>11</v>
      </c>
    </row>
    <row r="2403" spans="1:8" x14ac:dyDescent="0.35">
      <c r="A2403" t="s">
        <v>53</v>
      </c>
      <c r="B2403" t="s">
        <v>82</v>
      </c>
      <c r="C2403" t="s">
        <v>1714</v>
      </c>
      <c r="D2403">
        <v>2</v>
      </c>
      <c r="E2403">
        <v>6</v>
      </c>
      <c r="F2403" t="s">
        <v>7</v>
      </c>
      <c r="G2403" t="s">
        <v>11</v>
      </c>
      <c r="H2403" t="s">
        <v>11</v>
      </c>
    </row>
    <row r="2404" spans="1:8" x14ac:dyDescent="0.35">
      <c r="A2404" t="s">
        <v>53</v>
      </c>
      <c r="B2404" t="s">
        <v>82</v>
      </c>
      <c r="C2404" t="s">
        <v>2773</v>
      </c>
      <c r="D2404">
        <v>1</v>
      </c>
      <c r="E2404">
        <v>6</v>
      </c>
      <c r="F2404" t="s">
        <v>7</v>
      </c>
      <c r="G2404" t="s">
        <v>11</v>
      </c>
      <c r="H2404" t="s">
        <v>11</v>
      </c>
    </row>
    <row r="2405" spans="1:8" x14ac:dyDescent="0.35">
      <c r="A2405" t="s">
        <v>53</v>
      </c>
      <c r="B2405" t="s">
        <v>82</v>
      </c>
      <c r="C2405" t="s">
        <v>1497</v>
      </c>
      <c r="D2405">
        <v>1</v>
      </c>
      <c r="E2405">
        <v>6</v>
      </c>
      <c r="F2405" t="s">
        <v>7</v>
      </c>
      <c r="G2405" t="s">
        <v>11</v>
      </c>
      <c r="H2405" t="s">
        <v>11</v>
      </c>
    </row>
    <row r="2406" spans="1:8" x14ac:dyDescent="0.35">
      <c r="A2406" t="s">
        <v>53</v>
      </c>
      <c r="B2406" t="s">
        <v>82</v>
      </c>
      <c r="C2406" t="s">
        <v>1351</v>
      </c>
      <c r="D2406">
        <v>2</v>
      </c>
      <c r="E2406">
        <v>6</v>
      </c>
      <c r="F2406" t="s">
        <v>7</v>
      </c>
      <c r="G2406" t="s">
        <v>11</v>
      </c>
      <c r="H2406" t="s">
        <v>11</v>
      </c>
    </row>
    <row r="2407" spans="1:8" x14ac:dyDescent="0.35">
      <c r="A2407" t="s">
        <v>53</v>
      </c>
      <c r="B2407" t="s">
        <v>82</v>
      </c>
      <c r="C2407" t="s">
        <v>1453</v>
      </c>
      <c r="D2407">
        <v>1</v>
      </c>
      <c r="E2407">
        <v>6</v>
      </c>
      <c r="F2407" t="s">
        <v>7</v>
      </c>
      <c r="G2407" t="s">
        <v>11</v>
      </c>
      <c r="H2407" t="s">
        <v>11</v>
      </c>
    </row>
    <row r="2408" spans="1:8" x14ac:dyDescent="0.35">
      <c r="A2408" t="s">
        <v>53</v>
      </c>
      <c r="B2408" t="s">
        <v>82</v>
      </c>
      <c r="C2408" t="s">
        <v>2774</v>
      </c>
      <c r="D2408">
        <v>1</v>
      </c>
      <c r="E2408">
        <v>6</v>
      </c>
      <c r="F2408" t="s">
        <v>7</v>
      </c>
      <c r="G2408" t="s">
        <v>11</v>
      </c>
      <c r="H2408" t="s">
        <v>11</v>
      </c>
    </row>
    <row r="2409" spans="1:8" x14ac:dyDescent="0.35">
      <c r="A2409" t="s">
        <v>53</v>
      </c>
      <c r="B2409" t="s">
        <v>82</v>
      </c>
      <c r="C2409" t="s">
        <v>1359</v>
      </c>
      <c r="D2409">
        <v>1</v>
      </c>
      <c r="E2409">
        <v>6</v>
      </c>
      <c r="F2409" t="s">
        <v>7</v>
      </c>
      <c r="G2409" t="s">
        <v>11</v>
      </c>
      <c r="H2409" t="s">
        <v>11</v>
      </c>
    </row>
    <row r="2410" spans="1:8" x14ac:dyDescent="0.35">
      <c r="A2410" t="s">
        <v>53</v>
      </c>
      <c r="B2410" t="s">
        <v>82</v>
      </c>
      <c r="C2410" t="s">
        <v>2775</v>
      </c>
      <c r="D2410">
        <v>1</v>
      </c>
      <c r="E2410">
        <v>6</v>
      </c>
      <c r="F2410" t="s">
        <v>7</v>
      </c>
      <c r="G2410" t="s">
        <v>11</v>
      </c>
      <c r="H2410" t="s">
        <v>11</v>
      </c>
    </row>
    <row r="2411" spans="1:8" x14ac:dyDescent="0.35">
      <c r="A2411" t="s">
        <v>53</v>
      </c>
      <c r="B2411" t="s">
        <v>82</v>
      </c>
      <c r="C2411" t="s">
        <v>1971</v>
      </c>
      <c r="D2411">
        <v>1</v>
      </c>
      <c r="E2411">
        <v>6</v>
      </c>
      <c r="F2411" t="s">
        <v>7</v>
      </c>
      <c r="G2411" t="s">
        <v>11</v>
      </c>
      <c r="H2411" t="s">
        <v>11</v>
      </c>
    </row>
    <row r="2412" spans="1:8" x14ac:dyDescent="0.35">
      <c r="A2412" t="s">
        <v>53</v>
      </c>
      <c r="B2412" t="s">
        <v>82</v>
      </c>
      <c r="C2412" t="s">
        <v>1972</v>
      </c>
      <c r="D2412">
        <v>2</v>
      </c>
      <c r="E2412">
        <v>6</v>
      </c>
      <c r="F2412" t="s">
        <v>7</v>
      </c>
      <c r="G2412" t="s">
        <v>11</v>
      </c>
      <c r="H2412" t="s">
        <v>11</v>
      </c>
    </row>
    <row r="2413" spans="1:8" x14ac:dyDescent="0.35">
      <c r="A2413" t="s">
        <v>53</v>
      </c>
      <c r="B2413" t="s">
        <v>82</v>
      </c>
      <c r="C2413" t="s">
        <v>2776</v>
      </c>
      <c r="D2413">
        <v>2</v>
      </c>
      <c r="E2413">
        <v>5</v>
      </c>
      <c r="F2413" t="s">
        <v>7</v>
      </c>
      <c r="G2413" t="s">
        <v>11</v>
      </c>
      <c r="H2413" t="s">
        <v>11</v>
      </c>
    </row>
    <row r="2414" spans="1:8" x14ac:dyDescent="0.35">
      <c r="A2414" t="s">
        <v>53</v>
      </c>
      <c r="B2414" t="s">
        <v>82</v>
      </c>
      <c r="C2414" t="s">
        <v>2777</v>
      </c>
      <c r="D2414">
        <v>1</v>
      </c>
      <c r="E2414">
        <v>6</v>
      </c>
      <c r="F2414" t="s">
        <v>7</v>
      </c>
      <c r="G2414" t="s">
        <v>11</v>
      </c>
      <c r="H2414" t="s">
        <v>11</v>
      </c>
    </row>
    <row r="2415" spans="1:8" x14ac:dyDescent="0.35">
      <c r="A2415" t="s">
        <v>53</v>
      </c>
      <c r="B2415" t="s">
        <v>82</v>
      </c>
      <c r="C2415" t="s">
        <v>2778</v>
      </c>
      <c r="D2415">
        <v>1</v>
      </c>
      <c r="E2415">
        <v>6</v>
      </c>
      <c r="F2415" t="s">
        <v>7</v>
      </c>
      <c r="G2415" t="s">
        <v>11</v>
      </c>
      <c r="H2415" t="s">
        <v>11</v>
      </c>
    </row>
    <row r="2416" spans="1:8" x14ac:dyDescent="0.35">
      <c r="A2416" t="s">
        <v>53</v>
      </c>
      <c r="B2416" t="s">
        <v>82</v>
      </c>
      <c r="C2416" t="s">
        <v>2779</v>
      </c>
      <c r="D2416">
        <v>1</v>
      </c>
      <c r="E2416">
        <v>6</v>
      </c>
      <c r="F2416" t="s">
        <v>7</v>
      </c>
      <c r="G2416" t="s">
        <v>11</v>
      </c>
      <c r="H2416" t="s">
        <v>11</v>
      </c>
    </row>
    <row r="2417" spans="1:8" x14ac:dyDescent="0.35">
      <c r="A2417" t="s">
        <v>53</v>
      </c>
      <c r="B2417" t="s">
        <v>82</v>
      </c>
      <c r="C2417" t="s">
        <v>2246</v>
      </c>
      <c r="D2417">
        <v>2</v>
      </c>
      <c r="E2417">
        <v>6</v>
      </c>
      <c r="F2417" t="s">
        <v>7</v>
      </c>
      <c r="G2417" t="s">
        <v>11</v>
      </c>
      <c r="H2417" t="s">
        <v>11</v>
      </c>
    </row>
    <row r="2418" spans="1:8" x14ac:dyDescent="0.35">
      <c r="A2418" t="s">
        <v>53</v>
      </c>
      <c r="B2418" t="s">
        <v>82</v>
      </c>
      <c r="C2418" t="s">
        <v>2411</v>
      </c>
      <c r="D2418">
        <v>1</v>
      </c>
      <c r="E2418">
        <v>6</v>
      </c>
      <c r="F2418" t="s">
        <v>7</v>
      </c>
      <c r="G2418" t="s">
        <v>11</v>
      </c>
      <c r="H2418" t="s">
        <v>11</v>
      </c>
    </row>
    <row r="2419" spans="1:8" x14ac:dyDescent="0.35">
      <c r="A2419" t="s">
        <v>53</v>
      </c>
      <c r="B2419" t="s">
        <v>82</v>
      </c>
      <c r="C2419" t="s">
        <v>2716</v>
      </c>
      <c r="D2419">
        <v>1</v>
      </c>
      <c r="E2419">
        <v>6</v>
      </c>
      <c r="F2419" t="s">
        <v>7</v>
      </c>
      <c r="G2419" t="s">
        <v>11</v>
      </c>
      <c r="H2419" t="s">
        <v>11</v>
      </c>
    </row>
    <row r="2420" spans="1:8" x14ac:dyDescent="0.35">
      <c r="A2420" t="s">
        <v>53</v>
      </c>
      <c r="B2420" t="s">
        <v>82</v>
      </c>
      <c r="C2420" t="s">
        <v>2780</v>
      </c>
      <c r="D2420">
        <v>1</v>
      </c>
      <c r="E2420">
        <v>6</v>
      </c>
      <c r="F2420" t="s">
        <v>7</v>
      </c>
      <c r="G2420" t="s">
        <v>11</v>
      </c>
      <c r="H2420" t="s">
        <v>11</v>
      </c>
    </row>
    <row r="2421" spans="1:8" x14ac:dyDescent="0.35">
      <c r="A2421" t="s">
        <v>53</v>
      </c>
      <c r="B2421" t="s">
        <v>82</v>
      </c>
      <c r="C2421" t="s">
        <v>2781</v>
      </c>
      <c r="D2421">
        <v>1</v>
      </c>
      <c r="E2421">
        <v>6</v>
      </c>
      <c r="F2421" t="s">
        <v>7</v>
      </c>
      <c r="G2421" t="s">
        <v>11</v>
      </c>
      <c r="H2421" t="s">
        <v>11</v>
      </c>
    </row>
    <row r="2422" spans="1:8" x14ac:dyDescent="0.35">
      <c r="A2422" t="s">
        <v>53</v>
      </c>
      <c r="B2422" t="s">
        <v>82</v>
      </c>
      <c r="C2422" t="s">
        <v>2339</v>
      </c>
      <c r="D2422">
        <v>2</v>
      </c>
      <c r="E2422">
        <v>6</v>
      </c>
      <c r="F2422" t="s">
        <v>7</v>
      </c>
      <c r="G2422" t="s">
        <v>11</v>
      </c>
      <c r="H2422" t="s">
        <v>11</v>
      </c>
    </row>
    <row r="2423" spans="1:8" x14ac:dyDescent="0.35">
      <c r="A2423" t="s">
        <v>53</v>
      </c>
      <c r="B2423" t="s">
        <v>82</v>
      </c>
      <c r="C2423" t="s">
        <v>2782</v>
      </c>
      <c r="D2423">
        <v>1</v>
      </c>
      <c r="E2423">
        <v>6</v>
      </c>
      <c r="F2423" t="s">
        <v>7</v>
      </c>
      <c r="G2423" t="s">
        <v>11</v>
      </c>
      <c r="H2423" t="s">
        <v>11</v>
      </c>
    </row>
    <row r="2424" spans="1:8" x14ac:dyDescent="0.35">
      <c r="A2424" t="s">
        <v>53</v>
      </c>
      <c r="B2424" t="s">
        <v>82</v>
      </c>
      <c r="C2424" t="s">
        <v>2783</v>
      </c>
      <c r="D2424">
        <v>1</v>
      </c>
      <c r="E2424">
        <v>6</v>
      </c>
      <c r="F2424" t="s">
        <v>7</v>
      </c>
      <c r="G2424" t="s">
        <v>11</v>
      </c>
      <c r="H2424" t="s">
        <v>11</v>
      </c>
    </row>
    <row r="2425" spans="1:8" x14ac:dyDescent="0.35">
      <c r="A2425" t="s">
        <v>53</v>
      </c>
      <c r="B2425" t="s">
        <v>82</v>
      </c>
      <c r="C2425" t="s">
        <v>2784</v>
      </c>
      <c r="D2425">
        <v>1</v>
      </c>
      <c r="E2425">
        <v>6</v>
      </c>
      <c r="F2425" t="s">
        <v>7</v>
      </c>
      <c r="G2425" t="s">
        <v>11</v>
      </c>
      <c r="H2425" t="s">
        <v>11</v>
      </c>
    </row>
    <row r="2426" spans="1:8" x14ac:dyDescent="0.35">
      <c r="A2426" t="s">
        <v>53</v>
      </c>
      <c r="B2426" t="s">
        <v>82</v>
      </c>
      <c r="C2426" t="s">
        <v>2058</v>
      </c>
      <c r="D2426">
        <v>2</v>
      </c>
      <c r="E2426">
        <v>5</v>
      </c>
      <c r="F2426" t="s">
        <v>7</v>
      </c>
      <c r="G2426" t="s">
        <v>11</v>
      </c>
      <c r="H2426" t="s">
        <v>11</v>
      </c>
    </row>
    <row r="2427" spans="1:8" x14ac:dyDescent="0.35">
      <c r="A2427" t="s">
        <v>53</v>
      </c>
      <c r="B2427" t="s">
        <v>82</v>
      </c>
      <c r="C2427" t="s">
        <v>2785</v>
      </c>
      <c r="D2427">
        <v>2</v>
      </c>
      <c r="E2427">
        <v>5</v>
      </c>
      <c r="F2427" t="s">
        <v>7</v>
      </c>
      <c r="G2427" t="s">
        <v>11</v>
      </c>
      <c r="H2427" t="s">
        <v>11</v>
      </c>
    </row>
    <row r="2428" spans="1:8" x14ac:dyDescent="0.35">
      <c r="A2428" t="s">
        <v>53</v>
      </c>
      <c r="B2428" t="s">
        <v>82</v>
      </c>
      <c r="C2428" t="s">
        <v>1750</v>
      </c>
      <c r="D2428">
        <v>1</v>
      </c>
      <c r="E2428">
        <v>6</v>
      </c>
      <c r="F2428" t="s">
        <v>7</v>
      </c>
      <c r="G2428" t="s">
        <v>11</v>
      </c>
      <c r="H2428" t="s">
        <v>11</v>
      </c>
    </row>
    <row r="2429" spans="1:8" x14ac:dyDescent="0.35">
      <c r="A2429" t="s">
        <v>53</v>
      </c>
      <c r="B2429" t="s">
        <v>82</v>
      </c>
      <c r="C2429" t="s">
        <v>1476</v>
      </c>
      <c r="D2429">
        <v>1</v>
      </c>
      <c r="E2429">
        <v>5</v>
      </c>
      <c r="F2429" t="s">
        <v>7</v>
      </c>
      <c r="G2429" t="s">
        <v>11</v>
      </c>
      <c r="H2429" t="s">
        <v>11</v>
      </c>
    </row>
    <row r="2430" spans="1:8" x14ac:dyDescent="0.35">
      <c r="A2430" t="s">
        <v>53</v>
      </c>
      <c r="B2430" t="s">
        <v>82</v>
      </c>
      <c r="C2430" t="s">
        <v>2786</v>
      </c>
      <c r="D2430">
        <v>1</v>
      </c>
      <c r="E2430">
        <v>6</v>
      </c>
      <c r="F2430" t="s">
        <v>7</v>
      </c>
      <c r="G2430" t="s">
        <v>11</v>
      </c>
      <c r="H2430" t="s">
        <v>11</v>
      </c>
    </row>
    <row r="2431" spans="1:8" x14ac:dyDescent="0.35">
      <c r="A2431" t="s">
        <v>53</v>
      </c>
      <c r="B2431" t="s">
        <v>82</v>
      </c>
      <c r="C2431" t="s">
        <v>2787</v>
      </c>
      <c r="D2431">
        <v>1</v>
      </c>
      <c r="E2431">
        <v>5</v>
      </c>
      <c r="F2431" t="s">
        <v>7</v>
      </c>
      <c r="G2431" t="s">
        <v>11</v>
      </c>
      <c r="H2431" t="s">
        <v>11</v>
      </c>
    </row>
    <row r="2432" spans="1:8" x14ac:dyDescent="0.35">
      <c r="A2432" t="s">
        <v>53</v>
      </c>
      <c r="B2432" t="s">
        <v>82</v>
      </c>
      <c r="C2432" t="s">
        <v>2788</v>
      </c>
      <c r="D2432">
        <v>2</v>
      </c>
      <c r="E2432">
        <v>6</v>
      </c>
      <c r="F2432" t="s">
        <v>7</v>
      </c>
      <c r="G2432" t="s">
        <v>11</v>
      </c>
      <c r="H2432" t="s">
        <v>11</v>
      </c>
    </row>
    <row r="2433" spans="1:8" x14ac:dyDescent="0.35">
      <c r="A2433" t="s">
        <v>55</v>
      </c>
      <c r="B2433" t="s">
        <v>111</v>
      </c>
      <c r="C2433" t="s">
        <v>1940</v>
      </c>
      <c r="D2433">
        <v>1</v>
      </c>
      <c r="E2433">
        <v>4</v>
      </c>
      <c r="F2433" t="s">
        <v>7</v>
      </c>
      <c r="G2433" t="s">
        <v>11</v>
      </c>
      <c r="H2433" t="s">
        <v>11</v>
      </c>
    </row>
    <row r="2434" spans="1:8" x14ac:dyDescent="0.35">
      <c r="A2434" t="s">
        <v>55</v>
      </c>
      <c r="B2434" t="s">
        <v>111</v>
      </c>
      <c r="C2434" t="s">
        <v>2692</v>
      </c>
      <c r="D2434">
        <v>1</v>
      </c>
      <c r="E2434">
        <v>4</v>
      </c>
      <c r="F2434" t="s">
        <v>7</v>
      </c>
      <c r="G2434" t="s">
        <v>11</v>
      </c>
      <c r="H2434" t="s">
        <v>11</v>
      </c>
    </row>
    <row r="2435" spans="1:8" x14ac:dyDescent="0.35">
      <c r="A2435" t="s">
        <v>55</v>
      </c>
      <c r="B2435" t="s">
        <v>111</v>
      </c>
      <c r="C2435" t="s">
        <v>1427</v>
      </c>
      <c r="D2435">
        <v>2</v>
      </c>
      <c r="E2435">
        <v>4</v>
      </c>
      <c r="F2435" t="s">
        <v>7</v>
      </c>
      <c r="G2435" t="s">
        <v>11</v>
      </c>
      <c r="H2435" t="s">
        <v>11</v>
      </c>
    </row>
    <row r="2436" spans="1:8" x14ac:dyDescent="0.35">
      <c r="A2436" t="s">
        <v>55</v>
      </c>
      <c r="B2436" t="s">
        <v>111</v>
      </c>
      <c r="C2436" t="s">
        <v>2789</v>
      </c>
      <c r="D2436">
        <v>3</v>
      </c>
      <c r="E2436">
        <v>4</v>
      </c>
      <c r="F2436" t="s">
        <v>7</v>
      </c>
      <c r="G2436" t="s">
        <v>11</v>
      </c>
      <c r="H2436" t="s">
        <v>11</v>
      </c>
    </row>
    <row r="2437" spans="1:8" x14ac:dyDescent="0.35">
      <c r="A2437" t="s">
        <v>55</v>
      </c>
      <c r="B2437" t="s">
        <v>111</v>
      </c>
      <c r="C2437" t="s">
        <v>1316</v>
      </c>
      <c r="D2437">
        <v>1</v>
      </c>
      <c r="E2437">
        <v>4</v>
      </c>
      <c r="F2437" t="s">
        <v>7</v>
      </c>
      <c r="G2437" t="s">
        <v>11</v>
      </c>
      <c r="H2437" t="s">
        <v>11</v>
      </c>
    </row>
    <row r="2438" spans="1:8" x14ac:dyDescent="0.35">
      <c r="A2438" t="s">
        <v>55</v>
      </c>
      <c r="B2438" t="s">
        <v>111</v>
      </c>
      <c r="C2438" t="s">
        <v>1429</v>
      </c>
      <c r="D2438">
        <v>1</v>
      </c>
      <c r="E2438">
        <v>4</v>
      </c>
      <c r="F2438" t="s">
        <v>7</v>
      </c>
      <c r="G2438" t="s">
        <v>11</v>
      </c>
      <c r="H2438" t="s">
        <v>11</v>
      </c>
    </row>
    <row r="2439" spans="1:8" x14ac:dyDescent="0.35">
      <c r="A2439" t="s">
        <v>55</v>
      </c>
      <c r="B2439" t="s">
        <v>111</v>
      </c>
      <c r="C2439" t="s">
        <v>2019</v>
      </c>
      <c r="D2439">
        <v>3</v>
      </c>
      <c r="E2439">
        <v>4</v>
      </c>
      <c r="F2439" t="s">
        <v>7</v>
      </c>
      <c r="G2439" t="s">
        <v>11</v>
      </c>
      <c r="H2439" t="s">
        <v>11</v>
      </c>
    </row>
    <row r="2440" spans="1:8" x14ac:dyDescent="0.35">
      <c r="A2440" t="s">
        <v>55</v>
      </c>
      <c r="B2440" t="s">
        <v>111</v>
      </c>
      <c r="C2440" t="s">
        <v>2790</v>
      </c>
      <c r="D2440">
        <v>2</v>
      </c>
      <c r="E2440">
        <v>4</v>
      </c>
      <c r="F2440" t="s">
        <v>7</v>
      </c>
      <c r="G2440" t="s">
        <v>11</v>
      </c>
      <c r="H2440" t="s">
        <v>11</v>
      </c>
    </row>
    <row r="2441" spans="1:8" x14ac:dyDescent="0.35">
      <c r="A2441" t="s">
        <v>55</v>
      </c>
      <c r="B2441" t="s">
        <v>111</v>
      </c>
      <c r="C2441" t="s">
        <v>1430</v>
      </c>
      <c r="D2441">
        <v>3</v>
      </c>
      <c r="E2441">
        <v>4</v>
      </c>
      <c r="F2441" t="s">
        <v>7</v>
      </c>
      <c r="G2441" t="s">
        <v>11</v>
      </c>
      <c r="H2441" t="s">
        <v>11</v>
      </c>
    </row>
    <row r="2442" spans="1:8" x14ac:dyDescent="0.35">
      <c r="A2442" t="s">
        <v>55</v>
      </c>
      <c r="B2442" t="s">
        <v>111</v>
      </c>
      <c r="C2442" t="s">
        <v>2021</v>
      </c>
      <c r="D2442">
        <v>2</v>
      </c>
      <c r="E2442">
        <v>4</v>
      </c>
      <c r="F2442" t="s">
        <v>7</v>
      </c>
      <c r="G2442" t="s">
        <v>11</v>
      </c>
      <c r="H2442" t="s">
        <v>11</v>
      </c>
    </row>
    <row r="2443" spans="1:8" x14ac:dyDescent="0.35">
      <c r="A2443" t="s">
        <v>55</v>
      </c>
      <c r="B2443" t="s">
        <v>111</v>
      </c>
      <c r="C2443" t="s">
        <v>2791</v>
      </c>
      <c r="D2443">
        <v>2</v>
      </c>
      <c r="E2443">
        <v>4</v>
      </c>
      <c r="F2443" t="s">
        <v>7</v>
      </c>
      <c r="G2443" t="s">
        <v>11</v>
      </c>
      <c r="H2443" t="s">
        <v>11</v>
      </c>
    </row>
    <row r="2444" spans="1:8" x14ac:dyDescent="0.35">
      <c r="A2444" t="s">
        <v>55</v>
      </c>
      <c r="B2444" t="s">
        <v>111</v>
      </c>
      <c r="C2444" t="s">
        <v>2698</v>
      </c>
      <c r="D2444">
        <v>2</v>
      </c>
      <c r="E2444">
        <v>3</v>
      </c>
      <c r="F2444" t="s">
        <v>7</v>
      </c>
      <c r="G2444" t="s">
        <v>11</v>
      </c>
      <c r="H2444" t="s">
        <v>11</v>
      </c>
    </row>
    <row r="2445" spans="1:8" x14ac:dyDescent="0.35">
      <c r="A2445" t="s">
        <v>55</v>
      </c>
      <c r="B2445" t="s">
        <v>111</v>
      </c>
      <c r="C2445" t="s">
        <v>2073</v>
      </c>
      <c r="D2445">
        <v>1</v>
      </c>
      <c r="E2445">
        <v>4</v>
      </c>
      <c r="F2445" t="s">
        <v>7</v>
      </c>
      <c r="G2445" t="s">
        <v>11</v>
      </c>
      <c r="H2445" t="s">
        <v>11</v>
      </c>
    </row>
    <row r="2446" spans="1:8" x14ac:dyDescent="0.35">
      <c r="A2446" t="s">
        <v>55</v>
      </c>
      <c r="B2446" t="s">
        <v>111</v>
      </c>
      <c r="C2446" t="s">
        <v>1325</v>
      </c>
      <c r="D2446">
        <v>2</v>
      </c>
      <c r="E2446">
        <v>4</v>
      </c>
      <c r="F2446" t="s">
        <v>7</v>
      </c>
      <c r="G2446" t="s">
        <v>11</v>
      </c>
      <c r="H2446" t="s">
        <v>11</v>
      </c>
    </row>
    <row r="2447" spans="1:8" x14ac:dyDescent="0.35">
      <c r="A2447" t="s">
        <v>55</v>
      </c>
      <c r="B2447" t="s">
        <v>111</v>
      </c>
      <c r="C2447" t="s">
        <v>2792</v>
      </c>
      <c r="D2447">
        <v>2</v>
      </c>
      <c r="E2447">
        <v>4</v>
      </c>
      <c r="F2447" t="s">
        <v>7</v>
      </c>
      <c r="G2447" t="s">
        <v>11</v>
      </c>
      <c r="H2447" t="s">
        <v>11</v>
      </c>
    </row>
    <row r="2448" spans="1:8" x14ac:dyDescent="0.35">
      <c r="A2448" t="s">
        <v>55</v>
      </c>
      <c r="B2448" t="s">
        <v>111</v>
      </c>
      <c r="C2448" t="s">
        <v>1327</v>
      </c>
      <c r="D2448">
        <v>2</v>
      </c>
      <c r="E2448">
        <v>4</v>
      </c>
      <c r="F2448" t="s">
        <v>7</v>
      </c>
      <c r="G2448" t="s">
        <v>11</v>
      </c>
      <c r="H2448" t="s">
        <v>11</v>
      </c>
    </row>
    <row r="2449" spans="1:8" x14ac:dyDescent="0.35">
      <c r="A2449" t="s">
        <v>55</v>
      </c>
      <c r="B2449" t="s">
        <v>111</v>
      </c>
      <c r="C2449" t="s">
        <v>2793</v>
      </c>
      <c r="D2449">
        <v>3</v>
      </c>
      <c r="E2449">
        <v>3</v>
      </c>
      <c r="F2449" t="s">
        <v>7</v>
      </c>
      <c r="G2449" t="s">
        <v>11</v>
      </c>
      <c r="H2449" t="s">
        <v>11</v>
      </c>
    </row>
    <row r="2450" spans="1:8" x14ac:dyDescent="0.35">
      <c r="A2450" t="s">
        <v>55</v>
      </c>
      <c r="B2450" t="s">
        <v>111</v>
      </c>
      <c r="C2450" t="s">
        <v>1809</v>
      </c>
      <c r="D2450">
        <v>3</v>
      </c>
      <c r="E2450">
        <v>4</v>
      </c>
      <c r="F2450" t="s">
        <v>7</v>
      </c>
      <c r="G2450" t="s">
        <v>11</v>
      </c>
      <c r="H2450" t="s">
        <v>11</v>
      </c>
    </row>
    <row r="2451" spans="1:8" x14ac:dyDescent="0.35">
      <c r="A2451" t="s">
        <v>55</v>
      </c>
      <c r="B2451" t="s">
        <v>111</v>
      </c>
      <c r="C2451" t="s">
        <v>2521</v>
      </c>
      <c r="D2451">
        <v>1</v>
      </c>
      <c r="E2451">
        <v>4</v>
      </c>
      <c r="F2451" t="s">
        <v>7</v>
      </c>
      <c r="G2451" t="s">
        <v>11</v>
      </c>
      <c r="H2451" t="s">
        <v>11</v>
      </c>
    </row>
    <row r="2452" spans="1:8" x14ac:dyDescent="0.35">
      <c r="A2452" t="s">
        <v>55</v>
      </c>
      <c r="B2452" t="s">
        <v>111</v>
      </c>
      <c r="C2452" t="s">
        <v>1684</v>
      </c>
      <c r="D2452">
        <v>2</v>
      </c>
      <c r="E2452">
        <v>4</v>
      </c>
      <c r="F2452" t="s">
        <v>7</v>
      </c>
      <c r="G2452" t="s">
        <v>11</v>
      </c>
      <c r="H2452" t="s">
        <v>11</v>
      </c>
    </row>
    <row r="2453" spans="1:8" x14ac:dyDescent="0.35">
      <c r="A2453" t="s">
        <v>55</v>
      </c>
      <c r="B2453" t="s">
        <v>111</v>
      </c>
      <c r="C2453" t="s">
        <v>1685</v>
      </c>
      <c r="D2453">
        <v>2</v>
      </c>
      <c r="E2453">
        <v>4</v>
      </c>
      <c r="F2453" t="s">
        <v>7</v>
      </c>
      <c r="G2453" t="s">
        <v>11</v>
      </c>
      <c r="H2453" t="s">
        <v>11</v>
      </c>
    </row>
    <row r="2454" spans="1:8" x14ac:dyDescent="0.35">
      <c r="A2454" t="s">
        <v>55</v>
      </c>
      <c r="B2454" t="s">
        <v>111</v>
      </c>
      <c r="C2454" t="s">
        <v>2794</v>
      </c>
      <c r="D2454">
        <v>2</v>
      </c>
      <c r="E2454">
        <v>4</v>
      </c>
      <c r="F2454" t="s">
        <v>7</v>
      </c>
      <c r="G2454" t="s">
        <v>11</v>
      </c>
      <c r="H2454" t="s">
        <v>11</v>
      </c>
    </row>
    <row r="2455" spans="1:8" x14ac:dyDescent="0.35">
      <c r="A2455" t="s">
        <v>55</v>
      </c>
      <c r="B2455" t="s">
        <v>111</v>
      </c>
      <c r="C2455" t="s">
        <v>2795</v>
      </c>
      <c r="D2455">
        <v>3</v>
      </c>
      <c r="E2455">
        <v>3</v>
      </c>
      <c r="F2455" t="s">
        <v>7</v>
      </c>
      <c r="G2455" t="s">
        <v>11</v>
      </c>
      <c r="H2455" t="s">
        <v>11</v>
      </c>
    </row>
    <row r="2456" spans="1:8" x14ac:dyDescent="0.35">
      <c r="A2456" t="s">
        <v>55</v>
      </c>
      <c r="B2456" t="s">
        <v>111</v>
      </c>
      <c r="C2456" t="s">
        <v>1340</v>
      </c>
      <c r="D2456">
        <v>3</v>
      </c>
      <c r="E2456">
        <v>3</v>
      </c>
      <c r="F2456" t="s">
        <v>7</v>
      </c>
      <c r="G2456" t="s">
        <v>11</v>
      </c>
      <c r="H2456" t="s">
        <v>11</v>
      </c>
    </row>
    <row r="2457" spans="1:8" x14ac:dyDescent="0.35">
      <c r="A2457" t="s">
        <v>55</v>
      </c>
      <c r="B2457" t="s">
        <v>111</v>
      </c>
      <c r="C2457" t="s">
        <v>2796</v>
      </c>
      <c r="D2457">
        <v>2</v>
      </c>
      <c r="E2457">
        <v>4</v>
      </c>
      <c r="F2457" t="s">
        <v>7</v>
      </c>
      <c r="G2457" t="s">
        <v>11</v>
      </c>
      <c r="H2457" t="s">
        <v>11</v>
      </c>
    </row>
    <row r="2458" spans="1:8" x14ac:dyDescent="0.35">
      <c r="A2458" t="s">
        <v>55</v>
      </c>
      <c r="B2458" t="s">
        <v>111</v>
      </c>
      <c r="C2458" t="s">
        <v>1341</v>
      </c>
      <c r="D2458">
        <v>3</v>
      </c>
      <c r="E2458">
        <v>4</v>
      </c>
      <c r="F2458" t="s">
        <v>7</v>
      </c>
      <c r="G2458" t="s">
        <v>11</v>
      </c>
      <c r="H2458" t="s">
        <v>11</v>
      </c>
    </row>
    <row r="2459" spans="1:8" x14ac:dyDescent="0.35">
      <c r="A2459" t="s">
        <v>55</v>
      </c>
      <c r="B2459" t="s">
        <v>111</v>
      </c>
      <c r="C2459" t="s">
        <v>1863</v>
      </c>
      <c r="D2459">
        <v>3</v>
      </c>
      <c r="E2459">
        <v>4</v>
      </c>
      <c r="F2459" t="s">
        <v>7</v>
      </c>
      <c r="G2459" t="s">
        <v>11</v>
      </c>
      <c r="H2459" t="s">
        <v>11</v>
      </c>
    </row>
    <row r="2460" spans="1:8" x14ac:dyDescent="0.35">
      <c r="A2460" t="s">
        <v>55</v>
      </c>
      <c r="B2460" t="s">
        <v>111</v>
      </c>
      <c r="C2460" t="s">
        <v>2797</v>
      </c>
      <c r="D2460">
        <v>1</v>
      </c>
      <c r="E2460">
        <v>4</v>
      </c>
      <c r="F2460" t="s">
        <v>7</v>
      </c>
      <c r="G2460" t="s">
        <v>11</v>
      </c>
      <c r="H2460" t="s">
        <v>11</v>
      </c>
    </row>
    <row r="2461" spans="1:8" x14ac:dyDescent="0.35">
      <c r="A2461" t="s">
        <v>55</v>
      </c>
      <c r="B2461" t="s">
        <v>111</v>
      </c>
      <c r="C2461" t="s">
        <v>2798</v>
      </c>
      <c r="D2461">
        <v>1</v>
      </c>
      <c r="E2461">
        <v>4</v>
      </c>
      <c r="F2461" t="s">
        <v>7</v>
      </c>
      <c r="G2461" t="s">
        <v>11</v>
      </c>
      <c r="H2461" t="s">
        <v>11</v>
      </c>
    </row>
    <row r="2462" spans="1:8" x14ac:dyDescent="0.35">
      <c r="A2462" t="s">
        <v>55</v>
      </c>
      <c r="B2462" t="s">
        <v>111</v>
      </c>
      <c r="C2462" t="s">
        <v>1343</v>
      </c>
      <c r="D2462">
        <v>1</v>
      </c>
      <c r="E2462">
        <v>4</v>
      </c>
      <c r="F2462" t="s">
        <v>7</v>
      </c>
      <c r="G2462" t="s">
        <v>11</v>
      </c>
      <c r="H2462" t="s">
        <v>11</v>
      </c>
    </row>
    <row r="2463" spans="1:8" x14ac:dyDescent="0.35">
      <c r="A2463" t="s">
        <v>55</v>
      </c>
      <c r="B2463" t="s">
        <v>111</v>
      </c>
      <c r="C2463" t="s">
        <v>1816</v>
      </c>
      <c r="D2463">
        <v>3</v>
      </c>
      <c r="E2463">
        <v>4</v>
      </c>
      <c r="F2463" t="s">
        <v>7</v>
      </c>
      <c r="G2463" t="s">
        <v>11</v>
      </c>
      <c r="H2463" t="s">
        <v>11</v>
      </c>
    </row>
    <row r="2464" spans="1:8" x14ac:dyDescent="0.35">
      <c r="A2464" t="s">
        <v>55</v>
      </c>
      <c r="B2464" t="s">
        <v>111</v>
      </c>
      <c r="C2464" t="s">
        <v>2799</v>
      </c>
      <c r="D2464">
        <v>1</v>
      </c>
      <c r="E2464">
        <v>4</v>
      </c>
      <c r="F2464" t="s">
        <v>7</v>
      </c>
      <c r="G2464" t="s">
        <v>11</v>
      </c>
      <c r="H2464" t="s">
        <v>11</v>
      </c>
    </row>
    <row r="2465" spans="1:8" x14ac:dyDescent="0.35">
      <c r="A2465" t="s">
        <v>55</v>
      </c>
      <c r="B2465" t="s">
        <v>111</v>
      </c>
      <c r="C2465" t="s">
        <v>1621</v>
      </c>
      <c r="D2465">
        <v>2</v>
      </c>
      <c r="E2465">
        <v>4</v>
      </c>
      <c r="F2465" t="s">
        <v>7</v>
      </c>
      <c r="G2465" t="s">
        <v>11</v>
      </c>
      <c r="H2465" t="s">
        <v>11</v>
      </c>
    </row>
    <row r="2466" spans="1:8" x14ac:dyDescent="0.35">
      <c r="A2466" t="s">
        <v>55</v>
      </c>
      <c r="B2466" t="s">
        <v>111</v>
      </c>
      <c r="C2466" t="s">
        <v>1705</v>
      </c>
      <c r="D2466">
        <v>1</v>
      </c>
      <c r="E2466">
        <v>4</v>
      </c>
      <c r="F2466" t="s">
        <v>7</v>
      </c>
      <c r="G2466" t="s">
        <v>11</v>
      </c>
      <c r="H2466" t="s">
        <v>11</v>
      </c>
    </row>
    <row r="2467" spans="1:8" x14ac:dyDescent="0.35">
      <c r="A2467" t="s">
        <v>55</v>
      </c>
      <c r="B2467" t="s">
        <v>111</v>
      </c>
      <c r="C2467" t="s">
        <v>2800</v>
      </c>
      <c r="D2467">
        <v>3</v>
      </c>
      <c r="E2467">
        <v>3</v>
      </c>
      <c r="F2467" t="s">
        <v>7</v>
      </c>
      <c r="G2467" t="s">
        <v>11</v>
      </c>
      <c r="H2467" t="s">
        <v>11</v>
      </c>
    </row>
    <row r="2468" spans="1:8" x14ac:dyDescent="0.35">
      <c r="A2468" t="s">
        <v>55</v>
      </c>
      <c r="B2468" t="s">
        <v>111</v>
      </c>
      <c r="C2468" t="s">
        <v>1817</v>
      </c>
      <c r="D2468">
        <v>2</v>
      </c>
      <c r="E2468">
        <v>3</v>
      </c>
      <c r="F2468" t="s">
        <v>7</v>
      </c>
      <c r="G2468" t="s">
        <v>11</v>
      </c>
      <c r="H2468" t="s">
        <v>11</v>
      </c>
    </row>
    <row r="2469" spans="1:8" x14ac:dyDescent="0.35">
      <c r="A2469" t="s">
        <v>55</v>
      </c>
      <c r="B2469" t="s">
        <v>111</v>
      </c>
      <c r="C2469" t="s">
        <v>2801</v>
      </c>
      <c r="D2469">
        <v>1</v>
      </c>
      <c r="E2469">
        <v>4</v>
      </c>
      <c r="F2469" t="s">
        <v>7</v>
      </c>
      <c r="G2469" t="s">
        <v>11</v>
      </c>
      <c r="H2469" t="s">
        <v>11</v>
      </c>
    </row>
    <row r="2470" spans="1:8" x14ac:dyDescent="0.35">
      <c r="A2470" t="s">
        <v>55</v>
      </c>
      <c r="B2470" t="s">
        <v>111</v>
      </c>
      <c r="C2470" t="s">
        <v>2532</v>
      </c>
      <c r="D2470">
        <v>3</v>
      </c>
      <c r="E2470">
        <v>3</v>
      </c>
      <c r="F2470" t="s">
        <v>7</v>
      </c>
      <c r="G2470" t="s">
        <v>11</v>
      </c>
      <c r="H2470" t="s">
        <v>11</v>
      </c>
    </row>
    <row r="2471" spans="1:8" x14ac:dyDescent="0.35">
      <c r="A2471" t="s">
        <v>55</v>
      </c>
      <c r="B2471" t="s">
        <v>111</v>
      </c>
      <c r="C2471" t="s">
        <v>1818</v>
      </c>
      <c r="D2471">
        <v>2</v>
      </c>
      <c r="E2471">
        <v>3</v>
      </c>
      <c r="F2471" t="s">
        <v>7</v>
      </c>
      <c r="G2471" t="s">
        <v>11</v>
      </c>
      <c r="H2471" t="s">
        <v>11</v>
      </c>
    </row>
    <row r="2472" spans="1:8" x14ac:dyDescent="0.35">
      <c r="A2472" t="s">
        <v>55</v>
      </c>
      <c r="B2472" t="s">
        <v>111</v>
      </c>
      <c r="C2472" t="s">
        <v>1345</v>
      </c>
      <c r="D2472">
        <v>3</v>
      </c>
      <c r="E2472">
        <v>4</v>
      </c>
      <c r="F2472" t="s">
        <v>7</v>
      </c>
      <c r="G2472" t="s">
        <v>11</v>
      </c>
      <c r="H2472" t="s">
        <v>11</v>
      </c>
    </row>
    <row r="2473" spans="1:8" x14ac:dyDescent="0.35">
      <c r="A2473" t="s">
        <v>55</v>
      </c>
      <c r="B2473" t="s">
        <v>111</v>
      </c>
      <c r="C2473" t="s">
        <v>2033</v>
      </c>
      <c r="D2473">
        <v>1</v>
      </c>
      <c r="E2473">
        <v>4</v>
      </c>
      <c r="F2473" t="s">
        <v>7</v>
      </c>
      <c r="G2473" t="s">
        <v>11</v>
      </c>
      <c r="H2473" t="s">
        <v>11</v>
      </c>
    </row>
    <row r="2474" spans="1:8" x14ac:dyDescent="0.35">
      <c r="A2474" t="s">
        <v>55</v>
      </c>
      <c r="B2474" t="s">
        <v>111</v>
      </c>
      <c r="C2474" t="s">
        <v>1346</v>
      </c>
      <c r="D2474">
        <v>2</v>
      </c>
      <c r="E2474">
        <v>4</v>
      </c>
      <c r="F2474" t="s">
        <v>7</v>
      </c>
      <c r="G2474" t="s">
        <v>11</v>
      </c>
      <c r="H2474" t="s">
        <v>11</v>
      </c>
    </row>
    <row r="2475" spans="1:8" x14ac:dyDescent="0.35">
      <c r="A2475" t="s">
        <v>55</v>
      </c>
      <c r="B2475" t="s">
        <v>111</v>
      </c>
      <c r="C2475" t="s">
        <v>2280</v>
      </c>
      <c r="D2475">
        <v>1</v>
      </c>
      <c r="E2475">
        <v>4</v>
      </c>
      <c r="F2475" t="s">
        <v>7</v>
      </c>
      <c r="G2475" t="s">
        <v>11</v>
      </c>
      <c r="H2475" t="s">
        <v>11</v>
      </c>
    </row>
    <row r="2476" spans="1:8" x14ac:dyDescent="0.35">
      <c r="A2476" t="s">
        <v>55</v>
      </c>
      <c r="B2476" t="s">
        <v>111</v>
      </c>
      <c r="C2476" t="s">
        <v>1347</v>
      </c>
      <c r="D2476">
        <v>1</v>
      </c>
      <c r="E2476">
        <v>4</v>
      </c>
      <c r="F2476" t="s">
        <v>7</v>
      </c>
      <c r="G2476" t="s">
        <v>11</v>
      </c>
      <c r="H2476" t="s">
        <v>11</v>
      </c>
    </row>
    <row r="2477" spans="1:8" x14ac:dyDescent="0.35">
      <c r="A2477" t="s">
        <v>55</v>
      </c>
      <c r="B2477" t="s">
        <v>111</v>
      </c>
      <c r="C2477" t="s">
        <v>1348</v>
      </c>
      <c r="D2477">
        <v>1</v>
      </c>
      <c r="E2477">
        <v>4</v>
      </c>
      <c r="F2477" t="s">
        <v>7</v>
      </c>
      <c r="G2477" t="s">
        <v>11</v>
      </c>
      <c r="H2477" t="s">
        <v>11</v>
      </c>
    </row>
    <row r="2478" spans="1:8" x14ac:dyDescent="0.35">
      <c r="A2478" t="s">
        <v>55</v>
      </c>
      <c r="B2478" t="s">
        <v>111</v>
      </c>
      <c r="C2478" t="s">
        <v>1451</v>
      </c>
      <c r="D2478">
        <v>2</v>
      </c>
      <c r="E2478">
        <v>4</v>
      </c>
      <c r="F2478" t="s">
        <v>7</v>
      </c>
      <c r="G2478" t="s">
        <v>11</v>
      </c>
      <c r="H2478" t="s">
        <v>11</v>
      </c>
    </row>
    <row r="2479" spans="1:8" x14ac:dyDescent="0.35">
      <c r="A2479" t="s">
        <v>55</v>
      </c>
      <c r="B2479" t="s">
        <v>111</v>
      </c>
      <c r="C2479" t="s">
        <v>1825</v>
      </c>
      <c r="D2479">
        <v>1</v>
      </c>
      <c r="E2479">
        <v>4</v>
      </c>
      <c r="F2479" t="s">
        <v>7</v>
      </c>
      <c r="G2479" t="s">
        <v>11</v>
      </c>
      <c r="H2479" t="s">
        <v>11</v>
      </c>
    </row>
    <row r="2480" spans="1:8" x14ac:dyDescent="0.35">
      <c r="A2480" t="s">
        <v>55</v>
      </c>
      <c r="B2480" t="s">
        <v>111</v>
      </c>
      <c r="C2480" t="s">
        <v>1497</v>
      </c>
      <c r="D2480">
        <v>3</v>
      </c>
      <c r="E2480">
        <v>3</v>
      </c>
      <c r="F2480" t="s">
        <v>7</v>
      </c>
      <c r="G2480" t="s">
        <v>11</v>
      </c>
      <c r="H2480" t="s">
        <v>11</v>
      </c>
    </row>
    <row r="2481" spans="1:8" x14ac:dyDescent="0.35">
      <c r="A2481" t="s">
        <v>55</v>
      </c>
      <c r="B2481" t="s">
        <v>111</v>
      </c>
      <c r="C2481" t="s">
        <v>1350</v>
      </c>
      <c r="D2481">
        <v>3</v>
      </c>
      <c r="E2481">
        <v>3</v>
      </c>
      <c r="F2481" t="s">
        <v>7</v>
      </c>
      <c r="G2481" t="s">
        <v>11</v>
      </c>
      <c r="H2481" t="s">
        <v>11</v>
      </c>
    </row>
    <row r="2482" spans="1:8" x14ac:dyDescent="0.35">
      <c r="A2482" t="s">
        <v>55</v>
      </c>
      <c r="B2482" t="s">
        <v>111</v>
      </c>
      <c r="C2482" t="s">
        <v>1351</v>
      </c>
      <c r="D2482">
        <v>1</v>
      </c>
      <c r="E2482">
        <v>4</v>
      </c>
      <c r="F2482" t="s">
        <v>7</v>
      </c>
      <c r="G2482" t="s">
        <v>11</v>
      </c>
      <c r="H2482" t="s">
        <v>11</v>
      </c>
    </row>
    <row r="2483" spans="1:8" x14ac:dyDescent="0.35">
      <c r="A2483" t="s">
        <v>55</v>
      </c>
      <c r="B2483" t="s">
        <v>111</v>
      </c>
      <c r="C2483" t="s">
        <v>1789</v>
      </c>
      <c r="D2483">
        <v>1</v>
      </c>
      <c r="E2483">
        <v>4</v>
      </c>
      <c r="F2483" t="s">
        <v>7</v>
      </c>
      <c r="G2483" t="s">
        <v>11</v>
      </c>
      <c r="H2483" t="s">
        <v>11</v>
      </c>
    </row>
    <row r="2484" spans="1:8" x14ac:dyDescent="0.35">
      <c r="A2484" t="s">
        <v>55</v>
      </c>
      <c r="B2484" t="s">
        <v>111</v>
      </c>
      <c r="C2484" t="s">
        <v>1453</v>
      </c>
      <c r="D2484">
        <v>1</v>
      </c>
      <c r="E2484">
        <v>4</v>
      </c>
      <c r="F2484" t="s">
        <v>7</v>
      </c>
      <c r="G2484" t="s">
        <v>11</v>
      </c>
      <c r="H2484" t="s">
        <v>11</v>
      </c>
    </row>
    <row r="2485" spans="1:8" x14ac:dyDescent="0.35">
      <c r="A2485" t="s">
        <v>55</v>
      </c>
      <c r="B2485" t="s">
        <v>111</v>
      </c>
      <c r="C2485" t="s">
        <v>2802</v>
      </c>
      <c r="D2485">
        <v>1</v>
      </c>
      <c r="E2485">
        <v>4</v>
      </c>
      <c r="F2485" t="s">
        <v>7</v>
      </c>
      <c r="G2485" t="s">
        <v>11</v>
      </c>
      <c r="H2485" t="s">
        <v>11</v>
      </c>
    </row>
    <row r="2486" spans="1:8" x14ac:dyDescent="0.35">
      <c r="A2486" t="s">
        <v>55</v>
      </c>
      <c r="B2486" t="s">
        <v>111</v>
      </c>
      <c r="C2486" t="s">
        <v>1355</v>
      </c>
      <c r="D2486">
        <v>2</v>
      </c>
      <c r="E2486">
        <v>4</v>
      </c>
      <c r="F2486" t="s">
        <v>7</v>
      </c>
      <c r="G2486" t="s">
        <v>11</v>
      </c>
      <c r="H2486" t="s">
        <v>11</v>
      </c>
    </row>
    <row r="2487" spans="1:8" x14ac:dyDescent="0.35">
      <c r="A2487" t="s">
        <v>55</v>
      </c>
      <c r="B2487" t="s">
        <v>111</v>
      </c>
      <c r="C2487" t="s">
        <v>1356</v>
      </c>
      <c r="D2487">
        <v>3</v>
      </c>
      <c r="E2487">
        <v>3</v>
      </c>
      <c r="F2487" t="s">
        <v>7</v>
      </c>
      <c r="G2487" t="s">
        <v>11</v>
      </c>
      <c r="H2487" t="s">
        <v>11</v>
      </c>
    </row>
    <row r="2488" spans="1:8" x14ac:dyDescent="0.35">
      <c r="A2488" t="s">
        <v>55</v>
      </c>
      <c r="B2488" t="s">
        <v>111</v>
      </c>
      <c r="C2488" t="s">
        <v>1358</v>
      </c>
      <c r="D2488">
        <v>3</v>
      </c>
      <c r="E2488">
        <v>4</v>
      </c>
      <c r="F2488" t="s">
        <v>7</v>
      </c>
      <c r="G2488" t="s">
        <v>11</v>
      </c>
      <c r="H2488" t="s">
        <v>11</v>
      </c>
    </row>
    <row r="2489" spans="1:8" x14ac:dyDescent="0.35">
      <c r="A2489" t="s">
        <v>55</v>
      </c>
      <c r="B2489" t="s">
        <v>111</v>
      </c>
      <c r="C2489" t="s">
        <v>1359</v>
      </c>
      <c r="D2489">
        <v>1</v>
      </c>
      <c r="E2489">
        <v>4</v>
      </c>
      <c r="F2489" t="s">
        <v>7</v>
      </c>
      <c r="G2489" t="s">
        <v>11</v>
      </c>
      <c r="H2489" t="s">
        <v>11</v>
      </c>
    </row>
    <row r="2490" spans="1:8" x14ac:dyDescent="0.35">
      <c r="A2490" t="s">
        <v>55</v>
      </c>
      <c r="B2490" t="s">
        <v>111</v>
      </c>
      <c r="C2490" t="s">
        <v>2803</v>
      </c>
      <c r="D2490">
        <v>1</v>
      </c>
      <c r="E2490">
        <v>4</v>
      </c>
      <c r="F2490" t="s">
        <v>7</v>
      </c>
      <c r="G2490" t="s">
        <v>11</v>
      </c>
      <c r="H2490" t="s">
        <v>11</v>
      </c>
    </row>
    <row r="2491" spans="1:8" x14ac:dyDescent="0.35">
      <c r="A2491" t="s">
        <v>55</v>
      </c>
      <c r="B2491" t="s">
        <v>111</v>
      </c>
      <c r="C2491" t="s">
        <v>2804</v>
      </c>
      <c r="D2491">
        <v>1</v>
      </c>
      <c r="E2491">
        <v>4</v>
      </c>
      <c r="F2491" t="s">
        <v>7</v>
      </c>
      <c r="G2491" t="s">
        <v>11</v>
      </c>
      <c r="H2491" t="s">
        <v>11</v>
      </c>
    </row>
    <row r="2492" spans="1:8" x14ac:dyDescent="0.35">
      <c r="A2492" t="s">
        <v>55</v>
      </c>
      <c r="B2492" t="s">
        <v>111</v>
      </c>
      <c r="C2492" t="s">
        <v>2805</v>
      </c>
      <c r="D2492">
        <v>2</v>
      </c>
      <c r="E2492">
        <v>3</v>
      </c>
      <c r="F2492" t="s">
        <v>7</v>
      </c>
      <c r="G2492" t="s">
        <v>11</v>
      </c>
      <c r="H2492" t="s">
        <v>11</v>
      </c>
    </row>
    <row r="2493" spans="1:8" x14ac:dyDescent="0.35">
      <c r="A2493" t="s">
        <v>55</v>
      </c>
      <c r="B2493" t="s">
        <v>111</v>
      </c>
      <c r="C2493" t="s">
        <v>2618</v>
      </c>
      <c r="D2493">
        <v>1</v>
      </c>
      <c r="E2493">
        <v>4</v>
      </c>
      <c r="F2493" t="s">
        <v>7</v>
      </c>
      <c r="G2493" t="s">
        <v>11</v>
      </c>
      <c r="H2493" t="s">
        <v>11</v>
      </c>
    </row>
    <row r="2494" spans="1:8" x14ac:dyDescent="0.35">
      <c r="A2494" t="s">
        <v>55</v>
      </c>
      <c r="B2494" t="s">
        <v>111</v>
      </c>
      <c r="C2494" t="s">
        <v>1361</v>
      </c>
      <c r="D2494">
        <v>1</v>
      </c>
      <c r="E2494">
        <v>4</v>
      </c>
      <c r="F2494" t="s">
        <v>7</v>
      </c>
      <c r="G2494" t="s">
        <v>11</v>
      </c>
      <c r="H2494" t="s">
        <v>11</v>
      </c>
    </row>
    <row r="2495" spans="1:8" x14ac:dyDescent="0.35">
      <c r="A2495" t="s">
        <v>55</v>
      </c>
      <c r="B2495" t="s">
        <v>111</v>
      </c>
      <c r="C2495" t="s">
        <v>1362</v>
      </c>
      <c r="D2495">
        <v>2</v>
      </c>
      <c r="E2495">
        <v>4</v>
      </c>
      <c r="F2495" t="s">
        <v>7</v>
      </c>
      <c r="G2495" t="s">
        <v>11</v>
      </c>
      <c r="H2495" t="s">
        <v>11</v>
      </c>
    </row>
    <row r="2496" spans="1:8" x14ac:dyDescent="0.35">
      <c r="A2496" t="s">
        <v>55</v>
      </c>
      <c r="B2496" t="s">
        <v>111</v>
      </c>
      <c r="C2496" t="s">
        <v>2541</v>
      </c>
      <c r="D2496">
        <v>1</v>
      </c>
      <c r="E2496">
        <v>4</v>
      </c>
      <c r="F2496" t="s">
        <v>7</v>
      </c>
      <c r="G2496" t="s">
        <v>11</v>
      </c>
      <c r="H2496" t="s">
        <v>11</v>
      </c>
    </row>
    <row r="2497" spans="1:8" x14ac:dyDescent="0.35">
      <c r="A2497" t="s">
        <v>55</v>
      </c>
      <c r="B2497" t="s">
        <v>111</v>
      </c>
      <c r="C2497" t="s">
        <v>1363</v>
      </c>
      <c r="D2497">
        <v>3</v>
      </c>
      <c r="E2497">
        <v>4</v>
      </c>
      <c r="F2497" t="s">
        <v>7</v>
      </c>
      <c r="G2497" t="s">
        <v>11</v>
      </c>
      <c r="H2497" t="s">
        <v>11</v>
      </c>
    </row>
    <row r="2498" spans="1:8" x14ac:dyDescent="0.35">
      <c r="A2498" t="s">
        <v>55</v>
      </c>
      <c r="B2498" t="s">
        <v>111</v>
      </c>
      <c r="C2498" t="s">
        <v>2806</v>
      </c>
      <c r="D2498">
        <v>3</v>
      </c>
      <c r="E2498">
        <v>4</v>
      </c>
      <c r="F2498" t="s">
        <v>7</v>
      </c>
      <c r="G2498" t="s">
        <v>11</v>
      </c>
      <c r="H2498" t="s">
        <v>11</v>
      </c>
    </row>
    <row r="2499" spans="1:8" x14ac:dyDescent="0.35">
      <c r="A2499" t="s">
        <v>55</v>
      </c>
      <c r="B2499" t="s">
        <v>111</v>
      </c>
      <c r="C2499" t="s">
        <v>2807</v>
      </c>
      <c r="D2499">
        <v>2</v>
      </c>
      <c r="E2499">
        <v>4</v>
      </c>
      <c r="F2499" t="s">
        <v>7</v>
      </c>
      <c r="G2499" t="s">
        <v>11</v>
      </c>
      <c r="H2499" t="s">
        <v>11</v>
      </c>
    </row>
    <row r="2500" spans="1:8" x14ac:dyDescent="0.35">
      <c r="A2500" t="s">
        <v>55</v>
      </c>
      <c r="B2500" t="s">
        <v>111</v>
      </c>
      <c r="C2500" t="s">
        <v>1364</v>
      </c>
      <c r="D2500">
        <v>1</v>
      </c>
      <c r="E2500">
        <v>4</v>
      </c>
      <c r="F2500" t="s">
        <v>7</v>
      </c>
      <c r="G2500" t="s">
        <v>11</v>
      </c>
      <c r="H2500" t="s">
        <v>11</v>
      </c>
    </row>
    <row r="2501" spans="1:8" x14ac:dyDescent="0.35">
      <c r="A2501" t="s">
        <v>55</v>
      </c>
      <c r="B2501" t="s">
        <v>111</v>
      </c>
      <c r="C2501" t="s">
        <v>2808</v>
      </c>
      <c r="D2501">
        <v>2</v>
      </c>
      <c r="E2501">
        <v>4</v>
      </c>
      <c r="F2501" t="s">
        <v>7</v>
      </c>
      <c r="G2501" t="s">
        <v>11</v>
      </c>
      <c r="H2501" t="s">
        <v>11</v>
      </c>
    </row>
    <row r="2502" spans="1:8" x14ac:dyDescent="0.35">
      <c r="A2502" t="s">
        <v>55</v>
      </c>
      <c r="B2502" t="s">
        <v>111</v>
      </c>
      <c r="C2502" t="s">
        <v>1464</v>
      </c>
      <c r="D2502">
        <v>2</v>
      </c>
      <c r="E2502">
        <v>4</v>
      </c>
      <c r="F2502" t="s">
        <v>7</v>
      </c>
      <c r="G2502" t="s">
        <v>11</v>
      </c>
      <c r="H2502" t="s">
        <v>11</v>
      </c>
    </row>
    <row r="2503" spans="1:8" x14ac:dyDescent="0.35">
      <c r="A2503" t="s">
        <v>55</v>
      </c>
      <c r="B2503" t="s">
        <v>111</v>
      </c>
      <c r="C2503" t="s">
        <v>1642</v>
      </c>
      <c r="D2503">
        <v>2</v>
      </c>
      <c r="E2503">
        <v>4</v>
      </c>
      <c r="F2503" t="s">
        <v>7</v>
      </c>
      <c r="G2503" t="s">
        <v>11</v>
      </c>
      <c r="H2503" t="s">
        <v>11</v>
      </c>
    </row>
    <row r="2504" spans="1:8" x14ac:dyDescent="0.35">
      <c r="A2504" t="s">
        <v>55</v>
      </c>
      <c r="B2504" t="s">
        <v>111</v>
      </c>
      <c r="C2504" t="s">
        <v>2809</v>
      </c>
      <c r="D2504">
        <v>3</v>
      </c>
      <c r="E2504">
        <v>4</v>
      </c>
      <c r="F2504" t="s">
        <v>7</v>
      </c>
      <c r="G2504" t="s">
        <v>11</v>
      </c>
      <c r="H2504" t="s">
        <v>11</v>
      </c>
    </row>
    <row r="2505" spans="1:8" x14ac:dyDescent="0.35">
      <c r="A2505" t="s">
        <v>55</v>
      </c>
      <c r="B2505" t="s">
        <v>111</v>
      </c>
      <c r="C2505" t="s">
        <v>2810</v>
      </c>
      <c r="D2505">
        <v>1</v>
      </c>
      <c r="E2505">
        <v>4</v>
      </c>
      <c r="F2505" t="s">
        <v>7</v>
      </c>
      <c r="G2505" t="s">
        <v>11</v>
      </c>
      <c r="H2505" t="s">
        <v>11</v>
      </c>
    </row>
    <row r="2506" spans="1:8" x14ac:dyDescent="0.35">
      <c r="A2506" t="s">
        <v>55</v>
      </c>
      <c r="B2506" t="s">
        <v>111</v>
      </c>
      <c r="C2506" t="s">
        <v>2054</v>
      </c>
      <c r="D2506">
        <v>2</v>
      </c>
      <c r="E2506">
        <v>4</v>
      </c>
      <c r="F2506" t="s">
        <v>7</v>
      </c>
      <c r="G2506" t="s">
        <v>11</v>
      </c>
      <c r="H2506" t="s">
        <v>11</v>
      </c>
    </row>
    <row r="2507" spans="1:8" x14ac:dyDescent="0.35">
      <c r="A2507" t="s">
        <v>55</v>
      </c>
      <c r="B2507" t="s">
        <v>111</v>
      </c>
      <c r="C2507" t="s">
        <v>2553</v>
      </c>
      <c r="D2507">
        <v>1</v>
      </c>
      <c r="E2507">
        <v>4</v>
      </c>
      <c r="F2507" t="s">
        <v>7</v>
      </c>
      <c r="G2507" t="s">
        <v>11</v>
      </c>
      <c r="H2507" t="s">
        <v>11</v>
      </c>
    </row>
    <row r="2508" spans="1:8" x14ac:dyDescent="0.35">
      <c r="A2508" t="s">
        <v>55</v>
      </c>
      <c r="B2508" t="s">
        <v>111</v>
      </c>
      <c r="C2508" t="s">
        <v>1470</v>
      </c>
      <c r="D2508">
        <v>3</v>
      </c>
      <c r="E2508">
        <v>4</v>
      </c>
      <c r="F2508" t="s">
        <v>7</v>
      </c>
      <c r="G2508" t="s">
        <v>11</v>
      </c>
      <c r="H2508" t="s">
        <v>11</v>
      </c>
    </row>
    <row r="2509" spans="1:8" x14ac:dyDescent="0.35">
      <c r="A2509" t="s">
        <v>55</v>
      </c>
      <c r="B2509" t="s">
        <v>111</v>
      </c>
      <c r="C2509" t="s">
        <v>2811</v>
      </c>
      <c r="D2509">
        <v>3</v>
      </c>
      <c r="E2509">
        <v>4</v>
      </c>
      <c r="F2509" t="s">
        <v>7</v>
      </c>
      <c r="G2509" t="s">
        <v>11</v>
      </c>
      <c r="H2509" t="s">
        <v>11</v>
      </c>
    </row>
    <row r="2510" spans="1:8" x14ac:dyDescent="0.35">
      <c r="A2510" t="s">
        <v>55</v>
      </c>
      <c r="B2510" t="s">
        <v>111</v>
      </c>
      <c r="C2510" t="s">
        <v>1473</v>
      </c>
      <c r="D2510">
        <v>2</v>
      </c>
      <c r="E2510">
        <v>4</v>
      </c>
      <c r="F2510" t="s">
        <v>7</v>
      </c>
      <c r="G2510" t="s">
        <v>11</v>
      </c>
      <c r="H2510" t="s">
        <v>11</v>
      </c>
    </row>
    <row r="2511" spans="1:8" x14ac:dyDescent="0.35">
      <c r="A2511" t="s">
        <v>55</v>
      </c>
      <c r="B2511" t="s">
        <v>111</v>
      </c>
      <c r="C2511" t="s">
        <v>1370</v>
      </c>
      <c r="D2511">
        <v>3</v>
      </c>
      <c r="E2511">
        <v>3</v>
      </c>
      <c r="F2511" t="s">
        <v>7</v>
      </c>
      <c r="G2511" t="s">
        <v>11</v>
      </c>
      <c r="H2511" t="s">
        <v>11</v>
      </c>
    </row>
    <row r="2512" spans="1:8" x14ac:dyDescent="0.35">
      <c r="A2512" t="s">
        <v>55</v>
      </c>
      <c r="B2512" t="s">
        <v>111</v>
      </c>
      <c r="C2512" t="s">
        <v>1995</v>
      </c>
      <c r="D2512">
        <v>1</v>
      </c>
      <c r="E2512">
        <v>4</v>
      </c>
      <c r="F2512" t="s">
        <v>7</v>
      </c>
      <c r="G2512" t="s">
        <v>11</v>
      </c>
      <c r="H2512" t="s">
        <v>11</v>
      </c>
    </row>
    <row r="2513" spans="1:8" x14ac:dyDescent="0.35">
      <c r="A2513" t="s">
        <v>55</v>
      </c>
      <c r="B2513" t="s">
        <v>111</v>
      </c>
      <c r="C2513" t="s">
        <v>1738</v>
      </c>
      <c r="D2513">
        <v>2</v>
      </c>
      <c r="E2513">
        <v>4</v>
      </c>
      <c r="F2513" t="s">
        <v>7</v>
      </c>
      <c r="G2513" t="s">
        <v>11</v>
      </c>
      <c r="H2513" t="s">
        <v>11</v>
      </c>
    </row>
    <row r="2514" spans="1:8" x14ac:dyDescent="0.35">
      <c r="A2514" t="s">
        <v>55</v>
      </c>
      <c r="B2514" t="s">
        <v>111</v>
      </c>
      <c r="C2514" t="s">
        <v>1885</v>
      </c>
      <c r="D2514">
        <v>1</v>
      </c>
      <c r="E2514">
        <v>4</v>
      </c>
      <c r="F2514" t="s">
        <v>7</v>
      </c>
      <c r="G2514" t="s">
        <v>11</v>
      </c>
      <c r="H2514" t="s">
        <v>11</v>
      </c>
    </row>
    <row r="2515" spans="1:8" x14ac:dyDescent="0.35">
      <c r="A2515" t="s">
        <v>55</v>
      </c>
      <c r="B2515" t="s">
        <v>111</v>
      </c>
      <c r="C2515" t="s">
        <v>1999</v>
      </c>
      <c r="D2515">
        <v>2</v>
      </c>
      <c r="E2515">
        <v>4</v>
      </c>
      <c r="F2515" t="s">
        <v>7</v>
      </c>
      <c r="G2515" t="s">
        <v>11</v>
      </c>
      <c r="H2515" t="s">
        <v>11</v>
      </c>
    </row>
    <row r="2516" spans="1:8" x14ac:dyDescent="0.35">
      <c r="A2516" t="s">
        <v>55</v>
      </c>
      <c r="B2516" t="s">
        <v>111</v>
      </c>
      <c r="C2516" t="s">
        <v>1888</v>
      </c>
      <c r="D2516">
        <v>3</v>
      </c>
      <c r="E2516">
        <v>3</v>
      </c>
      <c r="F2516" t="s">
        <v>7</v>
      </c>
      <c r="G2516" t="s">
        <v>11</v>
      </c>
      <c r="H2516" t="s">
        <v>11</v>
      </c>
    </row>
    <row r="2517" spans="1:8" x14ac:dyDescent="0.35">
      <c r="A2517" t="s">
        <v>55</v>
      </c>
      <c r="B2517" t="s">
        <v>111</v>
      </c>
      <c r="C2517" t="s">
        <v>2812</v>
      </c>
      <c r="D2517">
        <v>1</v>
      </c>
      <c r="E2517">
        <v>4</v>
      </c>
      <c r="F2517" t="s">
        <v>7</v>
      </c>
      <c r="G2517" t="s">
        <v>11</v>
      </c>
      <c r="H2517" t="s">
        <v>11</v>
      </c>
    </row>
    <row r="2518" spans="1:8" x14ac:dyDescent="0.35">
      <c r="A2518" t="s">
        <v>55</v>
      </c>
      <c r="B2518" t="s">
        <v>111</v>
      </c>
      <c r="C2518" t="s">
        <v>2813</v>
      </c>
      <c r="D2518">
        <v>2</v>
      </c>
      <c r="E2518">
        <v>4</v>
      </c>
      <c r="F2518" t="s">
        <v>7</v>
      </c>
      <c r="G2518" t="s">
        <v>11</v>
      </c>
      <c r="H2518" t="s">
        <v>11</v>
      </c>
    </row>
    <row r="2519" spans="1:8" x14ac:dyDescent="0.35">
      <c r="A2519" t="s">
        <v>55</v>
      </c>
      <c r="B2519" t="s">
        <v>111</v>
      </c>
      <c r="C2519" t="s">
        <v>1476</v>
      </c>
      <c r="D2519">
        <v>1</v>
      </c>
      <c r="E2519">
        <v>4</v>
      </c>
      <c r="F2519" t="s">
        <v>7</v>
      </c>
      <c r="G2519" t="s">
        <v>11</v>
      </c>
      <c r="H2519" t="s">
        <v>11</v>
      </c>
    </row>
    <row r="2520" spans="1:8" x14ac:dyDescent="0.35">
      <c r="A2520" t="s">
        <v>55</v>
      </c>
      <c r="B2520" t="s">
        <v>111</v>
      </c>
      <c r="C2520" t="s">
        <v>1477</v>
      </c>
      <c r="D2520">
        <v>2</v>
      </c>
      <c r="E2520">
        <v>4</v>
      </c>
      <c r="F2520" t="s">
        <v>7</v>
      </c>
      <c r="G2520" t="s">
        <v>11</v>
      </c>
      <c r="H2520" t="s">
        <v>11</v>
      </c>
    </row>
    <row r="2521" spans="1:8" x14ac:dyDescent="0.35">
      <c r="A2521" t="s">
        <v>55</v>
      </c>
      <c r="B2521" t="s">
        <v>111</v>
      </c>
      <c r="C2521" t="s">
        <v>1754</v>
      </c>
      <c r="D2521">
        <v>2</v>
      </c>
      <c r="E2521">
        <v>4</v>
      </c>
      <c r="F2521" t="s">
        <v>7</v>
      </c>
      <c r="G2521" t="s">
        <v>11</v>
      </c>
      <c r="H2521" t="s">
        <v>11</v>
      </c>
    </row>
    <row r="2522" spans="1:8" x14ac:dyDescent="0.35">
      <c r="A2522" t="s">
        <v>55</v>
      </c>
      <c r="B2522" t="s">
        <v>111</v>
      </c>
      <c r="C2522" t="s">
        <v>1376</v>
      </c>
      <c r="D2522">
        <v>1</v>
      </c>
      <c r="E2522">
        <v>4</v>
      </c>
      <c r="F2522" t="s">
        <v>7</v>
      </c>
      <c r="G2522" t="s">
        <v>11</v>
      </c>
      <c r="H2522" t="s">
        <v>11</v>
      </c>
    </row>
    <row r="2523" spans="1:8" x14ac:dyDescent="0.35">
      <c r="A2523" t="s">
        <v>55</v>
      </c>
      <c r="B2523" t="s">
        <v>111</v>
      </c>
      <c r="C2523" t="s">
        <v>1755</v>
      </c>
      <c r="D2523">
        <v>1</v>
      </c>
      <c r="E2523">
        <v>4</v>
      </c>
      <c r="F2523" t="s">
        <v>7</v>
      </c>
      <c r="G2523" t="s">
        <v>11</v>
      </c>
      <c r="H2523" t="s">
        <v>11</v>
      </c>
    </row>
    <row r="2524" spans="1:8" x14ac:dyDescent="0.35">
      <c r="A2524" t="s">
        <v>55</v>
      </c>
      <c r="B2524" t="s">
        <v>111</v>
      </c>
      <c r="C2524" t="s">
        <v>2814</v>
      </c>
      <c r="D2524">
        <v>3</v>
      </c>
      <c r="E2524">
        <v>4</v>
      </c>
      <c r="F2524" t="s">
        <v>7</v>
      </c>
      <c r="G2524" t="s">
        <v>11</v>
      </c>
      <c r="H2524" t="s">
        <v>11</v>
      </c>
    </row>
    <row r="2525" spans="1:8" x14ac:dyDescent="0.35">
      <c r="A2525" t="s">
        <v>55</v>
      </c>
      <c r="B2525" t="s">
        <v>111</v>
      </c>
      <c r="C2525" t="s">
        <v>1478</v>
      </c>
      <c r="D2525">
        <v>2</v>
      </c>
      <c r="E2525">
        <v>4</v>
      </c>
      <c r="F2525" t="s">
        <v>7</v>
      </c>
      <c r="G2525" t="s">
        <v>11</v>
      </c>
      <c r="H2525" t="s">
        <v>11</v>
      </c>
    </row>
    <row r="2526" spans="1:8" x14ac:dyDescent="0.35">
      <c r="A2526" t="s">
        <v>55</v>
      </c>
      <c r="B2526" t="s">
        <v>111</v>
      </c>
      <c r="C2526" t="s">
        <v>1851</v>
      </c>
      <c r="D2526">
        <v>1</v>
      </c>
      <c r="E2526">
        <v>4</v>
      </c>
      <c r="F2526" t="s">
        <v>7</v>
      </c>
      <c r="G2526" t="s">
        <v>11</v>
      </c>
      <c r="H2526" t="s">
        <v>11</v>
      </c>
    </row>
    <row r="2527" spans="1:8" x14ac:dyDescent="0.35">
      <c r="A2527" t="s">
        <v>55</v>
      </c>
      <c r="B2527" t="s">
        <v>111</v>
      </c>
      <c r="C2527" t="s">
        <v>2004</v>
      </c>
      <c r="D2527">
        <v>1</v>
      </c>
      <c r="E2527">
        <v>4</v>
      </c>
      <c r="F2527" t="s">
        <v>7</v>
      </c>
      <c r="G2527" t="s">
        <v>11</v>
      </c>
      <c r="H2527" t="s">
        <v>11</v>
      </c>
    </row>
    <row r="2528" spans="1:8" x14ac:dyDescent="0.35">
      <c r="A2528" t="s">
        <v>57</v>
      </c>
      <c r="B2528" t="s">
        <v>112</v>
      </c>
      <c r="C2528" t="s">
        <v>1940</v>
      </c>
      <c r="D2528">
        <v>3</v>
      </c>
      <c r="E2528">
        <v>2</v>
      </c>
      <c r="F2528" t="s">
        <v>7</v>
      </c>
      <c r="G2528" t="s">
        <v>115</v>
      </c>
      <c r="H2528" t="s">
        <v>11</v>
      </c>
    </row>
    <row r="2529" spans="1:8" x14ac:dyDescent="0.35">
      <c r="A2529" t="s">
        <v>57</v>
      </c>
      <c r="B2529" t="s">
        <v>112</v>
      </c>
      <c r="C2529" t="s">
        <v>2815</v>
      </c>
      <c r="D2529">
        <v>3</v>
      </c>
      <c r="E2529">
        <v>3</v>
      </c>
      <c r="F2529" t="s">
        <v>75</v>
      </c>
      <c r="G2529" t="s">
        <v>11</v>
      </c>
      <c r="H2529" t="s">
        <v>11</v>
      </c>
    </row>
    <row r="2530" spans="1:8" x14ac:dyDescent="0.35">
      <c r="A2530" t="s">
        <v>57</v>
      </c>
      <c r="B2530" t="s">
        <v>112</v>
      </c>
      <c r="C2530" t="s">
        <v>2816</v>
      </c>
      <c r="D2530">
        <v>3</v>
      </c>
      <c r="E2530">
        <v>2</v>
      </c>
      <c r="F2530" t="s">
        <v>7</v>
      </c>
      <c r="G2530" t="s">
        <v>115</v>
      </c>
      <c r="H2530" t="s">
        <v>11</v>
      </c>
    </row>
    <row r="2531" spans="1:8" x14ac:dyDescent="0.35">
      <c r="A2531" t="s">
        <v>57</v>
      </c>
      <c r="B2531" t="s">
        <v>112</v>
      </c>
      <c r="C2531" t="s">
        <v>2817</v>
      </c>
      <c r="D2531">
        <v>3</v>
      </c>
      <c r="E2531">
        <v>2</v>
      </c>
      <c r="F2531" t="s">
        <v>7</v>
      </c>
      <c r="G2531" t="s">
        <v>115</v>
      </c>
      <c r="H2531" t="s">
        <v>11</v>
      </c>
    </row>
    <row r="2532" spans="1:8" x14ac:dyDescent="0.35">
      <c r="A2532" t="s">
        <v>57</v>
      </c>
      <c r="B2532" t="s">
        <v>112</v>
      </c>
      <c r="C2532" t="s">
        <v>2818</v>
      </c>
      <c r="D2532">
        <v>3</v>
      </c>
      <c r="E2532">
        <v>3</v>
      </c>
      <c r="F2532" t="s">
        <v>7</v>
      </c>
      <c r="G2532" t="s">
        <v>11</v>
      </c>
      <c r="H2532" t="s">
        <v>11</v>
      </c>
    </row>
    <row r="2533" spans="1:8" x14ac:dyDescent="0.35">
      <c r="A2533" t="s">
        <v>57</v>
      </c>
      <c r="B2533" t="s">
        <v>112</v>
      </c>
      <c r="C2533" t="s">
        <v>2691</v>
      </c>
      <c r="D2533">
        <v>2</v>
      </c>
      <c r="E2533">
        <v>4</v>
      </c>
      <c r="F2533" t="s">
        <v>75</v>
      </c>
      <c r="G2533" t="s">
        <v>11</v>
      </c>
      <c r="H2533" t="s">
        <v>11</v>
      </c>
    </row>
    <row r="2534" spans="1:8" x14ac:dyDescent="0.35">
      <c r="A2534" t="s">
        <v>57</v>
      </c>
      <c r="B2534" t="s">
        <v>112</v>
      </c>
      <c r="C2534" t="s">
        <v>2819</v>
      </c>
      <c r="D2534">
        <v>3</v>
      </c>
      <c r="E2534">
        <v>2</v>
      </c>
      <c r="F2534" t="s">
        <v>7</v>
      </c>
      <c r="G2534" t="s">
        <v>115</v>
      </c>
      <c r="H2534" t="s">
        <v>11</v>
      </c>
    </row>
    <row r="2535" spans="1:8" x14ac:dyDescent="0.35">
      <c r="A2535" t="s">
        <v>57</v>
      </c>
      <c r="B2535" t="s">
        <v>112</v>
      </c>
      <c r="C2535" t="s">
        <v>2820</v>
      </c>
      <c r="D2535">
        <v>3</v>
      </c>
      <c r="E2535">
        <v>2</v>
      </c>
      <c r="F2535" t="s">
        <v>7</v>
      </c>
      <c r="G2535" t="s">
        <v>115</v>
      </c>
      <c r="H2535" t="s">
        <v>11</v>
      </c>
    </row>
    <row r="2536" spans="1:8" x14ac:dyDescent="0.35">
      <c r="A2536" t="s">
        <v>57</v>
      </c>
      <c r="B2536" t="s">
        <v>112</v>
      </c>
      <c r="C2536" t="s">
        <v>2821</v>
      </c>
      <c r="D2536">
        <v>2</v>
      </c>
      <c r="E2536">
        <v>4</v>
      </c>
      <c r="F2536" t="s">
        <v>75</v>
      </c>
      <c r="G2536" t="s">
        <v>11</v>
      </c>
      <c r="H2536" t="s">
        <v>11</v>
      </c>
    </row>
    <row r="2537" spans="1:8" x14ac:dyDescent="0.35">
      <c r="A2537" t="s">
        <v>57</v>
      </c>
      <c r="B2537" t="s">
        <v>112</v>
      </c>
      <c r="C2537" t="s">
        <v>2822</v>
      </c>
      <c r="D2537">
        <v>3</v>
      </c>
      <c r="E2537">
        <v>2</v>
      </c>
      <c r="F2537" t="s">
        <v>75</v>
      </c>
      <c r="G2537" t="s">
        <v>11</v>
      </c>
      <c r="H2537" t="s">
        <v>11</v>
      </c>
    </row>
    <row r="2538" spans="1:8" x14ac:dyDescent="0.35">
      <c r="A2538" t="s">
        <v>57</v>
      </c>
      <c r="B2538" t="s">
        <v>112</v>
      </c>
      <c r="C2538" t="s">
        <v>2823</v>
      </c>
      <c r="D2538">
        <v>3</v>
      </c>
      <c r="E2538">
        <v>2</v>
      </c>
      <c r="F2538" t="s">
        <v>7</v>
      </c>
      <c r="G2538" t="s">
        <v>115</v>
      </c>
      <c r="H2538" t="s">
        <v>11</v>
      </c>
    </row>
    <row r="2539" spans="1:8" x14ac:dyDescent="0.35">
      <c r="A2539" t="s">
        <v>57</v>
      </c>
      <c r="B2539" t="s">
        <v>112</v>
      </c>
      <c r="C2539" t="s">
        <v>2824</v>
      </c>
      <c r="D2539">
        <v>3</v>
      </c>
      <c r="E2539">
        <v>3</v>
      </c>
      <c r="F2539" t="s">
        <v>75</v>
      </c>
      <c r="G2539" t="s">
        <v>11</v>
      </c>
      <c r="H2539" t="s">
        <v>11</v>
      </c>
    </row>
    <row r="2540" spans="1:8" x14ac:dyDescent="0.35">
      <c r="A2540" t="s">
        <v>57</v>
      </c>
      <c r="B2540" t="s">
        <v>112</v>
      </c>
      <c r="C2540" t="s">
        <v>2825</v>
      </c>
      <c r="D2540">
        <v>3</v>
      </c>
      <c r="E2540">
        <v>2</v>
      </c>
      <c r="F2540" t="s">
        <v>7</v>
      </c>
      <c r="G2540" t="s">
        <v>115</v>
      </c>
      <c r="H2540" t="s">
        <v>11</v>
      </c>
    </row>
    <row r="2541" spans="1:8" x14ac:dyDescent="0.35">
      <c r="A2541" t="s">
        <v>57</v>
      </c>
      <c r="B2541" t="s">
        <v>112</v>
      </c>
      <c r="C2541" t="s">
        <v>2010</v>
      </c>
      <c r="D2541">
        <v>3</v>
      </c>
      <c r="E2541">
        <v>2</v>
      </c>
      <c r="F2541" t="s">
        <v>7</v>
      </c>
      <c r="G2541" t="s">
        <v>115</v>
      </c>
      <c r="H2541" t="s">
        <v>11</v>
      </c>
    </row>
    <row r="2542" spans="1:8" x14ac:dyDescent="0.35">
      <c r="A2542" t="s">
        <v>57</v>
      </c>
      <c r="B2542" t="s">
        <v>112</v>
      </c>
      <c r="C2542" t="s">
        <v>2826</v>
      </c>
      <c r="D2542">
        <v>3</v>
      </c>
      <c r="E2542">
        <v>2</v>
      </c>
      <c r="F2542" t="s">
        <v>7</v>
      </c>
      <c r="G2542" t="s">
        <v>115</v>
      </c>
      <c r="H2542" t="s">
        <v>11</v>
      </c>
    </row>
    <row r="2543" spans="1:8" x14ac:dyDescent="0.35">
      <c r="A2543" t="s">
        <v>57</v>
      </c>
      <c r="B2543" t="s">
        <v>112</v>
      </c>
      <c r="C2543" t="s">
        <v>2827</v>
      </c>
      <c r="D2543">
        <v>3</v>
      </c>
      <c r="E2543">
        <v>3</v>
      </c>
      <c r="F2543" t="s">
        <v>7</v>
      </c>
      <c r="G2543" t="s">
        <v>115</v>
      </c>
      <c r="H2543" t="s">
        <v>11</v>
      </c>
    </row>
    <row r="2544" spans="1:8" x14ac:dyDescent="0.35">
      <c r="A2544" t="s">
        <v>57</v>
      </c>
      <c r="B2544" t="s">
        <v>112</v>
      </c>
      <c r="C2544" t="s">
        <v>2828</v>
      </c>
      <c r="D2544">
        <v>3</v>
      </c>
      <c r="E2544">
        <v>3</v>
      </c>
      <c r="F2544" t="s">
        <v>75</v>
      </c>
      <c r="G2544" t="s">
        <v>11</v>
      </c>
      <c r="H2544" t="s">
        <v>11</v>
      </c>
    </row>
    <row r="2545" spans="1:8" x14ac:dyDescent="0.35">
      <c r="A2545" t="s">
        <v>57</v>
      </c>
      <c r="B2545" t="s">
        <v>112</v>
      </c>
      <c r="C2545" t="s">
        <v>2829</v>
      </c>
      <c r="D2545">
        <v>3</v>
      </c>
      <c r="E2545">
        <v>2</v>
      </c>
      <c r="F2545" t="s">
        <v>7</v>
      </c>
      <c r="G2545" t="s">
        <v>115</v>
      </c>
      <c r="H2545" t="s">
        <v>11</v>
      </c>
    </row>
    <row r="2546" spans="1:8" x14ac:dyDescent="0.35">
      <c r="A2546" t="s">
        <v>57</v>
      </c>
      <c r="B2546" t="s">
        <v>112</v>
      </c>
      <c r="C2546" t="s">
        <v>2830</v>
      </c>
      <c r="D2546">
        <v>3</v>
      </c>
      <c r="E2546">
        <v>3</v>
      </c>
      <c r="F2546" t="s">
        <v>7</v>
      </c>
      <c r="G2546" t="s">
        <v>115</v>
      </c>
      <c r="H2546" t="s">
        <v>11</v>
      </c>
    </row>
    <row r="2547" spans="1:8" x14ac:dyDescent="0.35">
      <c r="A2547" t="s">
        <v>57</v>
      </c>
      <c r="B2547" t="s">
        <v>112</v>
      </c>
      <c r="C2547" t="s">
        <v>2831</v>
      </c>
      <c r="D2547">
        <v>3</v>
      </c>
      <c r="E2547">
        <v>2</v>
      </c>
      <c r="F2547" t="s">
        <v>7</v>
      </c>
      <c r="G2547" t="s">
        <v>115</v>
      </c>
      <c r="H2547" t="s">
        <v>11</v>
      </c>
    </row>
    <row r="2548" spans="1:8" x14ac:dyDescent="0.35">
      <c r="A2548" t="s">
        <v>57</v>
      </c>
      <c r="B2548" t="s">
        <v>112</v>
      </c>
      <c r="C2548" t="s">
        <v>2832</v>
      </c>
      <c r="D2548">
        <v>3</v>
      </c>
      <c r="E2548">
        <v>2</v>
      </c>
      <c r="F2548" t="s">
        <v>7</v>
      </c>
      <c r="G2548" t="s">
        <v>115</v>
      </c>
      <c r="H2548" t="s">
        <v>11</v>
      </c>
    </row>
    <row r="2549" spans="1:8" x14ac:dyDescent="0.35">
      <c r="A2549" t="s">
        <v>57</v>
      </c>
      <c r="B2549" t="s">
        <v>112</v>
      </c>
      <c r="C2549" t="s">
        <v>2833</v>
      </c>
      <c r="D2549">
        <v>2</v>
      </c>
      <c r="E2549">
        <v>3</v>
      </c>
      <c r="F2549" t="s">
        <v>75</v>
      </c>
      <c r="G2549" t="s">
        <v>11</v>
      </c>
      <c r="H2549" t="s">
        <v>11</v>
      </c>
    </row>
    <row r="2550" spans="1:8" x14ac:dyDescent="0.35">
      <c r="A2550" t="s">
        <v>57</v>
      </c>
      <c r="B2550" t="s">
        <v>112</v>
      </c>
      <c r="C2550" t="s">
        <v>2834</v>
      </c>
      <c r="D2550">
        <v>3</v>
      </c>
      <c r="E2550">
        <v>4</v>
      </c>
      <c r="F2550" t="s">
        <v>75</v>
      </c>
      <c r="G2550" t="s">
        <v>11</v>
      </c>
      <c r="H2550" t="s">
        <v>11</v>
      </c>
    </row>
    <row r="2551" spans="1:8" x14ac:dyDescent="0.35">
      <c r="A2551" t="s">
        <v>57</v>
      </c>
      <c r="B2551" t="s">
        <v>112</v>
      </c>
      <c r="C2551" t="s">
        <v>1663</v>
      </c>
      <c r="D2551">
        <v>3</v>
      </c>
      <c r="E2551">
        <v>2</v>
      </c>
      <c r="F2551" t="s">
        <v>7</v>
      </c>
      <c r="G2551" t="s">
        <v>115</v>
      </c>
      <c r="H2551" t="s">
        <v>11</v>
      </c>
    </row>
    <row r="2552" spans="1:8" x14ac:dyDescent="0.35">
      <c r="A2552" t="s">
        <v>57</v>
      </c>
      <c r="B2552" t="s">
        <v>112</v>
      </c>
      <c r="C2552" t="s">
        <v>1802</v>
      </c>
      <c r="D2552">
        <v>3</v>
      </c>
      <c r="E2552">
        <v>3</v>
      </c>
      <c r="F2552" t="s">
        <v>7</v>
      </c>
      <c r="G2552" t="s">
        <v>115</v>
      </c>
      <c r="H2552" t="s">
        <v>11</v>
      </c>
    </row>
    <row r="2553" spans="1:8" x14ac:dyDescent="0.35">
      <c r="A2553" t="s">
        <v>57</v>
      </c>
      <c r="B2553" t="s">
        <v>112</v>
      </c>
      <c r="C2553" t="s">
        <v>2835</v>
      </c>
      <c r="D2553">
        <v>3</v>
      </c>
      <c r="E2553">
        <v>2</v>
      </c>
      <c r="F2553" t="s">
        <v>7</v>
      </c>
      <c r="G2553" t="s">
        <v>115</v>
      </c>
      <c r="H2553" t="s">
        <v>11</v>
      </c>
    </row>
    <row r="2554" spans="1:8" x14ac:dyDescent="0.35">
      <c r="A2554" t="s">
        <v>57</v>
      </c>
      <c r="B2554" t="s">
        <v>112</v>
      </c>
      <c r="C2554" t="s">
        <v>2836</v>
      </c>
      <c r="D2554">
        <v>3</v>
      </c>
      <c r="E2554">
        <v>3</v>
      </c>
      <c r="F2554" t="s">
        <v>7</v>
      </c>
      <c r="G2554" t="s">
        <v>115</v>
      </c>
      <c r="H2554" t="s">
        <v>11</v>
      </c>
    </row>
    <row r="2555" spans="1:8" x14ac:dyDescent="0.35">
      <c r="A2555" t="s">
        <v>57</v>
      </c>
      <c r="B2555" t="s">
        <v>112</v>
      </c>
      <c r="C2555" t="s">
        <v>2017</v>
      </c>
      <c r="D2555">
        <v>3</v>
      </c>
      <c r="E2555">
        <v>2</v>
      </c>
      <c r="F2555" t="s">
        <v>7</v>
      </c>
      <c r="G2555" t="s">
        <v>115</v>
      </c>
      <c r="H2555" t="s">
        <v>11</v>
      </c>
    </row>
    <row r="2556" spans="1:8" x14ac:dyDescent="0.35">
      <c r="A2556" t="s">
        <v>57</v>
      </c>
      <c r="B2556" t="s">
        <v>112</v>
      </c>
      <c r="C2556" t="s">
        <v>1319</v>
      </c>
      <c r="D2556">
        <v>3</v>
      </c>
      <c r="E2556">
        <v>2</v>
      </c>
      <c r="F2556" t="s">
        <v>7</v>
      </c>
      <c r="G2556" t="s">
        <v>115</v>
      </c>
      <c r="H2556" t="s">
        <v>11</v>
      </c>
    </row>
    <row r="2557" spans="1:8" x14ac:dyDescent="0.35">
      <c r="A2557" t="s">
        <v>57</v>
      </c>
      <c r="B2557" t="s">
        <v>112</v>
      </c>
      <c r="C2557" t="s">
        <v>2837</v>
      </c>
      <c r="D2557">
        <v>3</v>
      </c>
      <c r="E2557">
        <v>3</v>
      </c>
      <c r="F2557" t="s">
        <v>75</v>
      </c>
      <c r="G2557" t="s">
        <v>11</v>
      </c>
      <c r="H2557" t="s">
        <v>11</v>
      </c>
    </row>
    <row r="2558" spans="1:8" x14ac:dyDescent="0.35">
      <c r="A2558" t="s">
        <v>57</v>
      </c>
      <c r="B2558" t="s">
        <v>112</v>
      </c>
      <c r="C2558" t="s">
        <v>2071</v>
      </c>
      <c r="D2558">
        <v>3</v>
      </c>
      <c r="E2558">
        <v>2</v>
      </c>
      <c r="F2558" t="s">
        <v>7</v>
      </c>
      <c r="G2558" t="s">
        <v>115</v>
      </c>
      <c r="H2558" t="s">
        <v>11</v>
      </c>
    </row>
    <row r="2559" spans="1:8" x14ac:dyDescent="0.35">
      <c r="A2559" t="s">
        <v>57</v>
      </c>
      <c r="B2559" t="s">
        <v>112</v>
      </c>
      <c r="C2559" t="s">
        <v>2838</v>
      </c>
      <c r="D2559">
        <v>3</v>
      </c>
      <c r="E2559">
        <v>3</v>
      </c>
      <c r="F2559" t="s">
        <v>7</v>
      </c>
      <c r="G2559" t="s">
        <v>115</v>
      </c>
      <c r="H2559" t="s">
        <v>11</v>
      </c>
    </row>
    <row r="2560" spans="1:8" x14ac:dyDescent="0.35">
      <c r="A2560" t="s">
        <v>57</v>
      </c>
      <c r="B2560" t="s">
        <v>112</v>
      </c>
      <c r="C2560" t="s">
        <v>2839</v>
      </c>
      <c r="D2560">
        <v>2</v>
      </c>
      <c r="E2560">
        <v>4</v>
      </c>
      <c r="F2560" t="s">
        <v>75</v>
      </c>
      <c r="G2560" t="s">
        <v>11</v>
      </c>
      <c r="H2560" t="s">
        <v>11</v>
      </c>
    </row>
    <row r="2561" spans="1:8" x14ac:dyDescent="0.35">
      <c r="A2561" t="s">
        <v>57</v>
      </c>
      <c r="B2561" t="s">
        <v>112</v>
      </c>
      <c r="C2561" t="s">
        <v>1804</v>
      </c>
      <c r="D2561">
        <v>3</v>
      </c>
      <c r="E2561">
        <v>3</v>
      </c>
      <c r="F2561" t="s">
        <v>7</v>
      </c>
      <c r="G2561" t="s">
        <v>115</v>
      </c>
      <c r="H2561" t="s">
        <v>11</v>
      </c>
    </row>
    <row r="2562" spans="1:8" x14ac:dyDescent="0.35">
      <c r="A2562" t="s">
        <v>57</v>
      </c>
      <c r="B2562" t="s">
        <v>112</v>
      </c>
      <c r="C2562" t="s">
        <v>2840</v>
      </c>
      <c r="D2562">
        <v>2</v>
      </c>
      <c r="E2562">
        <v>4</v>
      </c>
      <c r="F2562" t="s">
        <v>75</v>
      </c>
      <c r="G2562" t="s">
        <v>11</v>
      </c>
      <c r="H2562" t="s">
        <v>11</v>
      </c>
    </row>
    <row r="2563" spans="1:8" x14ac:dyDescent="0.35">
      <c r="A2563" t="s">
        <v>57</v>
      </c>
      <c r="B2563" t="s">
        <v>112</v>
      </c>
      <c r="C2563" t="s">
        <v>1320</v>
      </c>
      <c r="D2563">
        <v>3</v>
      </c>
      <c r="E2563">
        <v>2</v>
      </c>
      <c r="F2563" t="s">
        <v>7</v>
      </c>
      <c r="G2563" t="s">
        <v>115</v>
      </c>
      <c r="H2563" t="s">
        <v>11</v>
      </c>
    </row>
    <row r="2564" spans="1:8" x14ac:dyDescent="0.35">
      <c r="A2564" t="s">
        <v>57</v>
      </c>
      <c r="B2564" t="s">
        <v>112</v>
      </c>
      <c r="C2564" t="s">
        <v>1321</v>
      </c>
      <c r="D2564">
        <v>3</v>
      </c>
      <c r="E2564">
        <v>2</v>
      </c>
      <c r="F2564" t="s">
        <v>7</v>
      </c>
      <c r="G2564" t="s">
        <v>115</v>
      </c>
      <c r="H2564" t="s">
        <v>11</v>
      </c>
    </row>
    <row r="2565" spans="1:8" x14ac:dyDescent="0.35">
      <c r="A2565" t="s">
        <v>57</v>
      </c>
      <c r="B2565" t="s">
        <v>112</v>
      </c>
      <c r="C2565" t="s">
        <v>2841</v>
      </c>
      <c r="D2565">
        <v>3</v>
      </c>
      <c r="E2565">
        <v>3</v>
      </c>
      <c r="F2565" t="s">
        <v>75</v>
      </c>
      <c r="G2565" t="s">
        <v>11</v>
      </c>
      <c r="H2565" t="s">
        <v>11</v>
      </c>
    </row>
    <row r="2566" spans="1:8" x14ac:dyDescent="0.35">
      <c r="A2566" t="s">
        <v>57</v>
      </c>
      <c r="B2566" t="s">
        <v>112</v>
      </c>
      <c r="C2566" t="s">
        <v>1325</v>
      </c>
      <c r="D2566">
        <v>3</v>
      </c>
      <c r="E2566">
        <v>3</v>
      </c>
      <c r="F2566" t="s">
        <v>7</v>
      </c>
      <c r="G2566" t="s">
        <v>11</v>
      </c>
      <c r="H2566" t="s">
        <v>11</v>
      </c>
    </row>
    <row r="2567" spans="1:8" x14ac:dyDescent="0.35">
      <c r="A2567" t="s">
        <v>57</v>
      </c>
      <c r="B2567" t="s">
        <v>112</v>
      </c>
      <c r="C2567" t="s">
        <v>2842</v>
      </c>
      <c r="D2567">
        <v>3</v>
      </c>
      <c r="E2567">
        <v>4</v>
      </c>
      <c r="F2567" t="s">
        <v>75</v>
      </c>
      <c r="G2567" t="s">
        <v>11</v>
      </c>
      <c r="H2567" t="s">
        <v>11</v>
      </c>
    </row>
    <row r="2568" spans="1:8" x14ac:dyDescent="0.35">
      <c r="A2568" t="s">
        <v>57</v>
      </c>
      <c r="B2568" t="s">
        <v>112</v>
      </c>
      <c r="C2568" t="s">
        <v>2843</v>
      </c>
      <c r="D2568">
        <v>3</v>
      </c>
      <c r="E2568">
        <v>3</v>
      </c>
      <c r="F2568" t="s">
        <v>75</v>
      </c>
      <c r="G2568" t="s">
        <v>11</v>
      </c>
      <c r="H2568" t="s">
        <v>11</v>
      </c>
    </row>
    <row r="2569" spans="1:8" x14ac:dyDescent="0.35">
      <c r="A2569" t="s">
        <v>57</v>
      </c>
      <c r="B2569" t="s">
        <v>112</v>
      </c>
      <c r="C2569" t="s">
        <v>2844</v>
      </c>
      <c r="D2569">
        <v>3</v>
      </c>
      <c r="E2569">
        <v>3</v>
      </c>
      <c r="F2569" t="s">
        <v>75</v>
      </c>
      <c r="G2569" t="s">
        <v>11</v>
      </c>
      <c r="H2569" t="s">
        <v>11</v>
      </c>
    </row>
    <row r="2570" spans="1:8" x14ac:dyDescent="0.35">
      <c r="A2570" t="s">
        <v>57</v>
      </c>
      <c r="B2570" t="s">
        <v>112</v>
      </c>
      <c r="C2570" t="s">
        <v>2845</v>
      </c>
      <c r="D2570">
        <v>3</v>
      </c>
      <c r="E2570">
        <v>3</v>
      </c>
      <c r="F2570" t="s">
        <v>7</v>
      </c>
      <c r="G2570" t="s">
        <v>115</v>
      </c>
      <c r="H2570" t="s">
        <v>11</v>
      </c>
    </row>
    <row r="2571" spans="1:8" x14ac:dyDescent="0.35">
      <c r="A2571" t="s">
        <v>57</v>
      </c>
      <c r="B2571" t="s">
        <v>112</v>
      </c>
      <c r="C2571" t="s">
        <v>2846</v>
      </c>
      <c r="D2571">
        <v>3</v>
      </c>
      <c r="E2571">
        <v>3</v>
      </c>
      <c r="F2571" t="s">
        <v>75</v>
      </c>
      <c r="G2571" t="s">
        <v>11</v>
      </c>
      <c r="H2571" t="s">
        <v>11</v>
      </c>
    </row>
    <row r="2572" spans="1:8" x14ac:dyDescent="0.35">
      <c r="A2572" t="s">
        <v>57</v>
      </c>
      <c r="B2572" t="s">
        <v>112</v>
      </c>
      <c r="C2572" t="s">
        <v>2847</v>
      </c>
      <c r="D2572">
        <v>3</v>
      </c>
      <c r="E2572">
        <v>2</v>
      </c>
      <c r="F2572" t="s">
        <v>7</v>
      </c>
      <c r="G2572" t="s">
        <v>115</v>
      </c>
      <c r="H2572" t="s">
        <v>11</v>
      </c>
    </row>
    <row r="2573" spans="1:8" x14ac:dyDescent="0.35">
      <c r="A2573" t="s">
        <v>57</v>
      </c>
      <c r="B2573" t="s">
        <v>112</v>
      </c>
      <c r="C2573" t="s">
        <v>2848</v>
      </c>
      <c r="D2573">
        <v>3</v>
      </c>
      <c r="E2573">
        <v>2</v>
      </c>
      <c r="F2573" t="s">
        <v>7</v>
      </c>
      <c r="G2573" t="s">
        <v>115</v>
      </c>
      <c r="H2573" t="s">
        <v>11</v>
      </c>
    </row>
    <row r="2574" spans="1:8" x14ac:dyDescent="0.35">
      <c r="A2574" t="s">
        <v>57</v>
      </c>
      <c r="B2574" t="s">
        <v>112</v>
      </c>
      <c r="C2574" t="s">
        <v>1949</v>
      </c>
      <c r="D2574">
        <v>3</v>
      </c>
      <c r="E2574">
        <v>3</v>
      </c>
      <c r="F2574" t="s">
        <v>7</v>
      </c>
      <c r="G2574" t="s">
        <v>115</v>
      </c>
      <c r="H2574" t="s">
        <v>11</v>
      </c>
    </row>
    <row r="2575" spans="1:8" x14ac:dyDescent="0.35">
      <c r="A2575" t="s">
        <v>57</v>
      </c>
      <c r="B2575" t="s">
        <v>112</v>
      </c>
      <c r="C2575" t="s">
        <v>2849</v>
      </c>
      <c r="D2575">
        <v>3</v>
      </c>
      <c r="E2575">
        <v>3</v>
      </c>
      <c r="F2575" t="s">
        <v>75</v>
      </c>
      <c r="G2575" t="s">
        <v>11</v>
      </c>
      <c r="H2575" t="s">
        <v>11</v>
      </c>
    </row>
    <row r="2576" spans="1:8" x14ac:dyDescent="0.35">
      <c r="A2576" t="s">
        <v>57</v>
      </c>
      <c r="B2576" t="s">
        <v>112</v>
      </c>
      <c r="C2576" t="s">
        <v>2850</v>
      </c>
      <c r="D2576">
        <v>3</v>
      </c>
      <c r="E2576">
        <v>3</v>
      </c>
      <c r="F2576" t="s">
        <v>7</v>
      </c>
      <c r="G2576" t="s">
        <v>11</v>
      </c>
      <c r="H2576" t="s">
        <v>11</v>
      </c>
    </row>
    <row r="2577" spans="1:8" x14ac:dyDescent="0.35">
      <c r="A2577" t="s">
        <v>57</v>
      </c>
      <c r="B2577" t="s">
        <v>112</v>
      </c>
      <c r="C2577" t="s">
        <v>2851</v>
      </c>
      <c r="D2577">
        <v>3</v>
      </c>
      <c r="E2577">
        <v>2</v>
      </c>
      <c r="F2577" t="s">
        <v>7</v>
      </c>
      <c r="G2577" t="s">
        <v>115</v>
      </c>
      <c r="H2577" t="s">
        <v>11</v>
      </c>
    </row>
    <row r="2578" spans="1:8" x14ac:dyDescent="0.35">
      <c r="A2578" t="s">
        <v>57</v>
      </c>
      <c r="B2578" t="s">
        <v>112</v>
      </c>
      <c r="C2578" t="s">
        <v>2852</v>
      </c>
      <c r="D2578">
        <v>3</v>
      </c>
      <c r="E2578">
        <v>3</v>
      </c>
      <c r="F2578" t="s">
        <v>75</v>
      </c>
      <c r="G2578" t="s">
        <v>11</v>
      </c>
      <c r="H2578" t="s">
        <v>11</v>
      </c>
    </row>
    <row r="2579" spans="1:8" x14ac:dyDescent="0.35">
      <c r="A2579" t="s">
        <v>57</v>
      </c>
      <c r="B2579" t="s">
        <v>112</v>
      </c>
      <c r="C2579" t="s">
        <v>2853</v>
      </c>
      <c r="D2579">
        <v>3</v>
      </c>
      <c r="E2579">
        <v>3</v>
      </c>
      <c r="F2579" t="s">
        <v>75</v>
      </c>
      <c r="G2579" t="s">
        <v>11</v>
      </c>
      <c r="H2579" t="s">
        <v>11</v>
      </c>
    </row>
    <row r="2580" spans="1:8" x14ac:dyDescent="0.35">
      <c r="A2580" t="s">
        <v>57</v>
      </c>
      <c r="B2580" t="s">
        <v>112</v>
      </c>
      <c r="C2580" t="s">
        <v>2793</v>
      </c>
      <c r="D2580">
        <v>3</v>
      </c>
      <c r="E2580">
        <v>3</v>
      </c>
      <c r="F2580" t="s">
        <v>75</v>
      </c>
      <c r="G2580" t="s">
        <v>11</v>
      </c>
      <c r="H2580" t="s">
        <v>11</v>
      </c>
    </row>
    <row r="2581" spans="1:8" x14ac:dyDescent="0.35">
      <c r="A2581" t="s">
        <v>57</v>
      </c>
      <c r="B2581" t="s">
        <v>112</v>
      </c>
      <c r="C2581" t="s">
        <v>2854</v>
      </c>
      <c r="D2581">
        <v>2</v>
      </c>
      <c r="E2581">
        <v>3</v>
      </c>
      <c r="F2581" t="s">
        <v>75</v>
      </c>
      <c r="G2581" t="s">
        <v>11</v>
      </c>
      <c r="H2581" t="s">
        <v>11</v>
      </c>
    </row>
    <row r="2582" spans="1:8" x14ac:dyDescent="0.35">
      <c r="A2582" t="s">
        <v>57</v>
      </c>
      <c r="B2582" t="s">
        <v>112</v>
      </c>
      <c r="C2582" t="s">
        <v>2855</v>
      </c>
      <c r="D2582">
        <v>2</v>
      </c>
      <c r="E2582">
        <v>3</v>
      </c>
      <c r="F2582" t="s">
        <v>75</v>
      </c>
      <c r="G2582" t="s">
        <v>11</v>
      </c>
      <c r="H2582" t="s">
        <v>11</v>
      </c>
    </row>
    <row r="2583" spans="1:8" x14ac:dyDescent="0.35">
      <c r="A2583" t="s">
        <v>57</v>
      </c>
      <c r="B2583" t="s">
        <v>112</v>
      </c>
      <c r="C2583" t="s">
        <v>2856</v>
      </c>
      <c r="D2583">
        <v>2</v>
      </c>
      <c r="E2583">
        <v>4</v>
      </c>
      <c r="F2583" t="s">
        <v>75</v>
      </c>
      <c r="G2583" t="s">
        <v>11</v>
      </c>
      <c r="H2583" t="s">
        <v>11</v>
      </c>
    </row>
    <row r="2584" spans="1:8" x14ac:dyDescent="0.35">
      <c r="A2584" t="s">
        <v>57</v>
      </c>
      <c r="B2584" t="s">
        <v>112</v>
      </c>
      <c r="C2584" t="s">
        <v>1335</v>
      </c>
      <c r="D2584">
        <v>3</v>
      </c>
      <c r="E2584">
        <v>3</v>
      </c>
      <c r="F2584" t="s">
        <v>7</v>
      </c>
      <c r="G2584" t="s">
        <v>115</v>
      </c>
      <c r="H2584" t="s">
        <v>11</v>
      </c>
    </row>
    <row r="2585" spans="1:8" x14ac:dyDescent="0.35">
      <c r="A2585" t="s">
        <v>57</v>
      </c>
      <c r="B2585" t="s">
        <v>112</v>
      </c>
      <c r="C2585" t="s">
        <v>1683</v>
      </c>
      <c r="D2585">
        <v>3</v>
      </c>
      <c r="E2585">
        <v>3</v>
      </c>
      <c r="F2585" t="s">
        <v>75</v>
      </c>
      <c r="G2585" t="s">
        <v>11</v>
      </c>
      <c r="H2585" t="s">
        <v>11</v>
      </c>
    </row>
    <row r="2586" spans="1:8" x14ac:dyDescent="0.35">
      <c r="A2586" t="s">
        <v>57</v>
      </c>
      <c r="B2586" t="s">
        <v>112</v>
      </c>
      <c r="C2586" t="s">
        <v>2857</v>
      </c>
      <c r="D2586">
        <v>3</v>
      </c>
      <c r="E2586">
        <v>2</v>
      </c>
      <c r="F2586" t="s">
        <v>7</v>
      </c>
      <c r="G2586" t="s">
        <v>115</v>
      </c>
      <c r="H2586" t="s">
        <v>11</v>
      </c>
    </row>
    <row r="2587" spans="1:8" x14ac:dyDescent="0.35">
      <c r="A2587" t="s">
        <v>57</v>
      </c>
      <c r="B2587" t="s">
        <v>112</v>
      </c>
      <c r="C2587" t="s">
        <v>2858</v>
      </c>
      <c r="D2587">
        <v>2</v>
      </c>
      <c r="E2587">
        <v>4</v>
      </c>
      <c r="F2587" t="s">
        <v>75</v>
      </c>
      <c r="G2587" t="s">
        <v>11</v>
      </c>
      <c r="H2587" t="s">
        <v>11</v>
      </c>
    </row>
    <row r="2588" spans="1:8" x14ac:dyDescent="0.35">
      <c r="A2588" t="s">
        <v>57</v>
      </c>
      <c r="B2588" t="s">
        <v>112</v>
      </c>
      <c r="C2588" t="s">
        <v>1552</v>
      </c>
      <c r="D2588">
        <v>3</v>
      </c>
      <c r="E2588">
        <v>3</v>
      </c>
      <c r="F2588" t="s">
        <v>7</v>
      </c>
      <c r="G2588" t="s">
        <v>11</v>
      </c>
      <c r="H2588" t="s">
        <v>11</v>
      </c>
    </row>
    <row r="2589" spans="1:8" x14ac:dyDescent="0.35">
      <c r="A2589" t="s">
        <v>57</v>
      </c>
      <c r="B2589" t="s">
        <v>112</v>
      </c>
      <c r="C2589" t="s">
        <v>2859</v>
      </c>
      <c r="D2589">
        <v>3</v>
      </c>
      <c r="E2589">
        <v>3</v>
      </c>
      <c r="F2589" t="s">
        <v>7</v>
      </c>
      <c r="G2589" t="s">
        <v>115</v>
      </c>
      <c r="H2589" t="s">
        <v>11</v>
      </c>
    </row>
    <row r="2590" spans="1:8" x14ac:dyDescent="0.35">
      <c r="A2590" t="s">
        <v>57</v>
      </c>
      <c r="B2590" t="s">
        <v>112</v>
      </c>
      <c r="C2590" t="s">
        <v>2860</v>
      </c>
      <c r="D2590">
        <v>3</v>
      </c>
      <c r="E2590">
        <v>3</v>
      </c>
      <c r="F2590" t="s">
        <v>75</v>
      </c>
      <c r="G2590" t="s">
        <v>11</v>
      </c>
      <c r="H2590" t="s">
        <v>11</v>
      </c>
    </row>
    <row r="2591" spans="1:8" x14ac:dyDescent="0.35">
      <c r="A2591" t="s">
        <v>57</v>
      </c>
      <c r="B2591" t="s">
        <v>112</v>
      </c>
      <c r="C2591" t="s">
        <v>2861</v>
      </c>
      <c r="D2591">
        <v>3</v>
      </c>
      <c r="E2591">
        <v>2</v>
      </c>
      <c r="F2591" t="s">
        <v>75</v>
      </c>
      <c r="G2591" t="s">
        <v>11</v>
      </c>
      <c r="H2591" t="s">
        <v>11</v>
      </c>
    </row>
    <row r="2592" spans="1:8" x14ac:dyDescent="0.35">
      <c r="A2592" t="s">
        <v>57</v>
      </c>
      <c r="B2592" t="s">
        <v>112</v>
      </c>
      <c r="C2592" t="s">
        <v>2862</v>
      </c>
      <c r="D2592">
        <v>2</v>
      </c>
      <c r="E2592">
        <v>4</v>
      </c>
      <c r="F2592" t="s">
        <v>75</v>
      </c>
      <c r="G2592" t="s">
        <v>11</v>
      </c>
      <c r="H2592" t="s">
        <v>11</v>
      </c>
    </row>
    <row r="2593" spans="1:8" x14ac:dyDescent="0.35">
      <c r="A2593" t="s">
        <v>57</v>
      </c>
      <c r="B2593" t="s">
        <v>112</v>
      </c>
      <c r="C2593" t="s">
        <v>1615</v>
      </c>
      <c r="D2593">
        <v>3</v>
      </c>
      <c r="E2593">
        <v>2</v>
      </c>
      <c r="F2593" t="s">
        <v>7</v>
      </c>
      <c r="G2593" t="s">
        <v>115</v>
      </c>
      <c r="H2593" t="s">
        <v>11</v>
      </c>
    </row>
    <row r="2594" spans="1:8" x14ac:dyDescent="0.35">
      <c r="A2594" t="s">
        <v>57</v>
      </c>
      <c r="B2594" t="s">
        <v>112</v>
      </c>
      <c r="C2594" t="s">
        <v>2863</v>
      </c>
      <c r="D2594">
        <v>3</v>
      </c>
      <c r="E2594">
        <v>3</v>
      </c>
      <c r="F2594" t="s">
        <v>7</v>
      </c>
      <c r="G2594" t="s">
        <v>11</v>
      </c>
      <c r="H2594" t="s">
        <v>11</v>
      </c>
    </row>
    <row r="2595" spans="1:8" x14ac:dyDescent="0.35">
      <c r="A2595" t="s">
        <v>57</v>
      </c>
      <c r="B2595" t="s">
        <v>112</v>
      </c>
      <c r="C2595" t="s">
        <v>2864</v>
      </c>
      <c r="D2595">
        <v>3</v>
      </c>
      <c r="E2595">
        <v>3</v>
      </c>
      <c r="F2595" t="s">
        <v>75</v>
      </c>
      <c r="G2595" t="s">
        <v>11</v>
      </c>
      <c r="H2595" t="s">
        <v>11</v>
      </c>
    </row>
    <row r="2596" spans="1:8" x14ac:dyDescent="0.35">
      <c r="A2596" t="s">
        <v>57</v>
      </c>
      <c r="B2596" t="s">
        <v>112</v>
      </c>
      <c r="C2596" t="s">
        <v>1813</v>
      </c>
      <c r="D2596">
        <v>3</v>
      </c>
      <c r="E2596">
        <v>2</v>
      </c>
      <c r="F2596" t="s">
        <v>75</v>
      </c>
      <c r="G2596" t="s">
        <v>11</v>
      </c>
      <c r="H2596" t="s">
        <v>11</v>
      </c>
    </row>
    <row r="2597" spans="1:8" x14ac:dyDescent="0.35">
      <c r="A2597" t="s">
        <v>57</v>
      </c>
      <c r="B2597" t="s">
        <v>112</v>
      </c>
      <c r="C2597" t="s">
        <v>1557</v>
      </c>
      <c r="D2597">
        <v>3</v>
      </c>
      <c r="E2597">
        <v>3</v>
      </c>
      <c r="F2597" t="s">
        <v>75</v>
      </c>
      <c r="G2597" t="s">
        <v>11</v>
      </c>
      <c r="H2597" t="s">
        <v>11</v>
      </c>
    </row>
    <row r="2598" spans="1:8" x14ac:dyDescent="0.35">
      <c r="A2598" t="s">
        <v>57</v>
      </c>
      <c r="B2598" t="s">
        <v>112</v>
      </c>
      <c r="C2598" t="s">
        <v>1953</v>
      </c>
      <c r="D2598">
        <v>3</v>
      </c>
      <c r="E2598">
        <v>3</v>
      </c>
      <c r="F2598" t="s">
        <v>7</v>
      </c>
      <c r="G2598" t="s">
        <v>115</v>
      </c>
      <c r="H2598" t="s">
        <v>11</v>
      </c>
    </row>
    <row r="2599" spans="1:8" x14ac:dyDescent="0.35">
      <c r="A2599" t="s">
        <v>57</v>
      </c>
      <c r="B2599" t="s">
        <v>112</v>
      </c>
      <c r="C2599" t="s">
        <v>2865</v>
      </c>
      <c r="D2599">
        <v>3</v>
      </c>
      <c r="E2599">
        <v>3</v>
      </c>
      <c r="F2599" t="s">
        <v>7</v>
      </c>
      <c r="G2599" t="s">
        <v>115</v>
      </c>
      <c r="H2599" t="s">
        <v>11</v>
      </c>
    </row>
    <row r="2600" spans="1:8" x14ac:dyDescent="0.35">
      <c r="A2600" t="s">
        <v>57</v>
      </c>
      <c r="B2600" t="s">
        <v>112</v>
      </c>
      <c r="C2600" t="s">
        <v>2866</v>
      </c>
      <c r="D2600">
        <v>3</v>
      </c>
      <c r="E2600">
        <v>2</v>
      </c>
      <c r="F2600" t="s">
        <v>7</v>
      </c>
      <c r="G2600" t="s">
        <v>115</v>
      </c>
      <c r="H2600" t="s">
        <v>11</v>
      </c>
    </row>
    <row r="2601" spans="1:8" x14ac:dyDescent="0.35">
      <c r="A2601" t="s">
        <v>57</v>
      </c>
      <c r="B2601" t="s">
        <v>112</v>
      </c>
      <c r="C2601" t="s">
        <v>1694</v>
      </c>
      <c r="D2601">
        <v>3</v>
      </c>
      <c r="E2601">
        <v>3</v>
      </c>
      <c r="F2601" t="s">
        <v>7</v>
      </c>
      <c r="G2601" t="s">
        <v>11</v>
      </c>
      <c r="H2601" t="s">
        <v>11</v>
      </c>
    </row>
    <row r="2602" spans="1:8" x14ac:dyDescent="0.35">
      <c r="A2602" t="s">
        <v>57</v>
      </c>
      <c r="B2602" t="s">
        <v>112</v>
      </c>
      <c r="C2602" t="s">
        <v>1340</v>
      </c>
      <c r="D2602">
        <v>3</v>
      </c>
      <c r="E2602">
        <v>2</v>
      </c>
      <c r="F2602" t="s">
        <v>7</v>
      </c>
      <c r="G2602" t="s">
        <v>115</v>
      </c>
      <c r="H2602" t="s">
        <v>11</v>
      </c>
    </row>
    <row r="2603" spans="1:8" x14ac:dyDescent="0.35">
      <c r="A2603" t="s">
        <v>57</v>
      </c>
      <c r="B2603" t="s">
        <v>112</v>
      </c>
      <c r="C2603" t="s">
        <v>2867</v>
      </c>
      <c r="D2603">
        <v>3</v>
      </c>
      <c r="E2603">
        <v>3</v>
      </c>
      <c r="F2603" t="s">
        <v>75</v>
      </c>
      <c r="G2603" t="s">
        <v>11</v>
      </c>
      <c r="H2603" t="s">
        <v>11</v>
      </c>
    </row>
    <row r="2604" spans="1:8" x14ac:dyDescent="0.35">
      <c r="A2604" t="s">
        <v>57</v>
      </c>
      <c r="B2604" t="s">
        <v>112</v>
      </c>
      <c r="C2604" t="s">
        <v>1695</v>
      </c>
      <c r="D2604">
        <v>2</v>
      </c>
      <c r="E2604">
        <v>4</v>
      </c>
      <c r="F2604" t="s">
        <v>75</v>
      </c>
      <c r="G2604" t="s">
        <v>11</v>
      </c>
      <c r="H2604" t="s">
        <v>11</v>
      </c>
    </row>
    <row r="2605" spans="1:8" x14ac:dyDescent="0.35">
      <c r="A2605" t="s">
        <v>57</v>
      </c>
      <c r="B2605" t="s">
        <v>112</v>
      </c>
      <c r="C2605" t="s">
        <v>2868</v>
      </c>
      <c r="D2605">
        <v>3</v>
      </c>
      <c r="E2605">
        <v>3</v>
      </c>
      <c r="F2605" t="s">
        <v>75</v>
      </c>
      <c r="G2605" t="s">
        <v>11</v>
      </c>
      <c r="H2605" t="s">
        <v>11</v>
      </c>
    </row>
    <row r="2606" spans="1:8" x14ac:dyDescent="0.35">
      <c r="A2606" t="s">
        <v>57</v>
      </c>
      <c r="B2606" t="s">
        <v>112</v>
      </c>
      <c r="C2606" t="s">
        <v>2869</v>
      </c>
      <c r="D2606">
        <v>3</v>
      </c>
      <c r="E2606">
        <v>2</v>
      </c>
      <c r="F2606" t="s">
        <v>7</v>
      </c>
      <c r="G2606" t="s">
        <v>115</v>
      </c>
      <c r="H2606" t="s">
        <v>11</v>
      </c>
    </row>
    <row r="2607" spans="1:8" x14ac:dyDescent="0.35">
      <c r="A2607" t="s">
        <v>57</v>
      </c>
      <c r="B2607" t="s">
        <v>112</v>
      </c>
      <c r="C2607" t="s">
        <v>1341</v>
      </c>
      <c r="D2607">
        <v>3</v>
      </c>
      <c r="E2607">
        <v>3</v>
      </c>
      <c r="F2607" t="s">
        <v>7</v>
      </c>
      <c r="G2607" t="s">
        <v>115</v>
      </c>
      <c r="H2607" t="s">
        <v>11</v>
      </c>
    </row>
    <row r="2608" spans="1:8" x14ac:dyDescent="0.35">
      <c r="A2608" t="s">
        <v>57</v>
      </c>
      <c r="B2608" t="s">
        <v>112</v>
      </c>
      <c r="C2608" t="s">
        <v>2870</v>
      </c>
      <c r="D2608">
        <v>3</v>
      </c>
      <c r="E2608">
        <v>2</v>
      </c>
      <c r="F2608" t="s">
        <v>7</v>
      </c>
      <c r="G2608" t="s">
        <v>115</v>
      </c>
      <c r="H2608" t="s">
        <v>11</v>
      </c>
    </row>
    <row r="2609" spans="1:8" x14ac:dyDescent="0.35">
      <c r="A2609" t="s">
        <v>57</v>
      </c>
      <c r="B2609" t="s">
        <v>112</v>
      </c>
      <c r="C2609" t="s">
        <v>2871</v>
      </c>
      <c r="D2609">
        <v>3</v>
      </c>
      <c r="E2609">
        <v>2</v>
      </c>
      <c r="F2609" t="s">
        <v>75</v>
      </c>
      <c r="G2609" t="s">
        <v>11</v>
      </c>
      <c r="H2609" t="s">
        <v>11</v>
      </c>
    </row>
    <row r="2610" spans="1:8" x14ac:dyDescent="0.35">
      <c r="A2610" t="s">
        <v>57</v>
      </c>
      <c r="B2610" t="s">
        <v>112</v>
      </c>
      <c r="C2610" t="s">
        <v>2872</v>
      </c>
      <c r="D2610">
        <v>3</v>
      </c>
      <c r="E2610">
        <v>3</v>
      </c>
      <c r="F2610" t="s">
        <v>75</v>
      </c>
      <c r="G2610" t="s">
        <v>11</v>
      </c>
      <c r="H2610" t="s">
        <v>11</v>
      </c>
    </row>
    <row r="2611" spans="1:8" x14ac:dyDescent="0.35">
      <c r="A2611" t="s">
        <v>57</v>
      </c>
      <c r="B2611" t="s">
        <v>112</v>
      </c>
      <c r="C2611" t="s">
        <v>2873</v>
      </c>
      <c r="D2611">
        <v>3</v>
      </c>
      <c r="E2611">
        <v>2</v>
      </c>
      <c r="F2611" t="s">
        <v>7</v>
      </c>
      <c r="G2611" t="s">
        <v>115</v>
      </c>
      <c r="H2611" t="s">
        <v>11</v>
      </c>
    </row>
    <row r="2612" spans="1:8" x14ac:dyDescent="0.35">
      <c r="A2612" t="s">
        <v>57</v>
      </c>
      <c r="B2612" t="s">
        <v>112</v>
      </c>
      <c r="C2612" t="s">
        <v>2874</v>
      </c>
      <c r="D2612">
        <v>2</v>
      </c>
      <c r="E2612">
        <v>3</v>
      </c>
      <c r="F2612" t="s">
        <v>75</v>
      </c>
      <c r="G2612" t="s">
        <v>11</v>
      </c>
      <c r="H2612" t="s">
        <v>11</v>
      </c>
    </row>
    <row r="2613" spans="1:8" x14ac:dyDescent="0.35">
      <c r="A2613" t="s">
        <v>57</v>
      </c>
      <c r="B2613" t="s">
        <v>112</v>
      </c>
      <c r="C2613" t="s">
        <v>2875</v>
      </c>
      <c r="D2613">
        <v>3</v>
      </c>
      <c r="E2613">
        <v>3</v>
      </c>
      <c r="F2613" t="s">
        <v>7</v>
      </c>
      <c r="G2613" t="s">
        <v>115</v>
      </c>
      <c r="H2613" t="s">
        <v>11</v>
      </c>
    </row>
    <row r="2614" spans="1:8" x14ac:dyDescent="0.35">
      <c r="A2614" t="s">
        <v>57</v>
      </c>
      <c r="B2614" t="s">
        <v>112</v>
      </c>
      <c r="C2614" t="s">
        <v>2876</v>
      </c>
      <c r="D2614">
        <v>3</v>
      </c>
      <c r="E2614">
        <v>3</v>
      </c>
      <c r="F2614" t="s">
        <v>75</v>
      </c>
      <c r="G2614" t="s">
        <v>11</v>
      </c>
      <c r="H2614" t="s">
        <v>11</v>
      </c>
    </row>
    <row r="2615" spans="1:8" x14ac:dyDescent="0.35">
      <c r="A2615" t="s">
        <v>57</v>
      </c>
      <c r="B2615" t="s">
        <v>112</v>
      </c>
      <c r="C2615" t="s">
        <v>2877</v>
      </c>
      <c r="D2615">
        <v>3</v>
      </c>
      <c r="E2615">
        <v>2</v>
      </c>
      <c r="F2615" t="s">
        <v>7</v>
      </c>
      <c r="G2615" t="s">
        <v>115</v>
      </c>
      <c r="H2615" t="s">
        <v>11</v>
      </c>
    </row>
    <row r="2616" spans="1:8" x14ac:dyDescent="0.35">
      <c r="A2616" t="s">
        <v>57</v>
      </c>
      <c r="B2616" t="s">
        <v>112</v>
      </c>
      <c r="C2616" t="s">
        <v>2878</v>
      </c>
      <c r="D2616">
        <v>3</v>
      </c>
      <c r="E2616">
        <v>2</v>
      </c>
      <c r="F2616" t="s">
        <v>7</v>
      </c>
      <c r="G2616" t="s">
        <v>115</v>
      </c>
      <c r="H2616" t="s">
        <v>11</v>
      </c>
    </row>
    <row r="2617" spans="1:8" x14ac:dyDescent="0.35">
      <c r="A2617" t="s">
        <v>57</v>
      </c>
      <c r="B2617" t="s">
        <v>112</v>
      </c>
      <c r="C2617" t="s">
        <v>1958</v>
      </c>
      <c r="D2617">
        <v>2</v>
      </c>
      <c r="E2617">
        <v>4</v>
      </c>
      <c r="F2617" t="s">
        <v>75</v>
      </c>
      <c r="G2617" t="s">
        <v>11</v>
      </c>
      <c r="H2617" t="s">
        <v>11</v>
      </c>
    </row>
    <row r="2618" spans="1:8" x14ac:dyDescent="0.35">
      <c r="A2618" t="s">
        <v>57</v>
      </c>
      <c r="B2618" t="s">
        <v>112</v>
      </c>
      <c r="C2618" t="s">
        <v>2029</v>
      </c>
      <c r="D2618">
        <v>3</v>
      </c>
      <c r="E2618">
        <v>3</v>
      </c>
      <c r="F2618" t="s">
        <v>7</v>
      </c>
      <c r="G2618" t="s">
        <v>11</v>
      </c>
      <c r="H2618" t="s">
        <v>11</v>
      </c>
    </row>
    <row r="2619" spans="1:8" x14ac:dyDescent="0.35">
      <c r="A2619" t="s">
        <v>57</v>
      </c>
      <c r="B2619" t="s">
        <v>112</v>
      </c>
      <c r="C2619" t="s">
        <v>2879</v>
      </c>
      <c r="D2619">
        <v>3</v>
      </c>
      <c r="E2619">
        <v>3</v>
      </c>
      <c r="F2619" t="s">
        <v>7</v>
      </c>
      <c r="G2619" t="s">
        <v>115</v>
      </c>
      <c r="H2619" t="s">
        <v>11</v>
      </c>
    </row>
    <row r="2620" spans="1:8" x14ac:dyDescent="0.35">
      <c r="A2620" t="s">
        <v>57</v>
      </c>
      <c r="B2620" t="s">
        <v>112</v>
      </c>
      <c r="C2620" t="s">
        <v>2880</v>
      </c>
      <c r="D2620">
        <v>3</v>
      </c>
      <c r="E2620">
        <v>2</v>
      </c>
      <c r="F2620" t="s">
        <v>7</v>
      </c>
      <c r="G2620" t="s">
        <v>115</v>
      </c>
      <c r="H2620" t="s">
        <v>11</v>
      </c>
    </row>
    <row r="2621" spans="1:8" x14ac:dyDescent="0.35">
      <c r="A2621" t="s">
        <v>57</v>
      </c>
      <c r="B2621" t="s">
        <v>112</v>
      </c>
      <c r="C2621" t="s">
        <v>2456</v>
      </c>
      <c r="D2621">
        <v>3</v>
      </c>
      <c r="E2621">
        <v>2</v>
      </c>
      <c r="F2621" t="s">
        <v>7</v>
      </c>
      <c r="G2621" t="s">
        <v>115</v>
      </c>
      <c r="H2621" t="s">
        <v>11</v>
      </c>
    </row>
    <row r="2622" spans="1:8" x14ac:dyDescent="0.35">
      <c r="A2622" t="s">
        <v>57</v>
      </c>
      <c r="B2622" t="s">
        <v>112</v>
      </c>
      <c r="C2622" t="s">
        <v>1344</v>
      </c>
      <c r="D2622">
        <v>2</v>
      </c>
      <c r="E2622">
        <v>4</v>
      </c>
      <c r="F2622" t="s">
        <v>75</v>
      </c>
      <c r="G2622" t="s">
        <v>11</v>
      </c>
      <c r="H2622" t="s">
        <v>11</v>
      </c>
    </row>
    <row r="2623" spans="1:8" x14ac:dyDescent="0.35">
      <c r="A2623" t="s">
        <v>57</v>
      </c>
      <c r="B2623" t="s">
        <v>112</v>
      </c>
      <c r="C2623" t="s">
        <v>1704</v>
      </c>
      <c r="D2623">
        <v>3</v>
      </c>
      <c r="E2623">
        <v>3</v>
      </c>
      <c r="F2623" t="s">
        <v>75</v>
      </c>
      <c r="G2623" t="s">
        <v>11</v>
      </c>
      <c r="H2623" t="s">
        <v>11</v>
      </c>
    </row>
    <row r="2624" spans="1:8" x14ac:dyDescent="0.35">
      <c r="A2624" t="s">
        <v>57</v>
      </c>
      <c r="B2624" t="s">
        <v>112</v>
      </c>
      <c r="C2624" t="s">
        <v>1621</v>
      </c>
      <c r="D2624">
        <v>3</v>
      </c>
      <c r="E2624">
        <v>3</v>
      </c>
      <c r="F2624" t="s">
        <v>7</v>
      </c>
      <c r="G2624" t="s">
        <v>115</v>
      </c>
      <c r="H2624" t="s">
        <v>11</v>
      </c>
    </row>
    <row r="2625" spans="1:8" x14ac:dyDescent="0.35">
      <c r="A2625" t="s">
        <v>57</v>
      </c>
      <c r="B2625" t="s">
        <v>112</v>
      </c>
      <c r="C2625" t="s">
        <v>2881</v>
      </c>
      <c r="D2625">
        <v>2</v>
      </c>
      <c r="E2625">
        <v>4</v>
      </c>
      <c r="F2625" t="s">
        <v>75</v>
      </c>
      <c r="G2625" t="s">
        <v>11</v>
      </c>
      <c r="H2625" t="s">
        <v>11</v>
      </c>
    </row>
    <row r="2626" spans="1:8" x14ac:dyDescent="0.35">
      <c r="A2626" t="s">
        <v>57</v>
      </c>
      <c r="B2626" t="s">
        <v>112</v>
      </c>
      <c r="C2626" t="s">
        <v>2800</v>
      </c>
      <c r="D2626">
        <v>3</v>
      </c>
      <c r="E2626">
        <v>3</v>
      </c>
      <c r="F2626" t="s">
        <v>75</v>
      </c>
      <c r="G2626" t="s">
        <v>11</v>
      </c>
      <c r="H2626" t="s">
        <v>11</v>
      </c>
    </row>
    <row r="2627" spans="1:8" x14ac:dyDescent="0.35">
      <c r="A2627" t="s">
        <v>57</v>
      </c>
      <c r="B2627" t="s">
        <v>112</v>
      </c>
      <c r="C2627" t="s">
        <v>1817</v>
      </c>
      <c r="D2627">
        <v>3</v>
      </c>
      <c r="E2627">
        <v>2</v>
      </c>
      <c r="F2627" t="s">
        <v>7</v>
      </c>
      <c r="G2627" t="s">
        <v>115</v>
      </c>
      <c r="H2627" t="s">
        <v>11</v>
      </c>
    </row>
    <row r="2628" spans="1:8" x14ac:dyDescent="0.35">
      <c r="A2628" t="s">
        <v>57</v>
      </c>
      <c r="B2628" t="s">
        <v>112</v>
      </c>
      <c r="C2628" t="s">
        <v>1707</v>
      </c>
      <c r="D2628">
        <v>3</v>
      </c>
      <c r="E2628">
        <v>2</v>
      </c>
      <c r="F2628" t="s">
        <v>7</v>
      </c>
      <c r="G2628" t="s">
        <v>115</v>
      </c>
      <c r="H2628" t="s">
        <v>11</v>
      </c>
    </row>
    <row r="2629" spans="1:8" x14ac:dyDescent="0.35">
      <c r="A2629" t="s">
        <v>57</v>
      </c>
      <c r="B2629" t="s">
        <v>112</v>
      </c>
      <c r="C2629" t="s">
        <v>1864</v>
      </c>
      <c r="D2629">
        <v>3</v>
      </c>
      <c r="E2629">
        <v>3</v>
      </c>
      <c r="F2629" t="s">
        <v>7</v>
      </c>
      <c r="G2629" t="s">
        <v>115</v>
      </c>
      <c r="H2629" t="s">
        <v>11</v>
      </c>
    </row>
    <row r="2630" spans="1:8" x14ac:dyDescent="0.35">
      <c r="A2630" t="s">
        <v>57</v>
      </c>
      <c r="B2630" t="s">
        <v>112</v>
      </c>
      <c r="C2630" t="s">
        <v>2882</v>
      </c>
      <c r="D2630">
        <v>2</v>
      </c>
      <c r="E2630">
        <v>4</v>
      </c>
      <c r="F2630" t="s">
        <v>75</v>
      </c>
      <c r="G2630" t="s">
        <v>11</v>
      </c>
      <c r="H2630" t="s">
        <v>11</v>
      </c>
    </row>
    <row r="2631" spans="1:8" x14ac:dyDescent="0.35">
      <c r="A2631" t="s">
        <v>57</v>
      </c>
      <c r="B2631" t="s">
        <v>112</v>
      </c>
      <c r="C2631" t="s">
        <v>1963</v>
      </c>
      <c r="D2631">
        <v>3</v>
      </c>
      <c r="E2631">
        <v>3</v>
      </c>
      <c r="F2631" t="s">
        <v>75</v>
      </c>
      <c r="G2631" t="s">
        <v>11</v>
      </c>
      <c r="H2631" t="s">
        <v>11</v>
      </c>
    </row>
    <row r="2632" spans="1:8" x14ac:dyDescent="0.35">
      <c r="A2632" t="s">
        <v>57</v>
      </c>
      <c r="B2632" t="s">
        <v>112</v>
      </c>
      <c r="C2632" t="s">
        <v>2883</v>
      </c>
      <c r="D2632">
        <v>3</v>
      </c>
      <c r="E2632">
        <v>2</v>
      </c>
      <c r="F2632" t="s">
        <v>7</v>
      </c>
      <c r="G2632" t="s">
        <v>115</v>
      </c>
      <c r="H2632" t="s">
        <v>11</v>
      </c>
    </row>
    <row r="2633" spans="1:8" x14ac:dyDescent="0.35">
      <c r="A2633" t="s">
        <v>57</v>
      </c>
      <c r="B2633" t="s">
        <v>112</v>
      </c>
      <c r="C2633" t="s">
        <v>2884</v>
      </c>
      <c r="D2633">
        <v>2</v>
      </c>
      <c r="E2633">
        <v>3</v>
      </c>
      <c r="F2633" t="s">
        <v>75</v>
      </c>
      <c r="G2633" t="s">
        <v>11</v>
      </c>
      <c r="H2633" t="s">
        <v>11</v>
      </c>
    </row>
    <row r="2634" spans="1:8" x14ac:dyDescent="0.35">
      <c r="A2634" t="s">
        <v>57</v>
      </c>
      <c r="B2634" t="s">
        <v>112</v>
      </c>
      <c r="C2634" t="s">
        <v>1818</v>
      </c>
      <c r="D2634">
        <v>3</v>
      </c>
      <c r="E2634">
        <v>3</v>
      </c>
      <c r="F2634" t="s">
        <v>7</v>
      </c>
      <c r="G2634" t="s">
        <v>115</v>
      </c>
      <c r="H2634" t="s">
        <v>11</v>
      </c>
    </row>
    <row r="2635" spans="1:8" x14ac:dyDescent="0.35">
      <c r="A2635" t="s">
        <v>57</v>
      </c>
      <c r="B2635" t="s">
        <v>112</v>
      </c>
      <c r="C2635" t="s">
        <v>2458</v>
      </c>
      <c r="D2635">
        <v>3</v>
      </c>
      <c r="E2635">
        <v>2</v>
      </c>
      <c r="F2635" t="s">
        <v>7</v>
      </c>
      <c r="G2635" t="s">
        <v>115</v>
      </c>
      <c r="H2635" t="s">
        <v>11</v>
      </c>
    </row>
    <row r="2636" spans="1:8" x14ac:dyDescent="0.35">
      <c r="A2636" t="s">
        <v>57</v>
      </c>
      <c r="B2636" t="s">
        <v>112</v>
      </c>
      <c r="C2636" t="s">
        <v>2357</v>
      </c>
      <c r="D2636">
        <v>3</v>
      </c>
      <c r="E2636">
        <v>2</v>
      </c>
      <c r="F2636" t="s">
        <v>7</v>
      </c>
      <c r="G2636" t="s">
        <v>115</v>
      </c>
      <c r="H2636" t="s">
        <v>11</v>
      </c>
    </row>
    <row r="2637" spans="1:8" x14ac:dyDescent="0.35">
      <c r="A2637" t="s">
        <v>57</v>
      </c>
      <c r="B2637" t="s">
        <v>112</v>
      </c>
      <c r="C2637" t="s">
        <v>2885</v>
      </c>
      <c r="D2637">
        <v>2</v>
      </c>
      <c r="E2637">
        <v>4</v>
      </c>
      <c r="F2637" t="s">
        <v>75</v>
      </c>
      <c r="G2637" t="s">
        <v>11</v>
      </c>
      <c r="H2637" t="s">
        <v>11</v>
      </c>
    </row>
    <row r="2638" spans="1:8" x14ac:dyDescent="0.35">
      <c r="A2638" t="s">
        <v>57</v>
      </c>
      <c r="B2638" t="s">
        <v>112</v>
      </c>
      <c r="C2638" t="s">
        <v>2886</v>
      </c>
      <c r="D2638">
        <v>3</v>
      </c>
      <c r="E2638">
        <v>3</v>
      </c>
      <c r="F2638" t="s">
        <v>7</v>
      </c>
      <c r="G2638" t="s">
        <v>115</v>
      </c>
      <c r="H2638" t="s">
        <v>11</v>
      </c>
    </row>
    <row r="2639" spans="1:8" x14ac:dyDescent="0.35">
      <c r="A2639" t="s">
        <v>57</v>
      </c>
      <c r="B2639" t="s">
        <v>112</v>
      </c>
      <c r="C2639" t="s">
        <v>2034</v>
      </c>
      <c r="D2639">
        <v>3</v>
      </c>
      <c r="E2639">
        <v>3</v>
      </c>
      <c r="F2639" t="s">
        <v>7</v>
      </c>
      <c r="G2639" t="s">
        <v>115</v>
      </c>
      <c r="H2639" t="s">
        <v>11</v>
      </c>
    </row>
    <row r="2640" spans="1:8" x14ac:dyDescent="0.35">
      <c r="A2640" t="s">
        <v>57</v>
      </c>
      <c r="B2640" t="s">
        <v>112</v>
      </c>
      <c r="C2640" t="s">
        <v>1346</v>
      </c>
      <c r="D2640">
        <v>3</v>
      </c>
      <c r="E2640">
        <v>2</v>
      </c>
      <c r="F2640" t="s">
        <v>7</v>
      </c>
      <c r="G2640" t="s">
        <v>115</v>
      </c>
      <c r="H2640" t="s">
        <v>11</v>
      </c>
    </row>
    <row r="2641" spans="1:8" x14ac:dyDescent="0.35">
      <c r="A2641" t="s">
        <v>57</v>
      </c>
      <c r="B2641" t="s">
        <v>112</v>
      </c>
      <c r="C2641" t="s">
        <v>1448</v>
      </c>
      <c r="D2641">
        <v>3</v>
      </c>
      <c r="E2641">
        <v>3</v>
      </c>
      <c r="F2641" t="s">
        <v>75</v>
      </c>
      <c r="G2641" t="s">
        <v>11</v>
      </c>
      <c r="H2641" t="s">
        <v>11</v>
      </c>
    </row>
    <row r="2642" spans="1:8" x14ac:dyDescent="0.35">
      <c r="A2642" t="s">
        <v>57</v>
      </c>
      <c r="B2642" t="s">
        <v>112</v>
      </c>
      <c r="C2642" t="s">
        <v>2887</v>
      </c>
      <c r="D2642">
        <v>2</v>
      </c>
      <c r="E2642">
        <v>3</v>
      </c>
      <c r="F2642" t="s">
        <v>75</v>
      </c>
      <c r="G2642" t="s">
        <v>11</v>
      </c>
      <c r="H2642" t="s">
        <v>11</v>
      </c>
    </row>
    <row r="2643" spans="1:8" x14ac:dyDescent="0.35">
      <c r="A2643" t="s">
        <v>57</v>
      </c>
      <c r="B2643" t="s">
        <v>112</v>
      </c>
      <c r="C2643" t="s">
        <v>2888</v>
      </c>
      <c r="D2643">
        <v>3</v>
      </c>
      <c r="E2643">
        <v>3</v>
      </c>
      <c r="F2643" t="s">
        <v>7</v>
      </c>
      <c r="G2643" t="s">
        <v>115</v>
      </c>
      <c r="H2643" t="s">
        <v>11</v>
      </c>
    </row>
    <row r="2644" spans="1:8" x14ac:dyDescent="0.35">
      <c r="A2644" t="s">
        <v>57</v>
      </c>
      <c r="B2644" t="s">
        <v>112</v>
      </c>
      <c r="C2644" t="s">
        <v>2771</v>
      </c>
      <c r="D2644">
        <v>2</v>
      </c>
      <c r="E2644">
        <v>4</v>
      </c>
      <c r="F2644" t="s">
        <v>75</v>
      </c>
      <c r="G2644" t="s">
        <v>11</v>
      </c>
      <c r="H2644" t="s">
        <v>11</v>
      </c>
    </row>
    <row r="2645" spans="1:8" x14ac:dyDescent="0.35">
      <c r="A2645" t="s">
        <v>57</v>
      </c>
      <c r="B2645" t="s">
        <v>112</v>
      </c>
      <c r="C2645" t="s">
        <v>2889</v>
      </c>
      <c r="D2645">
        <v>3</v>
      </c>
      <c r="E2645">
        <v>3</v>
      </c>
      <c r="F2645" t="s">
        <v>75</v>
      </c>
      <c r="G2645" t="s">
        <v>11</v>
      </c>
      <c r="H2645" t="s">
        <v>11</v>
      </c>
    </row>
    <row r="2646" spans="1:8" x14ac:dyDescent="0.35">
      <c r="A2646" t="s">
        <v>57</v>
      </c>
      <c r="B2646" t="s">
        <v>112</v>
      </c>
      <c r="C2646" t="s">
        <v>2890</v>
      </c>
      <c r="D2646">
        <v>3</v>
      </c>
      <c r="E2646">
        <v>3</v>
      </c>
      <c r="F2646" t="s">
        <v>7</v>
      </c>
      <c r="G2646" t="s">
        <v>11</v>
      </c>
      <c r="H2646" t="s">
        <v>11</v>
      </c>
    </row>
    <row r="2647" spans="1:8" x14ac:dyDescent="0.35">
      <c r="A2647" t="s">
        <v>57</v>
      </c>
      <c r="B2647" t="s">
        <v>112</v>
      </c>
      <c r="C2647" t="s">
        <v>1347</v>
      </c>
      <c r="D2647">
        <v>3</v>
      </c>
      <c r="E2647">
        <v>2</v>
      </c>
      <c r="F2647" t="s">
        <v>7</v>
      </c>
      <c r="G2647" t="s">
        <v>115</v>
      </c>
      <c r="H2647" t="s">
        <v>11</v>
      </c>
    </row>
    <row r="2648" spans="1:8" x14ac:dyDescent="0.35">
      <c r="A2648" t="s">
        <v>57</v>
      </c>
      <c r="B2648" t="s">
        <v>112</v>
      </c>
      <c r="C2648" t="s">
        <v>1711</v>
      </c>
      <c r="D2648">
        <v>3</v>
      </c>
      <c r="E2648">
        <v>2</v>
      </c>
      <c r="F2648" t="s">
        <v>7</v>
      </c>
      <c r="G2648" t="s">
        <v>115</v>
      </c>
      <c r="H2648" t="s">
        <v>11</v>
      </c>
    </row>
    <row r="2649" spans="1:8" x14ac:dyDescent="0.35">
      <c r="A2649" t="s">
        <v>57</v>
      </c>
      <c r="B2649" t="s">
        <v>112</v>
      </c>
      <c r="C2649" t="s">
        <v>1712</v>
      </c>
      <c r="D2649">
        <v>2</v>
      </c>
      <c r="E2649">
        <v>3</v>
      </c>
      <c r="F2649" t="s">
        <v>75</v>
      </c>
      <c r="G2649" t="s">
        <v>11</v>
      </c>
      <c r="H2649" t="s">
        <v>11</v>
      </c>
    </row>
    <row r="2650" spans="1:8" x14ac:dyDescent="0.35">
      <c r="A2650" t="s">
        <v>57</v>
      </c>
      <c r="B2650" t="s">
        <v>112</v>
      </c>
      <c r="C2650" t="s">
        <v>1348</v>
      </c>
      <c r="D2650">
        <v>3</v>
      </c>
      <c r="E2650">
        <v>2</v>
      </c>
      <c r="F2650" t="s">
        <v>7</v>
      </c>
      <c r="G2650" t="s">
        <v>115</v>
      </c>
      <c r="H2650" t="s">
        <v>11</v>
      </c>
    </row>
    <row r="2651" spans="1:8" x14ac:dyDescent="0.35">
      <c r="A2651" t="s">
        <v>57</v>
      </c>
      <c r="B2651" t="s">
        <v>112</v>
      </c>
      <c r="C2651" t="s">
        <v>2891</v>
      </c>
      <c r="D2651">
        <v>3</v>
      </c>
      <c r="E2651">
        <v>2</v>
      </c>
      <c r="F2651" t="s">
        <v>7</v>
      </c>
      <c r="G2651" t="s">
        <v>115</v>
      </c>
      <c r="H2651" t="s">
        <v>11</v>
      </c>
    </row>
    <row r="2652" spans="1:8" x14ac:dyDescent="0.35">
      <c r="A2652" t="s">
        <v>57</v>
      </c>
      <c r="B2652" t="s">
        <v>112</v>
      </c>
      <c r="C2652" t="s">
        <v>2892</v>
      </c>
      <c r="D2652">
        <v>3</v>
      </c>
      <c r="E2652">
        <v>2</v>
      </c>
      <c r="F2652" t="s">
        <v>7</v>
      </c>
      <c r="G2652" t="s">
        <v>115</v>
      </c>
      <c r="H2652" t="s">
        <v>11</v>
      </c>
    </row>
    <row r="2653" spans="1:8" x14ac:dyDescent="0.35">
      <c r="A2653" t="s">
        <v>57</v>
      </c>
      <c r="B2653" t="s">
        <v>112</v>
      </c>
      <c r="C2653" t="s">
        <v>1451</v>
      </c>
      <c r="D2653">
        <v>3</v>
      </c>
      <c r="E2653">
        <v>3</v>
      </c>
      <c r="F2653" t="s">
        <v>7</v>
      </c>
      <c r="G2653" t="s">
        <v>115</v>
      </c>
      <c r="H2653" t="s">
        <v>11</v>
      </c>
    </row>
    <row r="2654" spans="1:8" x14ac:dyDescent="0.35">
      <c r="A2654" t="s">
        <v>57</v>
      </c>
      <c r="B2654" t="s">
        <v>112</v>
      </c>
      <c r="C2654" t="s">
        <v>1714</v>
      </c>
      <c r="D2654">
        <v>3</v>
      </c>
      <c r="E2654">
        <v>3</v>
      </c>
      <c r="F2654" t="s">
        <v>75</v>
      </c>
      <c r="G2654" t="s">
        <v>11</v>
      </c>
      <c r="H2654" t="s">
        <v>11</v>
      </c>
    </row>
    <row r="2655" spans="1:8" x14ac:dyDescent="0.35">
      <c r="A2655" t="s">
        <v>57</v>
      </c>
      <c r="B2655" t="s">
        <v>112</v>
      </c>
      <c r="C2655" t="s">
        <v>2893</v>
      </c>
      <c r="D2655">
        <v>3</v>
      </c>
      <c r="E2655">
        <v>2</v>
      </c>
      <c r="F2655" t="s">
        <v>7</v>
      </c>
      <c r="G2655" t="s">
        <v>115</v>
      </c>
      <c r="H2655" t="s">
        <v>11</v>
      </c>
    </row>
    <row r="2656" spans="1:8" x14ac:dyDescent="0.35">
      <c r="A2656" t="s">
        <v>57</v>
      </c>
      <c r="B2656" t="s">
        <v>112</v>
      </c>
      <c r="C2656" t="s">
        <v>2894</v>
      </c>
      <c r="D2656">
        <v>3</v>
      </c>
      <c r="E2656">
        <v>3</v>
      </c>
      <c r="F2656" t="s">
        <v>7</v>
      </c>
      <c r="G2656" t="s">
        <v>115</v>
      </c>
      <c r="H2656" t="s">
        <v>11</v>
      </c>
    </row>
    <row r="2657" spans="1:8" x14ac:dyDescent="0.35">
      <c r="A2657" t="s">
        <v>57</v>
      </c>
      <c r="B2657" t="s">
        <v>112</v>
      </c>
      <c r="C2657" t="s">
        <v>1824</v>
      </c>
      <c r="D2657">
        <v>3</v>
      </c>
      <c r="E2657">
        <v>3</v>
      </c>
      <c r="F2657" t="s">
        <v>7</v>
      </c>
      <c r="G2657" t="s">
        <v>115</v>
      </c>
      <c r="H2657" t="s">
        <v>11</v>
      </c>
    </row>
    <row r="2658" spans="1:8" x14ac:dyDescent="0.35">
      <c r="A2658" t="s">
        <v>57</v>
      </c>
      <c r="B2658" t="s">
        <v>112</v>
      </c>
      <c r="C2658" t="s">
        <v>2895</v>
      </c>
      <c r="D2658">
        <v>3</v>
      </c>
      <c r="E2658">
        <v>2</v>
      </c>
      <c r="F2658" t="s">
        <v>7</v>
      </c>
      <c r="G2658" t="s">
        <v>115</v>
      </c>
      <c r="H2658" t="s">
        <v>11</v>
      </c>
    </row>
    <row r="2659" spans="1:8" x14ac:dyDescent="0.35">
      <c r="A2659" t="s">
        <v>57</v>
      </c>
      <c r="B2659" t="s">
        <v>112</v>
      </c>
      <c r="C2659" t="s">
        <v>1600</v>
      </c>
      <c r="D2659">
        <v>3</v>
      </c>
      <c r="E2659">
        <v>3</v>
      </c>
      <c r="F2659" t="s">
        <v>75</v>
      </c>
      <c r="G2659" t="s">
        <v>11</v>
      </c>
      <c r="H2659" t="s">
        <v>11</v>
      </c>
    </row>
    <row r="2660" spans="1:8" x14ac:dyDescent="0.35">
      <c r="A2660" t="s">
        <v>57</v>
      </c>
      <c r="B2660" t="s">
        <v>112</v>
      </c>
      <c r="C2660" t="s">
        <v>2896</v>
      </c>
      <c r="D2660">
        <v>3</v>
      </c>
      <c r="E2660">
        <v>3</v>
      </c>
      <c r="F2660" t="s">
        <v>75</v>
      </c>
      <c r="G2660" t="s">
        <v>11</v>
      </c>
      <c r="H2660" t="s">
        <v>11</v>
      </c>
    </row>
    <row r="2661" spans="1:8" x14ac:dyDescent="0.35">
      <c r="A2661" t="s">
        <v>57</v>
      </c>
      <c r="B2661" t="s">
        <v>112</v>
      </c>
      <c r="C2661" t="s">
        <v>2897</v>
      </c>
      <c r="D2661">
        <v>3</v>
      </c>
      <c r="E2661">
        <v>3</v>
      </c>
      <c r="F2661" t="s">
        <v>75</v>
      </c>
      <c r="G2661" t="s">
        <v>11</v>
      </c>
      <c r="H2661" t="s">
        <v>11</v>
      </c>
    </row>
    <row r="2662" spans="1:8" x14ac:dyDescent="0.35">
      <c r="A2662" t="s">
        <v>57</v>
      </c>
      <c r="B2662" t="s">
        <v>112</v>
      </c>
      <c r="C2662" t="s">
        <v>2898</v>
      </c>
      <c r="D2662">
        <v>3</v>
      </c>
      <c r="E2662">
        <v>3</v>
      </c>
      <c r="F2662" t="s">
        <v>75</v>
      </c>
      <c r="G2662" t="s">
        <v>11</v>
      </c>
      <c r="H2662" t="s">
        <v>11</v>
      </c>
    </row>
    <row r="2663" spans="1:8" x14ac:dyDescent="0.35">
      <c r="A2663" t="s">
        <v>57</v>
      </c>
      <c r="B2663" t="s">
        <v>112</v>
      </c>
      <c r="C2663" t="s">
        <v>2899</v>
      </c>
      <c r="D2663">
        <v>3</v>
      </c>
      <c r="E2663">
        <v>2</v>
      </c>
      <c r="F2663" t="s">
        <v>75</v>
      </c>
      <c r="G2663" t="s">
        <v>11</v>
      </c>
      <c r="H2663" t="s">
        <v>11</v>
      </c>
    </row>
    <row r="2664" spans="1:8" x14ac:dyDescent="0.35">
      <c r="A2664" t="s">
        <v>57</v>
      </c>
      <c r="B2664" t="s">
        <v>112</v>
      </c>
      <c r="C2664" t="s">
        <v>2900</v>
      </c>
      <c r="D2664">
        <v>3</v>
      </c>
      <c r="E2664">
        <v>2</v>
      </c>
      <c r="F2664" t="s">
        <v>7</v>
      </c>
      <c r="G2664" t="s">
        <v>115</v>
      </c>
      <c r="H2664" t="s">
        <v>11</v>
      </c>
    </row>
    <row r="2665" spans="1:8" x14ac:dyDescent="0.35">
      <c r="A2665" t="s">
        <v>57</v>
      </c>
      <c r="B2665" t="s">
        <v>112</v>
      </c>
      <c r="C2665" t="s">
        <v>1825</v>
      </c>
      <c r="D2665">
        <v>3</v>
      </c>
      <c r="E2665">
        <v>3</v>
      </c>
      <c r="F2665" t="s">
        <v>75</v>
      </c>
      <c r="G2665" t="s">
        <v>11</v>
      </c>
      <c r="H2665" t="s">
        <v>11</v>
      </c>
    </row>
    <row r="2666" spans="1:8" x14ac:dyDescent="0.35">
      <c r="A2666" t="s">
        <v>57</v>
      </c>
      <c r="B2666" t="s">
        <v>112</v>
      </c>
      <c r="C2666" t="s">
        <v>1826</v>
      </c>
      <c r="D2666">
        <v>3</v>
      </c>
      <c r="E2666">
        <v>2</v>
      </c>
      <c r="F2666" t="s">
        <v>75</v>
      </c>
      <c r="G2666" t="s">
        <v>11</v>
      </c>
      <c r="H2666" t="s">
        <v>11</v>
      </c>
    </row>
    <row r="2667" spans="1:8" x14ac:dyDescent="0.35">
      <c r="A2667" t="s">
        <v>57</v>
      </c>
      <c r="B2667" t="s">
        <v>112</v>
      </c>
      <c r="C2667" t="s">
        <v>1349</v>
      </c>
      <c r="D2667">
        <v>3</v>
      </c>
      <c r="E2667">
        <v>3</v>
      </c>
      <c r="F2667" t="s">
        <v>7</v>
      </c>
      <c r="G2667" t="s">
        <v>115</v>
      </c>
      <c r="H2667" t="s">
        <v>11</v>
      </c>
    </row>
    <row r="2668" spans="1:8" x14ac:dyDescent="0.35">
      <c r="A2668" t="s">
        <v>57</v>
      </c>
      <c r="B2668" t="s">
        <v>112</v>
      </c>
      <c r="C2668" t="s">
        <v>2901</v>
      </c>
      <c r="D2668">
        <v>2</v>
      </c>
      <c r="E2668">
        <v>4</v>
      </c>
      <c r="F2668" t="s">
        <v>75</v>
      </c>
      <c r="G2668" t="s">
        <v>11</v>
      </c>
      <c r="H2668" t="s">
        <v>11</v>
      </c>
    </row>
    <row r="2669" spans="1:8" x14ac:dyDescent="0.35">
      <c r="A2669" t="s">
        <v>57</v>
      </c>
      <c r="B2669" t="s">
        <v>112</v>
      </c>
      <c r="C2669" t="s">
        <v>2902</v>
      </c>
      <c r="D2669">
        <v>3</v>
      </c>
      <c r="E2669">
        <v>3</v>
      </c>
      <c r="F2669" t="s">
        <v>7</v>
      </c>
      <c r="G2669" t="s">
        <v>115</v>
      </c>
      <c r="H2669" t="s">
        <v>11</v>
      </c>
    </row>
    <row r="2670" spans="1:8" x14ac:dyDescent="0.35">
      <c r="A2670" t="s">
        <v>57</v>
      </c>
      <c r="B2670" t="s">
        <v>112</v>
      </c>
      <c r="C2670" t="s">
        <v>2903</v>
      </c>
      <c r="D2670">
        <v>3</v>
      </c>
      <c r="E2670">
        <v>2</v>
      </c>
      <c r="F2670" t="s">
        <v>7</v>
      </c>
      <c r="G2670" t="s">
        <v>115</v>
      </c>
      <c r="H2670" t="s">
        <v>11</v>
      </c>
    </row>
    <row r="2671" spans="1:8" x14ac:dyDescent="0.35">
      <c r="A2671" t="s">
        <v>57</v>
      </c>
      <c r="B2671" t="s">
        <v>112</v>
      </c>
      <c r="C2671" t="s">
        <v>1352</v>
      </c>
      <c r="D2671">
        <v>3</v>
      </c>
      <c r="E2671">
        <v>2</v>
      </c>
      <c r="F2671" t="s">
        <v>7</v>
      </c>
      <c r="G2671" t="s">
        <v>115</v>
      </c>
      <c r="H2671" t="s">
        <v>11</v>
      </c>
    </row>
    <row r="2672" spans="1:8" x14ac:dyDescent="0.35">
      <c r="A2672" t="s">
        <v>57</v>
      </c>
      <c r="B2672" t="s">
        <v>112</v>
      </c>
      <c r="C2672" t="s">
        <v>1629</v>
      </c>
      <c r="D2672">
        <v>3</v>
      </c>
      <c r="E2672">
        <v>2</v>
      </c>
      <c r="F2672" t="s">
        <v>7</v>
      </c>
      <c r="G2672" t="s">
        <v>115</v>
      </c>
      <c r="H2672" t="s">
        <v>11</v>
      </c>
    </row>
    <row r="2673" spans="1:8" x14ac:dyDescent="0.35">
      <c r="A2673" t="s">
        <v>57</v>
      </c>
      <c r="B2673" t="s">
        <v>112</v>
      </c>
      <c r="C2673" t="s">
        <v>1631</v>
      </c>
      <c r="D2673">
        <v>3</v>
      </c>
      <c r="E2673">
        <v>2</v>
      </c>
      <c r="F2673" t="s">
        <v>7</v>
      </c>
      <c r="G2673" t="s">
        <v>115</v>
      </c>
      <c r="H2673" t="s">
        <v>11</v>
      </c>
    </row>
    <row r="2674" spans="1:8" x14ac:dyDescent="0.35">
      <c r="A2674" t="s">
        <v>57</v>
      </c>
      <c r="B2674" t="s">
        <v>112</v>
      </c>
      <c r="C2674" t="s">
        <v>1353</v>
      </c>
      <c r="D2674">
        <v>3</v>
      </c>
      <c r="E2674">
        <v>2</v>
      </c>
      <c r="F2674" t="s">
        <v>7</v>
      </c>
      <c r="G2674" t="s">
        <v>115</v>
      </c>
      <c r="H2674" t="s">
        <v>11</v>
      </c>
    </row>
    <row r="2675" spans="1:8" x14ac:dyDescent="0.35">
      <c r="A2675" t="s">
        <v>57</v>
      </c>
      <c r="B2675" t="s">
        <v>112</v>
      </c>
      <c r="C2675" t="s">
        <v>2904</v>
      </c>
      <c r="D2675">
        <v>2</v>
      </c>
      <c r="E2675">
        <v>4</v>
      </c>
      <c r="F2675" t="s">
        <v>75</v>
      </c>
      <c r="G2675" t="s">
        <v>11</v>
      </c>
      <c r="H2675" t="s">
        <v>11</v>
      </c>
    </row>
    <row r="2676" spans="1:8" x14ac:dyDescent="0.35">
      <c r="A2676" t="s">
        <v>57</v>
      </c>
      <c r="B2676" t="s">
        <v>112</v>
      </c>
      <c r="C2676" t="s">
        <v>2905</v>
      </c>
      <c r="D2676">
        <v>3</v>
      </c>
      <c r="E2676">
        <v>2</v>
      </c>
      <c r="F2676" t="s">
        <v>7</v>
      </c>
      <c r="G2676" t="s">
        <v>115</v>
      </c>
      <c r="H2676" t="s">
        <v>11</v>
      </c>
    </row>
    <row r="2677" spans="1:8" x14ac:dyDescent="0.35">
      <c r="A2677" t="s">
        <v>57</v>
      </c>
      <c r="B2677" t="s">
        <v>112</v>
      </c>
      <c r="C2677" t="s">
        <v>2906</v>
      </c>
      <c r="D2677">
        <v>2</v>
      </c>
      <c r="E2677">
        <v>3</v>
      </c>
      <c r="F2677" t="s">
        <v>7</v>
      </c>
      <c r="G2677" t="s">
        <v>115</v>
      </c>
      <c r="H2677" t="s">
        <v>11</v>
      </c>
    </row>
    <row r="2678" spans="1:8" x14ac:dyDescent="0.35">
      <c r="A2678" t="s">
        <v>57</v>
      </c>
      <c r="B2678" t="s">
        <v>112</v>
      </c>
      <c r="C2678" t="s">
        <v>2907</v>
      </c>
      <c r="D2678">
        <v>3</v>
      </c>
      <c r="E2678">
        <v>3</v>
      </c>
      <c r="F2678" t="s">
        <v>75</v>
      </c>
      <c r="G2678" t="s">
        <v>11</v>
      </c>
      <c r="H2678" t="s">
        <v>11</v>
      </c>
    </row>
    <row r="2679" spans="1:8" x14ac:dyDescent="0.35">
      <c r="A2679" t="s">
        <v>57</v>
      </c>
      <c r="B2679" t="s">
        <v>112</v>
      </c>
      <c r="C2679" t="s">
        <v>2908</v>
      </c>
      <c r="D2679">
        <v>2</v>
      </c>
      <c r="E2679">
        <v>3</v>
      </c>
      <c r="F2679" t="s">
        <v>75</v>
      </c>
      <c r="G2679" t="s">
        <v>11</v>
      </c>
      <c r="H2679" t="s">
        <v>11</v>
      </c>
    </row>
    <row r="2680" spans="1:8" x14ac:dyDescent="0.35">
      <c r="A2680" t="s">
        <v>57</v>
      </c>
      <c r="B2680" t="s">
        <v>112</v>
      </c>
      <c r="C2680" t="s">
        <v>2909</v>
      </c>
      <c r="D2680">
        <v>2</v>
      </c>
      <c r="E2680">
        <v>3</v>
      </c>
      <c r="F2680" t="s">
        <v>75</v>
      </c>
      <c r="G2680" t="s">
        <v>11</v>
      </c>
      <c r="H2680" t="s">
        <v>11</v>
      </c>
    </row>
    <row r="2681" spans="1:8" x14ac:dyDescent="0.35">
      <c r="A2681" t="s">
        <v>57</v>
      </c>
      <c r="B2681" t="s">
        <v>112</v>
      </c>
      <c r="C2681" t="s">
        <v>1356</v>
      </c>
      <c r="D2681">
        <v>3</v>
      </c>
      <c r="E2681">
        <v>2</v>
      </c>
      <c r="F2681" t="s">
        <v>7</v>
      </c>
      <c r="G2681" t="s">
        <v>115</v>
      </c>
      <c r="H2681" t="s">
        <v>11</v>
      </c>
    </row>
    <row r="2682" spans="1:8" x14ac:dyDescent="0.35">
      <c r="A2682" t="s">
        <v>57</v>
      </c>
      <c r="B2682" t="s">
        <v>112</v>
      </c>
      <c r="C2682" t="s">
        <v>1358</v>
      </c>
      <c r="D2682">
        <v>3</v>
      </c>
      <c r="E2682">
        <v>3</v>
      </c>
      <c r="F2682" t="s">
        <v>7</v>
      </c>
      <c r="G2682" t="s">
        <v>115</v>
      </c>
      <c r="H2682" t="s">
        <v>11</v>
      </c>
    </row>
    <row r="2683" spans="1:8" x14ac:dyDescent="0.35">
      <c r="A2683" t="s">
        <v>57</v>
      </c>
      <c r="B2683" t="s">
        <v>112</v>
      </c>
      <c r="C2683" t="s">
        <v>1633</v>
      </c>
      <c r="D2683">
        <v>3</v>
      </c>
      <c r="E2683">
        <v>3</v>
      </c>
      <c r="F2683" t="s">
        <v>75</v>
      </c>
      <c r="G2683" t="s">
        <v>11</v>
      </c>
      <c r="H2683" t="s">
        <v>11</v>
      </c>
    </row>
    <row r="2684" spans="1:8" x14ac:dyDescent="0.35">
      <c r="A2684" t="s">
        <v>57</v>
      </c>
      <c r="B2684" t="s">
        <v>112</v>
      </c>
      <c r="C2684" t="s">
        <v>1829</v>
      </c>
      <c r="D2684">
        <v>2</v>
      </c>
      <c r="E2684">
        <v>3</v>
      </c>
      <c r="F2684" t="s">
        <v>75</v>
      </c>
      <c r="G2684" t="s">
        <v>11</v>
      </c>
      <c r="H2684" t="s">
        <v>11</v>
      </c>
    </row>
    <row r="2685" spans="1:8" x14ac:dyDescent="0.35">
      <c r="A2685" t="s">
        <v>57</v>
      </c>
      <c r="B2685" t="s">
        <v>112</v>
      </c>
      <c r="C2685" t="s">
        <v>2910</v>
      </c>
      <c r="D2685">
        <v>3</v>
      </c>
      <c r="E2685">
        <v>2</v>
      </c>
      <c r="F2685" t="s">
        <v>7</v>
      </c>
      <c r="G2685" t="s">
        <v>115</v>
      </c>
      <c r="H2685" t="s">
        <v>11</v>
      </c>
    </row>
    <row r="2686" spans="1:8" x14ac:dyDescent="0.35">
      <c r="A2686" t="s">
        <v>57</v>
      </c>
      <c r="B2686" t="s">
        <v>112</v>
      </c>
      <c r="C2686" t="s">
        <v>2911</v>
      </c>
      <c r="D2686">
        <v>3</v>
      </c>
      <c r="E2686">
        <v>2</v>
      </c>
      <c r="F2686" t="s">
        <v>75</v>
      </c>
      <c r="G2686" t="s">
        <v>11</v>
      </c>
      <c r="H2686" t="s">
        <v>11</v>
      </c>
    </row>
    <row r="2687" spans="1:8" x14ac:dyDescent="0.35">
      <c r="A2687" t="s">
        <v>57</v>
      </c>
      <c r="B2687" t="s">
        <v>112</v>
      </c>
      <c r="C2687" t="s">
        <v>2912</v>
      </c>
      <c r="D2687">
        <v>3</v>
      </c>
      <c r="E2687">
        <v>3</v>
      </c>
      <c r="F2687" t="s">
        <v>75</v>
      </c>
      <c r="G2687" t="s">
        <v>11</v>
      </c>
      <c r="H2687" t="s">
        <v>11</v>
      </c>
    </row>
    <row r="2688" spans="1:8" x14ac:dyDescent="0.35">
      <c r="A2688" t="s">
        <v>57</v>
      </c>
      <c r="B2688" t="s">
        <v>112</v>
      </c>
      <c r="C2688" t="s">
        <v>2913</v>
      </c>
      <c r="D2688">
        <v>3</v>
      </c>
      <c r="E2688">
        <v>2</v>
      </c>
      <c r="F2688" t="s">
        <v>7</v>
      </c>
      <c r="G2688" t="s">
        <v>115</v>
      </c>
      <c r="H2688" t="s">
        <v>11</v>
      </c>
    </row>
    <row r="2689" spans="1:8" x14ac:dyDescent="0.35">
      <c r="A2689" t="s">
        <v>57</v>
      </c>
      <c r="B2689" t="s">
        <v>112</v>
      </c>
      <c r="C2689" t="s">
        <v>2914</v>
      </c>
      <c r="D2689">
        <v>3</v>
      </c>
      <c r="E2689">
        <v>2</v>
      </c>
      <c r="F2689" t="s">
        <v>7</v>
      </c>
      <c r="G2689" t="s">
        <v>115</v>
      </c>
      <c r="H2689" t="s">
        <v>11</v>
      </c>
    </row>
    <row r="2690" spans="1:8" x14ac:dyDescent="0.35">
      <c r="A2690" t="s">
        <v>57</v>
      </c>
      <c r="B2690" t="s">
        <v>112</v>
      </c>
      <c r="C2690" t="s">
        <v>2617</v>
      </c>
      <c r="D2690">
        <v>3</v>
      </c>
      <c r="E2690">
        <v>2</v>
      </c>
      <c r="F2690" t="s">
        <v>75</v>
      </c>
      <c r="G2690" t="s">
        <v>11</v>
      </c>
      <c r="H2690" t="s">
        <v>11</v>
      </c>
    </row>
    <row r="2691" spans="1:8" x14ac:dyDescent="0.35">
      <c r="A2691" t="s">
        <v>57</v>
      </c>
      <c r="B2691" t="s">
        <v>112</v>
      </c>
      <c r="C2691" t="s">
        <v>1834</v>
      </c>
      <c r="D2691">
        <v>3</v>
      </c>
      <c r="E2691">
        <v>3</v>
      </c>
      <c r="F2691" t="s">
        <v>75</v>
      </c>
      <c r="G2691" t="s">
        <v>11</v>
      </c>
      <c r="H2691" t="s">
        <v>11</v>
      </c>
    </row>
    <row r="2692" spans="1:8" x14ac:dyDescent="0.35">
      <c r="A2692" t="s">
        <v>57</v>
      </c>
      <c r="B2692" t="s">
        <v>112</v>
      </c>
      <c r="C2692" t="s">
        <v>2186</v>
      </c>
      <c r="D2692">
        <v>3</v>
      </c>
      <c r="E2692">
        <v>3</v>
      </c>
      <c r="F2692" t="s">
        <v>75</v>
      </c>
      <c r="G2692" t="s">
        <v>11</v>
      </c>
      <c r="H2692" t="s">
        <v>11</v>
      </c>
    </row>
    <row r="2693" spans="1:8" x14ac:dyDescent="0.35">
      <c r="A2693" t="s">
        <v>57</v>
      </c>
      <c r="B2693" t="s">
        <v>112</v>
      </c>
      <c r="C2693" t="s">
        <v>2915</v>
      </c>
      <c r="D2693">
        <v>3</v>
      </c>
      <c r="E2693">
        <v>2</v>
      </c>
      <c r="F2693" t="s">
        <v>7</v>
      </c>
      <c r="G2693" t="s">
        <v>115</v>
      </c>
      <c r="H2693" t="s">
        <v>11</v>
      </c>
    </row>
    <row r="2694" spans="1:8" x14ac:dyDescent="0.35">
      <c r="A2694" t="s">
        <v>57</v>
      </c>
      <c r="B2694" t="s">
        <v>112</v>
      </c>
      <c r="C2694" t="s">
        <v>1921</v>
      </c>
      <c r="D2694">
        <v>3</v>
      </c>
      <c r="E2694">
        <v>3</v>
      </c>
      <c r="F2694" t="s">
        <v>7</v>
      </c>
      <c r="G2694" t="s">
        <v>115</v>
      </c>
      <c r="H2694" t="s">
        <v>11</v>
      </c>
    </row>
    <row r="2695" spans="1:8" x14ac:dyDescent="0.35">
      <c r="A2695" t="s">
        <v>57</v>
      </c>
      <c r="B2695" t="s">
        <v>112</v>
      </c>
      <c r="C2695" t="s">
        <v>1722</v>
      </c>
      <c r="D2695">
        <v>3</v>
      </c>
      <c r="E2695">
        <v>3</v>
      </c>
      <c r="F2695" t="s">
        <v>75</v>
      </c>
      <c r="G2695" t="s">
        <v>11</v>
      </c>
      <c r="H2695" t="s">
        <v>11</v>
      </c>
    </row>
    <row r="2696" spans="1:8" x14ac:dyDescent="0.35">
      <c r="A2696" t="s">
        <v>57</v>
      </c>
      <c r="B2696" t="s">
        <v>112</v>
      </c>
      <c r="C2696" t="s">
        <v>2916</v>
      </c>
      <c r="D2696">
        <v>3</v>
      </c>
      <c r="E2696">
        <v>3</v>
      </c>
      <c r="F2696" t="s">
        <v>7</v>
      </c>
      <c r="G2696" t="s">
        <v>11</v>
      </c>
      <c r="H2696" t="s">
        <v>11</v>
      </c>
    </row>
    <row r="2697" spans="1:8" x14ac:dyDescent="0.35">
      <c r="A2697" t="s">
        <v>57</v>
      </c>
      <c r="B2697" t="s">
        <v>112</v>
      </c>
      <c r="C2697" t="s">
        <v>1362</v>
      </c>
      <c r="D2697">
        <v>3</v>
      </c>
      <c r="E2697">
        <v>2</v>
      </c>
      <c r="F2697" t="s">
        <v>7</v>
      </c>
      <c r="G2697" t="s">
        <v>115</v>
      </c>
      <c r="H2697" t="s">
        <v>11</v>
      </c>
    </row>
    <row r="2698" spans="1:8" x14ac:dyDescent="0.35">
      <c r="A2698" t="s">
        <v>57</v>
      </c>
      <c r="B2698" t="s">
        <v>112</v>
      </c>
      <c r="C2698" t="s">
        <v>2541</v>
      </c>
      <c r="D2698">
        <v>2</v>
      </c>
      <c r="E2698">
        <v>4</v>
      </c>
      <c r="F2698" t="s">
        <v>75</v>
      </c>
      <c r="G2698" t="s">
        <v>11</v>
      </c>
      <c r="H2698" t="s">
        <v>11</v>
      </c>
    </row>
    <row r="2699" spans="1:8" x14ac:dyDescent="0.35">
      <c r="A2699" t="s">
        <v>57</v>
      </c>
      <c r="B2699" t="s">
        <v>112</v>
      </c>
      <c r="C2699" t="s">
        <v>1973</v>
      </c>
      <c r="D2699">
        <v>3</v>
      </c>
      <c r="E2699">
        <v>3</v>
      </c>
      <c r="F2699" t="s">
        <v>7</v>
      </c>
      <c r="G2699" t="s">
        <v>115</v>
      </c>
      <c r="H2699" t="s">
        <v>11</v>
      </c>
    </row>
    <row r="2700" spans="1:8" x14ac:dyDescent="0.35">
      <c r="A2700" t="s">
        <v>57</v>
      </c>
      <c r="B2700" t="s">
        <v>112</v>
      </c>
      <c r="C2700" t="s">
        <v>2917</v>
      </c>
      <c r="D2700">
        <v>3</v>
      </c>
      <c r="E2700">
        <v>3</v>
      </c>
      <c r="F2700" t="s">
        <v>75</v>
      </c>
      <c r="G2700" t="s">
        <v>11</v>
      </c>
      <c r="H2700" t="s">
        <v>11</v>
      </c>
    </row>
    <row r="2701" spans="1:8" x14ac:dyDescent="0.35">
      <c r="A2701" t="s">
        <v>57</v>
      </c>
      <c r="B2701" t="s">
        <v>112</v>
      </c>
      <c r="C2701" t="s">
        <v>2918</v>
      </c>
      <c r="D2701">
        <v>3</v>
      </c>
      <c r="E2701">
        <v>3</v>
      </c>
      <c r="F2701" t="s">
        <v>7</v>
      </c>
      <c r="G2701" t="s">
        <v>115</v>
      </c>
      <c r="H2701" t="s">
        <v>11</v>
      </c>
    </row>
    <row r="2702" spans="1:8" x14ac:dyDescent="0.35">
      <c r="A2702" t="s">
        <v>57</v>
      </c>
      <c r="B2702" t="s">
        <v>112</v>
      </c>
      <c r="C2702" t="s">
        <v>2919</v>
      </c>
      <c r="D2702">
        <v>3</v>
      </c>
      <c r="E2702">
        <v>3</v>
      </c>
      <c r="F2702" t="s">
        <v>7</v>
      </c>
      <c r="G2702" t="s">
        <v>115</v>
      </c>
      <c r="H2702" t="s">
        <v>11</v>
      </c>
    </row>
    <row r="2703" spans="1:8" x14ac:dyDescent="0.35">
      <c r="A2703" t="s">
        <v>57</v>
      </c>
      <c r="B2703" t="s">
        <v>112</v>
      </c>
      <c r="C2703" t="s">
        <v>1460</v>
      </c>
      <c r="D2703">
        <v>3</v>
      </c>
      <c r="E2703">
        <v>2</v>
      </c>
      <c r="F2703" t="s">
        <v>7</v>
      </c>
      <c r="G2703" t="s">
        <v>115</v>
      </c>
      <c r="H2703" t="s">
        <v>11</v>
      </c>
    </row>
    <row r="2704" spans="1:8" x14ac:dyDescent="0.35">
      <c r="A2704" t="s">
        <v>57</v>
      </c>
      <c r="B2704" t="s">
        <v>112</v>
      </c>
      <c r="C2704" t="s">
        <v>2920</v>
      </c>
      <c r="D2704">
        <v>3</v>
      </c>
      <c r="E2704">
        <v>3</v>
      </c>
      <c r="F2704" t="s">
        <v>75</v>
      </c>
      <c r="G2704" t="s">
        <v>11</v>
      </c>
      <c r="H2704" t="s">
        <v>11</v>
      </c>
    </row>
    <row r="2705" spans="1:8" x14ac:dyDescent="0.35">
      <c r="A2705" t="s">
        <v>57</v>
      </c>
      <c r="B2705" t="s">
        <v>112</v>
      </c>
      <c r="C2705" t="s">
        <v>2921</v>
      </c>
      <c r="D2705">
        <v>3</v>
      </c>
      <c r="E2705">
        <v>2</v>
      </c>
      <c r="F2705" t="s">
        <v>7</v>
      </c>
      <c r="G2705" t="s">
        <v>115</v>
      </c>
      <c r="H2705" t="s">
        <v>11</v>
      </c>
    </row>
    <row r="2706" spans="1:8" x14ac:dyDescent="0.35">
      <c r="A2706" t="s">
        <v>57</v>
      </c>
      <c r="B2706" t="s">
        <v>112</v>
      </c>
      <c r="C2706" t="s">
        <v>2922</v>
      </c>
      <c r="D2706">
        <v>2</v>
      </c>
      <c r="E2706">
        <v>4</v>
      </c>
      <c r="F2706" t="s">
        <v>75</v>
      </c>
      <c r="G2706" t="s">
        <v>11</v>
      </c>
      <c r="H2706" t="s">
        <v>11</v>
      </c>
    </row>
    <row r="2707" spans="1:8" x14ac:dyDescent="0.35">
      <c r="A2707" t="s">
        <v>57</v>
      </c>
      <c r="B2707" t="s">
        <v>112</v>
      </c>
      <c r="C2707" t="s">
        <v>2050</v>
      </c>
      <c r="D2707">
        <v>2</v>
      </c>
      <c r="E2707">
        <v>4</v>
      </c>
      <c r="F2707" t="s">
        <v>75</v>
      </c>
      <c r="G2707" t="s">
        <v>11</v>
      </c>
      <c r="H2707" t="s">
        <v>11</v>
      </c>
    </row>
    <row r="2708" spans="1:8" x14ac:dyDescent="0.35">
      <c r="A2708" t="s">
        <v>57</v>
      </c>
      <c r="B2708" t="s">
        <v>112</v>
      </c>
      <c r="C2708" t="s">
        <v>1509</v>
      </c>
      <c r="D2708">
        <v>3</v>
      </c>
      <c r="E2708">
        <v>2</v>
      </c>
      <c r="F2708" t="s">
        <v>7</v>
      </c>
      <c r="G2708" t="s">
        <v>115</v>
      </c>
      <c r="H2708" t="s">
        <v>11</v>
      </c>
    </row>
    <row r="2709" spans="1:8" x14ac:dyDescent="0.35">
      <c r="A2709" t="s">
        <v>57</v>
      </c>
      <c r="B2709" t="s">
        <v>112</v>
      </c>
      <c r="C2709" t="s">
        <v>2923</v>
      </c>
      <c r="D2709">
        <v>3</v>
      </c>
      <c r="E2709">
        <v>3</v>
      </c>
      <c r="F2709" t="s">
        <v>7</v>
      </c>
      <c r="G2709" t="s">
        <v>115</v>
      </c>
      <c r="H2709" t="s">
        <v>11</v>
      </c>
    </row>
    <row r="2710" spans="1:8" x14ac:dyDescent="0.35">
      <c r="A2710" t="s">
        <v>57</v>
      </c>
      <c r="B2710" t="s">
        <v>112</v>
      </c>
      <c r="C2710" t="s">
        <v>2289</v>
      </c>
      <c r="D2710">
        <v>3</v>
      </c>
      <c r="E2710">
        <v>3</v>
      </c>
      <c r="F2710" t="s">
        <v>7</v>
      </c>
      <c r="G2710" t="s">
        <v>115</v>
      </c>
      <c r="H2710" t="s">
        <v>11</v>
      </c>
    </row>
    <row r="2711" spans="1:8" x14ac:dyDescent="0.35">
      <c r="A2711" t="s">
        <v>57</v>
      </c>
      <c r="B2711" t="s">
        <v>112</v>
      </c>
      <c r="C2711" t="s">
        <v>2924</v>
      </c>
      <c r="D2711">
        <v>3</v>
      </c>
      <c r="E2711">
        <v>3</v>
      </c>
      <c r="F2711" t="s">
        <v>7</v>
      </c>
      <c r="G2711" t="s">
        <v>115</v>
      </c>
      <c r="H2711" t="s">
        <v>11</v>
      </c>
    </row>
    <row r="2712" spans="1:8" x14ac:dyDescent="0.35">
      <c r="A2712" t="s">
        <v>57</v>
      </c>
      <c r="B2712" t="s">
        <v>112</v>
      </c>
      <c r="C2712" t="s">
        <v>2925</v>
      </c>
      <c r="D2712">
        <v>2</v>
      </c>
      <c r="E2712">
        <v>4</v>
      </c>
      <c r="F2712" t="s">
        <v>75</v>
      </c>
      <c r="G2712" t="s">
        <v>11</v>
      </c>
      <c r="H2712" t="s">
        <v>11</v>
      </c>
    </row>
    <row r="2713" spans="1:8" x14ac:dyDescent="0.35">
      <c r="A2713" t="s">
        <v>57</v>
      </c>
      <c r="B2713" t="s">
        <v>112</v>
      </c>
      <c r="C2713" t="s">
        <v>2926</v>
      </c>
      <c r="D2713">
        <v>3</v>
      </c>
      <c r="E2713">
        <v>3</v>
      </c>
      <c r="F2713" t="s">
        <v>75</v>
      </c>
      <c r="G2713" t="s">
        <v>11</v>
      </c>
      <c r="H2713" t="s">
        <v>11</v>
      </c>
    </row>
    <row r="2714" spans="1:8" x14ac:dyDescent="0.35">
      <c r="A2714" t="s">
        <v>57</v>
      </c>
      <c r="B2714" t="s">
        <v>112</v>
      </c>
      <c r="C2714" t="s">
        <v>1464</v>
      </c>
      <c r="D2714">
        <v>3</v>
      </c>
      <c r="E2714">
        <v>2</v>
      </c>
      <c r="F2714" t="s">
        <v>7</v>
      </c>
      <c r="G2714" t="s">
        <v>115</v>
      </c>
      <c r="H2714" t="s">
        <v>11</v>
      </c>
    </row>
    <row r="2715" spans="1:8" x14ac:dyDescent="0.35">
      <c r="A2715" t="s">
        <v>57</v>
      </c>
      <c r="B2715" t="s">
        <v>112</v>
      </c>
      <c r="C2715" t="s">
        <v>2716</v>
      </c>
      <c r="D2715">
        <v>2</v>
      </c>
      <c r="E2715">
        <v>4</v>
      </c>
      <c r="F2715" t="s">
        <v>75</v>
      </c>
      <c r="G2715" t="s">
        <v>11</v>
      </c>
      <c r="H2715" t="s">
        <v>11</v>
      </c>
    </row>
    <row r="2716" spans="1:8" x14ac:dyDescent="0.35">
      <c r="A2716" t="s">
        <v>57</v>
      </c>
      <c r="B2716" t="s">
        <v>112</v>
      </c>
      <c r="C2716" t="s">
        <v>2927</v>
      </c>
      <c r="D2716">
        <v>2</v>
      </c>
      <c r="E2716">
        <v>3</v>
      </c>
      <c r="F2716" t="s">
        <v>75</v>
      </c>
      <c r="G2716" t="s">
        <v>11</v>
      </c>
      <c r="H2716" t="s">
        <v>11</v>
      </c>
    </row>
    <row r="2717" spans="1:8" x14ac:dyDescent="0.35">
      <c r="A2717" t="s">
        <v>57</v>
      </c>
      <c r="B2717" t="s">
        <v>112</v>
      </c>
      <c r="C2717" t="s">
        <v>2928</v>
      </c>
      <c r="D2717">
        <v>3</v>
      </c>
      <c r="E2717">
        <v>3</v>
      </c>
      <c r="F2717" t="s">
        <v>7</v>
      </c>
      <c r="G2717" t="s">
        <v>115</v>
      </c>
      <c r="H2717" t="s">
        <v>11</v>
      </c>
    </row>
    <row r="2718" spans="1:8" x14ac:dyDescent="0.35">
      <c r="A2718" t="s">
        <v>57</v>
      </c>
      <c r="B2718" t="s">
        <v>112</v>
      </c>
      <c r="C2718" t="s">
        <v>2929</v>
      </c>
      <c r="D2718">
        <v>2</v>
      </c>
      <c r="E2718">
        <v>4</v>
      </c>
      <c r="F2718" t="s">
        <v>75</v>
      </c>
      <c r="G2718" t="s">
        <v>11</v>
      </c>
      <c r="H2718" t="s">
        <v>11</v>
      </c>
    </row>
    <row r="2719" spans="1:8" x14ac:dyDescent="0.35">
      <c r="A2719" t="s">
        <v>57</v>
      </c>
      <c r="B2719" t="s">
        <v>112</v>
      </c>
      <c r="C2719" t="s">
        <v>2930</v>
      </c>
      <c r="D2719">
        <v>3</v>
      </c>
      <c r="E2719">
        <v>3</v>
      </c>
      <c r="F2719" t="s">
        <v>75</v>
      </c>
      <c r="G2719" t="s">
        <v>11</v>
      </c>
      <c r="H2719" t="s">
        <v>11</v>
      </c>
    </row>
    <row r="2720" spans="1:8" x14ac:dyDescent="0.35">
      <c r="A2720" t="s">
        <v>57</v>
      </c>
      <c r="B2720" t="s">
        <v>112</v>
      </c>
      <c r="C2720" t="s">
        <v>2931</v>
      </c>
      <c r="D2720">
        <v>3</v>
      </c>
      <c r="E2720">
        <v>2</v>
      </c>
      <c r="F2720" t="s">
        <v>75</v>
      </c>
      <c r="G2720" t="s">
        <v>11</v>
      </c>
      <c r="H2720" t="s">
        <v>11</v>
      </c>
    </row>
    <row r="2721" spans="1:8" x14ac:dyDescent="0.35">
      <c r="A2721" t="s">
        <v>57</v>
      </c>
      <c r="B2721" t="s">
        <v>112</v>
      </c>
      <c r="C2721" t="s">
        <v>2089</v>
      </c>
      <c r="D2721">
        <v>3</v>
      </c>
      <c r="E2721">
        <v>3</v>
      </c>
      <c r="F2721" t="s">
        <v>7</v>
      </c>
      <c r="G2721" t="s">
        <v>115</v>
      </c>
      <c r="H2721" t="s">
        <v>11</v>
      </c>
    </row>
    <row r="2722" spans="1:8" x14ac:dyDescent="0.35">
      <c r="A2722" t="s">
        <v>57</v>
      </c>
      <c r="B2722" t="s">
        <v>112</v>
      </c>
      <c r="C2722" t="s">
        <v>2932</v>
      </c>
      <c r="D2722">
        <v>2</v>
      </c>
      <c r="E2722">
        <v>3</v>
      </c>
      <c r="F2722" t="s">
        <v>75</v>
      </c>
      <c r="G2722" t="s">
        <v>11</v>
      </c>
      <c r="H2722" t="s">
        <v>11</v>
      </c>
    </row>
    <row r="2723" spans="1:8" x14ac:dyDescent="0.35">
      <c r="A2723" t="s">
        <v>57</v>
      </c>
      <c r="B2723" t="s">
        <v>112</v>
      </c>
      <c r="C2723" t="s">
        <v>2933</v>
      </c>
      <c r="D2723">
        <v>3</v>
      </c>
      <c r="E2723">
        <v>2</v>
      </c>
      <c r="F2723" t="s">
        <v>7</v>
      </c>
      <c r="G2723" t="s">
        <v>115</v>
      </c>
      <c r="H2723" t="s">
        <v>11</v>
      </c>
    </row>
    <row r="2724" spans="1:8" x14ac:dyDescent="0.35">
      <c r="A2724" t="s">
        <v>57</v>
      </c>
      <c r="B2724" t="s">
        <v>112</v>
      </c>
      <c r="C2724" t="s">
        <v>2780</v>
      </c>
      <c r="D2724">
        <v>2</v>
      </c>
      <c r="E2724">
        <v>4</v>
      </c>
      <c r="F2724" t="s">
        <v>75</v>
      </c>
      <c r="G2724" t="s">
        <v>11</v>
      </c>
      <c r="H2724" t="s">
        <v>11</v>
      </c>
    </row>
    <row r="2725" spans="1:8" x14ac:dyDescent="0.35">
      <c r="A2725" t="s">
        <v>57</v>
      </c>
      <c r="B2725" t="s">
        <v>112</v>
      </c>
      <c r="C2725" t="s">
        <v>2054</v>
      </c>
      <c r="D2725">
        <v>3</v>
      </c>
      <c r="E2725">
        <v>2</v>
      </c>
      <c r="F2725" t="s">
        <v>7</v>
      </c>
      <c r="G2725" t="s">
        <v>115</v>
      </c>
      <c r="H2725" t="s">
        <v>11</v>
      </c>
    </row>
    <row r="2726" spans="1:8" x14ac:dyDescent="0.35">
      <c r="A2726" t="s">
        <v>57</v>
      </c>
      <c r="B2726" t="s">
        <v>112</v>
      </c>
      <c r="C2726" t="s">
        <v>2934</v>
      </c>
      <c r="D2726">
        <v>3</v>
      </c>
      <c r="E2726">
        <v>3</v>
      </c>
      <c r="F2726" t="s">
        <v>7</v>
      </c>
      <c r="G2726" t="s">
        <v>115</v>
      </c>
      <c r="H2726" t="s">
        <v>11</v>
      </c>
    </row>
    <row r="2727" spans="1:8" x14ac:dyDescent="0.35">
      <c r="A2727" t="s">
        <v>57</v>
      </c>
      <c r="B2727" t="s">
        <v>112</v>
      </c>
      <c r="C2727" t="s">
        <v>2935</v>
      </c>
      <c r="D2727">
        <v>3</v>
      </c>
      <c r="E2727">
        <v>3</v>
      </c>
      <c r="F2727" t="s">
        <v>75</v>
      </c>
      <c r="G2727" t="s">
        <v>11</v>
      </c>
      <c r="H2727" t="s">
        <v>11</v>
      </c>
    </row>
    <row r="2728" spans="1:8" x14ac:dyDescent="0.35">
      <c r="A2728" t="s">
        <v>57</v>
      </c>
      <c r="B2728" t="s">
        <v>112</v>
      </c>
      <c r="C2728" t="s">
        <v>2936</v>
      </c>
      <c r="D2728">
        <v>3</v>
      </c>
      <c r="E2728">
        <v>3</v>
      </c>
      <c r="F2728" t="s">
        <v>7</v>
      </c>
      <c r="G2728" t="s">
        <v>115</v>
      </c>
      <c r="H2728" t="s">
        <v>11</v>
      </c>
    </row>
    <row r="2729" spans="1:8" x14ac:dyDescent="0.35">
      <c r="A2729" t="s">
        <v>57</v>
      </c>
      <c r="B2729" t="s">
        <v>112</v>
      </c>
      <c r="C2729" t="s">
        <v>2090</v>
      </c>
      <c r="D2729">
        <v>3</v>
      </c>
      <c r="E2729">
        <v>3</v>
      </c>
      <c r="F2729" t="s">
        <v>7</v>
      </c>
      <c r="G2729" t="s">
        <v>115</v>
      </c>
      <c r="H2729" t="s">
        <v>11</v>
      </c>
    </row>
    <row r="2730" spans="1:8" x14ac:dyDescent="0.35">
      <c r="A2730" t="s">
        <v>57</v>
      </c>
      <c r="B2730" t="s">
        <v>112</v>
      </c>
      <c r="C2730" t="s">
        <v>2937</v>
      </c>
      <c r="D2730">
        <v>3</v>
      </c>
      <c r="E2730">
        <v>3</v>
      </c>
      <c r="F2730" t="s">
        <v>7</v>
      </c>
      <c r="G2730" t="s">
        <v>115</v>
      </c>
      <c r="H2730" t="s">
        <v>11</v>
      </c>
    </row>
    <row r="2731" spans="1:8" x14ac:dyDescent="0.35">
      <c r="A2731" t="s">
        <v>57</v>
      </c>
      <c r="B2731" t="s">
        <v>112</v>
      </c>
      <c r="C2731" t="s">
        <v>2938</v>
      </c>
      <c r="D2731">
        <v>3</v>
      </c>
      <c r="E2731">
        <v>2</v>
      </c>
      <c r="F2731" t="s">
        <v>7</v>
      </c>
      <c r="G2731" t="s">
        <v>115</v>
      </c>
      <c r="H2731" t="s">
        <v>11</v>
      </c>
    </row>
    <row r="2732" spans="1:8" x14ac:dyDescent="0.35">
      <c r="A2732" t="s">
        <v>57</v>
      </c>
      <c r="B2732" t="s">
        <v>112</v>
      </c>
      <c r="C2732" t="s">
        <v>2939</v>
      </c>
      <c r="D2732">
        <v>3</v>
      </c>
      <c r="E2732">
        <v>2</v>
      </c>
      <c r="F2732" t="s">
        <v>7</v>
      </c>
      <c r="G2732" t="s">
        <v>115</v>
      </c>
      <c r="H2732" t="s">
        <v>11</v>
      </c>
    </row>
    <row r="2733" spans="1:8" x14ac:dyDescent="0.35">
      <c r="A2733" t="s">
        <v>57</v>
      </c>
      <c r="B2733" t="s">
        <v>112</v>
      </c>
      <c r="C2733" t="s">
        <v>2940</v>
      </c>
      <c r="D2733">
        <v>3</v>
      </c>
      <c r="E2733">
        <v>3</v>
      </c>
      <c r="F2733" t="s">
        <v>7</v>
      </c>
      <c r="G2733" t="s">
        <v>115</v>
      </c>
      <c r="H2733" t="s">
        <v>11</v>
      </c>
    </row>
    <row r="2734" spans="1:8" x14ac:dyDescent="0.35">
      <c r="A2734" t="s">
        <v>57</v>
      </c>
      <c r="B2734" t="s">
        <v>112</v>
      </c>
      <c r="C2734" t="s">
        <v>2941</v>
      </c>
      <c r="D2734">
        <v>3</v>
      </c>
      <c r="E2734">
        <v>3</v>
      </c>
      <c r="F2734" t="s">
        <v>75</v>
      </c>
      <c r="G2734" t="s">
        <v>11</v>
      </c>
      <c r="H2734" t="s">
        <v>11</v>
      </c>
    </row>
    <row r="2735" spans="1:8" x14ac:dyDescent="0.35">
      <c r="A2735" t="s">
        <v>57</v>
      </c>
      <c r="B2735" t="s">
        <v>112</v>
      </c>
      <c r="C2735" t="s">
        <v>2942</v>
      </c>
      <c r="D2735">
        <v>3</v>
      </c>
      <c r="E2735">
        <v>3</v>
      </c>
      <c r="F2735" t="s">
        <v>75</v>
      </c>
      <c r="G2735" t="s">
        <v>11</v>
      </c>
      <c r="H2735" t="s">
        <v>11</v>
      </c>
    </row>
    <row r="2736" spans="1:8" x14ac:dyDescent="0.35">
      <c r="A2736" t="s">
        <v>57</v>
      </c>
      <c r="B2736" t="s">
        <v>112</v>
      </c>
      <c r="C2736" t="s">
        <v>2943</v>
      </c>
      <c r="D2736">
        <v>3</v>
      </c>
      <c r="E2736">
        <v>3</v>
      </c>
      <c r="F2736" t="s">
        <v>75</v>
      </c>
      <c r="G2736" t="s">
        <v>11</v>
      </c>
      <c r="H2736" t="s">
        <v>11</v>
      </c>
    </row>
    <row r="2737" spans="1:8" x14ac:dyDescent="0.35">
      <c r="A2737" t="s">
        <v>57</v>
      </c>
      <c r="B2737" t="s">
        <v>112</v>
      </c>
      <c r="C2737" t="s">
        <v>1370</v>
      </c>
      <c r="D2737">
        <v>3</v>
      </c>
      <c r="E2737">
        <v>3</v>
      </c>
      <c r="F2737" t="s">
        <v>7</v>
      </c>
      <c r="G2737" t="s">
        <v>115</v>
      </c>
      <c r="H2737" t="s">
        <v>11</v>
      </c>
    </row>
    <row r="2738" spans="1:8" x14ac:dyDescent="0.35">
      <c r="A2738" t="s">
        <v>57</v>
      </c>
      <c r="B2738" t="s">
        <v>112</v>
      </c>
      <c r="C2738" t="s">
        <v>1994</v>
      </c>
      <c r="D2738">
        <v>2</v>
      </c>
      <c r="E2738">
        <v>4</v>
      </c>
      <c r="F2738" t="s">
        <v>75</v>
      </c>
      <c r="G2738" t="s">
        <v>11</v>
      </c>
      <c r="H2738" t="s">
        <v>11</v>
      </c>
    </row>
    <row r="2739" spans="1:8" x14ac:dyDescent="0.35">
      <c r="A2739" t="s">
        <v>57</v>
      </c>
      <c r="B2739" t="s">
        <v>112</v>
      </c>
      <c r="C2739" t="s">
        <v>1995</v>
      </c>
      <c r="D2739">
        <v>3</v>
      </c>
      <c r="E2739">
        <v>3</v>
      </c>
      <c r="F2739" t="s">
        <v>7</v>
      </c>
      <c r="G2739" t="s">
        <v>115</v>
      </c>
      <c r="H2739" t="s">
        <v>11</v>
      </c>
    </row>
    <row r="2740" spans="1:8" x14ac:dyDescent="0.35">
      <c r="A2740" t="s">
        <v>57</v>
      </c>
      <c r="B2740" t="s">
        <v>112</v>
      </c>
      <c r="C2740" t="s">
        <v>2944</v>
      </c>
      <c r="D2740">
        <v>3</v>
      </c>
      <c r="E2740">
        <v>3</v>
      </c>
      <c r="F2740" t="s">
        <v>7</v>
      </c>
      <c r="G2740" t="s">
        <v>115</v>
      </c>
      <c r="H2740" t="s">
        <v>11</v>
      </c>
    </row>
    <row r="2741" spans="1:8" x14ac:dyDescent="0.35">
      <c r="A2741" t="s">
        <v>57</v>
      </c>
      <c r="B2741" t="s">
        <v>112</v>
      </c>
      <c r="C2741" t="s">
        <v>2945</v>
      </c>
      <c r="D2741">
        <v>3</v>
      </c>
      <c r="E2741">
        <v>2</v>
      </c>
      <c r="F2741" t="s">
        <v>7</v>
      </c>
      <c r="G2741" t="s">
        <v>115</v>
      </c>
      <c r="H2741" t="s">
        <v>11</v>
      </c>
    </row>
    <row r="2742" spans="1:8" x14ac:dyDescent="0.35">
      <c r="A2742" t="s">
        <v>57</v>
      </c>
      <c r="B2742" t="s">
        <v>112</v>
      </c>
      <c r="C2742" t="s">
        <v>1737</v>
      </c>
      <c r="D2742">
        <v>3</v>
      </c>
      <c r="E2742">
        <v>3</v>
      </c>
      <c r="F2742" t="s">
        <v>7</v>
      </c>
      <c r="G2742" t="s">
        <v>11</v>
      </c>
      <c r="H2742" t="s">
        <v>11</v>
      </c>
    </row>
    <row r="2743" spans="1:8" x14ac:dyDescent="0.35">
      <c r="A2743" t="s">
        <v>57</v>
      </c>
      <c r="B2743" t="s">
        <v>112</v>
      </c>
      <c r="C2743" t="s">
        <v>2946</v>
      </c>
      <c r="D2743">
        <v>3</v>
      </c>
      <c r="E2743">
        <v>3</v>
      </c>
      <c r="F2743" t="s">
        <v>75</v>
      </c>
      <c r="G2743" t="s">
        <v>11</v>
      </c>
      <c r="H2743" t="s">
        <v>11</v>
      </c>
    </row>
    <row r="2744" spans="1:8" x14ac:dyDescent="0.35">
      <c r="A2744" t="s">
        <v>57</v>
      </c>
      <c r="B2744" t="s">
        <v>112</v>
      </c>
      <c r="C2744" t="s">
        <v>2947</v>
      </c>
      <c r="D2744">
        <v>3</v>
      </c>
      <c r="E2744">
        <v>3</v>
      </c>
      <c r="F2744" t="s">
        <v>75</v>
      </c>
      <c r="G2744" t="s">
        <v>11</v>
      </c>
      <c r="H2744" t="s">
        <v>11</v>
      </c>
    </row>
    <row r="2745" spans="1:8" x14ac:dyDescent="0.35">
      <c r="A2745" t="s">
        <v>57</v>
      </c>
      <c r="B2745" t="s">
        <v>112</v>
      </c>
      <c r="C2745" t="s">
        <v>2948</v>
      </c>
      <c r="D2745">
        <v>3</v>
      </c>
      <c r="E2745">
        <v>3</v>
      </c>
      <c r="F2745" t="s">
        <v>75</v>
      </c>
      <c r="G2745" t="s">
        <v>11</v>
      </c>
      <c r="H2745" t="s">
        <v>11</v>
      </c>
    </row>
    <row r="2746" spans="1:8" x14ac:dyDescent="0.35">
      <c r="A2746" t="s">
        <v>57</v>
      </c>
      <c r="B2746" t="s">
        <v>112</v>
      </c>
      <c r="C2746" t="s">
        <v>2949</v>
      </c>
      <c r="D2746">
        <v>2</v>
      </c>
      <c r="E2746">
        <v>4</v>
      </c>
      <c r="F2746" t="s">
        <v>75</v>
      </c>
      <c r="G2746" t="s">
        <v>11</v>
      </c>
      <c r="H2746" t="s">
        <v>11</v>
      </c>
    </row>
    <row r="2747" spans="1:8" x14ac:dyDescent="0.35">
      <c r="A2747" t="s">
        <v>57</v>
      </c>
      <c r="B2747" t="s">
        <v>112</v>
      </c>
      <c r="C2747" t="s">
        <v>2950</v>
      </c>
      <c r="D2747">
        <v>3</v>
      </c>
      <c r="E2747">
        <v>3</v>
      </c>
      <c r="F2747" t="s">
        <v>7</v>
      </c>
      <c r="G2747" t="s">
        <v>115</v>
      </c>
      <c r="H2747" t="s">
        <v>11</v>
      </c>
    </row>
    <row r="2748" spans="1:8" x14ac:dyDescent="0.35">
      <c r="A2748" t="s">
        <v>57</v>
      </c>
      <c r="B2748" t="s">
        <v>112</v>
      </c>
      <c r="C2748" t="s">
        <v>1649</v>
      </c>
      <c r="D2748">
        <v>3</v>
      </c>
      <c r="E2748">
        <v>3</v>
      </c>
      <c r="F2748" t="s">
        <v>75</v>
      </c>
      <c r="G2748" t="s">
        <v>11</v>
      </c>
      <c r="H2748" t="s">
        <v>11</v>
      </c>
    </row>
    <row r="2749" spans="1:8" x14ac:dyDescent="0.35">
      <c r="A2749" t="s">
        <v>57</v>
      </c>
      <c r="B2749" t="s">
        <v>112</v>
      </c>
      <c r="C2749" t="s">
        <v>1743</v>
      </c>
      <c r="D2749">
        <v>2</v>
      </c>
      <c r="E2749">
        <v>3</v>
      </c>
      <c r="F2749" t="s">
        <v>75</v>
      </c>
      <c r="G2749" t="s">
        <v>11</v>
      </c>
      <c r="H2749" t="s">
        <v>11</v>
      </c>
    </row>
    <row r="2750" spans="1:8" x14ac:dyDescent="0.35">
      <c r="A2750" t="s">
        <v>57</v>
      </c>
      <c r="B2750" t="s">
        <v>112</v>
      </c>
      <c r="C2750" t="s">
        <v>2951</v>
      </c>
      <c r="D2750">
        <v>3</v>
      </c>
      <c r="E2750">
        <v>3</v>
      </c>
      <c r="F2750" t="s">
        <v>75</v>
      </c>
      <c r="G2750" t="s">
        <v>11</v>
      </c>
      <c r="H2750" t="s">
        <v>11</v>
      </c>
    </row>
    <row r="2751" spans="1:8" x14ac:dyDescent="0.35">
      <c r="A2751" t="s">
        <v>57</v>
      </c>
      <c r="B2751" t="s">
        <v>112</v>
      </c>
      <c r="C2751" t="s">
        <v>2952</v>
      </c>
      <c r="D2751">
        <v>3</v>
      </c>
      <c r="E2751">
        <v>3</v>
      </c>
      <c r="F2751" t="s">
        <v>75</v>
      </c>
      <c r="G2751" t="s">
        <v>11</v>
      </c>
      <c r="H2751" t="s">
        <v>11</v>
      </c>
    </row>
    <row r="2752" spans="1:8" x14ac:dyDescent="0.35">
      <c r="A2752" t="s">
        <v>57</v>
      </c>
      <c r="B2752" t="s">
        <v>112</v>
      </c>
      <c r="C2752" t="s">
        <v>2953</v>
      </c>
      <c r="D2752">
        <v>3</v>
      </c>
      <c r="E2752">
        <v>3</v>
      </c>
      <c r="F2752" t="s">
        <v>7</v>
      </c>
      <c r="G2752" t="s">
        <v>115</v>
      </c>
      <c r="H2752" t="s">
        <v>11</v>
      </c>
    </row>
    <row r="2753" spans="1:8" x14ac:dyDescent="0.35">
      <c r="A2753" t="s">
        <v>57</v>
      </c>
      <c r="B2753" t="s">
        <v>112</v>
      </c>
      <c r="C2753" t="s">
        <v>2954</v>
      </c>
      <c r="D2753">
        <v>3</v>
      </c>
      <c r="E2753">
        <v>3</v>
      </c>
      <c r="F2753" t="s">
        <v>75</v>
      </c>
      <c r="G2753" t="s">
        <v>11</v>
      </c>
      <c r="H2753" t="s">
        <v>11</v>
      </c>
    </row>
    <row r="2754" spans="1:8" x14ac:dyDescent="0.35">
      <c r="A2754" t="s">
        <v>57</v>
      </c>
      <c r="B2754" t="s">
        <v>112</v>
      </c>
      <c r="C2754" t="s">
        <v>2955</v>
      </c>
      <c r="D2754">
        <v>3</v>
      </c>
      <c r="E2754">
        <v>2</v>
      </c>
      <c r="F2754" t="s">
        <v>7</v>
      </c>
      <c r="G2754" t="s">
        <v>115</v>
      </c>
      <c r="H2754" t="s">
        <v>11</v>
      </c>
    </row>
    <row r="2755" spans="1:8" x14ac:dyDescent="0.35">
      <c r="A2755" t="s">
        <v>57</v>
      </c>
      <c r="B2755" t="s">
        <v>112</v>
      </c>
      <c r="C2755" t="s">
        <v>1531</v>
      </c>
      <c r="D2755">
        <v>3</v>
      </c>
      <c r="E2755">
        <v>2</v>
      </c>
      <c r="F2755" t="s">
        <v>7</v>
      </c>
      <c r="G2755" t="s">
        <v>115</v>
      </c>
      <c r="H2755" t="s">
        <v>11</v>
      </c>
    </row>
    <row r="2756" spans="1:8" x14ac:dyDescent="0.35">
      <c r="A2756" t="s">
        <v>57</v>
      </c>
      <c r="B2756" t="s">
        <v>112</v>
      </c>
      <c r="C2756" t="s">
        <v>2956</v>
      </c>
      <c r="D2756">
        <v>3</v>
      </c>
      <c r="E2756">
        <v>2</v>
      </c>
      <c r="F2756" t="s">
        <v>7</v>
      </c>
      <c r="G2756" t="s">
        <v>115</v>
      </c>
      <c r="H2756" t="s">
        <v>11</v>
      </c>
    </row>
    <row r="2757" spans="1:8" x14ac:dyDescent="0.35">
      <c r="A2757" t="s">
        <v>57</v>
      </c>
      <c r="B2757" t="s">
        <v>112</v>
      </c>
      <c r="C2757" t="s">
        <v>2957</v>
      </c>
      <c r="D2757">
        <v>3</v>
      </c>
      <c r="E2757">
        <v>3</v>
      </c>
      <c r="F2757" t="s">
        <v>7</v>
      </c>
      <c r="G2757" t="s">
        <v>115</v>
      </c>
      <c r="H2757" t="s">
        <v>11</v>
      </c>
    </row>
    <row r="2758" spans="1:8" x14ac:dyDescent="0.35">
      <c r="A2758" t="s">
        <v>57</v>
      </c>
      <c r="B2758" t="s">
        <v>112</v>
      </c>
      <c r="C2758" t="s">
        <v>2958</v>
      </c>
      <c r="D2758">
        <v>3</v>
      </c>
      <c r="E2758">
        <v>3</v>
      </c>
      <c r="F2758" t="s">
        <v>75</v>
      </c>
      <c r="G2758" t="s">
        <v>11</v>
      </c>
      <c r="H2758" t="s">
        <v>11</v>
      </c>
    </row>
    <row r="2759" spans="1:8" x14ac:dyDescent="0.35">
      <c r="A2759" t="s">
        <v>57</v>
      </c>
      <c r="B2759" t="s">
        <v>112</v>
      </c>
      <c r="C2759" t="s">
        <v>2959</v>
      </c>
      <c r="D2759">
        <v>3</v>
      </c>
      <c r="E2759">
        <v>2</v>
      </c>
      <c r="F2759" t="s">
        <v>75</v>
      </c>
      <c r="G2759" t="s">
        <v>11</v>
      </c>
      <c r="H2759" t="s">
        <v>11</v>
      </c>
    </row>
    <row r="2760" spans="1:8" x14ac:dyDescent="0.35">
      <c r="A2760" t="s">
        <v>57</v>
      </c>
      <c r="B2760" t="s">
        <v>112</v>
      </c>
      <c r="C2760" t="s">
        <v>2960</v>
      </c>
      <c r="D2760">
        <v>3</v>
      </c>
      <c r="E2760">
        <v>2</v>
      </c>
      <c r="F2760" t="s">
        <v>75</v>
      </c>
      <c r="G2760" t="s">
        <v>11</v>
      </c>
      <c r="H2760" t="s">
        <v>11</v>
      </c>
    </row>
    <row r="2761" spans="1:8" x14ac:dyDescent="0.35">
      <c r="A2761" t="s">
        <v>57</v>
      </c>
      <c r="B2761" t="s">
        <v>112</v>
      </c>
      <c r="C2761" t="s">
        <v>2961</v>
      </c>
      <c r="D2761">
        <v>3</v>
      </c>
      <c r="E2761">
        <v>3</v>
      </c>
      <c r="F2761" t="s">
        <v>7</v>
      </c>
      <c r="G2761" t="s">
        <v>115</v>
      </c>
      <c r="H2761" t="s">
        <v>11</v>
      </c>
    </row>
    <row r="2762" spans="1:8" x14ac:dyDescent="0.35">
      <c r="A2762" t="s">
        <v>57</v>
      </c>
      <c r="B2762" t="s">
        <v>112</v>
      </c>
      <c r="C2762" t="s">
        <v>2962</v>
      </c>
      <c r="D2762">
        <v>3</v>
      </c>
      <c r="E2762">
        <v>2</v>
      </c>
      <c r="F2762" t="s">
        <v>7</v>
      </c>
      <c r="G2762" t="s">
        <v>115</v>
      </c>
      <c r="H2762" t="s">
        <v>11</v>
      </c>
    </row>
    <row r="2763" spans="1:8" x14ac:dyDescent="0.35">
      <c r="A2763" t="s">
        <v>57</v>
      </c>
      <c r="B2763" t="s">
        <v>112</v>
      </c>
      <c r="C2763" t="s">
        <v>1375</v>
      </c>
      <c r="D2763">
        <v>3</v>
      </c>
      <c r="E2763">
        <v>2</v>
      </c>
      <c r="F2763" t="s">
        <v>7</v>
      </c>
      <c r="G2763" t="s">
        <v>115</v>
      </c>
      <c r="H2763" t="s">
        <v>11</v>
      </c>
    </row>
    <row r="2764" spans="1:8" x14ac:dyDescent="0.35">
      <c r="A2764" t="s">
        <v>57</v>
      </c>
      <c r="B2764" t="s">
        <v>112</v>
      </c>
      <c r="C2764" t="s">
        <v>2963</v>
      </c>
      <c r="D2764">
        <v>3</v>
      </c>
      <c r="E2764">
        <v>2</v>
      </c>
      <c r="F2764" t="s">
        <v>7</v>
      </c>
      <c r="G2764" t="s">
        <v>115</v>
      </c>
      <c r="H2764" t="s">
        <v>11</v>
      </c>
    </row>
    <row r="2765" spans="1:8" x14ac:dyDescent="0.35">
      <c r="A2765" t="s">
        <v>57</v>
      </c>
      <c r="B2765" t="s">
        <v>112</v>
      </c>
      <c r="C2765" t="s">
        <v>2595</v>
      </c>
      <c r="D2765">
        <v>3</v>
      </c>
      <c r="E2765">
        <v>3</v>
      </c>
      <c r="F2765" t="s">
        <v>75</v>
      </c>
      <c r="G2765" t="s">
        <v>11</v>
      </c>
      <c r="H2765" t="s">
        <v>11</v>
      </c>
    </row>
    <row r="2766" spans="1:8" x14ac:dyDescent="0.35">
      <c r="A2766" t="s">
        <v>57</v>
      </c>
      <c r="B2766" t="s">
        <v>112</v>
      </c>
      <c r="C2766" t="s">
        <v>1376</v>
      </c>
      <c r="D2766">
        <v>3</v>
      </c>
      <c r="E2766">
        <v>2</v>
      </c>
      <c r="F2766" t="s">
        <v>7</v>
      </c>
      <c r="G2766" t="s">
        <v>115</v>
      </c>
      <c r="H2766" t="s">
        <v>11</v>
      </c>
    </row>
    <row r="2767" spans="1:8" x14ac:dyDescent="0.35">
      <c r="A2767" t="s">
        <v>57</v>
      </c>
      <c r="B2767" t="s">
        <v>112</v>
      </c>
      <c r="C2767" t="s">
        <v>2964</v>
      </c>
      <c r="D2767">
        <v>3</v>
      </c>
      <c r="E2767">
        <v>2</v>
      </c>
      <c r="F2767" t="s">
        <v>75</v>
      </c>
      <c r="G2767" t="s">
        <v>11</v>
      </c>
      <c r="H2767" t="s">
        <v>11</v>
      </c>
    </row>
    <row r="2768" spans="1:8" x14ac:dyDescent="0.35">
      <c r="A2768" t="s">
        <v>57</v>
      </c>
      <c r="B2768" t="s">
        <v>112</v>
      </c>
      <c r="C2768" t="s">
        <v>2965</v>
      </c>
      <c r="D2768">
        <v>3</v>
      </c>
      <c r="E2768">
        <v>2</v>
      </c>
      <c r="F2768" t="s">
        <v>7</v>
      </c>
      <c r="G2768" t="s">
        <v>115</v>
      </c>
      <c r="H2768" t="s">
        <v>11</v>
      </c>
    </row>
    <row r="2769" spans="1:8" x14ac:dyDescent="0.35">
      <c r="A2769" t="s">
        <v>57</v>
      </c>
      <c r="B2769" t="s">
        <v>112</v>
      </c>
      <c r="C2769" t="s">
        <v>1757</v>
      </c>
      <c r="D2769">
        <v>3</v>
      </c>
      <c r="E2769">
        <v>3</v>
      </c>
      <c r="F2769" t="s">
        <v>75</v>
      </c>
      <c r="G2769" t="s">
        <v>11</v>
      </c>
      <c r="H2769" t="s">
        <v>11</v>
      </c>
    </row>
    <row r="2770" spans="1:8" x14ac:dyDescent="0.35">
      <c r="A2770" t="s">
        <v>57</v>
      </c>
      <c r="B2770" t="s">
        <v>112</v>
      </c>
      <c r="C2770" t="s">
        <v>2003</v>
      </c>
      <c r="D2770">
        <v>3</v>
      </c>
      <c r="E2770">
        <v>3</v>
      </c>
      <c r="F2770" t="s">
        <v>7</v>
      </c>
      <c r="G2770" t="s">
        <v>11</v>
      </c>
      <c r="H2770" t="s">
        <v>11</v>
      </c>
    </row>
    <row r="2771" spans="1:8" x14ac:dyDescent="0.35">
      <c r="A2771" t="s">
        <v>57</v>
      </c>
      <c r="B2771" t="s">
        <v>112</v>
      </c>
      <c r="C2771" t="s">
        <v>2966</v>
      </c>
      <c r="D2771">
        <v>3</v>
      </c>
      <c r="E2771">
        <v>3</v>
      </c>
      <c r="F2771" t="s">
        <v>75</v>
      </c>
      <c r="G2771" t="s">
        <v>11</v>
      </c>
      <c r="H2771" t="s">
        <v>11</v>
      </c>
    </row>
    <row r="2772" spans="1:8" x14ac:dyDescent="0.35">
      <c r="A2772" t="s">
        <v>57</v>
      </c>
      <c r="B2772" t="s">
        <v>112</v>
      </c>
      <c r="C2772" t="s">
        <v>2967</v>
      </c>
      <c r="D2772">
        <v>3</v>
      </c>
      <c r="E2772">
        <v>2</v>
      </c>
      <c r="F2772" t="s">
        <v>7</v>
      </c>
      <c r="G2772" t="s">
        <v>115</v>
      </c>
      <c r="H2772" t="s">
        <v>11</v>
      </c>
    </row>
    <row r="2773" spans="1:8" x14ac:dyDescent="0.35">
      <c r="A2773" t="s">
        <v>57</v>
      </c>
      <c r="B2773" t="s">
        <v>112</v>
      </c>
      <c r="C2773" t="s">
        <v>1851</v>
      </c>
      <c r="D2773">
        <v>3</v>
      </c>
      <c r="E2773">
        <v>2</v>
      </c>
      <c r="F2773" t="s">
        <v>7</v>
      </c>
      <c r="G2773" t="s">
        <v>115</v>
      </c>
      <c r="H2773" t="s">
        <v>11</v>
      </c>
    </row>
    <row r="2774" spans="1:8" x14ac:dyDescent="0.35">
      <c r="A2774" t="s">
        <v>57</v>
      </c>
      <c r="B2774" t="s">
        <v>112</v>
      </c>
      <c r="C2774" t="s">
        <v>2004</v>
      </c>
      <c r="D2774">
        <v>3</v>
      </c>
      <c r="E2774">
        <v>2</v>
      </c>
      <c r="F2774" t="s">
        <v>7</v>
      </c>
      <c r="G2774" t="s">
        <v>115</v>
      </c>
      <c r="H2774" t="s">
        <v>11</v>
      </c>
    </row>
    <row r="2775" spans="1:8" x14ac:dyDescent="0.35">
      <c r="A2775" t="s">
        <v>57</v>
      </c>
      <c r="B2775" t="s">
        <v>112</v>
      </c>
      <c r="C2775" t="s">
        <v>2968</v>
      </c>
      <c r="D2775">
        <v>3</v>
      </c>
      <c r="E2775">
        <v>3</v>
      </c>
      <c r="F2775" t="s">
        <v>75</v>
      </c>
      <c r="G2775" t="s">
        <v>11</v>
      </c>
      <c r="H2775" t="s">
        <v>11</v>
      </c>
    </row>
    <row r="2776" spans="1:8" x14ac:dyDescent="0.35">
      <c r="A2776" t="s">
        <v>57</v>
      </c>
      <c r="B2776" t="s">
        <v>112</v>
      </c>
      <c r="C2776" t="s">
        <v>2969</v>
      </c>
      <c r="D2776">
        <v>3</v>
      </c>
      <c r="E2776">
        <v>3</v>
      </c>
      <c r="F2776" t="s">
        <v>7</v>
      </c>
      <c r="G2776" t="s">
        <v>11</v>
      </c>
      <c r="H2776" t="s">
        <v>11</v>
      </c>
    </row>
    <row r="2777" spans="1:8" x14ac:dyDescent="0.35">
      <c r="A2777" t="s">
        <v>57</v>
      </c>
      <c r="B2777" t="s">
        <v>112</v>
      </c>
      <c r="C2777" t="s">
        <v>2631</v>
      </c>
      <c r="D2777">
        <v>3</v>
      </c>
      <c r="E2777">
        <v>3</v>
      </c>
      <c r="F2777" t="s">
        <v>7</v>
      </c>
      <c r="G2777" t="s">
        <v>115</v>
      </c>
      <c r="H2777" t="s">
        <v>11</v>
      </c>
    </row>
    <row r="2778" spans="1:8" x14ac:dyDescent="0.35">
      <c r="A2778" t="s">
        <v>57</v>
      </c>
      <c r="B2778" t="s">
        <v>112</v>
      </c>
      <c r="C2778" t="s">
        <v>2970</v>
      </c>
      <c r="D2778">
        <v>3</v>
      </c>
      <c r="E2778">
        <v>4</v>
      </c>
      <c r="F2778" t="s">
        <v>75</v>
      </c>
      <c r="G2778" t="s">
        <v>11</v>
      </c>
      <c r="H2778" t="s">
        <v>11</v>
      </c>
    </row>
    <row r="2779" spans="1:8" x14ac:dyDescent="0.35">
      <c r="A2779" t="s">
        <v>57</v>
      </c>
      <c r="B2779" t="s">
        <v>112</v>
      </c>
      <c r="C2779" t="s">
        <v>2971</v>
      </c>
      <c r="D2779">
        <v>3</v>
      </c>
      <c r="E2779">
        <v>3</v>
      </c>
      <c r="F2779" t="s">
        <v>7</v>
      </c>
      <c r="G2779" t="s">
        <v>11</v>
      </c>
      <c r="H2779" t="s">
        <v>11</v>
      </c>
    </row>
    <row r="2780" spans="1:8" x14ac:dyDescent="0.35">
      <c r="A2780" t="s">
        <v>57</v>
      </c>
      <c r="B2780" t="s">
        <v>112</v>
      </c>
      <c r="C2780" t="s">
        <v>2972</v>
      </c>
      <c r="D2780">
        <v>3</v>
      </c>
      <c r="E2780">
        <v>2</v>
      </c>
      <c r="F2780" t="s">
        <v>75</v>
      </c>
      <c r="G2780" t="s">
        <v>11</v>
      </c>
      <c r="H2780" t="s">
        <v>11</v>
      </c>
    </row>
    <row r="2781" spans="1:8" x14ac:dyDescent="0.35">
      <c r="A2781" t="s">
        <v>57</v>
      </c>
      <c r="B2781" t="s">
        <v>112</v>
      </c>
      <c r="C2781" t="s">
        <v>2973</v>
      </c>
      <c r="D2781">
        <v>3</v>
      </c>
      <c r="E2781">
        <v>2</v>
      </c>
      <c r="F2781" t="s">
        <v>75</v>
      </c>
      <c r="G2781" t="s">
        <v>11</v>
      </c>
      <c r="H2781" t="s">
        <v>11</v>
      </c>
    </row>
    <row r="2782" spans="1:8" x14ac:dyDescent="0.35">
      <c r="A2782" t="s">
        <v>58</v>
      </c>
      <c r="B2782" t="s">
        <v>83</v>
      </c>
      <c r="C2782" t="s">
        <v>2635</v>
      </c>
      <c r="D2782">
        <v>2</v>
      </c>
      <c r="E2782">
        <v>5</v>
      </c>
      <c r="F2782" t="s">
        <v>75</v>
      </c>
      <c r="G2782" t="s">
        <v>11</v>
      </c>
      <c r="H2782" t="s">
        <v>11</v>
      </c>
    </row>
    <row r="2783" spans="1:8" x14ac:dyDescent="0.35">
      <c r="A2783" t="s">
        <v>58</v>
      </c>
      <c r="B2783" t="s">
        <v>83</v>
      </c>
      <c r="C2783" t="s">
        <v>2974</v>
      </c>
      <c r="D2783">
        <v>2</v>
      </c>
      <c r="E2783">
        <v>6</v>
      </c>
      <c r="F2783" t="s">
        <v>75</v>
      </c>
      <c r="G2783" t="s">
        <v>11</v>
      </c>
      <c r="H2783" t="s">
        <v>11</v>
      </c>
    </row>
    <row r="2784" spans="1:8" x14ac:dyDescent="0.35">
      <c r="A2784" t="s">
        <v>58</v>
      </c>
      <c r="B2784" t="s">
        <v>83</v>
      </c>
      <c r="C2784" t="s">
        <v>2975</v>
      </c>
      <c r="D2784">
        <v>2</v>
      </c>
      <c r="E2784">
        <v>6</v>
      </c>
      <c r="F2784" t="s">
        <v>75</v>
      </c>
      <c r="G2784" t="s">
        <v>11</v>
      </c>
      <c r="H2784" t="s">
        <v>11</v>
      </c>
    </row>
    <row r="2785" spans="1:8" x14ac:dyDescent="0.35">
      <c r="A2785" t="s">
        <v>58</v>
      </c>
      <c r="B2785" t="s">
        <v>83</v>
      </c>
      <c r="C2785" t="s">
        <v>2346</v>
      </c>
      <c r="D2785">
        <v>1</v>
      </c>
      <c r="E2785">
        <v>6</v>
      </c>
      <c r="F2785" t="s">
        <v>75</v>
      </c>
      <c r="G2785" t="s">
        <v>11</v>
      </c>
      <c r="H2785" t="s">
        <v>11</v>
      </c>
    </row>
    <row r="2786" spans="1:8" x14ac:dyDescent="0.35">
      <c r="A2786" t="s">
        <v>58</v>
      </c>
      <c r="B2786" t="s">
        <v>83</v>
      </c>
      <c r="C2786" t="s">
        <v>2976</v>
      </c>
      <c r="D2786">
        <v>2</v>
      </c>
      <c r="E2786">
        <v>6</v>
      </c>
      <c r="F2786" t="s">
        <v>75</v>
      </c>
      <c r="G2786" t="s">
        <v>11</v>
      </c>
      <c r="H2786" t="s">
        <v>11</v>
      </c>
    </row>
    <row r="2787" spans="1:8" x14ac:dyDescent="0.35">
      <c r="A2787" t="s">
        <v>58</v>
      </c>
      <c r="B2787" t="s">
        <v>83</v>
      </c>
      <c r="C2787" t="s">
        <v>1906</v>
      </c>
      <c r="D2787">
        <v>2</v>
      </c>
      <c r="E2787">
        <v>5</v>
      </c>
      <c r="F2787" t="s">
        <v>75</v>
      </c>
      <c r="G2787" t="s">
        <v>11</v>
      </c>
      <c r="H2787" t="s">
        <v>11</v>
      </c>
    </row>
    <row r="2788" spans="1:8" x14ac:dyDescent="0.35">
      <c r="A2788" t="s">
        <v>58</v>
      </c>
      <c r="B2788" t="s">
        <v>83</v>
      </c>
      <c r="C2788" t="s">
        <v>2977</v>
      </c>
      <c r="D2788">
        <v>1</v>
      </c>
      <c r="E2788">
        <v>6</v>
      </c>
      <c r="F2788" t="s">
        <v>75</v>
      </c>
      <c r="G2788" t="s">
        <v>11</v>
      </c>
      <c r="H2788" t="s">
        <v>11</v>
      </c>
    </row>
    <row r="2789" spans="1:8" x14ac:dyDescent="0.35">
      <c r="A2789" t="s">
        <v>58</v>
      </c>
      <c r="B2789" t="s">
        <v>83</v>
      </c>
      <c r="C2789" t="s">
        <v>2978</v>
      </c>
      <c r="D2789">
        <v>2</v>
      </c>
      <c r="E2789">
        <v>5</v>
      </c>
      <c r="F2789" t="s">
        <v>75</v>
      </c>
      <c r="G2789" t="s">
        <v>11</v>
      </c>
      <c r="H2789" t="s">
        <v>11</v>
      </c>
    </row>
    <row r="2790" spans="1:8" x14ac:dyDescent="0.35">
      <c r="A2790" t="s">
        <v>58</v>
      </c>
      <c r="B2790" t="s">
        <v>83</v>
      </c>
      <c r="C2790" t="s">
        <v>1560</v>
      </c>
      <c r="D2790">
        <v>2</v>
      </c>
      <c r="E2790">
        <v>5</v>
      </c>
      <c r="F2790" t="s">
        <v>75</v>
      </c>
      <c r="G2790" t="s">
        <v>11</v>
      </c>
      <c r="H2790" t="s">
        <v>11</v>
      </c>
    </row>
    <row r="2791" spans="1:8" x14ac:dyDescent="0.35">
      <c r="A2791" t="s">
        <v>58</v>
      </c>
      <c r="B2791" t="s">
        <v>83</v>
      </c>
      <c r="C2791" t="s">
        <v>1562</v>
      </c>
      <c r="D2791">
        <v>1</v>
      </c>
      <c r="E2791">
        <v>5</v>
      </c>
      <c r="F2791" t="s">
        <v>75</v>
      </c>
      <c r="G2791" t="s">
        <v>11</v>
      </c>
      <c r="H2791" t="s">
        <v>11</v>
      </c>
    </row>
    <row r="2792" spans="1:8" x14ac:dyDescent="0.35">
      <c r="A2792" t="s">
        <v>58</v>
      </c>
      <c r="B2792" t="s">
        <v>83</v>
      </c>
      <c r="C2792" t="s">
        <v>2171</v>
      </c>
      <c r="D2792">
        <v>2</v>
      </c>
      <c r="E2792">
        <v>5</v>
      </c>
      <c r="F2792" t="s">
        <v>75</v>
      </c>
      <c r="G2792" t="s">
        <v>11</v>
      </c>
      <c r="H2792" t="s">
        <v>11</v>
      </c>
    </row>
    <row r="2793" spans="1:8" x14ac:dyDescent="0.35">
      <c r="A2793" t="s">
        <v>58</v>
      </c>
      <c r="B2793" t="s">
        <v>83</v>
      </c>
      <c r="C2793" t="s">
        <v>2979</v>
      </c>
      <c r="D2793">
        <v>2</v>
      </c>
      <c r="E2793">
        <v>5</v>
      </c>
      <c r="F2793" t="s">
        <v>75</v>
      </c>
      <c r="G2793" t="s">
        <v>11</v>
      </c>
      <c r="H2793" t="s">
        <v>11</v>
      </c>
    </row>
    <row r="2794" spans="1:8" x14ac:dyDescent="0.35">
      <c r="A2794" t="s">
        <v>58</v>
      </c>
      <c r="B2794" t="s">
        <v>83</v>
      </c>
      <c r="C2794" t="s">
        <v>1822</v>
      </c>
      <c r="D2794">
        <v>2</v>
      </c>
      <c r="E2794">
        <v>5</v>
      </c>
      <c r="F2794" t="s">
        <v>75</v>
      </c>
      <c r="G2794" t="s">
        <v>11</v>
      </c>
      <c r="H2794" t="s">
        <v>11</v>
      </c>
    </row>
    <row r="2795" spans="1:8" x14ac:dyDescent="0.35">
      <c r="A2795" t="s">
        <v>58</v>
      </c>
      <c r="B2795" t="s">
        <v>83</v>
      </c>
      <c r="C2795" t="s">
        <v>2980</v>
      </c>
      <c r="D2795">
        <v>2</v>
      </c>
      <c r="E2795">
        <v>5</v>
      </c>
      <c r="F2795" t="s">
        <v>75</v>
      </c>
      <c r="G2795" t="s">
        <v>11</v>
      </c>
      <c r="H2795" t="s">
        <v>11</v>
      </c>
    </row>
    <row r="2796" spans="1:8" x14ac:dyDescent="0.35">
      <c r="A2796" t="s">
        <v>58</v>
      </c>
      <c r="B2796" t="s">
        <v>83</v>
      </c>
      <c r="C2796" t="s">
        <v>1363</v>
      </c>
      <c r="D2796">
        <v>2</v>
      </c>
      <c r="E2796">
        <v>6</v>
      </c>
      <c r="F2796" t="s">
        <v>75</v>
      </c>
      <c r="G2796" t="s">
        <v>11</v>
      </c>
      <c r="H2796" t="s">
        <v>11</v>
      </c>
    </row>
    <row r="2797" spans="1:8" x14ac:dyDescent="0.35">
      <c r="A2797" t="s">
        <v>58</v>
      </c>
      <c r="B2797" t="s">
        <v>83</v>
      </c>
      <c r="C2797" t="s">
        <v>2981</v>
      </c>
      <c r="D2797">
        <v>1</v>
      </c>
      <c r="E2797">
        <v>5</v>
      </c>
      <c r="F2797" t="s">
        <v>75</v>
      </c>
      <c r="G2797" t="s">
        <v>11</v>
      </c>
      <c r="H2797" t="s">
        <v>11</v>
      </c>
    </row>
    <row r="2798" spans="1:8" x14ac:dyDescent="0.35">
      <c r="A2798" t="s">
        <v>58</v>
      </c>
      <c r="B2798" t="s">
        <v>83</v>
      </c>
      <c r="C2798" t="s">
        <v>2982</v>
      </c>
      <c r="D2798">
        <v>2</v>
      </c>
      <c r="E2798">
        <v>6</v>
      </c>
      <c r="F2798" t="s">
        <v>75</v>
      </c>
      <c r="G2798" t="s">
        <v>11</v>
      </c>
      <c r="H2798" t="s">
        <v>11</v>
      </c>
    </row>
    <row r="2799" spans="1:8" x14ac:dyDescent="0.35">
      <c r="A2799" t="s">
        <v>58</v>
      </c>
      <c r="B2799" t="s">
        <v>83</v>
      </c>
      <c r="C2799" t="s">
        <v>2983</v>
      </c>
      <c r="D2799">
        <v>2</v>
      </c>
      <c r="E2799">
        <v>5</v>
      </c>
      <c r="F2799" t="s">
        <v>75</v>
      </c>
      <c r="G2799" t="s">
        <v>11</v>
      </c>
      <c r="H2799" t="s">
        <v>11</v>
      </c>
    </row>
    <row r="2800" spans="1:8" x14ac:dyDescent="0.35">
      <c r="A2800" t="s">
        <v>58</v>
      </c>
      <c r="B2800" t="s">
        <v>83</v>
      </c>
      <c r="C2800" t="s">
        <v>1586</v>
      </c>
      <c r="D2800">
        <v>2</v>
      </c>
      <c r="E2800">
        <v>5</v>
      </c>
      <c r="F2800" t="s">
        <v>75</v>
      </c>
      <c r="G2800" t="s">
        <v>11</v>
      </c>
      <c r="H2800" t="s">
        <v>11</v>
      </c>
    </row>
    <row r="2801" spans="1:8" x14ac:dyDescent="0.35">
      <c r="A2801" t="s">
        <v>58</v>
      </c>
      <c r="B2801" t="s">
        <v>83</v>
      </c>
      <c r="C2801" t="s">
        <v>2984</v>
      </c>
      <c r="D2801">
        <v>1</v>
      </c>
      <c r="E2801">
        <v>5</v>
      </c>
      <c r="F2801" t="s">
        <v>75</v>
      </c>
      <c r="G2801" t="s">
        <v>11</v>
      </c>
      <c r="H2801" t="s">
        <v>11</v>
      </c>
    </row>
    <row r="2802" spans="1:8" x14ac:dyDescent="0.35">
      <c r="A2802" t="s">
        <v>58</v>
      </c>
      <c r="B2802" t="s">
        <v>83</v>
      </c>
      <c r="C2802" t="s">
        <v>1473</v>
      </c>
      <c r="D2802">
        <v>1</v>
      </c>
      <c r="E2802">
        <v>5</v>
      </c>
      <c r="F2802" t="s">
        <v>75</v>
      </c>
      <c r="G2802" t="s">
        <v>11</v>
      </c>
      <c r="H2802" t="s">
        <v>11</v>
      </c>
    </row>
    <row r="2803" spans="1:8" x14ac:dyDescent="0.35">
      <c r="A2803" t="s">
        <v>58</v>
      </c>
      <c r="B2803" t="s">
        <v>83</v>
      </c>
      <c r="C2803" t="s">
        <v>1589</v>
      </c>
      <c r="D2803">
        <v>2</v>
      </c>
      <c r="E2803">
        <v>6</v>
      </c>
      <c r="F2803" t="s">
        <v>75</v>
      </c>
      <c r="G2803" t="s">
        <v>11</v>
      </c>
      <c r="H2803" t="s">
        <v>11</v>
      </c>
    </row>
    <row r="2804" spans="1:8" x14ac:dyDescent="0.35">
      <c r="A2804" t="s">
        <v>58</v>
      </c>
      <c r="B2804" t="s">
        <v>83</v>
      </c>
      <c r="C2804" t="s">
        <v>2985</v>
      </c>
      <c r="D2804">
        <v>2</v>
      </c>
      <c r="E2804">
        <v>5</v>
      </c>
      <c r="F2804" t="s">
        <v>75</v>
      </c>
      <c r="G2804" t="s">
        <v>11</v>
      </c>
      <c r="H2804" t="s">
        <v>11</v>
      </c>
    </row>
    <row r="2805" spans="1:8" x14ac:dyDescent="0.35">
      <c r="A2805" t="s">
        <v>58</v>
      </c>
      <c r="B2805" t="s">
        <v>83</v>
      </c>
      <c r="C2805" t="s">
        <v>2986</v>
      </c>
      <c r="D2805">
        <v>1</v>
      </c>
      <c r="E2805">
        <v>6</v>
      </c>
      <c r="F2805" t="s">
        <v>75</v>
      </c>
      <c r="G2805" t="s">
        <v>11</v>
      </c>
      <c r="H2805" t="s">
        <v>11</v>
      </c>
    </row>
    <row r="2806" spans="1:8" x14ac:dyDescent="0.35">
      <c r="A2806" t="s">
        <v>58</v>
      </c>
      <c r="B2806" t="s">
        <v>83</v>
      </c>
      <c r="C2806" t="s">
        <v>2987</v>
      </c>
      <c r="D2806">
        <v>2</v>
      </c>
      <c r="E2806">
        <v>5</v>
      </c>
      <c r="F2806" t="s">
        <v>75</v>
      </c>
      <c r="G2806" t="s">
        <v>11</v>
      </c>
      <c r="H2806" t="s">
        <v>11</v>
      </c>
    </row>
    <row r="2807" spans="1:8" x14ac:dyDescent="0.35">
      <c r="A2807" t="s">
        <v>58</v>
      </c>
      <c r="B2807" t="s">
        <v>83</v>
      </c>
      <c r="C2807" t="s">
        <v>2988</v>
      </c>
      <c r="D2807">
        <v>2</v>
      </c>
      <c r="E2807">
        <v>6</v>
      </c>
      <c r="F2807" t="s">
        <v>75</v>
      </c>
      <c r="G2807" t="s">
        <v>11</v>
      </c>
      <c r="H2807" t="s">
        <v>11</v>
      </c>
    </row>
    <row r="2808" spans="1:8" x14ac:dyDescent="0.35">
      <c r="A2808" t="s">
        <v>58</v>
      </c>
      <c r="B2808" t="s">
        <v>83</v>
      </c>
      <c r="C2808" t="s">
        <v>1376</v>
      </c>
      <c r="D2808">
        <v>2</v>
      </c>
      <c r="E2808">
        <v>3</v>
      </c>
      <c r="F2808" t="s">
        <v>75</v>
      </c>
      <c r="G2808" t="s">
        <v>11</v>
      </c>
      <c r="H2808" t="s">
        <v>11</v>
      </c>
    </row>
    <row r="2809" spans="1:8" x14ac:dyDescent="0.35">
      <c r="A2809" t="s">
        <v>58</v>
      </c>
      <c r="B2809" t="s">
        <v>83</v>
      </c>
      <c r="C2809" t="s">
        <v>1755</v>
      </c>
      <c r="D2809">
        <v>2</v>
      </c>
      <c r="E2809">
        <v>5</v>
      </c>
      <c r="F2809" t="s">
        <v>75</v>
      </c>
      <c r="G2809" t="s">
        <v>11</v>
      </c>
      <c r="H2809" t="s">
        <v>11</v>
      </c>
    </row>
    <row r="2810" spans="1:8" x14ac:dyDescent="0.35">
      <c r="A2810" t="s">
        <v>58</v>
      </c>
      <c r="B2810" t="s">
        <v>83</v>
      </c>
      <c r="C2810" t="s">
        <v>2989</v>
      </c>
      <c r="D2810">
        <v>2</v>
      </c>
      <c r="E2810">
        <v>5</v>
      </c>
      <c r="F2810" t="s">
        <v>75</v>
      </c>
      <c r="G2810" t="s">
        <v>11</v>
      </c>
      <c r="H2810" t="s">
        <v>11</v>
      </c>
    </row>
    <row r="2811" spans="1:8" x14ac:dyDescent="0.35">
      <c r="A2811" t="s">
        <v>60</v>
      </c>
      <c r="B2811" t="s">
        <v>84</v>
      </c>
      <c r="C2811" t="s">
        <v>2990</v>
      </c>
      <c r="D2811">
        <v>2</v>
      </c>
      <c r="E2811">
        <v>6</v>
      </c>
      <c r="F2811" t="s">
        <v>7</v>
      </c>
      <c r="G2811" t="s">
        <v>11</v>
      </c>
      <c r="H2811" t="s">
        <v>11</v>
      </c>
    </row>
    <row r="2812" spans="1:8" x14ac:dyDescent="0.35">
      <c r="A2812" t="s">
        <v>60</v>
      </c>
      <c r="B2812" t="s">
        <v>84</v>
      </c>
      <c r="C2812" t="s">
        <v>2991</v>
      </c>
      <c r="D2812">
        <v>2</v>
      </c>
      <c r="E2812">
        <v>6</v>
      </c>
      <c r="F2812" t="s">
        <v>7</v>
      </c>
      <c r="G2812" t="s">
        <v>11</v>
      </c>
      <c r="H2812" t="s">
        <v>11</v>
      </c>
    </row>
    <row r="2813" spans="1:8" x14ac:dyDescent="0.35">
      <c r="A2813" t="s">
        <v>60</v>
      </c>
      <c r="B2813" t="s">
        <v>84</v>
      </c>
      <c r="C2813" t="s">
        <v>2992</v>
      </c>
      <c r="D2813">
        <v>2</v>
      </c>
      <c r="E2813">
        <v>6</v>
      </c>
      <c r="F2813" t="s">
        <v>7</v>
      </c>
      <c r="G2813" t="s">
        <v>11</v>
      </c>
      <c r="H2813" t="s">
        <v>11</v>
      </c>
    </row>
    <row r="2814" spans="1:8" x14ac:dyDescent="0.35">
      <c r="A2814" t="s">
        <v>60</v>
      </c>
      <c r="B2814" t="s">
        <v>84</v>
      </c>
      <c r="C2814" t="s">
        <v>2993</v>
      </c>
      <c r="D2814">
        <v>3</v>
      </c>
      <c r="E2814">
        <v>6</v>
      </c>
      <c r="F2814" t="s">
        <v>7</v>
      </c>
      <c r="G2814" t="s">
        <v>11</v>
      </c>
      <c r="H2814" t="s">
        <v>11</v>
      </c>
    </row>
    <row r="2815" spans="1:8" x14ac:dyDescent="0.35">
      <c r="A2815" t="s">
        <v>60</v>
      </c>
      <c r="B2815" t="s">
        <v>84</v>
      </c>
      <c r="C2815" t="s">
        <v>2139</v>
      </c>
      <c r="D2815">
        <v>2</v>
      </c>
      <c r="E2815">
        <v>6</v>
      </c>
      <c r="F2815" t="s">
        <v>7</v>
      </c>
      <c r="G2815" t="s">
        <v>11</v>
      </c>
      <c r="H2815" t="s">
        <v>11</v>
      </c>
    </row>
    <row r="2816" spans="1:8" x14ac:dyDescent="0.35">
      <c r="A2816" t="s">
        <v>60</v>
      </c>
      <c r="B2816" t="s">
        <v>84</v>
      </c>
      <c r="C2816" t="s">
        <v>1341</v>
      </c>
      <c r="D2816">
        <v>2</v>
      </c>
      <c r="E2816">
        <v>6</v>
      </c>
      <c r="F2816" t="s">
        <v>7</v>
      </c>
      <c r="G2816" t="s">
        <v>11</v>
      </c>
      <c r="H2816" t="s">
        <v>11</v>
      </c>
    </row>
    <row r="2817" spans="1:8" x14ac:dyDescent="0.35">
      <c r="A2817" t="s">
        <v>60</v>
      </c>
      <c r="B2817" t="s">
        <v>84</v>
      </c>
      <c r="C2817" t="s">
        <v>2994</v>
      </c>
      <c r="D2817">
        <v>3</v>
      </c>
      <c r="E2817">
        <v>6</v>
      </c>
      <c r="F2817" t="s">
        <v>7</v>
      </c>
      <c r="G2817" t="s">
        <v>11</v>
      </c>
      <c r="H2817" t="s">
        <v>11</v>
      </c>
    </row>
    <row r="2818" spans="1:8" x14ac:dyDescent="0.35">
      <c r="A2818" t="s">
        <v>60</v>
      </c>
      <c r="B2818" t="s">
        <v>84</v>
      </c>
      <c r="C2818" t="s">
        <v>2995</v>
      </c>
      <c r="D2818">
        <v>2</v>
      </c>
      <c r="E2818">
        <v>6</v>
      </c>
      <c r="F2818" t="s">
        <v>7</v>
      </c>
      <c r="G2818" t="s">
        <v>11</v>
      </c>
      <c r="H2818" t="s">
        <v>11</v>
      </c>
    </row>
    <row r="2819" spans="1:8" x14ac:dyDescent="0.35">
      <c r="A2819" t="s">
        <v>60</v>
      </c>
      <c r="B2819" t="s">
        <v>84</v>
      </c>
      <c r="C2819" t="s">
        <v>1509</v>
      </c>
      <c r="D2819">
        <v>2</v>
      </c>
      <c r="E2819">
        <v>6</v>
      </c>
      <c r="F2819" t="s">
        <v>7</v>
      </c>
      <c r="G2819" t="s">
        <v>11</v>
      </c>
      <c r="H2819" t="s">
        <v>11</v>
      </c>
    </row>
    <row r="2820" spans="1:8" x14ac:dyDescent="0.35">
      <c r="A2820" t="s">
        <v>60</v>
      </c>
      <c r="B2820" t="s">
        <v>84</v>
      </c>
      <c r="C2820" t="s">
        <v>2085</v>
      </c>
      <c r="D2820">
        <v>2</v>
      </c>
      <c r="E2820">
        <v>6</v>
      </c>
      <c r="F2820" t="s">
        <v>7</v>
      </c>
      <c r="G2820" t="s">
        <v>11</v>
      </c>
      <c r="H2820" t="s">
        <v>11</v>
      </c>
    </row>
    <row r="2821" spans="1:8" x14ac:dyDescent="0.35">
      <c r="A2821" t="s">
        <v>60</v>
      </c>
      <c r="B2821" t="s">
        <v>84</v>
      </c>
      <c r="C2821" t="s">
        <v>2996</v>
      </c>
      <c r="D2821">
        <v>2</v>
      </c>
      <c r="E2821">
        <v>6</v>
      </c>
      <c r="F2821" t="s">
        <v>7</v>
      </c>
      <c r="G2821" t="s">
        <v>11</v>
      </c>
      <c r="H2821" t="s">
        <v>11</v>
      </c>
    </row>
    <row r="2822" spans="1:8" x14ac:dyDescent="0.35">
      <c r="A2822" t="s">
        <v>60</v>
      </c>
      <c r="B2822" t="s">
        <v>84</v>
      </c>
      <c r="C2822" t="s">
        <v>1376</v>
      </c>
      <c r="D2822">
        <v>2</v>
      </c>
      <c r="E2822">
        <v>6</v>
      </c>
      <c r="F2822" t="s">
        <v>7</v>
      </c>
      <c r="G2822" t="s">
        <v>11</v>
      </c>
      <c r="H2822" t="s">
        <v>11</v>
      </c>
    </row>
    <row r="2823" spans="1:8" x14ac:dyDescent="0.35">
      <c r="A2823" t="s">
        <v>60</v>
      </c>
      <c r="B2823" t="s">
        <v>84</v>
      </c>
      <c r="C2823" t="s">
        <v>1599</v>
      </c>
      <c r="D2823">
        <v>2</v>
      </c>
      <c r="E2823">
        <v>6</v>
      </c>
      <c r="F2823" t="s">
        <v>7</v>
      </c>
      <c r="G2823" t="s">
        <v>11</v>
      </c>
      <c r="H2823" t="s">
        <v>11</v>
      </c>
    </row>
    <row r="2824" spans="1:8" x14ac:dyDescent="0.35">
      <c r="A2824" t="s">
        <v>60</v>
      </c>
      <c r="B2824" t="s">
        <v>84</v>
      </c>
      <c r="C2824" t="s">
        <v>2997</v>
      </c>
      <c r="D2824">
        <v>2</v>
      </c>
      <c r="E2824">
        <v>6</v>
      </c>
      <c r="F2824" t="s">
        <v>7</v>
      </c>
      <c r="G2824" t="s">
        <v>11</v>
      </c>
      <c r="H2824" t="s">
        <v>11</v>
      </c>
    </row>
    <row r="2825" spans="1:8" x14ac:dyDescent="0.35">
      <c r="A2825" t="s">
        <v>70</v>
      </c>
      <c r="C2825" t="s">
        <v>2998</v>
      </c>
      <c r="D2825" t="s">
        <v>11</v>
      </c>
      <c r="E2825">
        <v>1</v>
      </c>
      <c r="F2825" t="s">
        <v>7</v>
      </c>
      <c r="G2825" t="s">
        <v>115</v>
      </c>
      <c r="H2825" t="s">
        <v>3675</v>
      </c>
    </row>
    <row r="2826" spans="1:8" x14ac:dyDescent="0.35">
      <c r="A2826" t="s">
        <v>59</v>
      </c>
      <c r="B2826" t="s">
        <v>113</v>
      </c>
      <c r="C2826" t="s">
        <v>2999</v>
      </c>
      <c r="D2826">
        <v>3</v>
      </c>
      <c r="E2826">
        <v>4</v>
      </c>
      <c r="F2826" t="s">
        <v>7</v>
      </c>
      <c r="G2826" t="s">
        <v>11</v>
      </c>
      <c r="H2826" t="s">
        <v>11</v>
      </c>
    </row>
    <row r="2827" spans="1:8" x14ac:dyDescent="0.35">
      <c r="A2827" t="s">
        <v>59</v>
      </c>
      <c r="B2827" t="s">
        <v>113</v>
      </c>
      <c r="C2827" t="s">
        <v>3000</v>
      </c>
      <c r="D2827">
        <v>2</v>
      </c>
      <c r="E2827">
        <v>4</v>
      </c>
      <c r="F2827" t="s">
        <v>7</v>
      </c>
      <c r="G2827" t="s">
        <v>11</v>
      </c>
      <c r="H2827" t="s">
        <v>11</v>
      </c>
    </row>
    <row r="2828" spans="1:8" x14ac:dyDescent="0.35">
      <c r="A2828" t="s">
        <v>59</v>
      </c>
      <c r="B2828" t="s">
        <v>113</v>
      </c>
      <c r="C2828" t="s">
        <v>3001</v>
      </c>
      <c r="D2828">
        <v>3</v>
      </c>
      <c r="E2828">
        <v>4</v>
      </c>
      <c r="F2828" t="s">
        <v>7</v>
      </c>
      <c r="G2828" t="s">
        <v>11</v>
      </c>
      <c r="H2828" t="s">
        <v>11</v>
      </c>
    </row>
    <row r="2829" spans="1:8" x14ac:dyDescent="0.35">
      <c r="A2829" t="s">
        <v>59</v>
      </c>
      <c r="B2829" t="s">
        <v>113</v>
      </c>
      <c r="C2829" t="s">
        <v>2503</v>
      </c>
      <c r="D2829">
        <v>1</v>
      </c>
      <c r="E2829">
        <v>4</v>
      </c>
      <c r="F2829" t="s">
        <v>7</v>
      </c>
      <c r="G2829" t="s">
        <v>11</v>
      </c>
      <c r="H2829" t="s">
        <v>11</v>
      </c>
    </row>
    <row r="2830" spans="1:8" x14ac:dyDescent="0.35">
      <c r="A2830" t="s">
        <v>59</v>
      </c>
      <c r="B2830" t="s">
        <v>113</v>
      </c>
      <c r="C2830" t="s">
        <v>3002</v>
      </c>
      <c r="D2830">
        <v>1</v>
      </c>
      <c r="E2830">
        <v>4</v>
      </c>
      <c r="F2830" t="s">
        <v>7</v>
      </c>
      <c r="G2830" t="s">
        <v>11</v>
      </c>
      <c r="H2830" t="s">
        <v>11</v>
      </c>
    </row>
    <row r="2831" spans="1:8" x14ac:dyDescent="0.35">
      <c r="A2831" t="s">
        <v>59</v>
      </c>
      <c r="B2831" t="s">
        <v>113</v>
      </c>
      <c r="C2831" t="s">
        <v>3003</v>
      </c>
      <c r="D2831">
        <v>2</v>
      </c>
      <c r="E2831">
        <v>4</v>
      </c>
      <c r="F2831" t="s">
        <v>7</v>
      </c>
      <c r="G2831" t="s">
        <v>11</v>
      </c>
      <c r="H2831" t="s">
        <v>11</v>
      </c>
    </row>
    <row r="2832" spans="1:8" x14ac:dyDescent="0.35">
      <c r="A2832" t="s">
        <v>59</v>
      </c>
      <c r="B2832" t="s">
        <v>113</v>
      </c>
      <c r="C2832" t="s">
        <v>3004</v>
      </c>
      <c r="D2832">
        <v>1</v>
      </c>
      <c r="E2832">
        <v>4</v>
      </c>
      <c r="F2832" t="s">
        <v>7</v>
      </c>
      <c r="G2832" t="s">
        <v>11</v>
      </c>
      <c r="H2832" t="s">
        <v>11</v>
      </c>
    </row>
    <row r="2833" spans="1:8" x14ac:dyDescent="0.35">
      <c r="A2833" t="s">
        <v>59</v>
      </c>
      <c r="B2833" t="s">
        <v>113</v>
      </c>
      <c r="C2833" t="s">
        <v>3005</v>
      </c>
      <c r="D2833">
        <v>2</v>
      </c>
      <c r="E2833">
        <v>4</v>
      </c>
      <c r="F2833" t="s">
        <v>7</v>
      </c>
      <c r="G2833" t="s">
        <v>11</v>
      </c>
      <c r="H2833" t="s">
        <v>11</v>
      </c>
    </row>
    <row r="2834" spans="1:8" x14ac:dyDescent="0.35">
      <c r="A2834" t="s">
        <v>59</v>
      </c>
      <c r="B2834" t="s">
        <v>113</v>
      </c>
      <c r="C2834" t="s">
        <v>3006</v>
      </c>
      <c r="D2834">
        <v>1</v>
      </c>
      <c r="E2834">
        <v>4</v>
      </c>
      <c r="F2834" t="s">
        <v>7</v>
      </c>
      <c r="G2834" t="s">
        <v>11</v>
      </c>
      <c r="H2834" t="s">
        <v>11</v>
      </c>
    </row>
    <row r="2835" spans="1:8" x14ac:dyDescent="0.35">
      <c r="A2835" t="s">
        <v>59</v>
      </c>
      <c r="B2835" t="s">
        <v>113</v>
      </c>
      <c r="C2835" t="s">
        <v>2009</v>
      </c>
      <c r="D2835">
        <v>1</v>
      </c>
      <c r="E2835">
        <v>4</v>
      </c>
      <c r="F2835" t="s">
        <v>7</v>
      </c>
      <c r="G2835" t="s">
        <v>11</v>
      </c>
      <c r="H2835" t="s">
        <v>11</v>
      </c>
    </row>
    <row r="2836" spans="1:8" x14ac:dyDescent="0.35">
      <c r="A2836" t="s">
        <v>59</v>
      </c>
      <c r="B2836" t="s">
        <v>113</v>
      </c>
      <c r="C2836" t="s">
        <v>2692</v>
      </c>
      <c r="D2836">
        <v>2</v>
      </c>
      <c r="E2836">
        <v>4</v>
      </c>
      <c r="F2836" t="s">
        <v>7</v>
      </c>
      <c r="G2836" t="s">
        <v>11</v>
      </c>
      <c r="H2836" t="s">
        <v>11</v>
      </c>
    </row>
    <row r="2837" spans="1:8" x14ac:dyDescent="0.35">
      <c r="A2837" t="s">
        <v>59</v>
      </c>
      <c r="B2837" t="s">
        <v>113</v>
      </c>
      <c r="C2837" t="s">
        <v>3007</v>
      </c>
      <c r="D2837">
        <v>1</v>
      </c>
      <c r="E2837">
        <v>4</v>
      </c>
      <c r="F2837" t="s">
        <v>7</v>
      </c>
      <c r="G2837" t="s">
        <v>11</v>
      </c>
      <c r="H2837" t="s">
        <v>11</v>
      </c>
    </row>
    <row r="2838" spans="1:8" x14ac:dyDescent="0.35">
      <c r="A2838" t="s">
        <v>59</v>
      </c>
      <c r="B2838" t="s">
        <v>113</v>
      </c>
      <c r="C2838" t="s">
        <v>3008</v>
      </c>
      <c r="D2838">
        <v>1</v>
      </c>
      <c r="E2838">
        <v>4</v>
      </c>
      <c r="F2838" t="s">
        <v>7</v>
      </c>
      <c r="G2838" t="s">
        <v>11</v>
      </c>
      <c r="H2838" t="s">
        <v>11</v>
      </c>
    </row>
    <row r="2839" spans="1:8" x14ac:dyDescent="0.35">
      <c r="A2839" t="s">
        <v>59</v>
      </c>
      <c r="B2839" t="s">
        <v>113</v>
      </c>
      <c r="C2839" t="s">
        <v>3009</v>
      </c>
      <c r="D2839">
        <v>1</v>
      </c>
      <c r="E2839">
        <v>4</v>
      </c>
      <c r="F2839" t="s">
        <v>7</v>
      </c>
      <c r="G2839" t="s">
        <v>11</v>
      </c>
      <c r="H2839" t="s">
        <v>11</v>
      </c>
    </row>
    <row r="2840" spans="1:8" x14ac:dyDescent="0.35">
      <c r="A2840" t="s">
        <v>59</v>
      </c>
      <c r="B2840" t="s">
        <v>113</v>
      </c>
      <c r="C2840" t="s">
        <v>2510</v>
      </c>
      <c r="D2840">
        <v>1</v>
      </c>
      <c r="E2840">
        <v>4</v>
      </c>
      <c r="F2840" t="s">
        <v>7</v>
      </c>
      <c r="G2840" t="s">
        <v>11</v>
      </c>
      <c r="H2840" t="s">
        <v>11</v>
      </c>
    </row>
    <row r="2841" spans="1:8" x14ac:dyDescent="0.35">
      <c r="A2841" t="s">
        <v>59</v>
      </c>
      <c r="B2841" t="s">
        <v>113</v>
      </c>
      <c r="C2841" t="s">
        <v>1901</v>
      </c>
      <c r="D2841">
        <v>2</v>
      </c>
      <c r="E2841">
        <v>4</v>
      </c>
      <c r="F2841" t="s">
        <v>7</v>
      </c>
      <c r="G2841" t="s">
        <v>11</v>
      </c>
      <c r="H2841" t="s">
        <v>11</v>
      </c>
    </row>
    <row r="2842" spans="1:8" x14ac:dyDescent="0.35">
      <c r="A2842" t="s">
        <v>59</v>
      </c>
      <c r="B2842" t="s">
        <v>113</v>
      </c>
      <c r="C2842" t="s">
        <v>3010</v>
      </c>
      <c r="D2842">
        <v>1</v>
      </c>
      <c r="E2842">
        <v>4</v>
      </c>
      <c r="F2842" t="s">
        <v>7</v>
      </c>
      <c r="G2842" t="s">
        <v>11</v>
      </c>
      <c r="H2842" t="s">
        <v>11</v>
      </c>
    </row>
    <row r="2843" spans="1:8" x14ac:dyDescent="0.35">
      <c r="A2843" t="s">
        <v>59</v>
      </c>
      <c r="B2843" t="s">
        <v>113</v>
      </c>
      <c r="C2843" t="s">
        <v>3011</v>
      </c>
      <c r="D2843">
        <v>1</v>
      </c>
      <c r="E2843">
        <v>4</v>
      </c>
      <c r="F2843" t="s">
        <v>7</v>
      </c>
      <c r="G2843" t="s">
        <v>11</v>
      </c>
      <c r="H2843" t="s">
        <v>11</v>
      </c>
    </row>
    <row r="2844" spans="1:8" x14ac:dyDescent="0.35">
      <c r="A2844" t="s">
        <v>59</v>
      </c>
      <c r="B2844" t="s">
        <v>113</v>
      </c>
      <c r="C2844" t="s">
        <v>2019</v>
      </c>
      <c r="D2844">
        <v>1</v>
      </c>
      <c r="E2844">
        <v>4</v>
      </c>
      <c r="F2844" t="s">
        <v>7</v>
      </c>
      <c r="G2844" t="s">
        <v>11</v>
      </c>
      <c r="H2844" t="s">
        <v>11</v>
      </c>
    </row>
    <row r="2845" spans="1:8" x14ac:dyDescent="0.35">
      <c r="A2845" t="s">
        <v>59</v>
      </c>
      <c r="B2845" t="s">
        <v>113</v>
      </c>
      <c r="C2845" t="s">
        <v>2123</v>
      </c>
      <c r="D2845">
        <v>3</v>
      </c>
      <c r="E2845">
        <v>4</v>
      </c>
      <c r="F2845" t="s">
        <v>7</v>
      </c>
      <c r="G2845" t="s">
        <v>11</v>
      </c>
      <c r="H2845" t="s">
        <v>11</v>
      </c>
    </row>
    <row r="2846" spans="1:8" x14ac:dyDescent="0.35">
      <c r="A2846" t="s">
        <v>59</v>
      </c>
      <c r="B2846" t="s">
        <v>113</v>
      </c>
      <c r="C2846" t="s">
        <v>1430</v>
      </c>
      <c r="D2846">
        <v>2</v>
      </c>
      <c r="E2846">
        <v>4</v>
      </c>
      <c r="F2846" t="s">
        <v>7</v>
      </c>
      <c r="G2846" t="s">
        <v>11</v>
      </c>
      <c r="H2846" t="s">
        <v>11</v>
      </c>
    </row>
    <row r="2847" spans="1:8" x14ac:dyDescent="0.35">
      <c r="A2847" t="s">
        <v>59</v>
      </c>
      <c r="B2847" t="s">
        <v>113</v>
      </c>
      <c r="C2847" t="s">
        <v>3012</v>
      </c>
      <c r="D2847">
        <v>3</v>
      </c>
      <c r="E2847">
        <v>4</v>
      </c>
      <c r="F2847" t="s">
        <v>7</v>
      </c>
      <c r="G2847" t="s">
        <v>11</v>
      </c>
      <c r="H2847" t="s">
        <v>11</v>
      </c>
    </row>
    <row r="2848" spans="1:8" x14ac:dyDescent="0.35">
      <c r="A2848" t="s">
        <v>59</v>
      </c>
      <c r="B2848" t="s">
        <v>113</v>
      </c>
      <c r="C2848" t="s">
        <v>1610</v>
      </c>
      <c r="D2848">
        <v>2</v>
      </c>
      <c r="E2848">
        <v>4</v>
      </c>
      <c r="F2848" t="s">
        <v>7</v>
      </c>
      <c r="G2848" t="s">
        <v>11</v>
      </c>
      <c r="H2848" t="s">
        <v>11</v>
      </c>
    </row>
    <row r="2849" spans="1:8" x14ac:dyDescent="0.35">
      <c r="A2849" t="s">
        <v>59</v>
      </c>
      <c r="B2849" t="s">
        <v>113</v>
      </c>
      <c r="C2849" t="s">
        <v>3013</v>
      </c>
      <c r="D2849">
        <v>2</v>
      </c>
      <c r="E2849">
        <v>4</v>
      </c>
      <c r="F2849" t="s">
        <v>7</v>
      </c>
      <c r="G2849" t="s">
        <v>11</v>
      </c>
      <c r="H2849" t="s">
        <v>11</v>
      </c>
    </row>
    <row r="2850" spans="1:8" x14ac:dyDescent="0.35">
      <c r="A2850" t="s">
        <v>59</v>
      </c>
      <c r="B2850" t="s">
        <v>113</v>
      </c>
      <c r="C2850" t="s">
        <v>3014</v>
      </c>
      <c r="D2850">
        <v>3</v>
      </c>
      <c r="E2850">
        <v>4</v>
      </c>
      <c r="F2850" t="s">
        <v>7</v>
      </c>
      <c r="G2850" t="s">
        <v>11</v>
      </c>
      <c r="H2850" t="s">
        <v>11</v>
      </c>
    </row>
    <row r="2851" spans="1:8" x14ac:dyDescent="0.35">
      <c r="A2851" t="s">
        <v>59</v>
      </c>
      <c r="B2851" t="s">
        <v>113</v>
      </c>
      <c r="C2851" t="s">
        <v>2732</v>
      </c>
      <c r="D2851">
        <v>1</v>
      </c>
      <c r="E2851">
        <v>4</v>
      </c>
      <c r="F2851" t="s">
        <v>7</v>
      </c>
      <c r="G2851" t="s">
        <v>11</v>
      </c>
      <c r="H2851" t="s">
        <v>11</v>
      </c>
    </row>
    <row r="2852" spans="1:8" x14ac:dyDescent="0.35">
      <c r="A2852" t="s">
        <v>59</v>
      </c>
      <c r="B2852" t="s">
        <v>113</v>
      </c>
      <c r="C2852" t="s">
        <v>1324</v>
      </c>
      <c r="D2852">
        <v>1</v>
      </c>
      <c r="E2852">
        <v>4</v>
      </c>
      <c r="F2852" t="s">
        <v>7</v>
      </c>
      <c r="G2852" t="s">
        <v>11</v>
      </c>
      <c r="H2852" t="s">
        <v>11</v>
      </c>
    </row>
    <row r="2853" spans="1:8" x14ac:dyDescent="0.35">
      <c r="A2853" t="s">
        <v>59</v>
      </c>
      <c r="B2853" t="s">
        <v>113</v>
      </c>
      <c r="C2853" t="s">
        <v>3015</v>
      </c>
      <c r="D2853">
        <v>3</v>
      </c>
      <c r="E2853">
        <v>4</v>
      </c>
      <c r="F2853" t="s">
        <v>7</v>
      </c>
      <c r="G2853" t="s">
        <v>11</v>
      </c>
      <c r="H2853" t="s">
        <v>11</v>
      </c>
    </row>
    <row r="2854" spans="1:8" x14ac:dyDescent="0.35">
      <c r="A2854" t="s">
        <v>59</v>
      </c>
      <c r="B2854" t="s">
        <v>113</v>
      </c>
      <c r="C2854" t="s">
        <v>3016</v>
      </c>
      <c r="D2854">
        <v>1</v>
      </c>
      <c r="E2854">
        <v>4</v>
      </c>
      <c r="F2854" t="s">
        <v>7</v>
      </c>
      <c r="G2854" t="s">
        <v>11</v>
      </c>
      <c r="H2854" t="s">
        <v>11</v>
      </c>
    </row>
    <row r="2855" spans="1:8" x14ac:dyDescent="0.35">
      <c r="A2855" t="s">
        <v>59</v>
      </c>
      <c r="B2855" t="s">
        <v>113</v>
      </c>
      <c r="C2855" t="s">
        <v>2641</v>
      </c>
      <c r="D2855">
        <v>1</v>
      </c>
      <c r="E2855">
        <v>4</v>
      </c>
      <c r="F2855" t="s">
        <v>7</v>
      </c>
      <c r="G2855" t="s">
        <v>11</v>
      </c>
      <c r="H2855" t="s">
        <v>11</v>
      </c>
    </row>
    <row r="2856" spans="1:8" x14ac:dyDescent="0.35">
      <c r="A2856" t="s">
        <v>59</v>
      </c>
      <c r="B2856" t="s">
        <v>113</v>
      </c>
      <c r="C2856" t="s">
        <v>3017</v>
      </c>
      <c r="D2856">
        <v>2</v>
      </c>
      <c r="E2856">
        <v>4</v>
      </c>
      <c r="F2856" t="s">
        <v>7</v>
      </c>
      <c r="G2856" t="s">
        <v>11</v>
      </c>
      <c r="H2856" t="s">
        <v>11</v>
      </c>
    </row>
    <row r="2857" spans="1:8" x14ac:dyDescent="0.35">
      <c r="A2857" t="s">
        <v>59</v>
      </c>
      <c r="B2857" t="s">
        <v>113</v>
      </c>
      <c r="C2857" t="s">
        <v>1809</v>
      </c>
      <c r="D2857">
        <v>1</v>
      </c>
      <c r="E2857">
        <v>4</v>
      </c>
      <c r="F2857" t="s">
        <v>7</v>
      </c>
      <c r="G2857" t="s">
        <v>11</v>
      </c>
      <c r="H2857" t="s">
        <v>11</v>
      </c>
    </row>
    <row r="2858" spans="1:8" x14ac:dyDescent="0.35">
      <c r="A2858" t="s">
        <v>59</v>
      </c>
      <c r="B2858" t="s">
        <v>113</v>
      </c>
      <c r="C2858" t="s">
        <v>3018</v>
      </c>
      <c r="D2858">
        <v>1</v>
      </c>
      <c r="E2858">
        <v>4</v>
      </c>
      <c r="F2858" t="s">
        <v>7</v>
      </c>
      <c r="G2858" t="s">
        <v>11</v>
      </c>
      <c r="H2858" t="s">
        <v>11</v>
      </c>
    </row>
    <row r="2859" spans="1:8" x14ac:dyDescent="0.35">
      <c r="A2859" t="s">
        <v>59</v>
      </c>
      <c r="B2859" t="s">
        <v>113</v>
      </c>
      <c r="C2859" t="s">
        <v>3019</v>
      </c>
      <c r="D2859">
        <v>2</v>
      </c>
      <c r="E2859">
        <v>4</v>
      </c>
      <c r="F2859" t="s">
        <v>7</v>
      </c>
      <c r="G2859" t="s">
        <v>11</v>
      </c>
      <c r="H2859" t="s">
        <v>11</v>
      </c>
    </row>
    <row r="2860" spans="1:8" x14ac:dyDescent="0.35">
      <c r="A2860" t="s">
        <v>59</v>
      </c>
      <c r="B2860" t="s">
        <v>113</v>
      </c>
      <c r="C2860" t="s">
        <v>3020</v>
      </c>
      <c r="D2860">
        <v>1</v>
      </c>
      <c r="E2860">
        <v>4</v>
      </c>
      <c r="F2860" t="s">
        <v>7</v>
      </c>
      <c r="G2860" t="s">
        <v>11</v>
      </c>
      <c r="H2860" t="s">
        <v>11</v>
      </c>
    </row>
    <row r="2861" spans="1:8" x14ac:dyDescent="0.35">
      <c r="A2861" t="s">
        <v>59</v>
      </c>
      <c r="B2861" t="s">
        <v>113</v>
      </c>
      <c r="C2861" t="s">
        <v>2139</v>
      </c>
      <c r="D2861">
        <v>3</v>
      </c>
      <c r="E2861">
        <v>4</v>
      </c>
      <c r="F2861" t="s">
        <v>7</v>
      </c>
      <c r="G2861" t="s">
        <v>11</v>
      </c>
      <c r="H2861" t="s">
        <v>11</v>
      </c>
    </row>
    <row r="2862" spans="1:8" x14ac:dyDescent="0.35">
      <c r="A2862" t="s">
        <v>59</v>
      </c>
      <c r="B2862" t="s">
        <v>113</v>
      </c>
      <c r="C2862" t="s">
        <v>3021</v>
      </c>
      <c r="D2862">
        <v>1</v>
      </c>
      <c r="E2862">
        <v>4</v>
      </c>
      <c r="F2862" t="s">
        <v>7</v>
      </c>
      <c r="G2862" t="s">
        <v>11</v>
      </c>
      <c r="H2862" t="s">
        <v>11</v>
      </c>
    </row>
    <row r="2863" spans="1:8" x14ac:dyDescent="0.35">
      <c r="A2863" t="s">
        <v>59</v>
      </c>
      <c r="B2863" t="s">
        <v>113</v>
      </c>
      <c r="C2863" t="s">
        <v>3022</v>
      </c>
      <c r="D2863">
        <v>1</v>
      </c>
      <c r="E2863">
        <v>4</v>
      </c>
      <c r="F2863" t="s">
        <v>7</v>
      </c>
      <c r="G2863" t="s">
        <v>11</v>
      </c>
      <c r="H2863" t="s">
        <v>11</v>
      </c>
    </row>
    <row r="2864" spans="1:8" x14ac:dyDescent="0.35">
      <c r="A2864" t="s">
        <v>59</v>
      </c>
      <c r="B2864" t="s">
        <v>113</v>
      </c>
      <c r="C2864" t="s">
        <v>3023</v>
      </c>
      <c r="D2864">
        <v>1</v>
      </c>
      <c r="E2864">
        <v>4</v>
      </c>
      <c r="F2864" t="s">
        <v>7</v>
      </c>
      <c r="G2864" t="s">
        <v>11</v>
      </c>
      <c r="H2864" t="s">
        <v>11</v>
      </c>
    </row>
    <row r="2865" spans="1:8" x14ac:dyDescent="0.35">
      <c r="A2865" t="s">
        <v>59</v>
      </c>
      <c r="B2865" t="s">
        <v>113</v>
      </c>
      <c r="C2865" t="s">
        <v>3024</v>
      </c>
      <c r="D2865">
        <v>2</v>
      </c>
      <c r="E2865">
        <v>4</v>
      </c>
      <c r="F2865" t="s">
        <v>7</v>
      </c>
      <c r="G2865" t="s">
        <v>11</v>
      </c>
      <c r="H2865" t="s">
        <v>11</v>
      </c>
    </row>
    <row r="2866" spans="1:8" x14ac:dyDescent="0.35">
      <c r="A2866" t="s">
        <v>59</v>
      </c>
      <c r="B2866" t="s">
        <v>113</v>
      </c>
      <c r="C2866" t="s">
        <v>1695</v>
      </c>
      <c r="D2866">
        <v>2</v>
      </c>
      <c r="E2866">
        <v>4</v>
      </c>
      <c r="F2866" t="s">
        <v>7</v>
      </c>
      <c r="G2866" t="s">
        <v>11</v>
      </c>
      <c r="H2866" t="s">
        <v>11</v>
      </c>
    </row>
    <row r="2867" spans="1:8" x14ac:dyDescent="0.35">
      <c r="A2867" t="s">
        <v>59</v>
      </c>
      <c r="B2867" t="s">
        <v>113</v>
      </c>
      <c r="C2867" t="s">
        <v>3025</v>
      </c>
      <c r="D2867">
        <v>1</v>
      </c>
      <c r="E2867">
        <v>4</v>
      </c>
      <c r="F2867" t="s">
        <v>7</v>
      </c>
      <c r="G2867" t="s">
        <v>11</v>
      </c>
      <c r="H2867" t="s">
        <v>11</v>
      </c>
    </row>
    <row r="2868" spans="1:8" x14ac:dyDescent="0.35">
      <c r="A2868" t="s">
        <v>59</v>
      </c>
      <c r="B2868" t="s">
        <v>113</v>
      </c>
      <c r="C2868" t="s">
        <v>1341</v>
      </c>
      <c r="D2868">
        <v>2</v>
      </c>
      <c r="E2868">
        <v>4</v>
      </c>
      <c r="F2868" t="s">
        <v>7</v>
      </c>
      <c r="G2868" t="s">
        <v>11</v>
      </c>
      <c r="H2868" t="s">
        <v>11</v>
      </c>
    </row>
    <row r="2869" spans="1:8" x14ac:dyDescent="0.35">
      <c r="A2869" t="s">
        <v>59</v>
      </c>
      <c r="B2869" t="s">
        <v>113</v>
      </c>
      <c r="C2869" t="s">
        <v>3026</v>
      </c>
      <c r="D2869">
        <v>2</v>
      </c>
      <c r="E2869">
        <v>4</v>
      </c>
      <c r="F2869" t="s">
        <v>7</v>
      </c>
      <c r="G2869" t="s">
        <v>11</v>
      </c>
      <c r="H2869" t="s">
        <v>11</v>
      </c>
    </row>
    <row r="2870" spans="1:8" x14ac:dyDescent="0.35">
      <c r="A2870" t="s">
        <v>59</v>
      </c>
      <c r="B2870" t="s">
        <v>113</v>
      </c>
      <c r="C2870" t="s">
        <v>2127</v>
      </c>
      <c r="D2870">
        <v>1</v>
      </c>
      <c r="E2870">
        <v>4</v>
      </c>
      <c r="F2870" t="s">
        <v>7</v>
      </c>
      <c r="G2870" t="s">
        <v>11</v>
      </c>
      <c r="H2870" t="s">
        <v>11</v>
      </c>
    </row>
    <row r="2871" spans="1:8" x14ac:dyDescent="0.35">
      <c r="A2871" t="s">
        <v>59</v>
      </c>
      <c r="B2871" t="s">
        <v>113</v>
      </c>
      <c r="C2871" t="s">
        <v>3027</v>
      </c>
      <c r="D2871">
        <v>1</v>
      </c>
      <c r="E2871">
        <v>4</v>
      </c>
      <c r="F2871" t="s">
        <v>7</v>
      </c>
      <c r="G2871" t="s">
        <v>11</v>
      </c>
      <c r="H2871" t="s">
        <v>11</v>
      </c>
    </row>
    <row r="2872" spans="1:8" x14ac:dyDescent="0.35">
      <c r="A2872" t="s">
        <v>59</v>
      </c>
      <c r="B2872" t="s">
        <v>113</v>
      </c>
      <c r="C2872" t="s">
        <v>3028</v>
      </c>
      <c r="D2872">
        <v>2</v>
      </c>
      <c r="E2872">
        <v>4</v>
      </c>
      <c r="F2872" t="s">
        <v>7</v>
      </c>
      <c r="G2872" t="s">
        <v>11</v>
      </c>
      <c r="H2872" t="s">
        <v>11</v>
      </c>
    </row>
    <row r="2873" spans="1:8" x14ac:dyDescent="0.35">
      <c r="A2873" t="s">
        <v>59</v>
      </c>
      <c r="B2873" t="s">
        <v>113</v>
      </c>
      <c r="C2873" t="s">
        <v>2797</v>
      </c>
      <c r="D2873">
        <v>1</v>
      </c>
      <c r="E2873">
        <v>4</v>
      </c>
      <c r="F2873" t="s">
        <v>7</v>
      </c>
      <c r="G2873" t="s">
        <v>11</v>
      </c>
      <c r="H2873" t="s">
        <v>11</v>
      </c>
    </row>
    <row r="2874" spans="1:8" x14ac:dyDescent="0.35">
      <c r="A2874" t="s">
        <v>59</v>
      </c>
      <c r="B2874" t="s">
        <v>113</v>
      </c>
      <c r="C2874" t="s">
        <v>2441</v>
      </c>
      <c r="D2874">
        <v>3</v>
      </c>
      <c r="E2874">
        <v>4</v>
      </c>
      <c r="F2874" t="s">
        <v>7</v>
      </c>
      <c r="G2874" t="s">
        <v>11</v>
      </c>
      <c r="H2874" t="s">
        <v>11</v>
      </c>
    </row>
    <row r="2875" spans="1:8" x14ac:dyDescent="0.35">
      <c r="A2875" t="s">
        <v>59</v>
      </c>
      <c r="B2875" t="s">
        <v>113</v>
      </c>
      <c r="C2875" t="s">
        <v>3029</v>
      </c>
      <c r="D2875">
        <v>1</v>
      </c>
      <c r="E2875">
        <v>4</v>
      </c>
      <c r="F2875" t="s">
        <v>7</v>
      </c>
      <c r="G2875" t="s">
        <v>11</v>
      </c>
      <c r="H2875" t="s">
        <v>11</v>
      </c>
    </row>
    <row r="2876" spans="1:8" x14ac:dyDescent="0.35">
      <c r="A2876" t="s">
        <v>59</v>
      </c>
      <c r="B2876" t="s">
        <v>113</v>
      </c>
      <c r="C2876" t="s">
        <v>2029</v>
      </c>
      <c r="D2876">
        <v>2</v>
      </c>
      <c r="E2876">
        <v>4</v>
      </c>
      <c r="F2876" t="s">
        <v>7</v>
      </c>
      <c r="G2876" t="s">
        <v>11</v>
      </c>
      <c r="H2876" t="s">
        <v>11</v>
      </c>
    </row>
    <row r="2877" spans="1:8" x14ac:dyDescent="0.35">
      <c r="A2877" t="s">
        <v>59</v>
      </c>
      <c r="B2877" t="s">
        <v>113</v>
      </c>
      <c r="C2877" t="s">
        <v>1343</v>
      </c>
      <c r="D2877">
        <v>2</v>
      </c>
      <c r="E2877">
        <v>4</v>
      </c>
      <c r="F2877" t="s">
        <v>7</v>
      </c>
      <c r="G2877" t="s">
        <v>11</v>
      </c>
      <c r="H2877" t="s">
        <v>11</v>
      </c>
    </row>
    <row r="2878" spans="1:8" x14ac:dyDescent="0.35">
      <c r="A2878" t="s">
        <v>59</v>
      </c>
      <c r="B2878" t="s">
        <v>113</v>
      </c>
      <c r="C2878" t="s">
        <v>3030</v>
      </c>
      <c r="D2878">
        <v>3</v>
      </c>
      <c r="E2878">
        <v>4</v>
      </c>
      <c r="F2878" t="s">
        <v>7</v>
      </c>
      <c r="G2878" t="s">
        <v>11</v>
      </c>
      <c r="H2878" t="s">
        <v>11</v>
      </c>
    </row>
    <row r="2879" spans="1:8" x14ac:dyDescent="0.35">
      <c r="A2879" t="s">
        <v>59</v>
      </c>
      <c r="B2879" t="s">
        <v>113</v>
      </c>
      <c r="C2879" t="s">
        <v>2530</v>
      </c>
      <c r="D2879">
        <v>2</v>
      </c>
      <c r="E2879">
        <v>4</v>
      </c>
      <c r="F2879" t="s">
        <v>7</v>
      </c>
      <c r="G2879" t="s">
        <v>11</v>
      </c>
      <c r="H2879" t="s">
        <v>11</v>
      </c>
    </row>
    <row r="2880" spans="1:8" x14ac:dyDescent="0.35">
      <c r="A2880" t="s">
        <v>59</v>
      </c>
      <c r="B2880" t="s">
        <v>113</v>
      </c>
      <c r="C2880" t="s">
        <v>3031</v>
      </c>
      <c r="D2880">
        <v>3</v>
      </c>
      <c r="E2880">
        <v>4</v>
      </c>
      <c r="F2880" t="s">
        <v>7</v>
      </c>
      <c r="G2880" t="s">
        <v>11</v>
      </c>
      <c r="H2880" t="s">
        <v>11</v>
      </c>
    </row>
    <row r="2881" spans="1:8" x14ac:dyDescent="0.35">
      <c r="A2881" t="s">
        <v>59</v>
      </c>
      <c r="B2881" t="s">
        <v>113</v>
      </c>
      <c r="C2881" t="s">
        <v>3032</v>
      </c>
      <c r="D2881">
        <v>3</v>
      </c>
      <c r="E2881">
        <v>4</v>
      </c>
      <c r="F2881" t="s">
        <v>7</v>
      </c>
      <c r="G2881" t="s">
        <v>11</v>
      </c>
      <c r="H2881" t="s">
        <v>11</v>
      </c>
    </row>
    <row r="2882" spans="1:8" x14ac:dyDescent="0.35">
      <c r="A2882" t="s">
        <v>59</v>
      </c>
      <c r="B2882" t="s">
        <v>113</v>
      </c>
      <c r="C2882" t="s">
        <v>3033</v>
      </c>
      <c r="D2882">
        <v>1</v>
      </c>
      <c r="E2882">
        <v>4</v>
      </c>
      <c r="F2882" t="s">
        <v>7</v>
      </c>
      <c r="G2882" t="s">
        <v>11</v>
      </c>
      <c r="H2882" t="s">
        <v>11</v>
      </c>
    </row>
    <row r="2883" spans="1:8" x14ac:dyDescent="0.35">
      <c r="A2883" t="s">
        <v>59</v>
      </c>
      <c r="B2883" t="s">
        <v>113</v>
      </c>
      <c r="C2883" t="s">
        <v>3034</v>
      </c>
      <c r="D2883">
        <v>3</v>
      </c>
      <c r="E2883">
        <v>4</v>
      </c>
      <c r="F2883" t="s">
        <v>7</v>
      </c>
      <c r="G2883" t="s">
        <v>11</v>
      </c>
      <c r="H2883" t="s">
        <v>11</v>
      </c>
    </row>
    <row r="2884" spans="1:8" x14ac:dyDescent="0.35">
      <c r="A2884" t="s">
        <v>59</v>
      </c>
      <c r="B2884" t="s">
        <v>113</v>
      </c>
      <c r="C2884" t="s">
        <v>1345</v>
      </c>
      <c r="D2884">
        <v>1</v>
      </c>
      <c r="E2884">
        <v>4</v>
      </c>
      <c r="F2884" t="s">
        <v>7</v>
      </c>
      <c r="G2884" t="s">
        <v>11</v>
      </c>
      <c r="H2884" t="s">
        <v>11</v>
      </c>
    </row>
    <row r="2885" spans="1:8" x14ac:dyDescent="0.35">
      <c r="A2885" t="s">
        <v>59</v>
      </c>
      <c r="B2885" t="s">
        <v>113</v>
      </c>
      <c r="C2885" t="s">
        <v>2612</v>
      </c>
      <c r="D2885">
        <v>1</v>
      </c>
      <c r="E2885">
        <v>4</v>
      </c>
      <c r="F2885" t="s">
        <v>7</v>
      </c>
      <c r="G2885" t="s">
        <v>11</v>
      </c>
      <c r="H2885" t="s">
        <v>11</v>
      </c>
    </row>
    <row r="2886" spans="1:8" x14ac:dyDescent="0.35">
      <c r="A2886" t="s">
        <v>59</v>
      </c>
      <c r="B2886" t="s">
        <v>113</v>
      </c>
      <c r="C2886" t="s">
        <v>3035</v>
      </c>
      <c r="D2886">
        <v>3</v>
      </c>
      <c r="E2886">
        <v>4</v>
      </c>
      <c r="F2886" t="s">
        <v>7</v>
      </c>
      <c r="G2886" t="s">
        <v>11</v>
      </c>
      <c r="H2886" t="s">
        <v>11</v>
      </c>
    </row>
    <row r="2887" spans="1:8" x14ac:dyDescent="0.35">
      <c r="A2887" t="s">
        <v>59</v>
      </c>
      <c r="B2887" t="s">
        <v>113</v>
      </c>
      <c r="C2887" t="s">
        <v>3036</v>
      </c>
      <c r="D2887">
        <v>3</v>
      </c>
      <c r="E2887">
        <v>4</v>
      </c>
      <c r="F2887" t="s">
        <v>7</v>
      </c>
      <c r="G2887" t="s">
        <v>11</v>
      </c>
      <c r="H2887" t="s">
        <v>11</v>
      </c>
    </row>
    <row r="2888" spans="1:8" x14ac:dyDescent="0.35">
      <c r="A2888" t="s">
        <v>59</v>
      </c>
      <c r="B2888" t="s">
        <v>113</v>
      </c>
      <c r="C2888" t="s">
        <v>3037</v>
      </c>
      <c r="D2888">
        <v>3</v>
      </c>
      <c r="E2888">
        <v>4</v>
      </c>
      <c r="F2888" t="s">
        <v>7</v>
      </c>
      <c r="G2888" t="s">
        <v>11</v>
      </c>
      <c r="H2888" t="s">
        <v>11</v>
      </c>
    </row>
    <row r="2889" spans="1:8" x14ac:dyDescent="0.35">
      <c r="A2889" t="s">
        <v>59</v>
      </c>
      <c r="B2889" t="s">
        <v>113</v>
      </c>
      <c r="C2889" t="s">
        <v>3038</v>
      </c>
      <c r="D2889">
        <v>3</v>
      </c>
      <c r="E2889">
        <v>4</v>
      </c>
      <c r="F2889" t="s">
        <v>7</v>
      </c>
      <c r="G2889" t="s">
        <v>11</v>
      </c>
      <c r="H2889" t="s">
        <v>11</v>
      </c>
    </row>
    <row r="2890" spans="1:8" x14ac:dyDescent="0.35">
      <c r="A2890" t="s">
        <v>59</v>
      </c>
      <c r="B2890" t="s">
        <v>113</v>
      </c>
      <c r="C2890" t="s">
        <v>3039</v>
      </c>
      <c r="D2890">
        <v>3</v>
      </c>
      <c r="E2890">
        <v>4</v>
      </c>
      <c r="F2890" t="s">
        <v>7</v>
      </c>
      <c r="G2890" t="s">
        <v>11</v>
      </c>
      <c r="H2890" t="s">
        <v>11</v>
      </c>
    </row>
    <row r="2891" spans="1:8" x14ac:dyDescent="0.35">
      <c r="A2891" t="s">
        <v>59</v>
      </c>
      <c r="B2891" t="s">
        <v>113</v>
      </c>
      <c r="C2891" t="s">
        <v>3040</v>
      </c>
      <c r="D2891">
        <v>3</v>
      </c>
      <c r="E2891">
        <v>4</v>
      </c>
      <c r="F2891" t="s">
        <v>7</v>
      </c>
      <c r="G2891" t="s">
        <v>11</v>
      </c>
      <c r="H2891" t="s">
        <v>11</v>
      </c>
    </row>
    <row r="2892" spans="1:8" x14ac:dyDescent="0.35">
      <c r="A2892" t="s">
        <v>59</v>
      </c>
      <c r="B2892" t="s">
        <v>113</v>
      </c>
      <c r="C2892" t="s">
        <v>2404</v>
      </c>
      <c r="D2892">
        <v>3</v>
      </c>
      <c r="E2892">
        <v>4</v>
      </c>
      <c r="F2892" t="s">
        <v>7</v>
      </c>
      <c r="G2892" t="s">
        <v>11</v>
      </c>
      <c r="H2892" t="s">
        <v>11</v>
      </c>
    </row>
    <row r="2893" spans="1:8" x14ac:dyDescent="0.35">
      <c r="A2893" t="s">
        <v>59</v>
      </c>
      <c r="B2893" t="s">
        <v>113</v>
      </c>
      <c r="C2893" t="s">
        <v>1352</v>
      </c>
      <c r="D2893">
        <v>1</v>
      </c>
      <c r="E2893">
        <v>4</v>
      </c>
      <c r="F2893" t="s">
        <v>7</v>
      </c>
      <c r="G2893" t="s">
        <v>11</v>
      </c>
      <c r="H2893" t="s">
        <v>11</v>
      </c>
    </row>
    <row r="2894" spans="1:8" x14ac:dyDescent="0.35">
      <c r="A2894" t="s">
        <v>59</v>
      </c>
      <c r="B2894" t="s">
        <v>113</v>
      </c>
      <c r="C2894" t="s">
        <v>3041</v>
      </c>
      <c r="D2894">
        <v>1</v>
      </c>
      <c r="E2894">
        <v>4</v>
      </c>
      <c r="F2894" t="s">
        <v>7</v>
      </c>
      <c r="G2894" t="s">
        <v>11</v>
      </c>
      <c r="H2894" t="s">
        <v>11</v>
      </c>
    </row>
    <row r="2895" spans="1:8" x14ac:dyDescent="0.35">
      <c r="A2895" t="s">
        <v>59</v>
      </c>
      <c r="B2895" t="s">
        <v>113</v>
      </c>
      <c r="C2895" t="s">
        <v>3042</v>
      </c>
      <c r="D2895">
        <v>2</v>
      </c>
      <c r="E2895">
        <v>4</v>
      </c>
      <c r="F2895" t="s">
        <v>7</v>
      </c>
      <c r="G2895" t="s">
        <v>11</v>
      </c>
      <c r="H2895" t="s">
        <v>11</v>
      </c>
    </row>
    <row r="2896" spans="1:8" x14ac:dyDescent="0.35">
      <c r="A2896" t="s">
        <v>59</v>
      </c>
      <c r="B2896" t="s">
        <v>113</v>
      </c>
      <c r="C2896" t="s">
        <v>1917</v>
      </c>
      <c r="D2896">
        <v>1</v>
      </c>
      <c r="E2896">
        <v>4</v>
      </c>
      <c r="F2896" t="s">
        <v>7</v>
      </c>
      <c r="G2896" t="s">
        <v>11</v>
      </c>
      <c r="H2896" t="s">
        <v>11</v>
      </c>
    </row>
    <row r="2897" spans="1:8" x14ac:dyDescent="0.35">
      <c r="A2897" t="s">
        <v>59</v>
      </c>
      <c r="B2897" t="s">
        <v>113</v>
      </c>
      <c r="C2897" t="s">
        <v>3043</v>
      </c>
      <c r="D2897">
        <v>2</v>
      </c>
      <c r="E2897">
        <v>4</v>
      </c>
      <c r="F2897" t="s">
        <v>7</v>
      </c>
      <c r="G2897" t="s">
        <v>11</v>
      </c>
      <c r="H2897" t="s">
        <v>11</v>
      </c>
    </row>
    <row r="2898" spans="1:8" x14ac:dyDescent="0.35">
      <c r="A2898" t="s">
        <v>59</v>
      </c>
      <c r="B2898" t="s">
        <v>113</v>
      </c>
      <c r="C2898" t="s">
        <v>3044</v>
      </c>
      <c r="D2898">
        <v>2</v>
      </c>
      <c r="E2898">
        <v>4</v>
      </c>
      <c r="F2898" t="s">
        <v>7</v>
      </c>
      <c r="G2898" t="s">
        <v>11</v>
      </c>
      <c r="H2898" t="s">
        <v>11</v>
      </c>
    </row>
    <row r="2899" spans="1:8" x14ac:dyDescent="0.35">
      <c r="A2899" t="s">
        <v>59</v>
      </c>
      <c r="B2899" t="s">
        <v>113</v>
      </c>
      <c r="C2899" t="s">
        <v>1356</v>
      </c>
      <c r="D2899">
        <v>2</v>
      </c>
      <c r="E2899">
        <v>4</v>
      </c>
      <c r="F2899" t="s">
        <v>7</v>
      </c>
      <c r="G2899" t="s">
        <v>11</v>
      </c>
      <c r="H2899" t="s">
        <v>11</v>
      </c>
    </row>
    <row r="2900" spans="1:8" x14ac:dyDescent="0.35">
      <c r="A2900" t="s">
        <v>59</v>
      </c>
      <c r="B2900" t="s">
        <v>113</v>
      </c>
      <c r="C2900" t="s">
        <v>3045</v>
      </c>
      <c r="D2900">
        <v>2</v>
      </c>
      <c r="E2900">
        <v>4</v>
      </c>
      <c r="F2900" t="s">
        <v>7</v>
      </c>
      <c r="G2900" t="s">
        <v>11</v>
      </c>
      <c r="H2900" t="s">
        <v>11</v>
      </c>
    </row>
    <row r="2901" spans="1:8" x14ac:dyDescent="0.35">
      <c r="A2901" t="s">
        <v>59</v>
      </c>
      <c r="B2901" t="s">
        <v>113</v>
      </c>
      <c r="C2901" t="s">
        <v>3046</v>
      </c>
      <c r="D2901">
        <v>2</v>
      </c>
      <c r="E2901">
        <v>4</v>
      </c>
      <c r="F2901" t="s">
        <v>7</v>
      </c>
      <c r="G2901" t="s">
        <v>11</v>
      </c>
      <c r="H2901" t="s">
        <v>11</v>
      </c>
    </row>
    <row r="2902" spans="1:8" x14ac:dyDescent="0.35">
      <c r="A2902" t="s">
        <v>59</v>
      </c>
      <c r="B2902" t="s">
        <v>113</v>
      </c>
      <c r="C2902" t="s">
        <v>3047</v>
      </c>
      <c r="D2902">
        <v>1</v>
      </c>
      <c r="E2902">
        <v>4</v>
      </c>
      <c r="F2902" t="s">
        <v>7</v>
      </c>
      <c r="G2902" t="s">
        <v>11</v>
      </c>
      <c r="H2902" t="s">
        <v>11</v>
      </c>
    </row>
    <row r="2903" spans="1:8" x14ac:dyDescent="0.35">
      <c r="A2903" t="s">
        <v>59</v>
      </c>
      <c r="B2903" t="s">
        <v>113</v>
      </c>
      <c r="C2903" t="s">
        <v>3048</v>
      </c>
      <c r="D2903">
        <v>3</v>
      </c>
      <c r="E2903">
        <v>4</v>
      </c>
      <c r="F2903" t="s">
        <v>7</v>
      </c>
      <c r="G2903" t="s">
        <v>11</v>
      </c>
      <c r="H2903" t="s">
        <v>11</v>
      </c>
    </row>
    <row r="2904" spans="1:8" x14ac:dyDescent="0.35">
      <c r="A2904" t="s">
        <v>59</v>
      </c>
      <c r="B2904" t="s">
        <v>113</v>
      </c>
      <c r="C2904" t="s">
        <v>2540</v>
      </c>
      <c r="D2904">
        <v>2</v>
      </c>
      <c r="E2904">
        <v>4</v>
      </c>
      <c r="F2904" t="s">
        <v>7</v>
      </c>
      <c r="G2904" t="s">
        <v>11</v>
      </c>
      <c r="H2904" t="s">
        <v>11</v>
      </c>
    </row>
    <row r="2905" spans="1:8" x14ac:dyDescent="0.35">
      <c r="A2905" t="s">
        <v>59</v>
      </c>
      <c r="B2905" t="s">
        <v>113</v>
      </c>
      <c r="C2905" t="s">
        <v>1595</v>
      </c>
      <c r="D2905">
        <v>3</v>
      </c>
      <c r="E2905">
        <v>4</v>
      </c>
      <c r="F2905" t="s">
        <v>7</v>
      </c>
      <c r="G2905" t="s">
        <v>11</v>
      </c>
      <c r="H2905" t="s">
        <v>11</v>
      </c>
    </row>
    <row r="2906" spans="1:8" x14ac:dyDescent="0.35">
      <c r="A2906" t="s">
        <v>59</v>
      </c>
      <c r="B2906" t="s">
        <v>113</v>
      </c>
      <c r="C2906" t="s">
        <v>1362</v>
      </c>
      <c r="D2906">
        <v>1</v>
      </c>
      <c r="E2906">
        <v>4</v>
      </c>
      <c r="F2906" t="s">
        <v>7</v>
      </c>
      <c r="G2906" t="s">
        <v>11</v>
      </c>
      <c r="H2906" t="s">
        <v>11</v>
      </c>
    </row>
    <row r="2907" spans="1:8" x14ac:dyDescent="0.35">
      <c r="A2907" t="s">
        <v>59</v>
      </c>
      <c r="B2907" t="s">
        <v>113</v>
      </c>
      <c r="C2907" t="s">
        <v>2048</v>
      </c>
      <c r="D2907">
        <v>2</v>
      </c>
      <c r="E2907">
        <v>4</v>
      </c>
      <c r="F2907" t="s">
        <v>7</v>
      </c>
      <c r="G2907" t="s">
        <v>11</v>
      </c>
      <c r="H2907" t="s">
        <v>11</v>
      </c>
    </row>
    <row r="2908" spans="1:8" x14ac:dyDescent="0.35">
      <c r="A2908" t="s">
        <v>59</v>
      </c>
      <c r="B2908" t="s">
        <v>113</v>
      </c>
      <c r="C2908" t="s">
        <v>3049</v>
      </c>
      <c r="D2908">
        <v>3</v>
      </c>
      <c r="E2908">
        <v>4</v>
      </c>
      <c r="F2908" t="s">
        <v>7</v>
      </c>
      <c r="G2908" t="s">
        <v>11</v>
      </c>
      <c r="H2908" t="s">
        <v>11</v>
      </c>
    </row>
    <row r="2909" spans="1:8" x14ac:dyDescent="0.35">
      <c r="A2909" t="s">
        <v>59</v>
      </c>
      <c r="B2909" t="s">
        <v>113</v>
      </c>
      <c r="C2909" t="s">
        <v>3050</v>
      </c>
      <c r="D2909">
        <v>3</v>
      </c>
      <c r="E2909">
        <v>4</v>
      </c>
      <c r="F2909" t="s">
        <v>7</v>
      </c>
      <c r="G2909" t="s">
        <v>11</v>
      </c>
      <c r="H2909" t="s">
        <v>11</v>
      </c>
    </row>
    <row r="2910" spans="1:8" x14ac:dyDescent="0.35">
      <c r="A2910" t="s">
        <v>59</v>
      </c>
      <c r="B2910" t="s">
        <v>113</v>
      </c>
      <c r="C2910" t="s">
        <v>3051</v>
      </c>
      <c r="D2910">
        <v>3</v>
      </c>
      <c r="E2910">
        <v>4</v>
      </c>
      <c r="F2910" t="s">
        <v>7</v>
      </c>
      <c r="G2910" t="s">
        <v>11</v>
      </c>
      <c r="H2910" t="s">
        <v>11</v>
      </c>
    </row>
    <row r="2911" spans="1:8" x14ac:dyDescent="0.35">
      <c r="A2911" t="s">
        <v>59</v>
      </c>
      <c r="B2911" t="s">
        <v>113</v>
      </c>
      <c r="C2911" t="s">
        <v>2544</v>
      </c>
      <c r="D2911">
        <v>3</v>
      </c>
      <c r="E2911">
        <v>4</v>
      </c>
      <c r="F2911" t="s">
        <v>7</v>
      </c>
      <c r="G2911" t="s">
        <v>11</v>
      </c>
      <c r="H2911" t="s">
        <v>11</v>
      </c>
    </row>
    <row r="2912" spans="1:8" x14ac:dyDescent="0.35">
      <c r="A2912" t="s">
        <v>59</v>
      </c>
      <c r="B2912" t="s">
        <v>113</v>
      </c>
      <c r="C2912" t="s">
        <v>2714</v>
      </c>
      <c r="D2912">
        <v>3</v>
      </c>
      <c r="E2912">
        <v>4</v>
      </c>
      <c r="F2912" t="s">
        <v>7</v>
      </c>
      <c r="G2912" t="s">
        <v>11</v>
      </c>
      <c r="H2912" t="s">
        <v>11</v>
      </c>
    </row>
    <row r="2913" spans="1:8" x14ac:dyDescent="0.35">
      <c r="A2913" t="s">
        <v>59</v>
      </c>
      <c r="B2913" t="s">
        <v>113</v>
      </c>
      <c r="C2913" t="s">
        <v>3052</v>
      </c>
      <c r="D2913">
        <v>2</v>
      </c>
      <c r="E2913">
        <v>4</v>
      </c>
      <c r="F2913" t="s">
        <v>7</v>
      </c>
      <c r="G2913" t="s">
        <v>11</v>
      </c>
      <c r="H2913" t="s">
        <v>11</v>
      </c>
    </row>
    <row r="2914" spans="1:8" x14ac:dyDescent="0.35">
      <c r="A2914" t="s">
        <v>59</v>
      </c>
      <c r="B2914" t="s">
        <v>113</v>
      </c>
      <c r="C2914" t="s">
        <v>3053</v>
      </c>
      <c r="D2914">
        <v>1</v>
      </c>
      <c r="E2914">
        <v>4</v>
      </c>
      <c r="F2914" t="s">
        <v>7</v>
      </c>
      <c r="G2914" t="s">
        <v>11</v>
      </c>
      <c r="H2914" t="s">
        <v>11</v>
      </c>
    </row>
    <row r="2915" spans="1:8" x14ac:dyDescent="0.35">
      <c r="A2915" t="s">
        <v>59</v>
      </c>
      <c r="B2915" t="s">
        <v>113</v>
      </c>
      <c r="C2915" t="s">
        <v>1509</v>
      </c>
      <c r="D2915">
        <v>1</v>
      </c>
      <c r="E2915">
        <v>4</v>
      </c>
      <c r="F2915" t="s">
        <v>7</v>
      </c>
      <c r="G2915" t="s">
        <v>11</v>
      </c>
      <c r="H2915" t="s">
        <v>11</v>
      </c>
    </row>
    <row r="2916" spans="1:8" x14ac:dyDescent="0.35">
      <c r="A2916" t="s">
        <v>59</v>
      </c>
      <c r="B2916" t="s">
        <v>113</v>
      </c>
      <c r="C2916" t="s">
        <v>1925</v>
      </c>
      <c r="D2916">
        <v>1</v>
      </c>
      <c r="E2916">
        <v>4</v>
      </c>
      <c r="F2916" t="s">
        <v>7</v>
      </c>
      <c r="G2916" t="s">
        <v>11</v>
      </c>
      <c r="H2916" t="s">
        <v>11</v>
      </c>
    </row>
    <row r="2917" spans="1:8" x14ac:dyDescent="0.35">
      <c r="A2917" t="s">
        <v>59</v>
      </c>
      <c r="B2917" t="s">
        <v>113</v>
      </c>
      <c r="C2917" t="s">
        <v>3054</v>
      </c>
      <c r="D2917">
        <v>1</v>
      </c>
      <c r="E2917">
        <v>4</v>
      </c>
      <c r="F2917" t="s">
        <v>7</v>
      </c>
      <c r="G2917" t="s">
        <v>11</v>
      </c>
      <c r="H2917" t="s">
        <v>11</v>
      </c>
    </row>
    <row r="2918" spans="1:8" x14ac:dyDescent="0.35">
      <c r="A2918" t="s">
        <v>59</v>
      </c>
      <c r="B2918" t="s">
        <v>113</v>
      </c>
      <c r="C2918" t="s">
        <v>3055</v>
      </c>
      <c r="D2918">
        <v>3</v>
      </c>
      <c r="E2918">
        <v>4</v>
      </c>
      <c r="F2918" t="s">
        <v>7</v>
      </c>
      <c r="G2918" t="s">
        <v>11</v>
      </c>
      <c r="H2918" t="s">
        <v>11</v>
      </c>
    </row>
    <row r="2919" spans="1:8" x14ac:dyDescent="0.35">
      <c r="A2919" t="s">
        <v>59</v>
      </c>
      <c r="B2919" t="s">
        <v>113</v>
      </c>
      <c r="C2919" t="s">
        <v>3056</v>
      </c>
      <c r="D2919">
        <v>1</v>
      </c>
      <c r="E2919">
        <v>4</v>
      </c>
      <c r="F2919" t="s">
        <v>7</v>
      </c>
      <c r="G2919" t="s">
        <v>11</v>
      </c>
      <c r="H2919" t="s">
        <v>11</v>
      </c>
    </row>
    <row r="2920" spans="1:8" x14ac:dyDescent="0.35">
      <c r="A2920" t="s">
        <v>59</v>
      </c>
      <c r="B2920" t="s">
        <v>113</v>
      </c>
      <c r="C2920" t="s">
        <v>3057</v>
      </c>
      <c r="D2920">
        <v>3</v>
      </c>
      <c r="E2920">
        <v>4</v>
      </c>
      <c r="F2920" t="s">
        <v>7</v>
      </c>
      <c r="G2920" t="s">
        <v>11</v>
      </c>
      <c r="H2920" t="s">
        <v>11</v>
      </c>
    </row>
    <row r="2921" spans="1:8" x14ac:dyDescent="0.35">
      <c r="A2921" t="s">
        <v>59</v>
      </c>
      <c r="B2921" t="s">
        <v>113</v>
      </c>
      <c r="C2921" t="s">
        <v>3058</v>
      </c>
      <c r="D2921">
        <v>3</v>
      </c>
      <c r="E2921">
        <v>4</v>
      </c>
      <c r="F2921" t="s">
        <v>7</v>
      </c>
      <c r="G2921" t="s">
        <v>11</v>
      </c>
      <c r="H2921" t="s">
        <v>11</v>
      </c>
    </row>
    <row r="2922" spans="1:8" x14ac:dyDescent="0.35">
      <c r="A2922" t="s">
        <v>59</v>
      </c>
      <c r="B2922" t="s">
        <v>113</v>
      </c>
      <c r="C2922" t="s">
        <v>3059</v>
      </c>
      <c r="D2922">
        <v>1</v>
      </c>
      <c r="E2922">
        <v>4</v>
      </c>
      <c r="F2922" t="s">
        <v>7</v>
      </c>
      <c r="G2922" t="s">
        <v>11</v>
      </c>
      <c r="H2922" t="s">
        <v>11</v>
      </c>
    </row>
    <row r="2923" spans="1:8" x14ac:dyDescent="0.35">
      <c r="A2923" t="s">
        <v>59</v>
      </c>
      <c r="B2923" t="s">
        <v>113</v>
      </c>
      <c r="C2923" t="s">
        <v>3060</v>
      </c>
      <c r="D2923">
        <v>2</v>
      </c>
      <c r="E2923">
        <v>4</v>
      </c>
      <c r="F2923" t="s">
        <v>7</v>
      </c>
      <c r="G2923" t="s">
        <v>11</v>
      </c>
      <c r="H2923" t="s">
        <v>11</v>
      </c>
    </row>
    <row r="2924" spans="1:8" x14ac:dyDescent="0.35">
      <c r="A2924" t="s">
        <v>59</v>
      </c>
      <c r="B2924" t="s">
        <v>113</v>
      </c>
      <c r="C2924" t="s">
        <v>3061</v>
      </c>
      <c r="D2924">
        <v>3</v>
      </c>
      <c r="E2924">
        <v>4</v>
      </c>
      <c r="F2924" t="s">
        <v>7</v>
      </c>
      <c r="G2924" t="s">
        <v>11</v>
      </c>
      <c r="H2924" t="s">
        <v>11</v>
      </c>
    </row>
    <row r="2925" spans="1:8" x14ac:dyDescent="0.35">
      <c r="A2925" t="s">
        <v>59</v>
      </c>
      <c r="B2925" t="s">
        <v>113</v>
      </c>
      <c r="C2925" t="s">
        <v>3062</v>
      </c>
      <c r="D2925">
        <v>2</v>
      </c>
      <c r="E2925">
        <v>4</v>
      </c>
      <c r="F2925" t="s">
        <v>7</v>
      </c>
      <c r="G2925" t="s">
        <v>11</v>
      </c>
      <c r="H2925" t="s">
        <v>11</v>
      </c>
    </row>
    <row r="2926" spans="1:8" x14ac:dyDescent="0.35">
      <c r="A2926" t="s">
        <v>59</v>
      </c>
      <c r="B2926" t="s">
        <v>113</v>
      </c>
      <c r="C2926" t="s">
        <v>1467</v>
      </c>
      <c r="D2926">
        <v>1</v>
      </c>
      <c r="E2926">
        <v>4</v>
      </c>
      <c r="F2926" t="s">
        <v>7</v>
      </c>
      <c r="G2926" t="s">
        <v>11</v>
      </c>
      <c r="H2926" t="s">
        <v>11</v>
      </c>
    </row>
    <row r="2927" spans="1:8" x14ac:dyDescent="0.35">
      <c r="A2927" t="s">
        <v>59</v>
      </c>
      <c r="B2927" t="s">
        <v>113</v>
      </c>
      <c r="C2927" t="s">
        <v>3063</v>
      </c>
      <c r="D2927">
        <v>1</v>
      </c>
      <c r="E2927">
        <v>4</v>
      </c>
      <c r="F2927" t="s">
        <v>7</v>
      </c>
      <c r="G2927" t="s">
        <v>11</v>
      </c>
      <c r="H2927" t="s">
        <v>11</v>
      </c>
    </row>
    <row r="2928" spans="1:8" x14ac:dyDescent="0.35">
      <c r="A2928" t="s">
        <v>59</v>
      </c>
      <c r="B2928" t="s">
        <v>113</v>
      </c>
      <c r="C2928" t="s">
        <v>3064</v>
      </c>
      <c r="D2928">
        <v>2</v>
      </c>
      <c r="E2928">
        <v>4</v>
      </c>
      <c r="F2928" t="s">
        <v>7</v>
      </c>
      <c r="G2928" t="s">
        <v>11</v>
      </c>
      <c r="H2928" t="s">
        <v>11</v>
      </c>
    </row>
    <row r="2929" spans="1:8" x14ac:dyDescent="0.35">
      <c r="A2929" t="s">
        <v>59</v>
      </c>
      <c r="B2929" t="s">
        <v>113</v>
      </c>
      <c r="C2929" t="s">
        <v>1732</v>
      </c>
      <c r="D2929">
        <v>3</v>
      </c>
      <c r="E2929">
        <v>4</v>
      </c>
      <c r="F2929" t="s">
        <v>7</v>
      </c>
      <c r="G2929" t="s">
        <v>11</v>
      </c>
      <c r="H2929" t="s">
        <v>11</v>
      </c>
    </row>
    <row r="2930" spans="1:8" x14ac:dyDescent="0.35">
      <c r="A2930" t="s">
        <v>59</v>
      </c>
      <c r="B2930" t="s">
        <v>113</v>
      </c>
      <c r="C2930" t="s">
        <v>3065</v>
      </c>
      <c r="D2930">
        <v>3</v>
      </c>
      <c r="E2930">
        <v>4</v>
      </c>
      <c r="F2930" t="s">
        <v>7</v>
      </c>
      <c r="G2930" t="s">
        <v>11</v>
      </c>
      <c r="H2930" t="s">
        <v>11</v>
      </c>
    </row>
    <row r="2931" spans="1:8" x14ac:dyDescent="0.35">
      <c r="A2931" t="s">
        <v>59</v>
      </c>
      <c r="B2931" t="s">
        <v>113</v>
      </c>
      <c r="C2931" t="s">
        <v>3066</v>
      </c>
      <c r="D2931">
        <v>1</v>
      </c>
      <c r="E2931">
        <v>4</v>
      </c>
      <c r="F2931" t="s">
        <v>7</v>
      </c>
      <c r="G2931" t="s">
        <v>11</v>
      </c>
      <c r="H2931" t="s">
        <v>11</v>
      </c>
    </row>
    <row r="2932" spans="1:8" x14ac:dyDescent="0.35">
      <c r="A2932" t="s">
        <v>59</v>
      </c>
      <c r="B2932" t="s">
        <v>113</v>
      </c>
      <c r="C2932" t="s">
        <v>3067</v>
      </c>
      <c r="D2932">
        <v>1</v>
      </c>
      <c r="E2932">
        <v>4</v>
      </c>
      <c r="F2932" t="s">
        <v>7</v>
      </c>
      <c r="G2932" t="s">
        <v>11</v>
      </c>
      <c r="H2932" t="s">
        <v>11</v>
      </c>
    </row>
    <row r="2933" spans="1:8" x14ac:dyDescent="0.35">
      <c r="A2933" t="s">
        <v>59</v>
      </c>
      <c r="B2933" t="s">
        <v>113</v>
      </c>
      <c r="C2933" t="s">
        <v>3068</v>
      </c>
      <c r="D2933">
        <v>1</v>
      </c>
      <c r="E2933">
        <v>4</v>
      </c>
      <c r="F2933" t="s">
        <v>7</v>
      </c>
      <c r="G2933" t="s">
        <v>11</v>
      </c>
      <c r="H2933" t="s">
        <v>11</v>
      </c>
    </row>
    <row r="2934" spans="1:8" x14ac:dyDescent="0.35">
      <c r="A2934" t="s">
        <v>59</v>
      </c>
      <c r="B2934" t="s">
        <v>113</v>
      </c>
      <c r="C2934" t="s">
        <v>2435</v>
      </c>
      <c r="D2934">
        <v>1</v>
      </c>
      <c r="E2934">
        <v>4</v>
      </c>
      <c r="F2934" t="s">
        <v>7</v>
      </c>
      <c r="G2934" t="s">
        <v>11</v>
      </c>
      <c r="H2934" t="s">
        <v>11</v>
      </c>
    </row>
    <row r="2935" spans="1:8" x14ac:dyDescent="0.35">
      <c r="A2935" t="s">
        <v>59</v>
      </c>
      <c r="B2935" t="s">
        <v>113</v>
      </c>
      <c r="C2935" t="s">
        <v>1368</v>
      </c>
      <c r="D2935">
        <v>1</v>
      </c>
      <c r="E2935">
        <v>4</v>
      </c>
      <c r="F2935" t="s">
        <v>7</v>
      </c>
      <c r="G2935" t="s">
        <v>11</v>
      </c>
      <c r="H2935" t="s">
        <v>11</v>
      </c>
    </row>
    <row r="2936" spans="1:8" x14ac:dyDescent="0.35">
      <c r="A2936" t="s">
        <v>59</v>
      </c>
      <c r="B2936" t="s">
        <v>113</v>
      </c>
      <c r="C2936" t="s">
        <v>2447</v>
      </c>
      <c r="D2936">
        <v>1</v>
      </c>
      <c r="E2936">
        <v>4</v>
      </c>
      <c r="F2936" t="s">
        <v>7</v>
      </c>
      <c r="G2936" t="s">
        <v>11</v>
      </c>
      <c r="H2936" t="s">
        <v>11</v>
      </c>
    </row>
    <row r="2937" spans="1:8" x14ac:dyDescent="0.35">
      <c r="A2937" t="s">
        <v>59</v>
      </c>
      <c r="B2937" t="s">
        <v>113</v>
      </c>
      <c r="C2937" t="s">
        <v>1470</v>
      </c>
      <c r="D2937">
        <v>1</v>
      </c>
      <c r="E2937">
        <v>4</v>
      </c>
      <c r="F2937" t="s">
        <v>7</v>
      </c>
      <c r="G2937" t="s">
        <v>11</v>
      </c>
      <c r="H2937" t="s">
        <v>11</v>
      </c>
    </row>
    <row r="2938" spans="1:8" x14ac:dyDescent="0.35">
      <c r="A2938" t="s">
        <v>59</v>
      </c>
      <c r="B2938" t="s">
        <v>113</v>
      </c>
      <c r="C2938" t="s">
        <v>3069</v>
      </c>
      <c r="D2938">
        <v>1</v>
      </c>
      <c r="E2938">
        <v>4</v>
      </c>
      <c r="F2938" t="s">
        <v>7</v>
      </c>
      <c r="G2938" t="s">
        <v>11</v>
      </c>
      <c r="H2938" t="s">
        <v>11</v>
      </c>
    </row>
    <row r="2939" spans="1:8" x14ac:dyDescent="0.35">
      <c r="A2939" t="s">
        <v>59</v>
      </c>
      <c r="B2939" t="s">
        <v>113</v>
      </c>
      <c r="C2939" t="s">
        <v>3070</v>
      </c>
      <c r="D2939">
        <v>1</v>
      </c>
      <c r="E2939">
        <v>4</v>
      </c>
      <c r="F2939" t="s">
        <v>7</v>
      </c>
      <c r="G2939" t="s">
        <v>11</v>
      </c>
      <c r="H2939" t="s">
        <v>11</v>
      </c>
    </row>
    <row r="2940" spans="1:8" x14ac:dyDescent="0.35">
      <c r="A2940" t="s">
        <v>59</v>
      </c>
      <c r="B2940" t="s">
        <v>113</v>
      </c>
      <c r="C2940" t="s">
        <v>3071</v>
      </c>
      <c r="D2940">
        <v>3</v>
      </c>
      <c r="E2940">
        <v>4</v>
      </c>
      <c r="F2940" t="s">
        <v>7</v>
      </c>
      <c r="G2940" t="s">
        <v>11</v>
      </c>
      <c r="H2940" t="s">
        <v>11</v>
      </c>
    </row>
    <row r="2941" spans="1:8" x14ac:dyDescent="0.35">
      <c r="A2941" t="s">
        <v>59</v>
      </c>
      <c r="B2941" t="s">
        <v>113</v>
      </c>
      <c r="C2941" t="s">
        <v>3072</v>
      </c>
      <c r="D2941">
        <v>1</v>
      </c>
      <c r="E2941">
        <v>4</v>
      </c>
      <c r="F2941" t="s">
        <v>7</v>
      </c>
      <c r="G2941" t="s">
        <v>11</v>
      </c>
      <c r="H2941" t="s">
        <v>11</v>
      </c>
    </row>
    <row r="2942" spans="1:8" x14ac:dyDescent="0.35">
      <c r="A2942" t="s">
        <v>59</v>
      </c>
      <c r="B2942" t="s">
        <v>113</v>
      </c>
      <c r="C2942" t="s">
        <v>1996</v>
      </c>
      <c r="D2942">
        <v>1</v>
      </c>
      <c r="E2942">
        <v>4</v>
      </c>
      <c r="F2942" t="s">
        <v>7</v>
      </c>
      <c r="G2942" t="s">
        <v>11</v>
      </c>
      <c r="H2942" t="s">
        <v>11</v>
      </c>
    </row>
    <row r="2943" spans="1:8" x14ac:dyDescent="0.35">
      <c r="A2943" t="s">
        <v>59</v>
      </c>
      <c r="B2943" t="s">
        <v>113</v>
      </c>
      <c r="C2943" t="s">
        <v>3073</v>
      </c>
      <c r="D2943">
        <v>1</v>
      </c>
      <c r="E2943">
        <v>4</v>
      </c>
      <c r="F2943" t="s">
        <v>7</v>
      </c>
      <c r="G2943" t="s">
        <v>11</v>
      </c>
      <c r="H2943" t="s">
        <v>11</v>
      </c>
    </row>
    <row r="2944" spans="1:8" x14ac:dyDescent="0.35">
      <c r="A2944" t="s">
        <v>59</v>
      </c>
      <c r="B2944" t="s">
        <v>113</v>
      </c>
      <c r="C2944" t="s">
        <v>3074</v>
      </c>
      <c r="D2944">
        <v>3</v>
      </c>
      <c r="E2944">
        <v>4</v>
      </c>
      <c r="F2944" t="s">
        <v>7</v>
      </c>
      <c r="G2944" t="s">
        <v>11</v>
      </c>
      <c r="H2944" t="s">
        <v>11</v>
      </c>
    </row>
    <row r="2945" spans="1:8" x14ac:dyDescent="0.35">
      <c r="A2945" t="s">
        <v>59</v>
      </c>
      <c r="B2945" t="s">
        <v>113</v>
      </c>
      <c r="C2945" t="s">
        <v>2557</v>
      </c>
      <c r="D2945">
        <v>3</v>
      </c>
      <c r="E2945">
        <v>4</v>
      </c>
      <c r="F2945" t="s">
        <v>7</v>
      </c>
      <c r="G2945" t="s">
        <v>11</v>
      </c>
      <c r="H2945" t="s">
        <v>11</v>
      </c>
    </row>
    <row r="2946" spans="1:8" x14ac:dyDescent="0.35">
      <c r="A2946" t="s">
        <v>59</v>
      </c>
      <c r="B2946" t="s">
        <v>113</v>
      </c>
      <c r="C2946" t="s">
        <v>1602</v>
      </c>
      <c r="D2946">
        <v>3</v>
      </c>
      <c r="E2946">
        <v>4</v>
      </c>
      <c r="F2946" t="s">
        <v>7</v>
      </c>
      <c r="G2946" t="s">
        <v>11</v>
      </c>
      <c r="H2946" t="s">
        <v>11</v>
      </c>
    </row>
    <row r="2947" spans="1:8" x14ac:dyDescent="0.35">
      <c r="A2947" t="s">
        <v>59</v>
      </c>
      <c r="B2947" t="s">
        <v>113</v>
      </c>
      <c r="C2947" t="s">
        <v>1846</v>
      </c>
      <c r="D2947">
        <v>1</v>
      </c>
      <c r="E2947">
        <v>4</v>
      </c>
      <c r="F2947" t="s">
        <v>7</v>
      </c>
      <c r="G2947" t="s">
        <v>11</v>
      </c>
      <c r="H2947" t="s">
        <v>11</v>
      </c>
    </row>
    <row r="2948" spans="1:8" x14ac:dyDescent="0.35">
      <c r="A2948" t="s">
        <v>59</v>
      </c>
      <c r="B2948" t="s">
        <v>113</v>
      </c>
      <c r="C2948" t="s">
        <v>3075</v>
      </c>
      <c r="D2948">
        <v>3</v>
      </c>
      <c r="E2948">
        <v>4</v>
      </c>
      <c r="F2948" t="s">
        <v>7</v>
      </c>
      <c r="G2948" t="s">
        <v>11</v>
      </c>
      <c r="H2948" t="s">
        <v>11</v>
      </c>
    </row>
    <row r="2949" spans="1:8" x14ac:dyDescent="0.35">
      <c r="A2949" t="s">
        <v>59</v>
      </c>
      <c r="B2949" t="s">
        <v>113</v>
      </c>
      <c r="C2949" t="s">
        <v>1754</v>
      </c>
      <c r="D2949">
        <v>1</v>
      </c>
      <c r="E2949">
        <v>4</v>
      </c>
      <c r="F2949" t="s">
        <v>7</v>
      </c>
      <c r="G2949" t="s">
        <v>11</v>
      </c>
      <c r="H2949" t="s">
        <v>11</v>
      </c>
    </row>
    <row r="2950" spans="1:8" x14ac:dyDescent="0.35">
      <c r="A2950" t="s">
        <v>59</v>
      </c>
      <c r="B2950" t="s">
        <v>113</v>
      </c>
      <c r="C2950" t="s">
        <v>1376</v>
      </c>
      <c r="D2950">
        <v>1</v>
      </c>
      <c r="E2950">
        <v>4</v>
      </c>
      <c r="F2950" t="s">
        <v>7</v>
      </c>
      <c r="G2950" t="s">
        <v>11</v>
      </c>
      <c r="H2950" t="s">
        <v>11</v>
      </c>
    </row>
    <row r="2951" spans="1:8" x14ac:dyDescent="0.35">
      <c r="A2951" t="s">
        <v>59</v>
      </c>
      <c r="B2951" t="s">
        <v>113</v>
      </c>
      <c r="C2951" t="s">
        <v>3076</v>
      </c>
      <c r="D2951">
        <v>1</v>
      </c>
      <c r="E2951">
        <v>4</v>
      </c>
      <c r="F2951" t="s">
        <v>7</v>
      </c>
      <c r="G2951" t="s">
        <v>11</v>
      </c>
      <c r="H2951" t="s">
        <v>11</v>
      </c>
    </row>
    <row r="2952" spans="1:8" x14ac:dyDescent="0.35">
      <c r="A2952" t="s">
        <v>59</v>
      </c>
      <c r="B2952" t="s">
        <v>113</v>
      </c>
      <c r="C2952" t="s">
        <v>2721</v>
      </c>
      <c r="D2952">
        <v>3</v>
      </c>
      <c r="E2952">
        <v>4</v>
      </c>
      <c r="F2952" t="s">
        <v>7</v>
      </c>
      <c r="G2952" t="s">
        <v>11</v>
      </c>
      <c r="H2952" t="s">
        <v>11</v>
      </c>
    </row>
    <row r="2953" spans="1:8" x14ac:dyDescent="0.35">
      <c r="A2953" t="s">
        <v>59</v>
      </c>
      <c r="B2953" t="s">
        <v>113</v>
      </c>
      <c r="C2953" t="s">
        <v>3077</v>
      </c>
      <c r="D2953">
        <v>3</v>
      </c>
      <c r="E2953">
        <v>4</v>
      </c>
      <c r="F2953" t="s">
        <v>7</v>
      </c>
      <c r="G2953" t="s">
        <v>11</v>
      </c>
      <c r="H2953" t="s">
        <v>11</v>
      </c>
    </row>
    <row r="2954" spans="1:8" x14ac:dyDescent="0.35">
      <c r="A2954" t="s">
        <v>59</v>
      </c>
      <c r="B2954" t="s">
        <v>113</v>
      </c>
      <c r="C2954" t="s">
        <v>3078</v>
      </c>
      <c r="D2954">
        <v>1</v>
      </c>
      <c r="E2954">
        <v>4</v>
      </c>
      <c r="F2954" t="s">
        <v>7</v>
      </c>
      <c r="G2954" t="s">
        <v>11</v>
      </c>
      <c r="H2954" t="s">
        <v>11</v>
      </c>
    </row>
    <row r="2955" spans="1:8" x14ac:dyDescent="0.35">
      <c r="A2955" t="s">
        <v>59</v>
      </c>
      <c r="B2955" t="s">
        <v>113</v>
      </c>
      <c r="C2955" t="s">
        <v>2969</v>
      </c>
      <c r="D2955">
        <v>2</v>
      </c>
      <c r="E2955">
        <v>4</v>
      </c>
      <c r="F2955" t="s">
        <v>7</v>
      </c>
      <c r="G2955" t="s">
        <v>11</v>
      </c>
      <c r="H2955" t="s">
        <v>11</v>
      </c>
    </row>
    <row r="2956" spans="1:8" x14ac:dyDescent="0.35">
      <c r="A2956" t="s">
        <v>59</v>
      </c>
      <c r="B2956" t="s">
        <v>113</v>
      </c>
      <c r="C2956" t="s">
        <v>3079</v>
      </c>
      <c r="D2956">
        <v>1</v>
      </c>
      <c r="E2956">
        <v>4</v>
      </c>
      <c r="F2956" t="s">
        <v>7</v>
      </c>
      <c r="G2956" t="s">
        <v>11</v>
      </c>
      <c r="H2956" t="s">
        <v>11</v>
      </c>
    </row>
    <row r="2957" spans="1:8" x14ac:dyDescent="0.35">
      <c r="A2957" t="s">
        <v>59</v>
      </c>
      <c r="B2957" t="s">
        <v>113</v>
      </c>
      <c r="C2957" t="s">
        <v>2117</v>
      </c>
      <c r="D2957">
        <v>3</v>
      </c>
      <c r="E2957">
        <v>4</v>
      </c>
      <c r="F2957" t="s">
        <v>7</v>
      </c>
      <c r="G2957" t="s">
        <v>11</v>
      </c>
      <c r="H2957" t="s">
        <v>11</v>
      </c>
    </row>
    <row r="2958" spans="1:8" x14ac:dyDescent="0.35">
      <c r="A2958" t="s">
        <v>61</v>
      </c>
      <c r="B2958" t="s">
        <v>85</v>
      </c>
      <c r="C2958" t="s">
        <v>1537</v>
      </c>
      <c r="D2958">
        <v>2</v>
      </c>
      <c r="E2958">
        <v>5</v>
      </c>
      <c r="F2958" t="s">
        <v>75</v>
      </c>
      <c r="G2958" t="s">
        <v>11</v>
      </c>
      <c r="H2958" t="s">
        <v>11</v>
      </c>
    </row>
    <row r="2959" spans="1:8" x14ac:dyDescent="0.35">
      <c r="A2959" t="s">
        <v>61</v>
      </c>
      <c r="B2959" t="s">
        <v>85</v>
      </c>
      <c r="C2959" t="s">
        <v>3080</v>
      </c>
      <c r="D2959">
        <v>2</v>
      </c>
      <c r="E2959">
        <v>5</v>
      </c>
      <c r="F2959" t="s">
        <v>75</v>
      </c>
      <c r="G2959" t="s">
        <v>11</v>
      </c>
      <c r="H2959" t="s">
        <v>11</v>
      </c>
    </row>
    <row r="2960" spans="1:8" x14ac:dyDescent="0.35">
      <c r="A2960" t="s">
        <v>61</v>
      </c>
      <c r="B2960" t="s">
        <v>85</v>
      </c>
      <c r="C2960" t="s">
        <v>1427</v>
      </c>
      <c r="D2960">
        <v>2</v>
      </c>
      <c r="E2960">
        <v>5</v>
      </c>
      <c r="F2960" t="s">
        <v>75</v>
      </c>
      <c r="G2960" t="s">
        <v>11</v>
      </c>
      <c r="H2960" t="s">
        <v>11</v>
      </c>
    </row>
    <row r="2961" spans="1:8" x14ac:dyDescent="0.35">
      <c r="A2961" t="s">
        <v>61</v>
      </c>
      <c r="B2961" t="s">
        <v>85</v>
      </c>
      <c r="C2961" t="s">
        <v>3081</v>
      </c>
      <c r="D2961">
        <v>3</v>
      </c>
      <c r="E2961">
        <v>5</v>
      </c>
      <c r="F2961" t="s">
        <v>75</v>
      </c>
      <c r="G2961" t="s">
        <v>11</v>
      </c>
      <c r="H2961" t="s">
        <v>11</v>
      </c>
    </row>
    <row r="2962" spans="1:8" x14ac:dyDescent="0.35">
      <c r="A2962" t="s">
        <v>61</v>
      </c>
      <c r="B2962" t="s">
        <v>85</v>
      </c>
      <c r="C2962" t="s">
        <v>3082</v>
      </c>
      <c r="D2962">
        <v>3</v>
      </c>
      <c r="E2962">
        <v>4</v>
      </c>
      <c r="F2962" t="s">
        <v>105</v>
      </c>
      <c r="G2962" t="s">
        <v>11</v>
      </c>
      <c r="H2962" t="s">
        <v>11</v>
      </c>
    </row>
    <row r="2963" spans="1:8" x14ac:dyDescent="0.35">
      <c r="A2963" t="s">
        <v>61</v>
      </c>
      <c r="B2963" t="s">
        <v>85</v>
      </c>
      <c r="C2963" t="s">
        <v>1432</v>
      </c>
      <c r="D2963">
        <v>1</v>
      </c>
      <c r="E2963">
        <v>4</v>
      </c>
      <c r="F2963" t="s">
        <v>105</v>
      </c>
      <c r="G2963" t="s">
        <v>11</v>
      </c>
      <c r="H2963" t="s">
        <v>11</v>
      </c>
    </row>
    <row r="2964" spans="1:8" x14ac:dyDescent="0.35">
      <c r="A2964" t="s">
        <v>61</v>
      </c>
      <c r="B2964" t="s">
        <v>85</v>
      </c>
      <c r="C2964" t="s">
        <v>1434</v>
      </c>
      <c r="D2964">
        <v>2</v>
      </c>
      <c r="E2964">
        <v>5</v>
      </c>
      <c r="F2964" t="s">
        <v>75</v>
      </c>
      <c r="G2964" t="s">
        <v>11</v>
      </c>
      <c r="H2964" t="s">
        <v>11</v>
      </c>
    </row>
    <row r="2965" spans="1:8" x14ac:dyDescent="0.35">
      <c r="A2965" t="s">
        <v>61</v>
      </c>
      <c r="B2965" t="s">
        <v>85</v>
      </c>
      <c r="C2965" t="s">
        <v>3083</v>
      </c>
      <c r="D2965">
        <v>3</v>
      </c>
      <c r="E2965">
        <v>4</v>
      </c>
      <c r="F2965" t="s">
        <v>105</v>
      </c>
      <c r="G2965" t="s">
        <v>11</v>
      </c>
      <c r="H2965" t="s">
        <v>11</v>
      </c>
    </row>
    <row r="2966" spans="1:8" x14ac:dyDescent="0.35">
      <c r="A2966" t="s">
        <v>61</v>
      </c>
      <c r="B2966" t="s">
        <v>85</v>
      </c>
      <c r="C2966" t="s">
        <v>1555</v>
      </c>
      <c r="D2966">
        <v>2</v>
      </c>
      <c r="E2966">
        <v>5</v>
      </c>
      <c r="F2966" t="s">
        <v>75</v>
      </c>
      <c r="G2966" t="s">
        <v>11</v>
      </c>
      <c r="H2966" t="s">
        <v>11</v>
      </c>
    </row>
    <row r="2967" spans="1:8" x14ac:dyDescent="0.35">
      <c r="A2967" t="s">
        <v>61</v>
      </c>
      <c r="B2967" t="s">
        <v>85</v>
      </c>
      <c r="C2967" t="s">
        <v>3084</v>
      </c>
      <c r="D2967">
        <v>1</v>
      </c>
      <c r="E2967">
        <v>6</v>
      </c>
      <c r="F2967" t="s">
        <v>75</v>
      </c>
      <c r="G2967" t="s">
        <v>11</v>
      </c>
      <c r="H2967" t="s">
        <v>11</v>
      </c>
    </row>
    <row r="2968" spans="1:8" x14ac:dyDescent="0.35">
      <c r="A2968" t="s">
        <v>61</v>
      </c>
      <c r="B2968" t="s">
        <v>85</v>
      </c>
      <c r="C2968" t="s">
        <v>1341</v>
      </c>
      <c r="D2968">
        <v>2</v>
      </c>
      <c r="E2968">
        <v>5</v>
      </c>
      <c r="F2968" t="s">
        <v>75</v>
      </c>
      <c r="G2968" t="s">
        <v>11</v>
      </c>
      <c r="H2968" t="s">
        <v>11</v>
      </c>
    </row>
    <row r="2969" spans="1:8" x14ac:dyDescent="0.35">
      <c r="A2969" t="s">
        <v>61</v>
      </c>
      <c r="B2969" t="s">
        <v>85</v>
      </c>
      <c r="C2969" t="s">
        <v>1560</v>
      </c>
      <c r="D2969">
        <v>2</v>
      </c>
      <c r="E2969">
        <v>5</v>
      </c>
      <c r="F2969" t="s">
        <v>75</v>
      </c>
      <c r="G2969" t="s">
        <v>11</v>
      </c>
      <c r="H2969" t="s">
        <v>11</v>
      </c>
    </row>
    <row r="2970" spans="1:8" x14ac:dyDescent="0.35">
      <c r="A2970" t="s">
        <v>61</v>
      </c>
      <c r="B2970" t="s">
        <v>85</v>
      </c>
      <c r="C2970" t="s">
        <v>1445</v>
      </c>
      <c r="D2970">
        <v>2</v>
      </c>
      <c r="E2970">
        <v>5</v>
      </c>
      <c r="F2970" t="s">
        <v>75</v>
      </c>
      <c r="G2970" t="s">
        <v>11</v>
      </c>
      <c r="H2970" t="s">
        <v>11</v>
      </c>
    </row>
    <row r="2971" spans="1:8" x14ac:dyDescent="0.35">
      <c r="A2971" t="s">
        <v>61</v>
      </c>
      <c r="B2971" t="s">
        <v>85</v>
      </c>
      <c r="C2971" t="s">
        <v>3085</v>
      </c>
      <c r="D2971">
        <v>3</v>
      </c>
      <c r="E2971">
        <v>4</v>
      </c>
      <c r="F2971" t="s">
        <v>105</v>
      </c>
      <c r="G2971" t="s">
        <v>11</v>
      </c>
      <c r="H2971" t="s">
        <v>11</v>
      </c>
    </row>
    <row r="2972" spans="1:8" x14ac:dyDescent="0.35">
      <c r="A2972" t="s">
        <v>61</v>
      </c>
      <c r="B2972" t="s">
        <v>85</v>
      </c>
      <c r="C2972" t="s">
        <v>3086</v>
      </c>
      <c r="D2972">
        <v>3</v>
      </c>
      <c r="E2972">
        <v>4</v>
      </c>
      <c r="F2972" t="s">
        <v>105</v>
      </c>
      <c r="G2972" t="s">
        <v>11</v>
      </c>
      <c r="H2972" t="s">
        <v>11</v>
      </c>
    </row>
    <row r="2973" spans="1:8" x14ac:dyDescent="0.35">
      <c r="A2973" t="s">
        <v>61</v>
      </c>
      <c r="B2973" t="s">
        <v>85</v>
      </c>
      <c r="C2973" t="s">
        <v>1348</v>
      </c>
      <c r="D2973">
        <v>3</v>
      </c>
      <c r="E2973">
        <v>4</v>
      </c>
      <c r="F2973" t="s">
        <v>105</v>
      </c>
      <c r="G2973" t="s">
        <v>11</v>
      </c>
      <c r="H2973" t="s">
        <v>11</v>
      </c>
    </row>
    <row r="2974" spans="1:8" x14ac:dyDescent="0.35">
      <c r="A2974" t="s">
        <v>61</v>
      </c>
      <c r="B2974" t="s">
        <v>85</v>
      </c>
      <c r="C2974" t="s">
        <v>2898</v>
      </c>
      <c r="D2974">
        <v>3</v>
      </c>
      <c r="E2974">
        <v>4</v>
      </c>
      <c r="F2974" t="s">
        <v>105</v>
      </c>
      <c r="G2974" t="s">
        <v>11</v>
      </c>
      <c r="H2974" t="s">
        <v>11</v>
      </c>
    </row>
    <row r="2975" spans="1:8" x14ac:dyDescent="0.35">
      <c r="A2975" t="s">
        <v>61</v>
      </c>
      <c r="B2975" t="s">
        <v>85</v>
      </c>
      <c r="C2975" t="s">
        <v>3087</v>
      </c>
      <c r="D2975">
        <v>3</v>
      </c>
      <c r="E2975">
        <v>4</v>
      </c>
      <c r="F2975" t="s">
        <v>105</v>
      </c>
      <c r="G2975" t="s">
        <v>11</v>
      </c>
      <c r="H2975" t="s">
        <v>11</v>
      </c>
    </row>
    <row r="2976" spans="1:8" x14ac:dyDescent="0.35">
      <c r="A2976" t="s">
        <v>61</v>
      </c>
      <c r="B2976" t="s">
        <v>85</v>
      </c>
      <c r="C2976" t="s">
        <v>3088</v>
      </c>
      <c r="D2976">
        <v>2</v>
      </c>
      <c r="E2976">
        <v>5</v>
      </c>
      <c r="F2976" t="s">
        <v>75</v>
      </c>
      <c r="G2976" t="s">
        <v>11</v>
      </c>
      <c r="H2976" t="s">
        <v>11</v>
      </c>
    </row>
    <row r="2977" spans="1:8" x14ac:dyDescent="0.35">
      <c r="A2977" t="s">
        <v>61</v>
      </c>
      <c r="B2977" t="s">
        <v>85</v>
      </c>
      <c r="C2977" t="s">
        <v>3089</v>
      </c>
      <c r="D2977">
        <v>2</v>
      </c>
      <c r="E2977">
        <v>5</v>
      </c>
      <c r="F2977" t="s">
        <v>75</v>
      </c>
      <c r="G2977" t="s">
        <v>11</v>
      </c>
      <c r="H2977" t="s">
        <v>11</v>
      </c>
    </row>
    <row r="2978" spans="1:8" x14ac:dyDescent="0.35">
      <c r="A2978" t="s">
        <v>61</v>
      </c>
      <c r="B2978" t="s">
        <v>85</v>
      </c>
      <c r="C2978" t="s">
        <v>1789</v>
      </c>
      <c r="D2978">
        <v>3</v>
      </c>
      <c r="E2978">
        <v>4</v>
      </c>
      <c r="F2978" t="s">
        <v>105</v>
      </c>
      <c r="G2978" t="s">
        <v>11</v>
      </c>
      <c r="H2978" t="s">
        <v>11</v>
      </c>
    </row>
    <row r="2979" spans="1:8" x14ac:dyDescent="0.35">
      <c r="A2979" t="s">
        <v>61</v>
      </c>
      <c r="B2979" t="s">
        <v>85</v>
      </c>
      <c r="C2979" t="s">
        <v>1453</v>
      </c>
      <c r="D2979">
        <v>2</v>
      </c>
      <c r="E2979">
        <v>5</v>
      </c>
      <c r="F2979" t="s">
        <v>75</v>
      </c>
      <c r="G2979" t="s">
        <v>11</v>
      </c>
      <c r="H2979" t="s">
        <v>11</v>
      </c>
    </row>
    <row r="2980" spans="1:8" x14ac:dyDescent="0.35">
      <c r="A2980" t="s">
        <v>61</v>
      </c>
      <c r="B2980" t="s">
        <v>85</v>
      </c>
      <c r="C2980" t="s">
        <v>1829</v>
      </c>
      <c r="D2980">
        <v>3</v>
      </c>
      <c r="E2980">
        <v>4</v>
      </c>
      <c r="F2980" t="s">
        <v>105</v>
      </c>
      <c r="G2980" t="s">
        <v>11</v>
      </c>
      <c r="H2980" t="s">
        <v>11</v>
      </c>
    </row>
    <row r="2981" spans="1:8" x14ac:dyDescent="0.35">
      <c r="A2981" t="s">
        <v>61</v>
      </c>
      <c r="B2981" t="s">
        <v>85</v>
      </c>
      <c r="C2981" t="s">
        <v>3090</v>
      </c>
      <c r="D2981">
        <v>1</v>
      </c>
      <c r="E2981">
        <v>6</v>
      </c>
      <c r="F2981" t="s">
        <v>75</v>
      </c>
      <c r="G2981" t="s">
        <v>11</v>
      </c>
      <c r="H2981" t="s">
        <v>11</v>
      </c>
    </row>
    <row r="2982" spans="1:8" x14ac:dyDescent="0.35">
      <c r="A2982" t="s">
        <v>61</v>
      </c>
      <c r="B2982" t="s">
        <v>85</v>
      </c>
      <c r="C2982" t="s">
        <v>3091</v>
      </c>
      <c r="D2982">
        <v>3</v>
      </c>
      <c r="E2982">
        <v>4</v>
      </c>
      <c r="F2982" t="s">
        <v>105</v>
      </c>
      <c r="G2982" t="s">
        <v>11</v>
      </c>
      <c r="H2982" t="s">
        <v>11</v>
      </c>
    </row>
    <row r="2983" spans="1:8" x14ac:dyDescent="0.35">
      <c r="A2983" t="s">
        <v>61</v>
      </c>
      <c r="B2983" t="s">
        <v>85</v>
      </c>
      <c r="C2983" t="s">
        <v>3092</v>
      </c>
      <c r="D2983">
        <v>1</v>
      </c>
      <c r="E2983">
        <v>6</v>
      </c>
      <c r="F2983" t="s">
        <v>75</v>
      </c>
      <c r="G2983" t="s">
        <v>11</v>
      </c>
      <c r="H2983" t="s">
        <v>11</v>
      </c>
    </row>
    <row r="2984" spans="1:8" x14ac:dyDescent="0.35">
      <c r="A2984" t="s">
        <v>61</v>
      </c>
      <c r="B2984" t="s">
        <v>85</v>
      </c>
      <c r="C2984" t="s">
        <v>1729</v>
      </c>
      <c r="D2984">
        <v>3</v>
      </c>
      <c r="E2984">
        <v>4</v>
      </c>
      <c r="F2984" t="s">
        <v>105</v>
      </c>
      <c r="G2984" t="s">
        <v>11</v>
      </c>
      <c r="H2984" t="s">
        <v>11</v>
      </c>
    </row>
    <row r="2985" spans="1:8" x14ac:dyDescent="0.35">
      <c r="A2985" t="s">
        <v>61</v>
      </c>
      <c r="B2985" t="s">
        <v>85</v>
      </c>
      <c r="C2985" t="s">
        <v>1586</v>
      </c>
      <c r="D2985">
        <v>3</v>
      </c>
      <c r="E2985">
        <v>4</v>
      </c>
      <c r="F2985" t="s">
        <v>105</v>
      </c>
      <c r="G2985" t="s">
        <v>11</v>
      </c>
      <c r="H2985" t="s">
        <v>11</v>
      </c>
    </row>
    <row r="2986" spans="1:8" x14ac:dyDescent="0.35">
      <c r="A2986" t="s">
        <v>61</v>
      </c>
      <c r="B2986" t="s">
        <v>85</v>
      </c>
      <c r="C2986" t="s">
        <v>3093</v>
      </c>
      <c r="D2986">
        <v>3</v>
      </c>
      <c r="E2986">
        <v>4</v>
      </c>
      <c r="F2986" t="s">
        <v>105</v>
      </c>
      <c r="G2986" t="s">
        <v>11</v>
      </c>
      <c r="H2986" t="s">
        <v>11</v>
      </c>
    </row>
    <row r="2987" spans="1:8" x14ac:dyDescent="0.35">
      <c r="A2987" t="s">
        <v>61</v>
      </c>
      <c r="B2987" t="s">
        <v>85</v>
      </c>
      <c r="C2987" t="s">
        <v>3094</v>
      </c>
      <c r="D2987">
        <v>1</v>
      </c>
      <c r="E2987">
        <v>5</v>
      </c>
      <c r="F2987" t="s">
        <v>75</v>
      </c>
      <c r="G2987" t="s">
        <v>11</v>
      </c>
      <c r="H2987" t="s">
        <v>11</v>
      </c>
    </row>
    <row r="2988" spans="1:8" x14ac:dyDescent="0.35">
      <c r="A2988" t="s">
        <v>61</v>
      </c>
      <c r="B2988" t="s">
        <v>85</v>
      </c>
      <c r="C2988" t="s">
        <v>3095</v>
      </c>
      <c r="D2988">
        <v>3</v>
      </c>
      <c r="E2988">
        <v>4</v>
      </c>
      <c r="F2988" t="s">
        <v>105</v>
      </c>
      <c r="G2988" t="s">
        <v>11</v>
      </c>
      <c r="H2988" t="s">
        <v>11</v>
      </c>
    </row>
    <row r="2989" spans="1:8" x14ac:dyDescent="0.35">
      <c r="A2989" t="s">
        <v>61</v>
      </c>
      <c r="B2989" t="s">
        <v>85</v>
      </c>
      <c r="C2989" t="s">
        <v>3096</v>
      </c>
      <c r="D2989">
        <v>1</v>
      </c>
      <c r="E2989">
        <v>5</v>
      </c>
      <c r="F2989" t="s">
        <v>75</v>
      </c>
      <c r="G2989" t="s">
        <v>11</v>
      </c>
      <c r="H2989" t="s">
        <v>11</v>
      </c>
    </row>
    <row r="2990" spans="1:8" x14ac:dyDescent="0.35">
      <c r="A2990" t="s">
        <v>61</v>
      </c>
      <c r="B2990" t="s">
        <v>85</v>
      </c>
      <c r="C2990" t="s">
        <v>1998</v>
      </c>
      <c r="D2990">
        <v>1</v>
      </c>
      <c r="E2990">
        <v>6</v>
      </c>
      <c r="F2990" t="s">
        <v>75</v>
      </c>
      <c r="G2990" t="s">
        <v>11</v>
      </c>
      <c r="H2990" t="s">
        <v>11</v>
      </c>
    </row>
    <row r="2991" spans="1:8" x14ac:dyDescent="0.35">
      <c r="A2991" t="s">
        <v>61</v>
      </c>
      <c r="B2991" t="s">
        <v>85</v>
      </c>
      <c r="C2991" t="s">
        <v>2418</v>
      </c>
      <c r="D2991">
        <v>3</v>
      </c>
      <c r="E2991">
        <v>4</v>
      </c>
      <c r="F2991" t="s">
        <v>105</v>
      </c>
      <c r="G2991" t="s">
        <v>11</v>
      </c>
      <c r="H2991" t="s">
        <v>11</v>
      </c>
    </row>
    <row r="2992" spans="1:8" x14ac:dyDescent="0.35">
      <c r="A2992" t="s">
        <v>61</v>
      </c>
      <c r="B2992" t="s">
        <v>85</v>
      </c>
      <c r="C2992" t="s">
        <v>3097</v>
      </c>
      <c r="D2992">
        <v>3</v>
      </c>
      <c r="E2992">
        <v>4</v>
      </c>
      <c r="F2992" t="s">
        <v>105</v>
      </c>
      <c r="G2992" t="s">
        <v>11</v>
      </c>
      <c r="H2992" t="s">
        <v>11</v>
      </c>
    </row>
    <row r="2993" spans="1:8" x14ac:dyDescent="0.35">
      <c r="A2993" t="s">
        <v>61</v>
      </c>
      <c r="B2993" t="s">
        <v>85</v>
      </c>
      <c r="C2993" t="s">
        <v>3098</v>
      </c>
      <c r="D2993">
        <v>2</v>
      </c>
      <c r="E2993">
        <v>5</v>
      </c>
      <c r="F2993" t="s">
        <v>75</v>
      </c>
      <c r="G2993" t="s">
        <v>11</v>
      </c>
      <c r="H2993" t="s">
        <v>11</v>
      </c>
    </row>
    <row r="2994" spans="1:8" x14ac:dyDescent="0.35">
      <c r="A2994" t="s">
        <v>61</v>
      </c>
      <c r="B2994" t="s">
        <v>85</v>
      </c>
      <c r="C2994" t="s">
        <v>3099</v>
      </c>
      <c r="D2994">
        <v>3</v>
      </c>
      <c r="E2994">
        <v>4</v>
      </c>
      <c r="F2994" t="s">
        <v>105</v>
      </c>
      <c r="G2994" t="s">
        <v>11</v>
      </c>
      <c r="H2994" t="s">
        <v>11</v>
      </c>
    </row>
    <row r="2995" spans="1:8" x14ac:dyDescent="0.35">
      <c r="A2995" t="s">
        <v>61</v>
      </c>
      <c r="B2995" t="s">
        <v>85</v>
      </c>
      <c r="C2995" t="s">
        <v>3100</v>
      </c>
      <c r="D2995">
        <v>2</v>
      </c>
      <c r="E2995">
        <v>5</v>
      </c>
      <c r="F2995" t="s">
        <v>75</v>
      </c>
      <c r="G2995" t="s">
        <v>11</v>
      </c>
      <c r="H2995" t="s">
        <v>11</v>
      </c>
    </row>
    <row r="2996" spans="1:8" x14ac:dyDescent="0.35">
      <c r="A2996" t="s">
        <v>61</v>
      </c>
      <c r="B2996" t="s">
        <v>85</v>
      </c>
      <c r="C2996" t="s">
        <v>3101</v>
      </c>
      <c r="D2996">
        <v>2</v>
      </c>
      <c r="E2996">
        <v>5</v>
      </c>
      <c r="F2996" t="s">
        <v>75</v>
      </c>
      <c r="G2996" t="s">
        <v>11</v>
      </c>
      <c r="H2996" t="s">
        <v>11</v>
      </c>
    </row>
    <row r="2997" spans="1:8" x14ac:dyDescent="0.35">
      <c r="A2997" t="s">
        <v>63</v>
      </c>
      <c r="B2997" t="s">
        <v>103</v>
      </c>
      <c r="C2997" t="s">
        <v>1314</v>
      </c>
      <c r="D2997">
        <v>2</v>
      </c>
      <c r="E2997">
        <v>5</v>
      </c>
      <c r="F2997" t="s">
        <v>7</v>
      </c>
      <c r="G2997" t="s">
        <v>11</v>
      </c>
      <c r="H2997" t="s">
        <v>11</v>
      </c>
    </row>
    <row r="2998" spans="1:8" x14ac:dyDescent="0.35">
      <c r="A2998" t="s">
        <v>63</v>
      </c>
      <c r="B2998" t="s">
        <v>103</v>
      </c>
      <c r="C2998" t="s">
        <v>2730</v>
      </c>
      <c r="D2998">
        <v>1</v>
      </c>
      <c r="E2998">
        <v>4</v>
      </c>
      <c r="F2998" t="s">
        <v>7</v>
      </c>
      <c r="G2998" t="s">
        <v>11</v>
      </c>
      <c r="H2998" t="s">
        <v>11</v>
      </c>
    </row>
    <row r="2999" spans="1:8" x14ac:dyDescent="0.35">
      <c r="A2999" t="s">
        <v>63</v>
      </c>
      <c r="B2999" t="s">
        <v>103</v>
      </c>
      <c r="C2999" t="s">
        <v>1428</v>
      </c>
      <c r="D2999">
        <v>3</v>
      </c>
      <c r="E2999">
        <v>4</v>
      </c>
      <c r="F2999" t="s">
        <v>7</v>
      </c>
      <c r="G2999" t="s">
        <v>11</v>
      </c>
      <c r="H2999" t="s">
        <v>11</v>
      </c>
    </row>
    <row r="3000" spans="1:8" x14ac:dyDescent="0.35">
      <c r="A3000" t="s">
        <v>63</v>
      </c>
      <c r="B3000" t="s">
        <v>103</v>
      </c>
      <c r="C3000" t="s">
        <v>3102</v>
      </c>
      <c r="D3000">
        <v>2</v>
      </c>
      <c r="E3000">
        <v>4</v>
      </c>
      <c r="F3000" t="s">
        <v>7</v>
      </c>
      <c r="G3000" t="s">
        <v>11</v>
      </c>
      <c r="H3000" t="s">
        <v>11</v>
      </c>
    </row>
    <row r="3001" spans="1:8" x14ac:dyDescent="0.35">
      <c r="A3001" t="s">
        <v>63</v>
      </c>
      <c r="B3001" t="s">
        <v>103</v>
      </c>
      <c r="C3001" t="s">
        <v>3103</v>
      </c>
      <c r="D3001">
        <v>1</v>
      </c>
      <c r="E3001">
        <v>5</v>
      </c>
      <c r="F3001" t="s">
        <v>7</v>
      </c>
      <c r="G3001" t="s">
        <v>11</v>
      </c>
      <c r="H3001" t="s">
        <v>11</v>
      </c>
    </row>
    <row r="3002" spans="1:8" x14ac:dyDescent="0.35">
      <c r="A3002" t="s">
        <v>63</v>
      </c>
      <c r="B3002" t="s">
        <v>103</v>
      </c>
      <c r="C3002" t="s">
        <v>3104</v>
      </c>
      <c r="D3002">
        <v>2</v>
      </c>
      <c r="E3002">
        <v>4</v>
      </c>
      <c r="F3002" t="s">
        <v>7</v>
      </c>
      <c r="G3002" t="s">
        <v>11</v>
      </c>
      <c r="H3002" t="s">
        <v>11</v>
      </c>
    </row>
    <row r="3003" spans="1:8" x14ac:dyDescent="0.35">
      <c r="A3003" t="s">
        <v>63</v>
      </c>
      <c r="B3003" t="s">
        <v>103</v>
      </c>
      <c r="C3003" t="s">
        <v>1319</v>
      </c>
      <c r="D3003">
        <v>2</v>
      </c>
      <c r="E3003">
        <v>4</v>
      </c>
      <c r="F3003" t="s">
        <v>7</v>
      </c>
      <c r="G3003" t="s">
        <v>11</v>
      </c>
      <c r="H3003" t="s">
        <v>11</v>
      </c>
    </row>
    <row r="3004" spans="1:8" x14ac:dyDescent="0.35">
      <c r="A3004" t="s">
        <v>63</v>
      </c>
      <c r="B3004" t="s">
        <v>103</v>
      </c>
      <c r="C3004" t="s">
        <v>1325</v>
      </c>
      <c r="D3004">
        <v>2</v>
      </c>
      <c r="E3004">
        <v>4</v>
      </c>
      <c r="F3004" t="s">
        <v>7</v>
      </c>
      <c r="G3004" t="s">
        <v>11</v>
      </c>
      <c r="H3004" t="s">
        <v>11</v>
      </c>
    </row>
    <row r="3005" spans="1:8" x14ac:dyDescent="0.35">
      <c r="A3005" t="s">
        <v>63</v>
      </c>
      <c r="B3005" t="s">
        <v>103</v>
      </c>
      <c r="C3005" t="s">
        <v>3105</v>
      </c>
      <c r="D3005">
        <v>2</v>
      </c>
      <c r="E3005">
        <v>5</v>
      </c>
      <c r="F3005" t="s">
        <v>7</v>
      </c>
      <c r="G3005" t="s">
        <v>11</v>
      </c>
      <c r="H3005" t="s">
        <v>11</v>
      </c>
    </row>
    <row r="3006" spans="1:8" x14ac:dyDescent="0.35">
      <c r="A3006" t="s">
        <v>63</v>
      </c>
      <c r="B3006" t="s">
        <v>103</v>
      </c>
      <c r="C3006" t="s">
        <v>1340</v>
      </c>
      <c r="D3006">
        <v>2</v>
      </c>
      <c r="E3006">
        <v>5</v>
      </c>
      <c r="F3006" t="s">
        <v>7</v>
      </c>
      <c r="G3006" t="s">
        <v>11</v>
      </c>
      <c r="H3006" t="s">
        <v>11</v>
      </c>
    </row>
    <row r="3007" spans="1:8" x14ac:dyDescent="0.35">
      <c r="A3007" t="s">
        <v>63</v>
      </c>
      <c r="B3007" t="s">
        <v>103</v>
      </c>
      <c r="C3007" t="s">
        <v>1697</v>
      </c>
      <c r="D3007">
        <v>2</v>
      </c>
      <c r="E3007">
        <v>4</v>
      </c>
      <c r="F3007" t="s">
        <v>7</v>
      </c>
      <c r="G3007" t="s">
        <v>11</v>
      </c>
      <c r="H3007" t="s">
        <v>11</v>
      </c>
    </row>
    <row r="3008" spans="1:8" x14ac:dyDescent="0.35">
      <c r="A3008" t="s">
        <v>63</v>
      </c>
      <c r="B3008" t="s">
        <v>103</v>
      </c>
      <c r="C3008" t="s">
        <v>1445</v>
      </c>
      <c r="D3008">
        <v>1</v>
      </c>
      <c r="E3008">
        <v>5</v>
      </c>
      <c r="F3008" t="s">
        <v>7</v>
      </c>
      <c r="G3008" t="s">
        <v>11</v>
      </c>
      <c r="H3008" t="s">
        <v>11</v>
      </c>
    </row>
    <row r="3009" spans="1:8" x14ac:dyDescent="0.35">
      <c r="A3009" t="s">
        <v>63</v>
      </c>
      <c r="B3009" t="s">
        <v>103</v>
      </c>
      <c r="C3009" t="s">
        <v>3106</v>
      </c>
      <c r="D3009">
        <v>1</v>
      </c>
      <c r="E3009">
        <v>5</v>
      </c>
      <c r="F3009" t="s">
        <v>7</v>
      </c>
      <c r="G3009" t="s">
        <v>11</v>
      </c>
      <c r="H3009" t="s">
        <v>11</v>
      </c>
    </row>
    <row r="3010" spans="1:8" x14ac:dyDescent="0.35">
      <c r="A3010" t="s">
        <v>63</v>
      </c>
      <c r="B3010" t="s">
        <v>103</v>
      </c>
      <c r="C3010" t="s">
        <v>2141</v>
      </c>
      <c r="D3010">
        <v>1</v>
      </c>
      <c r="E3010">
        <v>5</v>
      </c>
      <c r="F3010" t="s">
        <v>7</v>
      </c>
      <c r="G3010" t="s">
        <v>11</v>
      </c>
      <c r="H3010" t="s">
        <v>11</v>
      </c>
    </row>
    <row r="3011" spans="1:8" x14ac:dyDescent="0.35">
      <c r="A3011" t="s">
        <v>63</v>
      </c>
      <c r="B3011" t="s">
        <v>103</v>
      </c>
      <c r="C3011" t="s">
        <v>1705</v>
      </c>
      <c r="D3011">
        <v>1</v>
      </c>
      <c r="E3011">
        <v>5</v>
      </c>
      <c r="F3011" t="s">
        <v>7</v>
      </c>
      <c r="G3011" t="s">
        <v>11</v>
      </c>
      <c r="H3011" t="s">
        <v>11</v>
      </c>
    </row>
    <row r="3012" spans="1:8" x14ac:dyDescent="0.35">
      <c r="A3012" t="s">
        <v>63</v>
      </c>
      <c r="B3012" t="s">
        <v>103</v>
      </c>
      <c r="C3012" t="s">
        <v>3107</v>
      </c>
      <c r="D3012">
        <v>1</v>
      </c>
      <c r="E3012">
        <v>5</v>
      </c>
      <c r="F3012" t="s">
        <v>7</v>
      </c>
      <c r="G3012" t="s">
        <v>11</v>
      </c>
      <c r="H3012" t="s">
        <v>11</v>
      </c>
    </row>
    <row r="3013" spans="1:8" x14ac:dyDescent="0.35">
      <c r="A3013" t="s">
        <v>63</v>
      </c>
      <c r="B3013" t="s">
        <v>103</v>
      </c>
      <c r="C3013" t="s">
        <v>1864</v>
      </c>
      <c r="D3013">
        <v>2</v>
      </c>
      <c r="E3013">
        <v>5</v>
      </c>
      <c r="F3013" t="s">
        <v>7</v>
      </c>
      <c r="G3013" t="s">
        <v>11</v>
      </c>
      <c r="H3013" t="s">
        <v>11</v>
      </c>
    </row>
    <row r="3014" spans="1:8" x14ac:dyDescent="0.35">
      <c r="A3014" t="s">
        <v>63</v>
      </c>
      <c r="B3014" t="s">
        <v>103</v>
      </c>
      <c r="C3014" t="s">
        <v>1347</v>
      </c>
      <c r="D3014">
        <v>2</v>
      </c>
      <c r="E3014">
        <v>4</v>
      </c>
      <c r="F3014" t="s">
        <v>7</v>
      </c>
      <c r="G3014" t="s">
        <v>11</v>
      </c>
      <c r="H3014" t="s">
        <v>11</v>
      </c>
    </row>
    <row r="3015" spans="1:8" x14ac:dyDescent="0.35">
      <c r="A3015" t="s">
        <v>63</v>
      </c>
      <c r="B3015" t="s">
        <v>103</v>
      </c>
      <c r="C3015" t="s">
        <v>1348</v>
      </c>
      <c r="D3015">
        <v>1</v>
      </c>
      <c r="E3015">
        <v>4</v>
      </c>
      <c r="F3015" t="s">
        <v>7</v>
      </c>
      <c r="G3015" t="s">
        <v>11</v>
      </c>
      <c r="H3015" t="s">
        <v>11</v>
      </c>
    </row>
    <row r="3016" spans="1:8" x14ac:dyDescent="0.35">
      <c r="A3016" t="s">
        <v>63</v>
      </c>
      <c r="B3016" t="s">
        <v>103</v>
      </c>
      <c r="C3016" t="s">
        <v>3108</v>
      </c>
      <c r="D3016">
        <v>3</v>
      </c>
      <c r="E3016">
        <v>4</v>
      </c>
      <c r="F3016" t="s">
        <v>7</v>
      </c>
      <c r="G3016" t="s">
        <v>11</v>
      </c>
      <c r="H3016" t="s">
        <v>11</v>
      </c>
    </row>
    <row r="3017" spans="1:8" x14ac:dyDescent="0.35">
      <c r="A3017" t="s">
        <v>63</v>
      </c>
      <c r="B3017" t="s">
        <v>103</v>
      </c>
      <c r="C3017" t="s">
        <v>1789</v>
      </c>
      <c r="D3017">
        <v>2</v>
      </c>
      <c r="E3017">
        <v>5</v>
      </c>
      <c r="F3017" t="s">
        <v>7</v>
      </c>
      <c r="G3017" t="s">
        <v>11</v>
      </c>
      <c r="H3017" t="s">
        <v>11</v>
      </c>
    </row>
    <row r="3018" spans="1:8" x14ac:dyDescent="0.35">
      <c r="A3018" t="s">
        <v>63</v>
      </c>
      <c r="B3018" t="s">
        <v>103</v>
      </c>
      <c r="C3018" t="s">
        <v>1453</v>
      </c>
      <c r="D3018">
        <v>2</v>
      </c>
      <c r="E3018">
        <v>4</v>
      </c>
      <c r="F3018" t="s">
        <v>7</v>
      </c>
      <c r="G3018" t="s">
        <v>11</v>
      </c>
      <c r="H3018" t="s">
        <v>11</v>
      </c>
    </row>
    <row r="3019" spans="1:8" x14ac:dyDescent="0.35">
      <c r="A3019" t="s">
        <v>63</v>
      </c>
      <c r="B3019" t="s">
        <v>103</v>
      </c>
      <c r="C3019" t="s">
        <v>1455</v>
      </c>
      <c r="D3019">
        <v>3</v>
      </c>
      <c r="E3019">
        <v>4</v>
      </c>
      <c r="F3019" t="s">
        <v>7</v>
      </c>
      <c r="G3019" t="s">
        <v>11</v>
      </c>
      <c r="H3019" t="s">
        <v>11</v>
      </c>
    </row>
    <row r="3020" spans="1:8" x14ac:dyDescent="0.35">
      <c r="A3020" t="s">
        <v>63</v>
      </c>
      <c r="B3020" t="s">
        <v>103</v>
      </c>
      <c r="C3020" t="s">
        <v>1358</v>
      </c>
      <c r="D3020">
        <v>2</v>
      </c>
      <c r="E3020">
        <v>5</v>
      </c>
      <c r="F3020" t="s">
        <v>7</v>
      </c>
      <c r="G3020" t="s">
        <v>11</v>
      </c>
      <c r="H3020" t="s">
        <v>11</v>
      </c>
    </row>
    <row r="3021" spans="1:8" x14ac:dyDescent="0.35">
      <c r="A3021" t="s">
        <v>63</v>
      </c>
      <c r="B3021" t="s">
        <v>103</v>
      </c>
      <c r="C3021" t="s">
        <v>1359</v>
      </c>
      <c r="D3021">
        <v>1</v>
      </c>
      <c r="E3021">
        <v>5</v>
      </c>
      <c r="F3021" t="s">
        <v>7</v>
      </c>
      <c r="G3021" t="s">
        <v>11</v>
      </c>
      <c r="H3021" t="s">
        <v>11</v>
      </c>
    </row>
    <row r="3022" spans="1:8" x14ac:dyDescent="0.35">
      <c r="A3022" t="s">
        <v>63</v>
      </c>
      <c r="B3022" t="s">
        <v>103</v>
      </c>
      <c r="C3022" t="s">
        <v>1829</v>
      </c>
      <c r="D3022">
        <v>2</v>
      </c>
      <c r="E3022">
        <v>4</v>
      </c>
      <c r="F3022" t="s">
        <v>7</v>
      </c>
      <c r="G3022" t="s">
        <v>11</v>
      </c>
      <c r="H3022" t="s">
        <v>11</v>
      </c>
    </row>
    <row r="3023" spans="1:8" x14ac:dyDescent="0.35">
      <c r="A3023" t="s">
        <v>63</v>
      </c>
      <c r="B3023" t="s">
        <v>103</v>
      </c>
      <c r="C3023" t="s">
        <v>2539</v>
      </c>
      <c r="D3023">
        <v>3</v>
      </c>
      <c r="E3023">
        <v>4</v>
      </c>
      <c r="F3023" t="s">
        <v>7</v>
      </c>
      <c r="G3023" t="s">
        <v>11</v>
      </c>
      <c r="H3023" t="s">
        <v>11</v>
      </c>
    </row>
    <row r="3024" spans="1:8" x14ac:dyDescent="0.35">
      <c r="A3024" t="s">
        <v>63</v>
      </c>
      <c r="B3024" t="s">
        <v>103</v>
      </c>
      <c r="C3024" t="s">
        <v>1835</v>
      </c>
      <c r="D3024">
        <v>1</v>
      </c>
      <c r="E3024">
        <v>4</v>
      </c>
      <c r="F3024" t="s">
        <v>7</v>
      </c>
      <c r="G3024" t="s">
        <v>11</v>
      </c>
      <c r="H3024" t="s">
        <v>11</v>
      </c>
    </row>
    <row r="3025" spans="1:8" x14ac:dyDescent="0.35">
      <c r="A3025" t="s">
        <v>63</v>
      </c>
      <c r="B3025" t="s">
        <v>103</v>
      </c>
      <c r="C3025" t="s">
        <v>1572</v>
      </c>
      <c r="D3025">
        <v>1</v>
      </c>
      <c r="E3025">
        <v>5</v>
      </c>
      <c r="F3025" t="s">
        <v>7</v>
      </c>
      <c r="G3025" t="s">
        <v>11</v>
      </c>
      <c r="H3025" t="s">
        <v>11</v>
      </c>
    </row>
    <row r="3026" spans="1:8" x14ac:dyDescent="0.35">
      <c r="A3026" t="s">
        <v>63</v>
      </c>
      <c r="B3026" t="s">
        <v>103</v>
      </c>
      <c r="C3026" t="s">
        <v>3109</v>
      </c>
      <c r="D3026">
        <v>3</v>
      </c>
      <c r="E3026">
        <v>4</v>
      </c>
      <c r="F3026" t="s">
        <v>7</v>
      </c>
      <c r="G3026" t="s">
        <v>11</v>
      </c>
      <c r="H3026" t="s">
        <v>11</v>
      </c>
    </row>
    <row r="3027" spans="1:8" x14ac:dyDescent="0.35">
      <c r="A3027" t="s">
        <v>63</v>
      </c>
      <c r="B3027" t="s">
        <v>103</v>
      </c>
      <c r="C3027" t="s">
        <v>3110</v>
      </c>
      <c r="D3027">
        <v>1</v>
      </c>
      <c r="E3027">
        <v>5</v>
      </c>
      <c r="F3027" t="s">
        <v>7</v>
      </c>
      <c r="G3027" t="s">
        <v>11</v>
      </c>
      <c r="H3027" t="s">
        <v>11</v>
      </c>
    </row>
    <row r="3028" spans="1:8" x14ac:dyDescent="0.35">
      <c r="A3028" t="s">
        <v>63</v>
      </c>
      <c r="B3028" t="s">
        <v>103</v>
      </c>
      <c r="C3028" t="s">
        <v>1361</v>
      </c>
      <c r="D3028">
        <v>1</v>
      </c>
      <c r="E3028">
        <v>4</v>
      </c>
      <c r="F3028" t="s">
        <v>7</v>
      </c>
      <c r="G3028" t="s">
        <v>11</v>
      </c>
      <c r="H3028" t="s">
        <v>11</v>
      </c>
    </row>
    <row r="3029" spans="1:8" x14ac:dyDescent="0.35">
      <c r="A3029" t="s">
        <v>63</v>
      </c>
      <c r="B3029" t="s">
        <v>103</v>
      </c>
      <c r="C3029" t="s">
        <v>1363</v>
      </c>
      <c r="D3029">
        <v>1</v>
      </c>
      <c r="E3029">
        <v>4</v>
      </c>
      <c r="F3029" t="s">
        <v>7</v>
      </c>
      <c r="G3029" t="s">
        <v>11</v>
      </c>
      <c r="H3029" t="s">
        <v>11</v>
      </c>
    </row>
    <row r="3030" spans="1:8" x14ac:dyDescent="0.35">
      <c r="A3030" t="s">
        <v>63</v>
      </c>
      <c r="B3030" t="s">
        <v>103</v>
      </c>
      <c r="C3030" t="s">
        <v>2049</v>
      </c>
      <c r="D3030">
        <v>2</v>
      </c>
      <c r="E3030">
        <v>5</v>
      </c>
      <c r="F3030" t="s">
        <v>7</v>
      </c>
      <c r="G3030" t="s">
        <v>11</v>
      </c>
      <c r="H3030" t="s">
        <v>11</v>
      </c>
    </row>
    <row r="3031" spans="1:8" x14ac:dyDescent="0.35">
      <c r="A3031" t="s">
        <v>63</v>
      </c>
      <c r="B3031" t="s">
        <v>103</v>
      </c>
      <c r="C3031" t="s">
        <v>1874</v>
      </c>
      <c r="D3031">
        <v>1</v>
      </c>
      <c r="E3031">
        <v>5</v>
      </c>
      <c r="F3031" t="s">
        <v>7</v>
      </c>
      <c r="G3031" t="s">
        <v>11</v>
      </c>
      <c r="H3031" t="s">
        <v>11</v>
      </c>
    </row>
    <row r="3032" spans="1:8" x14ac:dyDescent="0.35">
      <c r="A3032" t="s">
        <v>63</v>
      </c>
      <c r="B3032" t="s">
        <v>103</v>
      </c>
      <c r="C3032" t="s">
        <v>2052</v>
      </c>
      <c r="D3032">
        <v>1</v>
      </c>
      <c r="E3032">
        <v>5</v>
      </c>
      <c r="F3032" t="s">
        <v>7</v>
      </c>
      <c r="G3032" t="s">
        <v>11</v>
      </c>
      <c r="H3032" t="s">
        <v>11</v>
      </c>
    </row>
    <row r="3033" spans="1:8" x14ac:dyDescent="0.35">
      <c r="A3033" t="s">
        <v>63</v>
      </c>
      <c r="B3033" t="s">
        <v>103</v>
      </c>
      <c r="C3033" t="s">
        <v>3111</v>
      </c>
      <c r="D3033">
        <v>2</v>
      </c>
      <c r="E3033">
        <v>4</v>
      </c>
      <c r="F3033" t="s">
        <v>7</v>
      </c>
      <c r="G3033" t="s">
        <v>11</v>
      </c>
      <c r="H3033" t="s">
        <v>11</v>
      </c>
    </row>
    <row r="3034" spans="1:8" x14ac:dyDescent="0.35">
      <c r="A3034" t="s">
        <v>63</v>
      </c>
      <c r="B3034" t="s">
        <v>103</v>
      </c>
      <c r="C3034" t="s">
        <v>1928</v>
      </c>
      <c r="D3034">
        <v>1</v>
      </c>
      <c r="E3034">
        <v>5</v>
      </c>
      <c r="F3034" t="s">
        <v>7</v>
      </c>
      <c r="G3034" t="s">
        <v>11</v>
      </c>
      <c r="H3034" t="s">
        <v>11</v>
      </c>
    </row>
    <row r="3035" spans="1:8" x14ac:dyDescent="0.35">
      <c r="A3035" t="s">
        <v>63</v>
      </c>
      <c r="B3035" t="s">
        <v>103</v>
      </c>
      <c r="C3035" t="s">
        <v>3112</v>
      </c>
      <c r="D3035">
        <v>1</v>
      </c>
      <c r="E3035">
        <v>5</v>
      </c>
      <c r="F3035" t="s">
        <v>7</v>
      </c>
      <c r="G3035" t="s">
        <v>11</v>
      </c>
      <c r="H3035" t="s">
        <v>11</v>
      </c>
    </row>
    <row r="3036" spans="1:8" x14ac:dyDescent="0.35">
      <c r="A3036" t="s">
        <v>63</v>
      </c>
      <c r="B3036" t="s">
        <v>103</v>
      </c>
      <c r="C3036" t="s">
        <v>1642</v>
      </c>
      <c r="D3036">
        <v>2</v>
      </c>
      <c r="E3036">
        <v>4</v>
      </c>
      <c r="F3036" t="s">
        <v>7</v>
      </c>
      <c r="G3036" t="s">
        <v>11</v>
      </c>
      <c r="H3036" t="s">
        <v>11</v>
      </c>
    </row>
    <row r="3037" spans="1:8" x14ac:dyDescent="0.35">
      <c r="A3037" t="s">
        <v>63</v>
      </c>
      <c r="B3037" t="s">
        <v>103</v>
      </c>
      <c r="C3037" t="s">
        <v>3113</v>
      </c>
      <c r="D3037">
        <v>2</v>
      </c>
      <c r="E3037">
        <v>5</v>
      </c>
      <c r="F3037" t="s">
        <v>7</v>
      </c>
      <c r="G3037" t="s">
        <v>11</v>
      </c>
      <c r="H3037" t="s">
        <v>11</v>
      </c>
    </row>
    <row r="3038" spans="1:8" x14ac:dyDescent="0.35">
      <c r="A3038" t="s">
        <v>63</v>
      </c>
      <c r="B3038" t="s">
        <v>103</v>
      </c>
      <c r="C3038" t="s">
        <v>1367</v>
      </c>
      <c r="D3038">
        <v>2</v>
      </c>
      <c r="E3038">
        <v>5</v>
      </c>
      <c r="F3038" t="s">
        <v>7</v>
      </c>
      <c r="G3038" t="s">
        <v>11</v>
      </c>
      <c r="H3038" t="s">
        <v>11</v>
      </c>
    </row>
    <row r="3039" spans="1:8" x14ac:dyDescent="0.35">
      <c r="A3039" t="s">
        <v>63</v>
      </c>
      <c r="B3039" t="s">
        <v>103</v>
      </c>
      <c r="C3039" t="s">
        <v>3114</v>
      </c>
      <c r="D3039">
        <v>2</v>
      </c>
      <c r="E3039">
        <v>4</v>
      </c>
      <c r="F3039" t="s">
        <v>7</v>
      </c>
      <c r="G3039" t="s">
        <v>11</v>
      </c>
      <c r="H3039" t="s">
        <v>11</v>
      </c>
    </row>
    <row r="3040" spans="1:8" x14ac:dyDescent="0.35">
      <c r="A3040" t="s">
        <v>63</v>
      </c>
      <c r="B3040" t="s">
        <v>103</v>
      </c>
      <c r="C3040" t="s">
        <v>2810</v>
      </c>
      <c r="D3040">
        <v>2</v>
      </c>
      <c r="E3040">
        <v>4</v>
      </c>
      <c r="F3040" t="s">
        <v>7</v>
      </c>
      <c r="G3040" t="s">
        <v>11</v>
      </c>
      <c r="H3040" t="s">
        <v>11</v>
      </c>
    </row>
    <row r="3041" spans="1:8" x14ac:dyDescent="0.35">
      <c r="A3041" t="s">
        <v>63</v>
      </c>
      <c r="B3041" t="s">
        <v>103</v>
      </c>
      <c r="C3041" t="s">
        <v>3115</v>
      </c>
      <c r="D3041">
        <v>1</v>
      </c>
      <c r="E3041">
        <v>5</v>
      </c>
      <c r="F3041" t="s">
        <v>7</v>
      </c>
      <c r="G3041" t="s">
        <v>11</v>
      </c>
      <c r="H3041" t="s">
        <v>11</v>
      </c>
    </row>
    <row r="3042" spans="1:8" x14ac:dyDescent="0.35">
      <c r="A3042" t="s">
        <v>63</v>
      </c>
      <c r="B3042" t="s">
        <v>103</v>
      </c>
      <c r="C3042" t="s">
        <v>1649</v>
      </c>
      <c r="D3042">
        <v>2</v>
      </c>
      <c r="E3042">
        <v>5</v>
      </c>
      <c r="F3042" t="s">
        <v>7</v>
      </c>
      <c r="G3042" t="s">
        <v>11</v>
      </c>
      <c r="H3042" t="s">
        <v>11</v>
      </c>
    </row>
    <row r="3043" spans="1:8" x14ac:dyDescent="0.35">
      <c r="A3043" t="s">
        <v>63</v>
      </c>
      <c r="B3043" t="s">
        <v>103</v>
      </c>
      <c r="C3043" t="s">
        <v>3116</v>
      </c>
      <c r="D3043">
        <v>2</v>
      </c>
      <c r="E3043">
        <v>5</v>
      </c>
      <c r="F3043" t="s">
        <v>7</v>
      </c>
      <c r="G3043" t="s">
        <v>11</v>
      </c>
      <c r="H3043" t="s">
        <v>11</v>
      </c>
    </row>
    <row r="3044" spans="1:8" x14ac:dyDescent="0.35">
      <c r="A3044" t="s">
        <v>63</v>
      </c>
      <c r="B3044" t="s">
        <v>103</v>
      </c>
      <c r="C3044" t="s">
        <v>2956</v>
      </c>
      <c r="D3044">
        <v>2</v>
      </c>
      <c r="E3044">
        <v>4</v>
      </c>
      <c r="F3044" t="s">
        <v>7</v>
      </c>
      <c r="G3044" t="s">
        <v>11</v>
      </c>
      <c r="H3044" t="s">
        <v>11</v>
      </c>
    </row>
    <row r="3045" spans="1:8" x14ac:dyDescent="0.35">
      <c r="A3045" t="s">
        <v>63</v>
      </c>
      <c r="B3045" t="s">
        <v>103</v>
      </c>
      <c r="C3045" t="s">
        <v>2957</v>
      </c>
      <c r="D3045">
        <v>2</v>
      </c>
      <c r="E3045">
        <v>5</v>
      </c>
      <c r="F3045" t="s">
        <v>7</v>
      </c>
      <c r="G3045" t="s">
        <v>11</v>
      </c>
      <c r="H3045" t="s">
        <v>11</v>
      </c>
    </row>
    <row r="3046" spans="1:8" x14ac:dyDescent="0.35">
      <c r="A3046" t="s">
        <v>63</v>
      </c>
      <c r="B3046" t="s">
        <v>103</v>
      </c>
      <c r="C3046" t="s">
        <v>1755</v>
      </c>
      <c r="D3046">
        <v>2</v>
      </c>
      <c r="E3046">
        <v>4</v>
      </c>
      <c r="F3046" t="s">
        <v>7</v>
      </c>
      <c r="G3046" t="s">
        <v>11</v>
      </c>
      <c r="H3046" t="s">
        <v>11</v>
      </c>
    </row>
    <row r="3047" spans="1:8" x14ac:dyDescent="0.35">
      <c r="A3047" t="s">
        <v>63</v>
      </c>
      <c r="B3047" t="s">
        <v>103</v>
      </c>
      <c r="C3047" t="s">
        <v>1756</v>
      </c>
      <c r="D3047">
        <v>2</v>
      </c>
      <c r="E3047">
        <v>5</v>
      </c>
      <c r="F3047" t="s">
        <v>7</v>
      </c>
      <c r="G3047" t="s">
        <v>11</v>
      </c>
      <c r="H3047" t="s">
        <v>11</v>
      </c>
    </row>
    <row r="3048" spans="1:8" x14ac:dyDescent="0.35">
      <c r="A3048" t="s">
        <v>63</v>
      </c>
      <c r="B3048" t="s">
        <v>103</v>
      </c>
      <c r="C3048" t="s">
        <v>3117</v>
      </c>
      <c r="D3048">
        <v>1</v>
      </c>
      <c r="E3048">
        <v>5</v>
      </c>
      <c r="F3048" t="s">
        <v>7</v>
      </c>
      <c r="G3048" t="s">
        <v>11</v>
      </c>
      <c r="H3048" t="s">
        <v>11</v>
      </c>
    </row>
    <row r="3049" spans="1:8" x14ac:dyDescent="0.35">
      <c r="A3049" t="s">
        <v>63</v>
      </c>
      <c r="B3049" t="s">
        <v>103</v>
      </c>
      <c r="C3049" t="s">
        <v>3118</v>
      </c>
      <c r="D3049">
        <v>2</v>
      </c>
      <c r="E3049">
        <v>4</v>
      </c>
      <c r="F3049" t="s">
        <v>7</v>
      </c>
      <c r="G3049" t="s">
        <v>11</v>
      </c>
      <c r="H3049" t="s">
        <v>11</v>
      </c>
    </row>
    <row r="3050" spans="1:8" x14ac:dyDescent="0.35">
      <c r="A3050" t="s">
        <v>63</v>
      </c>
      <c r="B3050" t="s">
        <v>103</v>
      </c>
      <c r="C3050" t="s">
        <v>2631</v>
      </c>
      <c r="D3050">
        <v>2</v>
      </c>
      <c r="E3050">
        <v>4</v>
      </c>
      <c r="F3050" t="s">
        <v>7</v>
      </c>
      <c r="G3050" t="s">
        <v>11</v>
      </c>
      <c r="H3050" t="s">
        <v>11</v>
      </c>
    </row>
    <row r="3051" spans="1:8" x14ac:dyDescent="0.35">
      <c r="A3051" t="s">
        <v>63</v>
      </c>
      <c r="B3051" t="s">
        <v>103</v>
      </c>
      <c r="C3051" t="s">
        <v>2500</v>
      </c>
      <c r="D3051">
        <v>3</v>
      </c>
      <c r="E3051">
        <v>4</v>
      </c>
      <c r="F3051" t="s">
        <v>7</v>
      </c>
      <c r="G3051" t="s">
        <v>11</v>
      </c>
      <c r="H3051" t="s">
        <v>11</v>
      </c>
    </row>
    <row r="3052" spans="1:8" x14ac:dyDescent="0.35">
      <c r="A3052" t="s">
        <v>62</v>
      </c>
      <c r="B3052" t="s">
        <v>72</v>
      </c>
      <c r="C3052" t="s">
        <v>1537</v>
      </c>
      <c r="D3052">
        <v>2</v>
      </c>
      <c r="E3052">
        <v>6</v>
      </c>
      <c r="F3052" t="s">
        <v>7</v>
      </c>
      <c r="G3052" t="s">
        <v>11</v>
      </c>
      <c r="H3052" t="s">
        <v>11</v>
      </c>
    </row>
    <row r="3053" spans="1:8" x14ac:dyDescent="0.35">
      <c r="A3053" t="s">
        <v>62</v>
      </c>
      <c r="B3053" t="s">
        <v>72</v>
      </c>
      <c r="C3053" t="s">
        <v>2598</v>
      </c>
      <c r="D3053">
        <v>2</v>
      </c>
      <c r="E3053">
        <v>7</v>
      </c>
      <c r="F3053" t="s">
        <v>11</v>
      </c>
      <c r="G3053" t="s">
        <v>11</v>
      </c>
      <c r="H3053" t="s">
        <v>11</v>
      </c>
    </row>
    <row r="3054" spans="1:8" x14ac:dyDescent="0.35">
      <c r="A3054" t="s">
        <v>62</v>
      </c>
      <c r="B3054" t="s">
        <v>72</v>
      </c>
      <c r="C3054" t="s">
        <v>3119</v>
      </c>
      <c r="D3054">
        <v>2</v>
      </c>
      <c r="E3054">
        <v>6</v>
      </c>
      <c r="F3054" t="s">
        <v>7</v>
      </c>
      <c r="G3054" t="s">
        <v>11</v>
      </c>
      <c r="H3054" t="s">
        <v>11</v>
      </c>
    </row>
    <row r="3055" spans="1:8" x14ac:dyDescent="0.35">
      <c r="A3055" t="s">
        <v>62</v>
      </c>
      <c r="B3055" t="s">
        <v>72</v>
      </c>
      <c r="C3055" t="s">
        <v>3120</v>
      </c>
      <c r="D3055">
        <v>2</v>
      </c>
      <c r="E3055">
        <v>7</v>
      </c>
      <c r="F3055" t="s">
        <v>11</v>
      </c>
      <c r="G3055" t="s">
        <v>11</v>
      </c>
      <c r="H3055" t="s">
        <v>11</v>
      </c>
    </row>
    <row r="3056" spans="1:8" x14ac:dyDescent="0.35">
      <c r="A3056" t="s">
        <v>62</v>
      </c>
      <c r="B3056" t="s">
        <v>72</v>
      </c>
      <c r="C3056" t="s">
        <v>1802</v>
      </c>
      <c r="D3056">
        <v>2</v>
      </c>
      <c r="E3056">
        <v>6</v>
      </c>
      <c r="F3056" t="s">
        <v>7</v>
      </c>
      <c r="G3056" t="s">
        <v>11</v>
      </c>
      <c r="H3056" t="s">
        <v>11</v>
      </c>
    </row>
    <row r="3057" spans="1:8" x14ac:dyDescent="0.35">
      <c r="A3057" t="s">
        <v>62</v>
      </c>
      <c r="B3057" t="s">
        <v>72</v>
      </c>
      <c r="C3057" t="s">
        <v>2383</v>
      </c>
      <c r="D3057">
        <v>1</v>
      </c>
      <c r="E3057">
        <v>6</v>
      </c>
      <c r="F3057" t="s">
        <v>7</v>
      </c>
      <c r="G3057" t="s">
        <v>11</v>
      </c>
      <c r="H3057" t="s">
        <v>11</v>
      </c>
    </row>
    <row r="3058" spans="1:8" x14ac:dyDescent="0.35">
      <c r="A3058" t="s">
        <v>62</v>
      </c>
      <c r="B3058" t="s">
        <v>72</v>
      </c>
      <c r="C3058" t="s">
        <v>3121</v>
      </c>
      <c r="D3058">
        <v>2</v>
      </c>
      <c r="E3058">
        <v>7</v>
      </c>
      <c r="F3058" t="s">
        <v>11</v>
      </c>
      <c r="G3058" t="s">
        <v>11</v>
      </c>
      <c r="H3058" t="s">
        <v>11</v>
      </c>
    </row>
    <row r="3059" spans="1:8" x14ac:dyDescent="0.35">
      <c r="A3059" t="s">
        <v>62</v>
      </c>
      <c r="B3059" t="s">
        <v>72</v>
      </c>
      <c r="C3059" t="s">
        <v>3122</v>
      </c>
      <c r="D3059">
        <v>2</v>
      </c>
      <c r="E3059">
        <v>6</v>
      </c>
      <c r="F3059" t="s">
        <v>7</v>
      </c>
      <c r="G3059" t="s">
        <v>11</v>
      </c>
      <c r="H3059" t="s">
        <v>11</v>
      </c>
    </row>
    <row r="3060" spans="1:8" x14ac:dyDescent="0.35">
      <c r="A3060" t="s">
        <v>62</v>
      </c>
      <c r="B3060" t="s">
        <v>72</v>
      </c>
      <c r="C3060" t="s">
        <v>2157</v>
      </c>
      <c r="D3060">
        <v>2</v>
      </c>
      <c r="E3060">
        <v>6</v>
      </c>
      <c r="F3060" t="s">
        <v>7</v>
      </c>
      <c r="G3060" t="s">
        <v>11</v>
      </c>
      <c r="H3060" t="s">
        <v>11</v>
      </c>
    </row>
    <row r="3061" spans="1:8" x14ac:dyDescent="0.35">
      <c r="A3061" t="s">
        <v>62</v>
      </c>
      <c r="B3061" t="s">
        <v>72</v>
      </c>
      <c r="C3061" t="s">
        <v>1432</v>
      </c>
      <c r="D3061">
        <v>2</v>
      </c>
      <c r="E3061">
        <v>6</v>
      </c>
      <c r="F3061" t="s">
        <v>7</v>
      </c>
      <c r="G3061" t="s">
        <v>11</v>
      </c>
      <c r="H3061" t="s">
        <v>11</v>
      </c>
    </row>
    <row r="3062" spans="1:8" x14ac:dyDescent="0.35">
      <c r="A3062" t="s">
        <v>62</v>
      </c>
      <c r="B3062" t="s">
        <v>72</v>
      </c>
      <c r="C3062" t="s">
        <v>1434</v>
      </c>
      <c r="D3062">
        <v>2</v>
      </c>
      <c r="E3062">
        <v>6</v>
      </c>
      <c r="F3062" t="s">
        <v>7</v>
      </c>
      <c r="G3062" t="s">
        <v>11</v>
      </c>
      <c r="H3062" t="s">
        <v>11</v>
      </c>
    </row>
    <row r="3063" spans="1:8" x14ac:dyDescent="0.35">
      <c r="A3063" t="s">
        <v>62</v>
      </c>
      <c r="B3063" t="s">
        <v>72</v>
      </c>
      <c r="C3063" t="s">
        <v>1437</v>
      </c>
      <c r="D3063">
        <v>1</v>
      </c>
      <c r="E3063">
        <v>6</v>
      </c>
      <c r="F3063" t="s">
        <v>7</v>
      </c>
      <c r="G3063" t="s">
        <v>11</v>
      </c>
      <c r="H3063" t="s">
        <v>11</v>
      </c>
    </row>
    <row r="3064" spans="1:8" x14ac:dyDescent="0.35">
      <c r="A3064" t="s">
        <v>62</v>
      </c>
      <c r="B3064" t="s">
        <v>72</v>
      </c>
      <c r="C3064" t="s">
        <v>3123</v>
      </c>
      <c r="D3064">
        <v>1</v>
      </c>
      <c r="E3064">
        <v>6</v>
      </c>
      <c r="F3064" t="s">
        <v>7</v>
      </c>
      <c r="G3064" t="s">
        <v>11</v>
      </c>
      <c r="H3064" t="s">
        <v>11</v>
      </c>
    </row>
    <row r="3065" spans="1:8" x14ac:dyDescent="0.35">
      <c r="A3065" t="s">
        <v>62</v>
      </c>
      <c r="B3065" t="s">
        <v>72</v>
      </c>
      <c r="C3065" t="s">
        <v>1686</v>
      </c>
      <c r="D3065">
        <v>1</v>
      </c>
      <c r="E3065">
        <v>6</v>
      </c>
      <c r="F3065" t="s">
        <v>7</v>
      </c>
      <c r="G3065" t="s">
        <v>11</v>
      </c>
      <c r="H3065" t="s">
        <v>11</v>
      </c>
    </row>
    <row r="3066" spans="1:8" x14ac:dyDescent="0.35">
      <c r="A3066" t="s">
        <v>62</v>
      </c>
      <c r="B3066" t="s">
        <v>72</v>
      </c>
      <c r="C3066" t="s">
        <v>3124</v>
      </c>
      <c r="D3066">
        <v>1</v>
      </c>
      <c r="E3066">
        <v>6</v>
      </c>
      <c r="F3066" t="s">
        <v>7</v>
      </c>
      <c r="G3066" t="s">
        <v>11</v>
      </c>
      <c r="H3066" t="s">
        <v>11</v>
      </c>
    </row>
    <row r="3067" spans="1:8" x14ac:dyDescent="0.35">
      <c r="A3067" t="s">
        <v>62</v>
      </c>
      <c r="B3067" t="s">
        <v>72</v>
      </c>
      <c r="C3067" t="s">
        <v>1555</v>
      </c>
      <c r="D3067">
        <v>2</v>
      </c>
      <c r="E3067">
        <v>7</v>
      </c>
      <c r="F3067" t="s">
        <v>11</v>
      </c>
      <c r="G3067" t="s">
        <v>11</v>
      </c>
      <c r="H3067" t="s">
        <v>11</v>
      </c>
    </row>
    <row r="3068" spans="1:8" x14ac:dyDescent="0.35">
      <c r="A3068" t="s">
        <v>62</v>
      </c>
      <c r="B3068" t="s">
        <v>72</v>
      </c>
      <c r="C3068" t="s">
        <v>2575</v>
      </c>
      <c r="D3068">
        <v>2</v>
      </c>
      <c r="E3068">
        <v>6</v>
      </c>
      <c r="F3068" t="s">
        <v>7</v>
      </c>
      <c r="G3068" t="s">
        <v>11</v>
      </c>
      <c r="H3068" t="s">
        <v>11</v>
      </c>
    </row>
    <row r="3069" spans="1:8" x14ac:dyDescent="0.35">
      <c r="A3069" t="s">
        <v>62</v>
      </c>
      <c r="B3069" t="s">
        <v>72</v>
      </c>
      <c r="C3069" t="s">
        <v>3125</v>
      </c>
      <c r="D3069">
        <v>2</v>
      </c>
      <c r="E3069">
        <v>6</v>
      </c>
      <c r="F3069" t="s">
        <v>7</v>
      </c>
      <c r="G3069" t="s">
        <v>11</v>
      </c>
      <c r="H3069" t="s">
        <v>11</v>
      </c>
    </row>
    <row r="3070" spans="1:8" x14ac:dyDescent="0.35">
      <c r="A3070" t="s">
        <v>62</v>
      </c>
      <c r="B3070" t="s">
        <v>72</v>
      </c>
      <c r="C3070" t="s">
        <v>2738</v>
      </c>
      <c r="D3070">
        <v>2</v>
      </c>
      <c r="E3070">
        <v>7</v>
      </c>
      <c r="F3070" t="s">
        <v>11</v>
      </c>
      <c r="G3070" t="s">
        <v>11</v>
      </c>
      <c r="H3070" t="s">
        <v>11</v>
      </c>
    </row>
    <row r="3071" spans="1:8" x14ac:dyDescent="0.35">
      <c r="A3071" t="s">
        <v>62</v>
      </c>
      <c r="B3071" t="s">
        <v>72</v>
      </c>
      <c r="C3071" t="s">
        <v>3126</v>
      </c>
      <c r="D3071">
        <v>1</v>
      </c>
      <c r="E3071">
        <v>6</v>
      </c>
      <c r="F3071" t="s">
        <v>7</v>
      </c>
      <c r="G3071" t="s">
        <v>11</v>
      </c>
      <c r="H3071" t="s">
        <v>11</v>
      </c>
    </row>
    <row r="3072" spans="1:8" x14ac:dyDescent="0.35">
      <c r="A3072" t="s">
        <v>62</v>
      </c>
      <c r="B3072" t="s">
        <v>72</v>
      </c>
      <c r="C3072" t="s">
        <v>2702</v>
      </c>
      <c r="D3072">
        <v>2</v>
      </c>
      <c r="E3072">
        <v>7</v>
      </c>
      <c r="F3072" t="s">
        <v>11</v>
      </c>
      <c r="G3072" t="s">
        <v>11</v>
      </c>
      <c r="H3072" t="s">
        <v>11</v>
      </c>
    </row>
    <row r="3073" spans="1:8" x14ac:dyDescent="0.35">
      <c r="A3073" t="s">
        <v>62</v>
      </c>
      <c r="B3073" t="s">
        <v>72</v>
      </c>
      <c r="C3073" t="s">
        <v>1445</v>
      </c>
      <c r="D3073">
        <v>1</v>
      </c>
      <c r="E3073">
        <v>6</v>
      </c>
      <c r="F3073" t="s">
        <v>7</v>
      </c>
      <c r="G3073" t="s">
        <v>11</v>
      </c>
      <c r="H3073" t="s">
        <v>11</v>
      </c>
    </row>
    <row r="3074" spans="1:8" x14ac:dyDescent="0.35">
      <c r="A3074" t="s">
        <v>62</v>
      </c>
      <c r="B3074" t="s">
        <v>72</v>
      </c>
      <c r="C3074" t="s">
        <v>2030</v>
      </c>
      <c r="D3074">
        <v>1</v>
      </c>
      <c r="E3074">
        <v>6</v>
      </c>
      <c r="F3074" t="s">
        <v>7</v>
      </c>
      <c r="G3074" t="s">
        <v>11</v>
      </c>
      <c r="H3074" t="s">
        <v>11</v>
      </c>
    </row>
    <row r="3075" spans="1:8" x14ac:dyDescent="0.35">
      <c r="A3075" t="s">
        <v>62</v>
      </c>
      <c r="B3075" t="s">
        <v>72</v>
      </c>
      <c r="C3075" t="s">
        <v>3127</v>
      </c>
      <c r="D3075">
        <v>1</v>
      </c>
      <c r="E3075">
        <v>6</v>
      </c>
      <c r="F3075" t="s">
        <v>7</v>
      </c>
      <c r="G3075" t="s">
        <v>11</v>
      </c>
      <c r="H3075" t="s">
        <v>11</v>
      </c>
    </row>
    <row r="3076" spans="1:8" x14ac:dyDescent="0.35">
      <c r="A3076" t="s">
        <v>62</v>
      </c>
      <c r="B3076" t="s">
        <v>72</v>
      </c>
      <c r="C3076" t="s">
        <v>1913</v>
      </c>
      <c r="D3076">
        <v>1</v>
      </c>
      <c r="E3076">
        <v>6</v>
      </c>
      <c r="F3076" t="s">
        <v>7</v>
      </c>
      <c r="G3076" t="s">
        <v>11</v>
      </c>
      <c r="H3076" t="s">
        <v>11</v>
      </c>
    </row>
    <row r="3077" spans="1:8" x14ac:dyDescent="0.35">
      <c r="A3077" t="s">
        <v>62</v>
      </c>
      <c r="B3077" t="s">
        <v>72</v>
      </c>
      <c r="C3077" t="s">
        <v>2171</v>
      </c>
      <c r="D3077">
        <v>2</v>
      </c>
      <c r="E3077">
        <v>7</v>
      </c>
      <c r="F3077" t="s">
        <v>11</v>
      </c>
      <c r="G3077" t="s">
        <v>11</v>
      </c>
      <c r="H3077" t="s">
        <v>11</v>
      </c>
    </row>
    <row r="3078" spans="1:8" x14ac:dyDescent="0.35">
      <c r="A3078" t="s">
        <v>62</v>
      </c>
      <c r="B3078" t="s">
        <v>72</v>
      </c>
      <c r="C3078" t="s">
        <v>1347</v>
      </c>
      <c r="D3078">
        <v>2</v>
      </c>
      <c r="E3078">
        <v>6</v>
      </c>
      <c r="F3078" t="s">
        <v>7</v>
      </c>
      <c r="G3078" t="s">
        <v>11</v>
      </c>
      <c r="H3078" t="s">
        <v>11</v>
      </c>
    </row>
    <row r="3079" spans="1:8" x14ac:dyDescent="0.35">
      <c r="A3079" t="s">
        <v>62</v>
      </c>
      <c r="B3079" t="s">
        <v>72</v>
      </c>
      <c r="C3079" t="s">
        <v>1348</v>
      </c>
      <c r="D3079">
        <v>1</v>
      </c>
      <c r="E3079">
        <v>6</v>
      </c>
      <c r="F3079" t="s">
        <v>7</v>
      </c>
      <c r="G3079" t="s">
        <v>11</v>
      </c>
      <c r="H3079" t="s">
        <v>11</v>
      </c>
    </row>
    <row r="3080" spans="1:8" x14ac:dyDescent="0.35">
      <c r="A3080" t="s">
        <v>62</v>
      </c>
      <c r="B3080" t="s">
        <v>72</v>
      </c>
      <c r="C3080" t="s">
        <v>1389</v>
      </c>
      <c r="D3080">
        <v>2</v>
      </c>
      <c r="E3080">
        <v>6</v>
      </c>
      <c r="F3080" t="s">
        <v>7</v>
      </c>
      <c r="G3080" t="s">
        <v>11</v>
      </c>
      <c r="H3080" t="s">
        <v>11</v>
      </c>
    </row>
    <row r="3081" spans="1:8" x14ac:dyDescent="0.35">
      <c r="A3081" t="s">
        <v>62</v>
      </c>
      <c r="B3081" t="s">
        <v>72</v>
      </c>
      <c r="C3081" t="s">
        <v>3128</v>
      </c>
      <c r="D3081">
        <v>2</v>
      </c>
      <c r="E3081">
        <v>6</v>
      </c>
      <c r="F3081" t="s">
        <v>7</v>
      </c>
      <c r="G3081" t="s">
        <v>11</v>
      </c>
      <c r="H3081" t="s">
        <v>11</v>
      </c>
    </row>
    <row r="3082" spans="1:8" x14ac:dyDescent="0.35">
      <c r="A3082" t="s">
        <v>62</v>
      </c>
      <c r="B3082" t="s">
        <v>72</v>
      </c>
      <c r="C3082" t="s">
        <v>3129</v>
      </c>
      <c r="D3082">
        <v>2</v>
      </c>
      <c r="E3082">
        <v>6</v>
      </c>
      <c r="F3082" t="s">
        <v>7</v>
      </c>
      <c r="G3082" t="s">
        <v>11</v>
      </c>
      <c r="H3082" t="s">
        <v>11</v>
      </c>
    </row>
    <row r="3083" spans="1:8" x14ac:dyDescent="0.35">
      <c r="A3083" t="s">
        <v>62</v>
      </c>
      <c r="B3083" t="s">
        <v>72</v>
      </c>
      <c r="C3083" t="s">
        <v>3130</v>
      </c>
      <c r="D3083">
        <v>2</v>
      </c>
      <c r="E3083">
        <v>6</v>
      </c>
      <c r="F3083" t="s">
        <v>7</v>
      </c>
      <c r="G3083" t="s">
        <v>11</v>
      </c>
      <c r="H3083" t="s">
        <v>11</v>
      </c>
    </row>
    <row r="3084" spans="1:8" x14ac:dyDescent="0.35">
      <c r="A3084" t="s">
        <v>62</v>
      </c>
      <c r="B3084" t="s">
        <v>72</v>
      </c>
      <c r="C3084" t="s">
        <v>1452</v>
      </c>
      <c r="D3084">
        <v>1</v>
      </c>
      <c r="E3084">
        <v>6</v>
      </c>
      <c r="F3084" t="s">
        <v>7</v>
      </c>
      <c r="G3084" t="s">
        <v>11</v>
      </c>
      <c r="H3084" t="s">
        <v>11</v>
      </c>
    </row>
    <row r="3085" spans="1:8" x14ac:dyDescent="0.35">
      <c r="A3085" t="s">
        <v>62</v>
      </c>
      <c r="B3085" t="s">
        <v>72</v>
      </c>
      <c r="C3085" t="s">
        <v>3131</v>
      </c>
      <c r="D3085">
        <v>1</v>
      </c>
      <c r="E3085">
        <v>7</v>
      </c>
      <c r="F3085" t="s">
        <v>11</v>
      </c>
      <c r="G3085" t="s">
        <v>11</v>
      </c>
      <c r="H3085" t="s">
        <v>11</v>
      </c>
    </row>
    <row r="3086" spans="1:8" x14ac:dyDescent="0.35">
      <c r="A3086" t="s">
        <v>62</v>
      </c>
      <c r="B3086" t="s">
        <v>72</v>
      </c>
      <c r="C3086" t="s">
        <v>1453</v>
      </c>
      <c r="D3086">
        <v>2</v>
      </c>
      <c r="E3086">
        <v>7</v>
      </c>
      <c r="F3086" t="s">
        <v>11</v>
      </c>
      <c r="G3086" t="s">
        <v>11</v>
      </c>
      <c r="H3086" t="s">
        <v>11</v>
      </c>
    </row>
    <row r="3087" spans="1:8" x14ac:dyDescent="0.35">
      <c r="A3087" t="s">
        <v>62</v>
      </c>
      <c r="B3087" t="s">
        <v>72</v>
      </c>
      <c r="C3087" t="s">
        <v>3132</v>
      </c>
      <c r="D3087">
        <v>2</v>
      </c>
      <c r="E3087">
        <v>6</v>
      </c>
      <c r="F3087" t="s">
        <v>7</v>
      </c>
      <c r="G3087" t="s">
        <v>11</v>
      </c>
      <c r="H3087" t="s">
        <v>11</v>
      </c>
    </row>
    <row r="3088" spans="1:8" x14ac:dyDescent="0.35">
      <c r="A3088" t="s">
        <v>62</v>
      </c>
      <c r="B3088" t="s">
        <v>72</v>
      </c>
      <c r="C3088" t="s">
        <v>3133</v>
      </c>
      <c r="D3088">
        <v>1</v>
      </c>
      <c r="E3088">
        <v>6</v>
      </c>
      <c r="F3088" t="s">
        <v>7</v>
      </c>
      <c r="G3088" t="s">
        <v>11</v>
      </c>
      <c r="H3088" t="s">
        <v>11</v>
      </c>
    </row>
    <row r="3089" spans="1:8" x14ac:dyDescent="0.35">
      <c r="A3089" t="s">
        <v>62</v>
      </c>
      <c r="B3089" t="s">
        <v>72</v>
      </c>
      <c r="C3089" t="s">
        <v>3134</v>
      </c>
      <c r="D3089">
        <v>2</v>
      </c>
      <c r="E3089">
        <v>6</v>
      </c>
      <c r="F3089" t="s">
        <v>7</v>
      </c>
      <c r="G3089" t="s">
        <v>11</v>
      </c>
      <c r="H3089" t="s">
        <v>11</v>
      </c>
    </row>
    <row r="3090" spans="1:8" x14ac:dyDescent="0.35">
      <c r="A3090" t="s">
        <v>62</v>
      </c>
      <c r="B3090" t="s">
        <v>72</v>
      </c>
      <c r="C3090" t="s">
        <v>2183</v>
      </c>
      <c r="D3090">
        <v>2</v>
      </c>
      <c r="E3090">
        <v>6</v>
      </c>
      <c r="F3090" t="s">
        <v>7</v>
      </c>
      <c r="G3090" t="s">
        <v>11</v>
      </c>
      <c r="H3090" t="s">
        <v>11</v>
      </c>
    </row>
    <row r="3091" spans="1:8" x14ac:dyDescent="0.35">
      <c r="A3091" t="s">
        <v>62</v>
      </c>
      <c r="B3091" t="s">
        <v>72</v>
      </c>
      <c r="C3091" t="s">
        <v>2185</v>
      </c>
      <c r="D3091">
        <v>1</v>
      </c>
      <c r="E3091">
        <v>6</v>
      </c>
      <c r="F3091" t="s">
        <v>7</v>
      </c>
      <c r="G3091" t="s">
        <v>11</v>
      </c>
      <c r="H3091" t="s">
        <v>11</v>
      </c>
    </row>
    <row r="3092" spans="1:8" x14ac:dyDescent="0.35">
      <c r="A3092" t="s">
        <v>62</v>
      </c>
      <c r="B3092" t="s">
        <v>72</v>
      </c>
      <c r="C3092" t="s">
        <v>3135</v>
      </c>
      <c r="D3092">
        <v>2</v>
      </c>
      <c r="E3092">
        <v>6</v>
      </c>
      <c r="F3092" t="s">
        <v>7</v>
      </c>
      <c r="G3092" t="s">
        <v>11</v>
      </c>
      <c r="H3092" t="s">
        <v>11</v>
      </c>
    </row>
    <row r="3093" spans="1:8" x14ac:dyDescent="0.35">
      <c r="A3093" t="s">
        <v>62</v>
      </c>
      <c r="B3093" t="s">
        <v>72</v>
      </c>
      <c r="C3093" t="s">
        <v>1361</v>
      </c>
      <c r="D3093">
        <v>2</v>
      </c>
      <c r="E3093">
        <v>6</v>
      </c>
      <c r="F3093" t="s">
        <v>7</v>
      </c>
      <c r="G3093" t="s">
        <v>11</v>
      </c>
      <c r="H3093" t="s">
        <v>11</v>
      </c>
    </row>
    <row r="3094" spans="1:8" x14ac:dyDescent="0.35">
      <c r="A3094" t="s">
        <v>62</v>
      </c>
      <c r="B3094" t="s">
        <v>72</v>
      </c>
      <c r="C3094" t="s">
        <v>3136</v>
      </c>
      <c r="D3094">
        <v>2</v>
      </c>
      <c r="E3094">
        <v>6</v>
      </c>
      <c r="F3094" t="s">
        <v>7</v>
      </c>
      <c r="G3094" t="s">
        <v>11</v>
      </c>
      <c r="H3094" t="s">
        <v>11</v>
      </c>
    </row>
    <row r="3095" spans="1:8" x14ac:dyDescent="0.35">
      <c r="A3095" t="s">
        <v>62</v>
      </c>
      <c r="B3095" t="s">
        <v>72</v>
      </c>
      <c r="C3095" t="s">
        <v>1792</v>
      </c>
      <c r="D3095">
        <v>2</v>
      </c>
      <c r="E3095">
        <v>7</v>
      </c>
      <c r="F3095" t="s">
        <v>11</v>
      </c>
      <c r="G3095" t="s">
        <v>11</v>
      </c>
      <c r="H3095" t="s">
        <v>11</v>
      </c>
    </row>
    <row r="3096" spans="1:8" x14ac:dyDescent="0.35">
      <c r="A3096" t="s">
        <v>62</v>
      </c>
      <c r="B3096" t="s">
        <v>72</v>
      </c>
      <c r="C3096" t="s">
        <v>3137</v>
      </c>
      <c r="D3096">
        <v>2</v>
      </c>
      <c r="E3096">
        <v>6</v>
      </c>
      <c r="F3096" t="s">
        <v>7</v>
      </c>
      <c r="G3096" t="s">
        <v>11</v>
      </c>
      <c r="H3096" t="s">
        <v>11</v>
      </c>
    </row>
    <row r="3097" spans="1:8" x14ac:dyDescent="0.35">
      <c r="A3097" t="s">
        <v>62</v>
      </c>
      <c r="B3097" t="s">
        <v>72</v>
      </c>
      <c r="C3097" t="s">
        <v>3138</v>
      </c>
      <c r="D3097">
        <v>2</v>
      </c>
      <c r="E3097">
        <v>6</v>
      </c>
      <c r="F3097" t="s">
        <v>7</v>
      </c>
      <c r="G3097" t="s">
        <v>11</v>
      </c>
      <c r="H3097" t="s">
        <v>11</v>
      </c>
    </row>
    <row r="3098" spans="1:8" x14ac:dyDescent="0.35">
      <c r="A3098" t="s">
        <v>62</v>
      </c>
      <c r="B3098" t="s">
        <v>72</v>
      </c>
      <c r="C3098" t="s">
        <v>3139</v>
      </c>
      <c r="D3098">
        <v>1</v>
      </c>
      <c r="E3098">
        <v>6</v>
      </c>
      <c r="F3098" t="s">
        <v>7</v>
      </c>
      <c r="G3098" t="s">
        <v>11</v>
      </c>
      <c r="H3098" t="s">
        <v>11</v>
      </c>
    </row>
    <row r="3099" spans="1:8" x14ac:dyDescent="0.35">
      <c r="A3099" t="s">
        <v>62</v>
      </c>
      <c r="B3099" t="s">
        <v>72</v>
      </c>
      <c r="C3099" t="s">
        <v>1729</v>
      </c>
      <c r="D3099">
        <v>1</v>
      </c>
      <c r="E3099">
        <v>6</v>
      </c>
      <c r="F3099" t="s">
        <v>7</v>
      </c>
      <c r="G3099" t="s">
        <v>11</v>
      </c>
      <c r="H3099" t="s">
        <v>11</v>
      </c>
    </row>
    <row r="3100" spans="1:8" x14ac:dyDescent="0.35">
      <c r="A3100" t="s">
        <v>62</v>
      </c>
      <c r="B3100" t="s">
        <v>72</v>
      </c>
      <c r="C3100" t="s">
        <v>1464</v>
      </c>
      <c r="D3100">
        <v>2</v>
      </c>
      <c r="E3100">
        <v>6</v>
      </c>
      <c r="F3100" t="s">
        <v>7</v>
      </c>
      <c r="G3100" t="s">
        <v>11</v>
      </c>
      <c r="H3100" t="s">
        <v>11</v>
      </c>
    </row>
    <row r="3101" spans="1:8" x14ac:dyDescent="0.35">
      <c r="A3101" t="s">
        <v>62</v>
      </c>
      <c r="B3101" t="s">
        <v>72</v>
      </c>
      <c r="C3101" t="s">
        <v>2622</v>
      </c>
      <c r="D3101">
        <v>1</v>
      </c>
      <c r="E3101">
        <v>6</v>
      </c>
      <c r="F3101" t="s">
        <v>7</v>
      </c>
      <c r="G3101" t="s">
        <v>11</v>
      </c>
      <c r="H3101" t="s">
        <v>11</v>
      </c>
    </row>
    <row r="3102" spans="1:8" x14ac:dyDescent="0.35">
      <c r="A3102" t="s">
        <v>62</v>
      </c>
      <c r="B3102" t="s">
        <v>72</v>
      </c>
      <c r="C3102" t="s">
        <v>3140</v>
      </c>
      <c r="D3102">
        <v>2</v>
      </c>
      <c r="E3102">
        <v>7</v>
      </c>
      <c r="F3102" t="s">
        <v>11</v>
      </c>
      <c r="G3102" t="s">
        <v>11</v>
      </c>
      <c r="H3102" t="s">
        <v>11</v>
      </c>
    </row>
    <row r="3103" spans="1:8" x14ac:dyDescent="0.35">
      <c r="A3103" t="s">
        <v>62</v>
      </c>
      <c r="B3103" t="s">
        <v>72</v>
      </c>
      <c r="C3103" t="s">
        <v>3141</v>
      </c>
      <c r="D3103">
        <v>2</v>
      </c>
      <c r="E3103">
        <v>6</v>
      </c>
      <c r="F3103" t="s">
        <v>7</v>
      </c>
      <c r="G3103" t="s">
        <v>11</v>
      </c>
      <c r="H3103" t="s">
        <v>11</v>
      </c>
    </row>
    <row r="3104" spans="1:8" x14ac:dyDescent="0.35">
      <c r="A3104" t="s">
        <v>62</v>
      </c>
      <c r="B3104" t="s">
        <v>72</v>
      </c>
      <c r="C3104" t="s">
        <v>1840</v>
      </c>
      <c r="D3104">
        <v>1</v>
      </c>
      <c r="E3104">
        <v>6</v>
      </c>
      <c r="F3104" t="s">
        <v>7</v>
      </c>
      <c r="G3104" t="s">
        <v>11</v>
      </c>
      <c r="H3104" t="s">
        <v>11</v>
      </c>
    </row>
    <row r="3105" spans="1:8" x14ac:dyDescent="0.35">
      <c r="A3105" t="s">
        <v>62</v>
      </c>
      <c r="B3105" t="s">
        <v>72</v>
      </c>
      <c r="C3105" t="s">
        <v>2253</v>
      </c>
      <c r="D3105">
        <v>1</v>
      </c>
      <c r="E3105">
        <v>6</v>
      </c>
      <c r="F3105" t="s">
        <v>7</v>
      </c>
      <c r="G3105" t="s">
        <v>11</v>
      </c>
      <c r="H3105" t="s">
        <v>11</v>
      </c>
    </row>
    <row r="3106" spans="1:8" x14ac:dyDescent="0.35">
      <c r="A3106" t="s">
        <v>62</v>
      </c>
      <c r="B3106" t="s">
        <v>72</v>
      </c>
      <c r="C3106" t="s">
        <v>2936</v>
      </c>
      <c r="D3106">
        <v>2</v>
      </c>
      <c r="E3106">
        <v>6</v>
      </c>
      <c r="F3106" t="s">
        <v>7</v>
      </c>
      <c r="G3106" t="s">
        <v>11</v>
      </c>
      <c r="H3106" t="s">
        <v>11</v>
      </c>
    </row>
    <row r="3107" spans="1:8" x14ac:dyDescent="0.35">
      <c r="A3107" t="s">
        <v>62</v>
      </c>
      <c r="B3107" t="s">
        <v>72</v>
      </c>
      <c r="C3107" t="s">
        <v>3142</v>
      </c>
      <c r="D3107">
        <v>1</v>
      </c>
      <c r="E3107">
        <v>6</v>
      </c>
      <c r="F3107" t="s">
        <v>7</v>
      </c>
      <c r="G3107" t="s">
        <v>11</v>
      </c>
      <c r="H3107" t="s">
        <v>11</v>
      </c>
    </row>
    <row r="3108" spans="1:8" x14ac:dyDescent="0.35">
      <c r="A3108" t="s">
        <v>62</v>
      </c>
      <c r="B3108" t="s">
        <v>72</v>
      </c>
      <c r="C3108" t="s">
        <v>3143</v>
      </c>
      <c r="D3108">
        <v>2</v>
      </c>
      <c r="E3108">
        <v>6</v>
      </c>
      <c r="F3108" t="s">
        <v>7</v>
      </c>
      <c r="G3108" t="s">
        <v>11</v>
      </c>
      <c r="H3108" t="s">
        <v>11</v>
      </c>
    </row>
    <row r="3109" spans="1:8" x14ac:dyDescent="0.35">
      <c r="A3109" t="s">
        <v>62</v>
      </c>
      <c r="B3109" t="s">
        <v>72</v>
      </c>
      <c r="C3109" t="s">
        <v>3144</v>
      </c>
      <c r="D3109">
        <v>2</v>
      </c>
      <c r="E3109">
        <v>7</v>
      </c>
      <c r="F3109" t="s">
        <v>11</v>
      </c>
      <c r="G3109" t="s">
        <v>11</v>
      </c>
      <c r="H3109" t="s">
        <v>11</v>
      </c>
    </row>
    <row r="3110" spans="1:8" x14ac:dyDescent="0.35">
      <c r="A3110" t="s">
        <v>62</v>
      </c>
      <c r="B3110" t="s">
        <v>72</v>
      </c>
      <c r="C3110" t="s">
        <v>3145</v>
      </c>
      <c r="D3110">
        <v>1</v>
      </c>
      <c r="E3110">
        <v>6</v>
      </c>
      <c r="F3110" t="s">
        <v>7</v>
      </c>
      <c r="G3110" t="s">
        <v>11</v>
      </c>
      <c r="H3110" t="s">
        <v>11</v>
      </c>
    </row>
    <row r="3111" spans="1:8" x14ac:dyDescent="0.35">
      <c r="A3111" t="s">
        <v>62</v>
      </c>
      <c r="B3111" t="s">
        <v>72</v>
      </c>
      <c r="C3111" t="s">
        <v>3146</v>
      </c>
      <c r="D3111">
        <v>2</v>
      </c>
      <c r="E3111">
        <v>6</v>
      </c>
      <c r="F3111" t="s">
        <v>7</v>
      </c>
      <c r="G3111" t="s">
        <v>11</v>
      </c>
      <c r="H3111" t="s">
        <v>11</v>
      </c>
    </row>
    <row r="3112" spans="1:8" x14ac:dyDescent="0.35">
      <c r="A3112" t="s">
        <v>62</v>
      </c>
      <c r="B3112" t="s">
        <v>72</v>
      </c>
      <c r="C3112" t="s">
        <v>1649</v>
      </c>
      <c r="D3112">
        <v>2</v>
      </c>
      <c r="E3112">
        <v>7</v>
      </c>
      <c r="F3112" t="s">
        <v>11</v>
      </c>
      <c r="G3112" t="s">
        <v>11</v>
      </c>
      <c r="H3112" t="s">
        <v>11</v>
      </c>
    </row>
    <row r="3113" spans="1:8" x14ac:dyDescent="0.35">
      <c r="A3113" t="s">
        <v>62</v>
      </c>
      <c r="B3113" t="s">
        <v>72</v>
      </c>
      <c r="C3113" t="s">
        <v>3147</v>
      </c>
      <c r="D3113">
        <v>2</v>
      </c>
      <c r="E3113">
        <v>6</v>
      </c>
      <c r="F3113" t="s">
        <v>7</v>
      </c>
      <c r="G3113" t="s">
        <v>11</v>
      </c>
      <c r="H3113" t="s">
        <v>11</v>
      </c>
    </row>
    <row r="3114" spans="1:8" x14ac:dyDescent="0.35">
      <c r="A3114" t="s">
        <v>62</v>
      </c>
      <c r="B3114" t="s">
        <v>72</v>
      </c>
      <c r="C3114" t="s">
        <v>2103</v>
      </c>
      <c r="D3114">
        <v>1</v>
      </c>
      <c r="E3114">
        <v>6</v>
      </c>
      <c r="F3114" t="s">
        <v>7</v>
      </c>
      <c r="G3114" t="s">
        <v>11</v>
      </c>
      <c r="H3114" t="s">
        <v>11</v>
      </c>
    </row>
    <row r="3115" spans="1:8" x14ac:dyDescent="0.35">
      <c r="A3115" t="s">
        <v>62</v>
      </c>
      <c r="B3115" t="s">
        <v>72</v>
      </c>
      <c r="C3115" t="s">
        <v>3148</v>
      </c>
      <c r="D3115">
        <v>2</v>
      </c>
      <c r="E3115">
        <v>7</v>
      </c>
      <c r="F3115" t="s">
        <v>11</v>
      </c>
      <c r="G3115" t="s">
        <v>11</v>
      </c>
      <c r="H3115" t="s">
        <v>11</v>
      </c>
    </row>
    <row r="3116" spans="1:8" x14ac:dyDescent="0.35">
      <c r="A3116" t="s">
        <v>62</v>
      </c>
      <c r="B3116" t="s">
        <v>72</v>
      </c>
      <c r="C3116" t="s">
        <v>2786</v>
      </c>
      <c r="D3116">
        <v>1</v>
      </c>
      <c r="E3116">
        <v>6</v>
      </c>
      <c r="F3116" t="s">
        <v>7</v>
      </c>
      <c r="G3116" t="s">
        <v>11</v>
      </c>
      <c r="H3116" t="s">
        <v>11</v>
      </c>
    </row>
    <row r="3117" spans="1:8" x14ac:dyDescent="0.35">
      <c r="A3117" t="s">
        <v>62</v>
      </c>
      <c r="B3117" t="s">
        <v>72</v>
      </c>
      <c r="C3117" t="s">
        <v>3149</v>
      </c>
      <c r="D3117">
        <v>2</v>
      </c>
      <c r="E3117">
        <v>7</v>
      </c>
      <c r="F3117" t="s">
        <v>11</v>
      </c>
      <c r="G3117" t="s">
        <v>11</v>
      </c>
      <c r="H3117" t="s">
        <v>11</v>
      </c>
    </row>
    <row r="3118" spans="1:8" x14ac:dyDescent="0.35">
      <c r="A3118" t="s">
        <v>62</v>
      </c>
      <c r="B3118" t="s">
        <v>72</v>
      </c>
      <c r="C3118" t="s">
        <v>1376</v>
      </c>
      <c r="D3118">
        <v>1</v>
      </c>
      <c r="E3118">
        <v>6</v>
      </c>
      <c r="F3118" t="s">
        <v>7</v>
      </c>
      <c r="G3118" t="s">
        <v>11</v>
      </c>
      <c r="H3118" t="s">
        <v>11</v>
      </c>
    </row>
    <row r="3119" spans="1:8" x14ac:dyDescent="0.35">
      <c r="A3119" t="s">
        <v>62</v>
      </c>
      <c r="B3119" t="s">
        <v>72</v>
      </c>
      <c r="C3119" t="s">
        <v>3150</v>
      </c>
      <c r="D3119">
        <v>1</v>
      </c>
      <c r="E3119">
        <v>6</v>
      </c>
      <c r="F3119" t="s">
        <v>7</v>
      </c>
      <c r="G3119" t="s">
        <v>11</v>
      </c>
      <c r="H3119" t="s">
        <v>11</v>
      </c>
    </row>
    <row r="3120" spans="1:8" x14ac:dyDescent="0.35">
      <c r="A3120" t="s">
        <v>62</v>
      </c>
      <c r="B3120" t="s">
        <v>72</v>
      </c>
      <c r="C3120" t="s">
        <v>3151</v>
      </c>
      <c r="D3120">
        <v>1</v>
      </c>
      <c r="E3120">
        <v>6</v>
      </c>
      <c r="F3120" t="s">
        <v>7</v>
      </c>
      <c r="G3120" t="s">
        <v>11</v>
      </c>
      <c r="H3120" t="s">
        <v>11</v>
      </c>
    </row>
    <row r="3121" spans="1:8" x14ac:dyDescent="0.35">
      <c r="A3121" t="s">
        <v>62</v>
      </c>
      <c r="B3121" t="s">
        <v>72</v>
      </c>
      <c r="C3121" t="s">
        <v>3152</v>
      </c>
      <c r="D3121">
        <v>2</v>
      </c>
      <c r="E3121">
        <v>6</v>
      </c>
      <c r="F3121" t="s">
        <v>7</v>
      </c>
      <c r="G3121" t="s">
        <v>11</v>
      </c>
      <c r="H3121" t="s">
        <v>11</v>
      </c>
    </row>
    <row r="3122" spans="1:8" x14ac:dyDescent="0.35">
      <c r="A3122" t="s">
        <v>62</v>
      </c>
      <c r="B3122" t="s">
        <v>72</v>
      </c>
      <c r="C3122" t="s">
        <v>1852</v>
      </c>
      <c r="D3122">
        <v>2</v>
      </c>
      <c r="E3122">
        <v>6</v>
      </c>
      <c r="F3122" t="s">
        <v>7</v>
      </c>
      <c r="G3122" t="s">
        <v>11</v>
      </c>
      <c r="H3122" t="s">
        <v>11</v>
      </c>
    </row>
    <row r="3123" spans="1:8" x14ac:dyDescent="0.35">
      <c r="A3123" t="s">
        <v>62</v>
      </c>
      <c r="B3123" t="s">
        <v>72</v>
      </c>
      <c r="C3123" t="s">
        <v>2631</v>
      </c>
      <c r="D3123">
        <v>1</v>
      </c>
      <c r="E3123">
        <v>6</v>
      </c>
      <c r="F3123" t="s">
        <v>7</v>
      </c>
      <c r="G3123" t="s">
        <v>11</v>
      </c>
      <c r="H3123" t="s">
        <v>11</v>
      </c>
    </row>
    <row r="3124" spans="1:8" x14ac:dyDescent="0.35">
      <c r="A3124" t="s">
        <v>64</v>
      </c>
      <c r="B3124" t="s">
        <v>73</v>
      </c>
      <c r="C3124" t="s">
        <v>2472</v>
      </c>
      <c r="D3124">
        <v>1</v>
      </c>
      <c r="E3124">
        <v>6</v>
      </c>
      <c r="F3124" t="s">
        <v>75</v>
      </c>
      <c r="G3124" t="s">
        <v>11</v>
      </c>
      <c r="H3124" t="s">
        <v>11</v>
      </c>
    </row>
    <row r="3125" spans="1:8" x14ac:dyDescent="0.35">
      <c r="A3125" t="s">
        <v>64</v>
      </c>
      <c r="B3125" t="s">
        <v>73</v>
      </c>
      <c r="C3125" t="s">
        <v>2344</v>
      </c>
      <c r="D3125">
        <v>1</v>
      </c>
      <c r="E3125">
        <v>6</v>
      </c>
      <c r="F3125" t="s">
        <v>75</v>
      </c>
      <c r="G3125" t="s">
        <v>11</v>
      </c>
      <c r="H3125" t="s">
        <v>11</v>
      </c>
    </row>
    <row r="3126" spans="1:8" x14ac:dyDescent="0.35">
      <c r="A3126" t="s">
        <v>64</v>
      </c>
      <c r="B3126" t="s">
        <v>73</v>
      </c>
      <c r="C3126" t="s">
        <v>2019</v>
      </c>
      <c r="D3126">
        <v>1</v>
      </c>
      <c r="E3126">
        <v>6</v>
      </c>
      <c r="F3126" t="s">
        <v>75</v>
      </c>
      <c r="G3126" t="s">
        <v>11</v>
      </c>
      <c r="H3126" t="s">
        <v>11</v>
      </c>
    </row>
    <row r="3127" spans="1:8" x14ac:dyDescent="0.35">
      <c r="A3127" t="s">
        <v>64</v>
      </c>
      <c r="B3127" t="s">
        <v>73</v>
      </c>
      <c r="C3127" t="s">
        <v>2346</v>
      </c>
      <c r="D3127">
        <v>1</v>
      </c>
      <c r="E3127">
        <v>6</v>
      </c>
      <c r="F3127" t="s">
        <v>75</v>
      </c>
      <c r="G3127" t="s">
        <v>11</v>
      </c>
      <c r="H3127" t="s">
        <v>11</v>
      </c>
    </row>
    <row r="3128" spans="1:8" x14ac:dyDescent="0.35">
      <c r="A3128" t="s">
        <v>64</v>
      </c>
      <c r="B3128" t="s">
        <v>73</v>
      </c>
      <c r="C3128" t="s">
        <v>3153</v>
      </c>
      <c r="D3128">
        <v>1</v>
      </c>
      <c r="E3128">
        <v>6</v>
      </c>
      <c r="F3128" t="s">
        <v>75</v>
      </c>
      <c r="G3128" t="s">
        <v>11</v>
      </c>
      <c r="H3128" t="s">
        <v>11</v>
      </c>
    </row>
    <row r="3129" spans="1:8" x14ac:dyDescent="0.35">
      <c r="A3129" t="s">
        <v>64</v>
      </c>
      <c r="B3129" t="s">
        <v>73</v>
      </c>
      <c r="C3129" t="s">
        <v>2676</v>
      </c>
      <c r="D3129">
        <v>1</v>
      </c>
      <c r="E3129">
        <v>6</v>
      </c>
      <c r="F3129" t="s">
        <v>75</v>
      </c>
      <c r="G3129" t="s">
        <v>11</v>
      </c>
      <c r="H3129" t="s">
        <v>11</v>
      </c>
    </row>
    <row r="3130" spans="1:8" x14ac:dyDescent="0.35">
      <c r="A3130" t="s">
        <v>64</v>
      </c>
      <c r="B3130" t="s">
        <v>73</v>
      </c>
      <c r="C3130" t="s">
        <v>1559</v>
      </c>
      <c r="D3130">
        <v>1</v>
      </c>
      <c r="E3130">
        <v>6</v>
      </c>
      <c r="F3130" t="s">
        <v>75</v>
      </c>
      <c r="G3130" t="s">
        <v>11</v>
      </c>
      <c r="H3130" t="s">
        <v>11</v>
      </c>
    </row>
    <row r="3131" spans="1:8" x14ac:dyDescent="0.35">
      <c r="A3131" t="s">
        <v>64</v>
      </c>
      <c r="B3131" t="s">
        <v>73</v>
      </c>
      <c r="C3131" t="s">
        <v>3154</v>
      </c>
      <c r="D3131">
        <v>1</v>
      </c>
      <c r="E3131">
        <v>5</v>
      </c>
      <c r="F3131" t="s">
        <v>75</v>
      </c>
      <c r="G3131" t="s">
        <v>11</v>
      </c>
      <c r="H3131" t="s">
        <v>11</v>
      </c>
    </row>
    <row r="3132" spans="1:8" x14ac:dyDescent="0.35">
      <c r="A3132" t="s">
        <v>64</v>
      </c>
      <c r="B3132" t="s">
        <v>73</v>
      </c>
      <c r="C3132" t="s">
        <v>3155</v>
      </c>
      <c r="D3132">
        <v>1</v>
      </c>
      <c r="E3132">
        <v>6</v>
      </c>
      <c r="F3132" t="s">
        <v>75</v>
      </c>
      <c r="G3132" t="s">
        <v>11</v>
      </c>
      <c r="H3132" t="s">
        <v>11</v>
      </c>
    </row>
    <row r="3133" spans="1:8" x14ac:dyDescent="0.35">
      <c r="A3133" t="s">
        <v>64</v>
      </c>
      <c r="B3133" t="s">
        <v>73</v>
      </c>
      <c r="C3133" t="s">
        <v>1451</v>
      </c>
      <c r="D3133">
        <v>1</v>
      </c>
      <c r="E3133">
        <v>6</v>
      </c>
      <c r="F3133" t="s">
        <v>75</v>
      </c>
      <c r="G3133" t="s">
        <v>11</v>
      </c>
      <c r="H3133" t="s">
        <v>11</v>
      </c>
    </row>
    <row r="3134" spans="1:8" x14ac:dyDescent="0.35">
      <c r="A3134" t="s">
        <v>64</v>
      </c>
      <c r="B3134" t="s">
        <v>73</v>
      </c>
      <c r="C3134" t="s">
        <v>3156</v>
      </c>
      <c r="D3134">
        <v>1</v>
      </c>
      <c r="E3134">
        <v>6</v>
      </c>
      <c r="F3134" t="s">
        <v>75</v>
      </c>
      <c r="G3134" t="s">
        <v>11</v>
      </c>
      <c r="H3134" t="s">
        <v>11</v>
      </c>
    </row>
    <row r="3135" spans="1:8" x14ac:dyDescent="0.35">
      <c r="A3135" t="s">
        <v>64</v>
      </c>
      <c r="B3135" t="s">
        <v>73</v>
      </c>
      <c r="C3135" t="s">
        <v>1453</v>
      </c>
      <c r="D3135">
        <v>1</v>
      </c>
      <c r="E3135">
        <v>7</v>
      </c>
      <c r="F3135" t="s">
        <v>11</v>
      </c>
      <c r="G3135" t="s">
        <v>11</v>
      </c>
      <c r="H3135" t="s">
        <v>11</v>
      </c>
    </row>
    <row r="3136" spans="1:8" x14ac:dyDescent="0.35">
      <c r="A3136" t="s">
        <v>64</v>
      </c>
      <c r="B3136" t="s">
        <v>73</v>
      </c>
      <c r="C3136" t="s">
        <v>3157</v>
      </c>
      <c r="D3136">
        <v>1</v>
      </c>
      <c r="E3136">
        <v>6</v>
      </c>
      <c r="F3136" t="s">
        <v>75</v>
      </c>
      <c r="G3136" t="s">
        <v>11</v>
      </c>
      <c r="H3136" t="s">
        <v>11</v>
      </c>
    </row>
    <row r="3137" spans="1:8" x14ac:dyDescent="0.35">
      <c r="A3137" t="s">
        <v>64</v>
      </c>
      <c r="B3137" t="s">
        <v>73</v>
      </c>
      <c r="C3137" t="s">
        <v>3158</v>
      </c>
      <c r="D3137">
        <v>1</v>
      </c>
      <c r="E3137">
        <v>6</v>
      </c>
      <c r="F3137" t="s">
        <v>75</v>
      </c>
      <c r="G3137" t="s">
        <v>11</v>
      </c>
      <c r="H3137" t="s">
        <v>11</v>
      </c>
    </row>
    <row r="3138" spans="1:8" x14ac:dyDescent="0.35">
      <c r="A3138" t="s">
        <v>64</v>
      </c>
      <c r="B3138" t="s">
        <v>73</v>
      </c>
      <c r="C3138" t="s">
        <v>1578</v>
      </c>
      <c r="D3138">
        <v>1</v>
      </c>
      <c r="E3138">
        <v>6</v>
      </c>
      <c r="F3138" t="s">
        <v>75</v>
      </c>
      <c r="G3138" t="s">
        <v>11</v>
      </c>
      <c r="H3138" t="s">
        <v>11</v>
      </c>
    </row>
    <row r="3139" spans="1:8" x14ac:dyDescent="0.35">
      <c r="A3139" t="s">
        <v>64</v>
      </c>
      <c r="B3139" t="s">
        <v>73</v>
      </c>
      <c r="C3139" t="s">
        <v>2331</v>
      </c>
      <c r="D3139">
        <v>2</v>
      </c>
      <c r="E3139">
        <v>5</v>
      </c>
      <c r="F3139" t="s">
        <v>75</v>
      </c>
      <c r="G3139" t="s">
        <v>11</v>
      </c>
      <c r="H3139" t="s">
        <v>11</v>
      </c>
    </row>
    <row r="3140" spans="1:8" x14ac:dyDescent="0.35">
      <c r="A3140" t="s">
        <v>64</v>
      </c>
      <c r="B3140" t="s">
        <v>73</v>
      </c>
      <c r="C3140" t="s">
        <v>1993</v>
      </c>
      <c r="D3140">
        <v>1</v>
      </c>
      <c r="E3140">
        <v>6</v>
      </c>
      <c r="F3140" t="s">
        <v>75</v>
      </c>
      <c r="G3140" t="s">
        <v>11</v>
      </c>
      <c r="H3140" t="s">
        <v>11</v>
      </c>
    </row>
    <row r="3141" spans="1:8" x14ac:dyDescent="0.35">
      <c r="A3141" t="s">
        <v>64</v>
      </c>
      <c r="B3141" t="s">
        <v>73</v>
      </c>
      <c r="C3141" t="s">
        <v>3159</v>
      </c>
      <c r="D3141">
        <v>1</v>
      </c>
      <c r="E3141">
        <v>7</v>
      </c>
      <c r="F3141" t="s">
        <v>11</v>
      </c>
      <c r="G3141" t="s">
        <v>11</v>
      </c>
      <c r="H3141" t="s">
        <v>11</v>
      </c>
    </row>
    <row r="3142" spans="1:8" x14ac:dyDescent="0.35">
      <c r="A3142" t="s">
        <v>64</v>
      </c>
      <c r="B3142" t="s">
        <v>73</v>
      </c>
      <c r="C3142" t="s">
        <v>3160</v>
      </c>
      <c r="D3142">
        <v>1</v>
      </c>
      <c r="E3142">
        <v>6</v>
      </c>
      <c r="F3142" t="s">
        <v>75</v>
      </c>
      <c r="G3142" t="s">
        <v>11</v>
      </c>
      <c r="H3142" t="s">
        <v>11</v>
      </c>
    </row>
    <row r="3143" spans="1:8" x14ac:dyDescent="0.35">
      <c r="A3143" t="s">
        <v>64</v>
      </c>
      <c r="B3143" t="s">
        <v>73</v>
      </c>
      <c r="C3143" t="s">
        <v>1797</v>
      </c>
      <c r="D3143">
        <v>1</v>
      </c>
      <c r="E3143">
        <v>7</v>
      </c>
      <c r="F3143" t="s">
        <v>11</v>
      </c>
      <c r="G3143" t="s">
        <v>11</v>
      </c>
      <c r="H3143" t="s">
        <v>11</v>
      </c>
    </row>
    <row r="3144" spans="1:8" x14ac:dyDescent="0.35">
      <c r="A3144" t="s">
        <v>64</v>
      </c>
      <c r="B3144" t="s">
        <v>73</v>
      </c>
      <c r="C3144" t="s">
        <v>3161</v>
      </c>
      <c r="D3144">
        <v>1</v>
      </c>
      <c r="E3144">
        <v>6</v>
      </c>
      <c r="F3144" t="s">
        <v>75</v>
      </c>
      <c r="G3144" t="s">
        <v>11</v>
      </c>
      <c r="H3144" t="s">
        <v>11</v>
      </c>
    </row>
    <row r="3145" spans="1:8" x14ac:dyDescent="0.35">
      <c r="A3145" t="s">
        <v>64</v>
      </c>
      <c r="B3145" t="s">
        <v>73</v>
      </c>
      <c r="C3145" t="s">
        <v>3162</v>
      </c>
      <c r="D3145">
        <v>1</v>
      </c>
      <c r="E3145">
        <v>6</v>
      </c>
      <c r="F3145" t="s">
        <v>75</v>
      </c>
      <c r="G3145" t="s">
        <v>11</v>
      </c>
      <c r="H3145" t="s">
        <v>11</v>
      </c>
    </row>
    <row r="3146" spans="1:8" x14ac:dyDescent="0.35">
      <c r="A3146" t="s">
        <v>64</v>
      </c>
      <c r="B3146" t="s">
        <v>73</v>
      </c>
      <c r="C3146" t="s">
        <v>3163</v>
      </c>
      <c r="D3146">
        <v>2</v>
      </c>
      <c r="E3146">
        <v>6</v>
      </c>
      <c r="F3146" t="s">
        <v>75</v>
      </c>
      <c r="G3146" t="s">
        <v>11</v>
      </c>
      <c r="H3146" t="s">
        <v>11</v>
      </c>
    </row>
  </sheetData>
  <sheetProtection algorithmName="SHA-512" hashValue="gnGfc50e0YXvRoX3GtGZOVp0wUk8PrSdYM8N9h+nqAgP1vYMOIufGWOYlmpuUy4C2HtALNy2UqC84TTqFgDVqg==" saltValue="UOZb8oAc2sDa8uGF8/S/hQ==" spinCount="100000" sheet="1" objects="1" scenarios="1" selectLockedCells="1" selectUnlockedCells="1"/>
  <sortState xmlns:xlrd2="http://schemas.microsoft.com/office/spreadsheetml/2017/richdata2" ref="J2:J52">
    <sortCondition ref="J52"/>
  </sortState>
  <dataConsolid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J17"/>
  <sheetViews>
    <sheetView showGridLines="0" zoomScaleNormal="100" workbookViewId="0"/>
  </sheetViews>
  <sheetFormatPr defaultColWidth="9.1796875" defaultRowHeight="14.5" x14ac:dyDescent="0.35"/>
  <cols>
    <col min="2" max="2" width="15.453125" customWidth="1"/>
    <col min="3" max="10" width="11.453125" customWidth="1"/>
  </cols>
  <sheetData>
    <row r="2" spans="2:10" x14ac:dyDescent="0.35">
      <c r="B2" s="1088" t="s">
        <v>3757</v>
      </c>
      <c r="C2" s="1088"/>
      <c r="H2" s="1085" t="s">
        <v>4568</v>
      </c>
      <c r="I2" s="1086"/>
      <c r="J2" s="1087"/>
    </row>
    <row r="3" spans="2:10" x14ac:dyDescent="0.35">
      <c r="B3" s="1104" t="s">
        <v>3651</v>
      </c>
      <c r="C3" s="1104"/>
      <c r="D3" s="1104"/>
      <c r="E3" s="1104"/>
      <c r="F3" s="1104"/>
      <c r="G3" s="1104"/>
      <c r="H3" s="1104"/>
      <c r="I3" s="1104"/>
      <c r="J3" s="1104"/>
    </row>
    <row r="4" spans="2:10" x14ac:dyDescent="0.35">
      <c r="B4" s="1103" t="s">
        <v>3650</v>
      </c>
      <c r="C4" s="1103"/>
      <c r="D4" s="1103"/>
      <c r="E4" s="1103"/>
      <c r="F4" s="1103"/>
      <c r="G4" s="1103"/>
      <c r="H4" s="1103"/>
      <c r="I4" s="1103"/>
      <c r="J4" s="1103"/>
    </row>
    <row r="5" spans="2:10" ht="32.25" customHeight="1" x14ac:dyDescent="0.35">
      <c r="B5" s="232" t="s">
        <v>3649</v>
      </c>
      <c r="C5" s="232" t="s">
        <v>3648</v>
      </c>
      <c r="D5" s="232" t="s">
        <v>3647</v>
      </c>
      <c r="E5" s="231" t="s">
        <v>3646</v>
      </c>
      <c r="F5" s="231" t="s">
        <v>3645</v>
      </c>
      <c r="G5" s="231" t="s">
        <v>3644</v>
      </c>
      <c r="H5" s="231" t="s">
        <v>3643</v>
      </c>
      <c r="I5" s="231" t="s">
        <v>3642</v>
      </c>
      <c r="J5" s="231" t="s">
        <v>3641</v>
      </c>
    </row>
    <row r="6" spans="2:10" x14ac:dyDescent="0.35">
      <c r="B6" s="230">
        <v>1</v>
      </c>
      <c r="C6" s="229">
        <v>0.5</v>
      </c>
      <c r="D6" s="228">
        <v>0.75</v>
      </c>
      <c r="E6" s="228">
        <v>3.5000000000000003E-2</v>
      </c>
      <c r="F6" s="228">
        <v>8.4000000000000005E-2</v>
      </c>
      <c r="G6" s="224">
        <v>0.19700000000000001</v>
      </c>
      <c r="H6" s="224">
        <v>6.4000000000000001E-2</v>
      </c>
      <c r="I6" s="224">
        <v>0.36</v>
      </c>
      <c r="J6" s="224">
        <v>0.47699999999999998</v>
      </c>
    </row>
    <row r="7" spans="2:10" x14ac:dyDescent="0.35">
      <c r="B7" s="230">
        <v>2</v>
      </c>
      <c r="C7" s="229">
        <v>0.4</v>
      </c>
      <c r="D7" s="228">
        <v>0.65</v>
      </c>
      <c r="E7" s="224">
        <v>0.03</v>
      </c>
      <c r="F7" s="228">
        <v>8.4000000000000005E-2</v>
      </c>
      <c r="G7" s="224">
        <v>0.16500000000000001</v>
      </c>
      <c r="H7" s="224">
        <v>6.4000000000000001E-2</v>
      </c>
      <c r="I7" s="224">
        <v>0.36</v>
      </c>
      <c r="J7" s="224">
        <v>0.47699999999999998</v>
      </c>
    </row>
    <row r="8" spans="2:10" x14ac:dyDescent="0.35">
      <c r="B8" s="226">
        <v>3</v>
      </c>
      <c r="C8" s="226">
        <v>0.35</v>
      </c>
      <c r="D8" s="218">
        <v>0.55000000000000004</v>
      </c>
      <c r="E8" s="224">
        <v>0.03</v>
      </c>
      <c r="F8" s="224">
        <v>0.06</v>
      </c>
      <c r="G8" s="225">
        <v>9.8000000000000004E-2</v>
      </c>
      <c r="H8" s="224">
        <v>4.7E-2</v>
      </c>
      <c r="I8" s="227" t="s">
        <v>3640</v>
      </c>
      <c r="J8" s="224">
        <v>0.13600000000000001</v>
      </c>
    </row>
    <row r="9" spans="2:10" ht="15" customHeight="1" x14ac:dyDescent="0.35">
      <c r="B9" s="226" t="s">
        <v>3639</v>
      </c>
      <c r="C9" s="87">
        <v>0.35</v>
      </c>
      <c r="D9" s="218">
        <v>0.55000000000000004</v>
      </c>
      <c r="E9" s="224">
        <v>2.5999999999999999E-2</v>
      </c>
      <c r="F9" s="224">
        <v>0.06</v>
      </c>
      <c r="G9" s="225">
        <v>9.8000000000000004E-2</v>
      </c>
      <c r="H9" s="224">
        <v>4.7E-2</v>
      </c>
      <c r="I9" s="224">
        <v>5.8999999999999997E-2</v>
      </c>
      <c r="J9" s="224">
        <v>6.5000000000000002E-2</v>
      </c>
    </row>
    <row r="10" spans="2:10" ht="15" customHeight="1" x14ac:dyDescent="0.35">
      <c r="B10" s="226" t="s">
        <v>3638</v>
      </c>
      <c r="C10" s="87">
        <v>0.32</v>
      </c>
      <c r="D10" s="218">
        <v>0.55000000000000004</v>
      </c>
      <c r="E10" s="224">
        <v>2.5999999999999999E-2</v>
      </c>
      <c r="F10" s="224">
        <v>0.06</v>
      </c>
      <c r="G10" s="225">
        <v>8.2000000000000003E-2</v>
      </c>
      <c r="H10" s="224">
        <v>3.3000000000000002E-2</v>
      </c>
      <c r="I10" s="224">
        <v>0.05</v>
      </c>
      <c r="J10" s="224">
        <v>5.5E-2</v>
      </c>
    </row>
    <row r="11" spans="2:10" ht="15" customHeight="1" x14ac:dyDescent="0.35">
      <c r="B11" s="226">
        <v>6</v>
      </c>
      <c r="C11" s="87">
        <v>0.32</v>
      </c>
      <c r="D11" s="87">
        <v>0.55000000000000004</v>
      </c>
      <c r="E11" s="224">
        <v>2.5999999999999999E-2</v>
      </c>
      <c r="F11" s="224">
        <v>4.4999999999999998E-2</v>
      </c>
      <c r="G11" s="225">
        <v>0.06</v>
      </c>
      <c r="H11" s="224">
        <v>3.3000000000000002E-2</v>
      </c>
      <c r="I11" s="224">
        <v>0.05</v>
      </c>
      <c r="J11" s="224">
        <v>5.5E-2</v>
      </c>
    </row>
    <row r="12" spans="2:10" x14ac:dyDescent="0.35">
      <c r="B12" s="87" t="s">
        <v>3637</v>
      </c>
      <c r="C12" s="87">
        <v>0.32</v>
      </c>
      <c r="D12" s="218">
        <v>0.55000000000000004</v>
      </c>
      <c r="E12" s="224">
        <v>2.5999999999999999E-2</v>
      </c>
      <c r="F12" s="224">
        <v>4.4999999999999998E-2</v>
      </c>
      <c r="G12" s="225">
        <v>5.7000000000000002E-2</v>
      </c>
      <c r="H12" s="224">
        <v>2.8000000000000001E-2</v>
      </c>
      <c r="I12" s="224">
        <v>0.05</v>
      </c>
      <c r="J12" s="224">
        <v>5.5E-2</v>
      </c>
    </row>
    <row r="13" spans="2:10" x14ac:dyDescent="0.35">
      <c r="B13" s="1105" t="s">
        <v>3636</v>
      </c>
      <c r="C13" s="1106"/>
      <c r="D13" s="1106"/>
      <c r="E13" s="1106"/>
      <c r="F13" s="1106"/>
      <c r="G13" s="1106"/>
      <c r="H13" s="1106"/>
      <c r="I13" s="1106"/>
      <c r="J13" s="1107"/>
    </row>
    <row r="14" spans="2:10" x14ac:dyDescent="0.35">
      <c r="B14" s="1108" t="s">
        <v>3635</v>
      </c>
      <c r="C14" s="1109"/>
      <c r="D14" s="1109"/>
      <c r="E14" s="1109"/>
      <c r="F14" s="1109"/>
      <c r="G14" s="1109"/>
      <c r="H14" s="1109"/>
      <c r="I14" s="1109"/>
      <c r="J14" s="1110"/>
    </row>
    <row r="15" spans="2:10" x14ac:dyDescent="0.35">
      <c r="B15" s="1108"/>
      <c r="C15" s="1109"/>
      <c r="D15" s="1109"/>
      <c r="E15" s="1109"/>
      <c r="F15" s="1109"/>
      <c r="G15" s="1109"/>
      <c r="H15" s="1109"/>
      <c r="I15" s="1109"/>
      <c r="J15" s="1110"/>
    </row>
    <row r="16" spans="2:10" x14ac:dyDescent="0.35">
      <c r="B16" s="1111" t="s">
        <v>3634</v>
      </c>
      <c r="C16" s="1112"/>
      <c r="D16" s="1112"/>
      <c r="E16" s="1112"/>
      <c r="F16" s="1112"/>
      <c r="G16" s="1112"/>
      <c r="H16" s="1112"/>
      <c r="I16" s="1112"/>
      <c r="J16" s="1113"/>
    </row>
    <row r="17" spans="2:10" x14ac:dyDescent="0.35">
      <c r="B17" s="813" t="s">
        <v>3654</v>
      </c>
      <c r="C17" s="813"/>
      <c r="D17" s="813"/>
      <c r="E17" s="813"/>
      <c r="F17" s="813"/>
      <c r="G17" s="813"/>
      <c r="H17" s="813"/>
      <c r="I17" s="813"/>
      <c r="J17" s="813"/>
    </row>
  </sheetData>
  <sheetProtection algorithmName="SHA-512" hashValue="Vtpti/3FURD96oRRyOKmQH6uPgao9OkJQWdJay37mS0zUl/XeE+knB0D2sa4weEPjFuICbyjm9j2RikYXEdyow==" saltValue="GKJvYi7tO/mmVR5xO/FFHQ==" spinCount="100000" sheet="1" objects="1" scenarios="1" selectLockedCells="1"/>
  <mergeCells count="8">
    <mergeCell ref="B2:C2"/>
    <mergeCell ref="B17:J17"/>
    <mergeCell ref="B4:J4"/>
    <mergeCell ref="B3:J3"/>
    <mergeCell ref="B13:J13"/>
    <mergeCell ref="B14:J15"/>
    <mergeCell ref="B16:J16"/>
    <mergeCell ref="H2:J2"/>
  </mergeCells>
  <hyperlinks>
    <hyperlink ref="B2:C2" location="hyptarg7.2" display="back to 703.2.1" xr:uid="{00000000-0004-0000-1D00-000000000000}"/>
    <hyperlink ref="H2:I2" location="'Verification Report'!A1" display="back to Verification Report" xr:uid="{00000000-0004-0000-1D00-000001000000}"/>
    <hyperlink ref="H2:J2" location="'Verification Report'!A1" display="back to Verification Report" xr:uid="{00000000-0004-0000-1D00-000002000000}"/>
  </hyperlinks>
  <pageMargins left="0.7" right="0.7" top="0.75" bottom="0.75" header="0.3" footer="0.3"/>
  <pageSetup scale="77"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J17"/>
  <sheetViews>
    <sheetView showGridLines="0" zoomScaleNormal="100" workbookViewId="0"/>
  </sheetViews>
  <sheetFormatPr defaultColWidth="9.1796875" defaultRowHeight="14.5" x14ac:dyDescent="0.35"/>
  <cols>
    <col min="1" max="1" width="5.26953125" customWidth="1"/>
    <col min="2" max="2" width="14.453125" customWidth="1"/>
    <col min="3" max="10" width="8.7265625" customWidth="1"/>
  </cols>
  <sheetData>
    <row r="2" spans="2:10" x14ac:dyDescent="0.35">
      <c r="B2" s="1088" t="s">
        <v>3757</v>
      </c>
      <c r="C2" s="1088"/>
      <c r="H2" s="1085" t="s">
        <v>4568</v>
      </c>
      <c r="I2" s="1086"/>
      <c r="J2" s="1087"/>
    </row>
    <row r="4" spans="2:10" x14ac:dyDescent="0.35">
      <c r="B4" s="1104" t="s">
        <v>3667</v>
      </c>
      <c r="C4" s="1104"/>
      <c r="D4" s="1104"/>
      <c r="E4" s="1104"/>
      <c r="F4" s="1104"/>
      <c r="G4" s="1104"/>
      <c r="H4" s="1104"/>
      <c r="I4" s="1104"/>
      <c r="J4" s="1104"/>
    </row>
    <row r="5" spans="2:10" x14ac:dyDescent="0.35">
      <c r="B5" s="1103" t="s">
        <v>3666</v>
      </c>
      <c r="C5" s="1103"/>
      <c r="D5" s="1103"/>
      <c r="E5" s="1103"/>
      <c r="F5" s="1103"/>
      <c r="G5" s="1103"/>
      <c r="H5" s="1103"/>
      <c r="I5" s="1103"/>
      <c r="J5" s="1103"/>
    </row>
    <row r="6" spans="2:10" x14ac:dyDescent="0.35">
      <c r="B6" s="1118" t="s">
        <v>3665</v>
      </c>
      <c r="C6" s="1115" t="s">
        <v>3649</v>
      </c>
      <c r="D6" s="1116"/>
      <c r="E6" s="1116"/>
      <c r="F6" s="1116"/>
      <c r="G6" s="1116"/>
      <c r="H6" s="1116"/>
      <c r="I6" s="1116"/>
      <c r="J6" s="1117"/>
    </row>
    <row r="7" spans="2:10" x14ac:dyDescent="0.35">
      <c r="B7" s="1119"/>
      <c r="C7" s="237" t="s">
        <v>3664</v>
      </c>
      <c r="D7" s="236">
        <v>2</v>
      </c>
      <c r="E7" s="236">
        <v>3</v>
      </c>
      <c r="F7" s="236">
        <v>4</v>
      </c>
      <c r="G7" s="236">
        <v>5</v>
      </c>
      <c r="H7" s="236">
        <v>6</v>
      </c>
      <c r="I7" s="236">
        <v>7</v>
      </c>
      <c r="J7" s="236">
        <v>8</v>
      </c>
    </row>
    <row r="8" spans="2:10" x14ac:dyDescent="0.35">
      <c r="B8" s="1120"/>
      <c r="C8" s="1121" t="s">
        <v>3216</v>
      </c>
      <c r="D8" s="1122"/>
      <c r="E8" s="1122"/>
      <c r="F8" s="1122"/>
      <c r="G8" s="1122"/>
      <c r="H8" s="1122"/>
      <c r="I8" s="1122"/>
      <c r="J8" s="1123"/>
    </row>
    <row r="9" spans="2:10" x14ac:dyDescent="0.35">
      <c r="B9" s="226" t="s">
        <v>3663</v>
      </c>
      <c r="C9" s="235">
        <v>0</v>
      </c>
      <c r="D9" s="90">
        <v>0</v>
      </c>
      <c r="E9" s="231">
        <v>0</v>
      </c>
      <c r="F9" s="231">
        <v>0</v>
      </c>
      <c r="G9" s="233">
        <v>0</v>
      </c>
      <c r="H9" s="231">
        <v>0</v>
      </c>
      <c r="I9" s="234">
        <v>0</v>
      </c>
      <c r="J9" s="231">
        <v>0</v>
      </c>
    </row>
    <row r="10" spans="2:10" ht="15" customHeight="1" x14ac:dyDescent="0.35">
      <c r="B10" s="226" t="s">
        <v>3662</v>
      </c>
      <c r="C10" s="235">
        <v>2</v>
      </c>
      <c r="D10" s="89">
        <v>3</v>
      </c>
      <c r="E10" s="231">
        <v>3</v>
      </c>
      <c r="F10" s="231">
        <v>3</v>
      </c>
      <c r="G10" s="233">
        <v>3</v>
      </c>
      <c r="H10" s="231">
        <v>3</v>
      </c>
      <c r="I10" s="234">
        <v>3</v>
      </c>
      <c r="J10" s="231">
        <v>3</v>
      </c>
    </row>
    <row r="11" spans="2:10" ht="15" customHeight="1" x14ac:dyDescent="0.35">
      <c r="B11" s="226" t="s">
        <v>3661</v>
      </c>
      <c r="C11" s="235">
        <v>3</v>
      </c>
      <c r="D11" s="89">
        <v>6</v>
      </c>
      <c r="E11" s="231">
        <v>5</v>
      </c>
      <c r="F11" s="231">
        <v>6</v>
      </c>
      <c r="G11" s="233">
        <v>6</v>
      </c>
      <c r="H11" s="231">
        <v>6</v>
      </c>
      <c r="I11" s="234">
        <v>5</v>
      </c>
      <c r="J11" s="231">
        <v>7</v>
      </c>
    </row>
    <row r="12" spans="2:10" ht="15" customHeight="1" x14ac:dyDescent="0.35">
      <c r="B12" s="226" t="s">
        <v>3660</v>
      </c>
      <c r="C12" s="235">
        <v>5</v>
      </c>
      <c r="D12" s="89">
        <v>9</v>
      </c>
      <c r="E12" s="231">
        <v>8</v>
      </c>
      <c r="F12" s="231">
        <v>9</v>
      </c>
      <c r="G12" s="233">
        <v>9</v>
      </c>
      <c r="H12" s="231">
        <v>9</v>
      </c>
      <c r="I12" s="234">
        <v>8</v>
      </c>
      <c r="J12" s="231">
        <v>10</v>
      </c>
    </row>
    <row r="13" spans="2:10" ht="15" customHeight="1" x14ac:dyDescent="0.35">
      <c r="B13" s="226" t="s">
        <v>3659</v>
      </c>
      <c r="C13" s="89">
        <v>6</v>
      </c>
      <c r="D13" s="90">
        <v>12</v>
      </c>
      <c r="E13" s="231">
        <v>10</v>
      </c>
      <c r="F13" s="231">
        <v>12</v>
      </c>
      <c r="G13" s="233">
        <v>12</v>
      </c>
      <c r="H13" s="231">
        <v>12</v>
      </c>
      <c r="I13" s="231">
        <v>11</v>
      </c>
      <c r="J13" s="231">
        <v>13</v>
      </c>
    </row>
    <row r="14" spans="2:10" ht="15" customHeight="1" x14ac:dyDescent="0.35">
      <c r="B14" s="226" t="s">
        <v>3658</v>
      </c>
      <c r="C14" s="89">
        <v>8</v>
      </c>
      <c r="D14" s="90">
        <v>15</v>
      </c>
      <c r="E14" s="231">
        <v>13</v>
      </c>
      <c r="F14" s="231">
        <v>16</v>
      </c>
      <c r="G14" s="233">
        <v>14</v>
      </c>
      <c r="H14" s="231">
        <v>15</v>
      </c>
      <c r="I14" s="231">
        <v>14</v>
      </c>
      <c r="J14" s="231">
        <v>17</v>
      </c>
    </row>
    <row r="15" spans="2:10" ht="15" customHeight="1" x14ac:dyDescent="0.35">
      <c r="B15" s="226" t="s">
        <v>3657</v>
      </c>
      <c r="C15" s="89">
        <v>10</v>
      </c>
      <c r="D15" s="89">
        <v>18</v>
      </c>
      <c r="E15" s="231">
        <v>16</v>
      </c>
      <c r="F15" s="231">
        <v>19</v>
      </c>
      <c r="G15" s="233">
        <v>17</v>
      </c>
      <c r="H15" s="231">
        <v>18</v>
      </c>
      <c r="I15" s="231">
        <v>16</v>
      </c>
      <c r="J15" s="231">
        <v>20</v>
      </c>
    </row>
    <row r="16" spans="2:10" x14ac:dyDescent="0.35">
      <c r="B16" s="226" t="s">
        <v>3656</v>
      </c>
      <c r="C16" s="89">
        <v>11</v>
      </c>
      <c r="D16" s="90">
        <v>21</v>
      </c>
      <c r="E16" s="231">
        <v>18</v>
      </c>
      <c r="F16" s="231">
        <v>22</v>
      </c>
      <c r="G16" s="233">
        <v>20</v>
      </c>
      <c r="H16" s="231">
        <v>21</v>
      </c>
      <c r="I16" s="231">
        <v>19</v>
      </c>
      <c r="J16" s="231">
        <v>23</v>
      </c>
    </row>
    <row r="17" spans="2:10" x14ac:dyDescent="0.35">
      <c r="B17" s="1114" t="s">
        <v>3655</v>
      </c>
      <c r="C17" s="1114"/>
      <c r="D17" s="1114"/>
      <c r="E17" s="1114"/>
      <c r="F17" s="1114"/>
      <c r="G17" s="1114"/>
      <c r="H17" s="1114"/>
      <c r="I17" s="1114"/>
      <c r="J17" s="1114"/>
    </row>
  </sheetData>
  <sheetProtection algorithmName="SHA-512" hashValue="diOu/B61IC0JVhiJdryxgCyS0nVh5T0dLZVRwLLDSzeDVw2heQDonyk3PAMEe/dUfkxUQIF2WMAyq6h1y7qLTg==" saltValue="J11HfAuoYL21+O/zmTNpYw==" spinCount="100000" sheet="1" objects="1" scenarios="1" selectLockedCells="1"/>
  <mergeCells count="8">
    <mergeCell ref="B2:C2"/>
    <mergeCell ref="B17:J17"/>
    <mergeCell ref="B4:J4"/>
    <mergeCell ref="B5:J5"/>
    <mergeCell ref="C6:J6"/>
    <mergeCell ref="B6:B8"/>
    <mergeCell ref="C8:J8"/>
    <mergeCell ref="H2:J2"/>
  </mergeCells>
  <hyperlinks>
    <hyperlink ref="B2:C2" location="hyptarg7.2" display="back to 703.2.1" xr:uid="{00000000-0004-0000-1E00-000000000000}"/>
    <hyperlink ref="H2:I2" location="'Verification Report'!A1" display="back to Verification Report" xr:uid="{00000000-0004-0000-1E00-000001000000}"/>
    <hyperlink ref="H2:J2" location="'Verification Report'!A1" display="back to Verification Report" xr:uid="{00000000-0004-0000-1E00-000002000000}"/>
  </hyperlinks>
  <pageMargins left="0.7" right="0.7" top="0.75" bottom="0.75" header="0.3" footer="0.3"/>
  <pageSetup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G15"/>
  <sheetViews>
    <sheetView showGridLines="0" zoomScaleNormal="100" workbookViewId="0"/>
  </sheetViews>
  <sheetFormatPr defaultColWidth="9.1796875" defaultRowHeight="14.5" x14ac:dyDescent="0.35"/>
  <cols>
    <col min="1" max="1" width="4.7265625" customWidth="1"/>
    <col min="2" max="2" width="15" bestFit="1" customWidth="1"/>
  </cols>
  <sheetData>
    <row r="2" spans="2:7" x14ac:dyDescent="0.35">
      <c r="B2" s="1088" t="s">
        <v>4028</v>
      </c>
      <c r="C2" s="1088"/>
      <c r="E2" s="1085" t="s">
        <v>4568</v>
      </c>
      <c r="F2" s="1086"/>
      <c r="G2" s="1087"/>
    </row>
    <row r="4" spans="2:7" x14ac:dyDescent="0.35">
      <c r="B4" s="1104" t="s">
        <v>3674</v>
      </c>
      <c r="C4" s="1104"/>
      <c r="D4" s="1104"/>
      <c r="E4" s="1104"/>
      <c r="F4" s="1104"/>
    </row>
    <row r="5" spans="2:7" x14ac:dyDescent="0.35">
      <c r="B5" s="1103" t="s">
        <v>3673</v>
      </c>
      <c r="C5" s="1103"/>
      <c r="D5" s="1103"/>
      <c r="E5" s="1103"/>
      <c r="F5" s="1103"/>
    </row>
    <row r="6" spans="2:7" x14ac:dyDescent="0.35">
      <c r="B6" s="1118" t="s">
        <v>3672</v>
      </c>
      <c r="C6" s="1124" t="s">
        <v>3649</v>
      </c>
      <c r="D6" s="1124"/>
      <c r="E6" s="1124"/>
      <c r="F6" s="1124"/>
    </row>
    <row r="7" spans="2:7" x14ac:dyDescent="0.35">
      <c r="B7" s="1119"/>
      <c r="C7" s="240" t="s">
        <v>3671</v>
      </c>
      <c r="D7" s="236">
        <v>5</v>
      </c>
      <c r="E7" s="236">
        <v>6</v>
      </c>
      <c r="F7" s="239" t="s">
        <v>3670</v>
      </c>
    </row>
    <row r="8" spans="2:7" x14ac:dyDescent="0.35">
      <c r="B8" s="1120"/>
      <c r="C8" s="1121" t="s">
        <v>3216</v>
      </c>
      <c r="D8" s="1122"/>
      <c r="E8" s="1122"/>
      <c r="F8" s="1122"/>
    </row>
    <row r="9" spans="2:7" ht="15" customHeight="1" x14ac:dyDescent="0.35">
      <c r="B9" s="226" t="s">
        <v>3669</v>
      </c>
      <c r="C9" s="235">
        <v>1</v>
      </c>
      <c r="D9" s="90">
        <v>0</v>
      </c>
      <c r="E9" s="231">
        <v>0</v>
      </c>
      <c r="F9" s="231">
        <v>0</v>
      </c>
    </row>
    <row r="10" spans="2:7" x14ac:dyDescent="0.35">
      <c r="B10" s="226" t="s">
        <v>3668</v>
      </c>
      <c r="C10" s="235">
        <v>3</v>
      </c>
      <c r="D10" s="89">
        <v>2</v>
      </c>
      <c r="E10" s="231">
        <v>2</v>
      </c>
      <c r="F10" s="231">
        <v>0</v>
      </c>
    </row>
    <row r="15" spans="2:7" x14ac:dyDescent="0.35">
      <c r="F15" s="238"/>
    </row>
  </sheetData>
  <sheetProtection algorithmName="SHA-512" hashValue="l5DSzIjfS/5pbcFt4F1/Z7vRh75tSymgSYuuvmryitJGJ/7lG3efRzxDgqrb7D3oi3+Y/eEnZ4jxnWVG1HsGnw==" saltValue="1mOmC1kWkS4ok6Owv3H1kA==" spinCount="100000" sheet="1" objects="1" scenarios="1" selectLockedCells="1"/>
  <mergeCells count="7">
    <mergeCell ref="B2:C2"/>
    <mergeCell ref="B6:B8"/>
    <mergeCell ref="C6:F6"/>
    <mergeCell ref="C8:F8"/>
    <mergeCell ref="B4:F4"/>
    <mergeCell ref="B5:F5"/>
    <mergeCell ref="E2:G2"/>
  </mergeCells>
  <hyperlinks>
    <hyperlink ref="B2:C2" location="hyptarg7.3" display="back to 703.2.2" xr:uid="{00000000-0004-0000-1F00-000000000000}"/>
    <hyperlink ref="E2:F2" location="'Verification Report'!A1" display="back to Verification Report" xr:uid="{00000000-0004-0000-1F00-000001000000}"/>
    <hyperlink ref="E2:G2" location="'Verification Report'!A1" display="back to Verification Report" xr:uid="{00000000-0004-0000-1F00-000002000000}"/>
  </hyperlinks>
  <pageMargins left="0.7" right="0.7" top="0.75" bottom="0.75" header="0.3" footer="0.3"/>
  <pageSetup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2:J14"/>
  <sheetViews>
    <sheetView showGridLines="0" zoomScaleNormal="100" workbookViewId="0"/>
  </sheetViews>
  <sheetFormatPr defaultColWidth="9.1796875" defaultRowHeight="14.5" x14ac:dyDescent="0.35"/>
  <cols>
    <col min="1" max="1" width="4" customWidth="1"/>
    <col min="2" max="2" width="12.1796875" customWidth="1"/>
    <col min="3" max="10" width="5.26953125" customWidth="1"/>
  </cols>
  <sheetData>
    <row r="2" spans="2:10" x14ac:dyDescent="0.35">
      <c r="B2" s="1088" t="s">
        <v>4029</v>
      </c>
      <c r="C2" s="1088"/>
      <c r="G2" s="1085" t="s">
        <v>4568</v>
      </c>
      <c r="H2" s="1086"/>
      <c r="I2" s="1086"/>
      <c r="J2" s="1087"/>
    </row>
    <row r="4" spans="2:10" x14ac:dyDescent="0.35">
      <c r="B4" s="1104" t="s">
        <v>3680</v>
      </c>
      <c r="C4" s="1104"/>
      <c r="D4" s="1104"/>
      <c r="E4" s="1104"/>
      <c r="F4" s="1104"/>
      <c r="G4" s="1104"/>
      <c r="H4" s="1104"/>
      <c r="I4" s="1104"/>
      <c r="J4" s="1104"/>
    </row>
    <row r="5" spans="2:10" x14ac:dyDescent="0.35">
      <c r="B5" s="1103" t="s">
        <v>3679</v>
      </c>
      <c r="C5" s="1103"/>
      <c r="D5" s="1103"/>
      <c r="E5" s="1103"/>
      <c r="F5" s="1103"/>
      <c r="G5" s="1103"/>
      <c r="H5" s="1103"/>
      <c r="I5" s="1103"/>
      <c r="J5" s="1103"/>
    </row>
    <row r="6" spans="2:10" x14ac:dyDescent="0.35">
      <c r="B6" s="1126" t="s">
        <v>3678</v>
      </c>
      <c r="C6" s="1129" t="s">
        <v>3649</v>
      </c>
      <c r="D6" s="1130"/>
      <c r="E6" s="1130"/>
      <c r="F6" s="1130"/>
      <c r="G6" s="1130"/>
      <c r="H6" s="1130"/>
      <c r="I6" s="1130"/>
      <c r="J6" s="1131"/>
    </row>
    <row r="7" spans="2:10" x14ac:dyDescent="0.35">
      <c r="B7" s="1127"/>
      <c r="C7" s="237">
        <v>1</v>
      </c>
      <c r="D7" s="236">
        <v>2</v>
      </c>
      <c r="E7" s="236">
        <v>3</v>
      </c>
      <c r="F7" s="236">
        <v>4</v>
      </c>
      <c r="G7" s="236">
        <v>5</v>
      </c>
      <c r="H7" s="236">
        <v>6</v>
      </c>
      <c r="I7" s="236">
        <v>7</v>
      </c>
      <c r="J7" s="236">
        <v>8</v>
      </c>
    </row>
    <row r="8" spans="2:10" x14ac:dyDescent="0.35">
      <c r="B8" s="1128"/>
      <c r="C8" s="1121" t="s">
        <v>3216</v>
      </c>
      <c r="D8" s="1122"/>
      <c r="E8" s="1122"/>
      <c r="F8" s="1122"/>
      <c r="G8" s="1122"/>
      <c r="H8" s="1122"/>
      <c r="I8" s="1122"/>
      <c r="J8" s="1123"/>
    </row>
    <row r="9" spans="2:10" x14ac:dyDescent="0.35">
      <c r="B9" s="226" t="s">
        <v>3766</v>
      </c>
      <c r="C9" s="235">
        <v>1</v>
      </c>
      <c r="D9" s="90">
        <v>2</v>
      </c>
      <c r="E9" s="241" t="s">
        <v>3677</v>
      </c>
      <c r="F9" s="241" t="s">
        <v>3677</v>
      </c>
      <c r="G9" s="243" t="s">
        <v>3677</v>
      </c>
      <c r="H9" s="241" t="s">
        <v>3677</v>
      </c>
      <c r="I9" s="242" t="s">
        <v>3677</v>
      </c>
      <c r="J9" s="241" t="s">
        <v>3677</v>
      </c>
    </row>
    <row r="10" spans="2:10" x14ac:dyDescent="0.35">
      <c r="B10" s="226" t="s">
        <v>3767</v>
      </c>
      <c r="C10" s="235">
        <v>2</v>
      </c>
      <c r="D10" s="89">
        <v>4</v>
      </c>
      <c r="E10" s="241" t="s">
        <v>3677</v>
      </c>
      <c r="F10" s="241" t="s">
        <v>3677</v>
      </c>
      <c r="G10" s="243" t="s">
        <v>3677</v>
      </c>
      <c r="H10" s="241" t="s">
        <v>3677</v>
      </c>
      <c r="I10" s="242" t="s">
        <v>3677</v>
      </c>
      <c r="J10" s="241" t="s">
        <v>3677</v>
      </c>
    </row>
    <row r="11" spans="2:10" x14ac:dyDescent="0.35">
      <c r="B11" s="226" t="s">
        <v>3768</v>
      </c>
      <c r="C11" s="235">
        <v>3</v>
      </c>
      <c r="D11" s="89">
        <v>5</v>
      </c>
      <c r="E11" s="231">
        <v>3</v>
      </c>
      <c r="F11" s="231">
        <v>4</v>
      </c>
      <c r="G11" s="233">
        <v>4</v>
      </c>
      <c r="H11" s="231">
        <v>6</v>
      </c>
      <c r="I11" s="234">
        <v>8</v>
      </c>
      <c r="J11" s="231">
        <v>7</v>
      </c>
    </row>
    <row r="12" spans="2:10" x14ac:dyDescent="0.35">
      <c r="B12" s="226" t="s">
        <v>3769</v>
      </c>
      <c r="C12" s="235">
        <v>4</v>
      </c>
      <c r="D12" s="89">
        <v>7</v>
      </c>
      <c r="E12" s="231">
        <v>5</v>
      </c>
      <c r="F12" s="231">
        <v>7</v>
      </c>
      <c r="G12" s="233">
        <v>7</v>
      </c>
      <c r="H12" s="231">
        <v>10</v>
      </c>
      <c r="I12" s="234">
        <v>15</v>
      </c>
      <c r="J12" s="231">
        <v>11</v>
      </c>
    </row>
    <row r="14" spans="2:10" x14ac:dyDescent="0.35">
      <c r="B14" s="1125" t="s">
        <v>3676</v>
      </c>
      <c r="C14" s="1125"/>
      <c r="D14" s="1125"/>
      <c r="E14" s="1125"/>
      <c r="F14" s="1125"/>
      <c r="G14" s="1125"/>
      <c r="H14" s="1125"/>
      <c r="I14" s="1125"/>
      <c r="J14" s="1125"/>
    </row>
  </sheetData>
  <sheetProtection algorithmName="SHA-512" hashValue="+A/CHLVv1TzC+uAou4DN1VM9f7NiHBPKq2p8QJY6so01LVyrUnyJvA8Z9mnP7VBW3romOanJGotBMI4rhGvfWg==" saltValue="I05thnef5aTZ7UYfRQ96RQ==" spinCount="100000" sheet="1" objects="1" scenarios="1" selectLockedCells="1"/>
  <mergeCells count="8">
    <mergeCell ref="B2:C2"/>
    <mergeCell ref="B14:J14"/>
    <mergeCell ref="B4:J4"/>
    <mergeCell ref="B5:J5"/>
    <mergeCell ref="B6:B8"/>
    <mergeCell ref="C6:J6"/>
    <mergeCell ref="C8:J8"/>
    <mergeCell ref="G2:J2"/>
  </mergeCells>
  <hyperlinks>
    <hyperlink ref="B2:C2" location="hyptarg7.3" display="back to 703.2.4" xr:uid="{00000000-0004-0000-2000-000000000000}"/>
    <hyperlink ref="G2:I2" location="'Verification Report'!A1" display="back to Verification Report" xr:uid="{00000000-0004-0000-2000-000001000000}"/>
  </hyperlinks>
  <pageMargins left="0.7" right="0.7" top="0.75" bottom="0.75" header="0.3" footer="0.3"/>
  <pageSetup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B2:F15"/>
  <sheetViews>
    <sheetView showGridLines="0" zoomScaleNormal="100" workbookViewId="0"/>
  </sheetViews>
  <sheetFormatPr defaultColWidth="9.1796875" defaultRowHeight="14.5" x14ac:dyDescent="0.35"/>
  <cols>
    <col min="2" max="2" width="9.54296875" customWidth="1"/>
    <col min="3" max="6" width="11.26953125" customWidth="1"/>
  </cols>
  <sheetData>
    <row r="2" spans="2:6" x14ac:dyDescent="0.35">
      <c r="B2" s="1088" t="s">
        <v>4042</v>
      </c>
      <c r="C2" s="1088"/>
      <c r="E2" s="1088" t="s">
        <v>4568</v>
      </c>
      <c r="F2" s="1088"/>
    </row>
    <row r="4" spans="2:6" x14ac:dyDescent="0.35">
      <c r="B4" s="1104" t="s">
        <v>3690</v>
      </c>
      <c r="C4" s="1104"/>
      <c r="D4" s="1104"/>
      <c r="E4" s="1104"/>
      <c r="F4" s="1104"/>
    </row>
    <row r="5" spans="2:6" x14ac:dyDescent="0.35">
      <c r="B5" s="1103" t="s">
        <v>3689</v>
      </c>
      <c r="C5" s="1103"/>
      <c r="D5" s="1103"/>
      <c r="E5" s="1103"/>
      <c r="F5" s="1103"/>
    </row>
    <row r="6" spans="2:6" ht="15" customHeight="1" x14ac:dyDescent="0.35">
      <c r="B6" s="1118" t="s">
        <v>3688</v>
      </c>
      <c r="C6" s="236" t="s">
        <v>3687</v>
      </c>
      <c r="D6" s="236" t="s">
        <v>3686</v>
      </c>
      <c r="E6" s="236" t="s">
        <v>3687</v>
      </c>
      <c r="F6" s="236" t="s">
        <v>3686</v>
      </c>
    </row>
    <row r="7" spans="2:6" ht="25.5" customHeight="1" x14ac:dyDescent="0.35">
      <c r="B7" s="1120"/>
      <c r="C7" s="1132" t="s">
        <v>3685</v>
      </c>
      <c r="D7" s="1133"/>
      <c r="E7" s="1132" t="s">
        <v>3684</v>
      </c>
      <c r="F7" s="1133"/>
    </row>
    <row r="8" spans="2:6" x14ac:dyDescent="0.35">
      <c r="B8" s="226">
        <v>1</v>
      </c>
      <c r="C8" s="244">
        <v>0.5</v>
      </c>
      <c r="D8" s="244">
        <v>0.25</v>
      </c>
      <c r="E8" s="228">
        <v>0.75</v>
      </c>
      <c r="F8" s="244">
        <v>0.3</v>
      </c>
    </row>
    <row r="9" spans="2:6" x14ac:dyDescent="0.35">
      <c r="B9" s="226">
        <v>2</v>
      </c>
      <c r="C9" s="244">
        <v>0.4</v>
      </c>
      <c r="D9" s="244">
        <v>0.25</v>
      </c>
      <c r="E9" s="228">
        <v>0.65</v>
      </c>
      <c r="F9" s="244">
        <v>0.3</v>
      </c>
    </row>
    <row r="10" spans="2:6" x14ac:dyDescent="0.35">
      <c r="B10" s="226">
        <v>3</v>
      </c>
      <c r="C10" s="244">
        <v>0.35</v>
      </c>
      <c r="D10" s="244">
        <v>0.25</v>
      </c>
      <c r="E10" s="228">
        <v>0.55000000000000004</v>
      </c>
      <c r="F10" s="244">
        <v>0.3</v>
      </c>
    </row>
    <row r="11" spans="2:6" x14ac:dyDescent="0.35">
      <c r="B11" s="226">
        <v>4</v>
      </c>
      <c r="C11" s="244">
        <v>0.35</v>
      </c>
      <c r="D11" s="244">
        <v>0.4</v>
      </c>
      <c r="E11" s="228">
        <v>0.55000000000000004</v>
      </c>
      <c r="F11" s="244">
        <v>0.4</v>
      </c>
    </row>
    <row r="12" spans="2:6" x14ac:dyDescent="0.35">
      <c r="B12" s="226" t="s">
        <v>3683</v>
      </c>
      <c r="C12" s="244">
        <v>0.32</v>
      </c>
      <c r="D12" s="244" t="s">
        <v>3682</v>
      </c>
      <c r="E12" s="228">
        <v>0.55000000000000004</v>
      </c>
      <c r="F12" s="228" t="s">
        <v>3682</v>
      </c>
    </row>
    <row r="13" spans="2:6" x14ac:dyDescent="0.35">
      <c r="B13" s="742" t="s">
        <v>3681</v>
      </c>
      <c r="C13" s="742"/>
      <c r="D13" s="742"/>
      <c r="E13" s="742"/>
      <c r="F13" s="742"/>
    </row>
    <row r="14" spans="2:6" x14ac:dyDescent="0.35">
      <c r="B14" s="707"/>
      <c r="C14" s="707"/>
      <c r="D14" s="707"/>
      <c r="E14" s="707"/>
      <c r="F14" s="707"/>
    </row>
    <row r="15" spans="2:6" x14ac:dyDescent="0.35">
      <c r="B15" s="707"/>
      <c r="C15" s="707"/>
      <c r="D15" s="707"/>
      <c r="E15" s="707"/>
      <c r="F15" s="707"/>
    </row>
  </sheetData>
  <sheetProtection algorithmName="SHA-512" hashValue="i/bHXvv9PNSOUUKvh30PvhJe5EjiJIB65bPPKXGdKw6erXLzIOzzBVb3pNj0RWGLgO4wHQBuLBnSZ2Jrq4/nfw==" saltValue="lSIITfObGiE9tMrWi7oyEg==" spinCount="100000" sheet="1" objects="1" scenarios="1" selectLockedCells="1"/>
  <mergeCells count="8">
    <mergeCell ref="B2:C2"/>
    <mergeCell ref="B6:B7"/>
    <mergeCell ref="E7:F7"/>
    <mergeCell ref="B13:F15"/>
    <mergeCell ref="C7:D7"/>
    <mergeCell ref="B4:F4"/>
    <mergeCell ref="B5:F5"/>
    <mergeCell ref="E2:F2"/>
  </mergeCells>
  <hyperlinks>
    <hyperlink ref="B2:C2" location="hyptarg7.4" display="back to 703.2.5.1" xr:uid="{00000000-0004-0000-2100-000000000000}"/>
    <hyperlink ref="E2:F2" location="'Verification Report'!A1" display="back to Verification Report" xr:uid="{00000000-0004-0000-2100-000001000000}"/>
  </hyperlinks>
  <pageMargins left="0.7" right="0.7" top="0.75" bottom="0.75" header="0.3" footer="0.3"/>
  <pageSetup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B2:K43"/>
  <sheetViews>
    <sheetView showGridLines="0" zoomScaleNormal="100" workbookViewId="0"/>
  </sheetViews>
  <sheetFormatPr defaultColWidth="9.1796875" defaultRowHeight="14.5" x14ac:dyDescent="0.35"/>
  <cols>
    <col min="1" max="1" width="6" customWidth="1"/>
    <col min="2" max="2" width="9.1796875" style="4"/>
    <col min="3" max="6" width="17.7265625" style="4" customWidth="1"/>
    <col min="7" max="11" width="9.1796875" style="4"/>
  </cols>
  <sheetData>
    <row r="2" spans="2:7" x14ac:dyDescent="0.35">
      <c r="B2" s="1088" t="s">
        <v>4044</v>
      </c>
      <c r="C2" s="1088"/>
      <c r="F2" s="1088" t="s">
        <v>4568</v>
      </c>
      <c r="G2" s="1088"/>
    </row>
    <row r="4" spans="2:7" ht="15" customHeight="1" x14ac:dyDescent="0.35">
      <c r="B4" s="1104" t="s">
        <v>3702</v>
      </c>
      <c r="C4" s="1104"/>
      <c r="D4" s="1104"/>
      <c r="E4" s="1104"/>
      <c r="F4" s="1104"/>
      <c r="G4" s="1104"/>
    </row>
    <row r="5" spans="2:7" ht="15" customHeight="1" x14ac:dyDescent="0.35">
      <c r="B5" s="1103" t="s">
        <v>3697</v>
      </c>
      <c r="C5" s="1103"/>
      <c r="D5" s="1103"/>
      <c r="E5" s="1103"/>
      <c r="F5" s="1103"/>
      <c r="G5" s="1103"/>
    </row>
    <row r="6" spans="2:7" ht="30.75" customHeight="1" x14ac:dyDescent="0.35">
      <c r="B6" s="249" t="s">
        <v>3649</v>
      </c>
      <c r="C6" s="249" t="s">
        <v>3696</v>
      </c>
      <c r="D6" s="249" t="s">
        <v>3695</v>
      </c>
      <c r="E6" s="249" t="s">
        <v>3694</v>
      </c>
      <c r="F6" s="249" t="s">
        <v>3693</v>
      </c>
      <c r="G6" s="248" t="s">
        <v>3216</v>
      </c>
    </row>
    <row r="7" spans="2:7" x14ac:dyDescent="0.35">
      <c r="B7" s="247">
        <v>1</v>
      </c>
      <c r="C7" s="245">
        <v>0.4</v>
      </c>
      <c r="D7" s="245">
        <v>0.25</v>
      </c>
      <c r="E7" s="245">
        <v>0.6</v>
      </c>
      <c r="F7" s="245">
        <v>0.28000000000000003</v>
      </c>
      <c r="G7" s="233">
        <v>1</v>
      </c>
    </row>
    <row r="8" spans="2:7" x14ac:dyDescent="0.35">
      <c r="B8" s="247">
        <v>2</v>
      </c>
      <c r="C8" s="245">
        <v>0.4</v>
      </c>
      <c r="D8" s="245">
        <v>0.25</v>
      </c>
      <c r="E8" s="245">
        <v>0.6</v>
      </c>
      <c r="F8" s="245">
        <v>0.28000000000000003</v>
      </c>
      <c r="G8" s="233">
        <v>1</v>
      </c>
    </row>
    <row r="9" spans="2:7" x14ac:dyDescent="0.35">
      <c r="B9" s="247">
        <v>3</v>
      </c>
      <c r="C9" s="245">
        <v>0.3</v>
      </c>
      <c r="D9" s="245">
        <v>0.25</v>
      </c>
      <c r="E9" s="245">
        <v>0.53</v>
      </c>
      <c r="F9" s="245">
        <v>0.28000000000000003</v>
      </c>
      <c r="G9" s="233">
        <v>2</v>
      </c>
    </row>
    <row r="10" spans="2:7" x14ac:dyDescent="0.35">
      <c r="B10" s="247">
        <v>4</v>
      </c>
      <c r="C10" s="245">
        <v>0.3</v>
      </c>
      <c r="D10" s="245">
        <v>0.4</v>
      </c>
      <c r="E10" s="245">
        <v>0.53</v>
      </c>
      <c r="F10" s="245">
        <v>0.35</v>
      </c>
      <c r="G10" s="233">
        <v>3</v>
      </c>
    </row>
    <row r="11" spans="2:7" x14ac:dyDescent="0.35">
      <c r="B11" s="247">
        <v>5</v>
      </c>
      <c r="C11" s="245" t="s">
        <v>3701</v>
      </c>
      <c r="D11" s="245" t="s">
        <v>3682</v>
      </c>
      <c r="E11" s="245">
        <v>0.5</v>
      </c>
      <c r="F11" s="245" t="s">
        <v>3682</v>
      </c>
      <c r="G11" s="233">
        <v>3</v>
      </c>
    </row>
    <row r="12" spans="2:7" x14ac:dyDescent="0.35">
      <c r="B12" s="247">
        <v>6</v>
      </c>
      <c r="C12" s="245" t="s">
        <v>3701</v>
      </c>
      <c r="D12" s="245" t="s">
        <v>3682</v>
      </c>
      <c r="E12" s="245">
        <v>0.5</v>
      </c>
      <c r="F12" s="245" t="s">
        <v>3682</v>
      </c>
      <c r="G12" s="233">
        <v>4</v>
      </c>
    </row>
    <row r="13" spans="2:7" x14ac:dyDescent="0.35">
      <c r="B13" s="247">
        <v>7</v>
      </c>
      <c r="C13" s="245" t="s">
        <v>3701</v>
      </c>
      <c r="D13" s="245" t="s">
        <v>3682</v>
      </c>
      <c r="E13" s="245">
        <v>0.5</v>
      </c>
      <c r="F13" s="245" t="s">
        <v>3682</v>
      </c>
      <c r="G13" s="233">
        <v>4</v>
      </c>
    </row>
    <row r="14" spans="2:7" x14ac:dyDescent="0.35">
      <c r="B14" s="247">
        <v>8</v>
      </c>
      <c r="C14" s="245" t="s">
        <v>3701</v>
      </c>
      <c r="D14" s="245" t="s">
        <v>3682</v>
      </c>
      <c r="E14" s="245">
        <v>0.5</v>
      </c>
      <c r="F14" s="245" t="s">
        <v>3682</v>
      </c>
      <c r="G14" s="233">
        <v>4</v>
      </c>
    </row>
    <row r="15" spans="2:7" x14ac:dyDescent="0.35">
      <c r="B15" s="746" t="s">
        <v>3681</v>
      </c>
      <c r="C15" s="746"/>
      <c r="D15" s="746"/>
      <c r="E15" s="746"/>
      <c r="F15" s="746"/>
      <c r="G15" s="746"/>
    </row>
    <row r="16" spans="2:7" x14ac:dyDescent="0.35">
      <c r="B16" s="747"/>
      <c r="C16" s="747"/>
      <c r="D16" s="747"/>
      <c r="E16" s="747"/>
      <c r="F16" s="747"/>
      <c r="G16" s="747"/>
    </row>
    <row r="17" spans="2:7" x14ac:dyDescent="0.35">
      <c r="B17" s="747" t="s">
        <v>3700</v>
      </c>
      <c r="C17" s="747"/>
      <c r="D17" s="747"/>
      <c r="E17" s="747"/>
      <c r="F17" s="747"/>
      <c r="G17" s="747"/>
    </row>
    <row r="18" spans="2:7" x14ac:dyDescent="0.35">
      <c r="B18" s="747"/>
      <c r="C18" s="747"/>
      <c r="D18" s="747"/>
      <c r="E18" s="747"/>
      <c r="F18" s="747"/>
      <c r="G18" s="747"/>
    </row>
    <row r="19" spans="2:7" x14ac:dyDescent="0.35">
      <c r="B19" s="747"/>
      <c r="C19" s="747"/>
      <c r="D19" s="747"/>
      <c r="E19" s="747"/>
      <c r="F19" s="747"/>
      <c r="G19" s="747"/>
    </row>
    <row r="20" spans="2:7" x14ac:dyDescent="0.35">
      <c r="B20" s="217"/>
      <c r="C20" s="217"/>
      <c r="D20" s="217"/>
      <c r="E20" s="217"/>
      <c r="F20" s="217"/>
      <c r="G20" s="217"/>
    </row>
    <row r="21" spans="2:7" x14ac:dyDescent="0.35">
      <c r="B21" s="1104" t="s">
        <v>3699</v>
      </c>
      <c r="C21" s="1104"/>
      <c r="D21" s="1104"/>
      <c r="E21" s="1104"/>
      <c r="F21" s="1104"/>
      <c r="G21" s="1104"/>
    </row>
    <row r="22" spans="2:7" x14ac:dyDescent="0.35">
      <c r="B22" s="1103" t="s">
        <v>3697</v>
      </c>
      <c r="C22" s="1103"/>
      <c r="D22" s="1103"/>
      <c r="E22" s="1103"/>
      <c r="F22" s="1103"/>
      <c r="G22" s="1103"/>
    </row>
    <row r="23" spans="2:7" x14ac:dyDescent="0.35">
      <c r="B23" s="1134" t="s">
        <v>3649</v>
      </c>
      <c r="C23" s="1134" t="s">
        <v>3696</v>
      </c>
      <c r="D23" s="1134" t="s">
        <v>3695</v>
      </c>
      <c r="E23" s="1134" t="s">
        <v>3694</v>
      </c>
      <c r="F23" s="1134" t="s">
        <v>3693</v>
      </c>
      <c r="G23" s="1136" t="s">
        <v>3216</v>
      </c>
    </row>
    <row r="24" spans="2:7" ht="21" customHeight="1" x14ac:dyDescent="0.35">
      <c r="B24" s="1135"/>
      <c r="C24" s="1135"/>
      <c r="D24" s="1135"/>
      <c r="E24" s="1135"/>
      <c r="F24" s="1135"/>
      <c r="G24" s="1137"/>
    </row>
    <row r="25" spans="2:7" x14ac:dyDescent="0.35">
      <c r="B25" s="247">
        <v>1</v>
      </c>
      <c r="C25" s="245">
        <v>0.38</v>
      </c>
      <c r="D25" s="245">
        <v>0.25</v>
      </c>
      <c r="E25" s="245">
        <v>0.55000000000000004</v>
      </c>
      <c r="F25" s="245">
        <v>0.28000000000000003</v>
      </c>
      <c r="G25" s="233">
        <v>2</v>
      </c>
    </row>
    <row r="26" spans="2:7" x14ac:dyDescent="0.35">
      <c r="B26" s="247">
        <v>2</v>
      </c>
      <c r="C26" s="245">
        <v>0.38</v>
      </c>
      <c r="D26" s="245">
        <v>0.25</v>
      </c>
      <c r="E26" s="245">
        <v>0.53</v>
      </c>
      <c r="F26" s="245">
        <v>0.28000000000000003</v>
      </c>
      <c r="G26" s="233">
        <v>3</v>
      </c>
    </row>
    <row r="27" spans="2:7" x14ac:dyDescent="0.35">
      <c r="B27" s="247">
        <v>3</v>
      </c>
      <c r="C27" s="245">
        <v>0.3</v>
      </c>
      <c r="D27" s="245">
        <v>0.25</v>
      </c>
      <c r="E27" s="245">
        <v>0.5</v>
      </c>
      <c r="F27" s="245">
        <v>0.28000000000000003</v>
      </c>
      <c r="G27" s="233">
        <v>4</v>
      </c>
    </row>
    <row r="28" spans="2:7" x14ac:dyDescent="0.35">
      <c r="B28" s="247">
        <v>4</v>
      </c>
      <c r="C28" s="245">
        <v>0.28000000000000003</v>
      </c>
      <c r="D28" s="245">
        <v>0.4</v>
      </c>
      <c r="E28" s="245">
        <v>0.5</v>
      </c>
      <c r="F28" s="245">
        <v>0.35</v>
      </c>
      <c r="G28" s="233">
        <v>4</v>
      </c>
    </row>
    <row r="29" spans="2:7" x14ac:dyDescent="0.35">
      <c r="B29" s="247">
        <v>5</v>
      </c>
      <c r="C29" s="245">
        <v>0.25</v>
      </c>
      <c r="D29" s="245" t="s">
        <v>3682</v>
      </c>
      <c r="E29" s="245">
        <v>0.48</v>
      </c>
      <c r="F29" s="245" t="s">
        <v>3682</v>
      </c>
      <c r="G29" s="233">
        <v>4</v>
      </c>
    </row>
    <row r="30" spans="2:7" x14ac:dyDescent="0.35">
      <c r="B30" s="247">
        <v>6</v>
      </c>
      <c r="C30" s="245">
        <v>0.25</v>
      </c>
      <c r="D30" s="245" t="s">
        <v>3682</v>
      </c>
      <c r="E30" s="245">
        <v>0.48</v>
      </c>
      <c r="F30" s="245" t="s">
        <v>3682</v>
      </c>
      <c r="G30" s="233">
        <v>5</v>
      </c>
    </row>
    <row r="31" spans="2:7" x14ac:dyDescent="0.35">
      <c r="B31" s="247">
        <v>7</v>
      </c>
      <c r="C31" s="245">
        <v>0.25</v>
      </c>
      <c r="D31" s="245" t="s">
        <v>3682</v>
      </c>
      <c r="E31" s="245">
        <v>0.46</v>
      </c>
      <c r="F31" s="245" t="s">
        <v>3682</v>
      </c>
      <c r="G31" s="233">
        <v>5</v>
      </c>
    </row>
    <row r="32" spans="2:7" x14ac:dyDescent="0.35">
      <c r="B32" s="247">
        <v>8</v>
      </c>
      <c r="C32" s="245">
        <v>0.25</v>
      </c>
      <c r="D32" s="245" t="s">
        <v>3682</v>
      </c>
      <c r="E32" s="245">
        <v>0.46</v>
      </c>
      <c r="F32" s="245" t="s">
        <v>3682</v>
      </c>
      <c r="G32" s="233">
        <v>4</v>
      </c>
    </row>
    <row r="33" spans="2:7" x14ac:dyDescent="0.35">
      <c r="B33" s="746" t="s">
        <v>3681</v>
      </c>
      <c r="C33" s="746"/>
      <c r="D33" s="746"/>
      <c r="E33" s="746"/>
      <c r="F33" s="746"/>
      <c r="G33" s="746"/>
    </row>
    <row r="34" spans="2:7" x14ac:dyDescent="0.35">
      <c r="B34" s="747"/>
      <c r="C34" s="747"/>
      <c r="D34" s="747"/>
      <c r="E34" s="747"/>
      <c r="F34" s="747"/>
      <c r="G34" s="747"/>
    </row>
    <row r="36" spans="2:7" x14ac:dyDescent="0.35">
      <c r="B36" s="1104" t="s">
        <v>3698</v>
      </c>
      <c r="C36" s="1104"/>
      <c r="D36" s="1104"/>
      <c r="E36" s="1104"/>
      <c r="F36" s="1104"/>
      <c r="G36" s="1104"/>
    </row>
    <row r="37" spans="2:7" x14ac:dyDescent="0.35">
      <c r="B37" s="1103" t="s">
        <v>3697</v>
      </c>
      <c r="C37" s="1103"/>
      <c r="D37" s="1103"/>
      <c r="E37" s="1103"/>
      <c r="F37" s="1103"/>
      <c r="G37" s="1103"/>
    </row>
    <row r="38" spans="2:7" x14ac:dyDescent="0.35">
      <c r="B38" s="1134" t="s">
        <v>3649</v>
      </c>
      <c r="C38" s="1134" t="s">
        <v>3696</v>
      </c>
      <c r="D38" s="1134" t="s">
        <v>3695</v>
      </c>
      <c r="E38" s="1134" t="s">
        <v>3694</v>
      </c>
      <c r="F38" s="1134" t="s">
        <v>3693</v>
      </c>
      <c r="G38" s="1136" t="s">
        <v>3216</v>
      </c>
    </row>
    <row r="39" spans="2:7" ht="21.75" customHeight="1" x14ac:dyDescent="0.35">
      <c r="B39" s="1135"/>
      <c r="C39" s="1135"/>
      <c r="D39" s="1135"/>
      <c r="E39" s="1135"/>
      <c r="F39" s="1135"/>
      <c r="G39" s="1137"/>
    </row>
    <row r="40" spans="2:7" x14ac:dyDescent="0.35">
      <c r="B40" s="247">
        <v>4</v>
      </c>
      <c r="C40" s="245">
        <v>0.25</v>
      </c>
      <c r="D40" s="245">
        <v>0.4</v>
      </c>
      <c r="E40" s="245">
        <v>0.45</v>
      </c>
      <c r="F40" s="245">
        <v>0.4</v>
      </c>
      <c r="G40" s="233">
        <v>6</v>
      </c>
    </row>
    <row r="41" spans="2:7" x14ac:dyDescent="0.35">
      <c r="B41" s="246" t="s">
        <v>3692</v>
      </c>
      <c r="C41" s="245">
        <v>0.22</v>
      </c>
      <c r="D41" s="245" t="s">
        <v>3682</v>
      </c>
      <c r="E41" s="245">
        <v>0.42</v>
      </c>
      <c r="F41" s="245" t="s">
        <v>3682</v>
      </c>
      <c r="G41" s="233">
        <v>6</v>
      </c>
    </row>
    <row r="42" spans="2:7" x14ac:dyDescent="0.35">
      <c r="B42" s="746" t="s">
        <v>3691</v>
      </c>
      <c r="C42" s="746"/>
      <c r="D42" s="746"/>
      <c r="E42" s="746"/>
      <c r="F42" s="746"/>
      <c r="G42" s="746"/>
    </row>
    <row r="43" spans="2:7" x14ac:dyDescent="0.35">
      <c r="B43" s="747"/>
      <c r="C43" s="747"/>
      <c r="D43" s="747"/>
      <c r="E43" s="747"/>
      <c r="F43" s="747"/>
      <c r="G43" s="747"/>
    </row>
  </sheetData>
  <sheetProtection algorithmName="SHA-512" hashValue="BndXKNnuYBtLEgn7jf0HrZTWWEh+hwckxdjIe+j46ySwQDiD+mbyH4HPSQ2ws4oIh4ZJT54nz76U3IOIZ7FS9g==" saltValue="LuILTPufwnujtZ6nO+eaCA==" spinCount="100000" sheet="1" objects="1" scenarios="1" selectLockedCells="1"/>
  <mergeCells count="24">
    <mergeCell ref="B2:C2"/>
    <mergeCell ref="G23:G24"/>
    <mergeCell ref="B4:G4"/>
    <mergeCell ref="B5:G5"/>
    <mergeCell ref="B15:G16"/>
    <mergeCell ref="B17:G19"/>
    <mergeCell ref="B21:G21"/>
    <mergeCell ref="B22:G22"/>
    <mergeCell ref="B23:B24"/>
    <mergeCell ref="C23:C24"/>
    <mergeCell ref="D23:D24"/>
    <mergeCell ref="E23:E24"/>
    <mergeCell ref="F23:F24"/>
    <mergeCell ref="F2:G2"/>
    <mergeCell ref="B42:G43"/>
    <mergeCell ref="B33:G34"/>
    <mergeCell ref="B36:G36"/>
    <mergeCell ref="B37:G37"/>
    <mergeCell ref="B38:B39"/>
    <mergeCell ref="C38:C39"/>
    <mergeCell ref="D38:D39"/>
    <mergeCell ref="E38:E39"/>
    <mergeCell ref="F38:F39"/>
    <mergeCell ref="G38:G39"/>
  </mergeCells>
  <hyperlinks>
    <hyperlink ref="B2:C2" location="hyptarg7.5" display="back to 703.2.5.2" xr:uid="{00000000-0004-0000-2200-000000000000}"/>
    <hyperlink ref="F2:G2" location="'Verification Report'!A1" display="back to Verification Report" xr:uid="{00000000-0004-0000-2200-000001000000}"/>
  </hyperlinks>
  <pageMargins left="0.7" right="0.7" top="0.75" bottom="0.75" header="0.3" footer="0.3"/>
  <pageSetup scale="95"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3">
    <pageSetUpPr fitToPage="1"/>
  </sheetPr>
  <dimension ref="B2:I10"/>
  <sheetViews>
    <sheetView showGridLines="0" zoomScaleNormal="100" workbookViewId="0"/>
  </sheetViews>
  <sheetFormatPr defaultColWidth="9.1796875" defaultRowHeight="14.5" x14ac:dyDescent="0.35"/>
  <cols>
    <col min="2" max="2" width="7.453125" customWidth="1"/>
    <col min="3" max="3" width="8.26953125" bestFit="1" customWidth="1"/>
    <col min="4" max="8" width="5.54296875" bestFit="1" customWidth="1"/>
  </cols>
  <sheetData>
    <row r="2" spans="2:9" x14ac:dyDescent="0.35">
      <c r="B2" s="1085" t="s">
        <v>3876</v>
      </c>
      <c r="C2" s="1086"/>
      <c r="D2" s="1087"/>
      <c r="F2" s="1149" t="s">
        <v>4568</v>
      </c>
      <c r="G2" s="1150"/>
      <c r="H2" s="1150"/>
      <c r="I2" s="1151"/>
    </row>
    <row r="4" spans="2:9" x14ac:dyDescent="0.35">
      <c r="B4" s="798" t="s">
        <v>3720</v>
      </c>
      <c r="C4" s="798"/>
      <c r="D4" s="798"/>
      <c r="E4" s="798"/>
      <c r="F4" s="798"/>
      <c r="G4" s="798"/>
      <c r="H4" s="798"/>
    </row>
    <row r="5" spans="2:9" ht="15" thickBot="1" x14ac:dyDescent="0.4">
      <c r="B5" s="1141" t="s">
        <v>3719</v>
      </c>
      <c r="C5" s="1141"/>
      <c r="D5" s="1141"/>
      <c r="E5" s="1141"/>
      <c r="F5" s="1141"/>
      <c r="G5" s="1141"/>
      <c r="H5" s="1141"/>
    </row>
    <row r="6" spans="2:9" ht="25.5" customHeight="1" thickBot="1" x14ac:dyDescent="0.4">
      <c r="B6" s="1142"/>
      <c r="C6" s="1143"/>
      <c r="D6" s="1146" t="s">
        <v>3718</v>
      </c>
      <c r="E6" s="1147"/>
      <c r="F6" s="1147"/>
      <c r="G6" s="1147"/>
      <c r="H6" s="1148"/>
    </row>
    <row r="7" spans="2:9" ht="15" thickBot="1" x14ac:dyDescent="0.4">
      <c r="B7" s="1144"/>
      <c r="C7" s="1145"/>
      <c r="D7" s="254" t="s">
        <v>3717</v>
      </c>
      <c r="E7" s="253" t="s">
        <v>3716</v>
      </c>
      <c r="F7" s="254" t="s">
        <v>3715</v>
      </c>
      <c r="G7" s="253" t="s">
        <v>3714</v>
      </c>
      <c r="H7" s="253" t="s">
        <v>3713</v>
      </c>
    </row>
    <row r="8" spans="2:9" ht="15" thickBot="1" x14ac:dyDescent="0.4">
      <c r="B8" s="1138" t="s">
        <v>3649</v>
      </c>
      <c r="C8" s="254" t="s">
        <v>3712</v>
      </c>
      <c r="D8" s="252" t="s">
        <v>3711</v>
      </c>
      <c r="E8" s="252" t="s">
        <v>3711</v>
      </c>
      <c r="F8" s="252" t="s">
        <v>3709</v>
      </c>
      <c r="G8" s="252" t="s">
        <v>3707</v>
      </c>
      <c r="H8" s="252" t="s">
        <v>3707</v>
      </c>
    </row>
    <row r="9" spans="2:9" ht="15" thickBot="1" x14ac:dyDescent="0.4">
      <c r="B9" s="1139"/>
      <c r="C9" s="253" t="s">
        <v>3710</v>
      </c>
      <c r="D9" s="252" t="s">
        <v>3709</v>
      </c>
      <c r="E9" s="252" t="s">
        <v>3709</v>
      </c>
      <c r="F9" s="252" t="s">
        <v>3707</v>
      </c>
      <c r="G9" s="252" t="s">
        <v>3707</v>
      </c>
      <c r="H9" s="252" t="s">
        <v>3706</v>
      </c>
    </row>
    <row r="10" spans="2:9" ht="15" thickBot="1" x14ac:dyDescent="0.4">
      <c r="B10" s="1140"/>
      <c r="C10" s="253" t="s">
        <v>3708</v>
      </c>
      <c r="D10" s="252" t="s">
        <v>3707</v>
      </c>
      <c r="E10" s="252" t="s">
        <v>3706</v>
      </c>
      <c r="F10" s="252" t="s">
        <v>3706</v>
      </c>
      <c r="G10" s="252" t="s">
        <v>3705</v>
      </c>
      <c r="H10" s="252" t="s">
        <v>3704</v>
      </c>
    </row>
  </sheetData>
  <sheetProtection algorithmName="SHA-512" hashValue="VtMsFc5BbLHapVX1n+hBHmnpLpKLQQMK7gssW9Tg7Ix7UP/OcsGvejXsV+Dd/vyD9ltokkD4YKLb8xOguEOivQ==" saltValue="B8B6W/rlADDM48xltEETKQ==" spinCount="100000" sheet="1" objects="1" scenarios="1" selectLockedCells="1"/>
  <mergeCells count="7">
    <mergeCell ref="B8:B10"/>
    <mergeCell ref="B2:D2"/>
    <mergeCell ref="B4:H4"/>
    <mergeCell ref="B5:H5"/>
    <mergeCell ref="B6:C7"/>
    <mergeCell ref="D6:H6"/>
    <mergeCell ref="F2:I2"/>
  </mergeCells>
  <hyperlinks>
    <hyperlink ref="B2:C2" location="hyptarg7.1" display="back to 701.4.3.2(2)" xr:uid="{00000000-0004-0000-2300-000000000000}"/>
    <hyperlink ref="B2:D2" location="hyptarg7.26" display="back to 703.7.1" xr:uid="{00000000-0004-0000-2300-000001000000}"/>
    <hyperlink ref="F2:G2" location="'Verification Report'!A1" display="back to Verification Report" xr:uid="{00000000-0004-0000-2300-000002000000}"/>
  </hyperlinks>
  <pageMargins left="0.7" right="0.7" top="0.75" bottom="0.75" header="0.3" footer="0.3"/>
  <pageSetup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4">
    <pageSetUpPr fitToPage="1"/>
  </sheetPr>
  <dimension ref="B2:H30"/>
  <sheetViews>
    <sheetView showGridLines="0" zoomScaleNormal="100" workbookViewId="0"/>
  </sheetViews>
  <sheetFormatPr defaultColWidth="9.1796875" defaultRowHeight="14.5" x14ac:dyDescent="0.35"/>
  <cols>
    <col min="2" max="2" width="11.7265625" customWidth="1"/>
    <col min="4" max="4" width="11.26953125" customWidth="1"/>
    <col min="5" max="5" width="11.7265625" customWidth="1"/>
    <col min="6" max="6" width="12.1796875" customWidth="1"/>
    <col min="7" max="7" width="14.1796875" customWidth="1"/>
  </cols>
  <sheetData>
    <row r="2" spans="2:8" x14ac:dyDescent="0.35">
      <c r="B2" s="1088" t="s">
        <v>3823</v>
      </c>
      <c r="C2" s="1088"/>
      <c r="F2" s="1088" t="s">
        <v>4568</v>
      </c>
      <c r="G2" s="1088"/>
    </row>
    <row r="3" spans="2:8" x14ac:dyDescent="0.35">
      <c r="B3" s="736" t="s">
        <v>3781</v>
      </c>
      <c r="C3" s="736"/>
      <c r="D3" s="736"/>
      <c r="E3" s="736"/>
      <c r="F3" s="736"/>
      <c r="G3" s="736"/>
      <c r="H3" s="736"/>
    </row>
    <row r="4" spans="2:8" ht="15" x14ac:dyDescent="0.35">
      <c r="B4" s="1153" t="s">
        <v>3782</v>
      </c>
      <c r="C4" s="1125"/>
      <c r="D4" s="1125"/>
      <c r="E4" s="1125"/>
      <c r="F4" s="1125"/>
      <c r="G4" s="1125"/>
      <c r="H4" s="1125"/>
    </row>
    <row r="5" spans="2:8" ht="15" customHeight="1" x14ac:dyDescent="0.35">
      <c r="B5" s="1126" t="s">
        <v>3783</v>
      </c>
      <c r="C5" s="1154" t="s">
        <v>3784</v>
      </c>
      <c r="D5" s="1157" t="s">
        <v>3785</v>
      </c>
      <c r="E5" s="1157"/>
      <c r="F5" s="1157"/>
      <c r="G5" s="1157" t="s">
        <v>3786</v>
      </c>
    </row>
    <row r="6" spans="2:8" x14ac:dyDescent="0.35">
      <c r="B6" s="1127"/>
      <c r="C6" s="1155"/>
      <c r="D6" s="1157"/>
      <c r="E6" s="1157"/>
      <c r="F6" s="1157"/>
      <c r="G6" s="1157"/>
      <c r="H6" s="251"/>
    </row>
    <row r="7" spans="2:8" x14ac:dyDescent="0.35">
      <c r="B7" s="1127"/>
      <c r="C7" s="1155"/>
      <c r="D7" s="1157"/>
      <c r="E7" s="1157"/>
      <c r="F7" s="1157"/>
      <c r="G7" s="1157"/>
    </row>
    <row r="8" spans="2:8" x14ac:dyDescent="0.35">
      <c r="B8" s="1127"/>
      <c r="C8" s="1155"/>
      <c r="D8" s="1157"/>
      <c r="E8" s="1157"/>
      <c r="F8" s="1157"/>
      <c r="G8" s="1157"/>
    </row>
    <row r="9" spans="2:8" x14ac:dyDescent="0.35">
      <c r="B9" s="1127"/>
      <c r="C9" s="1155"/>
      <c r="D9" s="1157" t="s">
        <v>3787</v>
      </c>
      <c r="E9" s="1157" t="s">
        <v>3788</v>
      </c>
      <c r="F9" s="1157" t="s">
        <v>3789</v>
      </c>
      <c r="G9" s="1157" t="s">
        <v>3790</v>
      </c>
    </row>
    <row r="10" spans="2:8" x14ac:dyDescent="0.35">
      <c r="B10" s="1127"/>
      <c r="C10" s="1155"/>
      <c r="D10" s="1157"/>
      <c r="E10" s="1157"/>
      <c r="F10" s="1157"/>
      <c r="G10" s="1157"/>
    </row>
    <row r="11" spans="2:8" x14ac:dyDescent="0.35">
      <c r="B11" s="1127"/>
      <c r="C11" s="1155"/>
      <c r="D11" s="1157"/>
      <c r="E11" s="1157"/>
      <c r="F11" s="1157"/>
      <c r="G11" s="1157"/>
    </row>
    <row r="12" spans="2:8" x14ac:dyDescent="0.35">
      <c r="B12" s="1127"/>
      <c r="C12" s="1155"/>
      <c r="D12" s="1157"/>
      <c r="E12" s="1157"/>
      <c r="F12" s="1157"/>
      <c r="G12" s="1157"/>
    </row>
    <row r="13" spans="2:8" x14ac:dyDescent="0.35">
      <c r="B13" s="1128"/>
      <c r="C13" s="1156"/>
      <c r="D13" s="1152" t="s">
        <v>3791</v>
      </c>
      <c r="E13" s="1152"/>
      <c r="F13" s="1152"/>
      <c r="G13" s="1152"/>
    </row>
    <row r="14" spans="2:8" ht="15" x14ac:dyDescent="0.35">
      <c r="B14" s="247" t="s">
        <v>3792</v>
      </c>
      <c r="C14" s="247">
        <v>0.33</v>
      </c>
      <c r="D14" s="261">
        <v>50</v>
      </c>
      <c r="E14" s="261">
        <v>50</v>
      </c>
      <c r="F14" s="261">
        <v>50</v>
      </c>
      <c r="G14" s="261">
        <v>50</v>
      </c>
    </row>
    <row r="15" spans="2:8" ht="15" x14ac:dyDescent="0.35">
      <c r="B15" s="247" t="s">
        <v>3793</v>
      </c>
      <c r="C15" s="247">
        <v>0.5</v>
      </c>
      <c r="D15" s="261">
        <v>50</v>
      </c>
      <c r="E15" s="261">
        <v>50</v>
      </c>
      <c r="F15" s="261">
        <v>50</v>
      </c>
      <c r="G15" s="261">
        <v>48</v>
      </c>
    </row>
    <row r="16" spans="2:8" ht="15" x14ac:dyDescent="0.35">
      <c r="B16" s="247" t="s">
        <v>3794</v>
      </c>
      <c r="C16" s="247">
        <v>0.75</v>
      </c>
      <c r="D16" s="261">
        <v>50</v>
      </c>
      <c r="E16" s="247">
        <v>50</v>
      </c>
      <c r="F16" s="247">
        <v>43</v>
      </c>
      <c r="G16" s="247">
        <v>32</v>
      </c>
    </row>
    <row r="17" spans="2:7" x14ac:dyDescent="0.35">
      <c r="B17" s="246" t="s">
        <v>3795</v>
      </c>
      <c r="C17" s="247">
        <v>1.5</v>
      </c>
      <c r="D17" s="261">
        <v>50</v>
      </c>
      <c r="E17" s="247">
        <v>43</v>
      </c>
      <c r="F17" s="247">
        <v>21</v>
      </c>
      <c r="G17" s="247">
        <v>16</v>
      </c>
    </row>
    <row r="18" spans="2:7" x14ac:dyDescent="0.35">
      <c r="B18" s="246" t="s">
        <v>3796</v>
      </c>
      <c r="C18" s="247">
        <v>2</v>
      </c>
      <c r="D18" s="261">
        <v>50</v>
      </c>
      <c r="E18" s="247">
        <v>32</v>
      </c>
      <c r="F18" s="247">
        <v>16</v>
      </c>
      <c r="G18" s="247">
        <v>12</v>
      </c>
    </row>
    <row r="19" spans="2:7" x14ac:dyDescent="0.35">
      <c r="B19" s="246" t="s">
        <v>3797</v>
      </c>
      <c r="C19" s="247">
        <v>3</v>
      </c>
      <c r="D19" s="247">
        <v>43</v>
      </c>
      <c r="E19" s="247">
        <v>21</v>
      </c>
      <c r="F19" s="247">
        <v>11</v>
      </c>
      <c r="G19" s="247">
        <v>8</v>
      </c>
    </row>
    <row r="20" spans="2:7" x14ac:dyDescent="0.35">
      <c r="B20" s="246" t="s">
        <v>3798</v>
      </c>
      <c r="C20" s="247">
        <v>4</v>
      </c>
      <c r="D20" s="247">
        <v>32</v>
      </c>
      <c r="E20" s="247">
        <v>16</v>
      </c>
      <c r="F20" s="247">
        <v>8</v>
      </c>
      <c r="G20" s="247">
        <v>6</v>
      </c>
    </row>
    <row r="21" spans="2:7" x14ac:dyDescent="0.35">
      <c r="B21" s="20">
        <v>1</v>
      </c>
      <c r="C21" s="247">
        <v>5</v>
      </c>
      <c r="D21" s="247">
        <v>26</v>
      </c>
      <c r="E21" s="247">
        <v>13</v>
      </c>
      <c r="F21" s="247">
        <v>6</v>
      </c>
      <c r="G21" s="247">
        <v>5</v>
      </c>
    </row>
    <row r="22" spans="2:7" x14ac:dyDescent="0.35">
      <c r="B22" s="246" t="s">
        <v>3799</v>
      </c>
      <c r="C22" s="247">
        <v>8</v>
      </c>
      <c r="D22" s="247">
        <v>16</v>
      </c>
      <c r="E22" s="247">
        <v>8</v>
      </c>
      <c r="F22" s="247">
        <v>4</v>
      </c>
      <c r="G22" s="247">
        <v>3</v>
      </c>
    </row>
    <row r="23" spans="2:7" x14ac:dyDescent="0.35">
      <c r="B23" s="246" t="s">
        <v>3800</v>
      </c>
      <c r="C23" s="247">
        <v>11</v>
      </c>
      <c r="D23" s="247">
        <v>12</v>
      </c>
      <c r="E23" s="247">
        <v>6</v>
      </c>
      <c r="F23" s="247">
        <v>3</v>
      </c>
      <c r="G23" s="247">
        <v>2</v>
      </c>
    </row>
    <row r="24" spans="2:7" x14ac:dyDescent="0.35">
      <c r="B24" s="246" t="s">
        <v>300</v>
      </c>
      <c r="C24" s="247">
        <v>18</v>
      </c>
      <c r="D24" s="20">
        <v>7</v>
      </c>
      <c r="E24" s="20">
        <v>4</v>
      </c>
      <c r="F24" s="20">
        <v>2</v>
      </c>
      <c r="G24" s="20">
        <v>1</v>
      </c>
    </row>
    <row r="25" spans="2:7" x14ac:dyDescent="0.35">
      <c r="B25" s="742" t="s">
        <v>3801</v>
      </c>
      <c r="C25" s="742"/>
      <c r="D25" s="742"/>
      <c r="E25" s="742"/>
      <c r="F25" s="742"/>
      <c r="G25" s="742"/>
    </row>
    <row r="26" spans="2:7" x14ac:dyDescent="0.35">
      <c r="B26" s="707"/>
      <c r="C26" s="707"/>
      <c r="D26" s="707"/>
      <c r="E26" s="707"/>
      <c r="F26" s="707"/>
      <c r="G26" s="707"/>
    </row>
    <row r="27" spans="2:7" x14ac:dyDescent="0.35">
      <c r="B27" s="707"/>
      <c r="C27" s="707"/>
      <c r="D27" s="707"/>
      <c r="E27" s="707"/>
      <c r="F27" s="707"/>
      <c r="G27" s="707"/>
    </row>
    <row r="28" spans="2:7" x14ac:dyDescent="0.35">
      <c r="B28" s="707" t="s">
        <v>3802</v>
      </c>
      <c r="C28" s="707"/>
      <c r="D28" s="707"/>
      <c r="E28" s="707"/>
      <c r="F28" s="707"/>
      <c r="G28" s="707"/>
    </row>
    <row r="29" spans="2:7" x14ac:dyDescent="0.35">
      <c r="B29" s="707"/>
      <c r="C29" s="707"/>
      <c r="D29" s="707"/>
      <c r="E29" s="707"/>
      <c r="F29" s="707"/>
      <c r="G29" s="707"/>
    </row>
    <row r="30" spans="2:7" x14ac:dyDescent="0.35">
      <c r="B30" s="707"/>
      <c r="C30" s="707"/>
      <c r="D30" s="707"/>
      <c r="E30" s="707"/>
      <c r="F30" s="707"/>
      <c r="G30" s="707"/>
    </row>
  </sheetData>
  <sheetProtection algorithmName="SHA-512" hashValue="07AMtt4PSrCPey88UpibZL1fL7cYgUeLo3YVLhd1bTV9PJRoYiQy36ljWXJwkqelOO/xUC0xHoBtsmJWQxLd0A==" saltValue="m6pFQ0jqEDQLIfNYyrFpbw==" spinCount="100000" sheet="1" objects="1" scenarios="1" selectLockedCells="1"/>
  <mergeCells count="15">
    <mergeCell ref="D13:G13"/>
    <mergeCell ref="B25:G27"/>
    <mergeCell ref="B28:G30"/>
    <mergeCell ref="B2:C2"/>
    <mergeCell ref="B3:H3"/>
    <mergeCell ref="B4:H4"/>
    <mergeCell ref="B5:B13"/>
    <mergeCell ref="C5:C13"/>
    <mergeCell ref="D5:F8"/>
    <mergeCell ref="G5:G8"/>
    <mergeCell ref="D9:D12"/>
    <mergeCell ref="E9:E12"/>
    <mergeCell ref="F9:F12"/>
    <mergeCell ref="G9:G12"/>
    <mergeCell ref="F2:G2"/>
  </mergeCells>
  <hyperlinks>
    <hyperlink ref="B2:C2" location="hyptarg8.1" display="back to 801.1" xr:uid="{00000000-0004-0000-2400-000000000000}"/>
    <hyperlink ref="F2:G2" location="'Verification Report'!A1" display="back to Verification Report" xr:uid="{00000000-0004-0000-2400-000001000000}"/>
  </hyperlinks>
  <pageMargins left="0.7" right="0.7" top="0.75" bottom="0.75" header="0.3" footer="0.3"/>
  <pageSetup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5">
    <pageSetUpPr fitToPage="1"/>
  </sheetPr>
  <dimension ref="B2:M14"/>
  <sheetViews>
    <sheetView showGridLines="0" zoomScaleNormal="100" workbookViewId="0"/>
  </sheetViews>
  <sheetFormatPr defaultColWidth="9.1796875" defaultRowHeight="14.5" x14ac:dyDescent="0.35"/>
  <cols>
    <col min="6" max="6" width="7.26953125" customWidth="1"/>
    <col min="7" max="7" width="5.81640625" customWidth="1"/>
    <col min="8" max="8" width="7.7265625" customWidth="1"/>
    <col min="11" max="11" width="5.7265625" customWidth="1"/>
    <col min="12" max="12" width="5.81640625" customWidth="1"/>
    <col min="13" max="13" width="5.7265625" customWidth="1"/>
  </cols>
  <sheetData>
    <row r="2" spans="2:13" x14ac:dyDescent="0.35">
      <c r="B2" s="1088" t="s">
        <v>3823</v>
      </c>
      <c r="C2" s="1088"/>
      <c r="J2" s="1085" t="s">
        <v>4568</v>
      </c>
      <c r="K2" s="1086"/>
      <c r="L2" s="1086"/>
      <c r="M2" s="1087"/>
    </row>
    <row r="3" spans="2:13" x14ac:dyDescent="0.35">
      <c r="B3" s="736" t="s">
        <v>3803</v>
      </c>
      <c r="C3" s="736"/>
      <c r="D3" s="736"/>
      <c r="E3" s="736"/>
      <c r="F3" s="736"/>
      <c r="G3" s="736"/>
      <c r="H3" s="736"/>
      <c r="I3" s="736"/>
      <c r="J3" s="736"/>
      <c r="K3" s="736"/>
      <c r="L3" s="736"/>
      <c r="M3" s="736"/>
    </row>
    <row r="4" spans="2:13" x14ac:dyDescent="0.35">
      <c r="B4" s="736" t="s">
        <v>3804</v>
      </c>
      <c r="C4" s="736"/>
      <c r="D4" s="736"/>
      <c r="E4" s="736"/>
      <c r="F4" s="736"/>
      <c r="G4" s="736"/>
      <c r="H4" s="736"/>
      <c r="I4" s="736"/>
      <c r="J4" s="736"/>
      <c r="K4" s="736"/>
      <c r="L4" s="736"/>
      <c r="M4" s="736"/>
    </row>
    <row r="5" spans="2:13" ht="15" thickBot="1" x14ac:dyDescent="0.4">
      <c r="B5" s="1160" t="s">
        <v>3805</v>
      </c>
      <c r="C5" s="1160"/>
      <c r="D5" s="1160"/>
      <c r="E5" s="1160"/>
      <c r="F5" s="1160"/>
      <c r="G5" s="1160"/>
      <c r="H5" s="1160"/>
      <c r="I5" s="1160"/>
      <c r="J5" s="1160"/>
      <c r="K5" s="1160"/>
      <c r="L5" s="1160"/>
      <c r="M5" s="1160"/>
    </row>
    <row r="6" spans="2:13" ht="22.5" customHeight="1" x14ac:dyDescent="0.35">
      <c r="B6" s="1158" t="s">
        <v>3806</v>
      </c>
      <c r="C6" s="1158" t="s">
        <v>3807</v>
      </c>
      <c r="D6" s="1158" t="s">
        <v>3808</v>
      </c>
      <c r="E6" s="1158" t="s">
        <v>3809</v>
      </c>
      <c r="F6" s="1158" t="s">
        <v>3810</v>
      </c>
      <c r="G6" s="1158" t="s">
        <v>3811</v>
      </c>
      <c r="H6" s="262" t="s">
        <v>3812</v>
      </c>
      <c r="I6" s="262" t="s">
        <v>3813</v>
      </c>
      <c r="J6" s="1158" t="s">
        <v>3814</v>
      </c>
      <c r="K6" s="1158" t="s">
        <v>3815</v>
      </c>
      <c r="L6" s="1158" t="s">
        <v>3816</v>
      </c>
      <c r="M6" s="1158" t="s">
        <v>3817</v>
      </c>
    </row>
    <row r="7" spans="2:13" ht="15" thickBot="1" x14ac:dyDescent="0.4">
      <c r="B7" s="1159"/>
      <c r="C7" s="1159"/>
      <c r="D7" s="1159"/>
      <c r="E7" s="1159"/>
      <c r="F7" s="1159"/>
      <c r="G7" s="1159"/>
      <c r="H7" s="263" t="s">
        <v>3818</v>
      </c>
      <c r="I7" s="264" t="s">
        <v>3819</v>
      </c>
      <c r="J7" s="1159"/>
      <c r="K7" s="1159"/>
      <c r="L7" s="1159"/>
      <c r="M7" s="1159"/>
    </row>
    <row r="8" spans="2:13" ht="15" thickBot="1" x14ac:dyDescent="0.4">
      <c r="B8" s="265" t="s">
        <v>3820</v>
      </c>
      <c r="C8" s="266">
        <v>1.06</v>
      </c>
      <c r="D8" s="266">
        <v>0.97</v>
      </c>
      <c r="E8" s="266">
        <v>0.84</v>
      </c>
      <c r="F8" s="266" t="s">
        <v>3241</v>
      </c>
      <c r="G8" s="266">
        <v>1.17</v>
      </c>
      <c r="H8" s="266" t="s">
        <v>3241</v>
      </c>
      <c r="I8" s="266">
        <v>0.64</v>
      </c>
      <c r="J8" s="266">
        <v>0.63</v>
      </c>
      <c r="K8" s="266">
        <v>0.64</v>
      </c>
      <c r="L8" s="266" t="s">
        <v>3241</v>
      </c>
      <c r="M8" s="266" t="s">
        <v>3241</v>
      </c>
    </row>
    <row r="9" spans="2:13" ht="15" thickBot="1" x14ac:dyDescent="0.4">
      <c r="B9" s="265" t="s">
        <v>3795</v>
      </c>
      <c r="C9" s="266">
        <v>1.69</v>
      </c>
      <c r="D9" s="266">
        <v>1.55</v>
      </c>
      <c r="E9" s="266">
        <v>1.45</v>
      </c>
      <c r="F9" s="266">
        <v>1.25</v>
      </c>
      <c r="G9" s="266">
        <v>1.89</v>
      </c>
      <c r="H9" s="266">
        <v>1.46</v>
      </c>
      <c r="I9" s="266">
        <v>1.18</v>
      </c>
      <c r="J9" s="266">
        <v>1.31</v>
      </c>
      <c r="K9" s="266">
        <v>1.18</v>
      </c>
      <c r="L9" s="266">
        <v>1.72</v>
      </c>
      <c r="M9" s="266">
        <v>1.96</v>
      </c>
    </row>
    <row r="10" spans="2:13" ht="15" thickBot="1" x14ac:dyDescent="0.4">
      <c r="B10" s="265" t="s">
        <v>3797</v>
      </c>
      <c r="C10" s="266">
        <v>3.43</v>
      </c>
      <c r="D10" s="266">
        <v>3.22</v>
      </c>
      <c r="E10" s="267">
        <v>2.9</v>
      </c>
      <c r="F10" s="266">
        <v>2.67</v>
      </c>
      <c r="G10" s="266">
        <v>3.38</v>
      </c>
      <c r="H10" s="266">
        <v>2.74</v>
      </c>
      <c r="I10" s="266">
        <v>2.35</v>
      </c>
      <c r="J10" s="266">
        <v>3.39</v>
      </c>
      <c r="K10" s="266">
        <v>2.35</v>
      </c>
      <c r="L10" s="266">
        <v>2.69</v>
      </c>
      <c r="M10" s="266">
        <v>3.06</v>
      </c>
    </row>
    <row r="11" spans="2:13" ht="15" thickBot="1" x14ac:dyDescent="0.4">
      <c r="B11" s="268">
        <v>1</v>
      </c>
      <c r="C11" s="266">
        <v>5.81</v>
      </c>
      <c r="D11" s="266">
        <v>5.49</v>
      </c>
      <c r="E11" s="266">
        <v>5.17</v>
      </c>
      <c r="F11" s="266">
        <v>4.43</v>
      </c>
      <c r="G11" s="266">
        <v>5.53</v>
      </c>
      <c r="H11" s="266">
        <v>4.57</v>
      </c>
      <c r="I11" s="266">
        <v>3.91</v>
      </c>
      <c r="J11" s="266">
        <v>5.56</v>
      </c>
      <c r="K11" s="266">
        <v>3.91</v>
      </c>
      <c r="L11" s="266">
        <v>4.41</v>
      </c>
      <c r="M11" s="266">
        <v>5.01</v>
      </c>
    </row>
    <row r="12" spans="2:13" ht="15" thickBot="1" x14ac:dyDescent="0.4">
      <c r="B12" s="268" t="s">
        <v>3821</v>
      </c>
      <c r="C12" s="266">
        <v>8.6999999999999993</v>
      </c>
      <c r="D12" s="266">
        <v>8.36</v>
      </c>
      <c r="E12" s="266">
        <v>8.09</v>
      </c>
      <c r="F12" s="266">
        <v>6.61</v>
      </c>
      <c r="G12" s="266">
        <v>9.66</v>
      </c>
      <c r="H12" s="266">
        <v>8.24</v>
      </c>
      <c r="I12" s="266">
        <v>5.81</v>
      </c>
      <c r="J12" s="266">
        <v>8.49</v>
      </c>
      <c r="K12" s="266">
        <v>5.81</v>
      </c>
      <c r="L12" s="267">
        <v>6.9</v>
      </c>
      <c r="M12" s="266">
        <v>7.83</v>
      </c>
    </row>
    <row r="13" spans="2:13" ht="15" thickBot="1" x14ac:dyDescent="0.4">
      <c r="B13" s="268" t="s">
        <v>3822</v>
      </c>
      <c r="C13" s="266">
        <v>12.18</v>
      </c>
      <c r="D13" s="266">
        <v>11.83</v>
      </c>
      <c r="E13" s="266">
        <v>11.45</v>
      </c>
      <c r="F13" s="266">
        <v>9.2200000000000006</v>
      </c>
      <c r="G13" s="266">
        <v>13.2</v>
      </c>
      <c r="H13" s="266">
        <v>11.38</v>
      </c>
      <c r="I13" s="266">
        <v>8.09</v>
      </c>
      <c r="J13" s="266">
        <v>13.88</v>
      </c>
      <c r="K13" s="266">
        <v>8.09</v>
      </c>
      <c r="L13" s="266">
        <v>10.77</v>
      </c>
      <c r="M13" s="266">
        <v>12.24</v>
      </c>
    </row>
    <row r="14" spans="2:13" ht="15" thickBot="1" x14ac:dyDescent="0.4">
      <c r="B14" s="268">
        <v>2</v>
      </c>
      <c r="C14" s="266">
        <v>21.08</v>
      </c>
      <c r="D14" s="266">
        <v>20.58</v>
      </c>
      <c r="E14" s="266">
        <v>20.04</v>
      </c>
      <c r="F14" s="266">
        <v>15.79</v>
      </c>
      <c r="G14" s="266">
        <v>21.88</v>
      </c>
      <c r="H14" s="266">
        <v>19.11</v>
      </c>
      <c r="I14" s="266">
        <v>13.86</v>
      </c>
      <c r="J14" s="266">
        <v>21.48</v>
      </c>
      <c r="K14" s="266">
        <v>13.86</v>
      </c>
      <c r="L14" s="266">
        <v>17.11</v>
      </c>
      <c r="M14" s="266">
        <v>19.43</v>
      </c>
    </row>
  </sheetData>
  <sheetProtection algorithmName="SHA-512" hashValue="L4R4396CEW1wfqtStrvBcmgCbHD8rnIpmB3oLQcleZ8nOaEb6HWaoGSn1I6XKeK7yXc6u6eYwOVmC8T1TdQjaQ==" saltValue="QTlYRT8wLjFGN4wR4WpW8w==" spinCount="100000" sheet="1" objects="1" scenarios="1" selectLockedCells="1"/>
  <mergeCells count="15">
    <mergeCell ref="K6:K7"/>
    <mergeCell ref="L6:L7"/>
    <mergeCell ref="M6:M7"/>
    <mergeCell ref="B2:C2"/>
    <mergeCell ref="B3:M3"/>
    <mergeCell ref="B4:M4"/>
    <mergeCell ref="B5:M5"/>
    <mergeCell ref="B6:B7"/>
    <mergeCell ref="C6:C7"/>
    <mergeCell ref="D6:D7"/>
    <mergeCell ref="E6:E7"/>
    <mergeCell ref="F6:F7"/>
    <mergeCell ref="G6:G7"/>
    <mergeCell ref="J6:J7"/>
    <mergeCell ref="J2:M2"/>
  </mergeCells>
  <hyperlinks>
    <hyperlink ref="B2:C2" location="hyptarg8.1" display="back to 801.1" xr:uid="{00000000-0004-0000-2500-000000000000}"/>
    <hyperlink ref="J2:L2" location="'Verification Report'!A1" display="back to Verification Report" xr:uid="{00000000-0004-0000-2500-000001000000}"/>
  </hyperlinks>
  <pageMargins left="0.7" right="0.7" top="0.75" bottom="0.75" header="0.3" footer="0.3"/>
  <pageSetup scale="8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B2:G60"/>
  <sheetViews>
    <sheetView showGridLines="0" zoomScaleNormal="100" workbookViewId="0"/>
  </sheetViews>
  <sheetFormatPr defaultColWidth="9.1796875" defaultRowHeight="14.5" x14ac:dyDescent="0.35"/>
  <cols>
    <col min="2" max="2" width="40.453125" bestFit="1" customWidth="1"/>
    <col min="3" max="3" width="9.54296875" bestFit="1" customWidth="1"/>
  </cols>
  <sheetData>
    <row r="2" spans="2:7" x14ac:dyDescent="0.35">
      <c r="B2" s="1088" t="s">
        <v>4019</v>
      </c>
      <c r="C2" s="1088"/>
      <c r="E2" s="1085" t="s">
        <v>4568</v>
      </c>
      <c r="F2" s="1086"/>
      <c r="G2" s="1087"/>
    </row>
    <row r="4" spans="2:7" x14ac:dyDescent="0.35">
      <c r="B4" s="798" t="s">
        <v>3978</v>
      </c>
      <c r="C4" s="798"/>
    </row>
    <row r="5" spans="2:7" ht="15" thickBot="1" x14ac:dyDescent="0.4">
      <c r="B5" s="1141" t="s">
        <v>3977</v>
      </c>
      <c r="C5" s="1141"/>
    </row>
    <row r="6" spans="2:7" ht="15" customHeight="1" thickBot="1" x14ac:dyDescent="0.4">
      <c r="B6" s="299" t="s">
        <v>3963</v>
      </c>
      <c r="C6" s="287" t="s">
        <v>3962</v>
      </c>
    </row>
    <row r="7" spans="2:7" ht="15" customHeight="1" thickBot="1" x14ac:dyDescent="0.4">
      <c r="B7" s="298" t="s">
        <v>3976</v>
      </c>
      <c r="C7" s="289">
        <v>50</v>
      </c>
    </row>
    <row r="8" spans="2:7" ht="15" customHeight="1" thickBot="1" x14ac:dyDescent="0.4">
      <c r="B8" s="298" t="s">
        <v>3975</v>
      </c>
      <c r="C8" s="289">
        <v>100</v>
      </c>
    </row>
    <row r="9" spans="2:7" ht="15" customHeight="1" thickBot="1" x14ac:dyDescent="0.4">
      <c r="B9" s="298" t="s">
        <v>3974</v>
      </c>
      <c r="C9" s="289">
        <v>150</v>
      </c>
    </row>
    <row r="10" spans="2:7" ht="15" customHeight="1" thickBot="1" x14ac:dyDescent="0.4">
      <c r="B10" s="297" t="s">
        <v>3973</v>
      </c>
      <c r="C10" s="296"/>
    </row>
    <row r="11" spans="2:7" ht="15" customHeight="1" thickBot="1" x14ac:dyDescent="0.4">
      <c r="B11" s="290" t="s">
        <v>3972</v>
      </c>
      <c r="C11" s="289">
        <v>400</v>
      </c>
    </row>
    <row r="12" spans="2:7" ht="15" customHeight="1" thickBot="1" x14ac:dyDescent="0.4">
      <c r="B12" s="290" t="s">
        <v>3971</v>
      </c>
      <c r="C12" s="289">
        <v>400</v>
      </c>
    </row>
    <row r="13" spans="2:7" ht="15" customHeight="1" thickBot="1" x14ac:dyDescent="0.4">
      <c r="B13" s="290" t="s">
        <v>3970</v>
      </c>
      <c r="C13" s="289">
        <v>50</v>
      </c>
    </row>
    <row r="14" spans="2:7" ht="15" customHeight="1" thickBot="1" x14ac:dyDescent="0.4">
      <c r="B14" s="290" t="s">
        <v>3969</v>
      </c>
      <c r="C14" s="289">
        <v>350</v>
      </c>
    </row>
    <row r="15" spans="2:7" ht="15" customHeight="1" thickBot="1" x14ac:dyDescent="0.4">
      <c r="B15" s="290" t="s">
        <v>3968</v>
      </c>
      <c r="C15" s="289">
        <v>350</v>
      </c>
    </row>
    <row r="16" spans="2:7" ht="15" customHeight="1" thickBot="1" x14ac:dyDescent="0.4">
      <c r="B16" s="290" t="s">
        <v>3967</v>
      </c>
      <c r="C16" s="289">
        <v>350</v>
      </c>
    </row>
    <row r="17" spans="2:3" ht="15" customHeight="1" thickBot="1" x14ac:dyDescent="0.4">
      <c r="B17" s="290" t="s">
        <v>3966</v>
      </c>
      <c r="C17" s="289">
        <v>100</v>
      </c>
    </row>
    <row r="18" spans="2:3" ht="15" customHeight="1" thickBot="1" x14ac:dyDescent="0.4">
      <c r="B18" s="290" t="s">
        <v>3965</v>
      </c>
      <c r="C18" s="289">
        <v>50</v>
      </c>
    </row>
    <row r="19" spans="2:3" ht="15" customHeight="1" thickBot="1" x14ac:dyDescent="0.4">
      <c r="B19" s="290" t="s">
        <v>3964</v>
      </c>
      <c r="C19" s="289">
        <v>150</v>
      </c>
    </row>
    <row r="20" spans="2:3" ht="15" customHeight="1" thickBot="1" x14ac:dyDescent="0.4">
      <c r="B20" s="295" t="s">
        <v>3963</v>
      </c>
      <c r="C20" s="254" t="s">
        <v>3962</v>
      </c>
    </row>
    <row r="21" spans="2:3" ht="15" customHeight="1" thickBot="1" x14ac:dyDescent="0.4">
      <c r="B21" s="290" t="s">
        <v>3961</v>
      </c>
      <c r="C21" s="289">
        <v>350</v>
      </c>
    </row>
    <row r="22" spans="2:3" ht="15" customHeight="1" thickBot="1" x14ac:dyDescent="0.4">
      <c r="B22" s="290" t="s">
        <v>3960</v>
      </c>
      <c r="C22" s="289">
        <v>350</v>
      </c>
    </row>
    <row r="23" spans="2:3" ht="15" customHeight="1" thickBot="1" x14ac:dyDescent="0.4">
      <c r="B23" s="290" t="s">
        <v>3959</v>
      </c>
      <c r="C23" s="289">
        <v>100</v>
      </c>
    </row>
    <row r="24" spans="2:3" ht="15" customHeight="1" thickBot="1" x14ac:dyDescent="0.4">
      <c r="B24" s="290" t="s">
        <v>3958</v>
      </c>
      <c r="C24" s="289">
        <v>250</v>
      </c>
    </row>
    <row r="25" spans="2:3" ht="15" customHeight="1" thickBot="1" x14ac:dyDescent="0.4">
      <c r="B25" s="290" t="s">
        <v>3957</v>
      </c>
      <c r="C25" s="289">
        <v>500</v>
      </c>
    </row>
    <row r="26" spans="2:3" ht="15" customHeight="1" thickBot="1" x14ac:dyDescent="0.4">
      <c r="B26" s="290" t="s">
        <v>3956</v>
      </c>
      <c r="C26" s="289">
        <v>420</v>
      </c>
    </row>
    <row r="27" spans="2:3" ht="15" customHeight="1" thickBot="1" x14ac:dyDescent="0.4">
      <c r="B27" s="290" t="s">
        <v>3955</v>
      </c>
      <c r="C27" s="289">
        <v>250</v>
      </c>
    </row>
    <row r="28" spans="2:3" ht="15" customHeight="1" thickBot="1" x14ac:dyDescent="0.4">
      <c r="B28" s="290" t="s">
        <v>3954</v>
      </c>
      <c r="C28" s="289" t="s">
        <v>3953</v>
      </c>
    </row>
    <row r="29" spans="2:3" ht="15" customHeight="1" thickBot="1" x14ac:dyDescent="0.4">
      <c r="B29" s="290" t="s">
        <v>3952</v>
      </c>
      <c r="C29" s="289">
        <v>450</v>
      </c>
    </row>
    <row r="30" spans="2:3" ht="15" customHeight="1" thickBot="1" x14ac:dyDescent="0.4">
      <c r="B30" s="290" t="s">
        <v>3951</v>
      </c>
      <c r="C30" s="289">
        <v>100</v>
      </c>
    </row>
    <row r="31" spans="2:3" ht="15" customHeight="1" thickBot="1" x14ac:dyDescent="0.4">
      <c r="B31" s="290" t="s">
        <v>3950</v>
      </c>
      <c r="C31" s="289">
        <v>500</v>
      </c>
    </row>
    <row r="32" spans="2:3" ht="15" customHeight="1" thickBot="1" x14ac:dyDescent="0.4">
      <c r="B32" s="290" t="s">
        <v>3949</v>
      </c>
      <c r="C32" s="289">
        <v>250</v>
      </c>
    </row>
    <row r="33" spans="2:3" ht="15" customHeight="1" thickBot="1" x14ac:dyDescent="0.4">
      <c r="B33" s="294" t="s">
        <v>3948</v>
      </c>
      <c r="C33" s="293">
        <v>420</v>
      </c>
    </row>
    <row r="34" spans="2:3" ht="15" customHeight="1" thickBot="1" x14ac:dyDescent="0.4">
      <c r="B34" s="292" t="s">
        <v>3947</v>
      </c>
      <c r="C34" s="291">
        <v>100</v>
      </c>
    </row>
    <row r="35" spans="2:3" ht="15" customHeight="1" thickBot="1" x14ac:dyDescent="0.4">
      <c r="B35" s="290" t="s">
        <v>3946</v>
      </c>
      <c r="C35" s="289">
        <v>350</v>
      </c>
    </row>
    <row r="36" spans="2:3" ht="15" customHeight="1" thickBot="1" x14ac:dyDescent="0.4">
      <c r="B36" s="290" t="s">
        <v>3945</v>
      </c>
      <c r="C36" s="289">
        <v>250</v>
      </c>
    </row>
    <row r="37" spans="2:3" ht="15" customHeight="1" thickBot="1" x14ac:dyDescent="0.4">
      <c r="B37" s="290" t="s">
        <v>3944</v>
      </c>
      <c r="C37" s="289">
        <v>50</v>
      </c>
    </row>
    <row r="38" spans="2:3" ht="15" customHeight="1" thickBot="1" x14ac:dyDescent="0.4">
      <c r="B38" s="290" t="s">
        <v>3943</v>
      </c>
      <c r="C38" s="289">
        <v>250</v>
      </c>
    </row>
    <row r="39" spans="2:3" ht="15" customHeight="1" thickBot="1" x14ac:dyDescent="0.4">
      <c r="B39" s="290" t="s">
        <v>3942</v>
      </c>
      <c r="C39" s="289">
        <v>730</v>
      </c>
    </row>
    <row r="40" spans="2:3" ht="15" customHeight="1" thickBot="1" x14ac:dyDescent="0.4">
      <c r="B40" s="290" t="s">
        <v>3941</v>
      </c>
      <c r="C40" s="289">
        <v>550</v>
      </c>
    </row>
    <row r="41" spans="2:3" ht="15" customHeight="1" thickBot="1" x14ac:dyDescent="0.4">
      <c r="B41" s="290" t="s">
        <v>3940</v>
      </c>
      <c r="C41" s="289">
        <v>100</v>
      </c>
    </row>
    <row r="42" spans="2:3" ht="15" customHeight="1" thickBot="1" x14ac:dyDescent="0.4">
      <c r="B42" s="290" t="s">
        <v>3939</v>
      </c>
      <c r="C42" s="289">
        <v>250</v>
      </c>
    </row>
    <row r="43" spans="2:3" ht="15" customHeight="1" thickBot="1" x14ac:dyDescent="0.4">
      <c r="B43" s="290" t="s">
        <v>3938</v>
      </c>
      <c r="C43" s="289">
        <v>450</v>
      </c>
    </row>
    <row r="44" spans="2:3" ht="15" customHeight="1" thickBot="1" x14ac:dyDescent="0.4">
      <c r="B44" s="290" t="s">
        <v>3937</v>
      </c>
      <c r="C44" s="289">
        <v>340</v>
      </c>
    </row>
    <row r="45" spans="2:3" ht="15" customHeight="1" thickBot="1" x14ac:dyDescent="0.4">
      <c r="B45" s="290" t="s">
        <v>3936</v>
      </c>
      <c r="C45" s="289">
        <v>100</v>
      </c>
    </row>
    <row r="46" spans="2:3" ht="15" customHeight="1" thickBot="1" x14ac:dyDescent="0.4">
      <c r="B46" s="290" t="s">
        <v>3935</v>
      </c>
      <c r="C46" s="289">
        <v>420</v>
      </c>
    </row>
    <row r="47" spans="2:3" ht="15" customHeight="1" thickBot="1" x14ac:dyDescent="0.4">
      <c r="B47" s="290" t="s">
        <v>3934</v>
      </c>
      <c r="C47" s="289">
        <v>250</v>
      </c>
    </row>
    <row r="48" spans="2:3" ht="15" customHeight="1" thickBot="1" x14ac:dyDescent="0.4">
      <c r="B48" s="290" t="s">
        <v>3933</v>
      </c>
      <c r="C48" s="289">
        <v>275</v>
      </c>
    </row>
    <row r="49" spans="2:6" ht="15" customHeight="1" thickBot="1" x14ac:dyDescent="0.4">
      <c r="B49" s="290" t="s">
        <v>3932</v>
      </c>
      <c r="C49" s="289">
        <v>350</v>
      </c>
    </row>
    <row r="50" spans="2:6" ht="15" customHeight="1" thickBot="1" x14ac:dyDescent="0.4">
      <c r="B50" s="290" t="s">
        <v>3931</v>
      </c>
      <c r="C50" s="289">
        <v>340</v>
      </c>
    </row>
    <row r="51" spans="2:6" x14ac:dyDescent="0.35">
      <c r="B51" s="747" t="s">
        <v>3930</v>
      </c>
      <c r="C51" s="747"/>
      <c r="D51" s="747"/>
      <c r="E51" s="747"/>
      <c r="F51" s="747"/>
    </row>
    <row r="52" spans="2:6" x14ac:dyDescent="0.35">
      <c r="B52" s="747"/>
      <c r="C52" s="747"/>
      <c r="D52" s="747"/>
      <c r="E52" s="747"/>
      <c r="F52" s="747"/>
    </row>
    <row r="53" spans="2:6" x14ac:dyDescent="0.35">
      <c r="B53" s="747" t="s">
        <v>3929</v>
      </c>
      <c r="C53" s="747"/>
      <c r="D53" s="747"/>
      <c r="E53" s="747"/>
      <c r="F53" s="747"/>
    </row>
    <row r="54" spans="2:6" x14ac:dyDescent="0.35">
      <c r="B54" s="747"/>
      <c r="C54" s="747"/>
      <c r="D54" s="747"/>
      <c r="E54" s="747"/>
      <c r="F54" s="747"/>
    </row>
    <row r="55" spans="2:6" x14ac:dyDescent="0.35">
      <c r="B55" s="747" t="s">
        <v>3928</v>
      </c>
      <c r="C55" s="747"/>
      <c r="D55" s="747"/>
      <c r="E55" s="747"/>
      <c r="F55" s="747"/>
    </row>
    <row r="56" spans="2:6" x14ac:dyDescent="0.35">
      <c r="B56" s="747"/>
      <c r="C56" s="747"/>
      <c r="D56" s="747"/>
      <c r="E56" s="747"/>
      <c r="F56" s="747"/>
    </row>
    <row r="57" spans="2:6" x14ac:dyDescent="0.35">
      <c r="B57" s="747"/>
      <c r="C57" s="747"/>
      <c r="D57" s="747"/>
      <c r="E57" s="747"/>
      <c r="F57" s="747"/>
    </row>
    <row r="58" spans="2:6" x14ac:dyDescent="0.35">
      <c r="B58" s="747" t="s">
        <v>3927</v>
      </c>
      <c r="C58" s="747"/>
      <c r="D58" s="747"/>
      <c r="E58" s="747"/>
      <c r="F58" s="747"/>
    </row>
    <row r="59" spans="2:6" x14ac:dyDescent="0.35">
      <c r="B59" s="747"/>
      <c r="C59" s="747"/>
      <c r="D59" s="747"/>
      <c r="E59" s="747"/>
      <c r="F59" s="747"/>
    </row>
    <row r="60" spans="2:6" x14ac:dyDescent="0.35">
      <c r="B60" s="1161" t="s">
        <v>3926</v>
      </c>
      <c r="C60" s="1161"/>
      <c r="D60" s="1161"/>
      <c r="E60" s="1161"/>
      <c r="F60" s="1161"/>
    </row>
  </sheetData>
  <sheetProtection algorithmName="SHA-512" hashValue="7IshogTWiHOUihKvMZysA3PqBGXU6zvvsBY8ivqrJ7R2jVXeCga1RQvT0g79VmgUHQph571vmLtAq/C/Ait9AQ==" saltValue="2mHpmfh1DQ64mXLmv3xaRQ==" spinCount="100000" sheet="1" objects="1" scenarios="1" selectLockedCells="1"/>
  <mergeCells count="9">
    <mergeCell ref="B60:F60"/>
    <mergeCell ref="B2:C2"/>
    <mergeCell ref="B58:F59"/>
    <mergeCell ref="B5:C5"/>
    <mergeCell ref="B4:C4"/>
    <mergeCell ref="B51:F52"/>
    <mergeCell ref="B53:F54"/>
    <mergeCell ref="B55:F57"/>
    <mergeCell ref="E2:G2"/>
  </mergeCells>
  <hyperlinks>
    <hyperlink ref="B2:C2" location="hyptarg9.1" display="back to 901.9.1" xr:uid="{00000000-0004-0000-2600-000000000000}"/>
    <hyperlink ref="E2:F2" location="'Verification Report'!A1" display="back to Verification Report" xr:uid="{00000000-0004-0000-2600-000001000000}"/>
    <hyperlink ref="E2:G2" location="'Verification Report'!A1" display="back to Verification Report" xr:uid="{00000000-0004-0000-2600-000002000000}"/>
  </hyperlinks>
  <pageMargins left="0.7" right="0.7" top="0.75" bottom="0.75" header="0.3" footer="0.3"/>
  <pageSetup scale="94" fitToHeight="0" orientation="portrait" r:id="rId1"/>
  <rowBreaks count="1" manualBreakCount="1">
    <brk id="19"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BI266"/>
  <sheetViews>
    <sheetView showGridLines="0" zoomScaleNormal="100" workbookViewId="0">
      <pane ySplit="7" topLeftCell="A9" activePane="bottomLeft" state="frozen"/>
      <selection pane="bottomLeft" activeCell="X237" sqref="X237:X246"/>
    </sheetView>
  </sheetViews>
  <sheetFormatPr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35" customWidth="1"/>
    <col min="14" max="14" width="2.1796875" hidden="1" customWidth="1"/>
    <col min="15" max="15" width="7.7265625" style="44" customWidth="1"/>
    <col min="16" max="21" width="8.81640625" hidden="1" customWidth="1"/>
    <col min="22" max="22" width="3" hidden="1" customWidth="1"/>
    <col min="23" max="23" width="21.453125" customWidth="1"/>
    <col min="24" max="24" width="69" customWidth="1"/>
    <col min="25" max="25" width="10.1796875" hidden="1" customWidth="1"/>
    <col min="26" max="26" width="34.81640625" hidden="1" customWidth="1"/>
    <col min="27" max="37" width="9.1796875" hidden="1" customWidth="1"/>
    <col min="38" max="38" width="14.453125" hidden="1" customWidth="1"/>
    <col min="39" max="39" width="3" hidden="1" customWidth="1"/>
    <col min="40" max="40" width="12.54296875" hidden="1" customWidth="1"/>
    <col min="41" max="41" width="2.1796875" hidden="1" customWidth="1"/>
    <col min="42" max="42" width="14.26953125" hidden="1" customWidth="1"/>
    <col min="43" max="43" width="5.81640625" hidden="1" customWidth="1"/>
    <col min="44" max="44" width="12.453125" hidden="1" customWidth="1"/>
    <col min="45" max="45" width="2.1796875" hidden="1" customWidth="1"/>
    <col min="46" max="61" width="9.1796875" hidden="1" customWidth="1"/>
  </cols>
  <sheetData>
    <row r="1" spans="1:61" x14ac:dyDescent="0.35">
      <c r="H1" s="715" t="s">
        <v>4600</v>
      </c>
      <c r="I1" s="726" t="str">
        <f ca="1">IF(OR(AG3,AI3),"Errors on page, no Level reached","Current Chapter level: "&amp;AG1&amp;"                                            Total Points: "&amp;AG2)</f>
        <v>Current Chapter level: Silver                                            Total Points: 69</v>
      </c>
      <c r="J1" s="726"/>
      <c r="K1" s="726"/>
      <c r="L1" s="726"/>
      <c r="M1" s="716"/>
      <c r="N1" s="716"/>
      <c r="O1" s="716"/>
      <c r="P1" s="716"/>
      <c r="Q1" s="716"/>
      <c r="R1" s="716"/>
      <c r="S1" s="716"/>
      <c r="T1" s="716"/>
      <c r="U1" s="716"/>
      <c r="V1" s="716"/>
      <c r="W1" s="716"/>
      <c r="X1" s="593" t="s">
        <v>4563</v>
      </c>
      <c r="AF1" s="6" t="s">
        <v>307</v>
      </c>
      <c r="AG1" t="str">
        <f ca="1">Points!R15</f>
        <v>Silver</v>
      </c>
    </row>
    <row r="2" spans="1:61" x14ac:dyDescent="0.35">
      <c r="H2" s="715"/>
      <c r="I2" s="727" t="str">
        <f ca="1">"Points away from:  Bronze: "&amp;MAX(Points!C15-Points!Ch5Points,0)&amp;",  Silver: "&amp;MAX(Points!D15-Points!Ch5Points,0)&amp;",  Gold: "&amp;MAX(Points!E15-Points!Ch5Points,0)&amp;",  Emerald: "&amp;MAX(Points!F15-Points!Ch5Points,0)</f>
        <v>Points away from:  Bronze: 0,  Silver: 0,  Gold: 24,  Emerald: 52</v>
      </c>
      <c r="J2" s="727"/>
      <c r="K2" s="727"/>
      <c r="L2" s="727"/>
      <c r="M2" s="716"/>
      <c r="N2" s="716"/>
      <c r="O2" s="716"/>
      <c r="P2" s="716"/>
      <c r="Q2" s="716"/>
      <c r="R2" s="716"/>
      <c r="S2" s="716"/>
      <c r="T2" s="716"/>
      <c r="U2" s="716"/>
      <c r="V2" s="716"/>
      <c r="W2" s="716"/>
      <c r="X2" s="593" t="s">
        <v>3728</v>
      </c>
      <c r="AF2" s="6" t="s">
        <v>306</v>
      </c>
      <c r="AG2">
        <f ca="1">Points!H15</f>
        <v>69</v>
      </c>
      <c r="AH2" t="s">
        <v>309</v>
      </c>
      <c r="AI2">
        <f ca="1">Points!P15</f>
        <v>24</v>
      </c>
    </row>
    <row r="3" spans="1:61" x14ac:dyDescent="0.35">
      <c r="H3" s="715"/>
      <c r="I3" s="727" t="str">
        <f ca="1">"Add'l pts earned above:  Bronze: "&amp; MAX(0,Points!Ch5Points-Points!C15) &amp;",  Silver: " &amp; MAX(0,Points!Ch5Points-Points!D15) &amp;",  Gold: " &amp; MAX(0,Points!Ch5Points-Points!E15) &amp;",  Emerald: " &amp; MAX(0,Points!Ch5Points-Points!F15)</f>
        <v>Add'l pts earned above:  Bronze: 19,  Silver: 5,  Gold: 0,  Emerald: 0</v>
      </c>
      <c r="J3" s="727"/>
      <c r="K3" s="727"/>
      <c r="L3" s="727"/>
      <c r="M3" s="716"/>
      <c r="N3" s="716"/>
      <c r="O3" s="716"/>
      <c r="P3" s="716"/>
      <c r="Q3" s="716"/>
      <c r="R3" s="716"/>
      <c r="S3" s="716"/>
      <c r="T3" s="716"/>
      <c r="U3" s="716"/>
      <c r="V3" s="716"/>
      <c r="W3" s="716"/>
      <c r="X3" s="593" t="s">
        <v>3727</v>
      </c>
      <c r="AF3" s="6" t="s">
        <v>304</v>
      </c>
      <c r="AG3" t="b">
        <f>OR(AE:AE)</f>
        <v>0</v>
      </c>
      <c r="AH3" s="6" t="s">
        <v>305</v>
      </c>
      <c r="AI3" t="b">
        <f ca="1">OR(AD:AD)</f>
        <v>0</v>
      </c>
    </row>
    <row r="4" spans="1:61" x14ac:dyDescent="0.35">
      <c r="H4" s="715"/>
      <c r="I4" s="730" t="str">
        <f>"Total Chapter Points needed for:  Bronze: "&amp;Points!C15&amp;",  Silver: "&amp;Points!D15&amp;",  Gold: "&amp;Points!E15&amp;",  Emerald: "&amp;Points!F15</f>
        <v>Total Chapter Points needed for:  Bronze: 50,  Silver: 64,  Gold: 93,  Emerald: 121</v>
      </c>
      <c r="J4" s="731"/>
      <c r="K4" s="731"/>
      <c r="L4" s="732"/>
      <c r="M4" s="716"/>
      <c r="N4" s="716"/>
      <c r="O4" s="716"/>
      <c r="P4" s="716"/>
      <c r="Q4" s="716"/>
      <c r="R4" s="716"/>
      <c r="S4" s="716"/>
      <c r="T4" s="716"/>
      <c r="U4" s="716"/>
      <c r="V4" s="716"/>
      <c r="W4" s="716"/>
      <c r="X4" s="639" t="s">
        <v>4629</v>
      </c>
      <c r="AF4" s="6"/>
      <c r="AH4" s="6"/>
    </row>
    <row r="5" spans="1:61" x14ac:dyDescent="0.35">
      <c r="H5" s="715"/>
      <c r="I5" s="733" t="str">
        <f>"Revision Date:  "&amp;TEXT('Info &amp; Intro'!E7,"m/d/yyyy")</f>
        <v>Revision Date:  5/26/2023</v>
      </c>
      <c r="J5" s="734"/>
      <c r="K5" s="734"/>
      <c r="L5" s="735"/>
      <c r="M5" s="716"/>
      <c r="N5" s="716"/>
      <c r="O5" s="716"/>
      <c r="P5" s="716"/>
      <c r="Q5" s="716"/>
      <c r="R5" s="716"/>
      <c r="S5" s="716"/>
      <c r="T5" s="716"/>
      <c r="U5" s="716"/>
      <c r="V5" s="716"/>
      <c r="W5" s="716"/>
      <c r="X5" s="639"/>
      <c r="AF5" s="6"/>
      <c r="AH5" s="6"/>
    </row>
    <row r="6" spans="1:61" x14ac:dyDescent="0.35">
      <c r="H6" s="715"/>
      <c r="I6" s="702" t="s">
        <v>261</v>
      </c>
      <c r="J6" s="703"/>
      <c r="K6" s="704"/>
      <c r="L6" s="705" t="s">
        <v>1306</v>
      </c>
      <c r="M6" s="705" t="s">
        <v>262</v>
      </c>
      <c r="N6" s="705"/>
      <c r="O6" s="23" t="s">
        <v>336</v>
      </c>
      <c r="P6" s="705" t="s">
        <v>4626</v>
      </c>
      <c r="Q6" s="705" t="s">
        <v>327</v>
      </c>
      <c r="R6" s="705" t="s">
        <v>263</v>
      </c>
      <c r="S6" s="705" t="s">
        <v>264</v>
      </c>
      <c r="T6" s="705" t="s">
        <v>0</v>
      </c>
      <c r="U6" s="705" t="s">
        <v>4627</v>
      </c>
      <c r="V6" s="705"/>
      <c r="W6" s="705" t="s">
        <v>265</v>
      </c>
      <c r="X6" s="728" t="s">
        <v>1</v>
      </c>
      <c r="AC6" s="2" t="s">
        <v>325</v>
      </c>
      <c r="AD6" s="2" t="s">
        <v>0</v>
      </c>
      <c r="AE6" s="2" t="s">
        <v>324</v>
      </c>
    </row>
    <row r="7" spans="1:61" x14ac:dyDescent="0.35">
      <c r="H7" s="715"/>
      <c r="I7" s="702"/>
      <c r="J7" s="703"/>
      <c r="K7" s="704"/>
      <c r="L7" s="705"/>
      <c r="M7" s="705"/>
      <c r="N7" s="705"/>
      <c r="O7" s="23" t="s">
        <v>337</v>
      </c>
      <c r="P7" s="705"/>
      <c r="Q7" s="705"/>
      <c r="R7" s="705"/>
      <c r="S7" s="705"/>
      <c r="T7" s="705"/>
      <c r="U7" s="705"/>
      <c r="V7" s="705"/>
      <c r="W7" s="705"/>
      <c r="X7" s="729"/>
      <c r="AC7" s="2" t="s">
        <v>325</v>
      </c>
      <c r="AD7" s="2" t="s">
        <v>0</v>
      </c>
      <c r="AE7" s="2" t="s">
        <v>324</v>
      </c>
    </row>
    <row r="8" spans="1:61" hidden="1" x14ac:dyDescent="0.35">
      <c r="I8" s="548"/>
      <c r="J8" s="548"/>
      <c r="K8" s="548"/>
      <c r="L8" s="22"/>
      <c r="M8" s="22"/>
      <c r="N8" s="22"/>
      <c r="O8" s="23"/>
      <c r="P8" s="22"/>
      <c r="Q8" s="22"/>
      <c r="R8" s="22"/>
      <c r="S8" s="22"/>
      <c r="T8" s="22"/>
      <c r="U8" s="22"/>
      <c r="V8" s="22"/>
      <c r="W8" s="22"/>
      <c r="X8" s="548"/>
      <c r="AC8" s="2"/>
      <c r="AD8" s="2"/>
      <c r="AE8" s="2"/>
    </row>
    <row r="9" spans="1:61" ht="18.5" x14ac:dyDescent="0.45">
      <c r="A9" s="12" t="s">
        <v>260</v>
      </c>
      <c r="B9" s="12" t="s">
        <v>260</v>
      </c>
      <c r="C9" s="12" t="s">
        <v>260</v>
      </c>
      <c r="D9" s="12" t="s">
        <v>260</v>
      </c>
      <c r="E9" s="12" t="s">
        <v>260</v>
      </c>
      <c r="F9" s="12" t="s">
        <v>260</v>
      </c>
      <c r="G9" s="12" t="s">
        <v>260</v>
      </c>
      <c r="H9" s="552"/>
      <c r="I9" s="14" t="s">
        <v>805</v>
      </c>
      <c r="J9" s="14"/>
      <c r="K9" s="14"/>
      <c r="L9" s="15"/>
      <c r="M9" s="16"/>
      <c r="N9" t="s">
        <v>260</v>
      </c>
      <c r="O9" s="16"/>
      <c r="P9" t="s">
        <v>260</v>
      </c>
      <c r="Q9" t="s">
        <v>260</v>
      </c>
      <c r="R9" t="s">
        <v>260</v>
      </c>
      <c r="S9" t="s">
        <v>260</v>
      </c>
      <c r="T9" t="s">
        <v>260</v>
      </c>
      <c r="U9" t="s">
        <v>260</v>
      </c>
      <c r="V9" t="s">
        <v>260</v>
      </c>
      <c r="W9" s="15"/>
      <c r="X9" s="15"/>
      <c r="Y9" s="21" t="s">
        <v>260</v>
      </c>
      <c r="Z9" s="21" t="s">
        <v>260</v>
      </c>
      <c r="AA9" s="21" t="s">
        <v>260</v>
      </c>
      <c r="AB9" s="21" t="s">
        <v>260</v>
      </c>
      <c r="AC9" s="21" t="s">
        <v>260</v>
      </c>
      <c r="AD9" s="21" t="s">
        <v>260</v>
      </c>
      <c r="AE9" s="21" t="s">
        <v>260</v>
      </c>
      <c r="AF9" s="21" t="s">
        <v>260</v>
      </c>
      <c r="AG9" s="21" t="s">
        <v>260</v>
      </c>
      <c r="AH9" s="21" t="s">
        <v>260</v>
      </c>
      <c r="AI9" s="21" t="s">
        <v>260</v>
      </c>
      <c r="AJ9" s="21" t="s">
        <v>260</v>
      </c>
      <c r="AK9" s="21" t="s">
        <v>260</v>
      </c>
      <c r="AL9" s="21" t="s">
        <v>260</v>
      </c>
      <c r="AM9" s="21" t="s">
        <v>260</v>
      </c>
      <c r="AN9" s="21" t="s">
        <v>260</v>
      </c>
      <c r="AO9" s="21" t="s">
        <v>260</v>
      </c>
      <c r="AP9" s="21" t="s">
        <v>260</v>
      </c>
      <c r="AQ9" s="21" t="s">
        <v>260</v>
      </c>
      <c r="AR9" s="21" t="s">
        <v>260</v>
      </c>
      <c r="AS9" s="21" t="s">
        <v>260</v>
      </c>
      <c r="AT9" s="21" t="s">
        <v>260</v>
      </c>
      <c r="AU9" s="21" t="s">
        <v>260</v>
      </c>
      <c r="AV9" s="21" t="s">
        <v>260</v>
      </c>
      <c r="AW9" s="21" t="s">
        <v>260</v>
      </c>
      <c r="AX9" s="21" t="s">
        <v>260</v>
      </c>
      <c r="AY9" s="21" t="s">
        <v>260</v>
      </c>
      <c r="AZ9" s="21" t="s">
        <v>260</v>
      </c>
      <c r="BA9" s="21" t="s">
        <v>260</v>
      </c>
      <c r="BB9" s="21" t="s">
        <v>260</v>
      </c>
      <c r="BC9" s="21" t="s">
        <v>260</v>
      </c>
      <c r="BD9" s="21" t="s">
        <v>260</v>
      </c>
      <c r="BE9" s="21" t="s">
        <v>260</v>
      </c>
      <c r="BF9" s="21" t="s">
        <v>260</v>
      </c>
      <c r="BG9" s="21" t="s">
        <v>260</v>
      </c>
      <c r="BH9" s="21" t="s">
        <v>260</v>
      </c>
      <c r="BI9" s="21" t="s">
        <v>260</v>
      </c>
    </row>
    <row r="10" spans="1:61" x14ac:dyDescent="0.35">
      <c r="B10" s="13" t="s">
        <v>267</v>
      </c>
      <c r="C10" s="13"/>
      <c r="D10" s="13"/>
      <c r="E10" s="13"/>
      <c r="F10" s="13"/>
      <c r="G10" s="13"/>
      <c r="H10" s="552"/>
      <c r="I10" s="50" t="s">
        <v>267</v>
      </c>
      <c r="J10" s="50"/>
      <c r="K10" s="50"/>
      <c r="L10" s="706" t="s">
        <v>268</v>
      </c>
      <c r="M10" s="335"/>
      <c r="R10" t="b">
        <v>0</v>
      </c>
      <c r="S10" t="b">
        <v>1</v>
      </c>
      <c r="T10" t="b">
        <v>0</v>
      </c>
      <c r="AM10" s="12"/>
      <c r="AO10" s="12"/>
    </row>
    <row r="11" spans="1:61" x14ac:dyDescent="0.35">
      <c r="B11" s="13" t="s">
        <v>267</v>
      </c>
      <c r="C11" s="13"/>
      <c r="D11" s="13"/>
      <c r="E11" s="13"/>
      <c r="F11" s="13"/>
      <c r="G11" s="13"/>
      <c r="H11" s="552"/>
      <c r="I11" s="50"/>
      <c r="J11" s="50"/>
      <c r="K11" s="50"/>
      <c r="L11" s="706"/>
      <c r="M11" s="335"/>
      <c r="AX11" s="6" t="str">
        <f>'Overview (Design)'!A10</f>
        <v>Builder Name:</v>
      </c>
      <c r="AY11" t="str">
        <f>'Overview (Design)'!G10</f>
        <v>ABC Builder</v>
      </c>
    </row>
    <row r="12" spans="1:61" x14ac:dyDescent="0.35">
      <c r="B12" s="13" t="s">
        <v>267</v>
      </c>
      <c r="C12" s="13"/>
      <c r="D12" s="13"/>
      <c r="E12" s="13"/>
      <c r="F12" s="13"/>
      <c r="G12" s="13"/>
      <c r="H12" s="552"/>
      <c r="I12" s="50"/>
      <c r="J12" s="50"/>
      <c r="K12" s="50"/>
      <c r="L12" s="706"/>
      <c r="M12" s="335"/>
      <c r="AX12" s="6" t="str">
        <f>'Overview (Design)'!A11</f>
        <v>Physical Address of Home:</v>
      </c>
      <c r="AY12" t="str">
        <f>'Overview (Design)'!G11</f>
        <v>123 Example Drive</v>
      </c>
    </row>
    <row r="13" spans="1:61" ht="18.5" x14ac:dyDescent="0.45">
      <c r="B13" s="13" t="s">
        <v>808</v>
      </c>
      <c r="C13" s="13"/>
      <c r="D13" s="13"/>
      <c r="E13" s="13"/>
      <c r="F13" s="13"/>
      <c r="G13" s="13"/>
      <c r="H13" s="552"/>
      <c r="I13" s="51" t="s">
        <v>804</v>
      </c>
      <c r="J13" s="51"/>
      <c r="K13" s="51"/>
      <c r="L13" s="45"/>
      <c r="M13" s="336"/>
      <c r="N13" s="15"/>
      <c r="O13" s="37"/>
      <c r="P13" s="15"/>
      <c r="Q13" s="15"/>
      <c r="R13" s="15"/>
      <c r="S13" s="15"/>
      <c r="T13" s="15"/>
      <c r="U13" s="15"/>
      <c r="V13" s="15"/>
      <c r="W13" s="15"/>
      <c r="X13" s="15"/>
      <c r="AX13" s="6" t="str">
        <f>'Overview (Design)'!A12</f>
        <v>Community/Lot #:</v>
      </c>
      <c r="AY13" t="str">
        <f>'Overview (Design)'!G12</f>
        <v>Lot 1A</v>
      </c>
    </row>
    <row r="14" spans="1:61" ht="15" customHeight="1" x14ac:dyDescent="0.35">
      <c r="B14" s="13" t="s">
        <v>269</v>
      </c>
      <c r="C14" s="13"/>
      <c r="D14" s="13"/>
      <c r="E14" s="13"/>
      <c r="F14" s="13"/>
      <c r="G14" s="13"/>
      <c r="H14" s="552"/>
      <c r="I14" s="50" t="s">
        <v>269</v>
      </c>
      <c r="J14" s="50"/>
      <c r="K14" s="50"/>
      <c r="L14" s="576" t="s">
        <v>4709</v>
      </c>
      <c r="N14" s="54"/>
      <c r="O14" s="338">
        <f>MAX(M15*S15*W15,M17*S17*W17+M18*S18*W18+M19*S19*W19)</f>
        <v>0</v>
      </c>
      <c r="P14" s="54"/>
      <c r="Q14" s="54"/>
      <c r="W14" t="s">
        <v>277</v>
      </c>
      <c r="X14" s="688"/>
      <c r="AN14" t="str">
        <f>SUBSTITUTE(SUBSTITUTE(SUBSTITUTE("dpc"&amp;$B14&amp;$C14&amp;$D14&amp;$E14&amp;$F14,".","_"),"(","_"),")","")</f>
        <v>dpc501_1</v>
      </c>
      <c r="AO14">
        <f>O14</f>
        <v>0</v>
      </c>
      <c r="AR14" t="str">
        <f>SUBSTITUTE(SUBSTITUTE(SUBSTITUTE("dnt"&amp;$B14&amp;$C14&amp;$D14&amp;$E14&amp;$F14,".","_"),"(","_"),")","")</f>
        <v>dnt501_1</v>
      </c>
      <c r="AS14">
        <f>X14</f>
        <v>0</v>
      </c>
      <c r="AX14" s="6" t="str">
        <f>'Overview (Design)'!A13</f>
        <v>City:</v>
      </c>
      <c r="AY14" t="str">
        <f>'Overview (Design)'!G13</f>
        <v>Durham</v>
      </c>
    </row>
    <row r="15" spans="1:61" x14ac:dyDescent="0.35">
      <c r="B15" s="13" t="s">
        <v>269</v>
      </c>
      <c r="C15" s="13" t="s">
        <v>270</v>
      </c>
      <c r="D15" s="13"/>
      <c r="E15" s="13"/>
      <c r="F15" s="13"/>
      <c r="G15" s="13"/>
      <c r="H15" s="552"/>
      <c r="I15" s="50"/>
      <c r="J15" s="115" t="s">
        <v>270</v>
      </c>
      <c r="K15" s="115"/>
      <c r="L15" s="578" t="s">
        <v>4710</v>
      </c>
      <c r="M15" s="371">
        <v>15</v>
      </c>
      <c r="N15" s="54"/>
      <c r="O15" s="338"/>
      <c r="P15" s="54" t="b">
        <v>1</v>
      </c>
      <c r="Q15" s="54" t="b">
        <v>1</v>
      </c>
      <c r="R15" t="b">
        <v>0</v>
      </c>
      <c r="S15" t="b">
        <v>1</v>
      </c>
      <c r="T15" t="b">
        <v>0</v>
      </c>
      <c r="W15" s="17"/>
      <c r="X15" s="688"/>
      <c r="AL15" t="str">
        <f>SUBSTITUTE(SUBSTITUTE(SUBSTITUTE("dpa"&amp;$B15&amp;$C15&amp;$D15&amp;$E15&amp;$F15,".","_"),"(","_"),")","")</f>
        <v>dpa501_1_1</v>
      </c>
      <c r="AM15">
        <f>M15</f>
        <v>15</v>
      </c>
      <c r="AP15" t="str">
        <f t="shared" ref="AP15:AP19" si="0">SUBSTITUTE(SUBSTITUTE(SUBSTITUTE("dch"&amp;$B15&amp;$C15&amp;$D15&amp;$E15&amp;$F15,".","_"),"(","_"),")","")</f>
        <v>dch501_1_1</v>
      </c>
      <c r="AQ15">
        <f>W15</f>
        <v>0</v>
      </c>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13" t="s">
        <v>269</v>
      </c>
      <c r="C16" s="13" t="s">
        <v>272</v>
      </c>
      <c r="D16" s="13"/>
      <c r="E16" s="13"/>
      <c r="F16" s="13"/>
      <c r="G16" s="13"/>
      <c r="H16" s="552"/>
      <c r="I16" s="50"/>
      <c r="J16" s="579" t="s">
        <v>272</v>
      </c>
      <c r="K16" s="50"/>
      <c r="L16" s="217" t="s">
        <v>4711</v>
      </c>
      <c r="M16" s="577"/>
      <c r="N16" s="54"/>
      <c r="O16" s="338"/>
      <c r="P16" s="54"/>
      <c r="Q16" s="54"/>
      <c r="X16" s="688"/>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13" t="s">
        <v>269</v>
      </c>
      <c r="C17" s="13" t="s">
        <v>272</v>
      </c>
      <c r="D17" s="13" t="s">
        <v>121</v>
      </c>
      <c r="E17" s="13"/>
      <c r="F17" s="13"/>
      <c r="G17" s="13"/>
      <c r="H17" s="552"/>
      <c r="I17" s="50"/>
      <c r="J17" s="50"/>
      <c r="K17" s="50" t="s">
        <v>121</v>
      </c>
      <c r="L17" s="46" t="s">
        <v>271</v>
      </c>
      <c r="M17" s="577">
        <v>10</v>
      </c>
      <c r="N17" s="54"/>
      <c r="O17" s="338"/>
      <c r="P17" s="54" t="b">
        <v>1</v>
      </c>
      <c r="Q17" s="54" t="b">
        <v>1</v>
      </c>
      <c r="R17" t="b">
        <v>0</v>
      </c>
      <c r="S17" t="b">
        <v>1</v>
      </c>
      <c r="T17" t="b">
        <v>0</v>
      </c>
      <c r="W17" s="17"/>
      <c r="X17" s="688"/>
      <c r="AC17" t="b">
        <f>OR(AD17:AE17)</f>
        <v>0</v>
      </c>
      <c r="AD17" t="b">
        <f>T17</f>
        <v>0</v>
      </c>
      <c r="AL17" t="str">
        <f t="shared" ref="AL17:AL19" si="1">SUBSTITUTE(SUBSTITUTE(SUBSTITUTE("dpa"&amp;$B17&amp;$C17&amp;$D17&amp;$E17&amp;$F17,".","_"),"(","_"),")","")</f>
        <v>dpa501_1_2_a</v>
      </c>
      <c r="AM17">
        <f>M17</f>
        <v>10</v>
      </c>
      <c r="AP17" t="str">
        <f t="shared" si="0"/>
        <v>dch501_1_2_a</v>
      </c>
      <c r="AQ17">
        <f>W17</f>
        <v>0</v>
      </c>
      <c r="AX17" s="6" t="str">
        <f>'Overview (Design)'!A16</f>
        <v>Zip:</v>
      </c>
      <c r="AY17" t="str">
        <f>'Overview (Design)'!G16</f>
        <v>27703</v>
      </c>
    </row>
    <row r="18" spans="2:51" x14ac:dyDescent="0.35">
      <c r="B18" s="13" t="s">
        <v>269</v>
      </c>
      <c r="C18" s="13" t="s">
        <v>272</v>
      </c>
      <c r="D18" s="13" t="s">
        <v>122</v>
      </c>
      <c r="E18" s="13"/>
      <c r="F18" s="13"/>
      <c r="G18" s="13"/>
      <c r="H18" s="552"/>
      <c r="I18" s="50"/>
      <c r="J18" s="50"/>
      <c r="K18" s="50" t="s">
        <v>122</v>
      </c>
      <c r="L18" s="46" t="s">
        <v>273</v>
      </c>
      <c r="M18" s="577">
        <v>10</v>
      </c>
      <c r="N18" s="54"/>
      <c r="O18" s="338"/>
      <c r="P18" s="54" t="b">
        <v>1</v>
      </c>
      <c r="Q18" s="54" t="b">
        <v>1</v>
      </c>
      <c r="R18" t="b">
        <v>0</v>
      </c>
      <c r="S18" t="b">
        <f>W19&lt;&gt;TRUE</f>
        <v>1</v>
      </c>
      <c r="T18" t="b">
        <f>AND(NOT(S18),W18=TRUE)</f>
        <v>0</v>
      </c>
      <c r="W18" s="17"/>
      <c r="X18" s="688"/>
      <c r="AC18" t="b">
        <f>OR(AD18:AE18)</f>
        <v>0</v>
      </c>
      <c r="AD18" t="b">
        <f>T18</f>
        <v>0</v>
      </c>
      <c r="AL18" t="str">
        <f t="shared" si="1"/>
        <v>dpa501_1_2_b</v>
      </c>
      <c r="AM18">
        <f>M18</f>
        <v>10</v>
      </c>
      <c r="AP18" t="str">
        <f t="shared" si="0"/>
        <v>dch501_1_2_b</v>
      </c>
      <c r="AQ18">
        <f>W18</f>
        <v>0</v>
      </c>
      <c r="AX18" s="6"/>
    </row>
    <row r="19" spans="2:51" ht="15" thickBot="1" x14ac:dyDescent="0.4">
      <c r="B19" s="13" t="s">
        <v>269</v>
      </c>
      <c r="C19" s="13" t="s">
        <v>272</v>
      </c>
      <c r="D19" s="18" t="s">
        <v>123</v>
      </c>
      <c r="E19" s="13"/>
      <c r="F19" s="13"/>
      <c r="G19" s="18"/>
      <c r="H19" s="552"/>
      <c r="I19" s="55"/>
      <c r="J19" s="55"/>
      <c r="K19" s="66" t="s">
        <v>123</v>
      </c>
      <c r="L19" s="56" t="s">
        <v>275</v>
      </c>
      <c r="M19" s="337">
        <v>15</v>
      </c>
      <c r="N19" s="57"/>
      <c r="O19" s="339"/>
      <c r="P19" s="57" t="b">
        <v>1</v>
      </c>
      <c r="Q19" s="57" t="b">
        <v>1</v>
      </c>
      <c r="R19" s="58" t="b">
        <v>0</v>
      </c>
      <c r="S19" s="58" t="b">
        <f>W18&lt;&gt;TRUE</f>
        <v>1</v>
      </c>
      <c r="T19" s="58" t="b">
        <f>AND(NOT(S19),W19=TRUE)</f>
        <v>0</v>
      </c>
      <c r="U19" s="58"/>
      <c r="V19" s="58"/>
      <c r="W19" s="129"/>
      <c r="X19" s="689"/>
      <c r="AL19" t="str">
        <f t="shared" si="1"/>
        <v>dpa501_1_2_c</v>
      </c>
      <c r="AM19">
        <f>M19</f>
        <v>15</v>
      </c>
      <c r="AP19" t="str">
        <f t="shared" si="0"/>
        <v>dch501_1_2_c</v>
      </c>
      <c r="AQ19">
        <f>W19</f>
        <v>0</v>
      </c>
      <c r="AX19" s="6" t="str">
        <f>'Overview (Design)'!A18</f>
        <v>Single-Family or Multifamily:</v>
      </c>
      <c r="AY19" t="str">
        <f>'Overview (Design)'!G18</f>
        <v>Single-Family</v>
      </c>
    </row>
    <row r="20" spans="2:51" ht="15" thickTop="1" x14ac:dyDescent="0.35">
      <c r="B20" s="13" t="s">
        <v>278</v>
      </c>
      <c r="C20" s="13"/>
      <c r="D20" s="13"/>
      <c r="E20" s="13"/>
      <c r="F20" s="13"/>
      <c r="G20" s="13"/>
      <c r="H20" s="552"/>
      <c r="I20" s="50" t="s">
        <v>278</v>
      </c>
      <c r="J20" s="50"/>
      <c r="K20" s="50"/>
      <c r="L20" s="706" t="s">
        <v>279</v>
      </c>
      <c r="M20" s="725"/>
      <c r="N20" s="24"/>
      <c r="O20" s="696"/>
      <c r="W20" s="128"/>
      <c r="X20" s="700" t="s">
        <v>11</v>
      </c>
      <c r="AR20" t="str">
        <f>SUBSTITUTE(SUBSTITUTE(SUBSTITUTE("dnt"&amp;$B20&amp;$C20&amp;$D20&amp;$E20&amp;$F20,".","_"),"(","_"),")","")</f>
        <v>dnt501_2</v>
      </c>
      <c r="AS20" t="str">
        <f>X20</f>
        <v xml:space="preserve"> </v>
      </c>
      <c r="AX20" s="6" t="str">
        <f>'Overview (Design)'!A19</f>
        <v>Number of Units:</v>
      </c>
      <c r="AY20">
        <f>'Overview (Design)'!G19</f>
        <v>0</v>
      </c>
    </row>
    <row r="21" spans="2:51" x14ac:dyDescent="0.35">
      <c r="B21" s="13" t="s">
        <v>278</v>
      </c>
      <c r="C21" s="13"/>
      <c r="D21" s="13"/>
      <c r="E21" s="13"/>
      <c r="F21" s="13"/>
      <c r="G21" s="13"/>
      <c r="H21" s="552"/>
      <c r="I21" s="50"/>
      <c r="J21" s="50"/>
      <c r="K21" s="50"/>
      <c r="L21" s="706"/>
      <c r="M21" s="725"/>
      <c r="N21" s="24"/>
      <c r="O21" s="696"/>
      <c r="X21" s="688"/>
      <c r="AX21" s="6" t="str">
        <f>'Overview (Design)'!A20</f>
        <v>Project Name:</v>
      </c>
      <c r="AY21">
        <f>'Overview (Design)'!G20</f>
        <v>0</v>
      </c>
    </row>
    <row r="22" spans="2:51" x14ac:dyDescent="0.35">
      <c r="B22" s="13" t="s">
        <v>278</v>
      </c>
      <c r="C22" s="13"/>
      <c r="D22" s="13"/>
      <c r="E22" s="13" t="s">
        <v>270</v>
      </c>
      <c r="F22" s="13"/>
      <c r="G22" s="13"/>
      <c r="H22" s="552"/>
      <c r="I22" s="50"/>
      <c r="J22" s="50" t="s">
        <v>270</v>
      </c>
      <c r="K22" s="50"/>
      <c r="L22" s="723" t="s">
        <v>280</v>
      </c>
      <c r="M22" s="719">
        <v>6</v>
      </c>
      <c r="N22" s="54"/>
      <c r="O22" s="717">
        <f>M22*W22</f>
        <v>0</v>
      </c>
      <c r="P22" s="54" t="b">
        <v>1</v>
      </c>
      <c r="Q22" s="54" t="b">
        <v>1</v>
      </c>
      <c r="R22" t="b">
        <v>0</v>
      </c>
      <c r="S22" t="b">
        <v>1</v>
      </c>
      <c r="T22" t="b">
        <v>0</v>
      </c>
      <c r="W22" s="17"/>
      <c r="X22" s="688"/>
      <c r="AL22" t="str">
        <f>SUBSTITUTE(SUBSTITUTE(SUBSTITUTE("dpa"&amp;$B22&amp;$C22&amp;$D22&amp;$E22&amp;$F22,".","_"),"(","_"),")","")</f>
        <v>dpa501_2_1</v>
      </c>
      <c r="AM22">
        <f>M22</f>
        <v>6</v>
      </c>
      <c r="AN22" t="str">
        <f>SUBSTITUTE(SUBSTITUTE(SUBSTITUTE("dpc"&amp;$B22&amp;$C22&amp;$D22&amp;$E22&amp;$F22,".","_"),"(","_"),")","")</f>
        <v>dpc501_2_1</v>
      </c>
      <c r="AO22">
        <f>O22</f>
        <v>0</v>
      </c>
      <c r="AP22" t="str">
        <f>SUBSTITUTE(SUBSTITUTE(SUBSTITUTE("dch"&amp;$B22&amp;$C22&amp;$D22&amp;$E22&amp;$F22,".","_"),"(","_"),")","")</f>
        <v>dch501_2_1</v>
      </c>
      <c r="AQ22">
        <f>W22</f>
        <v>0</v>
      </c>
      <c r="AR22" t="str">
        <f>SUBSTITUTE(SUBSTITUTE(SUBSTITUTE("dnt"&amp;$B22&amp;$C22&amp;$D22&amp;$E22&amp;$F22,".","_"),"(","_"),")","")</f>
        <v>dnt501_2_1</v>
      </c>
      <c r="AS22">
        <f>X22</f>
        <v>0</v>
      </c>
      <c r="AX22" s="6"/>
    </row>
    <row r="23" spans="2:51" x14ac:dyDescent="0.35">
      <c r="B23" s="13" t="s">
        <v>278</v>
      </c>
      <c r="C23" s="13"/>
      <c r="D23" s="13"/>
      <c r="E23" s="13" t="s">
        <v>270</v>
      </c>
      <c r="F23" s="13"/>
      <c r="G23" s="13"/>
      <c r="H23" s="552"/>
      <c r="I23" s="50"/>
      <c r="J23" s="115"/>
      <c r="K23" s="115"/>
      <c r="L23" s="724"/>
      <c r="M23" s="720"/>
      <c r="N23" s="117"/>
      <c r="O23" s="718"/>
      <c r="P23" s="24"/>
      <c r="Q23" s="24"/>
      <c r="X23" s="688"/>
      <c r="AX23" s="6" t="str">
        <f>'Overview (Design)'!A22</f>
        <v>Above grade plane finished floor area:</v>
      </c>
      <c r="AY23">
        <f>'Overview (Design)'!G22</f>
        <v>2644</v>
      </c>
    </row>
    <row r="24" spans="2:51" x14ac:dyDescent="0.35">
      <c r="B24" s="13" t="s">
        <v>278</v>
      </c>
      <c r="C24" s="13"/>
      <c r="D24" s="13"/>
      <c r="E24" s="13" t="s">
        <v>272</v>
      </c>
      <c r="F24" s="13"/>
      <c r="G24" s="13"/>
      <c r="H24" s="552"/>
      <c r="I24" s="50"/>
      <c r="J24" s="50" t="s">
        <v>272</v>
      </c>
      <c r="K24" s="50"/>
      <c r="L24" s="707" t="s">
        <v>281</v>
      </c>
      <c r="M24" s="719">
        <v>3</v>
      </c>
      <c r="N24" s="54"/>
      <c r="O24" s="717">
        <f>M24*W24</f>
        <v>0</v>
      </c>
      <c r="P24" s="54" t="b">
        <v>1</v>
      </c>
      <c r="Q24" s="54" t="b">
        <v>1</v>
      </c>
      <c r="R24" t="b">
        <v>0</v>
      </c>
      <c r="S24" t="b">
        <v>1</v>
      </c>
      <c r="T24" t="b">
        <v>0</v>
      </c>
      <c r="W24" s="17"/>
      <c r="X24" s="688"/>
      <c r="AL24" t="str">
        <f>SUBSTITUTE(SUBSTITUTE(SUBSTITUTE("dpa"&amp;$B24&amp;$C24&amp;$D24&amp;$E24&amp;$F24,".","_"),"(","_"),")","")</f>
        <v>dpa501_2_2</v>
      </c>
      <c r="AM24">
        <f>M24</f>
        <v>3</v>
      </c>
      <c r="AN24" t="str">
        <f>SUBSTITUTE(SUBSTITUTE(SUBSTITUTE("dpc"&amp;$B24&amp;$C24&amp;$D24&amp;$E24&amp;$F24,".","_"),"(","_"),")","")</f>
        <v>dpc501_2_2</v>
      </c>
      <c r="AO24">
        <f>O24</f>
        <v>0</v>
      </c>
      <c r="AP24" t="str">
        <f>SUBSTITUTE(SUBSTITUTE(SUBSTITUTE("dch"&amp;$B24&amp;$C24&amp;$D24&amp;$E24&amp;$F24,".","_"),"(","_"),")","")</f>
        <v>dch501_2_2</v>
      </c>
      <c r="AQ24">
        <f>W24</f>
        <v>0</v>
      </c>
      <c r="AR24" t="str">
        <f>SUBSTITUTE(SUBSTITUTE(SUBSTITUTE("dnt"&amp;$B24&amp;$C24&amp;$D24&amp;$E24&amp;$F24,".","_"),"(","_"),")","")</f>
        <v>dnt501_2_2</v>
      </c>
      <c r="AS24">
        <f>X24</f>
        <v>0</v>
      </c>
      <c r="AX24" s="6" t="str">
        <f>'Overview (Design)'!A23</f>
        <v>Total conditioned floor area:</v>
      </c>
      <c r="AY24">
        <f>'Overview (Design)'!G23</f>
        <v>2644</v>
      </c>
    </row>
    <row r="25" spans="2:51" x14ac:dyDescent="0.35">
      <c r="B25" s="13" t="s">
        <v>278</v>
      </c>
      <c r="C25" s="13"/>
      <c r="D25" s="13"/>
      <c r="E25" s="13" t="s">
        <v>272</v>
      </c>
      <c r="F25" s="13"/>
      <c r="G25" s="13"/>
      <c r="H25" s="552"/>
      <c r="I25" s="50"/>
      <c r="J25" s="115"/>
      <c r="K25" s="115"/>
      <c r="L25" s="709"/>
      <c r="M25" s="720"/>
      <c r="N25" s="117"/>
      <c r="O25" s="718"/>
      <c r="P25" s="24"/>
      <c r="Q25" s="24"/>
      <c r="X25" s="688"/>
      <c r="AX25" s="6" t="str">
        <f>'Overview (Design)'!A24</f>
        <v>Stories above grade:</v>
      </c>
      <c r="AY25">
        <f>'Overview (Design)'!G24</f>
        <v>2</v>
      </c>
    </row>
    <row r="26" spans="2:51" x14ac:dyDescent="0.35">
      <c r="B26" s="13" t="s">
        <v>278</v>
      </c>
      <c r="C26" s="13"/>
      <c r="D26" s="13"/>
      <c r="E26" s="13" t="s">
        <v>274</v>
      </c>
      <c r="F26" s="13"/>
      <c r="G26" s="13"/>
      <c r="H26" s="552"/>
      <c r="I26" s="50"/>
      <c r="J26" s="50" t="s">
        <v>274</v>
      </c>
      <c r="K26" s="50"/>
      <c r="L26" s="723" t="s">
        <v>282</v>
      </c>
      <c r="M26" s="719">
        <v>5</v>
      </c>
      <c r="N26" s="54"/>
      <c r="O26" s="717">
        <f>M26*W26</f>
        <v>5</v>
      </c>
      <c r="P26" s="54" t="b">
        <v>1</v>
      </c>
      <c r="Q26" s="54" t="b">
        <v>1</v>
      </c>
      <c r="R26" t="b">
        <v>0</v>
      </c>
      <c r="S26" t="b">
        <v>1</v>
      </c>
      <c r="T26" t="b">
        <v>0</v>
      </c>
      <c r="W26" s="17" t="b">
        <v>1</v>
      </c>
      <c r="X26" s="688"/>
      <c r="AL26" t="str">
        <f>SUBSTITUTE(SUBSTITUTE(SUBSTITUTE("dpa"&amp;$B26&amp;$C26&amp;$D26&amp;$E26&amp;$F26,".","_"),"(","_"),")","")</f>
        <v>dpa501_2_3</v>
      </c>
      <c r="AM26">
        <f>M26</f>
        <v>5</v>
      </c>
      <c r="AN26" t="str">
        <f>SUBSTITUTE(SUBSTITUTE(SUBSTITUTE("dpc"&amp;$B26&amp;$C26&amp;$D26&amp;$E26&amp;$F26,".","_"),"(","_"),")","")</f>
        <v>dpc501_2_3</v>
      </c>
      <c r="AO26">
        <f>O26</f>
        <v>5</v>
      </c>
      <c r="AP26" t="str">
        <f>SUBSTITUTE(SUBSTITUTE(SUBSTITUTE("dch"&amp;$B26&amp;$C26&amp;$D26&amp;$E26&amp;$F26,".","_"),"(","_"),")","")</f>
        <v>dch501_2_3</v>
      </c>
      <c r="AQ26" t="b">
        <f>W26</f>
        <v>1</v>
      </c>
      <c r="AR26" t="str">
        <f>SUBSTITUTE(SUBSTITUTE(SUBSTITUTE("dnt"&amp;$B26&amp;$C26&amp;$D26&amp;$E26&amp;$F26,".","_"),"(","_"),")","")</f>
        <v>dnt501_2_3</v>
      </c>
      <c r="AS26">
        <f>X26</f>
        <v>0</v>
      </c>
      <c r="AX26" s="6"/>
    </row>
    <row r="27" spans="2:51" x14ac:dyDescent="0.35">
      <c r="B27" s="13" t="s">
        <v>278</v>
      </c>
      <c r="C27" s="13"/>
      <c r="D27" s="13"/>
      <c r="E27" s="13" t="s">
        <v>274</v>
      </c>
      <c r="F27" s="13"/>
      <c r="G27" s="13"/>
      <c r="H27" s="552"/>
      <c r="I27" s="50"/>
      <c r="J27" s="115"/>
      <c r="K27" s="115"/>
      <c r="L27" s="724"/>
      <c r="M27" s="720"/>
      <c r="N27" s="117"/>
      <c r="O27" s="718"/>
      <c r="P27" s="24"/>
      <c r="Q27" s="24"/>
      <c r="X27" s="688"/>
      <c r="AX27" s="6" t="str">
        <f>'Overview (Design)'!A26</f>
        <v xml:space="preserve">Project Description (optional): </v>
      </c>
      <c r="AY27">
        <f>'Overview (Design)'!G26</f>
        <v>0</v>
      </c>
    </row>
    <row r="28" spans="2:51" x14ac:dyDescent="0.35">
      <c r="B28" s="13" t="s">
        <v>278</v>
      </c>
      <c r="C28" s="13"/>
      <c r="D28" s="13"/>
      <c r="E28" s="13" t="s">
        <v>283</v>
      </c>
      <c r="F28" s="13"/>
      <c r="G28" s="13"/>
      <c r="H28" s="552"/>
      <c r="I28" s="50"/>
      <c r="J28" s="50" t="s">
        <v>283</v>
      </c>
      <c r="K28" s="50"/>
      <c r="L28" s="707" t="s">
        <v>284</v>
      </c>
      <c r="M28" s="719">
        <v>4</v>
      </c>
      <c r="N28" s="54"/>
      <c r="O28" s="717">
        <f>M28*W28</f>
        <v>4</v>
      </c>
      <c r="P28" s="54" t="b">
        <v>1</v>
      </c>
      <c r="Q28" s="54" t="b">
        <v>1</v>
      </c>
      <c r="R28" t="b">
        <v>0</v>
      </c>
      <c r="S28" t="b">
        <v>1</v>
      </c>
      <c r="T28" t="b">
        <v>0</v>
      </c>
      <c r="W28" s="17" t="b">
        <v>1</v>
      </c>
      <c r="X28" s="688" t="s">
        <v>4809</v>
      </c>
      <c r="AC28" t="b">
        <f>OR(AD28:AE28)</f>
        <v>0</v>
      </c>
      <c r="AD28" t="b">
        <v>0</v>
      </c>
      <c r="AE28" t="b">
        <f>AND(W28=TRUE,LEN(X28)=0)</f>
        <v>0</v>
      </c>
      <c r="AL28" t="str">
        <f>SUBSTITUTE(SUBSTITUTE(SUBSTITUTE("dpa"&amp;$B28&amp;$C28&amp;$D28&amp;$E28&amp;$F28,".","_"),"(","_"),")","")</f>
        <v>dpa501_2_4</v>
      </c>
      <c r="AM28">
        <f>M28</f>
        <v>4</v>
      </c>
      <c r="AN28" t="str">
        <f>SUBSTITUTE(SUBSTITUTE(SUBSTITUTE("dpc"&amp;$B28&amp;$C28&amp;$D28&amp;$E28&amp;$F28,".","_"),"(","_"),")","")</f>
        <v>dpc501_2_4</v>
      </c>
      <c r="AO28">
        <f>O28</f>
        <v>4</v>
      </c>
      <c r="AP28" t="str">
        <f>SUBSTITUTE(SUBSTITUTE(SUBSTITUTE("dch"&amp;$B28&amp;$C28&amp;$D28&amp;$E28&amp;$F28,".","_"),"(","_"),")","")</f>
        <v>dch501_2_4</v>
      </c>
      <c r="AQ28" t="b">
        <f>W28</f>
        <v>1</v>
      </c>
      <c r="AR28" t="str">
        <f>SUBSTITUTE(SUBSTITUTE(SUBSTITUTE("dnt"&amp;$B28&amp;$C28&amp;$D28&amp;$E28&amp;$F28,".","_"),"(","_"),")","")</f>
        <v>dnt501_2_4</v>
      </c>
      <c r="AS28" t="str">
        <f>X28</f>
        <v>Post office, gym, school, dog park, deli, coffee shop</v>
      </c>
    </row>
    <row r="29" spans="2:51" x14ac:dyDescent="0.35">
      <c r="B29" s="13" t="s">
        <v>278</v>
      </c>
      <c r="C29" s="13"/>
      <c r="D29" s="13"/>
      <c r="E29" s="13" t="s">
        <v>283</v>
      </c>
      <c r="F29" s="13"/>
      <c r="G29" s="13"/>
      <c r="H29" s="552"/>
      <c r="I29" s="50"/>
      <c r="J29" s="50"/>
      <c r="K29" s="50"/>
      <c r="L29" s="707"/>
      <c r="M29" s="719"/>
      <c r="N29" s="54"/>
      <c r="O29" s="717"/>
      <c r="P29" s="24"/>
      <c r="Q29" s="24"/>
      <c r="X29" s="688"/>
      <c r="AX29" s="6" t="str">
        <f>'Overview (Design)'!A28</f>
        <v>HERS Index (if available):</v>
      </c>
      <c r="AY29">
        <f>'Overview (Design)'!G28</f>
        <v>0</v>
      </c>
    </row>
    <row r="30" spans="2:51" x14ac:dyDescent="0.35">
      <c r="B30" s="13" t="s">
        <v>278</v>
      </c>
      <c r="C30" s="13"/>
      <c r="D30" s="13"/>
      <c r="E30" s="13" t="s">
        <v>283</v>
      </c>
      <c r="F30" s="13"/>
      <c r="G30" s="13"/>
      <c r="H30" s="552"/>
      <c r="I30" s="50"/>
      <c r="J30" s="50"/>
      <c r="K30" s="50"/>
      <c r="L30" s="707"/>
      <c r="M30" s="719"/>
      <c r="N30" s="54"/>
      <c r="O30" s="717"/>
      <c r="P30" s="24"/>
      <c r="Q30" s="24"/>
      <c r="X30" s="688"/>
      <c r="AX30" s="6" t="str">
        <f>'Overview (Design)'!A29</f>
        <v>Foundation Type:</v>
      </c>
      <c r="AY30" t="str">
        <f>'Overview (Design)'!G29</f>
        <v>Conditioned crawlspace</v>
      </c>
    </row>
    <row r="31" spans="2:51" x14ac:dyDescent="0.35">
      <c r="B31" s="13" t="s">
        <v>278</v>
      </c>
      <c r="C31" s="13"/>
      <c r="D31" s="13"/>
      <c r="E31" s="13" t="s">
        <v>283</v>
      </c>
      <c r="F31" s="13"/>
      <c r="G31" s="13"/>
      <c r="H31" s="552"/>
      <c r="I31" s="50"/>
      <c r="J31" s="50"/>
      <c r="K31" s="50"/>
      <c r="L31" s="707"/>
      <c r="M31" s="719"/>
      <c r="N31" s="54"/>
      <c r="O31" s="717"/>
      <c r="P31" s="24"/>
      <c r="Q31" s="24"/>
      <c r="X31" s="688"/>
      <c r="AX31" s="6"/>
    </row>
    <row r="32" spans="2:51" x14ac:dyDescent="0.35">
      <c r="B32" s="13" t="s">
        <v>278</v>
      </c>
      <c r="C32" s="13"/>
      <c r="D32" s="13"/>
      <c r="E32" s="13" t="s">
        <v>283</v>
      </c>
      <c r="F32" s="13"/>
      <c r="G32" s="13"/>
      <c r="H32" s="552"/>
      <c r="I32" s="50"/>
      <c r="J32" s="50"/>
      <c r="K32" s="50"/>
      <c r="L32" s="46" t="s">
        <v>285</v>
      </c>
      <c r="M32" s="719"/>
      <c r="N32" s="54"/>
      <c r="O32" s="717"/>
      <c r="P32" s="24"/>
      <c r="Q32" s="24"/>
      <c r="X32" s="688"/>
      <c r="AX32" s="6" t="str">
        <f>'Overview (Design)'!A31</f>
        <v>Type of Heating System (main system):</v>
      </c>
      <c r="AY32" t="str">
        <f>'Overview (Design)'!G31</f>
        <v>Furnace</v>
      </c>
    </row>
    <row r="33" spans="2:51" x14ac:dyDescent="0.35">
      <c r="B33" s="13" t="s">
        <v>278</v>
      </c>
      <c r="C33" s="13"/>
      <c r="D33" s="13"/>
      <c r="E33" s="13" t="s">
        <v>283</v>
      </c>
      <c r="F33" s="13"/>
      <c r="G33" s="13"/>
      <c r="H33" s="552"/>
      <c r="I33" s="50"/>
      <c r="J33" s="50"/>
      <c r="K33" s="50"/>
      <c r="L33" s="46" t="s">
        <v>286</v>
      </c>
      <c r="M33" s="719"/>
      <c r="N33" s="54"/>
      <c r="O33" s="717"/>
      <c r="P33" s="24"/>
      <c r="Q33" s="24"/>
      <c r="X33" s="688"/>
      <c r="AX33" s="6" t="str">
        <f>'Overview (Design)'!A32</f>
        <v>Type of Heating System (system 2):</v>
      </c>
      <c r="AY33">
        <f>'Overview (Design)'!G32</f>
        <v>0</v>
      </c>
    </row>
    <row r="34" spans="2:51" x14ac:dyDescent="0.35">
      <c r="B34" s="13" t="s">
        <v>278</v>
      </c>
      <c r="C34" s="13"/>
      <c r="D34" s="13"/>
      <c r="E34" s="13" t="s">
        <v>283</v>
      </c>
      <c r="F34" s="13"/>
      <c r="G34" s="13"/>
      <c r="H34" s="552"/>
      <c r="I34" s="50"/>
      <c r="J34" s="50"/>
      <c r="K34" s="50"/>
      <c r="L34" s="46" t="s">
        <v>287</v>
      </c>
      <c r="M34" s="719"/>
      <c r="N34" s="54"/>
      <c r="O34" s="717"/>
      <c r="P34" s="24"/>
      <c r="Q34" s="24"/>
      <c r="X34" s="688"/>
      <c r="AX34" s="6" t="str">
        <f>'Overview (Design)'!A33</f>
        <v>Type of Heating System (system 3):</v>
      </c>
      <c r="AY34">
        <f>'Overview (Design)'!G33</f>
        <v>0</v>
      </c>
    </row>
    <row r="35" spans="2:51" x14ac:dyDescent="0.35">
      <c r="B35" s="13" t="s">
        <v>278</v>
      </c>
      <c r="C35" s="13"/>
      <c r="D35" s="13"/>
      <c r="E35" s="13" t="s">
        <v>283</v>
      </c>
      <c r="F35" s="13"/>
      <c r="G35" s="13"/>
      <c r="H35" s="552"/>
      <c r="I35" s="50"/>
      <c r="J35" s="50"/>
      <c r="K35" s="50"/>
      <c r="L35" s="46" t="s">
        <v>288</v>
      </c>
      <c r="M35" s="719"/>
      <c r="N35" s="54"/>
      <c r="O35" s="717"/>
      <c r="P35" s="24"/>
      <c r="Q35" s="24"/>
      <c r="X35" s="688"/>
      <c r="AX35" s="6" t="str">
        <f>'Overview (Design)'!A34</f>
        <v>Heating Fuel:</v>
      </c>
      <c r="AY35">
        <f>'Overview (Design)'!G34</f>
        <v>0</v>
      </c>
    </row>
    <row r="36" spans="2:51" x14ac:dyDescent="0.35">
      <c r="B36" s="13" t="s">
        <v>278</v>
      </c>
      <c r="C36" s="13"/>
      <c r="D36" s="13"/>
      <c r="E36" s="13" t="s">
        <v>283</v>
      </c>
      <c r="F36" s="13"/>
      <c r="G36" s="13"/>
      <c r="H36" s="552"/>
      <c r="I36" s="50"/>
      <c r="J36" s="115"/>
      <c r="K36" s="115"/>
      <c r="L36" s="121" t="s">
        <v>302</v>
      </c>
      <c r="M36" s="720"/>
      <c r="N36" s="117"/>
      <c r="O36" s="718"/>
      <c r="P36" s="24"/>
      <c r="Q36" s="24"/>
      <c r="X36" s="688"/>
      <c r="AX36" s="6" t="str">
        <f>'Overview (Design)'!A35</f>
        <v>Heating Ducts:</v>
      </c>
      <c r="AY36" t="str">
        <f>'Overview (Design)'!G35</f>
        <v>Ducted</v>
      </c>
    </row>
    <row r="37" spans="2:51" x14ac:dyDescent="0.35">
      <c r="B37" s="13" t="s">
        <v>278</v>
      </c>
      <c r="C37" s="13"/>
      <c r="D37" s="13"/>
      <c r="E37" s="13" t="s">
        <v>289</v>
      </c>
      <c r="F37" s="13"/>
      <c r="G37" s="13"/>
      <c r="H37" s="552"/>
      <c r="I37" s="50"/>
      <c r="J37" s="50" t="s">
        <v>289</v>
      </c>
      <c r="K37" s="50"/>
      <c r="L37" s="707" t="s">
        <v>290</v>
      </c>
      <c r="M37" s="719">
        <v>5</v>
      </c>
      <c r="N37" s="54"/>
      <c r="O37" s="717">
        <f>M37*W37</f>
        <v>0</v>
      </c>
      <c r="P37" s="54" t="b">
        <v>1</v>
      </c>
      <c r="Q37" s="54" t="b">
        <v>1</v>
      </c>
      <c r="R37" t="b">
        <v>0</v>
      </c>
      <c r="S37" t="b">
        <v>1</v>
      </c>
      <c r="T37" t="b">
        <v>0</v>
      </c>
      <c r="W37" s="17"/>
      <c r="X37" s="688"/>
      <c r="AL37" t="str">
        <f>SUBSTITUTE(SUBSTITUTE(SUBSTITUTE("dpa"&amp;$B37&amp;$C37&amp;$D37&amp;$E37&amp;$F37,".","_"),"(","_"),")","")</f>
        <v>dpa501_2_5</v>
      </c>
      <c r="AM37">
        <f>M37</f>
        <v>5</v>
      </c>
      <c r="AN37" t="str">
        <f>SUBSTITUTE(SUBSTITUTE(SUBSTITUTE("dpc"&amp;$B37&amp;$C37&amp;$D37&amp;$E37&amp;$F37,".","_"),"(","_"),")","")</f>
        <v>dpc501_2_5</v>
      </c>
      <c r="AO37">
        <f>O37</f>
        <v>0</v>
      </c>
      <c r="AP37" t="str">
        <f>SUBSTITUTE(SUBSTITUTE(SUBSTITUTE("dch"&amp;$B37&amp;$C37&amp;$D37&amp;$E37&amp;$F37,".","_"),"(","_"),")","")</f>
        <v>dch501_2_5</v>
      </c>
      <c r="AQ37">
        <f>W37</f>
        <v>0</v>
      </c>
      <c r="AR37" t="str">
        <f>SUBSTITUTE(SUBSTITUTE(SUBSTITUTE("dnt"&amp;$B37&amp;$C37&amp;$D37&amp;$E37&amp;$F37,".","_"),"(","_"),")","")</f>
        <v>dnt501_2_5</v>
      </c>
      <c r="AS37">
        <f>X37</f>
        <v>0</v>
      </c>
      <c r="AX37" s="6" t="str">
        <f>'Overview (Design)'!A36</f>
        <v>Type of Cooling System (main system):</v>
      </c>
      <c r="AY37" t="str">
        <f>'Overview (Design)'!G36</f>
        <v>Electric Air Conditiner</v>
      </c>
    </row>
    <row r="38" spans="2:51" x14ac:dyDescent="0.35">
      <c r="B38" s="13" t="s">
        <v>278</v>
      </c>
      <c r="C38" s="13"/>
      <c r="D38" s="13"/>
      <c r="E38" s="13" t="s">
        <v>289</v>
      </c>
      <c r="F38" s="13"/>
      <c r="G38" s="13"/>
      <c r="H38" s="552"/>
      <c r="I38" s="50"/>
      <c r="J38" s="50"/>
      <c r="K38" s="50"/>
      <c r="L38" s="707"/>
      <c r="M38" s="719"/>
      <c r="N38" s="54"/>
      <c r="O38" s="717"/>
      <c r="P38" s="24"/>
      <c r="Q38" s="24"/>
      <c r="X38" s="688"/>
      <c r="AX38" s="6" t="str">
        <f>'Overview (Design)'!A37</f>
        <v>Type of Cooling System (system 2):</v>
      </c>
      <c r="AY38">
        <f>'Overview (Design)'!G37</f>
        <v>0</v>
      </c>
    </row>
    <row r="39" spans="2:51" x14ac:dyDescent="0.35">
      <c r="B39" s="13" t="s">
        <v>278</v>
      </c>
      <c r="C39" s="13"/>
      <c r="D39" s="13"/>
      <c r="E39" s="13" t="s">
        <v>289</v>
      </c>
      <c r="F39" s="13"/>
      <c r="G39" s="13"/>
      <c r="H39" s="552"/>
      <c r="I39" s="50"/>
      <c r="J39" s="115"/>
      <c r="K39" s="115"/>
      <c r="L39" s="709"/>
      <c r="M39" s="720"/>
      <c r="N39" s="117"/>
      <c r="O39" s="718"/>
      <c r="P39" s="24"/>
      <c r="Q39" s="24"/>
      <c r="X39" s="688"/>
      <c r="AX39" s="6" t="str">
        <f>'Overview (Design)'!A38</f>
        <v>Type of Cooling System (system 3):</v>
      </c>
      <c r="AY39">
        <f>'Overview (Design)'!G38</f>
        <v>0</v>
      </c>
    </row>
    <row r="40" spans="2:51" x14ac:dyDescent="0.35">
      <c r="B40" s="13" t="s">
        <v>278</v>
      </c>
      <c r="C40" s="13"/>
      <c r="D40" s="13"/>
      <c r="E40" s="13" t="s">
        <v>291</v>
      </c>
      <c r="F40" s="13"/>
      <c r="G40" s="13"/>
      <c r="H40" s="552"/>
      <c r="I40" s="50"/>
      <c r="J40" s="50" t="s">
        <v>291</v>
      </c>
      <c r="K40" s="50"/>
      <c r="L40" s="707" t="s">
        <v>292</v>
      </c>
      <c r="M40" s="725"/>
      <c r="N40" s="24"/>
      <c r="O40" s="722">
        <f ca="1">IFERROR(INDEX({2,4,6},MATCH(W40,INDIRECT(U40),0)),0)*S40</f>
        <v>0</v>
      </c>
      <c r="P40" s="54" t="b">
        <v>1</v>
      </c>
      <c r="Q40" s="54" t="b">
        <v>1</v>
      </c>
      <c r="R40" t="b">
        <v>0</v>
      </c>
      <c r="S40" t="b">
        <f ca="1">IF($AY$19=INDEX(INDIRECT("ddSingleOrMulti"),2),TRUE,FALSE)</f>
        <v>0</v>
      </c>
      <c r="T40" t="b">
        <f ca="1">AND(NOT(S40),LEN(W40)&gt;0)</f>
        <v>0</v>
      </c>
      <c r="U40" t="str">
        <f>SUBSTITUTE(SUBSTITUTE(SUBSTITUTE("dd"&amp;$B40&amp;$C40&amp;$D40&amp;$E40&amp;$F40,".","_"),"(","_"),")","")</f>
        <v>dd501_2_6</v>
      </c>
      <c r="W40" s="9"/>
      <c r="X40" s="688"/>
      <c r="AC40" t="b">
        <f ca="1">OR(AD40:AE40)</f>
        <v>0</v>
      </c>
      <c r="AD40" t="b">
        <f ca="1">T40</f>
        <v>0</v>
      </c>
      <c r="AN40" t="str">
        <f>SUBSTITUTE(SUBSTITUTE(SUBSTITUTE("dpc"&amp;$B40&amp;$C40&amp;$D40&amp;$E40&amp;$F40,".","_"),"(","_"),")","")</f>
        <v>dpc501_2_6</v>
      </c>
      <c r="AO40">
        <f ca="1">O40</f>
        <v>0</v>
      </c>
      <c r="AP40" t="str">
        <f>SUBSTITUTE(SUBSTITUTE(SUBSTITUTE("dch"&amp;$B40&amp;$C40&amp;$D40&amp;$E40&amp;$F40,".","_"),"(","_"),")","")</f>
        <v>dch501_2_6</v>
      </c>
      <c r="AQ40">
        <f>W40</f>
        <v>0</v>
      </c>
      <c r="AR40" t="str">
        <f>SUBSTITUTE(SUBSTITUTE(SUBSTITUTE("dnt"&amp;$B40&amp;$C40&amp;$D40&amp;$E40&amp;$F40,".","_"),"(","_"),")","")</f>
        <v>dnt501_2_6</v>
      </c>
      <c r="AS40">
        <f>X40</f>
        <v>0</v>
      </c>
      <c r="AX40" s="6" t="str">
        <f>'Overview (Design)'!A39</f>
        <v>Cooling Ducts:</v>
      </c>
      <c r="AY40" t="str">
        <f>'Overview (Design)'!G39</f>
        <v>Ducted</v>
      </c>
    </row>
    <row r="41" spans="2:51" x14ac:dyDescent="0.35">
      <c r="B41" s="13" t="s">
        <v>278</v>
      </c>
      <c r="C41" s="13"/>
      <c r="D41" s="13"/>
      <c r="E41" s="13" t="s">
        <v>291</v>
      </c>
      <c r="F41" s="13"/>
      <c r="G41" s="13"/>
      <c r="H41" s="552"/>
      <c r="I41" s="50"/>
      <c r="J41" s="50"/>
      <c r="K41" s="50"/>
      <c r="L41" s="707"/>
      <c r="M41" s="725"/>
      <c r="N41" s="24"/>
      <c r="O41" s="722"/>
      <c r="P41" s="24"/>
      <c r="Q41" s="24"/>
      <c r="X41" s="688"/>
      <c r="AX41" s="6"/>
    </row>
    <row r="42" spans="2:51" x14ac:dyDescent="0.35">
      <c r="B42" s="13" t="s">
        <v>278</v>
      </c>
      <c r="C42" s="13"/>
      <c r="D42" s="13"/>
      <c r="E42" s="13" t="s">
        <v>291</v>
      </c>
      <c r="F42" s="13" t="s">
        <v>121</v>
      </c>
      <c r="G42" s="13"/>
      <c r="H42" s="552"/>
      <c r="I42" s="50"/>
      <c r="J42" s="50"/>
      <c r="K42" s="50" t="s">
        <v>121</v>
      </c>
      <c r="L42" s="46" t="s">
        <v>293</v>
      </c>
      <c r="M42" s="311">
        <v>2</v>
      </c>
      <c r="N42" s="24"/>
      <c r="O42" s="85"/>
      <c r="X42" s="688"/>
      <c r="AL42" t="str">
        <f t="shared" ref="AL42:AL44" si="2">SUBSTITUTE(SUBSTITUTE(SUBSTITUTE("dpa"&amp;$B42&amp;$C42&amp;$D42&amp;$E42&amp;$F42,".","_"),"(","_"),")","")</f>
        <v>dpa501_2_6_a</v>
      </c>
      <c r="AM42">
        <f>M42</f>
        <v>2</v>
      </c>
      <c r="AX42" s="6" t="str">
        <f>'Overview (Design)'!A41</f>
        <v>Maximum window and door SHGC:</v>
      </c>
      <c r="AY42">
        <f>'Overview (Design)'!G41</f>
        <v>0.22</v>
      </c>
    </row>
    <row r="43" spans="2:51" x14ac:dyDescent="0.35">
      <c r="B43" s="13" t="s">
        <v>278</v>
      </c>
      <c r="C43" s="13"/>
      <c r="D43" s="13"/>
      <c r="E43" s="13" t="s">
        <v>291</v>
      </c>
      <c r="F43" s="13" t="s">
        <v>122</v>
      </c>
      <c r="G43" s="13"/>
      <c r="H43" s="552"/>
      <c r="I43" s="50"/>
      <c r="J43" s="50"/>
      <c r="K43" s="50" t="s">
        <v>122</v>
      </c>
      <c r="L43" s="46" t="s">
        <v>294</v>
      </c>
      <c r="M43" s="311">
        <v>4</v>
      </c>
      <c r="N43" s="24"/>
      <c r="O43" s="85"/>
      <c r="X43" s="688"/>
      <c r="AL43" t="str">
        <f t="shared" si="2"/>
        <v>dpa501_2_6_b</v>
      </c>
      <c r="AM43">
        <f>M43</f>
        <v>4</v>
      </c>
      <c r="AX43" s="6" t="str">
        <f>'Overview (Design)'!A42</f>
        <v>Maximum skylight SHGC:</v>
      </c>
      <c r="AY43">
        <f>'Overview (Design)'!G42</f>
        <v>0</v>
      </c>
    </row>
    <row r="44" spans="2:51" x14ac:dyDescent="0.35">
      <c r="B44" s="13" t="s">
        <v>278</v>
      </c>
      <c r="C44" s="13"/>
      <c r="D44" s="13"/>
      <c r="E44" s="13" t="s">
        <v>291</v>
      </c>
      <c r="F44" s="18" t="s">
        <v>123</v>
      </c>
      <c r="G44" s="18"/>
      <c r="H44" s="552"/>
      <c r="I44" s="50"/>
      <c r="J44" s="50"/>
      <c r="K44" s="52" t="s">
        <v>123</v>
      </c>
      <c r="L44" s="46" t="s">
        <v>295</v>
      </c>
      <c r="M44" s="311">
        <v>6</v>
      </c>
      <c r="N44" s="24"/>
      <c r="O44" s="85"/>
      <c r="X44" s="688"/>
      <c r="AL44" t="str">
        <f t="shared" si="2"/>
        <v>dpa501_2_6_c</v>
      </c>
      <c r="AM44">
        <f>M44</f>
        <v>6</v>
      </c>
      <c r="AX44" s="6" t="str">
        <f>'Overview (Design)'!A43</f>
        <v>Maximum window and door U-value:</v>
      </c>
      <c r="AY44">
        <f>'Overview (Design)'!G43</f>
        <v>0.32</v>
      </c>
    </row>
    <row r="45" spans="2:51" ht="18.5" x14ac:dyDescent="0.45">
      <c r="B45" s="13" t="s">
        <v>532</v>
      </c>
      <c r="C45" s="13"/>
      <c r="D45" s="13"/>
      <c r="E45" s="13"/>
      <c r="F45" s="13"/>
      <c r="G45" s="13"/>
      <c r="H45" s="552"/>
      <c r="I45" s="38" t="s">
        <v>387</v>
      </c>
      <c r="J45" s="38"/>
      <c r="K45" s="38"/>
      <c r="L45" s="38"/>
      <c r="M45" s="286"/>
      <c r="N45" s="15"/>
      <c r="O45" s="340"/>
      <c r="P45" s="15"/>
      <c r="Q45" s="15"/>
      <c r="R45" s="15"/>
      <c r="S45" s="15"/>
      <c r="T45" s="15"/>
      <c r="U45" s="15"/>
      <c r="V45" s="15"/>
      <c r="W45" s="15"/>
      <c r="X45" s="15"/>
      <c r="AX45" s="6" t="str">
        <f>'Overview (Design)'!A44</f>
        <v>Maximum skylight U-value:</v>
      </c>
      <c r="AY45">
        <f>'Overview (Design)'!G44</f>
        <v>0</v>
      </c>
    </row>
    <row r="46" spans="2:51" x14ac:dyDescent="0.35">
      <c r="B46" s="13" t="s">
        <v>388</v>
      </c>
      <c r="C46" s="13"/>
      <c r="D46" s="13"/>
      <c r="E46" s="13"/>
      <c r="F46" s="13"/>
      <c r="G46" s="13"/>
      <c r="H46" s="552"/>
      <c r="I46" s="33">
        <v>502.1</v>
      </c>
      <c r="J46" s="53"/>
      <c r="K46" s="53"/>
      <c r="L46" s="706" t="s">
        <v>389</v>
      </c>
      <c r="M46" s="690">
        <v>4</v>
      </c>
      <c r="O46" s="696">
        <f>M46*W46</f>
        <v>4</v>
      </c>
      <c r="P46" t="b">
        <v>1</v>
      </c>
      <c r="Q46" t="b">
        <v>1</v>
      </c>
      <c r="R46" t="b">
        <v>0</v>
      </c>
      <c r="S46" t="b">
        <v>1</v>
      </c>
      <c r="T46" t="b">
        <v>0</v>
      </c>
      <c r="W46" s="17" t="b">
        <v>1</v>
      </c>
      <c r="X46" s="688"/>
      <c r="AL46" t="str">
        <f>SUBSTITUTE(SUBSTITUTE(SUBSTITUTE("dpa"&amp;$B46&amp;$C46&amp;$D46&amp;$E46&amp;$F46,".","_"),"(","_"),")","")</f>
        <v>dpa502_1</v>
      </c>
      <c r="AM46">
        <f>M46</f>
        <v>4</v>
      </c>
      <c r="AN46" t="str">
        <f>SUBSTITUTE(SUBSTITUTE(SUBSTITUTE("dpc"&amp;$B46&amp;$C46&amp;$D46&amp;$E46&amp;$F46,".","_"),"(","_"),")","")</f>
        <v>dpc502_1</v>
      </c>
      <c r="AO46">
        <f>O46</f>
        <v>4</v>
      </c>
      <c r="AP46" t="str">
        <f>SUBSTITUTE(SUBSTITUTE(SUBSTITUTE("dch"&amp;$B46&amp;$C46&amp;$D46&amp;$E46&amp;$F46,".","_"),"(","_"),")","")</f>
        <v>dch502_1</v>
      </c>
      <c r="AQ46" t="b">
        <f>W46</f>
        <v>1</v>
      </c>
      <c r="AR46" t="str">
        <f>SUBSTITUTE(SUBSTITUTE(SUBSTITUTE("dnt"&amp;$B46&amp;$C46&amp;$D46&amp;$E46&amp;$F46,".","_"),"(","_"),")","")</f>
        <v>dnt502_1</v>
      </c>
      <c r="AS46">
        <f>X46</f>
        <v>0</v>
      </c>
      <c r="AX46" s="6" t="str">
        <f>'Overview (Design)'!A45</f>
        <v>Renewable Energy:</v>
      </c>
      <c r="AY46">
        <f>'Overview (Design)'!G45</f>
        <v>0</v>
      </c>
    </row>
    <row r="47" spans="2:51" x14ac:dyDescent="0.35">
      <c r="B47" s="13" t="s">
        <v>388</v>
      </c>
      <c r="C47" s="13"/>
      <c r="D47" s="13"/>
      <c r="E47" s="13"/>
      <c r="F47" s="13"/>
      <c r="G47" s="13"/>
      <c r="H47" s="552"/>
      <c r="I47" s="53"/>
      <c r="J47" s="53"/>
      <c r="K47" s="53"/>
      <c r="L47" s="706"/>
      <c r="M47" s="690"/>
      <c r="O47" s="696"/>
      <c r="X47" s="688"/>
      <c r="AX47" s="6" t="str">
        <f>'Overview (Design)'!A46</f>
        <v>Thermal Envelope Insulation:</v>
      </c>
      <c r="AY47">
        <f>'Overview (Design)'!G46</f>
        <v>0</v>
      </c>
    </row>
    <row r="48" spans="2:51" x14ac:dyDescent="0.35">
      <c r="B48" s="13" t="s">
        <v>388</v>
      </c>
      <c r="C48" s="13"/>
      <c r="D48" s="13"/>
      <c r="E48" s="13"/>
      <c r="F48" s="13"/>
      <c r="G48" s="13"/>
      <c r="H48" s="552"/>
      <c r="I48" s="53"/>
      <c r="J48" s="53"/>
      <c r="K48" s="53"/>
      <c r="L48" s="706"/>
      <c r="M48" s="690"/>
      <c r="O48" s="696"/>
      <c r="X48" s="688"/>
      <c r="AX48" s="6" t="str">
        <f>'Overview (Design)'!A47</f>
        <v>Attic Type:</v>
      </c>
      <c r="AY48" t="str">
        <f>'Overview (Design)'!G47</f>
        <v>Vented</v>
      </c>
    </row>
    <row r="49" spans="2:51" x14ac:dyDescent="0.35">
      <c r="B49" s="13" t="s">
        <v>388</v>
      </c>
      <c r="C49" s="13"/>
      <c r="D49" s="13"/>
      <c r="E49" s="13"/>
      <c r="F49" s="13"/>
      <c r="G49" s="13"/>
      <c r="H49" s="552"/>
      <c r="I49" s="53"/>
      <c r="J49" s="53"/>
      <c r="K49" s="53"/>
      <c r="L49" s="706"/>
      <c r="M49" s="690"/>
      <c r="O49" s="696"/>
      <c r="X49" s="688"/>
      <c r="AX49" s="6" t="str">
        <f>'Overview (Design)'!A48</f>
        <v>Attached Garage:</v>
      </c>
      <c r="AY49" t="str">
        <f>'Overview (Design)'!G48</f>
        <v>Yes</v>
      </c>
    </row>
    <row r="50" spans="2:51" ht="18.5" x14ac:dyDescent="0.45">
      <c r="B50" s="13" t="s">
        <v>390</v>
      </c>
      <c r="C50" s="13"/>
      <c r="D50" s="13"/>
      <c r="E50" s="13"/>
      <c r="F50" s="13"/>
      <c r="G50" s="13"/>
      <c r="H50" s="552"/>
      <c r="I50" s="38" t="s">
        <v>391</v>
      </c>
      <c r="J50" s="51"/>
      <c r="K50" s="51"/>
      <c r="L50" s="47"/>
      <c r="M50" s="286"/>
      <c r="N50" s="15"/>
      <c r="O50" s="340"/>
      <c r="P50" s="15"/>
      <c r="Q50" s="15"/>
      <c r="R50" s="15"/>
      <c r="S50" s="15"/>
      <c r="T50" s="15"/>
      <c r="U50" s="15"/>
      <c r="V50" s="15"/>
      <c r="W50" s="15"/>
      <c r="X50" s="15"/>
      <c r="AX50" s="6" t="str">
        <f>'Overview (Design)'!A49</f>
        <v>Recessed Lighting:</v>
      </c>
      <c r="AY50">
        <f>'Overview (Design)'!G49</f>
        <v>0</v>
      </c>
    </row>
    <row r="51" spans="2:51" x14ac:dyDescent="0.35">
      <c r="B51" s="13" t="s">
        <v>392</v>
      </c>
      <c r="C51" s="13"/>
      <c r="D51" s="13"/>
      <c r="E51" s="13"/>
      <c r="F51" s="13"/>
      <c r="G51" s="13"/>
      <c r="H51" s="552"/>
      <c r="I51" s="441" t="s">
        <v>392</v>
      </c>
      <c r="J51" s="53"/>
      <c r="K51" s="53"/>
      <c r="L51" s="706" t="s">
        <v>393</v>
      </c>
      <c r="M51" s="43"/>
      <c r="O51" s="85"/>
      <c r="X51" s="688"/>
      <c r="AR51" t="str">
        <f>SUBSTITUTE(SUBSTITUTE(SUBSTITUTE("dnt"&amp;$B51&amp;$C51&amp;$D51&amp;$E51&amp;$F51,".","_"),"(","_"),")","")</f>
        <v>dnt503_0</v>
      </c>
      <c r="AS51">
        <f>X51</f>
        <v>0</v>
      </c>
      <c r="AX51" s="6"/>
    </row>
    <row r="52" spans="2:51" x14ac:dyDescent="0.35">
      <c r="B52" s="13" t="s">
        <v>392</v>
      </c>
      <c r="C52" s="13"/>
      <c r="D52" s="13"/>
      <c r="E52" s="13"/>
      <c r="F52" s="13"/>
      <c r="G52" s="13"/>
      <c r="H52" s="552"/>
      <c r="I52" s="53"/>
      <c r="J52" s="53"/>
      <c r="K52" s="53"/>
      <c r="L52" s="706"/>
      <c r="M52" s="43"/>
      <c r="O52" s="85"/>
      <c r="X52" s="688"/>
      <c r="AX52" s="6" t="str">
        <f>'Overview (Design)'!A51</f>
        <v>Special Design Features:</v>
      </c>
      <c r="AY52">
        <f>'Overview (Design)'!G51</f>
        <v>0</v>
      </c>
    </row>
    <row r="53" spans="2:51" x14ac:dyDescent="0.35">
      <c r="B53" s="13" t="s">
        <v>392</v>
      </c>
      <c r="C53" s="13"/>
      <c r="D53" s="13"/>
      <c r="E53" s="13"/>
      <c r="F53" s="13"/>
      <c r="G53" s="13"/>
      <c r="H53" s="552"/>
      <c r="I53" s="53"/>
      <c r="J53" s="53"/>
      <c r="K53" s="53"/>
      <c r="L53" s="706"/>
      <c r="M53" s="43"/>
      <c r="O53" s="85"/>
      <c r="X53" s="688"/>
      <c r="AX53" s="6" t="str">
        <f>'Overview (Design)'!A52</f>
        <v>Passive Solar:</v>
      </c>
      <c r="AY53">
        <f>'Overview (Design)'!G52</f>
        <v>0</v>
      </c>
    </row>
    <row r="54" spans="2:51" x14ac:dyDescent="0.35">
      <c r="B54" s="13" t="s">
        <v>392</v>
      </c>
      <c r="C54" s="13"/>
      <c r="D54" s="13"/>
      <c r="E54" s="13"/>
      <c r="F54" s="13"/>
      <c r="G54" s="13"/>
      <c r="H54" s="552"/>
      <c r="I54" s="53"/>
      <c r="J54" s="53"/>
      <c r="K54" s="53"/>
      <c r="L54" s="706"/>
      <c r="M54" s="43"/>
      <c r="O54" s="85"/>
      <c r="X54" s="688"/>
      <c r="AX54" s="6" t="str">
        <f>'Overview (Design)'!A53</f>
        <v>Mass Walls:</v>
      </c>
      <c r="AY54">
        <f>'Overview (Design)'!G53</f>
        <v>0</v>
      </c>
    </row>
    <row r="55" spans="2:51" ht="15" thickBot="1" x14ac:dyDescent="0.4">
      <c r="B55" s="13" t="s">
        <v>392</v>
      </c>
      <c r="C55" s="13"/>
      <c r="D55" s="13"/>
      <c r="E55" s="13"/>
      <c r="F55" s="13"/>
      <c r="G55" s="13"/>
      <c r="H55" s="552"/>
      <c r="I55" s="60"/>
      <c r="J55" s="60"/>
      <c r="K55" s="60"/>
      <c r="L55" s="61" t="s">
        <v>394</v>
      </c>
      <c r="M55" s="270"/>
      <c r="N55" s="58"/>
      <c r="O55" s="184"/>
      <c r="P55" s="58"/>
      <c r="Q55" s="58"/>
      <c r="R55" s="58"/>
      <c r="S55" s="58"/>
      <c r="T55" s="58"/>
      <c r="U55" s="58"/>
      <c r="V55" s="58"/>
      <c r="W55" s="58"/>
      <c r="X55" s="689"/>
      <c r="AX55" s="6" t="str">
        <f>'Overview (Design)'!A54</f>
        <v>Ductless:</v>
      </c>
      <c r="AY55">
        <f>'Overview (Design)'!G54</f>
        <v>0</v>
      </c>
    </row>
    <row r="56" spans="2:51" ht="15.75" customHeight="1" thickTop="1" x14ac:dyDescent="0.35">
      <c r="B56" s="13" t="s">
        <v>395</v>
      </c>
      <c r="C56" s="13"/>
      <c r="D56" s="13"/>
      <c r="E56" s="13"/>
      <c r="F56" s="13"/>
      <c r="G56" s="13"/>
      <c r="H56" s="552"/>
      <c r="I56" s="33">
        <v>503.1</v>
      </c>
      <c r="J56" s="211"/>
      <c r="K56" s="211"/>
      <c r="L56" s="211" t="s">
        <v>396</v>
      </c>
      <c r="M56" s="199"/>
      <c r="N56" s="62"/>
      <c r="O56" s="341"/>
      <c r="P56" s="62"/>
      <c r="Q56" s="62"/>
      <c r="R56" s="62"/>
      <c r="S56" s="62"/>
      <c r="T56" s="62"/>
      <c r="U56" s="62"/>
      <c r="V56" s="62"/>
      <c r="W56" s="62"/>
      <c r="X56" s="687"/>
      <c r="AR56" t="str">
        <f>SUBSTITUTE(SUBSTITUTE(SUBSTITUTE("dnt"&amp;$B56&amp;$C56&amp;$D56&amp;$E56&amp;$F56,".","_"),"(","_"),")","")</f>
        <v>dnt503_1</v>
      </c>
      <c r="AS56">
        <f>X56</f>
        <v>0</v>
      </c>
      <c r="AX56" s="6" t="str">
        <f>'Overview (Design)'!A55</f>
        <v>Radiant/Hydronic:</v>
      </c>
      <c r="AY56">
        <f>'Overview (Design)'!G55</f>
        <v>0</v>
      </c>
    </row>
    <row r="57" spans="2:51" x14ac:dyDescent="0.35">
      <c r="B57" s="13" t="s">
        <v>395</v>
      </c>
      <c r="C57" s="13"/>
      <c r="D57" s="13"/>
      <c r="E57" s="13" t="s">
        <v>270</v>
      </c>
      <c r="F57" s="13"/>
      <c r="G57" s="13"/>
      <c r="H57" s="552"/>
      <c r="I57" s="53"/>
      <c r="J57" s="115" t="s">
        <v>270</v>
      </c>
      <c r="K57" s="118"/>
      <c r="L57" s="116" t="s">
        <v>397</v>
      </c>
      <c r="M57" s="198">
        <v>5</v>
      </c>
      <c r="N57" s="119"/>
      <c r="O57" s="342">
        <f>M57*W57</f>
        <v>0</v>
      </c>
      <c r="P57" t="b">
        <v>1</v>
      </c>
      <c r="Q57" t="b">
        <v>0</v>
      </c>
      <c r="R57" t="b">
        <v>0</v>
      </c>
      <c r="S57" t="b">
        <v>1</v>
      </c>
      <c r="T57" t="b">
        <v>0</v>
      </c>
      <c r="W57" s="17"/>
      <c r="X57" s="688"/>
      <c r="AL57" t="str">
        <f t="shared" ref="AL57:AL58" si="3">SUBSTITUTE(SUBSTITUTE(SUBSTITUTE("dpa"&amp;$B57&amp;$C57&amp;$D57&amp;$E57&amp;$F57,".","_"),"(","_"),")","")</f>
        <v>dpa503_1_1</v>
      </c>
      <c r="AM57">
        <f>M57</f>
        <v>5</v>
      </c>
      <c r="AN57" t="str">
        <f>SUBSTITUTE(SUBSTITUTE(SUBSTITUTE("dpc"&amp;$B57&amp;$C57&amp;$D57&amp;$E57&amp;$F57,".","_"),"(","_"),")","")</f>
        <v>dpc503_1_1</v>
      </c>
      <c r="AO57">
        <f>O57</f>
        <v>0</v>
      </c>
      <c r="AP57" t="str">
        <f t="shared" ref="AP57:AP58" si="4">SUBSTITUTE(SUBSTITUTE(SUBSTITUTE("dch"&amp;$B57&amp;$C57&amp;$D57&amp;$E57&amp;$F57,".","_"),"(","_"),")","")</f>
        <v>dch503_1_1</v>
      </c>
      <c r="AQ57">
        <f>W57</f>
        <v>0</v>
      </c>
      <c r="AX57" s="6" t="str">
        <f>'Overview (Design)'!A56</f>
        <v>Tankless Water Heater:</v>
      </c>
      <c r="AY57">
        <f>'Overview (Design)'!G56</f>
        <v>0</v>
      </c>
    </row>
    <row r="58" spans="2:51" x14ac:dyDescent="0.35">
      <c r="B58" s="13" t="s">
        <v>395</v>
      </c>
      <c r="C58" s="13"/>
      <c r="D58" s="13"/>
      <c r="E58" s="13" t="s">
        <v>272</v>
      </c>
      <c r="F58" s="13"/>
      <c r="G58" s="13"/>
      <c r="H58" s="552"/>
      <c r="I58" s="53"/>
      <c r="J58" s="50" t="s">
        <v>272</v>
      </c>
      <c r="K58" s="53"/>
      <c r="L58" s="707" t="s">
        <v>398</v>
      </c>
      <c r="M58" s="690">
        <v>6</v>
      </c>
      <c r="O58" s="696">
        <f>M58*S58*W58</f>
        <v>0</v>
      </c>
      <c r="P58" t="b">
        <v>1</v>
      </c>
      <c r="Q58" t="b">
        <v>0</v>
      </c>
      <c r="R58" t="b">
        <v>0</v>
      </c>
      <c r="S58" t="b">
        <f>IF(W57=TRUE,TRUE,FALSE)</f>
        <v>0</v>
      </c>
      <c r="T58" t="b">
        <f>AND(NOT(S58),W58=TRUE)</f>
        <v>0</v>
      </c>
      <c r="W58" s="17"/>
      <c r="X58" s="688"/>
      <c r="AC58" t="b">
        <f>OR(AD58:AE58)</f>
        <v>0</v>
      </c>
      <c r="AD58" t="b">
        <f>T58</f>
        <v>0</v>
      </c>
      <c r="AL58" t="str">
        <f t="shared" si="3"/>
        <v>dpa503_1_2</v>
      </c>
      <c r="AM58">
        <f>M58</f>
        <v>6</v>
      </c>
      <c r="AN58" t="str">
        <f>SUBSTITUTE(SUBSTITUTE(SUBSTITUTE("dpc"&amp;$B58&amp;$C58&amp;$D58&amp;$E58&amp;$F58,".","_"),"(","_"),")","")</f>
        <v>dpc503_1_2</v>
      </c>
      <c r="AO58">
        <f>O58</f>
        <v>0</v>
      </c>
      <c r="AP58" t="str">
        <f t="shared" si="4"/>
        <v>dch503_1_2</v>
      </c>
      <c r="AQ58">
        <f>W58</f>
        <v>0</v>
      </c>
      <c r="AX58" s="6" t="str">
        <f>'Overview (Design)'!A57</f>
        <v>Composting Toilet:</v>
      </c>
      <c r="AY58">
        <f>'Overview (Design)'!G57</f>
        <v>0</v>
      </c>
    </row>
    <row r="59" spans="2:51" x14ac:dyDescent="0.35">
      <c r="B59" s="13" t="s">
        <v>395</v>
      </c>
      <c r="C59" s="13"/>
      <c r="D59" s="13"/>
      <c r="E59" s="13" t="s">
        <v>272</v>
      </c>
      <c r="F59" s="13"/>
      <c r="G59" s="13"/>
      <c r="H59" s="552"/>
      <c r="I59" s="53"/>
      <c r="J59" s="115"/>
      <c r="K59" s="118"/>
      <c r="L59" s="709"/>
      <c r="M59" s="691"/>
      <c r="N59" s="119"/>
      <c r="O59" s="697"/>
      <c r="X59" s="688"/>
      <c r="AX59" s="6"/>
    </row>
    <row r="60" spans="2:51" x14ac:dyDescent="0.35">
      <c r="B60" s="13" t="s">
        <v>395</v>
      </c>
      <c r="C60" s="13"/>
      <c r="D60" s="13"/>
      <c r="E60" s="13" t="s">
        <v>274</v>
      </c>
      <c r="F60" s="13"/>
      <c r="G60" s="13"/>
      <c r="H60" s="552"/>
      <c r="I60" s="53"/>
      <c r="J60" s="50" t="s">
        <v>274</v>
      </c>
      <c r="K60" s="53"/>
      <c r="L60" s="707" t="s">
        <v>399</v>
      </c>
      <c r="M60" s="690">
        <v>4</v>
      </c>
      <c r="O60" s="696">
        <f>M60*S60*W60</f>
        <v>0</v>
      </c>
      <c r="P60" t="b">
        <v>1</v>
      </c>
      <c r="Q60" t="b">
        <v>0</v>
      </c>
      <c r="R60" t="b">
        <v>0</v>
      </c>
      <c r="S60" t="b">
        <f>IF(AND(W57=TRUE,W58=TRUE),TRUE,FALSE)</f>
        <v>0</v>
      </c>
      <c r="T60" t="b">
        <f>AND(NOT(S60),W60=TRUE)</f>
        <v>0</v>
      </c>
      <c r="W60" s="17"/>
      <c r="X60" s="688"/>
      <c r="AC60" t="b">
        <f>OR(AD60:AE60)</f>
        <v>0</v>
      </c>
      <c r="AD60" t="b">
        <f>T60</f>
        <v>0</v>
      </c>
      <c r="AL60" t="str">
        <f>SUBSTITUTE(SUBSTITUTE(SUBSTITUTE("dpa"&amp;$B60&amp;$C60&amp;$D60&amp;$E60&amp;$F60,".","_"),"(","_"),")","")</f>
        <v>dpa503_1_3</v>
      </c>
      <c r="AM60">
        <f>M60</f>
        <v>4</v>
      </c>
      <c r="AN60" t="str">
        <f>SUBSTITUTE(SUBSTITUTE(SUBSTITUTE("dpc"&amp;$B60&amp;$C60&amp;$D60&amp;$E60&amp;$F60,".","_"),"(","_"),")","")</f>
        <v>dpc503_1_3</v>
      </c>
      <c r="AO60">
        <f>O60</f>
        <v>0</v>
      </c>
      <c r="AP60" t="str">
        <f>SUBSTITUTE(SUBSTITUTE(SUBSTITUTE("dch"&amp;$B60&amp;$C60&amp;$D60&amp;$E60&amp;$F60,".","_"),"(","_"),")","")</f>
        <v>dch503_1_3</v>
      </c>
      <c r="AQ60">
        <f>W60</f>
        <v>0</v>
      </c>
      <c r="AX60" s="6" t="str">
        <f>'Overview (Design)'!A59</f>
        <v>Local Energy Code:</v>
      </c>
      <c r="AY60">
        <f>'Overview (Design)'!G59</f>
        <v>0</v>
      </c>
    </row>
    <row r="61" spans="2:51" x14ac:dyDescent="0.35">
      <c r="B61" s="13" t="s">
        <v>395</v>
      </c>
      <c r="C61" s="13"/>
      <c r="D61" s="13"/>
      <c r="E61" s="13" t="s">
        <v>274</v>
      </c>
      <c r="F61" s="13"/>
      <c r="G61" s="13"/>
      <c r="H61" s="552"/>
      <c r="I61" s="53"/>
      <c r="J61" s="115"/>
      <c r="K61" s="118"/>
      <c r="L61" s="709"/>
      <c r="M61" s="691"/>
      <c r="N61" s="119"/>
      <c r="O61" s="697"/>
      <c r="X61" s="688"/>
      <c r="AX61" s="6" t="str">
        <f>'Overview (Design)'!A60</f>
        <v>Local Building Code:</v>
      </c>
      <c r="AY61">
        <f>'Overview (Design)'!G60</f>
        <v>0</v>
      </c>
    </row>
    <row r="62" spans="2:51" x14ac:dyDescent="0.35">
      <c r="B62" s="13" t="s">
        <v>395</v>
      </c>
      <c r="C62" s="13"/>
      <c r="D62" s="13"/>
      <c r="E62" s="13" t="s">
        <v>283</v>
      </c>
      <c r="F62" s="13"/>
      <c r="G62" s="13"/>
      <c r="H62" s="552"/>
      <c r="I62" s="53"/>
      <c r="J62" s="115" t="s">
        <v>283</v>
      </c>
      <c r="K62" s="118"/>
      <c r="L62" s="116" t="s">
        <v>400</v>
      </c>
      <c r="M62" s="198">
        <v>4</v>
      </c>
      <c r="N62" s="119"/>
      <c r="O62" s="342">
        <f>M62*W62</f>
        <v>4</v>
      </c>
      <c r="P62" t="b">
        <v>1</v>
      </c>
      <c r="Q62" t="b">
        <v>0</v>
      </c>
      <c r="R62" t="b">
        <v>0</v>
      </c>
      <c r="S62" t="b">
        <v>1</v>
      </c>
      <c r="T62" t="b">
        <v>0</v>
      </c>
      <c r="W62" s="17" t="b">
        <v>1</v>
      </c>
      <c r="X62" s="688"/>
      <c r="AL62" t="str">
        <f t="shared" ref="AL62:AL64" si="5">SUBSTITUTE(SUBSTITUTE(SUBSTITUTE("dpa"&amp;$B62&amp;$C62&amp;$D62&amp;$E62&amp;$F62,".","_"),"(","_"),")","")</f>
        <v>dpa503_1_4</v>
      </c>
      <c r="AM62">
        <f>M62</f>
        <v>4</v>
      </c>
      <c r="AN62" t="str">
        <f t="shared" ref="AN62:AN64" si="6">SUBSTITUTE(SUBSTITUTE(SUBSTITUTE("dpc"&amp;$B62&amp;$C62&amp;$D62&amp;$E62&amp;$F62,".","_"),"(","_"),")","")</f>
        <v>dpc503_1_4</v>
      </c>
      <c r="AO62">
        <f>O62</f>
        <v>4</v>
      </c>
      <c r="AP62" t="str">
        <f t="shared" ref="AP62:AP64" si="7">SUBSTITUTE(SUBSTITUTE(SUBSTITUTE("dch"&amp;$B62&amp;$C62&amp;$D62&amp;$E62&amp;$F62,".","_"),"(","_"),")","")</f>
        <v>dch503_1_4</v>
      </c>
      <c r="AQ62" t="b">
        <f>W62</f>
        <v>1</v>
      </c>
    </row>
    <row r="63" spans="2:51" x14ac:dyDescent="0.35">
      <c r="B63" s="13" t="s">
        <v>395</v>
      </c>
      <c r="C63" s="13"/>
      <c r="D63" s="13"/>
      <c r="E63" s="13" t="s">
        <v>289</v>
      </c>
      <c r="F63" s="13"/>
      <c r="G63" s="13"/>
      <c r="H63" s="552"/>
      <c r="I63" s="53"/>
      <c r="J63" s="115" t="s">
        <v>289</v>
      </c>
      <c r="K63" s="118"/>
      <c r="L63" s="116" t="s">
        <v>401</v>
      </c>
      <c r="M63" s="198">
        <v>3</v>
      </c>
      <c r="N63" s="119"/>
      <c r="O63" s="342">
        <f>M63*W63</f>
        <v>0</v>
      </c>
      <c r="P63" t="b">
        <v>1</v>
      </c>
      <c r="Q63" t="b">
        <v>0</v>
      </c>
      <c r="R63" t="b">
        <v>0</v>
      </c>
      <c r="S63" t="b">
        <v>1</v>
      </c>
      <c r="T63" t="b">
        <v>0</v>
      </c>
      <c r="W63" s="17"/>
      <c r="X63" s="688"/>
      <c r="AL63" t="str">
        <f t="shared" si="5"/>
        <v>dpa503_1_5</v>
      </c>
      <c r="AM63">
        <f>M63</f>
        <v>3</v>
      </c>
      <c r="AN63" t="str">
        <f t="shared" si="6"/>
        <v>dpc503_1_5</v>
      </c>
      <c r="AO63">
        <f>O63</f>
        <v>0</v>
      </c>
      <c r="AP63" t="str">
        <f t="shared" si="7"/>
        <v>dch503_1_5</v>
      </c>
      <c r="AQ63">
        <f>W63</f>
        <v>0</v>
      </c>
    </row>
    <row r="64" spans="2:51" x14ac:dyDescent="0.35">
      <c r="B64" s="13" t="s">
        <v>395</v>
      </c>
      <c r="C64" s="13"/>
      <c r="D64" s="13"/>
      <c r="E64" s="13" t="s">
        <v>291</v>
      </c>
      <c r="F64" s="13"/>
      <c r="G64" s="13"/>
      <c r="H64" s="552"/>
      <c r="I64" s="53"/>
      <c r="J64" s="50" t="s">
        <v>291</v>
      </c>
      <c r="K64" s="53"/>
      <c r="L64" s="707" t="s">
        <v>402</v>
      </c>
      <c r="M64" s="690">
        <v>4</v>
      </c>
      <c r="O64" s="696">
        <f>M64*W64</f>
        <v>0</v>
      </c>
      <c r="P64" t="b">
        <v>1</v>
      </c>
      <c r="Q64" t="b">
        <v>0</v>
      </c>
      <c r="R64" t="b">
        <v>0</v>
      </c>
      <c r="S64" t="b">
        <v>1</v>
      </c>
      <c r="T64" t="b">
        <v>0</v>
      </c>
      <c r="W64" s="17"/>
      <c r="X64" s="688"/>
      <c r="AL64" t="str">
        <f t="shared" si="5"/>
        <v>dpa503_1_6</v>
      </c>
      <c r="AM64">
        <f>M64</f>
        <v>4</v>
      </c>
      <c r="AN64" t="str">
        <f t="shared" si="6"/>
        <v>dpc503_1_6</v>
      </c>
      <c r="AO64">
        <f>O64</f>
        <v>0</v>
      </c>
      <c r="AP64" t="str">
        <f t="shared" si="7"/>
        <v>dch503_1_6</v>
      </c>
      <c r="AQ64">
        <f>W64</f>
        <v>0</v>
      </c>
    </row>
    <row r="65" spans="2:45" x14ac:dyDescent="0.35">
      <c r="B65" s="13" t="s">
        <v>395</v>
      </c>
      <c r="C65" s="13"/>
      <c r="D65" s="13"/>
      <c r="E65" s="13" t="s">
        <v>291</v>
      </c>
      <c r="F65" s="13"/>
      <c r="G65" s="13"/>
      <c r="H65" s="552"/>
      <c r="I65" s="53"/>
      <c r="J65" s="115"/>
      <c r="K65" s="118"/>
      <c r="L65" s="709"/>
      <c r="M65" s="691"/>
      <c r="N65" s="119"/>
      <c r="O65" s="697"/>
      <c r="X65" s="688"/>
    </row>
    <row r="66" spans="2:45" x14ac:dyDescent="0.35">
      <c r="B66" s="13" t="s">
        <v>395</v>
      </c>
      <c r="C66" s="13"/>
      <c r="D66" s="13"/>
      <c r="E66" s="13" t="s">
        <v>403</v>
      </c>
      <c r="F66" s="13"/>
      <c r="G66" s="13"/>
      <c r="H66" s="552"/>
      <c r="I66" s="53"/>
      <c r="J66" s="50" t="s">
        <v>403</v>
      </c>
      <c r="K66" s="53"/>
      <c r="L66" s="707" t="s">
        <v>404</v>
      </c>
      <c r="M66" s="690">
        <v>5</v>
      </c>
      <c r="O66" s="696">
        <f>M66*W66</f>
        <v>0</v>
      </c>
      <c r="P66" t="b">
        <v>1</v>
      </c>
      <c r="Q66" t="b">
        <v>0</v>
      </c>
      <c r="R66" t="b">
        <v>0</v>
      </c>
      <c r="S66" t="b">
        <v>1</v>
      </c>
      <c r="T66" t="b">
        <v>0</v>
      </c>
      <c r="W66" s="17"/>
      <c r="X66" s="688"/>
      <c r="AL66" t="str">
        <f>SUBSTITUTE(SUBSTITUTE(SUBSTITUTE("dpa"&amp;$B66&amp;$C66&amp;$D66&amp;$E66&amp;$F66,".","_"),"(","_"),")","")</f>
        <v>dpa503_1_7</v>
      </c>
      <c r="AM66">
        <f>M66</f>
        <v>5</v>
      </c>
      <c r="AN66" t="str">
        <f>SUBSTITUTE(SUBSTITUTE(SUBSTITUTE("dpc"&amp;$B66&amp;$C66&amp;$D66&amp;$E66&amp;$F66,".","_"),"(","_"),")","")</f>
        <v>dpc503_1_7</v>
      </c>
      <c r="AO66">
        <f>O66</f>
        <v>0</v>
      </c>
      <c r="AP66" t="str">
        <f>SUBSTITUTE(SUBSTITUTE(SUBSTITUTE("dch"&amp;$B66&amp;$C66&amp;$D66&amp;$E66&amp;$F66,".","_"),"(","_"),")","")</f>
        <v>dch503_1_7</v>
      </c>
      <c r="AQ66">
        <f>W66</f>
        <v>0</v>
      </c>
    </row>
    <row r="67" spans="2:45" ht="15" thickBot="1" x14ac:dyDescent="0.4">
      <c r="B67" s="13" t="s">
        <v>395</v>
      </c>
      <c r="C67" s="13"/>
      <c r="D67" s="13"/>
      <c r="E67" s="13" t="s">
        <v>403</v>
      </c>
      <c r="F67" s="13"/>
      <c r="G67" s="13"/>
      <c r="H67" s="552"/>
      <c r="I67" s="60"/>
      <c r="J67" s="60"/>
      <c r="K67" s="60"/>
      <c r="L67" s="708"/>
      <c r="M67" s="693"/>
      <c r="N67" s="58"/>
      <c r="O67" s="695"/>
      <c r="P67" s="58"/>
      <c r="Q67" s="58"/>
      <c r="R67" s="58"/>
      <c r="S67" s="58"/>
      <c r="T67" s="58"/>
      <c r="U67" s="58"/>
      <c r="V67" s="58"/>
      <c r="W67" s="58"/>
      <c r="X67" s="689"/>
    </row>
    <row r="68" spans="2:45" ht="15" thickTop="1" x14ac:dyDescent="0.35">
      <c r="B68" s="13" t="s">
        <v>405</v>
      </c>
      <c r="C68" s="13"/>
      <c r="D68" s="13"/>
      <c r="E68" s="13"/>
      <c r="F68" s="13"/>
      <c r="G68" s="13"/>
      <c r="H68" s="552"/>
      <c r="I68" s="63">
        <v>503.2</v>
      </c>
      <c r="J68" s="64"/>
      <c r="K68" s="64"/>
      <c r="L68" s="81" t="s">
        <v>406</v>
      </c>
      <c r="M68" s="199"/>
      <c r="N68" s="62"/>
      <c r="O68" s="341"/>
      <c r="P68" s="62"/>
      <c r="Q68" s="62"/>
      <c r="R68" s="62"/>
      <c r="S68" s="62"/>
      <c r="T68" s="62"/>
      <c r="U68" s="62"/>
      <c r="V68" s="62"/>
      <c r="W68" s="62" t="s">
        <v>807</v>
      </c>
      <c r="X68" s="687" t="s">
        <v>4840</v>
      </c>
      <c r="AR68" t="str">
        <f>SUBSTITUTE(SUBSTITUTE(SUBSTITUTE("dnt"&amp;$B68&amp;$C68&amp;$D68&amp;$E68&amp;$F68,".","_"),"(","_"),")","")</f>
        <v>dnt503_2</v>
      </c>
      <c r="AS68" t="str">
        <f>X68</f>
        <v>Koppers MicroPro® Wood Preservation Technology</v>
      </c>
    </row>
    <row r="69" spans="2:45" x14ac:dyDescent="0.35">
      <c r="B69" s="13" t="s">
        <v>405</v>
      </c>
      <c r="C69" s="13"/>
      <c r="D69" s="13"/>
      <c r="E69" s="13"/>
      <c r="F69" s="13"/>
      <c r="G69" s="13"/>
      <c r="H69" s="552"/>
      <c r="I69" s="33"/>
      <c r="J69" s="53"/>
      <c r="K69" s="53"/>
      <c r="L69" s="105" t="s">
        <v>3595</v>
      </c>
      <c r="M69" s="43"/>
      <c r="O69" s="85"/>
      <c r="P69" t="b">
        <v>1</v>
      </c>
      <c r="Q69" t="b">
        <v>1</v>
      </c>
      <c r="R69" t="b">
        <v>1</v>
      </c>
      <c r="S69" t="b">
        <v>1</v>
      </c>
      <c r="T69" t="b">
        <v>0</v>
      </c>
      <c r="W69" s="65">
        <v>0.27</v>
      </c>
      <c r="X69" s="688"/>
      <c r="AP69" t="str">
        <f t="shared" ref="AP69:AP71" si="8">SUBSTITUTE(SUBSTITUTE(SUBSTITUTE("dch"&amp;$B69&amp;$C69&amp;$D69&amp;$E69&amp;$F69,".","_"),"(","_"),")","")</f>
        <v>dch503_2</v>
      </c>
      <c r="AQ69" s="258">
        <f>W69</f>
        <v>0.27</v>
      </c>
    </row>
    <row r="70" spans="2:45" x14ac:dyDescent="0.35">
      <c r="B70" s="13" t="s">
        <v>405</v>
      </c>
      <c r="C70" s="13"/>
      <c r="D70" s="13"/>
      <c r="E70" s="13" t="s">
        <v>270</v>
      </c>
      <c r="F70" s="13"/>
      <c r="G70" s="13"/>
      <c r="H70" s="552"/>
      <c r="I70" s="53"/>
      <c r="J70" s="115" t="s">
        <v>270</v>
      </c>
      <c r="K70" s="118"/>
      <c r="L70" s="116" t="s">
        <v>407</v>
      </c>
      <c r="M70" s="198">
        <v>5</v>
      </c>
      <c r="N70" s="119"/>
      <c r="O70" s="342">
        <f>M70*W70*S70</f>
        <v>0</v>
      </c>
      <c r="P70" t="b">
        <v>1</v>
      </c>
      <c r="Q70" t="b">
        <v>1</v>
      </c>
      <c r="R70" t="b">
        <v>0</v>
      </c>
      <c r="S70" t="b">
        <f>IF(W69&gt;=0.25,TRUE,FALSE)</f>
        <v>1</v>
      </c>
      <c r="T70" t="b">
        <f>AND(NOT(S70),W70=TRUE)</f>
        <v>0</v>
      </c>
      <c r="W70" s="17"/>
      <c r="X70" s="688"/>
      <c r="AC70" t="b">
        <f>OR(AD70:AE70)</f>
        <v>0</v>
      </c>
      <c r="AD70" t="b">
        <f>T70</f>
        <v>0</v>
      </c>
      <c r="AL70" t="str">
        <f t="shared" ref="AL70:AL71" si="9">SUBSTITUTE(SUBSTITUTE(SUBSTITUTE("dpa"&amp;$B70&amp;$C70&amp;$D70&amp;$E70&amp;$F70,".","_"),"(","_"),")","")</f>
        <v>dpa503_2_1</v>
      </c>
      <c r="AM70">
        <f>M70</f>
        <v>5</v>
      </c>
      <c r="AN70" t="str">
        <f t="shared" ref="AN70:AN71" si="10">SUBSTITUTE(SUBSTITUTE(SUBSTITUTE("dpc"&amp;$B70&amp;$C70&amp;$D70&amp;$E70&amp;$F70,".","_"),"(","_"),")","")</f>
        <v>dpc503_2_1</v>
      </c>
      <c r="AO70">
        <f>O70</f>
        <v>0</v>
      </c>
      <c r="AP70" t="str">
        <f t="shared" si="8"/>
        <v>dch503_2_1</v>
      </c>
      <c r="AQ70">
        <f>W70</f>
        <v>0</v>
      </c>
    </row>
    <row r="71" spans="2:45" x14ac:dyDescent="0.35">
      <c r="B71" s="13" t="s">
        <v>405</v>
      </c>
      <c r="C71" s="13"/>
      <c r="D71" s="13"/>
      <c r="E71" s="13" t="s">
        <v>272</v>
      </c>
      <c r="F71" s="13"/>
      <c r="G71" s="13"/>
      <c r="H71" s="552"/>
      <c r="I71" s="53"/>
      <c r="J71" s="50" t="s">
        <v>272</v>
      </c>
      <c r="K71" s="53"/>
      <c r="L71" s="707" t="s">
        <v>408</v>
      </c>
      <c r="M71" s="690">
        <v>5</v>
      </c>
      <c r="O71" s="696">
        <f>M71*W71*S71</f>
        <v>0</v>
      </c>
      <c r="P71" t="b">
        <v>1</v>
      </c>
      <c r="Q71" t="b">
        <v>1</v>
      </c>
      <c r="R71" t="b">
        <v>0</v>
      </c>
      <c r="S71" t="b">
        <f>S70</f>
        <v>1</v>
      </c>
      <c r="T71" t="b">
        <f>AND(NOT(S71),W71=TRUE)</f>
        <v>0</v>
      </c>
      <c r="W71" s="17"/>
      <c r="X71" s="688"/>
      <c r="AC71" t="b">
        <f>OR(AD71:AE71)</f>
        <v>0</v>
      </c>
      <c r="AD71" t="b">
        <f>T71</f>
        <v>0</v>
      </c>
      <c r="AL71" t="str">
        <f t="shared" si="9"/>
        <v>dpa503_2_2</v>
      </c>
      <c r="AM71">
        <f>M71</f>
        <v>5</v>
      </c>
      <c r="AN71" t="str">
        <f t="shared" si="10"/>
        <v>dpc503_2_2</v>
      </c>
      <c r="AO71">
        <f>O71</f>
        <v>0</v>
      </c>
      <c r="AP71" t="str">
        <f t="shared" si="8"/>
        <v>dch503_2_2</v>
      </c>
      <c r="AQ71">
        <f>W71</f>
        <v>0</v>
      </c>
    </row>
    <row r="72" spans="2:45" x14ac:dyDescent="0.35">
      <c r="B72" s="13" t="s">
        <v>405</v>
      </c>
      <c r="C72" s="13"/>
      <c r="D72" s="13"/>
      <c r="E72" s="13" t="s">
        <v>272</v>
      </c>
      <c r="F72" s="13"/>
      <c r="G72" s="13"/>
      <c r="H72" s="552"/>
      <c r="I72" s="53"/>
      <c r="J72" s="118"/>
      <c r="K72" s="118"/>
      <c r="L72" s="709"/>
      <c r="M72" s="691"/>
      <c r="N72" s="119"/>
      <c r="O72" s="697"/>
      <c r="X72" s="688"/>
    </row>
    <row r="73" spans="2:45" x14ac:dyDescent="0.35">
      <c r="B73" s="13" t="s">
        <v>405</v>
      </c>
      <c r="C73" s="13"/>
      <c r="D73" s="13"/>
      <c r="E73" s="13" t="s">
        <v>274</v>
      </c>
      <c r="F73" s="13"/>
      <c r="G73" s="13"/>
      <c r="H73" s="552"/>
      <c r="I73" s="53"/>
      <c r="J73" s="50" t="s">
        <v>274</v>
      </c>
      <c r="K73" s="53"/>
      <c r="L73" s="707" t="s">
        <v>409</v>
      </c>
      <c r="M73" s="43"/>
      <c r="O73" s="696">
        <f ca="1">S73*IFERROR(INDEX({1,4,6},MATCH(W73,INDIRECT(U73))),0)</f>
        <v>0</v>
      </c>
      <c r="P73" t="b">
        <v>1</v>
      </c>
      <c r="Q73" t="b">
        <v>1</v>
      </c>
      <c r="R73" t="b">
        <v>0</v>
      </c>
      <c r="S73" t="b">
        <f>S70</f>
        <v>1</v>
      </c>
      <c r="T73" t="b">
        <f>AND(NOT(S73),LEN(W73)&gt;0)</f>
        <v>0</v>
      </c>
      <c r="U73" t="str">
        <f>SUBSTITUTE(SUBSTITUTE(SUBSTITUTE("dd"&amp;B73&amp;C73&amp;D73&amp;E73&amp;F73,".","_"),"(","_"),")","")</f>
        <v>dd503_2_3</v>
      </c>
      <c r="W73" s="9"/>
      <c r="X73" s="688"/>
      <c r="AC73" t="b">
        <f>OR(AD73:AE73)</f>
        <v>0</v>
      </c>
      <c r="AD73" t="b">
        <f>T73</f>
        <v>0</v>
      </c>
      <c r="AN73" t="str">
        <f>SUBSTITUTE(SUBSTITUTE(SUBSTITUTE("dpc"&amp;$B73&amp;$C73&amp;$D73&amp;$E73&amp;$F73,".","_"),"(","_"),")","")</f>
        <v>dpc503_2_3</v>
      </c>
      <c r="AO73">
        <f ca="1">O73</f>
        <v>0</v>
      </c>
      <c r="AP73" t="str">
        <f>SUBSTITUTE(SUBSTITUTE(SUBSTITUTE("dch"&amp;$B73&amp;$C73&amp;$D73&amp;$E73&amp;$F73,".","_"),"(","_"),")","")</f>
        <v>dch503_2_3</v>
      </c>
      <c r="AQ73">
        <f>W73</f>
        <v>0</v>
      </c>
    </row>
    <row r="74" spans="2:45" x14ac:dyDescent="0.35">
      <c r="B74" s="13" t="s">
        <v>405</v>
      </c>
      <c r="C74" s="13"/>
      <c r="D74" s="13"/>
      <c r="E74" s="13" t="s">
        <v>274</v>
      </c>
      <c r="F74" s="13"/>
      <c r="G74" s="13"/>
      <c r="H74" s="552"/>
      <c r="I74" s="53"/>
      <c r="J74" s="53"/>
      <c r="K74" s="53"/>
      <c r="L74" s="707"/>
      <c r="M74" s="43"/>
      <c r="O74" s="696"/>
      <c r="X74" s="688"/>
    </row>
    <row r="75" spans="2:45" x14ac:dyDescent="0.35">
      <c r="B75" s="13" t="s">
        <v>405</v>
      </c>
      <c r="C75" s="13"/>
      <c r="D75" s="13"/>
      <c r="E75" s="13" t="s">
        <v>274</v>
      </c>
      <c r="F75" s="13" t="s">
        <v>121</v>
      </c>
      <c r="G75" s="13"/>
      <c r="H75" s="552"/>
      <c r="I75" s="53"/>
      <c r="J75" s="53"/>
      <c r="K75" s="50" t="s">
        <v>121</v>
      </c>
      <c r="L75" s="46" t="s">
        <v>836</v>
      </c>
      <c r="M75" s="43">
        <v>1</v>
      </c>
      <c r="O75" s="85"/>
      <c r="X75" s="688"/>
      <c r="AL75" t="str">
        <f t="shared" ref="AL75:AL78" si="11">SUBSTITUTE(SUBSTITUTE(SUBSTITUTE("dpa"&amp;$B75&amp;$C75&amp;$D75&amp;$E75&amp;$F75,".","_"),"(","_"),")","")</f>
        <v>dpa503_2_3_a</v>
      </c>
      <c r="AM75">
        <f>M75</f>
        <v>1</v>
      </c>
    </row>
    <row r="76" spans="2:45" x14ac:dyDescent="0.35">
      <c r="B76" s="13" t="s">
        <v>405</v>
      </c>
      <c r="C76" s="13"/>
      <c r="D76" s="13"/>
      <c r="E76" s="13" t="s">
        <v>274</v>
      </c>
      <c r="F76" s="13" t="s">
        <v>122</v>
      </c>
      <c r="G76" s="13"/>
      <c r="H76" s="552"/>
      <c r="I76" s="53"/>
      <c r="J76" s="53"/>
      <c r="K76" s="50" t="s">
        <v>122</v>
      </c>
      <c r="L76" s="46" t="s">
        <v>410</v>
      </c>
      <c r="M76" s="43">
        <v>4</v>
      </c>
      <c r="O76" s="85"/>
      <c r="X76" s="688"/>
      <c r="AL76" t="str">
        <f t="shared" si="11"/>
        <v>dpa503_2_3_b</v>
      </c>
      <c r="AM76">
        <f>M76</f>
        <v>4</v>
      </c>
    </row>
    <row r="77" spans="2:45" x14ac:dyDescent="0.35">
      <c r="B77" s="13" t="s">
        <v>405</v>
      </c>
      <c r="C77" s="13"/>
      <c r="D77" s="13"/>
      <c r="E77" s="13" t="s">
        <v>274</v>
      </c>
      <c r="F77" s="18" t="s">
        <v>123</v>
      </c>
      <c r="G77" s="18"/>
      <c r="H77" s="552"/>
      <c r="I77" s="53"/>
      <c r="J77" s="118"/>
      <c r="K77" s="120" t="s">
        <v>123</v>
      </c>
      <c r="L77" s="116" t="s">
        <v>411</v>
      </c>
      <c r="M77" s="198">
        <v>6</v>
      </c>
      <c r="O77" s="342"/>
      <c r="X77" s="688"/>
      <c r="AL77" t="str">
        <f t="shared" si="11"/>
        <v>dpa503_2_3_c</v>
      </c>
      <c r="AM77">
        <f>M77</f>
        <v>6</v>
      </c>
    </row>
    <row r="78" spans="2:45" x14ac:dyDescent="0.35">
      <c r="B78" s="13" t="s">
        <v>405</v>
      </c>
      <c r="C78" s="13"/>
      <c r="D78" s="13"/>
      <c r="E78" s="13" t="s">
        <v>283</v>
      </c>
      <c r="F78" s="13"/>
      <c r="G78" s="13"/>
      <c r="H78" s="552"/>
      <c r="I78" s="53"/>
      <c r="J78" s="50" t="s">
        <v>283</v>
      </c>
      <c r="K78" s="53"/>
      <c r="L78" s="707" t="s">
        <v>412</v>
      </c>
      <c r="M78" s="690">
        <v>6</v>
      </c>
      <c r="N78" s="138"/>
      <c r="O78" s="696">
        <f>M78*W78*S78</f>
        <v>6</v>
      </c>
      <c r="P78" t="b">
        <v>1</v>
      </c>
      <c r="Q78" t="b">
        <v>1</v>
      </c>
      <c r="R78" t="b">
        <v>0</v>
      </c>
      <c r="S78" t="b">
        <f>S70</f>
        <v>1</v>
      </c>
      <c r="T78" t="b">
        <f>AND(NOT(S78),W78=TRUE)</f>
        <v>0</v>
      </c>
      <c r="W78" s="17" t="b">
        <v>1</v>
      </c>
      <c r="X78" s="688"/>
      <c r="AC78" t="b">
        <f>OR(AD78:AE78)</f>
        <v>0</v>
      </c>
      <c r="AD78" t="b">
        <f>T78</f>
        <v>0</v>
      </c>
      <c r="AL78" t="str">
        <f t="shared" si="11"/>
        <v>dpa503_2_4</v>
      </c>
      <c r="AM78">
        <f>M78</f>
        <v>6</v>
      </c>
      <c r="AN78" t="str">
        <f>SUBSTITUTE(SUBSTITUTE(SUBSTITUTE("dpc"&amp;$B78&amp;$C78&amp;$D78&amp;$E78&amp;$F78,".","_"),"(","_"),")","")</f>
        <v>dpc503_2_4</v>
      </c>
      <c r="AO78">
        <f>O78</f>
        <v>6</v>
      </c>
      <c r="AP78" t="str">
        <f>SUBSTITUTE(SUBSTITUTE(SUBSTITUTE("dch"&amp;$B78&amp;$C78&amp;$D78&amp;$E78&amp;$F78,".","_"),"(","_"),")","")</f>
        <v>dch503_2_4</v>
      </c>
      <c r="AQ78" t="b">
        <f>W78</f>
        <v>1</v>
      </c>
    </row>
    <row r="79" spans="2:45" x14ac:dyDescent="0.35">
      <c r="B79" s="13" t="s">
        <v>405</v>
      </c>
      <c r="C79" s="13"/>
      <c r="D79" s="13"/>
      <c r="E79" s="13" t="s">
        <v>283</v>
      </c>
      <c r="F79" s="13"/>
      <c r="G79" s="13"/>
      <c r="H79" s="552"/>
      <c r="I79" s="53"/>
      <c r="J79" s="118"/>
      <c r="K79" s="118"/>
      <c r="L79" s="709"/>
      <c r="M79" s="691"/>
      <c r="N79" s="119"/>
      <c r="O79" s="697"/>
      <c r="X79" s="688"/>
    </row>
    <row r="80" spans="2:45" ht="15" thickBot="1" x14ac:dyDescent="0.4">
      <c r="B80" s="13" t="s">
        <v>405</v>
      </c>
      <c r="C80" s="13"/>
      <c r="D80" s="13"/>
      <c r="E80" s="13" t="s">
        <v>289</v>
      </c>
      <c r="F80" s="13"/>
      <c r="G80" s="13"/>
      <c r="H80" s="552"/>
      <c r="I80" s="60"/>
      <c r="J80" s="55" t="s">
        <v>289</v>
      </c>
      <c r="K80" s="60"/>
      <c r="L80" s="56" t="s">
        <v>413</v>
      </c>
      <c r="M80" s="270">
        <v>5</v>
      </c>
      <c r="N80" s="58"/>
      <c r="O80" s="184">
        <f>M80*W80*S80</f>
        <v>0</v>
      </c>
      <c r="P80" t="b">
        <v>1</v>
      </c>
      <c r="Q80" t="b">
        <v>1</v>
      </c>
      <c r="R80" s="58" t="b">
        <v>0</v>
      </c>
      <c r="S80" s="58" t="b">
        <f>S70</f>
        <v>1</v>
      </c>
      <c r="T80" t="b">
        <f>AND(NOT(S80),W80=TRUE)</f>
        <v>0</v>
      </c>
      <c r="U80" s="58"/>
      <c r="V80" s="58"/>
      <c r="W80" s="17"/>
      <c r="X80" s="689"/>
      <c r="AC80" t="b">
        <f>OR(AD80:AE80)</f>
        <v>0</v>
      </c>
      <c r="AD80" t="b">
        <f>T80</f>
        <v>0</v>
      </c>
      <c r="AL80" t="str">
        <f>SUBSTITUTE(SUBSTITUTE(SUBSTITUTE("dpa"&amp;$B80&amp;$C80&amp;$D80&amp;$E80&amp;$F80,".","_"),"(","_"),")","")</f>
        <v>dpa503_2_5</v>
      </c>
      <c r="AM80">
        <f>M80</f>
        <v>5</v>
      </c>
      <c r="AN80" t="str">
        <f>SUBSTITUTE(SUBSTITUTE(SUBSTITUTE("dpc"&amp;$B80&amp;$C80&amp;$D80&amp;$E80&amp;$F80,".","_"),"(","_"),")","")</f>
        <v>dpc503_2_5</v>
      </c>
      <c r="AO80">
        <f>O80</f>
        <v>0</v>
      </c>
      <c r="AP80" t="str">
        <f>SUBSTITUTE(SUBSTITUTE(SUBSTITUTE("dch"&amp;$B80&amp;$C80&amp;$D80&amp;$E80&amp;$F80,".","_"),"(","_"),")","")</f>
        <v>dch503_2_5</v>
      </c>
      <c r="AQ80">
        <f>W80</f>
        <v>0</v>
      </c>
    </row>
    <row r="81" spans="2:45" ht="15" thickTop="1" x14ac:dyDescent="0.35">
      <c r="B81" s="13" t="s">
        <v>414</v>
      </c>
      <c r="C81" s="13"/>
      <c r="D81" s="13"/>
      <c r="E81" s="13"/>
      <c r="F81" s="13"/>
      <c r="G81" s="13"/>
      <c r="H81" s="552"/>
      <c r="I81" s="63">
        <v>503.3</v>
      </c>
      <c r="J81" s="64"/>
      <c r="K81" s="64"/>
      <c r="L81" s="711" t="s">
        <v>415</v>
      </c>
      <c r="M81" s="199"/>
      <c r="N81" s="62"/>
      <c r="O81" s="341"/>
      <c r="P81" s="62"/>
      <c r="Q81" s="62"/>
      <c r="R81" s="62"/>
      <c r="S81" s="62"/>
      <c r="T81" s="62"/>
      <c r="U81" s="62"/>
      <c r="V81" s="62"/>
      <c r="W81" s="62"/>
      <c r="X81" s="687"/>
      <c r="AR81" t="str">
        <f>SUBSTITUTE(SUBSTITUTE(SUBSTITUTE("dnt"&amp;$B81&amp;$C81&amp;$D81&amp;$E81&amp;$F81,".","_"),"(","_"),")","")</f>
        <v>dnt503_3</v>
      </c>
      <c r="AS81">
        <f>X81</f>
        <v>0</v>
      </c>
    </row>
    <row r="82" spans="2:45" x14ac:dyDescent="0.35">
      <c r="B82" s="13" t="s">
        <v>414</v>
      </c>
      <c r="C82" s="13"/>
      <c r="D82" s="13"/>
      <c r="E82" s="13"/>
      <c r="F82" s="13"/>
      <c r="G82" s="13"/>
      <c r="H82" s="552"/>
      <c r="I82" s="53"/>
      <c r="J82" s="53"/>
      <c r="K82" s="53"/>
      <c r="L82" s="706"/>
      <c r="M82" s="43"/>
      <c r="O82" s="85"/>
      <c r="X82" s="688"/>
    </row>
    <row r="83" spans="2:45" x14ac:dyDescent="0.35">
      <c r="B83" s="13" t="s">
        <v>414</v>
      </c>
      <c r="C83" s="13"/>
      <c r="D83" s="13"/>
      <c r="E83" s="13"/>
      <c r="F83" s="13"/>
      <c r="G83" s="13"/>
      <c r="H83" s="552"/>
      <c r="I83" s="53"/>
      <c r="J83" s="53"/>
      <c r="K83" s="53"/>
      <c r="L83" s="105" t="s">
        <v>837</v>
      </c>
      <c r="M83" s="43"/>
      <c r="O83" s="85"/>
      <c r="X83" s="688"/>
    </row>
    <row r="84" spans="2:45" x14ac:dyDescent="0.35">
      <c r="B84" s="13" t="s">
        <v>414</v>
      </c>
      <c r="C84" s="13"/>
      <c r="D84" s="13"/>
      <c r="E84" s="13" t="s">
        <v>270</v>
      </c>
      <c r="F84" s="13"/>
      <c r="G84" s="13"/>
      <c r="H84" s="552"/>
      <c r="I84" s="53"/>
      <c r="J84" s="50" t="s">
        <v>270</v>
      </c>
      <c r="K84" s="53"/>
      <c r="L84" s="707" t="s">
        <v>4713</v>
      </c>
      <c r="M84" s="690">
        <v>5</v>
      </c>
      <c r="O84" s="696">
        <f>M84*W84</f>
        <v>0</v>
      </c>
      <c r="P84" t="b">
        <v>1</v>
      </c>
      <c r="Q84" t="b">
        <v>0</v>
      </c>
      <c r="R84" t="b">
        <v>0</v>
      </c>
      <c r="S84" t="b">
        <v>1</v>
      </c>
      <c r="T84" t="b">
        <v>0</v>
      </c>
      <c r="W84" s="17"/>
      <c r="X84" s="688"/>
      <c r="AL84" t="str">
        <f>SUBSTITUTE(SUBSTITUTE(SUBSTITUTE("dpa"&amp;$B84&amp;$C84&amp;$D84&amp;$E84&amp;$F84,".","_"),"(","_"),")","")</f>
        <v>dpa503_3_1</v>
      </c>
      <c r="AM84">
        <f>M84</f>
        <v>5</v>
      </c>
      <c r="AN84" t="str">
        <f>SUBSTITUTE(SUBSTITUTE(SUBSTITUTE("dpc"&amp;$B84&amp;$C84&amp;$D84&amp;$E84&amp;$F84,".","_"),"(","_"),")","")</f>
        <v>dpc503_3_1</v>
      </c>
      <c r="AO84">
        <f>O84</f>
        <v>0</v>
      </c>
      <c r="AP84" t="str">
        <f>SUBSTITUTE(SUBSTITUTE(SUBSTITUTE("dch"&amp;$B84&amp;$C84&amp;$D84&amp;$E84&amp;$F84,".","_"),"(","_"),")","")</f>
        <v>dch503_3_1</v>
      </c>
      <c r="AQ84">
        <f>W84</f>
        <v>0</v>
      </c>
    </row>
    <row r="85" spans="2:45" x14ac:dyDescent="0.35">
      <c r="B85" s="13" t="s">
        <v>414</v>
      </c>
      <c r="C85" s="13"/>
      <c r="D85" s="13"/>
      <c r="E85" s="13" t="s">
        <v>270</v>
      </c>
      <c r="F85" s="13"/>
      <c r="G85" s="13"/>
      <c r="H85" s="552"/>
      <c r="I85" s="53"/>
      <c r="J85" s="115"/>
      <c r="K85" s="118"/>
      <c r="L85" s="709"/>
      <c r="M85" s="691"/>
      <c r="N85" s="119"/>
      <c r="O85" s="697"/>
      <c r="X85" s="688"/>
    </row>
    <row r="86" spans="2:45" x14ac:dyDescent="0.35">
      <c r="B86" s="13" t="s">
        <v>414</v>
      </c>
      <c r="C86" s="13"/>
      <c r="D86" s="13"/>
      <c r="E86" s="13" t="s">
        <v>272</v>
      </c>
      <c r="F86" s="13"/>
      <c r="G86" s="13"/>
      <c r="H86" s="552"/>
      <c r="I86" s="53"/>
      <c r="J86" s="50" t="s">
        <v>272</v>
      </c>
      <c r="K86" s="53"/>
      <c r="L86" s="707" t="s">
        <v>416</v>
      </c>
      <c r="M86" s="712">
        <v>5</v>
      </c>
      <c r="O86" s="713">
        <f>M86*MIN(W88+W89+W91+W92,1)</f>
        <v>0</v>
      </c>
      <c r="P86" t="b">
        <v>1</v>
      </c>
      <c r="Q86" t="b">
        <v>0</v>
      </c>
      <c r="R86" t="b">
        <v>0</v>
      </c>
      <c r="S86" t="b">
        <v>1</v>
      </c>
      <c r="T86" t="b">
        <v>0</v>
      </c>
      <c r="X86" s="688"/>
      <c r="AL86" t="str">
        <f>SUBSTITUTE(SUBSTITUTE(SUBSTITUTE("dpa"&amp;$B86&amp;$C86&amp;$D86&amp;$E86&amp;$F86,".","_"),"(","_"),")","")</f>
        <v>dpa503_3_2</v>
      </c>
      <c r="AM86">
        <f>M86</f>
        <v>5</v>
      </c>
      <c r="AN86" t="str">
        <f>SUBSTITUTE(SUBSTITUTE(SUBSTITUTE("dpc"&amp;$B86&amp;$C86&amp;$D86&amp;$E86&amp;$F86,".","_"),"(","_"),")","")</f>
        <v>dpc503_3_2</v>
      </c>
      <c r="AO86">
        <f>O86</f>
        <v>0</v>
      </c>
    </row>
    <row r="87" spans="2:45" x14ac:dyDescent="0.35">
      <c r="B87" s="13" t="s">
        <v>414</v>
      </c>
      <c r="C87" s="13"/>
      <c r="D87" s="13"/>
      <c r="E87" s="13" t="s">
        <v>272</v>
      </c>
      <c r="F87" s="13"/>
      <c r="G87" s="13"/>
      <c r="H87" s="552"/>
      <c r="I87" s="53"/>
      <c r="J87" s="53"/>
      <c r="K87" s="53"/>
      <c r="L87" s="707"/>
      <c r="M87" s="690"/>
      <c r="O87" s="696"/>
      <c r="X87" s="688"/>
    </row>
    <row r="88" spans="2:45" x14ac:dyDescent="0.35">
      <c r="B88" s="13" t="s">
        <v>414</v>
      </c>
      <c r="C88" s="13"/>
      <c r="D88" s="13"/>
      <c r="E88" s="13" t="s">
        <v>272</v>
      </c>
      <c r="F88" s="13" t="s">
        <v>121</v>
      </c>
      <c r="G88" s="13"/>
      <c r="H88" s="552"/>
      <c r="I88" s="53"/>
      <c r="J88" s="53"/>
      <c r="K88" s="50" t="s">
        <v>121</v>
      </c>
      <c r="L88" s="46" t="s">
        <v>417</v>
      </c>
      <c r="M88" s="690"/>
      <c r="O88" s="696"/>
      <c r="P88" t="b">
        <v>1</v>
      </c>
      <c r="Q88" t="b">
        <v>0</v>
      </c>
      <c r="R88" t="b">
        <v>0</v>
      </c>
      <c r="S88" t="b">
        <v>1</v>
      </c>
      <c r="T88" t="b">
        <v>0</v>
      </c>
      <c r="W88" s="17"/>
      <c r="X88" s="688"/>
      <c r="AP88" t="str">
        <f t="shared" ref="AP88:AP89" si="12">SUBSTITUTE(SUBSTITUTE(SUBSTITUTE("dch"&amp;$B88&amp;$C88&amp;$D88&amp;$E88&amp;$F88,".","_"),"(","_"),")","")</f>
        <v>dch503_3_2_a</v>
      </c>
      <c r="AQ88">
        <f>W88</f>
        <v>0</v>
      </c>
    </row>
    <row r="89" spans="2:45" x14ac:dyDescent="0.35">
      <c r="B89" s="13" t="s">
        <v>414</v>
      </c>
      <c r="C89" s="13"/>
      <c r="D89" s="13"/>
      <c r="E89" s="13" t="s">
        <v>272</v>
      </c>
      <c r="F89" s="13" t="s">
        <v>122</v>
      </c>
      <c r="G89" s="13"/>
      <c r="H89" s="552"/>
      <c r="I89" s="53"/>
      <c r="J89" s="53"/>
      <c r="K89" s="50" t="s">
        <v>122</v>
      </c>
      <c r="L89" s="707" t="s">
        <v>418</v>
      </c>
      <c r="M89" s="690"/>
      <c r="O89" s="696"/>
      <c r="P89" t="b">
        <v>1</v>
      </c>
      <c r="Q89" t="b">
        <v>0</v>
      </c>
      <c r="R89" t="b">
        <v>0</v>
      </c>
      <c r="S89" t="b">
        <v>1</v>
      </c>
      <c r="T89" t="b">
        <v>0</v>
      </c>
      <c r="W89" s="17"/>
      <c r="X89" s="688"/>
      <c r="AP89" t="str">
        <f t="shared" si="12"/>
        <v>dch503_3_2_b</v>
      </c>
      <c r="AQ89">
        <f>W89</f>
        <v>0</v>
      </c>
    </row>
    <row r="90" spans="2:45" x14ac:dyDescent="0.35">
      <c r="B90" s="13" t="s">
        <v>414</v>
      </c>
      <c r="C90" s="13"/>
      <c r="D90" s="13"/>
      <c r="E90" s="13" t="s">
        <v>272</v>
      </c>
      <c r="F90" s="13" t="s">
        <v>122</v>
      </c>
      <c r="G90" s="13"/>
      <c r="H90" s="552"/>
      <c r="I90" s="53"/>
      <c r="J90" s="53"/>
      <c r="K90" s="53"/>
      <c r="L90" s="707"/>
      <c r="M90" s="690"/>
      <c r="O90" s="696"/>
      <c r="X90" s="688"/>
    </row>
    <row r="91" spans="2:45" x14ac:dyDescent="0.35">
      <c r="B91" s="13" t="s">
        <v>414</v>
      </c>
      <c r="C91" s="13"/>
      <c r="D91" s="13"/>
      <c r="E91" s="13" t="s">
        <v>272</v>
      </c>
      <c r="F91" s="18" t="s">
        <v>123</v>
      </c>
      <c r="G91" s="18"/>
      <c r="H91" s="552"/>
      <c r="I91" s="53"/>
      <c r="J91" s="53"/>
      <c r="K91" s="52" t="s">
        <v>123</v>
      </c>
      <c r="L91" s="46" t="s">
        <v>419</v>
      </c>
      <c r="M91" s="690"/>
      <c r="O91" s="696"/>
      <c r="P91" t="b">
        <v>1</v>
      </c>
      <c r="Q91" t="b">
        <v>0</v>
      </c>
      <c r="R91" t="b">
        <v>0</v>
      </c>
      <c r="S91" t="b">
        <v>1</v>
      </c>
      <c r="T91" t="b">
        <v>0</v>
      </c>
      <c r="W91" s="17"/>
      <c r="X91" s="688"/>
      <c r="AP91" t="str">
        <f t="shared" ref="AP91:AP93" si="13">SUBSTITUTE(SUBSTITUTE(SUBSTITUTE("dch"&amp;$B91&amp;$C91&amp;$D91&amp;$E91&amp;$F91,".","_"),"(","_"),")","")</f>
        <v>dch503_3_2_c</v>
      </c>
      <c r="AQ91">
        <f>W91</f>
        <v>0</v>
      </c>
    </row>
    <row r="92" spans="2:45" x14ac:dyDescent="0.35">
      <c r="B92" s="13" t="s">
        <v>414</v>
      </c>
      <c r="C92" s="13"/>
      <c r="D92" s="13"/>
      <c r="E92" s="13" t="s">
        <v>272</v>
      </c>
      <c r="F92" s="18" t="s">
        <v>420</v>
      </c>
      <c r="G92" s="18"/>
      <c r="H92" s="552"/>
      <c r="I92" s="53"/>
      <c r="J92" s="118"/>
      <c r="K92" s="120" t="s">
        <v>420</v>
      </c>
      <c r="L92" s="116" t="s">
        <v>421</v>
      </c>
      <c r="M92" s="691"/>
      <c r="N92" s="119"/>
      <c r="O92" s="697"/>
      <c r="P92" t="b">
        <v>1</v>
      </c>
      <c r="Q92" t="b">
        <v>0</v>
      </c>
      <c r="R92" t="b">
        <v>0</v>
      </c>
      <c r="S92" t="b">
        <v>1</v>
      </c>
      <c r="T92" t="b">
        <v>0</v>
      </c>
      <c r="W92" s="17"/>
      <c r="X92" s="688"/>
      <c r="AP92" t="str">
        <f t="shared" si="13"/>
        <v>dch503_3_2_d</v>
      </c>
      <c r="AQ92">
        <f>W92</f>
        <v>0</v>
      </c>
    </row>
    <row r="93" spans="2:45" ht="15" thickBot="1" x14ac:dyDescent="0.4">
      <c r="B93" s="13" t="s">
        <v>414</v>
      </c>
      <c r="C93" s="13"/>
      <c r="D93" s="13"/>
      <c r="E93" s="13" t="s">
        <v>274</v>
      </c>
      <c r="F93" s="13"/>
      <c r="G93" s="13"/>
      <c r="H93" s="552"/>
      <c r="I93" s="60"/>
      <c r="J93" s="55" t="s">
        <v>274</v>
      </c>
      <c r="K93" s="60"/>
      <c r="L93" s="56" t="s">
        <v>422</v>
      </c>
      <c r="M93" s="270">
        <v>5</v>
      </c>
      <c r="N93" s="58"/>
      <c r="O93" s="184">
        <f>M93*W93</f>
        <v>0</v>
      </c>
      <c r="P93" t="b">
        <v>1</v>
      </c>
      <c r="Q93" t="b">
        <v>0</v>
      </c>
      <c r="R93" s="58" t="b">
        <v>0</v>
      </c>
      <c r="S93" s="58" t="b">
        <v>1</v>
      </c>
      <c r="T93" s="58" t="b">
        <v>0</v>
      </c>
      <c r="U93" s="58"/>
      <c r="V93" s="58"/>
      <c r="W93" s="129"/>
      <c r="X93" s="689"/>
      <c r="AL93" t="str">
        <f>SUBSTITUTE(SUBSTITUTE(SUBSTITUTE("dpa"&amp;$B93&amp;$C93&amp;$D93&amp;$E93&amp;$F93,".","_"),"(","_"),")","")</f>
        <v>dpa503_3_3</v>
      </c>
      <c r="AM93">
        <f>M93</f>
        <v>5</v>
      </c>
      <c r="AN93" t="str">
        <f>SUBSTITUTE(SUBSTITUTE(SUBSTITUTE("dpc"&amp;$B93&amp;$C93&amp;$D93&amp;$E93&amp;$F93,".","_"),"(","_"),")","")</f>
        <v>dpc503_3_3</v>
      </c>
      <c r="AO93">
        <f>O93</f>
        <v>0</v>
      </c>
      <c r="AP93" t="str">
        <f t="shared" si="13"/>
        <v>dch503_3_3</v>
      </c>
      <c r="AQ93">
        <f>W93</f>
        <v>0</v>
      </c>
    </row>
    <row r="94" spans="2:45" ht="15.75" customHeight="1" thickTop="1" x14ac:dyDescent="0.35">
      <c r="B94" s="13" t="s">
        <v>423</v>
      </c>
      <c r="C94" s="13"/>
      <c r="D94" s="13"/>
      <c r="E94" s="13"/>
      <c r="F94" s="13"/>
      <c r="G94" s="13"/>
      <c r="H94" s="552"/>
      <c r="I94" s="33">
        <v>503.4</v>
      </c>
      <c r="J94" s="53"/>
      <c r="K94" s="53"/>
      <c r="L94" s="711" t="s">
        <v>424</v>
      </c>
      <c r="M94" s="43"/>
      <c r="O94" s="85"/>
      <c r="W94" s="128"/>
      <c r="X94" s="721"/>
      <c r="AR94" t="str">
        <f>SUBSTITUTE(SUBSTITUTE(SUBSTITUTE("dnt"&amp;$B94&amp;$C94&amp;$D94&amp;$E94&amp;$F94,".","_"),"(","_"),")","")</f>
        <v>dnt503_4</v>
      </c>
      <c r="AS94">
        <f>X94</f>
        <v>0</v>
      </c>
    </row>
    <row r="95" spans="2:45" x14ac:dyDescent="0.35">
      <c r="B95" s="13" t="s">
        <v>423</v>
      </c>
      <c r="C95" s="13"/>
      <c r="D95" s="13"/>
      <c r="E95" s="13"/>
      <c r="F95" s="13"/>
      <c r="G95" s="13"/>
      <c r="H95" s="552"/>
      <c r="I95" s="53"/>
      <c r="J95" s="53"/>
      <c r="K95" s="53"/>
      <c r="L95" s="706"/>
      <c r="M95" s="43"/>
      <c r="O95" s="85"/>
      <c r="X95" s="699"/>
    </row>
    <row r="96" spans="2:45" x14ac:dyDescent="0.35">
      <c r="B96" s="13" t="s">
        <v>423</v>
      </c>
      <c r="C96" s="13"/>
      <c r="D96" s="13"/>
      <c r="E96" s="13"/>
      <c r="F96" s="13"/>
      <c r="G96" s="13"/>
      <c r="H96" s="552"/>
      <c r="I96" s="53"/>
      <c r="J96" s="53"/>
      <c r="K96" s="53"/>
      <c r="L96" s="706"/>
      <c r="M96" s="43"/>
      <c r="O96" s="85"/>
      <c r="X96" s="699"/>
    </row>
    <row r="97" spans="2:45" x14ac:dyDescent="0.35">
      <c r="B97" s="13" t="s">
        <v>423</v>
      </c>
      <c r="C97" s="13"/>
      <c r="D97" s="13"/>
      <c r="E97" s="13"/>
      <c r="F97" s="13"/>
      <c r="G97" s="13"/>
      <c r="H97" s="552"/>
      <c r="I97" s="53"/>
      <c r="J97" s="53"/>
      <c r="K97" s="53"/>
      <c r="L97" s="706"/>
      <c r="M97" s="43"/>
      <c r="O97" s="85"/>
      <c r="X97" s="699"/>
    </row>
    <row r="98" spans="2:45" x14ac:dyDescent="0.35">
      <c r="B98" s="13" t="s">
        <v>423</v>
      </c>
      <c r="C98" s="13"/>
      <c r="D98" s="13"/>
      <c r="E98" s="13"/>
      <c r="F98" s="13"/>
      <c r="G98" s="13"/>
      <c r="H98" s="552"/>
      <c r="I98" s="53"/>
      <c r="J98" s="53"/>
      <c r="K98" s="53"/>
      <c r="L98" s="714" t="s">
        <v>3164</v>
      </c>
      <c r="M98" s="43"/>
      <c r="O98" s="85"/>
      <c r="X98" s="699"/>
    </row>
    <row r="99" spans="2:45" x14ac:dyDescent="0.35">
      <c r="B99" s="13" t="s">
        <v>423</v>
      </c>
      <c r="C99" s="13"/>
      <c r="D99" s="13"/>
      <c r="E99" s="13"/>
      <c r="F99" s="13"/>
      <c r="G99" s="13"/>
      <c r="H99" s="552"/>
      <c r="I99" s="53"/>
      <c r="J99" s="53"/>
      <c r="K99" s="53"/>
      <c r="L99" s="714"/>
      <c r="M99" s="43"/>
      <c r="O99" s="85"/>
      <c r="X99" s="699"/>
    </row>
    <row r="100" spans="2:45" x14ac:dyDescent="0.35">
      <c r="B100" s="13" t="s">
        <v>423</v>
      </c>
      <c r="C100" s="13"/>
      <c r="D100" s="13"/>
      <c r="E100" s="13"/>
      <c r="F100" s="13"/>
      <c r="G100" s="13"/>
      <c r="H100" s="552"/>
      <c r="I100" s="53"/>
      <c r="J100" s="53"/>
      <c r="K100" s="53"/>
      <c r="L100" s="714"/>
      <c r="M100" s="43"/>
      <c r="O100" s="85"/>
      <c r="X100" s="700"/>
    </row>
    <row r="101" spans="2:45" x14ac:dyDescent="0.35">
      <c r="B101" s="13" t="s">
        <v>423</v>
      </c>
      <c r="C101" s="13"/>
      <c r="D101" s="13"/>
      <c r="E101" s="13" t="s">
        <v>270</v>
      </c>
      <c r="F101" s="13"/>
      <c r="G101" s="13"/>
      <c r="H101" s="552"/>
      <c r="I101" s="53"/>
      <c r="J101" s="50" t="s">
        <v>270</v>
      </c>
      <c r="K101" s="53"/>
      <c r="L101" s="707" t="s">
        <v>425</v>
      </c>
      <c r="M101" s="690">
        <v>7</v>
      </c>
      <c r="O101" s="696">
        <f>M101*W101</f>
        <v>0</v>
      </c>
      <c r="P101" t="b">
        <v>1</v>
      </c>
      <c r="Q101" t="b">
        <v>0</v>
      </c>
      <c r="R101" t="b">
        <v>0</v>
      </c>
      <c r="S101" t="b">
        <v>1</v>
      </c>
      <c r="T101" t="b">
        <v>0</v>
      </c>
      <c r="W101" s="17"/>
      <c r="X101" s="688"/>
      <c r="AL101" t="str">
        <f>SUBSTITUTE(SUBSTITUTE(SUBSTITUTE("dpa"&amp;$B101&amp;$C101&amp;$D101&amp;$E101&amp;$F101,".","_"),"(","_"),")","")</f>
        <v>dpa503_4_1</v>
      </c>
      <c r="AM101">
        <f>M101</f>
        <v>7</v>
      </c>
      <c r="AN101" t="str">
        <f>SUBSTITUTE(SUBSTITUTE(SUBSTITUTE("dpc"&amp;$B101&amp;$C101&amp;$D101&amp;$E101&amp;$F101,".","_"),"(","_"),")","")</f>
        <v>dpc503_4_1</v>
      </c>
      <c r="AO101">
        <f>O101</f>
        <v>0</v>
      </c>
      <c r="AP101" t="str">
        <f>SUBSTITUTE(SUBSTITUTE(SUBSTITUTE("dch"&amp;$B101&amp;$C101&amp;$D101&amp;$E101&amp;$F101,".","_"),"(","_"),")","")</f>
        <v>dch503_4_1</v>
      </c>
      <c r="AQ101">
        <f>W101</f>
        <v>0</v>
      </c>
      <c r="AR101" t="str">
        <f>SUBSTITUTE(SUBSTITUTE(SUBSTITUTE("dnt"&amp;$B101&amp;$C101&amp;$D101&amp;$E101&amp;$F101,".","_"),"(","_"),")","")</f>
        <v>dnt503_4_1</v>
      </c>
      <c r="AS101">
        <f>X101</f>
        <v>0</v>
      </c>
    </row>
    <row r="102" spans="2:45" x14ac:dyDescent="0.35">
      <c r="B102" s="13" t="s">
        <v>423</v>
      </c>
      <c r="C102" s="13"/>
      <c r="D102" s="13"/>
      <c r="E102" s="13" t="s">
        <v>270</v>
      </c>
      <c r="F102" s="13"/>
      <c r="G102" s="13"/>
      <c r="H102" s="552"/>
      <c r="I102" s="53"/>
      <c r="J102" s="50"/>
      <c r="K102" s="53"/>
      <c r="L102" s="707"/>
      <c r="M102" s="690"/>
      <c r="O102" s="696"/>
      <c r="X102" s="688"/>
    </row>
    <row r="103" spans="2:45" x14ac:dyDescent="0.35">
      <c r="B103" s="13" t="s">
        <v>423</v>
      </c>
      <c r="C103" s="13"/>
      <c r="D103" s="13"/>
      <c r="E103" s="13" t="s">
        <v>270</v>
      </c>
      <c r="F103" s="13"/>
      <c r="G103" s="13"/>
      <c r="H103" s="552"/>
      <c r="I103" s="53"/>
      <c r="J103" s="118"/>
      <c r="K103" s="118"/>
      <c r="L103" s="709"/>
      <c r="M103" s="691"/>
      <c r="N103" s="119"/>
      <c r="O103" s="697"/>
      <c r="X103" s="688"/>
    </row>
    <row r="104" spans="2:45" x14ac:dyDescent="0.35">
      <c r="B104" s="13" t="s">
        <v>423</v>
      </c>
      <c r="C104" s="13"/>
      <c r="D104" s="13"/>
      <c r="E104" s="13" t="s">
        <v>272</v>
      </c>
      <c r="F104" s="13"/>
      <c r="G104" s="13"/>
      <c r="H104" s="552"/>
      <c r="I104" s="53"/>
      <c r="J104" s="50" t="s">
        <v>272</v>
      </c>
      <c r="K104" s="53"/>
      <c r="L104" s="707" t="s">
        <v>426</v>
      </c>
      <c r="M104" s="690">
        <v>10</v>
      </c>
      <c r="O104" s="696">
        <f>M104*W104</f>
        <v>10</v>
      </c>
      <c r="P104" t="b">
        <v>1</v>
      </c>
      <c r="Q104" t="b">
        <v>0</v>
      </c>
      <c r="R104" t="b">
        <v>0</v>
      </c>
      <c r="S104" t="b">
        <v>1</v>
      </c>
      <c r="T104" t="b">
        <v>0</v>
      </c>
      <c r="W104" s="17" t="b">
        <v>1</v>
      </c>
      <c r="X104" s="688"/>
      <c r="AL104" t="str">
        <f>SUBSTITUTE(SUBSTITUTE(SUBSTITUTE("dpa"&amp;$B104&amp;$C104&amp;$D104&amp;$E104&amp;$F104,".","_"),"(","_"),")","")</f>
        <v>dpa503_4_2</v>
      </c>
      <c r="AM104">
        <f>M104</f>
        <v>10</v>
      </c>
      <c r="AN104" t="str">
        <f>SUBSTITUTE(SUBSTITUTE(SUBSTITUTE("dpc"&amp;$B104&amp;$C104&amp;$D104&amp;$E104&amp;$F104,".","_"),"(","_"),")","")</f>
        <v>dpc503_4_2</v>
      </c>
      <c r="AO104">
        <f>O104</f>
        <v>10</v>
      </c>
      <c r="AP104" t="str">
        <f>SUBSTITUTE(SUBSTITUTE(SUBSTITUTE("dch"&amp;$B104&amp;$C104&amp;$D104&amp;$E104&amp;$F104,".","_"),"(","_"),")","")</f>
        <v>dch503_4_2</v>
      </c>
      <c r="AQ104" t="b">
        <f>W104</f>
        <v>1</v>
      </c>
      <c r="AR104" t="str">
        <f>SUBSTITUTE(SUBSTITUTE(SUBSTITUTE("dnt"&amp;$B104&amp;$C104&amp;$D104&amp;$E104&amp;$F104,".","_"),"(","_"),")","")</f>
        <v>dnt503_4_2</v>
      </c>
      <c r="AS104">
        <f>X104</f>
        <v>0</v>
      </c>
    </row>
    <row r="105" spans="2:45" x14ac:dyDescent="0.35">
      <c r="B105" s="13" t="s">
        <v>423</v>
      </c>
      <c r="C105" s="13"/>
      <c r="D105" s="13"/>
      <c r="E105" s="13" t="s">
        <v>272</v>
      </c>
      <c r="F105" s="13"/>
      <c r="G105" s="13"/>
      <c r="H105" s="552"/>
      <c r="I105" s="53"/>
      <c r="J105" s="53"/>
      <c r="K105" s="53"/>
      <c r="L105" s="707"/>
      <c r="M105" s="690"/>
      <c r="O105" s="696"/>
      <c r="X105" s="688"/>
    </row>
    <row r="106" spans="2:45" x14ac:dyDescent="0.35">
      <c r="B106" s="13" t="s">
        <v>423</v>
      </c>
      <c r="C106" s="13"/>
      <c r="D106" s="13"/>
      <c r="E106" s="13" t="s">
        <v>272</v>
      </c>
      <c r="F106" s="13"/>
      <c r="G106" s="13"/>
      <c r="H106" s="552"/>
      <c r="I106" s="53"/>
      <c r="J106" s="53"/>
      <c r="K106" s="53"/>
      <c r="L106" s="707"/>
      <c r="M106" s="690"/>
      <c r="O106" s="696"/>
      <c r="X106" s="688"/>
    </row>
    <row r="107" spans="2:45" x14ac:dyDescent="0.35">
      <c r="B107" s="13" t="s">
        <v>423</v>
      </c>
      <c r="C107" s="13"/>
      <c r="D107" s="13"/>
      <c r="E107" s="13" t="s">
        <v>272</v>
      </c>
      <c r="F107" s="13"/>
      <c r="G107" s="13"/>
      <c r="H107" s="552"/>
      <c r="I107" s="53"/>
      <c r="J107" s="118"/>
      <c r="K107" s="118"/>
      <c r="L107" s="709"/>
      <c r="M107" s="691"/>
      <c r="N107" s="119"/>
      <c r="O107" s="697"/>
      <c r="X107" s="688"/>
    </row>
    <row r="108" spans="2:45" x14ac:dyDescent="0.35">
      <c r="B108" s="13" t="s">
        <v>423</v>
      </c>
      <c r="C108" s="13"/>
      <c r="D108" s="13"/>
      <c r="E108" s="13" t="s">
        <v>274</v>
      </c>
      <c r="F108" s="13"/>
      <c r="G108" s="13"/>
      <c r="H108" s="552"/>
      <c r="I108" s="53"/>
      <c r="J108" s="50" t="s">
        <v>274</v>
      </c>
      <c r="K108" s="53"/>
      <c r="L108" s="707" t="s">
        <v>427</v>
      </c>
      <c r="M108" s="43"/>
      <c r="O108" s="696">
        <f ca="1">S108*IFERROR(INDEX({5,8,10},MATCH(W108,INDIRECT(U108))),0)</f>
        <v>0</v>
      </c>
      <c r="P108" t="b">
        <v>1</v>
      </c>
      <c r="Q108" t="b">
        <v>0</v>
      </c>
      <c r="R108" t="b">
        <v>0</v>
      </c>
      <c r="S108" t="b">
        <v>1</v>
      </c>
      <c r="T108" t="b">
        <v>0</v>
      </c>
      <c r="U108" t="str">
        <f>SUBSTITUTE(SUBSTITUTE(SUBSTITUTE("dd"&amp;B108&amp;C108&amp;D108&amp;E108&amp;F108,".","_"),"(","_"),")","")</f>
        <v>dd503_4_3</v>
      </c>
      <c r="W108" s="9"/>
      <c r="X108" s="688"/>
      <c r="AN108" t="str">
        <f>SUBSTITUTE(SUBSTITUTE(SUBSTITUTE("dpc"&amp;$B108&amp;$C108&amp;$D108&amp;$E108&amp;$F108,".","_"),"(","_"),")","")</f>
        <v>dpc503_4_3</v>
      </c>
      <c r="AO108">
        <f ca="1">O108</f>
        <v>0</v>
      </c>
      <c r="AP108" t="str">
        <f>SUBSTITUTE(SUBSTITUTE(SUBSTITUTE("dch"&amp;$B108&amp;$C108&amp;$D108&amp;$E108&amp;$F108,".","_"),"(","_"),")","")</f>
        <v>dch503_4_3</v>
      </c>
      <c r="AQ108">
        <f>W108</f>
        <v>0</v>
      </c>
      <c r="AR108" t="str">
        <f>SUBSTITUTE(SUBSTITUTE(SUBSTITUTE("dnt"&amp;$B108&amp;$C108&amp;$D108&amp;$E108&amp;$F108,".","_"),"(","_"),")","")</f>
        <v>dnt503_4_3</v>
      </c>
      <c r="AS108">
        <f>X108</f>
        <v>0</v>
      </c>
    </row>
    <row r="109" spans="2:45" x14ac:dyDescent="0.35">
      <c r="B109" s="13" t="s">
        <v>423</v>
      </c>
      <c r="C109" s="13"/>
      <c r="D109" s="13"/>
      <c r="E109" s="13" t="s">
        <v>274</v>
      </c>
      <c r="F109" s="13"/>
      <c r="G109" s="13"/>
      <c r="H109" s="552"/>
      <c r="I109" s="53"/>
      <c r="J109" s="53"/>
      <c r="K109" s="53"/>
      <c r="L109" s="707"/>
      <c r="M109" s="43"/>
      <c r="O109" s="696"/>
      <c r="X109" s="688"/>
    </row>
    <row r="110" spans="2:45" x14ac:dyDescent="0.35">
      <c r="B110" s="13" t="s">
        <v>423</v>
      </c>
      <c r="C110" s="13"/>
      <c r="D110" s="13"/>
      <c r="E110" s="13" t="s">
        <v>274</v>
      </c>
      <c r="F110" s="13"/>
      <c r="G110" s="13"/>
      <c r="H110" s="552"/>
      <c r="I110" s="53"/>
      <c r="J110" s="53"/>
      <c r="K110" s="53"/>
      <c r="L110" s="707"/>
      <c r="M110" s="43"/>
      <c r="O110" s="696"/>
      <c r="X110" s="688"/>
    </row>
    <row r="111" spans="2:45" x14ac:dyDescent="0.35">
      <c r="B111" s="13" t="s">
        <v>423</v>
      </c>
      <c r="C111" s="13"/>
      <c r="D111" s="13"/>
      <c r="E111" s="13" t="s">
        <v>274</v>
      </c>
      <c r="F111" s="13"/>
      <c r="G111" s="13"/>
      <c r="H111" s="552"/>
      <c r="I111" s="53"/>
      <c r="J111" s="53"/>
      <c r="K111" s="53"/>
      <c r="L111" s="707"/>
      <c r="M111" s="43"/>
      <c r="O111" s="696"/>
      <c r="X111" s="688"/>
    </row>
    <row r="112" spans="2:45" x14ac:dyDescent="0.35">
      <c r="B112" s="13" t="s">
        <v>423</v>
      </c>
      <c r="C112" s="13"/>
      <c r="D112" s="13"/>
      <c r="E112" s="13" t="s">
        <v>274</v>
      </c>
      <c r="F112" s="13" t="s">
        <v>121</v>
      </c>
      <c r="G112" s="13"/>
      <c r="H112" s="552"/>
      <c r="I112" s="53"/>
      <c r="J112" s="53"/>
      <c r="K112" s="50" t="s">
        <v>121</v>
      </c>
      <c r="L112" s="46" t="s">
        <v>428</v>
      </c>
      <c r="M112" s="43">
        <v>5</v>
      </c>
      <c r="O112" s="85"/>
      <c r="X112" s="688"/>
      <c r="AL112" t="str">
        <f t="shared" ref="AL112:AL114" si="14">SUBSTITUTE(SUBSTITUTE(SUBSTITUTE("dpa"&amp;$B112&amp;$C112&amp;$D112&amp;$E112&amp;$F112,".","_"),"(","_"),")","")</f>
        <v>dpa503_4_3_a</v>
      </c>
      <c r="AM112">
        <f>M112</f>
        <v>5</v>
      </c>
    </row>
    <row r="113" spans="2:45" x14ac:dyDescent="0.35">
      <c r="B113" s="13" t="s">
        <v>423</v>
      </c>
      <c r="C113" s="13"/>
      <c r="D113" s="13"/>
      <c r="E113" s="13" t="s">
        <v>274</v>
      </c>
      <c r="F113" s="13" t="s">
        <v>122</v>
      </c>
      <c r="G113" s="13"/>
      <c r="H113" s="552"/>
      <c r="I113" s="53"/>
      <c r="J113" s="53"/>
      <c r="K113" s="50" t="s">
        <v>122</v>
      </c>
      <c r="L113" s="46" t="s">
        <v>429</v>
      </c>
      <c r="M113" s="43">
        <v>8</v>
      </c>
      <c r="O113" s="85"/>
      <c r="X113" s="688"/>
      <c r="AL113" t="str">
        <f t="shared" si="14"/>
        <v>dpa503_4_3_b</v>
      </c>
      <c r="AM113">
        <f>M113</f>
        <v>8</v>
      </c>
    </row>
    <row r="114" spans="2:45" x14ac:dyDescent="0.35">
      <c r="B114" s="13" t="s">
        <v>423</v>
      </c>
      <c r="C114" s="13"/>
      <c r="D114" s="13"/>
      <c r="E114" s="13" t="s">
        <v>274</v>
      </c>
      <c r="F114" s="13" t="s">
        <v>123</v>
      </c>
      <c r="G114" s="13"/>
      <c r="H114" s="552"/>
      <c r="I114" s="53"/>
      <c r="J114" s="118"/>
      <c r="K114" s="120" t="s">
        <v>123</v>
      </c>
      <c r="L114" s="116" t="s">
        <v>430</v>
      </c>
      <c r="M114" s="198">
        <v>10</v>
      </c>
      <c r="N114" s="119"/>
      <c r="O114" s="342"/>
      <c r="X114" s="688"/>
      <c r="AL114" t="str">
        <f t="shared" si="14"/>
        <v>dpa503_4_3_c</v>
      </c>
      <c r="AM114">
        <f>M114</f>
        <v>10</v>
      </c>
    </row>
    <row r="115" spans="2:45" x14ac:dyDescent="0.35">
      <c r="B115" s="13" t="s">
        <v>423</v>
      </c>
      <c r="C115" s="13"/>
      <c r="D115" s="13"/>
      <c r="E115" s="13" t="s">
        <v>283</v>
      </c>
      <c r="F115" s="13"/>
      <c r="G115" s="13"/>
      <c r="H115" s="552"/>
      <c r="I115" s="53"/>
      <c r="J115" s="50" t="s">
        <v>283</v>
      </c>
      <c r="K115" s="52"/>
      <c r="L115" s="707" t="s">
        <v>431</v>
      </c>
      <c r="M115" s="43"/>
      <c r="O115" s="696">
        <f ca="1">S115*IFERROR(INDEX({5,8,10},MATCH(W115,INDIRECT(U115))),0)</f>
        <v>0</v>
      </c>
      <c r="P115" t="b">
        <v>1</v>
      </c>
      <c r="Q115" t="b">
        <v>1</v>
      </c>
      <c r="R115" t="b">
        <v>0</v>
      </c>
      <c r="S115" t="b">
        <v>1</v>
      </c>
      <c r="T115" t="b">
        <v>0</v>
      </c>
      <c r="U115" t="str">
        <f>SUBSTITUTE(SUBSTITUTE(SUBSTITUTE("dd"&amp;B115&amp;C115&amp;D115&amp;E115&amp;F115,".","_"),"(","_"),")","")</f>
        <v>dd503_4_4</v>
      </c>
      <c r="W115" s="9"/>
      <c r="X115" s="688"/>
      <c r="AN115" t="str">
        <f>SUBSTITUTE(SUBSTITUTE(SUBSTITUTE("dpc"&amp;$B115&amp;$C115&amp;$D115&amp;$E115&amp;$F115,".","_"),"(","_"),")","")</f>
        <v>dpc503_4_4</v>
      </c>
      <c r="AO115">
        <f ca="1">O115</f>
        <v>0</v>
      </c>
      <c r="AP115" t="str">
        <f>SUBSTITUTE(SUBSTITUTE(SUBSTITUTE("dch"&amp;$B115&amp;$C115&amp;$D115&amp;$E115&amp;$F115,".","_"),"(","_"),")","")</f>
        <v>dch503_4_4</v>
      </c>
      <c r="AQ115">
        <f>W115</f>
        <v>0</v>
      </c>
      <c r="AR115" t="str">
        <f>SUBSTITUTE(SUBSTITUTE(SUBSTITUTE("dnt"&amp;$B115&amp;$C115&amp;$D115&amp;$E115&amp;$F115,".","_"),"(","_"),")","")</f>
        <v>dnt503_4_4</v>
      </c>
      <c r="AS115">
        <f>X115</f>
        <v>0</v>
      </c>
    </row>
    <row r="116" spans="2:45" x14ac:dyDescent="0.35">
      <c r="B116" s="13" t="s">
        <v>423</v>
      </c>
      <c r="C116" s="13"/>
      <c r="D116" s="13"/>
      <c r="E116" s="13" t="s">
        <v>283</v>
      </c>
      <c r="F116" s="13"/>
      <c r="G116" s="13"/>
      <c r="H116" s="552"/>
      <c r="I116" s="53"/>
      <c r="J116" s="53"/>
      <c r="K116" s="53"/>
      <c r="L116" s="707"/>
      <c r="M116" s="43"/>
      <c r="O116" s="696"/>
      <c r="X116" s="688"/>
    </row>
    <row r="117" spans="2:45" x14ac:dyDescent="0.35">
      <c r="B117" s="13" t="s">
        <v>423</v>
      </c>
      <c r="C117" s="13"/>
      <c r="D117" s="13"/>
      <c r="E117" s="13" t="s">
        <v>283</v>
      </c>
      <c r="F117" s="13" t="s">
        <v>121</v>
      </c>
      <c r="G117" s="13"/>
      <c r="H117" s="552"/>
      <c r="I117" s="53"/>
      <c r="J117" s="53"/>
      <c r="K117" s="50" t="s">
        <v>121</v>
      </c>
      <c r="L117" s="46" t="s">
        <v>432</v>
      </c>
      <c r="M117" s="43">
        <v>5</v>
      </c>
      <c r="O117" s="85"/>
      <c r="X117" s="688"/>
      <c r="AL117" t="str">
        <f>SUBSTITUTE(SUBSTITUTE(SUBSTITUTE("dpa"&amp;$B117&amp;$C117&amp;$D117&amp;$E117&amp;$F117,".","_"),"(","_"),")","")</f>
        <v>dpa503_4_4_a</v>
      </c>
      <c r="AM117">
        <f>M117</f>
        <v>5</v>
      </c>
    </row>
    <row r="118" spans="2:45" x14ac:dyDescent="0.35">
      <c r="B118" s="13" t="s">
        <v>423</v>
      </c>
      <c r="C118" s="13"/>
      <c r="D118" s="13"/>
      <c r="E118" s="13" t="s">
        <v>283</v>
      </c>
      <c r="F118" s="13" t="s">
        <v>122</v>
      </c>
      <c r="G118" s="13"/>
      <c r="H118" s="552"/>
      <c r="I118" s="53"/>
      <c r="J118" s="53"/>
      <c r="K118" s="50" t="s">
        <v>122</v>
      </c>
      <c r="L118" s="46" t="s">
        <v>433</v>
      </c>
      <c r="M118" s="43">
        <v>8</v>
      </c>
      <c r="O118" s="85"/>
      <c r="X118" s="688"/>
      <c r="AL118" t="str">
        <f>SUBSTITUTE(SUBSTITUTE(SUBSTITUTE("dpa"&amp;$B118&amp;$C118&amp;$D118&amp;$E118&amp;$F118,".","_"),"(","_"),")","")</f>
        <v>dpa503_4_4_b</v>
      </c>
      <c r="AM118">
        <f>M118</f>
        <v>8</v>
      </c>
    </row>
    <row r="119" spans="2:45" ht="15" thickBot="1" x14ac:dyDescent="0.4">
      <c r="B119" s="13" t="s">
        <v>423</v>
      </c>
      <c r="C119" s="13"/>
      <c r="D119" s="13"/>
      <c r="E119" s="13" t="s">
        <v>283</v>
      </c>
      <c r="F119" s="13" t="s">
        <v>123</v>
      </c>
      <c r="G119" s="13"/>
      <c r="H119" s="552"/>
      <c r="I119" s="60"/>
      <c r="J119" s="60"/>
      <c r="K119" s="66" t="s">
        <v>123</v>
      </c>
      <c r="L119" s="56" t="s">
        <v>434</v>
      </c>
      <c r="M119" s="270">
        <v>10</v>
      </c>
      <c r="N119" s="58"/>
      <c r="O119" s="184"/>
      <c r="P119" s="58"/>
      <c r="Q119" s="58"/>
      <c r="R119" s="58"/>
      <c r="S119" s="58"/>
      <c r="T119" s="58"/>
      <c r="U119" s="58"/>
      <c r="V119" s="58"/>
      <c r="W119" s="58"/>
      <c r="X119" s="689"/>
      <c r="AL119" t="str">
        <f>SUBSTITUTE(SUBSTITUTE(SUBSTITUTE("dpa"&amp;$B119&amp;$C119&amp;$D119&amp;$E119&amp;$F119,".","_"),"(","_"),")","")</f>
        <v>dpa503_4_4_c</v>
      </c>
      <c r="AM119">
        <f>M119</f>
        <v>10</v>
      </c>
    </row>
    <row r="120" spans="2:45" ht="15" thickTop="1" x14ac:dyDescent="0.35">
      <c r="B120" s="13" t="s">
        <v>435</v>
      </c>
      <c r="C120" s="13"/>
      <c r="D120" s="13"/>
      <c r="E120" s="13"/>
      <c r="F120" s="13"/>
      <c r="G120" s="13"/>
      <c r="H120" s="552"/>
      <c r="I120" s="33">
        <v>503.5</v>
      </c>
      <c r="J120" s="53"/>
      <c r="K120" s="53"/>
      <c r="L120" s="706" t="s">
        <v>436</v>
      </c>
      <c r="M120" s="43"/>
      <c r="O120" s="4"/>
      <c r="X120" s="700"/>
      <c r="AR120" t="str">
        <f>SUBSTITUTE(SUBSTITUTE(SUBSTITUTE("dnt"&amp;$B120&amp;$C120&amp;$D120&amp;$E120&amp;$F120,".","_"),"(","_"),")","")</f>
        <v>dnt503_5</v>
      </c>
      <c r="AS120">
        <f>X120</f>
        <v>0</v>
      </c>
    </row>
    <row r="121" spans="2:45" x14ac:dyDescent="0.35">
      <c r="B121" s="13" t="s">
        <v>435</v>
      </c>
      <c r="C121" s="13"/>
      <c r="D121" s="13"/>
      <c r="E121" s="13"/>
      <c r="F121" s="13"/>
      <c r="G121" s="13"/>
      <c r="H121" s="552"/>
      <c r="I121" s="53"/>
      <c r="J121" s="53"/>
      <c r="K121" s="53"/>
      <c r="L121" s="706"/>
      <c r="M121" s="43"/>
      <c r="O121" s="4"/>
      <c r="X121" s="688"/>
    </row>
    <row r="122" spans="2:45" x14ac:dyDescent="0.35">
      <c r="B122" s="13" t="s">
        <v>435</v>
      </c>
      <c r="C122" s="13"/>
      <c r="D122" s="13"/>
      <c r="E122" s="13"/>
      <c r="F122" s="13"/>
      <c r="G122" s="13"/>
      <c r="H122" s="552"/>
      <c r="I122" s="53"/>
      <c r="J122" s="53"/>
      <c r="K122" s="53"/>
      <c r="L122" s="714" t="s">
        <v>437</v>
      </c>
      <c r="M122" s="43"/>
      <c r="O122" s="4"/>
      <c r="P122" t="b">
        <v>0</v>
      </c>
      <c r="Q122" t="b">
        <v>1</v>
      </c>
      <c r="R122" t="b">
        <v>0</v>
      </c>
      <c r="S122" t="b">
        <v>1</v>
      </c>
      <c r="T122" t="b">
        <v>0</v>
      </c>
      <c r="U122" t="str">
        <f>SUBSTITUTE(SUBSTITUTE(SUBSTITUTE("dd"&amp;B122&amp;C122&amp;D122&amp;E122&amp;F122,".","_"),"(","_"),")","")</f>
        <v>dd503_5</v>
      </c>
      <c r="W122" s="8" t="s">
        <v>834</v>
      </c>
      <c r="X122" s="688"/>
      <c r="AP122" t="str">
        <f>SUBSTITUTE(SUBSTITUTE(SUBSTITUTE("dch"&amp;$B122&amp;$C122&amp;$D122&amp;$E122&amp;$F122,".","_"),"(","_"),")","")</f>
        <v>dch503_5</v>
      </c>
      <c r="AQ122" t="str">
        <f>W122</f>
        <v>full</v>
      </c>
    </row>
    <row r="123" spans="2:45" x14ac:dyDescent="0.35">
      <c r="B123" s="13" t="s">
        <v>435</v>
      </c>
      <c r="C123" s="13"/>
      <c r="D123" s="13"/>
      <c r="E123" s="13"/>
      <c r="F123" s="13"/>
      <c r="G123" s="13"/>
      <c r="H123" s="552"/>
      <c r="I123" s="53"/>
      <c r="J123" s="53"/>
      <c r="K123" s="53"/>
      <c r="L123" s="714"/>
      <c r="M123" s="43"/>
      <c r="O123" s="4"/>
      <c r="X123" s="688"/>
    </row>
    <row r="124" spans="2:45" x14ac:dyDescent="0.35">
      <c r="B124" s="13" t="s">
        <v>435</v>
      </c>
      <c r="C124" s="13"/>
      <c r="D124" s="13"/>
      <c r="E124" s="13" t="s">
        <v>270</v>
      </c>
      <c r="F124" s="13"/>
      <c r="G124" s="13"/>
      <c r="H124" s="552"/>
      <c r="I124" s="53"/>
      <c r="J124" s="50" t="s">
        <v>270</v>
      </c>
      <c r="K124" s="53"/>
      <c r="L124" s="707" t="s">
        <v>438</v>
      </c>
      <c r="M124" s="43"/>
      <c r="O124" s="696">
        <f ca="1">S124*IFERROR(INDEX(M126:M129,MATCH(W124,INDIRECT(U124))),0)</f>
        <v>0</v>
      </c>
      <c r="P124" t="b">
        <v>0</v>
      </c>
      <c r="Q124" t="b">
        <v>1</v>
      </c>
      <c r="R124" t="b">
        <v>0</v>
      </c>
      <c r="S124" t="b">
        <f>NOT(ISBLANK(W122))</f>
        <v>1</v>
      </c>
      <c r="T124" t="b">
        <f>AND(NOT(S124),LEN(W124)&gt;0)</f>
        <v>0</v>
      </c>
      <c r="U124" t="str">
        <f>SUBSTITUTE(SUBSTITUTE(SUBSTITUTE("dd"&amp;B124&amp;C124&amp;D124&amp;E124&amp;F124,".","_"),"(","_"),")","")</f>
        <v>dd503_5_1</v>
      </c>
      <c r="W124" s="8"/>
      <c r="X124" s="688"/>
      <c r="AC124" t="b">
        <f>OR(AD124:AE124)</f>
        <v>0</v>
      </c>
      <c r="AD124" t="b">
        <f>T124</f>
        <v>0</v>
      </c>
      <c r="AN124" t="str">
        <f>SUBSTITUTE(SUBSTITUTE(SUBSTITUTE("dpc"&amp;$B124&amp;$C124&amp;$D124&amp;$E124&amp;$F124,".","_"),"(","_"),")","")</f>
        <v>dpc503_5_1</v>
      </c>
      <c r="AO124">
        <f ca="1">O124</f>
        <v>0</v>
      </c>
      <c r="AP124" t="str">
        <f>SUBSTITUTE(SUBSTITUTE(SUBSTITUTE("dch"&amp;$B124&amp;$C124&amp;$D124&amp;$E124&amp;$F124,".","_"),"(","_"),")","")</f>
        <v>dch503_5_1</v>
      </c>
      <c r="AQ124">
        <f>W124</f>
        <v>0</v>
      </c>
      <c r="AR124" t="str">
        <f>SUBSTITUTE(SUBSTITUTE(SUBSTITUTE("dnt"&amp;$B124&amp;$C124&amp;$D124&amp;$E124&amp;$F124,".","_"),"(","_"),")","")</f>
        <v>dnt503_5_1</v>
      </c>
      <c r="AS124">
        <f>X124</f>
        <v>0</v>
      </c>
    </row>
    <row r="125" spans="2:45" x14ac:dyDescent="0.35">
      <c r="B125" s="13" t="s">
        <v>435</v>
      </c>
      <c r="C125" s="13"/>
      <c r="D125" s="13"/>
      <c r="E125" s="13" t="s">
        <v>270</v>
      </c>
      <c r="F125" s="13"/>
      <c r="G125" s="13"/>
      <c r="H125" s="552"/>
      <c r="I125" s="53"/>
      <c r="J125" s="50"/>
      <c r="K125" s="53"/>
      <c r="L125" s="707"/>
      <c r="M125" s="43"/>
      <c r="O125" s="696"/>
      <c r="X125" s="688"/>
    </row>
    <row r="126" spans="2:45" x14ac:dyDescent="0.35">
      <c r="B126" s="13" t="s">
        <v>435</v>
      </c>
      <c r="C126" s="13"/>
      <c r="D126" s="13"/>
      <c r="E126" s="13" t="s">
        <v>270</v>
      </c>
      <c r="F126" s="13" t="s">
        <v>121</v>
      </c>
      <c r="G126" s="13"/>
      <c r="H126" s="552"/>
      <c r="I126" s="53"/>
      <c r="J126" s="53"/>
      <c r="K126" s="50" t="s">
        <v>121</v>
      </c>
      <c r="L126" s="46" t="s">
        <v>439</v>
      </c>
      <c r="M126" s="43">
        <f ca="1">4*IFERROR(INDEX({0.5,0.5,1},MATCH($W$122,INDIRECT($U$122),0)),0)</f>
        <v>4</v>
      </c>
      <c r="O126" s="85"/>
      <c r="X126" s="688"/>
      <c r="AL126" t="str">
        <f t="shared" ref="AL126:AL130" si="15">SUBSTITUTE(SUBSTITUTE(SUBSTITUTE("dpa"&amp;$B126&amp;$C126&amp;$D126&amp;$E126&amp;$F126,".","_"),"(","_"),")","")</f>
        <v>dpa503_5_1_a</v>
      </c>
      <c r="AM126">
        <f ca="1">M126</f>
        <v>4</v>
      </c>
    </row>
    <row r="127" spans="2:45" x14ac:dyDescent="0.35">
      <c r="B127" s="13" t="s">
        <v>435</v>
      </c>
      <c r="C127" s="13"/>
      <c r="D127" s="13"/>
      <c r="E127" s="13" t="s">
        <v>270</v>
      </c>
      <c r="F127" s="13" t="s">
        <v>122</v>
      </c>
      <c r="G127" s="13"/>
      <c r="H127" s="552"/>
      <c r="I127" s="53"/>
      <c r="J127" s="53"/>
      <c r="K127" s="50" t="s">
        <v>122</v>
      </c>
      <c r="L127" s="46" t="s">
        <v>440</v>
      </c>
      <c r="M127" s="43">
        <f ca="1">3*IFERROR(INDEX({0.5,0.5,1},MATCH($W$122,INDIRECT($U$122),0)),0)</f>
        <v>3</v>
      </c>
      <c r="O127" s="85"/>
      <c r="X127" s="688"/>
      <c r="AL127" t="str">
        <f t="shared" si="15"/>
        <v>dpa503_5_1_b</v>
      </c>
      <c r="AM127">
        <f ca="1">M127</f>
        <v>3</v>
      </c>
    </row>
    <row r="128" spans="2:45" x14ac:dyDescent="0.35">
      <c r="B128" s="13" t="s">
        <v>435</v>
      </c>
      <c r="C128" s="13"/>
      <c r="D128" s="13"/>
      <c r="E128" s="13" t="s">
        <v>270</v>
      </c>
      <c r="F128" s="13" t="s">
        <v>123</v>
      </c>
      <c r="G128" s="13"/>
      <c r="H128" s="552"/>
      <c r="I128" s="53"/>
      <c r="J128" s="53"/>
      <c r="K128" s="52" t="s">
        <v>123</v>
      </c>
      <c r="L128" s="46" t="s">
        <v>441</v>
      </c>
      <c r="M128" s="43">
        <f ca="1">2*IFERROR(INDEX({0.5,0.5,1},MATCH($W$122,INDIRECT($U$122),0)),0)</f>
        <v>2</v>
      </c>
      <c r="O128" s="85"/>
      <c r="X128" s="688"/>
      <c r="AL128" t="str">
        <f t="shared" si="15"/>
        <v>dpa503_5_1_c</v>
      </c>
      <c r="AM128">
        <f ca="1">M128</f>
        <v>2</v>
      </c>
    </row>
    <row r="129" spans="2:45" x14ac:dyDescent="0.35">
      <c r="B129" s="13" t="s">
        <v>435</v>
      </c>
      <c r="C129" s="13"/>
      <c r="D129" s="13"/>
      <c r="E129" s="13" t="s">
        <v>270</v>
      </c>
      <c r="F129" s="13" t="s">
        <v>420</v>
      </c>
      <c r="G129" s="13"/>
      <c r="H129" s="552"/>
      <c r="I129" s="53"/>
      <c r="J129" s="118"/>
      <c r="K129" s="120" t="s">
        <v>420</v>
      </c>
      <c r="L129" s="116" t="s">
        <v>442</v>
      </c>
      <c r="M129" s="198">
        <f ca="1">1*IFERROR(INDEX({0.5,0.5,1},MATCH($W$122,INDIRECT($U$122),0)),0)</f>
        <v>1</v>
      </c>
      <c r="N129" s="119"/>
      <c r="O129" s="342"/>
      <c r="X129" s="688"/>
      <c r="AL129" t="str">
        <f t="shared" si="15"/>
        <v>dpa503_5_1_d</v>
      </c>
      <c r="AM129">
        <f ca="1">M129</f>
        <v>1</v>
      </c>
    </row>
    <row r="130" spans="2:45" x14ac:dyDescent="0.35">
      <c r="B130" s="13" t="s">
        <v>435</v>
      </c>
      <c r="C130" s="13"/>
      <c r="D130" s="13"/>
      <c r="E130" s="13" t="s">
        <v>272</v>
      </c>
      <c r="F130" s="13"/>
      <c r="G130" s="13"/>
      <c r="H130" s="552"/>
      <c r="I130" s="53"/>
      <c r="J130" s="50" t="s">
        <v>272</v>
      </c>
      <c r="K130" s="53"/>
      <c r="L130" s="707" t="s">
        <v>443</v>
      </c>
      <c r="M130" s="690">
        <f ca="1">7*IFERROR(INDEX({0.5,0.5,1},MATCH($W$122,INDIRECT($U$122),0)),0)</f>
        <v>7</v>
      </c>
      <c r="O130" s="696">
        <f ca="1">M130*S130*W130</f>
        <v>7</v>
      </c>
      <c r="P130" t="b">
        <v>0</v>
      </c>
      <c r="Q130" t="b">
        <v>1</v>
      </c>
      <c r="R130" t="b">
        <v>0</v>
      </c>
      <c r="S130" t="b">
        <f>NOT(ISBLANK(W122))</f>
        <v>1</v>
      </c>
      <c r="T130" t="b">
        <f>AND(NOT(S130),W130=TRUE)</f>
        <v>0</v>
      </c>
      <c r="W130" s="17" t="b">
        <v>1</v>
      </c>
      <c r="X130" s="688"/>
      <c r="AC130" t="b">
        <f>OR(AD130:AE130)</f>
        <v>0</v>
      </c>
      <c r="AD130" t="b">
        <f>T130</f>
        <v>0</v>
      </c>
      <c r="AL130" t="str">
        <f t="shared" si="15"/>
        <v>dpa503_5_2</v>
      </c>
      <c r="AM130">
        <f ca="1">M130</f>
        <v>7</v>
      </c>
      <c r="AN130" t="str">
        <f>SUBSTITUTE(SUBSTITUTE(SUBSTITUTE("dpc"&amp;$B130&amp;$C130&amp;$D130&amp;$E130&amp;$F130,".","_"),"(","_"),")","")</f>
        <v>dpc503_5_2</v>
      </c>
      <c r="AO130">
        <f ca="1">O130</f>
        <v>7</v>
      </c>
      <c r="AP130" t="str">
        <f>SUBSTITUTE(SUBSTITUTE(SUBSTITUTE("dch"&amp;$B130&amp;$C130&amp;$D130&amp;$E130&amp;$F130,".","_"),"(","_"),")","")</f>
        <v>dch503_5_2</v>
      </c>
      <c r="AQ130" t="b">
        <f>W130</f>
        <v>1</v>
      </c>
      <c r="AR130" t="str">
        <f>SUBSTITUTE(SUBSTITUTE(SUBSTITUTE("dnt"&amp;$B130&amp;$C130&amp;$D130&amp;$E130&amp;$F130,".","_"),"(","_"),")","")</f>
        <v>dnt503_5_2</v>
      </c>
      <c r="AS130">
        <f>X130</f>
        <v>0</v>
      </c>
    </row>
    <row r="131" spans="2:45" x14ac:dyDescent="0.35">
      <c r="B131" s="13" t="s">
        <v>435</v>
      </c>
      <c r="C131" s="13"/>
      <c r="D131" s="13"/>
      <c r="E131" s="13" t="s">
        <v>272</v>
      </c>
      <c r="F131" s="13"/>
      <c r="G131" s="13"/>
      <c r="H131" s="552"/>
      <c r="I131" s="53"/>
      <c r="J131" s="118"/>
      <c r="K131" s="118"/>
      <c r="L131" s="709"/>
      <c r="M131" s="691"/>
      <c r="N131" s="119"/>
      <c r="O131" s="697"/>
      <c r="X131" s="688"/>
    </row>
    <row r="132" spans="2:45" x14ac:dyDescent="0.35">
      <c r="B132" s="13" t="s">
        <v>435</v>
      </c>
      <c r="C132" s="13"/>
      <c r="D132" s="13"/>
      <c r="E132" s="13" t="s">
        <v>274</v>
      </c>
      <c r="F132" s="13"/>
      <c r="G132" s="13"/>
      <c r="H132" s="552"/>
      <c r="I132" s="53"/>
      <c r="J132" s="50" t="s">
        <v>274</v>
      </c>
      <c r="K132" s="53"/>
      <c r="L132" s="707" t="s">
        <v>444</v>
      </c>
      <c r="M132" s="690">
        <f ca="1">3*IFERROR(INDEX({0.5,0.5,1},MATCH($W$122,INDIRECT($U$122),0)),0)</f>
        <v>3</v>
      </c>
      <c r="O132" s="696">
        <f ca="1">M132*S132*W132</f>
        <v>0</v>
      </c>
      <c r="P132" t="b">
        <v>0</v>
      </c>
      <c r="Q132" t="b">
        <v>1</v>
      </c>
      <c r="R132" t="b">
        <v>0</v>
      </c>
      <c r="S132" t="b">
        <f>NOT(ISBLANK(W122))</f>
        <v>1</v>
      </c>
      <c r="T132" t="b">
        <f>AND(NOT(S132),W132=TRUE)</f>
        <v>0</v>
      </c>
      <c r="W132" s="17"/>
      <c r="X132" s="688"/>
      <c r="AC132" t="b">
        <f>OR(AD132:AE132)</f>
        <v>0</v>
      </c>
      <c r="AD132" t="b">
        <f>T132</f>
        <v>0</v>
      </c>
      <c r="AL132" t="str">
        <f>SUBSTITUTE(SUBSTITUTE(SUBSTITUTE("dpa"&amp;$B132&amp;$C132&amp;$D132&amp;$E132&amp;$F132,".","_"),"(","_"),")","")</f>
        <v>dpa503_5_3</v>
      </c>
      <c r="AM132">
        <f ca="1">M132</f>
        <v>3</v>
      </c>
      <c r="AN132" t="str">
        <f>SUBSTITUTE(SUBSTITUTE(SUBSTITUTE("dpc"&amp;$B132&amp;$C132&amp;$D132&amp;$E132&amp;$F132,".","_"),"(","_"),")","")</f>
        <v>dpc503_5_3</v>
      </c>
      <c r="AO132">
        <f ca="1">O132</f>
        <v>0</v>
      </c>
      <c r="AP132" t="str">
        <f>SUBSTITUTE(SUBSTITUTE(SUBSTITUTE("dch"&amp;$B132&amp;$C132&amp;$D132&amp;$E132&amp;$F132,".","_"),"(","_"),")","")</f>
        <v>dch503_5_3</v>
      </c>
      <c r="AQ132">
        <f>W132</f>
        <v>0</v>
      </c>
      <c r="AR132" t="str">
        <f>SUBSTITUTE(SUBSTITUTE(SUBSTITUTE("dnt"&amp;$B132&amp;$C132&amp;$D132&amp;$E132&amp;$F132,".","_"),"(","_"),")","")</f>
        <v>dnt503_5_3</v>
      </c>
      <c r="AS132">
        <f>X132</f>
        <v>0</v>
      </c>
    </row>
    <row r="133" spans="2:45" x14ac:dyDescent="0.35">
      <c r="B133" s="13" t="s">
        <v>435</v>
      </c>
      <c r="C133" s="13"/>
      <c r="D133" s="13"/>
      <c r="E133" s="13" t="s">
        <v>274</v>
      </c>
      <c r="F133" s="13"/>
      <c r="G133" s="13"/>
      <c r="H133" s="552"/>
      <c r="I133" s="53"/>
      <c r="J133" s="118"/>
      <c r="K133" s="118"/>
      <c r="L133" s="709"/>
      <c r="M133" s="691"/>
      <c r="N133" s="119"/>
      <c r="O133" s="697"/>
      <c r="X133" s="688"/>
    </row>
    <row r="134" spans="2:45" x14ac:dyDescent="0.35">
      <c r="B134" s="13" t="s">
        <v>435</v>
      </c>
      <c r="C134" s="13"/>
      <c r="D134" s="13"/>
      <c r="E134" s="13" t="s">
        <v>283</v>
      </c>
      <c r="F134" s="13"/>
      <c r="G134" s="13"/>
      <c r="H134" s="552"/>
      <c r="I134" s="53"/>
      <c r="J134" s="50" t="s">
        <v>283</v>
      </c>
      <c r="K134" s="53"/>
      <c r="L134" s="707" t="s">
        <v>445</v>
      </c>
      <c r="M134" s="690">
        <f ca="1">2*IFERROR(INDEX({0.5,0.5,1},MATCH($W$122,INDIRECT($U$122),0)),0)</f>
        <v>2</v>
      </c>
      <c r="O134" s="696">
        <f ca="1">M134*S134*W134</f>
        <v>0</v>
      </c>
      <c r="P134" t="b">
        <v>0</v>
      </c>
      <c r="Q134" t="b">
        <v>1</v>
      </c>
      <c r="R134" t="b">
        <v>0</v>
      </c>
      <c r="S134" t="b">
        <f>NOT(ISBLANK(W122))</f>
        <v>1</v>
      </c>
      <c r="T134" t="b">
        <f>AND(NOT(S134),W134=TRUE)</f>
        <v>0</v>
      </c>
      <c r="W134" s="17"/>
      <c r="X134" s="688"/>
      <c r="AC134" t="b">
        <f>OR(AD134:AE134)</f>
        <v>0</v>
      </c>
      <c r="AD134" t="b">
        <f>T134</f>
        <v>0</v>
      </c>
      <c r="AL134" t="str">
        <f>SUBSTITUTE(SUBSTITUTE(SUBSTITUTE("dpa"&amp;$B134&amp;$C134&amp;$D134&amp;$E134&amp;$F134,".","_"),"(","_"),")","")</f>
        <v>dpa503_5_4</v>
      </c>
      <c r="AM134">
        <f ca="1">M134</f>
        <v>2</v>
      </c>
      <c r="AN134" t="str">
        <f>SUBSTITUTE(SUBSTITUTE(SUBSTITUTE("dpc"&amp;$B134&amp;$C134&amp;$D134&amp;$E134&amp;$F134,".","_"),"(","_"),")","")</f>
        <v>dpc503_5_4</v>
      </c>
      <c r="AO134">
        <f ca="1">O134</f>
        <v>0</v>
      </c>
      <c r="AP134" t="str">
        <f>SUBSTITUTE(SUBSTITUTE(SUBSTITUTE("dch"&amp;$B134&amp;$C134&amp;$D134&amp;$E134&amp;$F134,".","_"),"(","_"),")","")</f>
        <v>dch503_5_4</v>
      </c>
      <c r="AQ134">
        <f>W134</f>
        <v>0</v>
      </c>
      <c r="AR134" t="str">
        <f>SUBSTITUTE(SUBSTITUTE(SUBSTITUTE("dnt"&amp;$B134&amp;$C134&amp;$D134&amp;$E134&amp;$F134,".","_"),"(","_"),")","")</f>
        <v>dnt503_5_4</v>
      </c>
      <c r="AS134">
        <f>X134</f>
        <v>0</v>
      </c>
    </row>
    <row r="135" spans="2:45" x14ac:dyDescent="0.35">
      <c r="B135" s="13" t="s">
        <v>435</v>
      </c>
      <c r="C135" s="13"/>
      <c r="D135" s="13"/>
      <c r="E135" s="13" t="s">
        <v>283</v>
      </c>
      <c r="F135" s="13"/>
      <c r="G135" s="13"/>
      <c r="H135" s="552"/>
      <c r="I135" s="53"/>
      <c r="J135" s="118"/>
      <c r="K135" s="118"/>
      <c r="L135" s="709"/>
      <c r="M135" s="691"/>
      <c r="N135" s="119"/>
      <c r="O135" s="697"/>
      <c r="X135" s="688"/>
    </row>
    <row r="136" spans="2:45" x14ac:dyDescent="0.35">
      <c r="B136" s="13" t="s">
        <v>435</v>
      </c>
      <c r="C136" s="13"/>
      <c r="D136" s="13"/>
      <c r="E136" s="13" t="s">
        <v>289</v>
      </c>
      <c r="F136" s="13"/>
      <c r="G136" s="13"/>
      <c r="H136" s="552"/>
      <c r="I136" s="53"/>
      <c r="J136" s="50" t="s">
        <v>289</v>
      </c>
      <c r="K136" s="53"/>
      <c r="L136" s="46" t="s">
        <v>446</v>
      </c>
      <c r="M136" s="43"/>
      <c r="O136" s="85">
        <f ca="1">S136*IFERROR(INDEX(M137:M140,MATCH(W136,INDIRECT(U136))),0)</f>
        <v>0</v>
      </c>
      <c r="P136" t="b">
        <v>0</v>
      </c>
      <c r="Q136" t="b">
        <v>1</v>
      </c>
      <c r="R136" t="b">
        <v>0</v>
      </c>
      <c r="S136" t="b">
        <f>NOT(ISBLANK(W122))</f>
        <v>1</v>
      </c>
      <c r="T136" t="b">
        <f>AND(NOT(S136),LEN(W136)&gt;0)</f>
        <v>0</v>
      </c>
      <c r="U136" t="str">
        <f>SUBSTITUTE(SUBSTITUTE(SUBSTITUTE("dd"&amp;B136&amp;C136&amp;D136&amp;E136&amp;F136,".","_"),"(","_"),")","")</f>
        <v>dd503_5_5</v>
      </c>
      <c r="W136" s="8"/>
      <c r="X136" s="688"/>
      <c r="AC136" t="b">
        <f>OR(AD136:AE136)</f>
        <v>0</v>
      </c>
      <c r="AD136" t="b">
        <f>T136</f>
        <v>0</v>
      </c>
      <c r="AN136" t="str">
        <f>SUBSTITUTE(SUBSTITUTE(SUBSTITUTE("dpc"&amp;$B136&amp;$C136&amp;$D136&amp;$E136&amp;$F136,".","_"),"(","_"),")","")</f>
        <v>dpc503_5_5</v>
      </c>
      <c r="AO136">
        <f ca="1">O136</f>
        <v>0</v>
      </c>
      <c r="AP136" t="str">
        <f>SUBSTITUTE(SUBSTITUTE(SUBSTITUTE("dch"&amp;$B136&amp;$C136&amp;$D136&amp;$E136&amp;$F136,".","_"),"(","_"),")","")</f>
        <v>dch503_5_5</v>
      </c>
      <c r="AQ136">
        <f>W136</f>
        <v>0</v>
      </c>
      <c r="AR136" t="str">
        <f>SUBSTITUTE(SUBSTITUTE(SUBSTITUTE("dnt"&amp;$B136&amp;$C136&amp;$D136&amp;$E136&amp;$F136,".","_"),"(","_"),")","")</f>
        <v>dnt503_5_5</v>
      </c>
      <c r="AS136">
        <f>X136</f>
        <v>0</v>
      </c>
    </row>
    <row r="137" spans="2:45" x14ac:dyDescent="0.35">
      <c r="B137" s="13" t="s">
        <v>435</v>
      </c>
      <c r="C137" s="13"/>
      <c r="D137" s="13"/>
      <c r="E137" s="13" t="s">
        <v>289</v>
      </c>
      <c r="F137" s="13" t="s">
        <v>121</v>
      </c>
      <c r="G137" s="13"/>
      <c r="H137" s="552"/>
      <c r="I137" s="53"/>
      <c r="J137" s="53"/>
      <c r="K137" s="50" t="s">
        <v>121</v>
      </c>
      <c r="L137" s="46" t="s">
        <v>447</v>
      </c>
      <c r="M137" s="43">
        <f ca="1">5*IFERROR(INDEX({0.5,0.5,1},MATCH($W$122,INDIRECT($U$122),0)),0)</f>
        <v>5</v>
      </c>
      <c r="O137" s="85"/>
      <c r="X137" s="688"/>
      <c r="AL137" t="str">
        <f t="shared" ref="AL137:AL142" si="16">SUBSTITUTE(SUBSTITUTE(SUBSTITUTE("dpa"&amp;$B137&amp;$C137&amp;$D137&amp;$E137&amp;$F137,".","_"),"(","_"),")","")</f>
        <v>dpa503_5_5_a</v>
      </c>
      <c r="AM137">
        <f t="shared" ref="AM137:AM142" ca="1" si="17">M137</f>
        <v>5</v>
      </c>
    </row>
    <row r="138" spans="2:45" x14ac:dyDescent="0.35">
      <c r="B138" s="13" t="s">
        <v>435</v>
      </c>
      <c r="C138" s="13"/>
      <c r="D138" s="13"/>
      <c r="E138" s="13" t="s">
        <v>289</v>
      </c>
      <c r="F138" s="13" t="s">
        <v>122</v>
      </c>
      <c r="G138" s="13"/>
      <c r="H138" s="552"/>
      <c r="I138" s="53"/>
      <c r="J138" s="53"/>
      <c r="K138" s="50" t="s">
        <v>122</v>
      </c>
      <c r="L138" s="46" t="s">
        <v>448</v>
      </c>
      <c r="M138" s="43">
        <f ca="1">4*IFERROR(INDEX({0.5,0.5,1},MATCH($W$122,INDIRECT($U$122),0)),0)</f>
        <v>4</v>
      </c>
      <c r="O138" s="85"/>
      <c r="X138" s="688"/>
      <c r="AL138" t="str">
        <f t="shared" si="16"/>
        <v>dpa503_5_5_b</v>
      </c>
      <c r="AM138">
        <f t="shared" ca="1" si="17"/>
        <v>4</v>
      </c>
    </row>
    <row r="139" spans="2:45" x14ac:dyDescent="0.35">
      <c r="B139" s="13" t="s">
        <v>435</v>
      </c>
      <c r="C139" s="13"/>
      <c r="D139" s="13"/>
      <c r="E139" s="13" t="s">
        <v>289</v>
      </c>
      <c r="F139" s="13" t="s">
        <v>123</v>
      </c>
      <c r="G139" s="13"/>
      <c r="H139" s="552"/>
      <c r="I139" s="53"/>
      <c r="J139" s="53"/>
      <c r="K139" s="52" t="s">
        <v>123</v>
      </c>
      <c r="L139" s="46" t="s">
        <v>449</v>
      </c>
      <c r="M139" s="43">
        <f ca="1">3*IFERROR(INDEX({0.5,0.5,1},MATCH($W$122,INDIRECT($U$122),0)),0)</f>
        <v>3</v>
      </c>
      <c r="O139" s="85"/>
      <c r="X139" s="688"/>
      <c r="AL139" t="str">
        <f t="shared" si="16"/>
        <v>dpa503_5_5_c</v>
      </c>
      <c r="AM139">
        <f t="shared" ca="1" si="17"/>
        <v>3</v>
      </c>
    </row>
    <row r="140" spans="2:45" x14ac:dyDescent="0.35">
      <c r="B140" s="13" t="s">
        <v>435</v>
      </c>
      <c r="C140" s="13"/>
      <c r="D140" s="13"/>
      <c r="E140" s="13" t="s">
        <v>289</v>
      </c>
      <c r="F140" s="13" t="s">
        <v>420</v>
      </c>
      <c r="G140" s="13"/>
      <c r="H140" s="552"/>
      <c r="I140" s="53"/>
      <c r="J140" s="118"/>
      <c r="K140" s="120" t="s">
        <v>420</v>
      </c>
      <c r="L140" s="116" t="s">
        <v>450</v>
      </c>
      <c r="M140" s="198">
        <f ca="1">2*IFERROR(INDEX({0.5,0.5,1},MATCH($W$122,INDIRECT($U$122),0)),0)</f>
        <v>2</v>
      </c>
      <c r="N140" s="119"/>
      <c r="O140" s="342"/>
      <c r="X140" s="688"/>
      <c r="AL140" t="str">
        <f t="shared" si="16"/>
        <v>dpa503_5_5_d</v>
      </c>
      <c r="AM140">
        <f t="shared" ca="1" si="17"/>
        <v>2</v>
      </c>
    </row>
    <row r="141" spans="2:45" x14ac:dyDescent="0.35">
      <c r="B141" s="13" t="s">
        <v>435</v>
      </c>
      <c r="C141" s="13"/>
      <c r="D141" s="13"/>
      <c r="E141" s="13" t="s">
        <v>291</v>
      </c>
      <c r="F141" s="13"/>
      <c r="G141" s="13"/>
      <c r="H141" s="552"/>
      <c r="I141" s="53"/>
      <c r="J141" s="115" t="s">
        <v>291</v>
      </c>
      <c r="K141" s="118"/>
      <c r="L141" s="116" t="s">
        <v>451</v>
      </c>
      <c r="M141" s="198">
        <f ca="1">5*IFERROR(INDEX({0.5,0.5,1},MATCH($W$122,INDIRECT($U$122),0)),0)</f>
        <v>5</v>
      </c>
      <c r="N141" s="119"/>
      <c r="O141" s="342">
        <f ca="1">M141*S141*W141</f>
        <v>5</v>
      </c>
      <c r="P141" t="b">
        <v>0</v>
      </c>
      <c r="Q141" t="b">
        <v>1</v>
      </c>
      <c r="R141" t="b">
        <v>0</v>
      </c>
      <c r="S141" t="b">
        <f>NOT(ISBLANK(W122))</f>
        <v>1</v>
      </c>
      <c r="T141" t="b">
        <f>AND(NOT(S141),W141=TRUE)</f>
        <v>0</v>
      </c>
      <c r="W141" s="17" t="b">
        <v>1</v>
      </c>
      <c r="X141" s="39"/>
      <c r="AC141" t="b">
        <f>OR(AD141:AE141)</f>
        <v>0</v>
      </c>
      <c r="AD141" t="b">
        <f>T141</f>
        <v>0</v>
      </c>
      <c r="AL141" t="str">
        <f t="shared" si="16"/>
        <v>dpa503_5_6</v>
      </c>
      <c r="AM141">
        <f t="shared" ca="1" si="17"/>
        <v>5</v>
      </c>
      <c r="AN141" t="str">
        <f t="shared" ref="AN141:AN142" si="18">SUBSTITUTE(SUBSTITUTE(SUBSTITUTE("dpc"&amp;$B141&amp;$C141&amp;$D141&amp;$E141&amp;$F141,".","_"),"(","_"),")","")</f>
        <v>dpc503_5_6</v>
      </c>
      <c r="AO141">
        <f ca="1">O141</f>
        <v>5</v>
      </c>
      <c r="AP141" t="str">
        <f t="shared" ref="AP141:AP142" si="19">SUBSTITUTE(SUBSTITUTE(SUBSTITUTE("dch"&amp;$B141&amp;$C141&amp;$D141&amp;$E141&amp;$F141,".","_"),"(","_"),")","")</f>
        <v>dch503_5_6</v>
      </c>
      <c r="AQ141" t="b">
        <f>W141</f>
        <v>1</v>
      </c>
      <c r="AR141" t="str">
        <f>SUBSTITUTE(SUBSTITUTE(SUBSTITUTE("dnt"&amp;$B141&amp;$C141&amp;$D141&amp;$E141&amp;$F141,".","_"),"(","_"),")","")</f>
        <v>dnt503_5_6</v>
      </c>
      <c r="AS141">
        <f>X141</f>
        <v>0</v>
      </c>
    </row>
    <row r="142" spans="2:45" x14ac:dyDescent="0.35">
      <c r="B142" s="13" t="s">
        <v>435</v>
      </c>
      <c r="C142" s="13"/>
      <c r="D142" s="13"/>
      <c r="E142" s="13" t="s">
        <v>403</v>
      </c>
      <c r="F142" s="13"/>
      <c r="G142" s="13"/>
      <c r="H142" s="552"/>
      <c r="I142" s="53"/>
      <c r="J142" s="50" t="s">
        <v>403</v>
      </c>
      <c r="K142" s="53"/>
      <c r="L142" s="707" t="s">
        <v>452</v>
      </c>
      <c r="M142" s="690">
        <f ca="1">5*IFERROR(INDEX({0.5,0.5,1},MATCH($W$122,INDIRECT($U$122),0)),0)</f>
        <v>5</v>
      </c>
      <c r="O142" s="696">
        <f ca="1">M142*S142*W142</f>
        <v>0</v>
      </c>
      <c r="P142" t="b">
        <v>0</v>
      </c>
      <c r="Q142" t="b">
        <v>1</v>
      </c>
      <c r="R142" t="b">
        <v>0</v>
      </c>
      <c r="S142" t="b">
        <f>NOT(ISBLANK(W122))</f>
        <v>1</v>
      </c>
      <c r="T142" t="b">
        <f>AND(NOT(S142),W142=TRUE)</f>
        <v>0</v>
      </c>
      <c r="W142" s="17"/>
      <c r="X142" s="688"/>
      <c r="AC142" t="b">
        <f>OR(AD142:AE142)</f>
        <v>0</v>
      </c>
      <c r="AD142" t="b">
        <f>T142</f>
        <v>0</v>
      </c>
      <c r="AL142" t="str">
        <f t="shared" si="16"/>
        <v>dpa503_5_7</v>
      </c>
      <c r="AM142">
        <f t="shared" ca="1" si="17"/>
        <v>5</v>
      </c>
      <c r="AN142" t="str">
        <f t="shared" si="18"/>
        <v>dpc503_5_7</v>
      </c>
      <c r="AO142">
        <f ca="1">O142</f>
        <v>0</v>
      </c>
      <c r="AP142" t="str">
        <f t="shared" si="19"/>
        <v>dch503_5_7</v>
      </c>
      <c r="AQ142">
        <f>W142</f>
        <v>0</v>
      </c>
      <c r="AR142" t="str">
        <f>SUBSTITUTE(SUBSTITUTE(SUBSTITUTE("dnt"&amp;$B142&amp;$C142&amp;$D142&amp;$E142&amp;$F142,".","_"),"(","_"),")","")</f>
        <v>dnt503_5_7</v>
      </c>
      <c r="AS142">
        <f>X142</f>
        <v>0</v>
      </c>
    </row>
    <row r="143" spans="2:45" x14ac:dyDescent="0.35">
      <c r="B143" s="13" t="s">
        <v>435</v>
      </c>
      <c r="C143" s="13"/>
      <c r="D143" s="13"/>
      <c r="E143" s="13" t="s">
        <v>403</v>
      </c>
      <c r="F143" s="13"/>
      <c r="G143" s="13"/>
      <c r="H143" s="552"/>
      <c r="I143" s="53"/>
      <c r="J143" s="53"/>
      <c r="K143" s="53"/>
      <c r="L143" s="707"/>
      <c r="M143" s="690"/>
      <c r="O143" s="696"/>
      <c r="X143" s="688"/>
    </row>
    <row r="144" spans="2:45" x14ac:dyDescent="0.35">
      <c r="B144" s="13" t="s">
        <v>435</v>
      </c>
      <c r="C144" s="13"/>
      <c r="D144" s="13"/>
      <c r="E144" s="13" t="s">
        <v>403</v>
      </c>
      <c r="F144" s="13"/>
      <c r="G144" s="13"/>
      <c r="H144" s="552"/>
      <c r="I144" s="53"/>
      <c r="J144" s="53"/>
      <c r="K144" s="53"/>
      <c r="L144" s="707"/>
      <c r="M144" s="690"/>
      <c r="O144" s="696"/>
      <c r="X144" s="688"/>
    </row>
    <row r="145" spans="2:45" x14ac:dyDescent="0.35">
      <c r="B145" s="13" t="s">
        <v>435</v>
      </c>
      <c r="C145" s="13"/>
      <c r="D145" s="13"/>
      <c r="E145" s="13" t="s">
        <v>403</v>
      </c>
      <c r="F145" s="13"/>
      <c r="G145" s="13"/>
      <c r="H145" s="552"/>
      <c r="I145" s="53"/>
      <c r="J145" s="53"/>
      <c r="K145" s="53"/>
      <c r="L145" s="707"/>
      <c r="M145" s="690"/>
      <c r="O145" s="696"/>
      <c r="X145" s="688"/>
    </row>
    <row r="146" spans="2:45" x14ac:dyDescent="0.35">
      <c r="B146" s="13" t="s">
        <v>435</v>
      </c>
      <c r="C146" s="13"/>
      <c r="D146" s="13"/>
      <c r="E146" s="13" t="s">
        <v>403</v>
      </c>
      <c r="F146" s="13"/>
      <c r="G146" s="13"/>
      <c r="H146" s="552"/>
      <c r="I146" s="53"/>
      <c r="J146" s="118"/>
      <c r="K146" s="118"/>
      <c r="L146" s="709"/>
      <c r="M146" s="691"/>
      <c r="N146" s="119"/>
      <c r="O146" s="697"/>
      <c r="X146" s="688"/>
    </row>
    <row r="147" spans="2:45" x14ac:dyDescent="0.35">
      <c r="B147" s="13" t="s">
        <v>435</v>
      </c>
      <c r="C147" s="13"/>
      <c r="D147" s="13"/>
      <c r="E147" s="13" t="s">
        <v>453</v>
      </c>
      <c r="F147" s="13"/>
      <c r="G147" s="13"/>
      <c r="H147" s="552"/>
      <c r="I147" s="53"/>
      <c r="J147" s="50" t="s">
        <v>453</v>
      </c>
      <c r="K147" s="53"/>
      <c r="L147" s="707" t="s">
        <v>454</v>
      </c>
      <c r="M147" s="690">
        <f ca="1">5*IFERROR(INDEX({0.5,0.5,1},MATCH($W$122,INDIRECT($U$122),0)),0)</f>
        <v>5</v>
      </c>
      <c r="O147" s="696">
        <f ca="1">M147*S147*W147</f>
        <v>0</v>
      </c>
      <c r="P147" t="b">
        <v>0</v>
      </c>
      <c r="Q147" t="b">
        <v>1</v>
      </c>
      <c r="R147" t="b">
        <v>0</v>
      </c>
      <c r="S147" t="b">
        <f>NOT(ISBLANK(W122))</f>
        <v>1</v>
      </c>
      <c r="T147" t="b">
        <f>AND(NOT(S147),W147=TRUE)</f>
        <v>0</v>
      </c>
      <c r="W147" s="17"/>
      <c r="X147" s="688"/>
      <c r="AC147" t="b">
        <f>OR(AD147:AE147)</f>
        <v>0</v>
      </c>
      <c r="AD147" t="b">
        <f>T147</f>
        <v>0</v>
      </c>
      <c r="AL147" t="str">
        <f>SUBSTITUTE(SUBSTITUTE(SUBSTITUTE("dpa"&amp;$B147&amp;$C147&amp;$D147&amp;$E147&amp;$F147,".","_"),"(","_"),")","")</f>
        <v>dpa503_5_8</v>
      </c>
      <c r="AM147">
        <f ca="1">M147</f>
        <v>5</v>
      </c>
      <c r="AN147" t="str">
        <f>SUBSTITUTE(SUBSTITUTE(SUBSTITUTE("dpc"&amp;$B147&amp;$C147&amp;$D147&amp;$E147&amp;$F147,".","_"),"(","_"),")","")</f>
        <v>dpc503_5_8</v>
      </c>
      <c r="AO147">
        <f ca="1">O147</f>
        <v>0</v>
      </c>
      <c r="AP147" t="str">
        <f>SUBSTITUTE(SUBSTITUTE(SUBSTITUTE("dch"&amp;$B147&amp;$C147&amp;$D147&amp;$E147&amp;$F147,".","_"),"(","_"),")","")</f>
        <v>dch503_5_8</v>
      </c>
      <c r="AQ147">
        <f>W147</f>
        <v>0</v>
      </c>
      <c r="AR147" t="str">
        <f>SUBSTITUTE(SUBSTITUTE(SUBSTITUTE("dnt"&amp;$B147&amp;$C147&amp;$D147&amp;$E147&amp;$F147,".","_"),"(","_"),")","")</f>
        <v>dnt503_5_8</v>
      </c>
      <c r="AS147">
        <f>X147</f>
        <v>0</v>
      </c>
    </row>
    <row r="148" spans="2:45" x14ac:dyDescent="0.35">
      <c r="B148" s="13" t="s">
        <v>435</v>
      </c>
      <c r="C148" s="13"/>
      <c r="D148" s="13"/>
      <c r="E148" s="13" t="s">
        <v>453</v>
      </c>
      <c r="F148" s="13"/>
      <c r="G148" s="13"/>
      <c r="H148" s="552"/>
      <c r="I148" s="53"/>
      <c r="J148" s="118"/>
      <c r="K148" s="118"/>
      <c r="L148" s="709"/>
      <c r="M148" s="691"/>
      <c r="N148" s="119"/>
      <c r="O148" s="697"/>
      <c r="X148" s="688"/>
    </row>
    <row r="149" spans="2:45" x14ac:dyDescent="0.35">
      <c r="B149" s="13" t="s">
        <v>435</v>
      </c>
      <c r="C149" s="13"/>
      <c r="D149" s="13"/>
      <c r="E149" s="13" t="s">
        <v>455</v>
      </c>
      <c r="F149" s="13"/>
      <c r="G149" s="13"/>
      <c r="H149" s="552"/>
      <c r="I149" s="53"/>
      <c r="J149" s="50" t="s">
        <v>455</v>
      </c>
      <c r="K149" s="53"/>
      <c r="L149" s="707" t="s">
        <v>456</v>
      </c>
      <c r="M149" s="712">
        <v>3</v>
      </c>
      <c r="O149" s="713">
        <f>M149*S149*W149</f>
        <v>0</v>
      </c>
      <c r="P149" t="b">
        <v>0</v>
      </c>
      <c r="Q149" t="b">
        <v>1</v>
      </c>
      <c r="R149" t="b">
        <v>0</v>
      </c>
      <c r="S149" t="b">
        <f>NOT(ISBLANK(W122))</f>
        <v>1</v>
      </c>
      <c r="T149" t="b">
        <f>AND(NOT(S149),W149=TRUE)</f>
        <v>0</v>
      </c>
      <c r="W149" s="17"/>
      <c r="X149" s="698"/>
      <c r="AC149" t="b">
        <f>OR(AD149:AE149)</f>
        <v>0</v>
      </c>
      <c r="AD149" t="b">
        <f>T149</f>
        <v>0</v>
      </c>
      <c r="AL149" t="str">
        <f>SUBSTITUTE(SUBSTITUTE(SUBSTITUTE("dpa"&amp;$B149&amp;$C149&amp;$D149&amp;$E149&amp;$F149,".","_"),"(","_"),")","")</f>
        <v>dpa503_5_9</v>
      </c>
      <c r="AM149">
        <f>M149</f>
        <v>3</v>
      </c>
      <c r="AN149" t="str">
        <f>SUBSTITUTE(SUBSTITUTE(SUBSTITUTE("dpc"&amp;$B149&amp;$C149&amp;$D149&amp;$E149&amp;$F149,".","_"),"(","_"),")","")</f>
        <v>dpc503_5_9</v>
      </c>
      <c r="AO149">
        <f>O149</f>
        <v>0</v>
      </c>
      <c r="AP149" t="str">
        <f>SUBSTITUTE(SUBSTITUTE(SUBSTITUTE("dch"&amp;$B149&amp;$C149&amp;$D149&amp;$E149&amp;$F149,".","_"),"(","_"),")","")</f>
        <v>dch503_5_9</v>
      </c>
      <c r="AQ149">
        <f>W149</f>
        <v>0</v>
      </c>
      <c r="AR149" t="str">
        <f>SUBSTITUTE(SUBSTITUTE(SUBSTITUTE("dnt"&amp;$B149&amp;$C149&amp;$D149&amp;$E149&amp;$F149,".","_"),"(","_"),")","")</f>
        <v>dnt503_5_9</v>
      </c>
      <c r="AS149">
        <f>X149</f>
        <v>0</v>
      </c>
    </row>
    <row r="150" spans="2:45" x14ac:dyDescent="0.35">
      <c r="B150" s="13" t="s">
        <v>435</v>
      </c>
      <c r="C150" s="13"/>
      <c r="D150" s="13"/>
      <c r="E150" s="13" t="s">
        <v>455</v>
      </c>
      <c r="F150" s="13"/>
      <c r="G150" s="13"/>
      <c r="H150" s="552"/>
      <c r="I150" s="53"/>
      <c r="J150" s="53"/>
      <c r="K150" s="53"/>
      <c r="L150" s="707"/>
      <c r="M150" s="690"/>
      <c r="O150" s="696"/>
      <c r="X150" s="699"/>
    </row>
    <row r="151" spans="2:45" x14ac:dyDescent="0.35">
      <c r="B151" s="13" t="s">
        <v>435</v>
      </c>
      <c r="C151" s="13"/>
      <c r="D151" s="13"/>
      <c r="E151" s="13" t="s">
        <v>455</v>
      </c>
      <c r="F151" s="13"/>
      <c r="G151" s="13"/>
      <c r="H151" s="552"/>
      <c r="I151" s="53"/>
      <c r="J151" s="118"/>
      <c r="K151" s="118"/>
      <c r="L151" s="709"/>
      <c r="M151" s="691"/>
      <c r="N151" s="119"/>
      <c r="O151" s="697"/>
      <c r="X151" s="700"/>
    </row>
    <row r="152" spans="2:45" x14ac:dyDescent="0.35">
      <c r="B152" s="13" t="s">
        <v>435</v>
      </c>
      <c r="C152" s="13"/>
      <c r="D152" s="13"/>
      <c r="E152" s="13" t="s">
        <v>457</v>
      </c>
      <c r="F152" s="13"/>
      <c r="G152" s="13"/>
      <c r="H152" s="552"/>
      <c r="I152" s="53"/>
      <c r="J152" s="50" t="s">
        <v>457</v>
      </c>
      <c r="K152" s="53"/>
      <c r="L152" s="707" t="s">
        <v>458</v>
      </c>
      <c r="M152" s="690">
        <v>4</v>
      </c>
      <c r="O152" s="696">
        <f>M152*S152*W152</f>
        <v>0</v>
      </c>
      <c r="P152" t="b">
        <v>0</v>
      </c>
      <c r="Q152" t="b">
        <v>1</v>
      </c>
      <c r="R152" t="b">
        <v>0</v>
      </c>
      <c r="S152" t="b">
        <f>NOT(ISBLANK(W122))</f>
        <v>1</v>
      </c>
      <c r="T152" t="b">
        <f>AND(NOT(S152),W152=TRUE)</f>
        <v>0</v>
      </c>
      <c r="W152" s="17"/>
      <c r="X152" s="688"/>
      <c r="AC152" t="b">
        <f>OR(AD152:AE152)</f>
        <v>0</v>
      </c>
      <c r="AD152" t="b">
        <f>T152</f>
        <v>0</v>
      </c>
      <c r="AL152" t="str">
        <f>SUBSTITUTE(SUBSTITUTE(SUBSTITUTE("dpa"&amp;$B152&amp;$C152&amp;$D152&amp;$E152&amp;$F152,".","_"),"(","_"),")","")</f>
        <v>dpa503_5_10</v>
      </c>
      <c r="AM152">
        <f>M152</f>
        <v>4</v>
      </c>
      <c r="AN152" t="str">
        <f>SUBSTITUTE(SUBSTITUTE(SUBSTITUTE("dpc"&amp;$B152&amp;$C152&amp;$D152&amp;$E152&amp;$F152,".","_"),"(","_"),")","")</f>
        <v>dpc503_5_10</v>
      </c>
      <c r="AO152">
        <f>O152</f>
        <v>0</v>
      </c>
      <c r="AP152" t="str">
        <f>SUBSTITUTE(SUBSTITUTE(SUBSTITUTE("dch"&amp;$B152&amp;$C152&amp;$D152&amp;$E152&amp;$F152,".","_"),"(","_"),")","")</f>
        <v>dch503_5_10</v>
      </c>
      <c r="AQ152">
        <f>W152</f>
        <v>0</v>
      </c>
      <c r="AR152" t="str">
        <f>SUBSTITUTE(SUBSTITUTE(SUBSTITUTE("dnt"&amp;$B152&amp;$C152&amp;$D152&amp;$E152&amp;$F152,".","_"),"(","_"),")","")</f>
        <v>dnt503_5_10</v>
      </c>
      <c r="AS152">
        <f>X152</f>
        <v>0</v>
      </c>
    </row>
    <row r="153" spans="2:45" x14ac:dyDescent="0.35">
      <c r="B153" s="13" t="s">
        <v>435</v>
      </c>
      <c r="C153" s="13"/>
      <c r="D153" s="13"/>
      <c r="E153" s="13" t="s">
        <v>457</v>
      </c>
      <c r="F153" s="13"/>
      <c r="G153" s="13"/>
      <c r="H153" s="552"/>
      <c r="I153" s="53"/>
      <c r="J153" s="118"/>
      <c r="K153" s="118"/>
      <c r="L153" s="709"/>
      <c r="M153" s="691"/>
      <c r="N153" s="119"/>
      <c r="O153" s="697"/>
      <c r="X153" s="688"/>
    </row>
    <row r="154" spans="2:45" x14ac:dyDescent="0.35">
      <c r="B154" s="13" t="s">
        <v>435</v>
      </c>
      <c r="C154" s="13"/>
      <c r="D154" s="13"/>
      <c r="E154" s="13" t="s">
        <v>459</v>
      </c>
      <c r="F154" s="13"/>
      <c r="G154" s="13"/>
      <c r="H154" s="552"/>
      <c r="I154" s="53"/>
      <c r="J154" s="50" t="s">
        <v>459</v>
      </c>
      <c r="K154" s="53"/>
      <c r="L154" s="707" t="s">
        <v>460</v>
      </c>
      <c r="M154" s="690">
        <v>3</v>
      </c>
      <c r="O154" s="696">
        <f>M154*S154*W154</f>
        <v>0</v>
      </c>
      <c r="P154" t="b">
        <v>0</v>
      </c>
      <c r="Q154" t="b">
        <v>1</v>
      </c>
      <c r="R154" t="b">
        <v>0</v>
      </c>
      <c r="S154" t="b">
        <f>NOT(ISBLANK(W122))</f>
        <v>1</v>
      </c>
      <c r="T154" t="b">
        <f>AND(NOT(S154),W154=TRUE)</f>
        <v>0</v>
      </c>
      <c r="W154" s="17"/>
      <c r="X154" s="688"/>
      <c r="AC154" t="b">
        <f>OR(AD154:AE154)</f>
        <v>0</v>
      </c>
      <c r="AD154" t="b">
        <f>T154</f>
        <v>0</v>
      </c>
      <c r="AL154" t="str">
        <f>SUBSTITUTE(SUBSTITUTE(SUBSTITUTE("dpa"&amp;$B154&amp;$C154&amp;$D154&amp;$E154&amp;$F154,".","_"),"(","_"),")","")</f>
        <v>dpa503_5_11</v>
      </c>
      <c r="AM154">
        <f>M154</f>
        <v>3</v>
      </c>
      <c r="AN154" t="str">
        <f>SUBSTITUTE(SUBSTITUTE(SUBSTITUTE("dpc"&amp;$B154&amp;$C154&amp;$D154&amp;$E154&amp;$F154,".","_"),"(","_"),")","")</f>
        <v>dpc503_5_11</v>
      </c>
      <c r="AO154">
        <f>O154</f>
        <v>0</v>
      </c>
      <c r="AP154" t="str">
        <f>SUBSTITUTE(SUBSTITUTE(SUBSTITUTE("dch"&amp;$B154&amp;$C154&amp;$D154&amp;$E154&amp;$F154,".","_"),"(","_"),")","")</f>
        <v>dch503_5_11</v>
      </c>
      <c r="AQ154">
        <f>W154</f>
        <v>0</v>
      </c>
      <c r="AR154" t="str">
        <f>SUBSTITUTE(SUBSTITUTE(SUBSTITUTE("dnt"&amp;$B154&amp;$C154&amp;$D154&amp;$E154&amp;$F154,".","_"),"(","_"),")","")</f>
        <v>dnt503_5_11</v>
      </c>
      <c r="AS154">
        <f>X154</f>
        <v>0</v>
      </c>
    </row>
    <row r="155" spans="2:45" x14ac:dyDescent="0.35">
      <c r="B155" s="13" t="s">
        <v>435</v>
      </c>
      <c r="C155" s="13"/>
      <c r="D155" s="13"/>
      <c r="E155" s="13" t="s">
        <v>459</v>
      </c>
      <c r="F155" s="13"/>
      <c r="G155" s="13"/>
      <c r="H155" s="552"/>
      <c r="I155" s="53"/>
      <c r="J155" s="118"/>
      <c r="K155" s="118"/>
      <c r="L155" s="709"/>
      <c r="M155" s="691"/>
      <c r="N155" s="119"/>
      <c r="O155" s="697"/>
      <c r="X155" s="688"/>
    </row>
    <row r="156" spans="2:45" x14ac:dyDescent="0.35">
      <c r="B156" s="13" t="s">
        <v>435</v>
      </c>
      <c r="C156" s="13"/>
      <c r="D156" s="13"/>
      <c r="E156" s="13" t="s">
        <v>461</v>
      </c>
      <c r="F156" s="13"/>
      <c r="G156" s="13"/>
      <c r="H156" s="552"/>
      <c r="I156" s="53"/>
      <c r="J156" s="50" t="s">
        <v>461</v>
      </c>
      <c r="K156" s="53"/>
      <c r="L156" s="707" t="s">
        <v>462</v>
      </c>
      <c r="M156" s="690">
        <v>6</v>
      </c>
      <c r="O156" s="696">
        <f>M156*S156*W156</f>
        <v>0</v>
      </c>
      <c r="P156" t="b">
        <v>0</v>
      </c>
      <c r="Q156" t="b">
        <v>1</v>
      </c>
      <c r="R156" t="b">
        <v>0</v>
      </c>
      <c r="S156" t="b">
        <f>NOT(ISBLANK(W122))</f>
        <v>1</v>
      </c>
      <c r="T156" t="b">
        <f>AND(NOT(S156),W156=TRUE)</f>
        <v>0</v>
      </c>
      <c r="W156" s="17"/>
      <c r="X156" s="688"/>
      <c r="AC156" t="b">
        <f>OR(AD156:AE156)</f>
        <v>0</v>
      </c>
      <c r="AD156" t="b">
        <f>T156</f>
        <v>0</v>
      </c>
      <c r="AL156" t="str">
        <f>SUBSTITUTE(SUBSTITUTE(SUBSTITUTE("dpa"&amp;$B156&amp;$C156&amp;$D156&amp;$E156&amp;$F156,".","_"),"(","_"),")","")</f>
        <v>dpa503_5_12</v>
      </c>
      <c r="AM156">
        <f>M156</f>
        <v>6</v>
      </c>
      <c r="AN156" t="str">
        <f>SUBSTITUTE(SUBSTITUTE(SUBSTITUTE("dpc"&amp;$B156&amp;$C156&amp;$D156&amp;$E156&amp;$F156,".","_"),"(","_"),")","")</f>
        <v>dpc503_5_12</v>
      </c>
      <c r="AO156">
        <f>O156</f>
        <v>0</v>
      </c>
      <c r="AP156" t="str">
        <f>SUBSTITUTE(SUBSTITUTE(SUBSTITUTE("dch"&amp;$B156&amp;$C156&amp;$D156&amp;$E156&amp;$F156,".","_"),"(","_"),")","")</f>
        <v>dch503_5_12</v>
      </c>
      <c r="AQ156">
        <f>W156</f>
        <v>0</v>
      </c>
      <c r="AR156" t="str">
        <f>SUBSTITUTE(SUBSTITUTE(SUBSTITUTE("dnt"&amp;$B156&amp;$C156&amp;$D156&amp;$E156&amp;$F156,".","_"),"(","_"),")","")</f>
        <v>dnt503_5_12</v>
      </c>
      <c r="AS156">
        <f>X156</f>
        <v>0</v>
      </c>
    </row>
    <row r="157" spans="2:45" ht="15" thickBot="1" x14ac:dyDescent="0.4">
      <c r="B157" s="13" t="s">
        <v>435</v>
      </c>
      <c r="C157" s="13"/>
      <c r="D157" s="13"/>
      <c r="E157" s="13" t="s">
        <v>461</v>
      </c>
      <c r="F157" s="13"/>
      <c r="G157" s="13"/>
      <c r="H157" s="552"/>
      <c r="I157" s="60"/>
      <c r="J157" s="60"/>
      <c r="K157" s="60"/>
      <c r="L157" s="708"/>
      <c r="M157" s="693"/>
      <c r="N157" s="58"/>
      <c r="O157" s="695"/>
      <c r="P157" s="58"/>
      <c r="Q157" s="58"/>
      <c r="R157" s="58"/>
      <c r="S157" s="58"/>
      <c r="T157" s="58"/>
      <c r="U157" s="58"/>
      <c r="V157" s="58"/>
      <c r="W157" s="58"/>
      <c r="X157" s="689"/>
    </row>
    <row r="158" spans="2:45" ht="15" thickTop="1" x14ac:dyDescent="0.35">
      <c r="B158" s="13" t="s">
        <v>463</v>
      </c>
      <c r="C158" s="13"/>
      <c r="D158" s="13"/>
      <c r="E158" s="13"/>
      <c r="F158" s="13"/>
      <c r="G158" s="13"/>
      <c r="H158" s="552"/>
      <c r="I158" s="33">
        <v>503.6</v>
      </c>
      <c r="J158" s="53"/>
      <c r="K158" s="53"/>
      <c r="L158" s="706" t="s">
        <v>464</v>
      </c>
      <c r="M158" s="43"/>
      <c r="O158" s="694">
        <f>IF((M160*W160+M161*W161+M162*W162+M164*W164)&gt;=6,(M160*W160+M161*W161+M162*W162+M164*W164),0)</f>
        <v>6</v>
      </c>
      <c r="X158" s="687"/>
      <c r="AR158" t="str">
        <f>SUBSTITUTE(SUBSTITUTE(SUBSTITUTE("dnt"&amp;$B158&amp;$C158&amp;$D158&amp;$E158&amp;$F158,".","_"),"(","_"),")","")</f>
        <v>dnt503_6</v>
      </c>
      <c r="AS158">
        <f>X158</f>
        <v>0</v>
      </c>
    </row>
    <row r="159" spans="2:45" x14ac:dyDescent="0.35">
      <c r="B159" s="13" t="s">
        <v>463</v>
      </c>
      <c r="C159" s="13"/>
      <c r="D159" s="13"/>
      <c r="E159" s="13"/>
      <c r="F159" s="13"/>
      <c r="G159" s="13"/>
      <c r="H159" s="552"/>
      <c r="I159" s="53"/>
      <c r="J159" s="53"/>
      <c r="K159" s="53"/>
      <c r="L159" s="706"/>
      <c r="M159" s="43"/>
      <c r="O159" s="696"/>
      <c r="X159" s="688"/>
    </row>
    <row r="160" spans="2:45" x14ac:dyDescent="0.35">
      <c r="B160" s="13" t="s">
        <v>463</v>
      </c>
      <c r="C160" s="13"/>
      <c r="D160" s="13"/>
      <c r="E160" s="13" t="s">
        <v>270</v>
      </c>
      <c r="F160" s="13"/>
      <c r="G160" s="13"/>
      <c r="H160" s="552"/>
      <c r="I160" s="53"/>
      <c r="J160" s="115" t="s">
        <v>270</v>
      </c>
      <c r="K160" s="118"/>
      <c r="L160" s="116" t="s">
        <v>465</v>
      </c>
      <c r="M160" s="198">
        <v>3</v>
      </c>
      <c r="N160" s="119"/>
      <c r="O160" s="342"/>
      <c r="P160" t="b">
        <v>0</v>
      </c>
      <c r="Q160" t="b">
        <v>1</v>
      </c>
      <c r="R160" t="b">
        <v>0</v>
      </c>
      <c r="S160" t="b">
        <v>1</v>
      </c>
      <c r="T160" t="b">
        <v>0</v>
      </c>
      <c r="W160" s="17" t="b">
        <v>1</v>
      </c>
      <c r="X160" s="688"/>
      <c r="AL160" t="str">
        <f t="shared" ref="AL160:AL162" si="20">SUBSTITUTE(SUBSTITUTE(SUBSTITUTE("dpa"&amp;$B160&amp;$C160&amp;$D160&amp;$E160&amp;$F160,".","_"),"(","_"),")","")</f>
        <v>dpa503_6_1</v>
      </c>
      <c r="AM160">
        <f>M160</f>
        <v>3</v>
      </c>
      <c r="AN160" t="str">
        <f t="shared" ref="AN160:AN162" si="21">SUBSTITUTE(SUBSTITUTE(SUBSTITUTE("dpc"&amp;$B160&amp;$C160&amp;$D160&amp;$E160&amp;$F160,".","_"),"(","_"),")","")</f>
        <v>dpc503_6_1</v>
      </c>
      <c r="AO160">
        <f>O160</f>
        <v>0</v>
      </c>
      <c r="AP160" t="str">
        <f t="shared" ref="AP160:AP162" si="22">SUBSTITUTE(SUBSTITUTE(SUBSTITUTE("dch"&amp;$B160&amp;$C160&amp;$D160&amp;$E160&amp;$F160,".","_"),"(","_"),")","")</f>
        <v>dch503_6_1</v>
      </c>
      <c r="AQ160" t="b">
        <f>W160</f>
        <v>1</v>
      </c>
    </row>
    <row r="161" spans="2:45" x14ac:dyDescent="0.35">
      <c r="B161" s="13" t="s">
        <v>463</v>
      </c>
      <c r="C161" s="13"/>
      <c r="D161" s="13"/>
      <c r="E161" s="13" t="s">
        <v>272</v>
      </c>
      <c r="F161" s="13"/>
      <c r="G161" s="13"/>
      <c r="H161" s="552"/>
      <c r="I161" s="53"/>
      <c r="J161" s="115" t="s">
        <v>272</v>
      </c>
      <c r="K161" s="118"/>
      <c r="L161" s="116" t="s">
        <v>466</v>
      </c>
      <c r="M161" s="198">
        <v>3</v>
      </c>
      <c r="N161" s="119"/>
      <c r="O161" s="342"/>
      <c r="P161" t="b">
        <v>0</v>
      </c>
      <c r="Q161" t="b">
        <v>1</v>
      </c>
      <c r="R161" t="b">
        <v>0</v>
      </c>
      <c r="S161" t="b">
        <v>1</v>
      </c>
      <c r="T161" t="b">
        <v>0</v>
      </c>
      <c r="W161" s="17" t="b">
        <v>1</v>
      </c>
      <c r="X161" s="688"/>
      <c r="AL161" t="str">
        <f t="shared" si="20"/>
        <v>dpa503_6_2</v>
      </c>
      <c r="AM161">
        <f>M161</f>
        <v>3</v>
      </c>
      <c r="AN161" t="str">
        <f t="shared" si="21"/>
        <v>dpc503_6_2</v>
      </c>
      <c r="AO161">
        <f>O161</f>
        <v>0</v>
      </c>
      <c r="AP161" t="str">
        <f t="shared" si="22"/>
        <v>dch503_6_2</v>
      </c>
      <c r="AQ161" t="b">
        <f>W161</f>
        <v>1</v>
      </c>
    </row>
    <row r="162" spans="2:45" x14ac:dyDescent="0.35">
      <c r="B162" s="13" t="s">
        <v>463</v>
      </c>
      <c r="C162" s="13"/>
      <c r="D162" s="13"/>
      <c r="E162" s="13" t="s">
        <v>274</v>
      </c>
      <c r="F162" s="13"/>
      <c r="G162" s="13"/>
      <c r="H162" s="552"/>
      <c r="I162" s="53"/>
      <c r="J162" s="50" t="s">
        <v>274</v>
      </c>
      <c r="K162" s="53"/>
      <c r="L162" s="707" t="s">
        <v>467</v>
      </c>
      <c r="M162" s="690">
        <v>3</v>
      </c>
      <c r="O162" s="85"/>
      <c r="P162" t="b">
        <v>0</v>
      </c>
      <c r="Q162" t="b">
        <v>1</v>
      </c>
      <c r="R162" t="b">
        <v>0</v>
      </c>
      <c r="S162" t="b">
        <v>1</v>
      </c>
      <c r="T162" t="b">
        <v>0</v>
      </c>
      <c r="W162" s="17"/>
      <c r="X162" s="688"/>
      <c r="AL162" t="str">
        <f t="shared" si="20"/>
        <v>dpa503_6_3</v>
      </c>
      <c r="AM162">
        <f>M162</f>
        <v>3</v>
      </c>
      <c r="AN162" t="str">
        <f t="shared" si="21"/>
        <v>dpc503_6_3</v>
      </c>
      <c r="AO162">
        <f>O162</f>
        <v>0</v>
      </c>
      <c r="AP162" t="str">
        <f t="shared" si="22"/>
        <v>dch503_6_3</v>
      </c>
      <c r="AQ162">
        <f>W162</f>
        <v>0</v>
      </c>
    </row>
    <row r="163" spans="2:45" x14ac:dyDescent="0.35">
      <c r="B163" s="13" t="s">
        <v>463</v>
      </c>
      <c r="C163" s="13"/>
      <c r="D163" s="13"/>
      <c r="E163" s="13" t="s">
        <v>274</v>
      </c>
      <c r="F163" s="13"/>
      <c r="G163" s="13"/>
      <c r="H163" s="552"/>
      <c r="I163" s="53"/>
      <c r="J163" s="118"/>
      <c r="K163" s="118"/>
      <c r="L163" s="709"/>
      <c r="M163" s="691"/>
      <c r="N163" s="119"/>
      <c r="O163" s="342"/>
      <c r="X163" s="688"/>
    </row>
    <row r="164" spans="2:45" ht="15" thickBot="1" x14ac:dyDescent="0.4">
      <c r="B164" s="13" t="s">
        <v>463</v>
      </c>
      <c r="C164" s="13"/>
      <c r="D164" s="13"/>
      <c r="E164" s="13" t="s">
        <v>283</v>
      </c>
      <c r="F164" s="13"/>
      <c r="G164" s="13"/>
      <c r="H164" s="552"/>
      <c r="I164" s="60"/>
      <c r="J164" s="55" t="s">
        <v>283</v>
      </c>
      <c r="K164" s="60"/>
      <c r="L164" s="56" t="s">
        <v>468</v>
      </c>
      <c r="M164" s="270">
        <v>3</v>
      </c>
      <c r="N164" s="58"/>
      <c r="O164" s="184"/>
      <c r="P164" t="b">
        <v>0</v>
      </c>
      <c r="Q164" t="b">
        <v>1</v>
      </c>
      <c r="R164" s="58" t="b">
        <v>0</v>
      </c>
      <c r="S164" s="58" t="b">
        <v>1</v>
      </c>
      <c r="T164" s="58" t="b">
        <v>0</v>
      </c>
      <c r="U164" s="58"/>
      <c r="V164" s="58"/>
      <c r="W164" s="59"/>
      <c r="X164" s="689"/>
      <c r="AL164" t="str">
        <f>SUBSTITUTE(SUBSTITUTE(SUBSTITUTE("dpa"&amp;$B164&amp;$C164&amp;$D164&amp;$E164&amp;$F164,".","_"),"(","_"),")","")</f>
        <v>dpa503_6_4</v>
      </c>
      <c r="AM164">
        <f>M164</f>
        <v>3</v>
      </c>
      <c r="AN164" t="str">
        <f>SUBSTITUTE(SUBSTITUTE(SUBSTITUTE("dpc"&amp;$B164&amp;$C164&amp;$D164&amp;$E164&amp;$F164,".","_"),"(","_"),")","")</f>
        <v>dpc503_6_4</v>
      </c>
      <c r="AO164">
        <f>O164</f>
        <v>0</v>
      </c>
      <c r="AP164" t="str">
        <f>SUBSTITUTE(SUBSTITUTE(SUBSTITUTE("dch"&amp;$B164&amp;$C164&amp;$D164&amp;$E164&amp;$F164,".","_"),"(","_"),")","")</f>
        <v>dch503_6_4</v>
      </c>
      <c r="AQ164">
        <f>W164</f>
        <v>0</v>
      </c>
    </row>
    <row r="165" spans="2:45" ht="15" thickTop="1" x14ac:dyDescent="0.35">
      <c r="B165" s="13" t="s">
        <v>469</v>
      </c>
      <c r="C165" s="13"/>
      <c r="D165" s="13"/>
      <c r="E165" s="13"/>
      <c r="F165" s="13"/>
      <c r="G165" s="13"/>
      <c r="H165" s="552"/>
      <c r="I165" s="33">
        <v>503.7</v>
      </c>
      <c r="J165" s="53"/>
      <c r="K165" s="53"/>
      <c r="L165" s="706" t="s">
        <v>470</v>
      </c>
      <c r="M165" s="43"/>
      <c r="O165" s="694">
        <f>IF(LEN(W165)&gt;0,4,0)*S165</f>
        <v>0</v>
      </c>
      <c r="P165" t="b">
        <v>1</v>
      </c>
      <c r="Q165" t="b">
        <v>1</v>
      </c>
      <c r="R165" t="b">
        <v>0</v>
      </c>
      <c r="S165" t="b">
        <v>1</v>
      </c>
      <c r="T165" t="b">
        <v>0</v>
      </c>
      <c r="U165" t="str">
        <f>SUBSTITUTE(SUBSTITUTE(SUBSTITUTE("dd"&amp;B165&amp;C165&amp;D165&amp;E165&amp;F165,".","_"),"(","_"),")","")</f>
        <v>dd503_7</v>
      </c>
      <c r="W165" s="204"/>
      <c r="X165" s="700"/>
      <c r="AN165" t="str">
        <f t="shared" ref="AN165" si="23">SUBSTITUTE(SUBSTITUTE(SUBSTITUTE("dpc"&amp;$B165&amp;$C165&amp;$D165&amp;$E165&amp;$F165,".","_"),"(","_"),")","")</f>
        <v>dpc503_7</v>
      </c>
      <c r="AO165">
        <f t="shared" ref="AO165" si="24">O165</f>
        <v>0</v>
      </c>
      <c r="AP165" t="str">
        <f t="shared" ref="AP165" si="25">SUBSTITUTE(SUBSTITUTE(SUBSTITUTE("dch"&amp;$B165&amp;$C165&amp;$D165&amp;$E165&amp;$F165,".","_"),"(","_"),")","")</f>
        <v>dch503_7</v>
      </c>
      <c r="AQ165">
        <f>W165</f>
        <v>0</v>
      </c>
      <c r="AR165" t="str">
        <f>SUBSTITUTE(SUBSTITUTE(SUBSTITUTE("dnt"&amp;$B165&amp;$C165&amp;$D165&amp;$E165&amp;$F165,".","_"),"(","_"),")","")</f>
        <v>dnt503_7</v>
      </c>
      <c r="AS165">
        <f>X165</f>
        <v>0</v>
      </c>
    </row>
    <row r="166" spans="2:45" x14ac:dyDescent="0.35">
      <c r="B166" s="13" t="s">
        <v>469</v>
      </c>
      <c r="C166" s="13"/>
      <c r="D166" s="13"/>
      <c r="E166" s="13"/>
      <c r="F166" s="13"/>
      <c r="G166" s="13"/>
      <c r="H166" s="552"/>
      <c r="I166" s="53"/>
      <c r="J166" s="53"/>
      <c r="K166" s="53"/>
      <c r="L166" s="706"/>
      <c r="M166" s="43"/>
      <c r="O166" s="696"/>
      <c r="X166" s="688"/>
    </row>
    <row r="167" spans="2:45" x14ac:dyDescent="0.35">
      <c r="B167" s="13" t="s">
        <v>469</v>
      </c>
      <c r="C167" s="13"/>
      <c r="D167" s="13"/>
      <c r="E167" s="13" t="s">
        <v>270</v>
      </c>
      <c r="F167" s="13"/>
      <c r="G167" s="13"/>
      <c r="H167" s="552"/>
      <c r="I167" s="53"/>
      <c r="J167" s="50" t="s">
        <v>270</v>
      </c>
      <c r="K167" s="53"/>
      <c r="L167" s="707" t="s">
        <v>471</v>
      </c>
      <c r="M167" s="690">
        <v>4</v>
      </c>
      <c r="O167"/>
      <c r="X167" s="688"/>
      <c r="AL167" t="str">
        <f>SUBSTITUTE(SUBSTITUTE(SUBSTITUTE("dpa"&amp;$B167&amp;$C167&amp;$D167&amp;$E167&amp;$F167,".","_"),"(","_"),")","")</f>
        <v>dpa503_7_1</v>
      </c>
      <c r="AM167">
        <f>M167</f>
        <v>4</v>
      </c>
    </row>
    <row r="168" spans="2:45" x14ac:dyDescent="0.35">
      <c r="B168" s="13" t="s">
        <v>469</v>
      </c>
      <c r="C168" s="13"/>
      <c r="D168" s="13"/>
      <c r="E168" s="13" t="s">
        <v>270</v>
      </c>
      <c r="F168" s="13"/>
      <c r="G168" s="13"/>
      <c r="H168" s="552"/>
      <c r="I168" s="53"/>
      <c r="J168" s="115"/>
      <c r="K168" s="118"/>
      <c r="L168" s="709"/>
      <c r="M168" s="691"/>
      <c r="N168" s="119"/>
      <c r="O168"/>
      <c r="X168" s="688"/>
    </row>
    <row r="169" spans="2:45" x14ac:dyDescent="0.35">
      <c r="B169" s="13" t="s">
        <v>469</v>
      </c>
      <c r="C169" s="13"/>
      <c r="D169" s="13"/>
      <c r="E169" s="13" t="s">
        <v>272</v>
      </c>
      <c r="F169" s="13"/>
      <c r="G169" s="13"/>
      <c r="H169" s="552"/>
      <c r="I169" s="53"/>
      <c r="J169" s="50" t="s">
        <v>272</v>
      </c>
      <c r="K169" s="53"/>
      <c r="L169" s="707" t="s">
        <v>472</v>
      </c>
      <c r="M169" s="690">
        <v>4</v>
      </c>
      <c r="O169"/>
      <c r="X169" s="688"/>
      <c r="AL169" t="str">
        <f>SUBSTITUTE(SUBSTITUTE(SUBSTITUTE("dpa"&amp;$B169&amp;$C169&amp;$D169&amp;$E169&amp;$F169,".","_"),"(","_"),")","")</f>
        <v>dpa503_7_2</v>
      </c>
      <c r="AM169">
        <f>M169</f>
        <v>4</v>
      </c>
    </row>
    <row r="170" spans="2:45" ht="15" thickBot="1" x14ac:dyDescent="0.4">
      <c r="B170" s="13" t="s">
        <v>469</v>
      </c>
      <c r="C170" s="13"/>
      <c r="D170" s="13"/>
      <c r="E170" s="13" t="s">
        <v>272</v>
      </c>
      <c r="F170" s="13"/>
      <c r="G170" s="13"/>
      <c r="H170" s="552"/>
      <c r="I170" s="60"/>
      <c r="J170" s="60"/>
      <c r="K170" s="60"/>
      <c r="L170" s="708"/>
      <c r="M170" s="693"/>
      <c r="N170" s="58"/>
      <c r="O170"/>
      <c r="P170" s="58"/>
      <c r="Q170" s="58"/>
      <c r="R170" s="58"/>
      <c r="S170" s="58"/>
      <c r="T170" s="58"/>
      <c r="U170" s="58"/>
      <c r="V170" s="58"/>
      <c r="W170" s="58"/>
      <c r="X170" s="689"/>
    </row>
    <row r="171" spans="2:45" ht="15" thickTop="1" x14ac:dyDescent="0.35">
      <c r="B171" s="13" t="s">
        <v>473</v>
      </c>
      <c r="C171" s="13"/>
      <c r="D171" s="13"/>
      <c r="E171" s="13"/>
      <c r="F171" s="13"/>
      <c r="G171" s="13"/>
      <c r="H171" s="552"/>
      <c r="I171" s="33">
        <v>503.8</v>
      </c>
      <c r="J171" s="53"/>
      <c r="K171" s="53"/>
      <c r="L171" s="706" t="s">
        <v>474</v>
      </c>
      <c r="M171" s="690">
        <v>5</v>
      </c>
      <c r="O171" s="694">
        <f ca="1">IFERROR(INDEX({5,6,7,8,9,10},MATCH(W172,INDIRECT(U172),0)),0)</f>
        <v>0</v>
      </c>
      <c r="X171" s="700"/>
      <c r="AL171" t="str">
        <f>SUBSTITUTE(SUBSTITUTE(SUBSTITUTE("dpa"&amp;$B171&amp;$C171&amp;$D171&amp;$E171&amp;$F171,".","_"),"(","_"),")","")</f>
        <v>dpa503_8</v>
      </c>
      <c r="AM171">
        <f>M171</f>
        <v>5</v>
      </c>
      <c r="AN171" t="str">
        <f>SUBSTITUTE(SUBSTITUTE(SUBSTITUTE("dpc"&amp;$B171&amp;$C171&amp;$D171&amp;$E171&amp;$F171,".","_"),"(","_"),")","")</f>
        <v>dpc503_8</v>
      </c>
      <c r="AO171">
        <f ca="1">O171</f>
        <v>0</v>
      </c>
      <c r="AP171" t="str">
        <f>SUBSTITUTE(SUBSTITUTE(SUBSTITUTE("dch"&amp;$B171&amp;$C171&amp;$D171&amp;$E171&amp;$F171,".","_"),"(","_"),")","")</f>
        <v>dch503_8</v>
      </c>
      <c r="AQ171">
        <f>W171</f>
        <v>0</v>
      </c>
      <c r="AR171" t="str">
        <f>SUBSTITUTE(SUBSTITUTE(SUBSTITUTE("dnt"&amp;$B171&amp;$C171&amp;$D171&amp;$E171&amp;$F171,".","_"),"(","_"),")","")</f>
        <v>dnt503_8</v>
      </c>
      <c r="AS171">
        <f>X171</f>
        <v>0</v>
      </c>
    </row>
    <row r="172" spans="2:45" x14ac:dyDescent="0.35">
      <c r="B172" s="13" t="s">
        <v>473</v>
      </c>
      <c r="C172" s="13"/>
      <c r="D172" s="13"/>
      <c r="E172" s="13"/>
      <c r="F172" s="13"/>
      <c r="G172" s="13"/>
      <c r="H172" s="552"/>
      <c r="I172" s="53"/>
      <c r="J172" s="53"/>
      <c r="K172" s="53"/>
      <c r="L172" s="706"/>
      <c r="M172" s="690"/>
      <c r="O172" s="696"/>
      <c r="P172" t="b">
        <v>1</v>
      </c>
      <c r="Q172" t="b">
        <v>0</v>
      </c>
      <c r="R172" t="b">
        <v>0</v>
      </c>
      <c r="S172" t="b">
        <v>1</v>
      </c>
      <c r="T172" t="b">
        <v>0</v>
      </c>
      <c r="U172" t="str">
        <f>SUBSTITUTE(SUBSTITUTE(SUBSTITUTE("dd"&amp;B172&amp;C172&amp;D172&amp;E172&amp;F172,".","_"),"(","_"),")","")</f>
        <v>dd503_8</v>
      </c>
      <c r="W172" s="9"/>
      <c r="X172" s="688"/>
    </row>
    <row r="173" spans="2:45" x14ac:dyDescent="0.35">
      <c r="B173" s="13" t="s">
        <v>473</v>
      </c>
      <c r="C173" s="13"/>
      <c r="D173" s="13"/>
      <c r="E173" s="13"/>
      <c r="F173" s="13"/>
      <c r="G173" s="13"/>
      <c r="H173" s="552"/>
      <c r="I173" s="53"/>
      <c r="J173" s="53"/>
      <c r="K173" s="53"/>
      <c r="L173" s="706"/>
      <c r="M173" s="690"/>
      <c r="O173" s="696"/>
      <c r="X173" s="688"/>
    </row>
    <row r="174" spans="2:45" x14ac:dyDescent="0.35">
      <c r="B174" s="13" t="s">
        <v>473</v>
      </c>
      <c r="C174" s="13"/>
      <c r="D174" s="13"/>
      <c r="E174" s="13"/>
      <c r="F174" s="13"/>
      <c r="G174" s="13"/>
      <c r="H174" s="552"/>
      <c r="I174" s="53"/>
      <c r="J174" s="53"/>
      <c r="K174" s="53"/>
      <c r="L174" s="707" t="s">
        <v>475</v>
      </c>
      <c r="M174" s="690" t="s">
        <v>831</v>
      </c>
      <c r="O174" s="85"/>
      <c r="X174" s="688"/>
    </row>
    <row r="175" spans="2:45" x14ac:dyDescent="0.35">
      <c r="B175" s="13" t="s">
        <v>473</v>
      </c>
      <c r="C175" s="13"/>
      <c r="D175" s="13"/>
      <c r="E175" s="13"/>
      <c r="F175" s="13"/>
      <c r="G175" s="13"/>
      <c r="H175" s="552"/>
      <c r="I175" s="53"/>
      <c r="J175" s="53"/>
      <c r="K175" s="53"/>
      <c r="L175" s="707"/>
      <c r="M175" s="690"/>
      <c r="O175" s="85"/>
      <c r="X175" s="688"/>
    </row>
    <row r="176" spans="2:45" ht="18.5" x14ac:dyDescent="0.45">
      <c r="B176" s="13" t="s">
        <v>476</v>
      </c>
      <c r="C176" s="13"/>
      <c r="D176" s="13"/>
      <c r="E176" s="13"/>
      <c r="F176" s="13"/>
      <c r="G176" s="13"/>
      <c r="H176" s="552"/>
      <c r="I176" s="51" t="s">
        <v>477</v>
      </c>
      <c r="J176" s="51"/>
      <c r="K176" s="51"/>
      <c r="L176" s="47"/>
      <c r="M176" s="286"/>
      <c r="N176" s="15"/>
      <c r="O176" s="340"/>
      <c r="P176" s="15"/>
      <c r="Q176" s="15"/>
      <c r="R176" s="15"/>
      <c r="S176" s="15"/>
      <c r="T176" s="15"/>
      <c r="U176" s="15"/>
      <c r="V176" s="15"/>
      <c r="W176" s="15"/>
      <c r="X176" s="15"/>
    </row>
    <row r="177" spans="2:45" x14ac:dyDescent="0.35">
      <c r="B177" s="13" t="s">
        <v>476</v>
      </c>
      <c r="C177" s="13"/>
      <c r="D177" s="13"/>
      <c r="E177" s="13"/>
      <c r="F177" s="13"/>
      <c r="G177" s="13"/>
      <c r="H177" s="552"/>
      <c r="I177" s="50" t="s">
        <v>476</v>
      </c>
      <c r="J177" s="53"/>
      <c r="K177" s="53"/>
      <c r="L177" s="706" t="s">
        <v>478</v>
      </c>
      <c r="M177" s="43"/>
      <c r="O177" s="85"/>
      <c r="X177" s="68"/>
    </row>
    <row r="178" spans="2:45" ht="15" thickBot="1" x14ac:dyDescent="0.4">
      <c r="B178" s="13" t="s">
        <v>476</v>
      </c>
      <c r="C178" s="13"/>
      <c r="D178" s="13"/>
      <c r="E178" s="13"/>
      <c r="F178" s="13"/>
      <c r="G178" s="13"/>
      <c r="H178" s="552"/>
      <c r="I178" s="60"/>
      <c r="J178" s="60"/>
      <c r="K178" s="60"/>
      <c r="L178" s="710"/>
      <c r="M178" s="270"/>
      <c r="N178" s="58"/>
      <c r="O178" s="184"/>
      <c r="P178" s="58"/>
      <c r="Q178" s="58"/>
      <c r="R178" s="58"/>
      <c r="S178" s="58"/>
      <c r="T178" s="58"/>
      <c r="U178" s="58"/>
      <c r="V178" s="58"/>
      <c r="W178" s="58"/>
      <c r="X178" s="67"/>
    </row>
    <row r="179" spans="2:45" ht="15.75" customHeight="1" thickTop="1" x14ac:dyDescent="0.35">
      <c r="B179" s="13" t="s">
        <v>479</v>
      </c>
      <c r="C179" s="13"/>
      <c r="D179" s="13"/>
      <c r="E179" s="13"/>
      <c r="F179" s="13"/>
      <c r="G179" s="13"/>
      <c r="H179" s="552"/>
      <c r="I179" s="69" t="s">
        <v>479</v>
      </c>
      <c r="J179" s="64"/>
      <c r="K179" s="64"/>
      <c r="L179" s="711" t="s">
        <v>480</v>
      </c>
      <c r="M179" s="692">
        <v>4</v>
      </c>
      <c r="N179" s="62"/>
      <c r="O179" s="694">
        <f>M179*W179*S179</f>
        <v>0</v>
      </c>
      <c r="P179" t="b">
        <v>1</v>
      </c>
      <c r="Q179" t="b">
        <v>1</v>
      </c>
      <c r="R179" s="62" t="b">
        <v>0</v>
      </c>
      <c r="S179" s="62" t="b">
        <f>IF((O84+O86+O93)&gt;0,TRUE,FALSE)</f>
        <v>0</v>
      </c>
      <c r="T179" t="b">
        <f>AND(NOT(S179),W179=TRUE)</f>
        <v>0</v>
      </c>
      <c r="U179" s="62"/>
      <c r="V179" s="62"/>
      <c r="W179" s="17"/>
      <c r="X179" s="687"/>
      <c r="AC179" t="b">
        <f>OR(AD179:AE179)</f>
        <v>0</v>
      </c>
      <c r="AD179" t="b">
        <f>T179</f>
        <v>0</v>
      </c>
      <c r="AL179" t="str">
        <f>SUBSTITUTE(SUBSTITUTE(SUBSTITUTE("dpa"&amp;$B179&amp;$C179&amp;$D179&amp;$E179&amp;$F179,".","_"),"(","_"),")","")</f>
        <v>dpa504_1</v>
      </c>
      <c r="AM179">
        <f>M179</f>
        <v>4</v>
      </c>
      <c r="AN179" t="str">
        <f>SUBSTITUTE(SUBSTITUTE(SUBSTITUTE("dpc"&amp;$B179&amp;$C179&amp;$D179&amp;$E179&amp;$F179,".","_"),"(","_"),")","")</f>
        <v>dpc504_1</v>
      </c>
      <c r="AO179">
        <f>O179</f>
        <v>0</v>
      </c>
      <c r="AP179" t="str">
        <f>SUBSTITUTE(SUBSTITUTE(SUBSTITUTE("dch"&amp;$B179&amp;$C179&amp;$D179&amp;$E179&amp;$F179,".","_"),"(","_"),")","")</f>
        <v>dch504_1</v>
      </c>
      <c r="AQ179">
        <f>W179</f>
        <v>0</v>
      </c>
      <c r="AR179" t="str">
        <f>SUBSTITUTE(SUBSTITUTE(SUBSTITUTE("dnt"&amp;$B179&amp;$C179&amp;$D179&amp;$E179&amp;$F179,".","_"),"(","_"),")","")</f>
        <v>dnt504_1</v>
      </c>
      <c r="AS179">
        <f>X179</f>
        <v>0</v>
      </c>
    </row>
    <row r="180" spans="2:45" x14ac:dyDescent="0.35">
      <c r="B180" s="13" t="s">
        <v>479</v>
      </c>
      <c r="C180" s="13"/>
      <c r="D180" s="13"/>
      <c r="E180" s="13"/>
      <c r="F180" s="13"/>
      <c r="G180" s="13"/>
      <c r="H180" s="552"/>
      <c r="I180" s="53"/>
      <c r="J180" s="53"/>
      <c r="K180" s="53"/>
      <c r="L180" s="706"/>
      <c r="M180" s="690"/>
      <c r="O180" s="696"/>
      <c r="X180" s="688"/>
    </row>
    <row r="181" spans="2:45" x14ac:dyDescent="0.35">
      <c r="B181" s="13" t="s">
        <v>479</v>
      </c>
      <c r="C181" s="13"/>
      <c r="D181" s="13"/>
      <c r="E181" s="13"/>
      <c r="F181" s="13"/>
      <c r="G181" s="13"/>
      <c r="H181" s="552"/>
      <c r="I181" s="53"/>
      <c r="J181" s="53"/>
      <c r="K181" s="53"/>
      <c r="L181" s="706"/>
      <c r="M181" s="690"/>
      <c r="O181" s="696"/>
      <c r="X181" s="688"/>
    </row>
    <row r="182" spans="2:45" x14ac:dyDescent="0.35">
      <c r="B182" s="13" t="s">
        <v>479</v>
      </c>
      <c r="C182" s="13"/>
      <c r="D182" s="13"/>
      <c r="E182" s="13"/>
      <c r="F182" s="13"/>
      <c r="G182" s="13"/>
      <c r="H182" s="552"/>
      <c r="I182" s="53"/>
      <c r="J182" s="53"/>
      <c r="K182" s="53"/>
      <c r="L182" s="706"/>
      <c r="M182" s="690"/>
      <c r="O182" s="696"/>
      <c r="X182" s="688"/>
    </row>
    <row r="183" spans="2:45" ht="15" thickBot="1" x14ac:dyDescent="0.4">
      <c r="B183" s="13" t="s">
        <v>479</v>
      </c>
      <c r="C183" s="13"/>
      <c r="D183" s="13"/>
      <c r="E183" s="13"/>
      <c r="F183" s="13"/>
      <c r="G183" s="13"/>
      <c r="H183" s="552"/>
      <c r="I183" s="60"/>
      <c r="J183" s="60"/>
      <c r="K183" s="60"/>
      <c r="L183" s="122" t="s">
        <v>838</v>
      </c>
      <c r="M183" s="693"/>
      <c r="N183" s="58"/>
      <c r="O183" s="695"/>
      <c r="P183" s="58"/>
      <c r="Q183" s="58"/>
      <c r="R183" s="58"/>
      <c r="S183" s="58"/>
      <c r="T183" s="58"/>
      <c r="U183" s="58"/>
      <c r="V183" s="58"/>
      <c r="W183" s="58"/>
      <c r="X183" s="689"/>
    </row>
    <row r="184" spans="2:45" ht="15" thickTop="1" x14ac:dyDescent="0.35">
      <c r="B184" s="13" t="s">
        <v>481</v>
      </c>
      <c r="C184" s="13"/>
      <c r="D184" s="13"/>
      <c r="E184" s="13"/>
      <c r="F184" s="13"/>
      <c r="G184" s="13"/>
      <c r="H184" s="552"/>
      <c r="I184" s="50" t="s">
        <v>481</v>
      </c>
      <c r="J184" s="53"/>
      <c r="K184" s="53"/>
      <c r="L184" s="706" t="s">
        <v>482</v>
      </c>
      <c r="M184" s="43"/>
      <c r="O184" s="85"/>
      <c r="X184" s="700"/>
      <c r="AR184" t="str">
        <f>SUBSTITUTE(SUBSTITUTE(SUBSTITUTE("dnt"&amp;$B184&amp;$C184&amp;$D184&amp;$E184&amp;$F184,".","_"),"(","_"),")","")</f>
        <v>dnt504_2</v>
      </c>
      <c r="AS184">
        <f>X184</f>
        <v>0</v>
      </c>
    </row>
    <row r="185" spans="2:45" x14ac:dyDescent="0.35">
      <c r="B185" s="13" t="s">
        <v>481</v>
      </c>
      <c r="C185" s="13"/>
      <c r="D185" s="13"/>
      <c r="E185" s="13"/>
      <c r="F185" s="13"/>
      <c r="G185" s="13"/>
      <c r="H185" s="552"/>
      <c r="I185" s="53"/>
      <c r="J185" s="53"/>
      <c r="K185" s="53"/>
      <c r="L185" s="706"/>
      <c r="M185" s="43"/>
      <c r="O185" s="85"/>
      <c r="X185" s="688"/>
    </row>
    <row r="186" spans="2:45" x14ac:dyDescent="0.35">
      <c r="B186" s="13" t="s">
        <v>481</v>
      </c>
      <c r="C186" s="13"/>
      <c r="D186" s="13"/>
      <c r="E186" s="13" t="s">
        <v>270</v>
      </c>
      <c r="F186" s="13"/>
      <c r="G186" s="13"/>
      <c r="H186" s="552"/>
      <c r="I186" s="53"/>
      <c r="J186" s="115" t="s">
        <v>270</v>
      </c>
      <c r="K186" s="118"/>
      <c r="L186" s="116" t="s">
        <v>483</v>
      </c>
      <c r="M186" s="198">
        <v>3</v>
      </c>
      <c r="N186" s="119"/>
      <c r="O186" s="342">
        <f>M186*W186</f>
        <v>0</v>
      </c>
      <c r="P186" t="b">
        <v>1</v>
      </c>
      <c r="Q186" t="b">
        <v>0</v>
      </c>
      <c r="R186" t="b">
        <v>0</v>
      </c>
      <c r="S186" t="b">
        <v>1</v>
      </c>
      <c r="T186" t="b">
        <v>0</v>
      </c>
      <c r="W186" s="17"/>
      <c r="X186" s="688"/>
      <c r="AL186" t="str">
        <f t="shared" ref="AL186:AL187" si="26">SUBSTITUTE(SUBSTITUTE(SUBSTITUTE("dpa"&amp;$B186&amp;$C186&amp;$D186&amp;$E186&amp;$F186,".","_"),"(","_"),")","")</f>
        <v>dpa504_2_1</v>
      </c>
      <c r="AM186">
        <f>M186</f>
        <v>3</v>
      </c>
      <c r="AN186" t="str">
        <f t="shared" ref="AN186:AN187" si="27">SUBSTITUTE(SUBSTITUTE(SUBSTITUTE("dpc"&amp;$B186&amp;$C186&amp;$D186&amp;$E186&amp;$F186,".","_"),"(","_"),")","")</f>
        <v>dpc504_2_1</v>
      </c>
      <c r="AO186">
        <f>O186</f>
        <v>0</v>
      </c>
      <c r="AP186" t="str">
        <f t="shared" ref="AP186:AP187" si="28">SUBSTITUTE(SUBSTITUTE(SUBSTITUTE("dch"&amp;$B186&amp;$C186&amp;$D186&amp;$E186&amp;$F186,".","_"),"(","_"),")","")</f>
        <v>dch504_2_1</v>
      </c>
      <c r="AQ186">
        <f>W186</f>
        <v>0</v>
      </c>
    </row>
    <row r="187" spans="2:45" x14ac:dyDescent="0.35">
      <c r="B187" s="13" t="s">
        <v>481</v>
      </c>
      <c r="C187" s="13"/>
      <c r="D187" s="13"/>
      <c r="E187" s="13" t="s">
        <v>272</v>
      </c>
      <c r="F187" s="13"/>
      <c r="G187" s="13"/>
      <c r="H187" s="552"/>
      <c r="I187" s="53"/>
      <c r="J187" s="50" t="s">
        <v>272</v>
      </c>
      <c r="K187" s="53"/>
      <c r="L187" s="707" t="s">
        <v>484</v>
      </c>
      <c r="M187" s="690">
        <v>5</v>
      </c>
      <c r="O187" s="696">
        <f>M187*W187</f>
        <v>0</v>
      </c>
      <c r="P187" t="b">
        <v>1</v>
      </c>
      <c r="Q187" t="b">
        <v>0</v>
      </c>
      <c r="R187" t="b">
        <v>0</v>
      </c>
      <c r="S187" t="b">
        <v>1</v>
      </c>
      <c r="T187" t="b">
        <v>0</v>
      </c>
      <c r="W187" s="17"/>
      <c r="X187" s="688"/>
      <c r="AL187" t="str">
        <f t="shared" si="26"/>
        <v>dpa504_2_2</v>
      </c>
      <c r="AM187">
        <f>M187</f>
        <v>5</v>
      </c>
      <c r="AN187" t="str">
        <f t="shared" si="27"/>
        <v>dpc504_2_2</v>
      </c>
      <c r="AO187">
        <f>O187</f>
        <v>0</v>
      </c>
      <c r="AP187" t="str">
        <f t="shared" si="28"/>
        <v>dch504_2_2</v>
      </c>
      <c r="AQ187">
        <f>W187</f>
        <v>0</v>
      </c>
    </row>
    <row r="188" spans="2:45" x14ac:dyDescent="0.35">
      <c r="B188" s="13" t="s">
        <v>481</v>
      </c>
      <c r="C188" s="13"/>
      <c r="D188" s="13"/>
      <c r="E188" s="13" t="s">
        <v>272</v>
      </c>
      <c r="F188" s="13"/>
      <c r="G188" s="13"/>
      <c r="H188" s="552"/>
      <c r="I188" s="53"/>
      <c r="J188" s="115"/>
      <c r="K188" s="118"/>
      <c r="L188" s="709"/>
      <c r="M188" s="691"/>
      <c r="N188" s="119"/>
      <c r="O188" s="697"/>
      <c r="X188" s="688"/>
    </row>
    <row r="189" spans="2:45" x14ac:dyDescent="0.35">
      <c r="B189" s="13" t="s">
        <v>481</v>
      </c>
      <c r="C189" s="13"/>
      <c r="D189" s="13"/>
      <c r="E189" s="13" t="s">
        <v>274</v>
      </c>
      <c r="F189" s="13"/>
      <c r="G189" s="13"/>
      <c r="H189" s="552"/>
      <c r="I189" s="53"/>
      <c r="J189" s="50" t="s">
        <v>274</v>
      </c>
      <c r="K189" s="53"/>
      <c r="L189" s="707" t="s">
        <v>485</v>
      </c>
      <c r="M189" s="690">
        <v>4</v>
      </c>
      <c r="O189" s="696">
        <f>M189*W189</f>
        <v>0</v>
      </c>
      <c r="P189" t="b">
        <v>1</v>
      </c>
      <c r="Q189" t="b">
        <v>0</v>
      </c>
      <c r="R189" t="b">
        <v>0</v>
      </c>
      <c r="S189" t="b">
        <v>1</v>
      </c>
      <c r="T189" t="b">
        <v>0</v>
      </c>
      <c r="W189" s="17"/>
      <c r="X189" s="688"/>
      <c r="AL189" t="str">
        <f>SUBSTITUTE(SUBSTITUTE(SUBSTITUTE("dpa"&amp;$B189&amp;$C189&amp;$D189&amp;$E189&amp;$F189,".","_"),"(","_"),")","")</f>
        <v>dpa504_2_3</v>
      </c>
      <c r="AM189">
        <f>M189</f>
        <v>4</v>
      </c>
      <c r="AN189" t="str">
        <f>SUBSTITUTE(SUBSTITUTE(SUBSTITUTE("dpc"&amp;$B189&amp;$C189&amp;$D189&amp;$E189&amp;$F189,".","_"),"(","_"),")","")</f>
        <v>dpc504_2_3</v>
      </c>
      <c r="AO189">
        <f>O189</f>
        <v>0</v>
      </c>
      <c r="AP189" t="str">
        <f>SUBSTITUTE(SUBSTITUTE(SUBSTITUTE("dch"&amp;$B189&amp;$C189&amp;$D189&amp;$E189&amp;$F189,".","_"),"(","_"),")","")</f>
        <v>dch504_2_3</v>
      </c>
      <c r="AQ189">
        <f>W189</f>
        <v>0</v>
      </c>
    </row>
    <row r="190" spans="2:45" ht="15" thickBot="1" x14ac:dyDescent="0.4">
      <c r="B190" s="13" t="s">
        <v>481</v>
      </c>
      <c r="C190" s="13"/>
      <c r="D190" s="13"/>
      <c r="E190" s="13" t="s">
        <v>274</v>
      </c>
      <c r="F190" s="13"/>
      <c r="G190" s="13"/>
      <c r="H190" s="552"/>
      <c r="I190" s="60"/>
      <c r="J190" s="60"/>
      <c r="K190" s="60"/>
      <c r="L190" s="708"/>
      <c r="M190" s="693"/>
      <c r="N190" s="58"/>
      <c r="O190" s="695"/>
      <c r="P190" s="58"/>
      <c r="Q190" s="58"/>
      <c r="R190" s="58"/>
      <c r="S190" s="58"/>
      <c r="T190" s="58"/>
      <c r="U190" s="58"/>
      <c r="V190" s="58"/>
      <c r="W190" s="58"/>
      <c r="X190" s="689"/>
    </row>
    <row r="191" spans="2:45" ht="15" thickTop="1" x14ac:dyDescent="0.35">
      <c r="B191" s="13" t="s">
        <v>486</v>
      </c>
      <c r="C191" s="13"/>
      <c r="D191" s="13"/>
      <c r="E191" s="13"/>
      <c r="F191" s="13"/>
      <c r="G191" s="13"/>
      <c r="H191" s="552"/>
      <c r="I191" s="50" t="s">
        <v>486</v>
      </c>
      <c r="J191" s="53"/>
      <c r="K191" s="53"/>
      <c r="L191" s="706" t="s">
        <v>487</v>
      </c>
      <c r="M191" s="43"/>
      <c r="O191" s="85"/>
      <c r="X191" s="700"/>
      <c r="AR191" t="str">
        <f>SUBSTITUTE(SUBSTITUTE(SUBSTITUTE("dnt"&amp;$B191&amp;$C191&amp;$D191&amp;$E191&amp;$F191,".","_"),"(","_"),")","")</f>
        <v>dnt504_3</v>
      </c>
      <c r="AS191">
        <f>X191</f>
        <v>0</v>
      </c>
    </row>
    <row r="192" spans="2:45" x14ac:dyDescent="0.35">
      <c r="B192" s="13" t="s">
        <v>486</v>
      </c>
      <c r="C192" s="13"/>
      <c r="D192" s="13"/>
      <c r="E192" s="13"/>
      <c r="F192" s="13"/>
      <c r="G192" s="13"/>
      <c r="H192" s="552"/>
      <c r="I192" s="53"/>
      <c r="J192" s="53"/>
      <c r="K192" s="53"/>
      <c r="L192" s="706"/>
      <c r="M192" s="43"/>
      <c r="O192" s="85"/>
      <c r="X192" s="688"/>
    </row>
    <row r="193" spans="2:45" x14ac:dyDescent="0.35">
      <c r="B193" s="13" t="s">
        <v>486</v>
      </c>
      <c r="C193" s="13"/>
      <c r="D193" s="13"/>
      <c r="E193" s="13"/>
      <c r="F193" s="13"/>
      <c r="G193" s="13"/>
      <c r="H193" s="552"/>
      <c r="I193" s="53"/>
      <c r="J193" s="53"/>
      <c r="K193" s="53"/>
      <c r="L193" s="706"/>
      <c r="M193" s="43"/>
      <c r="O193" s="85"/>
      <c r="X193" s="688"/>
    </row>
    <row r="194" spans="2:45" x14ac:dyDescent="0.35">
      <c r="B194" s="13" t="s">
        <v>486</v>
      </c>
      <c r="C194" s="13"/>
      <c r="D194" s="13"/>
      <c r="E194" s="13" t="s">
        <v>270</v>
      </c>
      <c r="F194" s="13"/>
      <c r="G194" s="13"/>
      <c r="H194" s="552"/>
      <c r="I194" s="53"/>
      <c r="J194" s="50" t="s">
        <v>270</v>
      </c>
      <c r="K194" s="53"/>
      <c r="L194" s="707" t="s">
        <v>488</v>
      </c>
      <c r="M194" s="690">
        <v>5</v>
      </c>
      <c r="O194" s="696">
        <f>M194*W194</f>
        <v>5</v>
      </c>
      <c r="P194" t="b">
        <v>1</v>
      </c>
      <c r="Q194" t="b">
        <v>0</v>
      </c>
      <c r="R194" t="b">
        <v>0</v>
      </c>
      <c r="S194" t="b">
        <v>1</v>
      </c>
      <c r="T194" t="b">
        <v>0</v>
      </c>
      <c r="W194" s="17" t="b">
        <v>1</v>
      </c>
      <c r="X194" s="688"/>
      <c r="AL194" t="str">
        <f>SUBSTITUTE(SUBSTITUTE(SUBSTITUTE("dpa"&amp;$B194&amp;$C194&amp;$D194&amp;$E194&amp;$F194,".","_"),"(","_"),")","")</f>
        <v>dpa504_3_1</v>
      </c>
      <c r="AM194">
        <f>M194</f>
        <v>5</v>
      </c>
      <c r="AN194" t="str">
        <f>SUBSTITUTE(SUBSTITUTE(SUBSTITUTE("dpc"&amp;$B194&amp;$C194&amp;$D194&amp;$E194&amp;$F194,".","_"),"(","_"),")","")</f>
        <v>dpc504_3_1</v>
      </c>
      <c r="AO194">
        <f>O194</f>
        <v>5</v>
      </c>
      <c r="AP194" t="str">
        <f>SUBSTITUTE(SUBSTITUTE(SUBSTITUTE("dch"&amp;$B194&amp;$C194&amp;$D194&amp;$E194&amp;$F194,".","_"),"(","_"),")","")</f>
        <v>dch504_3_1</v>
      </c>
      <c r="AQ194" t="b">
        <f>W194</f>
        <v>1</v>
      </c>
      <c r="AR194" t="str">
        <f>SUBSTITUTE(SUBSTITUTE(SUBSTITUTE("dnt"&amp;$B194&amp;$C194&amp;$D194&amp;$E194&amp;$F194,".","_"),"(","_"),")","")</f>
        <v>dnt504_3_1</v>
      </c>
      <c r="AS194">
        <f>X194</f>
        <v>0</v>
      </c>
    </row>
    <row r="195" spans="2:45" x14ac:dyDescent="0.35">
      <c r="B195" s="13" t="s">
        <v>486</v>
      </c>
      <c r="C195" s="13"/>
      <c r="D195" s="13"/>
      <c r="E195" s="13" t="s">
        <v>270</v>
      </c>
      <c r="F195" s="13"/>
      <c r="G195" s="13"/>
      <c r="H195" s="552"/>
      <c r="I195" s="53"/>
      <c r="J195" s="115"/>
      <c r="K195" s="118"/>
      <c r="L195" s="709"/>
      <c r="M195" s="691"/>
      <c r="N195" s="119"/>
      <c r="O195" s="697"/>
      <c r="X195" s="688"/>
    </row>
    <row r="196" spans="2:45" x14ac:dyDescent="0.35">
      <c r="B196" s="13" t="s">
        <v>486</v>
      </c>
      <c r="C196" s="13"/>
      <c r="D196" s="13"/>
      <c r="E196" s="13" t="s">
        <v>272</v>
      </c>
      <c r="F196" s="13"/>
      <c r="G196" s="13"/>
      <c r="H196" s="552"/>
      <c r="I196" s="53"/>
      <c r="J196" s="115" t="s">
        <v>272</v>
      </c>
      <c r="K196" s="118"/>
      <c r="L196" s="116" t="s">
        <v>489</v>
      </c>
      <c r="M196" s="198">
        <v>5</v>
      </c>
      <c r="N196" s="119"/>
      <c r="O196" s="342">
        <f>M196*W196</f>
        <v>5</v>
      </c>
      <c r="P196" t="b">
        <v>1</v>
      </c>
      <c r="Q196" t="b">
        <v>0</v>
      </c>
      <c r="R196" t="b">
        <v>0</v>
      </c>
      <c r="S196" t="b">
        <v>1</v>
      </c>
      <c r="T196" t="b">
        <v>0</v>
      </c>
      <c r="W196" s="17" t="b">
        <v>1</v>
      </c>
      <c r="X196" s="39"/>
      <c r="AL196" t="str">
        <f t="shared" ref="AL196:AL197" si="29">SUBSTITUTE(SUBSTITUTE(SUBSTITUTE("dpa"&amp;$B196&amp;$C196&amp;$D196&amp;$E196&amp;$F196,".","_"),"(","_"),")","")</f>
        <v>dpa504_3_2</v>
      </c>
      <c r="AM196">
        <f>M196</f>
        <v>5</v>
      </c>
      <c r="AN196" t="str">
        <f t="shared" ref="AN196:AN197" si="30">SUBSTITUTE(SUBSTITUTE(SUBSTITUTE("dpc"&amp;$B196&amp;$C196&amp;$D196&amp;$E196&amp;$F196,".","_"),"(","_"),")","")</f>
        <v>dpc504_3_2</v>
      </c>
      <c r="AO196">
        <f>O196</f>
        <v>5</v>
      </c>
      <c r="AP196" t="str">
        <f t="shared" ref="AP196:AP197" si="31">SUBSTITUTE(SUBSTITUTE(SUBSTITUTE("dch"&amp;$B196&amp;$C196&amp;$D196&amp;$E196&amp;$F196,".","_"),"(","_"),")","")</f>
        <v>dch504_3_2</v>
      </c>
      <c r="AQ196" t="b">
        <f>W196</f>
        <v>1</v>
      </c>
      <c r="AR196" t="str">
        <f>SUBSTITUTE(SUBSTITUTE(SUBSTITUTE("dnt"&amp;$B196&amp;$C196&amp;$D196&amp;$E196&amp;$F196,".","_"),"(","_"),")","")</f>
        <v>dnt504_3_2</v>
      </c>
      <c r="AS196">
        <f>X196</f>
        <v>0</v>
      </c>
    </row>
    <row r="197" spans="2:45" x14ac:dyDescent="0.35">
      <c r="B197" s="13" t="s">
        <v>486</v>
      </c>
      <c r="C197" s="13"/>
      <c r="D197" s="13"/>
      <c r="E197" s="13" t="s">
        <v>274</v>
      </c>
      <c r="F197" s="13"/>
      <c r="G197" s="13"/>
      <c r="H197" s="552"/>
      <c r="I197" s="53"/>
      <c r="J197" s="50" t="s">
        <v>274</v>
      </c>
      <c r="K197" s="53"/>
      <c r="L197" s="707" t="s">
        <v>490</v>
      </c>
      <c r="M197" s="690">
        <v>5</v>
      </c>
      <c r="O197" s="696">
        <f>M197*W197</f>
        <v>0</v>
      </c>
      <c r="P197" t="b">
        <v>1</v>
      </c>
      <c r="Q197" t="b">
        <v>0</v>
      </c>
      <c r="R197" t="b">
        <v>0</v>
      </c>
      <c r="S197" t="b">
        <v>1</v>
      </c>
      <c r="T197" t="b">
        <v>0</v>
      </c>
      <c r="W197" s="17"/>
      <c r="X197" s="688"/>
      <c r="AL197" t="str">
        <f t="shared" si="29"/>
        <v>dpa504_3_3</v>
      </c>
      <c r="AM197">
        <f>M197</f>
        <v>5</v>
      </c>
      <c r="AN197" t="str">
        <f t="shared" si="30"/>
        <v>dpc504_3_3</v>
      </c>
      <c r="AO197">
        <f>O197</f>
        <v>0</v>
      </c>
      <c r="AP197" t="str">
        <f t="shared" si="31"/>
        <v>dch504_3_3</v>
      </c>
      <c r="AQ197">
        <f>W197</f>
        <v>0</v>
      </c>
      <c r="AR197" t="str">
        <f>SUBSTITUTE(SUBSTITUTE(SUBSTITUTE("dnt"&amp;$B197&amp;$C197&amp;$D197&amp;$E197&amp;$F197,".","_"),"(","_"),")","")</f>
        <v>dnt504_3_3</v>
      </c>
      <c r="AS197">
        <f>X197</f>
        <v>0</v>
      </c>
    </row>
    <row r="198" spans="2:45" x14ac:dyDescent="0.35">
      <c r="B198" s="13" t="s">
        <v>486</v>
      </c>
      <c r="C198" s="13"/>
      <c r="D198" s="13"/>
      <c r="E198" s="13" t="s">
        <v>274</v>
      </c>
      <c r="F198" s="13"/>
      <c r="G198" s="13"/>
      <c r="H198" s="552"/>
      <c r="I198" s="53"/>
      <c r="J198" s="118"/>
      <c r="K198" s="118"/>
      <c r="L198" s="709"/>
      <c r="M198" s="691"/>
      <c r="N198" s="119"/>
      <c r="O198" s="697"/>
      <c r="X198" s="688"/>
    </row>
    <row r="199" spans="2:45" x14ac:dyDescent="0.35">
      <c r="B199" s="13" t="s">
        <v>486</v>
      </c>
      <c r="C199" s="13"/>
      <c r="D199" s="13"/>
      <c r="E199" s="13" t="s">
        <v>283</v>
      </c>
      <c r="F199" s="13"/>
      <c r="G199" s="13"/>
      <c r="H199" s="552"/>
      <c r="I199" s="53"/>
      <c r="J199" s="50" t="s">
        <v>283</v>
      </c>
      <c r="K199" s="53"/>
      <c r="L199" s="707" t="s">
        <v>491</v>
      </c>
      <c r="M199" s="690">
        <v>5</v>
      </c>
      <c r="O199" s="696">
        <f>M199*W199</f>
        <v>0</v>
      </c>
      <c r="P199" t="b">
        <v>1</v>
      </c>
      <c r="Q199" t="b">
        <v>0</v>
      </c>
      <c r="R199" t="b">
        <v>0</v>
      </c>
      <c r="S199" t="b">
        <v>1</v>
      </c>
      <c r="T199" t="b">
        <v>0</v>
      </c>
      <c r="W199" s="17"/>
      <c r="X199" s="688"/>
      <c r="AL199" t="str">
        <f>SUBSTITUTE(SUBSTITUTE(SUBSTITUTE("dpa"&amp;$B199&amp;$C199&amp;$D199&amp;$E199&amp;$F199,".","_"),"(","_"),")","")</f>
        <v>dpa504_3_4</v>
      </c>
      <c r="AM199">
        <f>M199</f>
        <v>5</v>
      </c>
      <c r="AN199" t="str">
        <f>SUBSTITUTE(SUBSTITUTE(SUBSTITUTE("dpc"&amp;$B199&amp;$C199&amp;$D199&amp;$E199&amp;$F199,".","_"),"(","_"),")","")</f>
        <v>dpc504_3_4</v>
      </c>
      <c r="AO199">
        <f>O199</f>
        <v>0</v>
      </c>
      <c r="AP199" t="str">
        <f>SUBSTITUTE(SUBSTITUTE(SUBSTITUTE("dch"&amp;$B199&amp;$C199&amp;$D199&amp;$E199&amp;$F199,".","_"),"(","_"),")","")</f>
        <v>dch504_3_4</v>
      </c>
      <c r="AQ199">
        <f>W199</f>
        <v>0</v>
      </c>
      <c r="AR199" t="str">
        <f>SUBSTITUTE(SUBSTITUTE(SUBSTITUTE("dnt"&amp;$B199&amp;$C199&amp;$D199&amp;$E199&amp;$F199,".","_"),"(","_"),")","")</f>
        <v>dnt504_3_4</v>
      </c>
      <c r="AS199">
        <f>X199</f>
        <v>0</v>
      </c>
    </row>
    <row r="200" spans="2:45" x14ac:dyDescent="0.35">
      <c r="B200" s="13" t="s">
        <v>486</v>
      </c>
      <c r="C200" s="13"/>
      <c r="D200" s="13"/>
      <c r="E200" s="13" t="s">
        <v>283</v>
      </c>
      <c r="F200" s="13"/>
      <c r="G200" s="13"/>
      <c r="H200" s="552"/>
      <c r="I200" s="53"/>
      <c r="J200" s="118"/>
      <c r="K200" s="118"/>
      <c r="L200" s="709"/>
      <c r="M200" s="691"/>
      <c r="N200" s="119"/>
      <c r="O200" s="697"/>
      <c r="X200" s="688"/>
    </row>
    <row r="201" spans="2:45" x14ac:dyDescent="0.35">
      <c r="B201" s="13" t="s">
        <v>486</v>
      </c>
      <c r="C201" s="13"/>
      <c r="D201" s="13"/>
      <c r="E201" s="13" t="s">
        <v>289</v>
      </c>
      <c r="F201" s="13"/>
      <c r="G201" s="13"/>
      <c r="H201" s="552"/>
      <c r="I201" s="53"/>
      <c r="J201" s="50" t="s">
        <v>289</v>
      </c>
      <c r="K201" s="53"/>
      <c r="L201" s="707" t="s">
        <v>492</v>
      </c>
      <c r="M201" s="690">
        <v>4</v>
      </c>
      <c r="O201" s="696">
        <f>M201*W201</f>
        <v>0</v>
      </c>
      <c r="P201" t="b">
        <v>1</v>
      </c>
      <c r="Q201" t="b">
        <v>0</v>
      </c>
      <c r="R201" t="b">
        <v>0</v>
      </c>
      <c r="S201" t="b">
        <v>1</v>
      </c>
      <c r="T201" t="b">
        <v>0</v>
      </c>
      <c r="W201" s="17"/>
      <c r="X201" s="688"/>
      <c r="AL201" t="str">
        <f>SUBSTITUTE(SUBSTITUTE(SUBSTITUTE("dpa"&amp;$B201&amp;$C201&amp;$D201&amp;$E201&amp;$F201,".","_"),"(","_"),")","")</f>
        <v>dpa504_3_5</v>
      </c>
      <c r="AM201">
        <f>M201</f>
        <v>4</v>
      </c>
      <c r="AN201" t="str">
        <f>SUBSTITUTE(SUBSTITUTE(SUBSTITUTE("dpc"&amp;$B201&amp;$C201&amp;$D201&amp;$E201&amp;$F201,".","_"),"(","_"),")","")</f>
        <v>dpc504_3_5</v>
      </c>
      <c r="AO201">
        <f>O201</f>
        <v>0</v>
      </c>
      <c r="AP201" t="str">
        <f>SUBSTITUTE(SUBSTITUTE(SUBSTITUTE("dch"&amp;$B201&amp;$C201&amp;$D201&amp;$E201&amp;$F201,".","_"),"(","_"),")","")</f>
        <v>dch504_3_5</v>
      </c>
      <c r="AQ201">
        <f>W201</f>
        <v>0</v>
      </c>
      <c r="AR201" t="str">
        <f>SUBSTITUTE(SUBSTITUTE(SUBSTITUTE("dnt"&amp;$B201&amp;$C201&amp;$D201&amp;$E201&amp;$F201,".","_"),"(","_"),")","")</f>
        <v>dnt504_3_5</v>
      </c>
      <c r="AS201">
        <f>X201</f>
        <v>0</v>
      </c>
    </row>
    <row r="202" spans="2:45" x14ac:dyDescent="0.35">
      <c r="B202" s="13" t="s">
        <v>486</v>
      </c>
      <c r="C202" s="13"/>
      <c r="D202" s="13"/>
      <c r="E202" s="13" t="s">
        <v>289</v>
      </c>
      <c r="F202" s="13"/>
      <c r="G202" s="13"/>
      <c r="H202" s="552"/>
      <c r="I202" s="53"/>
      <c r="J202" s="53"/>
      <c r="K202" s="53"/>
      <c r="L202" s="707"/>
      <c r="M202" s="690"/>
      <c r="O202" s="696"/>
      <c r="X202" s="688"/>
    </row>
    <row r="203" spans="2:45" x14ac:dyDescent="0.35">
      <c r="B203" s="13" t="s">
        <v>486</v>
      </c>
      <c r="C203" s="13"/>
      <c r="D203" s="13"/>
      <c r="E203" s="13" t="s">
        <v>289</v>
      </c>
      <c r="F203" s="13"/>
      <c r="G203" s="13"/>
      <c r="H203" s="552"/>
      <c r="I203" s="53"/>
      <c r="J203" s="53"/>
      <c r="K203" s="53"/>
      <c r="L203" s="707"/>
      <c r="M203" s="690"/>
      <c r="O203" s="696"/>
      <c r="X203" s="688"/>
    </row>
    <row r="204" spans="2:45" x14ac:dyDescent="0.35">
      <c r="B204" s="13" t="s">
        <v>486</v>
      </c>
      <c r="C204" s="13"/>
      <c r="D204" s="13"/>
      <c r="E204" s="13" t="s">
        <v>289</v>
      </c>
      <c r="F204" s="13"/>
      <c r="G204" s="13"/>
      <c r="H204" s="552"/>
      <c r="I204" s="53"/>
      <c r="J204" s="118"/>
      <c r="K204" s="118"/>
      <c r="L204" s="709"/>
      <c r="M204" s="691"/>
      <c r="N204" s="119"/>
      <c r="O204" s="697"/>
      <c r="X204" s="688"/>
    </row>
    <row r="205" spans="2:45" x14ac:dyDescent="0.35">
      <c r="B205" s="13" t="s">
        <v>486</v>
      </c>
      <c r="C205" s="13"/>
      <c r="D205" s="13"/>
      <c r="E205" s="13" t="s">
        <v>291</v>
      </c>
      <c r="F205" s="13"/>
      <c r="G205" s="13"/>
      <c r="H205" s="552"/>
      <c r="I205" s="53"/>
      <c r="J205" s="50" t="s">
        <v>291</v>
      </c>
      <c r="K205" s="53"/>
      <c r="L205" s="707" t="s">
        <v>493</v>
      </c>
      <c r="M205" s="690">
        <v>3</v>
      </c>
      <c r="O205" s="696">
        <f>M205*W205</f>
        <v>0</v>
      </c>
      <c r="P205" t="b">
        <v>1</v>
      </c>
      <c r="Q205" t="b">
        <v>0</v>
      </c>
      <c r="R205" t="b">
        <v>0</v>
      </c>
      <c r="S205" t="b">
        <v>1</v>
      </c>
      <c r="T205" t="b">
        <v>0</v>
      </c>
      <c r="W205" s="17"/>
      <c r="X205" s="688"/>
      <c r="AL205" t="str">
        <f>SUBSTITUTE(SUBSTITUTE(SUBSTITUTE("dpa"&amp;$B205&amp;$C205&amp;$D205&amp;$E205&amp;$F205,".","_"),"(","_"),")","")</f>
        <v>dpa504_3_6</v>
      </c>
      <c r="AM205">
        <f>M205</f>
        <v>3</v>
      </c>
      <c r="AN205" t="str">
        <f>SUBSTITUTE(SUBSTITUTE(SUBSTITUTE("dpc"&amp;$B205&amp;$C205&amp;$D205&amp;$E205&amp;$F205,".","_"),"(","_"),")","")</f>
        <v>dpc504_3_6</v>
      </c>
      <c r="AO205">
        <f>O205</f>
        <v>0</v>
      </c>
      <c r="AP205" t="str">
        <f>SUBSTITUTE(SUBSTITUTE(SUBSTITUTE("dch"&amp;$B205&amp;$C205&amp;$D205&amp;$E205&amp;$F205,".","_"),"(","_"),")","")</f>
        <v>dch504_3_6</v>
      </c>
      <c r="AQ205">
        <f>W205</f>
        <v>0</v>
      </c>
      <c r="AR205" t="str">
        <f>SUBSTITUTE(SUBSTITUTE(SUBSTITUTE("dnt"&amp;$B205&amp;$C205&amp;$D205&amp;$E205&amp;$F205,".","_"),"(","_"),")","")</f>
        <v>dnt504_3_6</v>
      </c>
      <c r="AS205">
        <f>X205</f>
        <v>0</v>
      </c>
    </row>
    <row r="206" spans="2:45" x14ac:dyDescent="0.35">
      <c r="B206" s="13" t="s">
        <v>486</v>
      </c>
      <c r="C206" s="13"/>
      <c r="D206" s="13"/>
      <c r="E206" s="13" t="s">
        <v>291</v>
      </c>
      <c r="F206" s="13"/>
      <c r="G206" s="13"/>
      <c r="H206" s="552"/>
      <c r="I206" s="53"/>
      <c r="J206" s="53"/>
      <c r="K206" s="53"/>
      <c r="L206" s="707"/>
      <c r="M206" s="690"/>
      <c r="O206" s="696"/>
      <c r="X206" s="688"/>
    </row>
    <row r="207" spans="2:45" x14ac:dyDescent="0.35">
      <c r="B207" s="13" t="s">
        <v>486</v>
      </c>
      <c r="C207" s="13"/>
      <c r="D207" s="13"/>
      <c r="E207" s="13" t="s">
        <v>291</v>
      </c>
      <c r="F207" s="13"/>
      <c r="G207" s="13"/>
      <c r="H207" s="552"/>
      <c r="I207" s="53"/>
      <c r="J207" s="118"/>
      <c r="K207" s="118"/>
      <c r="L207" s="709"/>
      <c r="M207" s="691"/>
      <c r="N207" s="119"/>
      <c r="O207" s="697"/>
      <c r="X207" s="688"/>
    </row>
    <row r="208" spans="2:45" x14ac:dyDescent="0.35">
      <c r="B208" s="13" t="s">
        <v>486</v>
      </c>
      <c r="C208" s="13"/>
      <c r="D208" s="13"/>
      <c r="E208" s="13" t="s">
        <v>403</v>
      </c>
      <c r="F208" s="13"/>
      <c r="G208" s="13"/>
      <c r="H208" s="552"/>
      <c r="I208" s="53"/>
      <c r="J208" s="115" t="s">
        <v>403</v>
      </c>
      <c r="K208" s="118"/>
      <c r="L208" s="116" t="s">
        <v>494</v>
      </c>
      <c r="M208" s="198">
        <v>3</v>
      </c>
      <c r="N208" s="119"/>
      <c r="O208" s="342">
        <f>M208*W208</f>
        <v>0</v>
      </c>
      <c r="P208" t="b">
        <v>1</v>
      </c>
      <c r="Q208" t="b">
        <v>1</v>
      </c>
      <c r="R208" t="b">
        <v>0</v>
      </c>
      <c r="S208" t="b">
        <v>1</v>
      </c>
      <c r="T208" t="b">
        <v>0</v>
      </c>
      <c r="W208" s="17"/>
      <c r="X208" s="39"/>
      <c r="AL208" t="str">
        <f t="shared" ref="AL208:AL209" si="32">SUBSTITUTE(SUBSTITUTE(SUBSTITUTE("dpa"&amp;$B208&amp;$C208&amp;$D208&amp;$E208&amp;$F208,".","_"),"(","_"),")","")</f>
        <v>dpa504_3_7</v>
      </c>
      <c r="AM208">
        <f>M208</f>
        <v>3</v>
      </c>
      <c r="AN208" t="str">
        <f t="shared" ref="AN208:AN209" si="33">SUBSTITUTE(SUBSTITUTE(SUBSTITUTE("dpc"&amp;$B208&amp;$C208&amp;$D208&amp;$E208&amp;$F208,".","_"),"(","_"),")","")</f>
        <v>dpc504_3_7</v>
      </c>
      <c r="AO208">
        <f>O208</f>
        <v>0</v>
      </c>
      <c r="AP208" t="str">
        <f>SUBSTITUTE(SUBSTITUTE(SUBSTITUTE("dch"&amp;$B208&amp;$C208&amp;$D208&amp;$E208&amp;$F208,".","_"),"(","_"),")","")</f>
        <v>dch504_3_7</v>
      </c>
      <c r="AQ208">
        <f>W208</f>
        <v>0</v>
      </c>
      <c r="AR208" t="str">
        <f>SUBSTITUTE(SUBSTITUTE(SUBSTITUTE("dnt"&amp;$B208&amp;$C208&amp;$D208&amp;$E208&amp;$F208,".","_"),"(","_"),")","")</f>
        <v>dnt504_3_7</v>
      </c>
      <c r="AS208">
        <f>X208</f>
        <v>0</v>
      </c>
    </row>
    <row r="209" spans="2:45" ht="15" customHeight="1" x14ac:dyDescent="0.35">
      <c r="B209" s="13" t="s">
        <v>486</v>
      </c>
      <c r="C209" s="13"/>
      <c r="D209" s="13"/>
      <c r="E209" s="13" t="s">
        <v>453</v>
      </c>
      <c r="F209" s="13"/>
      <c r="G209" s="13"/>
      <c r="H209" s="552"/>
      <c r="I209" s="53"/>
      <c r="J209" s="50" t="s">
        <v>453</v>
      </c>
      <c r="K209" s="53"/>
      <c r="L209" s="103" t="s">
        <v>3177</v>
      </c>
      <c r="M209" s="690">
        <v>5</v>
      </c>
      <c r="O209" s="696">
        <f>M209*MIN(1,(W210+W211+W212+W213+W214+W215))</f>
        <v>0</v>
      </c>
      <c r="X209" s="688"/>
      <c r="AC209" t="b">
        <f>OR(AD209:AE209)</f>
        <v>0</v>
      </c>
      <c r="AD209" t="b">
        <v>0</v>
      </c>
      <c r="AE209" t="b">
        <f>AND(W209=TRUE,LEN(X209)=0)</f>
        <v>0</v>
      </c>
      <c r="AL209" t="str">
        <f t="shared" si="32"/>
        <v>dpa504_3_8</v>
      </c>
      <c r="AM209">
        <f>M209</f>
        <v>5</v>
      </c>
      <c r="AN209" t="str">
        <f t="shared" si="33"/>
        <v>dpc504_3_8</v>
      </c>
      <c r="AO209">
        <f>O209</f>
        <v>0</v>
      </c>
      <c r="AR209" t="str">
        <f>SUBSTITUTE(SUBSTITUTE(SUBSTITUTE("dnt"&amp;$B209&amp;$C209&amp;$D209&amp;$E209&amp;$F209,".","_"),"(","_"),")","")</f>
        <v>dnt504_3_8</v>
      </c>
      <c r="AS209">
        <f>X209</f>
        <v>0</v>
      </c>
    </row>
    <row r="210" spans="2:45" x14ac:dyDescent="0.35">
      <c r="B210" s="13" t="s">
        <v>486</v>
      </c>
      <c r="C210" s="13"/>
      <c r="D210" s="13"/>
      <c r="E210" s="13" t="s">
        <v>453</v>
      </c>
      <c r="F210" s="13" t="s">
        <v>3170</v>
      </c>
      <c r="G210" s="13"/>
      <c r="H210" s="552"/>
      <c r="I210" s="53"/>
      <c r="J210" s="53"/>
      <c r="K210" s="53"/>
      <c r="L210" s="103" t="s">
        <v>3183</v>
      </c>
      <c r="M210" s="690"/>
      <c r="O210" s="696"/>
      <c r="P210" t="b">
        <v>1</v>
      </c>
      <c r="Q210" t="b">
        <v>1</v>
      </c>
      <c r="R210" t="b">
        <v>0</v>
      </c>
      <c r="S210" t="b">
        <v>1</v>
      </c>
      <c r="T210" t="b">
        <v>0</v>
      </c>
      <c r="W210" s="17"/>
      <c r="X210" s="688"/>
      <c r="AP210" t="str">
        <f t="shared" ref="AP210:AP215" si="34">SUBSTITUTE(SUBSTITUTE(SUBSTITUTE("dch"&amp;$B210&amp;$C210&amp;$D210&amp;$E210&amp;$F210,".","_"),"(","_"),")","")</f>
        <v>dch504_3_8a</v>
      </c>
      <c r="AQ210">
        <f t="shared" ref="AQ210:AQ215" si="35">W210</f>
        <v>0</v>
      </c>
    </row>
    <row r="211" spans="2:45" x14ac:dyDescent="0.35">
      <c r="B211" s="13" t="s">
        <v>486</v>
      </c>
      <c r="C211" s="13"/>
      <c r="D211" s="13"/>
      <c r="E211" s="13" t="s">
        <v>453</v>
      </c>
      <c r="F211" s="13" t="s">
        <v>3171</v>
      </c>
      <c r="G211" s="13"/>
      <c r="H211" s="552"/>
      <c r="I211" s="53"/>
      <c r="J211" s="53"/>
      <c r="K211" s="53"/>
      <c r="L211" s="103" t="s">
        <v>3182</v>
      </c>
      <c r="M211" s="690"/>
      <c r="O211" s="696"/>
      <c r="P211" t="b">
        <v>1</v>
      </c>
      <c r="Q211" t="b">
        <v>1</v>
      </c>
      <c r="R211" t="b">
        <v>0</v>
      </c>
      <c r="S211" t="b">
        <v>1</v>
      </c>
      <c r="T211" t="b">
        <v>0</v>
      </c>
      <c r="W211" s="17"/>
      <c r="X211" s="688"/>
      <c r="AP211" t="str">
        <f t="shared" si="34"/>
        <v>dch504_3_8b</v>
      </c>
      <c r="AQ211">
        <f t="shared" si="35"/>
        <v>0</v>
      </c>
    </row>
    <row r="212" spans="2:45" x14ac:dyDescent="0.35">
      <c r="B212" s="13" t="s">
        <v>486</v>
      </c>
      <c r="C212" s="13"/>
      <c r="D212" s="13"/>
      <c r="E212" s="13" t="s">
        <v>453</v>
      </c>
      <c r="F212" s="13" t="s">
        <v>3172</v>
      </c>
      <c r="G212" s="13"/>
      <c r="H212" s="552"/>
      <c r="I212" s="53"/>
      <c r="J212" s="53"/>
      <c r="K212" s="53"/>
      <c r="L212" s="103" t="s">
        <v>3181</v>
      </c>
      <c r="M212" s="690"/>
      <c r="O212" s="696"/>
      <c r="P212" t="b">
        <v>1</v>
      </c>
      <c r="Q212" t="b">
        <v>1</v>
      </c>
      <c r="R212" t="b">
        <v>0</v>
      </c>
      <c r="S212" t="b">
        <v>1</v>
      </c>
      <c r="T212" t="b">
        <v>0</v>
      </c>
      <c r="W212" s="17"/>
      <c r="X212" s="688"/>
      <c r="AP212" t="str">
        <f t="shared" si="34"/>
        <v>dch504_3_8c</v>
      </c>
      <c r="AQ212">
        <f t="shared" si="35"/>
        <v>0</v>
      </c>
    </row>
    <row r="213" spans="2:45" x14ac:dyDescent="0.35">
      <c r="B213" s="13" t="s">
        <v>486</v>
      </c>
      <c r="C213" s="13"/>
      <c r="D213" s="13"/>
      <c r="E213" s="13" t="s">
        <v>453</v>
      </c>
      <c r="F213" s="13" t="s">
        <v>3173</v>
      </c>
      <c r="G213" s="13"/>
      <c r="H213" s="552"/>
      <c r="I213" s="53"/>
      <c r="J213" s="53"/>
      <c r="K213" s="53"/>
      <c r="L213" s="103" t="s">
        <v>3180</v>
      </c>
      <c r="M213" s="690"/>
      <c r="O213" s="696"/>
      <c r="P213" t="b">
        <v>1</v>
      </c>
      <c r="Q213" t="b">
        <v>1</v>
      </c>
      <c r="R213" t="b">
        <v>0</v>
      </c>
      <c r="S213" t="b">
        <v>1</v>
      </c>
      <c r="T213" t="b">
        <v>0</v>
      </c>
      <c r="W213" s="17"/>
      <c r="X213" s="688"/>
      <c r="AP213" t="str">
        <f t="shared" si="34"/>
        <v>dch504_3_8d</v>
      </c>
      <c r="AQ213">
        <f t="shared" si="35"/>
        <v>0</v>
      </c>
    </row>
    <row r="214" spans="2:45" x14ac:dyDescent="0.35">
      <c r="B214" s="13" t="s">
        <v>486</v>
      </c>
      <c r="C214" s="13"/>
      <c r="D214" s="13"/>
      <c r="E214" s="13" t="s">
        <v>453</v>
      </c>
      <c r="F214" s="13" t="s">
        <v>3174</v>
      </c>
      <c r="G214" s="13"/>
      <c r="H214" s="552"/>
      <c r="I214" s="53"/>
      <c r="J214" s="53"/>
      <c r="K214" s="53"/>
      <c r="L214" s="103" t="s">
        <v>3179</v>
      </c>
      <c r="M214" s="690"/>
      <c r="O214" s="696"/>
      <c r="P214" t="b">
        <v>1</v>
      </c>
      <c r="Q214" t="b">
        <v>1</v>
      </c>
      <c r="R214" t="b">
        <v>0</v>
      </c>
      <c r="S214" t="b">
        <v>1</v>
      </c>
      <c r="T214" t="b">
        <v>0</v>
      </c>
      <c r="W214" s="17"/>
      <c r="X214" s="688"/>
      <c r="AP214" t="str">
        <f t="shared" si="34"/>
        <v>dch504_3_8e</v>
      </c>
      <c r="AQ214">
        <f t="shared" si="35"/>
        <v>0</v>
      </c>
    </row>
    <row r="215" spans="2:45" x14ac:dyDescent="0.35">
      <c r="B215" s="13" t="s">
        <v>486</v>
      </c>
      <c r="C215" s="13"/>
      <c r="D215" s="13"/>
      <c r="E215" s="13" t="s">
        <v>453</v>
      </c>
      <c r="F215" s="13" t="s">
        <v>3175</v>
      </c>
      <c r="G215" s="13"/>
      <c r="H215" s="552"/>
      <c r="I215" s="53"/>
      <c r="J215" s="53"/>
      <c r="K215" s="53"/>
      <c r="L215" s="103" t="s">
        <v>3178</v>
      </c>
      <c r="M215" s="690"/>
      <c r="O215" s="696"/>
      <c r="P215" t="b">
        <v>1</v>
      </c>
      <c r="Q215" t="b">
        <v>1</v>
      </c>
      <c r="R215" t="b">
        <v>0</v>
      </c>
      <c r="S215" t="b">
        <v>1</v>
      </c>
      <c r="T215" t="b">
        <v>0</v>
      </c>
      <c r="W215" s="17"/>
      <c r="X215" s="688"/>
      <c r="AC215" t="b">
        <f>OR(AD215:AE215)</f>
        <v>0</v>
      </c>
      <c r="AD215" t="b">
        <v>0</v>
      </c>
      <c r="AE215" t="b">
        <f>AND(W215=TRUE,LEN(X209)=0)</f>
        <v>0</v>
      </c>
      <c r="AP215" t="str">
        <f t="shared" si="34"/>
        <v>dch504_3_8f</v>
      </c>
      <c r="AQ215">
        <f t="shared" si="35"/>
        <v>0</v>
      </c>
    </row>
    <row r="216" spans="2:45" x14ac:dyDescent="0.35">
      <c r="B216" s="13" t="s">
        <v>486</v>
      </c>
      <c r="C216" s="13"/>
      <c r="D216" s="13"/>
      <c r="E216" s="13" t="s">
        <v>453</v>
      </c>
      <c r="F216" s="13"/>
      <c r="G216" s="13"/>
      <c r="H216" s="552"/>
      <c r="I216" s="53"/>
      <c r="J216" s="118"/>
      <c r="K216" s="118"/>
      <c r="L216" s="121" t="s">
        <v>3176</v>
      </c>
      <c r="M216" s="691"/>
      <c r="N216" s="119"/>
      <c r="O216" s="697"/>
      <c r="X216" s="688"/>
    </row>
    <row r="217" spans="2:45" x14ac:dyDescent="0.35">
      <c r="B217" s="13" t="s">
        <v>486</v>
      </c>
      <c r="C217" s="13"/>
      <c r="D217" s="13"/>
      <c r="E217" s="13" t="s">
        <v>455</v>
      </c>
      <c r="F217" s="13"/>
      <c r="G217" s="13"/>
      <c r="H217" s="552"/>
      <c r="I217" s="53"/>
      <c r="J217" s="50" t="s">
        <v>455</v>
      </c>
      <c r="K217" s="53"/>
      <c r="L217" s="46" t="s">
        <v>495</v>
      </c>
      <c r="M217" s="43">
        <v>3</v>
      </c>
      <c r="O217" s="85">
        <f>M217*W217</f>
        <v>3</v>
      </c>
      <c r="P217" t="b">
        <v>1</v>
      </c>
      <c r="Q217" t="b">
        <v>1</v>
      </c>
      <c r="R217" t="b">
        <v>0</v>
      </c>
      <c r="S217" t="b">
        <v>1</v>
      </c>
      <c r="T217" t="b">
        <v>0</v>
      </c>
      <c r="W217" s="17" t="b">
        <v>1</v>
      </c>
      <c r="X217" s="39"/>
      <c r="AL217" t="str">
        <f>SUBSTITUTE(SUBSTITUTE(SUBSTITUTE("dpa"&amp;$B217&amp;$C217&amp;$D217&amp;$E217&amp;$F217,".","_"),"(","_"),")","")</f>
        <v>dpa504_3_9</v>
      </c>
      <c r="AM217">
        <f>M217</f>
        <v>3</v>
      </c>
      <c r="AN217" t="str">
        <f>SUBSTITUTE(SUBSTITUTE(SUBSTITUTE("dpc"&amp;$B217&amp;$C217&amp;$D217&amp;$E217&amp;$F217,".","_"),"(","_"),")","")</f>
        <v>dpc504_3_9</v>
      </c>
      <c r="AO217">
        <f>O217</f>
        <v>3</v>
      </c>
      <c r="AP217" t="str">
        <f>SUBSTITUTE(SUBSTITUTE(SUBSTITUTE("dch"&amp;$B217&amp;$C217&amp;$D217&amp;$E217&amp;$F217,".","_"),"(","_"),")","")</f>
        <v>dch504_3_9</v>
      </c>
      <c r="AQ217" t="b">
        <f>W217</f>
        <v>1</v>
      </c>
      <c r="AR217" t="str">
        <f>SUBSTITUTE(SUBSTITUTE(SUBSTITUTE("dnt"&amp;$B217&amp;$C217&amp;$D217&amp;$E217&amp;$F217,".","_"),"(","_"),")","")</f>
        <v>dnt504_3_9</v>
      </c>
      <c r="AS217">
        <f>X217</f>
        <v>0</v>
      </c>
    </row>
    <row r="218" spans="2:45" ht="18.5" x14ac:dyDescent="0.45">
      <c r="B218" s="13" t="s">
        <v>496</v>
      </c>
      <c r="C218" s="13"/>
      <c r="D218" s="13"/>
      <c r="E218" s="13"/>
      <c r="F218" s="13"/>
      <c r="G218" s="13"/>
      <c r="H218" s="552"/>
      <c r="I218" s="38" t="s">
        <v>497</v>
      </c>
      <c r="J218" s="38"/>
      <c r="K218" s="38"/>
      <c r="L218" s="47"/>
      <c r="M218" s="286"/>
      <c r="N218" s="15"/>
      <c r="O218" s="340"/>
      <c r="P218" s="15"/>
      <c r="Q218" s="15"/>
      <c r="R218" s="15"/>
      <c r="S218" s="15"/>
      <c r="T218" s="15"/>
      <c r="U218" s="15"/>
      <c r="V218" s="15"/>
      <c r="W218" s="15"/>
      <c r="X218" s="15"/>
    </row>
    <row r="219" spans="2:45" x14ac:dyDescent="0.35">
      <c r="B219" s="13" t="s">
        <v>4356</v>
      </c>
      <c r="C219" s="13"/>
      <c r="D219" s="13"/>
      <c r="E219" s="13"/>
      <c r="F219" s="13"/>
      <c r="G219" s="13"/>
      <c r="H219" s="552"/>
      <c r="I219" s="50" t="s">
        <v>4356</v>
      </c>
      <c r="J219" s="53"/>
      <c r="K219" s="53"/>
      <c r="L219" s="706" t="s">
        <v>498</v>
      </c>
      <c r="M219" s="43"/>
      <c r="O219" s="85"/>
      <c r="X219" s="68"/>
    </row>
    <row r="220" spans="2:45" x14ac:dyDescent="0.35">
      <c r="B220" s="13" t="s">
        <v>4356</v>
      </c>
      <c r="C220" s="13"/>
      <c r="D220" s="13"/>
      <c r="E220" s="13"/>
      <c r="F220" s="13"/>
      <c r="G220" s="13"/>
      <c r="H220" s="552"/>
      <c r="I220" s="53"/>
      <c r="J220" s="53"/>
      <c r="K220" s="53"/>
      <c r="L220" s="706"/>
      <c r="M220" s="43"/>
      <c r="O220" s="85"/>
      <c r="X220" s="68"/>
    </row>
    <row r="221" spans="2:45" ht="15" thickBot="1" x14ac:dyDescent="0.4">
      <c r="B221" s="13" t="s">
        <v>4356</v>
      </c>
      <c r="C221" s="13"/>
      <c r="D221" s="13"/>
      <c r="E221" s="13"/>
      <c r="F221" s="13"/>
      <c r="G221" s="13"/>
      <c r="H221" s="552"/>
      <c r="I221" s="60"/>
      <c r="J221" s="60"/>
      <c r="K221" s="60"/>
      <c r="L221" s="710"/>
      <c r="M221" s="270"/>
      <c r="N221" s="58"/>
      <c r="O221" s="184"/>
      <c r="P221" s="58"/>
      <c r="Q221" s="58"/>
      <c r="R221" s="58"/>
      <c r="S221" s="58"/>
      <c r="T221" s="58"/>
      <c r="U221" s="58"/>
      <c r="V221" s="58"/>
      <c r="W221" s="58"/>
      <c r="X221" s="67"/>
    </row>
    <row r="222" spans="2:45" ht="15" thickTop="1" x14ac:dyDescent="0.35">
      <c r="B222" s="13" t="s">
        <v>499</v>
      </c>
      <c r="C222" s="13"/>
      <c r="D222" s="13"/>
      <c r="E222" s="13"/>
      <c r="F222" s="13"/>
      <c r="G222" s="13"/>
      <c r="H222" s="552"/>
      <c r="I222" s="50" t="s">
        <v>499</v>
      </c>
      <c r="J222" s="53"/>
      <c r="K222" s="53"/>
      <c r="L222" s="706" t="s">
        <v>500</v>
      </c>
      <c r="M222" s="43"/>
      <c r="O222" s="85"/>
    </row>
    <row r="223" spans="2:45" x14ac:dyDescent="0.35">
      <c r="B223" s="13" t="s">
        <v>499</v>
      </c>
      <c r="C223" s="13"/>
      <c r="D223" s="13"/>
      <c r="E223" s="13"/>
      <c r="F223" s="13"/>
      <c r="G223" s="13"/>
      <c r="H223" s="552"/>
      <c r="I223" s="53"/>
      <c r="J223" s="53"/>
      <c r="K223" s="53"/>
      <c r="L223" s="706"/>
      <c r="M223" s="43"/>
      <c r="O223" s="85"/>
    </row>
    <row r="224" spans="2:45" x14ac:dyDescent="0.35">
      <c r="B224" s="13" t="s">
        <v>499</v>
      </c>
      <c r="C224" s="13"/>
      <c r="D224" s="13"/>
      <c r="E224" s="13" t="s">
        <v>270</v>
      </c>
      <c r="F224" s="13"/>
      <c r="G224" s="13"/>
      <c r="H224" s="552"/>
      <c r="I224" s="53"/>
      <c r="J224" s="50" t="s">
        <v>270</v>
      </c>
      <c r="K224" s="53"/>
      <c r="L224" s="707" t="s">
        <v>501</v>
      </c>
      <c r="M224" s="690">
        <v>5</v>
      </c>
      <c r="O224" s="696">
        <f>M224*S224*W224</f>
        <v>0</v>
      </c>
      <c r="P224" t="b">
        <v>0</v>
      </c>
      <c r="Q224" t="b">
        <v>1</v>
      </c>
      <c r="R224" t="b">
        <v>0</v>
      </c>
      <c r="S224" t="b">
        <v>1</v>
      </c>
      <c r="T224" t="b">
        <v>0</v>
      </c>
      <c r="W224" s="17"/>
      <c r="X224" s="698"/>
      <c r="AL224" t="str">
        <f>SUBSTITUTE(SUBSTITUTE(SUBSTITUTE("dpa"&amp;$B224&amp;$C224&amp;$D224&amp;$E224&amp;$F224,".","_"),"(","_"),")","")</f>
        <v>dpa505_1_1</v>
      </c>
      <c r="AM224">
        <f>M224</f>
        <v>5</v>
      </c>
      <c r="AN224" t="str">
        <f>SUBSTITUTE(SUBSTITUTE(SUBSTITUTE("dpc"&amp;$B224&amp;$C224&amp;$D224&amp;$E224&amp;$F224,".","_"),"(","_"),")","")</f>
        <v>dpc505_1_1</v>
      </c>
      <c r="AO224">
        <f>O224</f>
        <v>0</v>
      </c>
      <c r="AP224" t="str">
        <f>SUBSTITUTE(SUBSTITUTE(SUBSTITUTE("dch"&amp;$B224&amp;$C224&amp;$D224&amp;$E224&amp;$F224,".","_"),"(","_"),")","")</f>
        <v>dch505_1_1</v>
      </c>
      <c r="AQ224">
        <f>W224</f>
        <v>0</v>
      </c>
      <c r="AR224" t="str">
        <f>SUBSTITUTE(SUBSTITUTE(SUBSTITUTE("dnt"&amp;$B224&amp;$C224&amp;$D224&amp;$E224&amp;$F224,".","_"),"(","_"),")","")</f>
        <v>dnt505_1_1</v>
      </c>
      <c r="AS224">
        <f>X224</f>
        <v>0</v>
      </c>
    </row>
    <row r="225" spans="2:45" x14ac:dyDescent="0.35">
      <c r="B225" s="13" t="s">
        <v>499</v>
      </c>
      <c r="C225" s="13"/>
      <c r="D225" s="13"/>
      <c r="E225" s="13" t="s">
        <v>270</v>
      </c>
      <c r="F225" s="13"/>
      <c r="G225" s="13"/>
      <c r="H225" s="552"/>
      <c r="I225" s="53"/>
      <c r="J225" s="115"/>
      <c r="K225" s="118"/>
      <c r="L225" s="709"/>
      <c r="M225" s="691"/>
      <c r="N225" s="119"/>
      <c r="O225" s="697"/>
      <c r="X225" s="700"/>
    </row>
    <row r="226" spans="2:45" x14ac:dyDescent="0.35">
      <c r="B226" s="13" t="s">
        <v>499</v>
      </c>
      <c r="C226" s="13"/>
      <c r="D226" s="13"/>
      <c r="E226" s="13" t="s">
        <v>272</v>
      </c>
      <c r="F226" s="13"/>
      <c r="G226" s="13"/>
      <c r="H226" s="552"/>
      <c r="I226" s="53"/>
      <c r="J226" s="115" t="s">
        <v>272</v>
      </c>
      <c r="K226" s="118"/>
      <c r="L226" s="116" t="s">
        <v>502</v>
      </c>
      <c r="M226" s="198">
        <v>5</v>
      </c>
      <c r="N226" s="119"/>
      <c r="O226" s="342">
        <f ca="1">M226*S226*W226</f>
        <v>0</v>
      </c>
      <c r="P226" t="b">
        <v>0</v>
      </c>
      <c r="Q226" t="b">
        <v>1</v>
      </c>
      <c r="R226" t="b">
        <v>0</v>
      </c>
      <c r="S226" t="b">
        <f ca="1">IF($AY$19=INDEX(INDIRECT("ddSingleOrMulti"),2),TRUE,FALSE)</f>
        <v>0</v>
      </c>
      <c r="T226" t="b">
        <f ca="1">AND(NOT(S226),W226=TRUE)</f>
        <v>0</v>
      </c>
      <c r="W226" s="17"/>
      <c r="X226" s="39"/>
      <c r="AC226" t="b">
        <f ca="1">OR(AD226:AE226)</f>
        <v>0</v>
      </c>
      <c r="AD226" t="b">
        <f ca="1">T226</f>
        <v>0</v>
      </c>
      <c r="AL226" t="str">
        <f>SUBSTITUTE(SUBSTITUTE(SUBSTITUTE("dpa"&amp;$B226&amp;$C226&amp;$D226&amp;$E226&amp;$F226,".","_"),"(","_"),")","")</f>
        <v>dpa505_1_2</v>
      </c>
      <c r="AM226">
        <f>M226</f>
        <v>5</v>
      </c>
      <c r="AN226" t="str">
        <f t="shared" ref="AN226:AN227" si="36">SUBSTITUTE(SUBSTITUTE(SUBSTITUTE("dpc"&amp;$B226&amp;$C226&amp;$D226&amp;$E226&amp;$F226,".","_"),"(","_"),")","")</f>
        <v>dpc505_1_2</v>
      </c>
      <c r="AO226">
        <f ca="1">O226</f>
        <v>0</v>
      </c>
      <c r="AP226" t="str">
        <f t="shared" ref="AP226:AP227" si="37">SUBSTITUTE(SUBSTITUTE(SUBSTITUTE("dch"&amp;$B226&amp;$C226&amp;$D226&amp;$E226&amp;$F226,".","_"),"(","_"),")","")</f>
        <v>dch505_1_2</v>
      </c>
      <c r="AQ226">
        <f>W226</f>
        <v>0</v>
      </c>
      <c r="AR226" t="str">
        <f>SUBSTITUTE(SUBSTITUTE(SUBSTITUTE("dnt"&amp;$B226&amp;$C226&amp;$D226&amp;$E226&amp;$F226,".","_"),"(","_"),")","")</f>
        <v>dnt505_1_2</v>
      </c>
      <c r="AS226">
        <f>X226</f>
        <v>0</v>
      </c>
    </row>
    <row r="227" spans="2:45" x14ac:dyDescent="0.35">
      <c r="B227" s="13" t="s">
        <v>499</v>
      </c>
      <c r="C227" s="13"/>
      <c r="D227" s="13"/>
      <c r="E227" s="13" t="s">
        <v>274</v>
      </c>
      <c r="F227" s="13"/>
      <c r="G227" s="13"/>
      <c r="H227" s="552"/>
      <c r="I227" s="53"/>
      <c r="J227" s="50" t="s">
        <v>274</v>
      </c>
      <c r="K227" s="53"/>
      <c r="L227" s="46" t="s">
        <v>503</v>
      </c>
      <c r="M227" s="43"/>
      <c r="O227" s="85">
        <f ca="1">S227*IFERROR(INDEX({4,5,6},MATCH(W227,INDIRECT(U227),0)),0)</f>
        <v>0</v>
      </c>
      <c r="P227" t="b">
        <v>0</v>
      </c>
      <c r="Q227" t="b">
        <v>1</v>
      </c>
      <c r="R227" t="b">
        <v>0</v>
      </c>
      <c r="S227" t="b">
        <v>1</v>
      </c>
      <c r="T227" t="b">
        <v>0</v>
      </c>
      <c r="U227" t="str">
        <f>SUBSTITUTE(SUBSTITUTE(SUBSTITUTE("dd"&amp;B227&amp;C227&amp;D227&amp;E227&amp;F227,".","_"),"(","_"),")","")</f>
        <v>dd505_1_3</v>
      </c>
      <c r="W227" s="9"/>
      <c r="X227" s="698"/>
      <c r="AN227" t="str">
        <f t="shared" si="36"/>
        <v>dpc505_1_3</v>
      </c>
      <c r="AO227">
        <f ca="1">O227</f>
        <v>0</v>
      </c>
      <c r="AP227" t="str">
        <f t="shared" si="37"/>
        <v>dch505_1_3</v>
      </c>
      <c r="AQ227">
        <f>W227</f>
        <v>0</v>
      </c>
      <c r="AR227" t="str">
        <f>SUBSTITUTE(SUBSTITUTE(SUBSTITUTE("dnt"&amp;$B227&amp;$C227&amp;$D227&amp;$E227&amp;$F227,".","_"),"(","_"),")","")</f>
        <v>dnt505_1_3</v>
      </c>
      <c r="AS227">
        <f>X227</f>
        <v>0</v>
      </c>
    </row>
    <row r="228" spans="2:45" x14ac:dyDescent="0.35">
      <c r="B228" s="13" t="s">
        <v>499</v>
      </c>
      <c r="C228" s="13"/>
      <c r="D228" s="13"/>
      <c r="E228" s="13" t="s">
        <v>274</v>
      </c>
      <c r="F228" s="12" t="s">
        <v>121</v>
      </c>
      <c r="H228" s="552"/>
      <c r="I228" s="49"/>
      <c r="J228" s="53"/>
      <c r="K228" s="50" t="s">
        <v>121</v>
      </c>
      <c r="L228" s="46" t="s">
        <v>504</v>
      </c>
      <c r="M228" s="43">
        <v>4</v>
      </c>
      <c r="O228" s="85"/>
      <c r="R228" t="b">
        <v>0</v>
      </c>
      <c r="S228" t="b">
        <v>1</v>
      </c>
      <c r="T228" t="b">
        <v>0</v>
      </c>
      <c r="X228" s="699"/>
      <c r="AL228" t="str">
        <f t="shared" ref="AL228:AL230" si="38">SUBSTITUTE(SUBSTITUTE(SUBSTITUTE("dpa"&amp;$B228&amp;$C228&amp;$D228&amp;$E228&amp;$F228,".","_"),"(","_"),")","")</f>
        <v>dpa505_1_3_a</v>
      </c>
      <c r="AM228">
        <f>M228</f>
        <v>4</v>
      </c>
    </row>
    <row r="229" spans="2:45" x14ac:dyDescent="0.35">
      <c r="B229" s="13" t="s">
        <v>499</v>
      </c>
      <c r="C229" s="13"/>
      <c r="D229" s="13"/>
      <c r="E229" s="13" t="s">
        <v>274</v>
      </c>
      <c r="F229" s="12" t="s">
        <v>122</v>
      </c>
      <c r="H229" s="552"/>
      <c r="I229" s="49"/>
      <c r="J229" s="53"/>
      <c r="K229" s="50" t="s">
        <v>122</v>
      </c>
      <c r="L229" s="46" t="s">
        <v>505</v>
      </c>
      <c r="M229" s="43">
        <v>5</v>
      </c>
      <c r="O229" s="85"/>
      <c r="R229" t="b">
        <v>0</v>
      </c>
      <c r="S229" t="b">
        <v>1</v>
      </c>
      <c r="T229" t="b">
        <v>0</v>
      </c>
      <c r="X229" s="699"/>
      <c r="AL229" t="str">
        <f t="shared" si="38"/>
        <v>dpa505_1_3_b</v>
      </c>
      <c r="AM229">
        <f>M229</f>
        <v>5</v>
      </c>
    </row>
    <row r="230" spans="2:45" x14ac:dyDescent="0.35">
      <c r="B230" s="13" t="s">
        <v>499</v>
      </c>
      <c r="C230" s="13"/>
      <c r="D230" s="13"/>
      <c r="E230" s="13" t="s">
        <v>274</v>
      </c>
      <c r="F230" s="12" t="s">
        <v>123</v>
      </c>
      <c r="H230" s="552"/>
      <c r="I230" s="49"/>
      <c r="J230" s="118"/>
      <c r="K230" s="120" t="s">
        <v>123</v>
      </c>
      <c r="L230" s="116" t="s">
        <v>411</v>
      </c>
      <c r="M230" s="198">
        <v>6</v>
      </c>
      <c r="N230" s="119"/>
      <c r="O230" s="342"/>
      <c r="R230" t="b">
        <v>0</v>
      </c>
      <c r="S230" t="b">
        <v>1</v>
      </c>
      <c r="T230" t="b">
        <v>0</v>
      </c>
      <c r="X230" s="700"/>
      <c r="AL230" t="str">
        <f t="shared" si="38"/>
        <v>dpa505_1_3_c</v>
      </c>
      <c r="AM230">
        <f>M230</f>
        <v>6</v>
      </c>
    </row>
    <row r="231" spans="2:45" x14ac:dyDescent="0.35">
      <c r="B231" s="13" t="s">
        <v>499</v>
      </c>
      <c r="C231" s="13"/>
      <c r="D231" s="13"/>
      <c r="E231" s="13" t="s">
        <v>283</v>
      </c>
      <c r="F231" s="13"/>
      <c r="G231" s="13"/>
      <c r="H231" s="552"/>
      <c r="I231" s="53"/>
      <c r="J231" s="50" t="s">
        <v>283</v>
      </c>
      <c r="K231" s="53"/>
      <c r="L231" s="707" t="s">
        <v>506</v>
      </c>
      <c r="M231" s="43"/>
      <c r="O231" s="696">
        <f ca="1">S231*IFERROR(INDEX({1,2,3},MATCH(W231,INDIRECT(U231),0)),0)</f>
        <v>0</v>
      </c>
      <c r="P231" t="b">
        <v>0</v>
      </c>
      <c r="Q231" t="b">
        <v>1</v>
      </c>
      <c r="R231" t="b">
        <v>0</v>
      </c>
      <c r="S231" t="b">
        <v>1</v>
      </c>
      <c r="T231" t="b">
        <v>0</v>
      </c>
      <c r="U231" t="str">
        <f>SUBSTITUTE(SUBSTITUTE(SUBSTITUTE("dd"&amp;B231&amp;C231&amp;D231&amp;E231&amp;F231,".","_"),"(","_"),")","")</f>
        <v>dd505_1_4</v>
      </c>
      <c r="W231" s="9"/>
      <c r="X231" s="698"/>
      <c r="AN231" t="str">
        <f>SUBSTITUTE(SUBSTITUTE(SUBSTITUTE("dpc"&amp;$B231&amp;$C231&amp;$D231&amp;$E231&amp;$F231,".","_"),"(","_"),")","")</f>
        <v>dpc505_1_4</v>
      </c>
      <c r="AO231">
        <f ca="1">O231</f>
        <v>0</v>
      </c>
      <c r="AP231" t="str">
        <f>SUBSTITUTE(SUBSTITUTE(SUBSTITUTE("dch"&amp;$B231&amp;$C231&amp;$D231&amp;$E231&amp;$F231,".","_"),"(","_"),")","")</f>
        <v>dch505_1_4</v>
      </c>
      <c r="AQ231">
        <f>W231</f>
        <v>0</v>
      </c>
      <c r="AR231" t="str">
        <f>SUBSTITUTE(SUBSTITUTE(SUBSTITUTE("dnt"&amp;$B231&amp;$C231&amp;$D231&amp;$E231&amp;$F231,".","_"),"(","_"),")","")</f>
        <v>dnt505_1_4</v>
      </c>
      <c r="AS231">
        <f>X231</f>
        <v>0</v>
      </c>
    </row>
    <row r="232" spans="2:45" x14ac:dyDescent="0.35">
      <c r="B232" s="13" t="s">
        <v>499</v>
      </c>
      <c r="C232" s="13"/>
      <c r="D232" s="13"/>
      <c r="E232" s="13" t="s">
        <v>283</v>
      </c>
      <c r="F232" s="13"/>
      <c r="G232" s="13"/>
      <c r="H232" s="552"/>
      <c r="I232" s="53"/>
      <c r="J232" s="53"/>
      <c r="K232" s="53"/>
      <c r="L232" s="707"/>
      <c r="M232" s="43"/>
      <c r="O232" s="696"/>
      <c r="X232" s="699"/>
    </row>
    <row r="233" spans="2:45" x14ac:dyDescent="0.35">
      <c r="B233" s="13" t="s">
        <v>499</v>
      </c>
      <c r="C233" s="13"/>
      <c r="D233" s="13"/>
      <c r="E233" s="13" t="s">
        <v>283</v>
      </c>
      <c r="F233" s="12" t="s">
        <v>121</v>
      </c>
      <c r="H233" s="552"/>
      <c r="I233" s="49"/>
      <c r="J233" s="53"/>
      <c r="K233" s="50" t="s">
        <v>121</v>
      </c>
      <c r="L233" s="46" t="s">
        <v>507</v>
      </c>
      <c r="M233" s="43">
        <v>1</v>
      </c>
      <c r="O233" s="85"/>
      <c r="R233" t="b">
        <v>0</v>
      </c>
      <c r="S233" t="b">
        <v>1</v>
      </c>
      <c r="T233" t="b">
        <v>0</v>
      </c>
      <c r="X233" s="699"/>
      <c r="AL233" t="str">
        <f t="shared" ref="AL233:AL235" si="39">SUBSTITUTE(SUBSTITUTE(SUBSTITUTE("dpa"&amp;$B233&amp;$C233&amp;$D233&amp;$E233&amp;$F233,".","_"),"(","_"),")","")</f>
        <v>dpa505_1_4_a</v>
      </c>
      <c r="AM233">
        <f>M233</f>
        <v>1</v>
      </c>
    </row>
    <row r="234" spans="2:45" x14ac:dyDescent="0.35">
      <c r="B234" s="13" t="s">
        <v>499</v>
      </c>
      <c r="C234" s="13"/>
      <c r="D234" s="13"/>
      <c r="E234" s="13" t="s">
        <v>283</v>
      </c>
      <c r="F234" s="12" t="s">
        <v>122</v>
      </c>
      <c r="H234" s="552"/>
      <c r="I234" s="49"/>
      <c r="J234" s="53"/>
      <c r="K234" s="50" t="s">
        <v>122</v>
      </c>
      <c r="L234" s="46" t="s">
        <v>410</v>
      </c>
      <c r="M234" s="43">
        <v>2</v>
      </c>
      <c r="O234" s="85"/>
      <c r="R234" t="b">
        <v>0</v>
      </c>
      <c r="S234" t="b">
        <v>1</v>
      </c>
      <c r="T234" t="b">
        <v>0</v>
      </c>
      <c r="X234" s="699"/>
      <c r="AL234" t="str">
        <f t="shared" si="39"/>
        <v>dpa505_1_4_b</v>
      </c>
      <c r="AM234">
        <f>M234</f>
        <v>2</v>
      </c>
    </row>
    <row r="235" spans="2:45" ht="15" thickBot="1" x14ac:dyDescent="0.4">
      <c r="B235" s="13" t="s">
        <v>499</v>
      </c>
      <c r="C235" s="13"/>
      <c r="D235" s="13"/>
      <c r="E235" s="13" t="s">
        <v>283</v>
      </c>
      <c r="F235" s="12" t="s">
        <v>123</v>
      </c>
      <c r="H235" s="552"/>
      <c r="I235" s="70"/>
      <c r="J235" s="60"/>
      <c r="K235" s="66" t="s">
        <v>123</v>
      </c>
      <c r="L235" s="56" t="s">
        <v>411</v>
      </c>
      <c r="M235" s="270">
        <v>3</v>
      </c>
      <c r="N235" s="58"/>
      <c r="O235" s="184"/>
      <c r="P235" s="58"/>
      <c r="Q235" s="58"/>
      <c r="R235" s="58" t="b">
        <v>0</v>
      </c>
      <c r="S235" s="58" t="b">
        <v>1</v>
      </c>
      <c r="T235" s="58" t="b">
        <v>0</v>
      </c>
      <c r="U235" s="58"/>
      <c r="V235" s="58"/>
      <c r="W235" s="58"/>
      <c r="X235" s="701"/>
      <c r="AL235" t="str">
        <f t="shared" si="39"/>
        <v>dpa505_1_4_c</v>
      </c>
      <c r="AM235">
        <f>M235</f>
        <v>3</v>
      </c>
    </row>
    <row r="236" spans="2:45" ht="15" thickTop="1" x14ac:dyDescent="0.35">
      <c r="B236" s="13" t="s">
        <v>508</v>
      </c>
      <c r="C236" s="13"/>
      <c r="D236" s="13"/>
      <c r="E236" s="13"/>
      <c r="F236" s="13"/>
      <c r="G236" s="13"/>
      <c r="H236" s="552"/>
      <c r="I236" s="50" t="s">
        <v>509</v>
      </c>
      <c r="J236" s="53"/>
      <c r="K236" s="53"/>
      <c r="L236" s="48" t="s">
        <v>510</v>
      </c>
      <c r="M236" s="43"/>
      <c r="O236" s="85"/>
    </row>
    <row r="237" spans="2:45" x14ac:dyDescent="0.35">
      <c r="B237" s="13" t="s">
        <v>508</v>
      </c>
      <c r="C237" s="13"/>
      <c r="D237" s="13"/>
      <c r="E237" s="13" t="s">
        <v>270</v>
      </c>
      <c r="F237" s="13"/>
      <c r="G237" s="13"/>
      <c r="H237" s="552"/>
      <c r="I237" s="53"/>
      <c r="J237" s="50" t="s">
        <v>270</v>
      </c>
      <c r="K237" s="53"/>
      <c r="L237" s="707" t="s">
        <v>511</v>
      </c>
      <c r="M237" s="690">
        <v>5</v>
      </c>
      <c r="O237" s="696">
        <f>M237*MIN(1,W239+W242+W246)</f>
        <v>5</v>
      </c>
      <c r="R237" t="b">
        <v>0</v>
      </c>
      <c r="S237" t="b">
        <v>1</v>
      </c>
      <c r="T237" t="b">
        <v>0</v>
      </c>
      <c r="X237" s="698" t="s">
        <v>4841</v>
      </c>
      <c r="AL237" t="str">
        <f>SUBSTITUTE(SUBSTITUTE(SUBSTITUTE("dpa"&amp;$B237&amp;$C237&amp;$D237&amp;$E237&amp;$F237,".","_"),"(","_"),")","")</f>
        <v>dpa505_2_1</v>
      </c>
      <c r="AM237">
        <f>M237</f>
        <v>5</v>
      </c>
      <c r="AN237" t="str">
        <f>SUBSTITUTE(SUBSTITUTE(SUBSTITUTE("dpc"&amp;$B237&amp;$C237&amp;$D237&amp;$E237&amp;$F237,".","_"),"(","_"),")","")</f>
        <v>dpc505_2_1</v>
      </c>
      <c r="AO237">
        <f>O237</f>
        <v>5</v>
      </c>
      <c r="AR237" t="str">
        <f>SUBSTITUTE(SUBSTITUTE(SUBSTITUTE("dnt"&amp;$B237&amp;$C237&amp;$D237&amp;$E237&amp;$F237,".","_"),"(","_"),")","")</f>
        <v>dnt505_2_1</v>
      </c>
      <c r="AS237" t="str">
        <f>X237</f>
        <v>CertainTeed Landmark Solaris Shingles - Crystal Gray</v>
      </c>
    </row>
    <row r="238" spans="2:45" x14ac:dyDescent="0.35">
      <c r="B238" s="13" t="s">
        <v>508</v>
      </c>
      <c r="C238" s="13"/>
      <c r="D238" s="13"/>
      <c r="E238" s="13" t="s">
        <v>270</v>
      </c>
      <c r="F238" s="13"/>
      <c r="G238" s="13"/>
      <c r="H238" s="552"/>
      <c r="I238" s="53"/>
      <c r="J238" s="53"/>
      <c r="K238" s="53"/>
      <c r="L238" s="707"/>
      <c r="M238" s="690"/>
      <c r="O238" s="696"/>
      <c r="X238" s="699"/>
    </row>
    <row r="239" spans="2:45" x14ac:dyDescent="0.35">
      <c r="B239" s="13" t="s">
        <v>508</v>
      </c>
      <c r="C239" s="13"/>
      <c r="D239" s="13"/>
      <c r="E239" s="13" t="s">
        <v>270</v>
      </c>
      <c r="F239" s="12" t="s">
        <v>121</v>
      </c>
      <c r="H239" s="552"/>
      <c r="I239" s="49"/>
      <c r="J239" s="53"/>
      <c r="K239" s="50" t="s">
        <v>121</v>
      </c>
      <c r="L239" s="707" t="s">
        <v>512</v>
      </c>
      <c r="M239" s="43"/>
      <c r="O239" s="85"/>
      <c r="P239" t="b">
        <v>0</v>
      </c>
      <c r="Q239" t="b">
        <v>1</v>
      </c>
      <c r="R239" t="b">
        <v>0</v>
      </c>
      <c r="S239" t="b">
        <v>1</v>
      </c>
      <c r="T239" t="b">
        <v>0</v>
      </c>
      <c r="W239" s="17"/>
      <c r="X239" s="699"/>
      <c r="AP239" t="str">
        <f>SUBSTITUTE(SUBSTITUTE(SUBSTITUTE("dch"&amp;$B239&amp;$C239&amp;$D239&amp;$E239&amp;$F239,".","_"),"(","_"),")","")</f>
        <v>dch505_2_1_a</v>
      </c>
      <c r="AQ239">
        <f>W239</f>
        <v>0</v>
      </c>
    </row>
    <row r="240" spans="2:45" x14ac:dyDescent="0.35">
      <c r="B240" s="13" t="s">
        <v>508</v>
      </c>
      <c r="C240" s="13"/>
      <c r="D240" s="13"/>
      <c r="E240" s="13" t="s">
        <v>270</v>
      </c>
      <c r="F240" s="12" t="s">
        <v>121</v>
      </c>
      <c r="H240" s="552"/>
      <c r="I240" s="49"/>
      <c r="J240" s="53"/>
      <c r="K240" s="53"/>
      <c r="L240" s="707"/>
      <c r="M240" s="43"/>
      <c r="O240" s="85"/>
      <c r="X240" s="699"/>
    </row>
    <row r="241" spans="2:45" x14ac:dyDescent="0.35">
      <c r="B241" s="13" t="s">
        <v>508</v>
      </c>
      <c r="C241" s="13"/>
      <c r="D241" s="13"/>
      <c r="E241" s="13" t="s">
        <v>270</v>
      </c>
      <c r="F241" s="12" t="s">
        <v>121</v>
      </c>
      <c r="H241" s="552"/>
      <c r="I241" s="49"/>
      <c r="J241" s="53"/>
      <c r="K241" s="53"/>
      <c r="L241" s="707"/>
      <c r="M241" s="43"/>
      <c r="O241" s="85"/>
      <c r="X241" s="699"/>
    </row>
    <row r="242" spans="2:45" x14ac:dyDescent="0.35">
      <c r="B242" s="13" t="s">
        <v>508</v>
      </c>
      <c r="C242" s="13"/>
      <c r="D242" s="13"/>
      <c r="E242" s="13" t="s">
        <v>270</v>
      </c>
      <c r="F242" s="12" t="s">
        <v>122</v>
      </c>
      <c r="H242" s="552"/>
      <c r="I242" s="49"/>
      <c r="J242" s="53"/>
      <c r="K242" s="50" t="s">
        <v>122</v>
      </c>
      <c r="L242" s="707" t="s">
        <v>513</v>
      </c>
      <c r="M242" s="43"/>
      <c r="O242" s="85"/>
      <c r="P242" t="b">
        <v>0</v>
      </c>
      <c r="Q242" t="b">
        <v>1</v>
      </c>
      <c r="R242" t="b">
        <v>0</v>
      </c>
      <c r="S242" t="b">
        <v>1</v>
      </c>
      <c r="T242" t="b">
        <v>0</v>
      </c>
      <c r="W242" s="17" t="b">
        <v>1</v>
      </c>
      <c r="X242" s="699"/>
      <c r="AP242" t="str">
        <f>SUBSTITUTE(SUBSTITUTE(SUBSTITUTE("dch"&amp;$B242&amp;$C242&amp;$D242&amp;$E242&amp;$F242,".","_"),"(","_"),")","")</f>
        <v>dch505_2_1_b</v>
      </c>
      <c r="AQ242" t="b">
        <f>W242</f>
        <v>1</v>
      </c>
    </row>
    <row r="243" spans="2:45" x14ac:dyDescent="0.35">
      <c r="B243" s="13" t="s">
        <v>508</v>
      </c>
      <c r="C243" s="13"/>
      <c r="D243" s="13"/>
      <c r="E243" s="13" t="s">
        <v>270</v>
      </c>
      <c r="F243" s="12" t="s">
        <v>122</v>
      </c>
      <c r="H243" s="552"/>
      <c r="I243" s="49"/>
      <c r="J243" s="53"/>
      <c r="K243" s="53"/>
      <c r="L243" s="707"/>
      <c r="M243" s="43"/>
      <c r="O243" s="85"/>
      <c r="X243" s="699"/>
    </row>
    <row r="244" spans="2:45" x14ac:dyDescent="0.35">
      <c r="B244" s="13" t="s">
        <v>508</v>
      </c>
      <c r="C244" s="13"/>
      <c r="D244" s="13"/>
      <c r="E244" s="13" t="s">
        <v>270</v>
      </c>
      <c r="F244" s="12" t="s">
        <v>122</v>
      </c>
      <c r="H244" s="552"/>
      <c r="I244" s="49"/>
      <c r="J244" s="53"/>
      <c r="K244" s="53"/>
      <c r="L244" s="707"/>
      <c r="M244" s="43"/>
      <c r="O244" s="85"/>
      <c r="X244" s="699"/>
    </row>
    <row r="245" spans="2:45" x14ac:dyDescent="0.35">
      <c r="B245" s="13" t="s">
        <v>508</v>
      </c>
      <c r="C245" s="13"/>
      <c r="D245" s="13"/>
      <c r="E245" s="13" t="s">
        <v>270</v>
      </c>
      <c r="F245" s="12" t="s">
        <v>122</v>
      </c>
      <c r="H245" s="552"/>
      <c r="I245" s="49"/>
      <c r="J245" s="53"/>
      <c r="K245" s="53"/>
      <c r="L245" s="707"/>
      <c r="M245" s="43"/>
      <c r="O245" s="85"/>
      <c r="X245" s="699"/>
    </row>
    <row r="246" spans="2:45" x14ac:dyDescent="0.35">
      <c r="B246" s="13" t="s">
        <v>508</v>
      </c>
      <c r="C246" s="13"/>
      <c r="D246" s="13"/>
      <c r="E246" s="13" t="s">
        <v>270</v>
      </c>
      <c r="F246" s="12" t="s">
        <v>123</v>
      </c>
      <c r="H246" s="552"/>
      <c r="I246" s="49"/>
      <c r="J246" s="118"/>
      <c r="K246" s="120" t="s">
        <v>123</v>
      </c>
      <c r="L246" s="116" t="s">
        <v>514</v>
      </c>
      <c r="M246" s="198"/>
      <c r="N246" s="119"/>
      <c r="O246" s="342"/>
      <c r="P246" t="b">
        <v>0</v>
      </c>
      <c r="Q246" t="b">
        <v>1</v>
      </c>
      <c r="R246" t="b">
        <v>0</v>
      </c>
      <c r="S246" t="b">
        <v>1</v>
      </c>
      <c r="T246" t="b">
        <v>0</v>
      </c>
      <c r="W246" s="17"/>
      <c r="X246" s="700"/>
      <c r="AP246" t="str">
        <f t="shared" ref="AP246:AP247" si="40">SUBSTITUTE(SUBSTITUTE(SUBSTITUTE("dch"&amp;$B246&amp;$C246&amp;$D246&amp;$E246&amp;$F246,".","_"),"(","_"),")","")</f>
        <v>dch505_2_1_c</v>
      </c>
      <c r="AQ246">
        <f>W246</f>
        <v>0</v>
      </c>
    </row>
    <row r="247" spans="2:45" x14ac:dyDescent="0.35">
      <c r="B247" s="13" t="s">
        <v>508</v>
      </c>
      <c r="C247" s="13"/>
      <c r="D247" s="13"/>
      <c r="E247" s="13" t="s">
        <v>272</v>
      </c>
      <c r="F247" s="13"/>
      <c r="G247" s="13"/>
      <c r="H247" s="552"/>
      <c r="I247" s="53"/>
      <c r="J247" s="50" t="s">
        <v>272</v>
      </c>
      <c r="K247" s="53"/>
      <c r="L247" s="707" t="s">
        <v>515</v>
      </c>
      <c r="M247" s="690">
        <v>5</v>
      </c>
      <c r="O247" s="696">
        <f>M247*W247</f>
        <v>0</v>
      </c>
      <c r="P247" t="b">
        <v>0</v>
      </c>
      <c r="Q247" t="b">
        <v>1</v>
      </c>
      <c r="R247" t="b">
        <v>0</v>
      </c>
      <c r="S247" t="b">
        <v>1</v>
      </c>
      <c r="T247" t="b">
        <v>0</v>
      </c>
      <c r="W247" s="17"/>
      <c r="X247" s="698"/>
      <c r="AL247" t="str">
        <f>SUBSTITUTE(SUBSTITUTE(SUBSTITUTE("dpa"&amp;$B247&amp;$C247&amp;$D247&amp;$E247&amp;$F247,".","_"),"(","_"),")","")</f>
        <v>dpa505_2_2</v>
      </c>
      <c r="AM247">
        <f>M247</f>
        <v>5</v>
      </c>
      <c r="AN247" t="str">
        <f>SUBSTITUTE(SUBSTITUTE(SUBSTITUTE("dpc"&amp;$B247&amp;$C247&amp;$D247&amp;$E247&amp;$F247,".","_"),"(","_"),")","")</f>
        <v>dpc505_2_2</v>
      </c>
      <c r="AO247">
        <f>O247</f>
        <v>0</v>
      </c>
      <c r="AP247" t="str">
        <f t="shared" si="40"/>
        <v>dch505_2_2</v>
      </c>
      <c r="AQ247">
        <f>W247</f>
        <v>0</v>
      </c>
      <c r="AR247" t="str">
        <f>SUBSTITUTE(SUBSTITUTE(SUBSTITUTE("dnt"&amp;$B247&amp;$C247&amp;$D247&amp;$E247&amp;$F247,".","_"),"(","_"),")","")</f>
        <v>dnt505_2_2</v>
      </c>
      <c r="AS247">
        <f>X247</f>
        <v>0</v>
      </c>
    </row>
    <row r="248" spans="2:45" x14ac:dyDescent="0.35">
      <c r="B248" s="13" t="s">
        <v>508</v>
      </c>
      <c r="C248" s="13"/>
      <c r="D248" s="13"/>
      <c r="E248" s="13" t="s">
        <v>272</v>
      </c>
      <c r="F248" s="13"/>
      <c r="G248" s="13"/>
      <c r="H248" s="552"/>
      <c r="I248" s="53"/>
      <c r="J248" s="53"/>
      <c r="K248" s="53"/>
      <c r="L248" s="707"/>
      <c r="M248" s="690"/>
      <c r="O248" s="696"/>
      <c r="X248" s="699"/>
    </row>
    <row r="249" spans="2:45" ht="15" thickBot="1" x14ac:dyDescent="0.4">
      <c r="B249" s="13" t="s">
        <v>508</v>
      </c>
      <c r="C249" s="13"/>
      <c r="D249" s="13"/>
      <c r="E249" s="13" t="s">
        <v>272</v>
      </c>
      <c r="F249" s="13"/>
      <c r="G249" s="13"/>
      <c r="H249" s="552"/>
      <c r="I249" s="60"/>
      <c r="J249" s="60"/>
      <c r="K249" s="60"/>
      <c r="L249" s="708"/>
      <c r="M249" s="693"/>
      <c r="N249" s="58"/>
      <c r="O249" s="695"/>
      <c r="P249" s="58"/>
      <c r="Q249" s="58"/>
      <c r="R249" s="58"/>
      <c r="S249" s="58"/>
      <c r="T249" s="58"/>
      <c r="U249" s="58"/>
      <c r="V249" s="58"/>
      <c r="W249" s="58"/>
      <c r="X249" s="701"/>
    </row>
    <row r="250" spans="2:45" ht="15" thickTop="1" x14ac:dyDescent="0.35">
      <c r="B250" s="13" t="s">
        <v>516</v>
      </c>
      <c r="C250" s="13"/>
      <c r="D250" s="13"/>
      <c r="E250" s="13"/>
      <c r="F250" s="13"/>
      <c r="G250" s="13"/>
      <c r="H250" s="552"/>
      <c r="I250" s="50" t="s">
        <v>516</v>
      </c>
      <c r="J250" s="53"/>
      <c r="K250" s="53"/>
      <c r="L250" s="48" t="s">
        <v>517</v>
      </c>
      <c r="M250" s="43"/>
      <c r="O250" s="85">
        <f ca="1">S250*IFERROR(INDEX({4,5,6,7,8},MATCH(W250,INDIRECT(U250),0)),0)</f>
        <v>0</v>
      </c>
      <c r="P250" t="b">
        <v>1</v>
      </c>
      <c r="Q250" t="b">
        <v>1</v>
      </c>
      <c r="R250" t="b">
        <v>0</v>
      </c>
      <c r="S250" t="b">
        <v>1</v>
      </c>
      <c r="T250" t="b">
        <v>0</v>
      </c>
      <c r="U250" t="str">
        <f>SUBSTITUTE(SUBSTITUTE(SUBSTITUTE("dd"&amp;B250&amp;C250&amp;D250&amp;E250&amp;F250,".","_"),"(","_"),")","")</f>
        <v>dd505_3</v>
      </c>
      <c r="W250" s="9"/>
      <c r="X250" s="687"/>
      <c r="AN250" t="str">
        <f>SUBSTITUTE(SUBSTITUTE(SUBSTITUTE("dpc"&amp;$B250&amp;$C250&amp;$D250&amp;$E250&amp;$F250,".","_"),"(","_"),")","")</f>
        <v>dpc505_3</v>
      </c>
      <c r="AO250">
        <f ca="1">O250</f>
        <v>0</v>
      </c>
      <c r="AP250" t="str">
        <f>SUBSTITUTE(SUBSTITUTE(SUBSTITUTE("dch"&amp;$B250&amp;$C250&amp;$D250&amp;$E250&amp;$F250,".","_"),"(","_"),")","")</f>
        <v>dch505_3</v>
      </c>
      <c r="AQ250">
        <f>W250</f>
        <v>0</v>
      </c>
      <c r="AR250" t="str">
        <f>SUBSTITUTE(SUBSTITUTE(SUBSTITUTE("dnt"&amp;$B250&amp;$C250&amp;$D250&amp;$E250&amp;$F250,".","_"),"(","_"),")","")</f>
        <v>dnt505_3</v>
      </c>
      <c r="AS250">
        <f>X250</f>
        <v>0</v>
      </c>
    </row>
    <row r="251" spans="2:45" x14ac:dyDescent="0.35">
      <c r="B251" s="13" t="s">
        <v>516</v>
      </c>
      <c r="C251" s="13"/>
      <c r="D251" s="13"/>
      <c r="E251" s="13" t="s">
        <v>270</v>
      </c>
      <c r="F251" s="13"/>
      <c r="G251" s="13"/>
      <c r="H251" s="552"/>
      <c r="I251" s="53"/>
      <c r="J251" s="115" t="s">
        <v>270</v>
      </c>
      <c r="K251" s="118"/>
      <c r="L251" s="116" t="s">
        <v>518</v>
      </c>
      <c r="M251" s="198">
        <v>4</v>
      </c>
      <c r="O251" s="85"/>
      <c r="X251" s="688"/>
      <c r="AL251" t="str">
        <f t="shared" ref="AL251:AL257" si="41">SUBSTITUTE(SUBSTITUTE(SUBSTITUTE("dpa"&amp;$B251&amp;$C251&amp;$D251&amp;$E251&amp;$F251,".","_"),"(","_"),")","")</f>
        <v>dpa505_3_1</v>
      </c>
      <c r="AM251">
        <f t="shared" ref="AM251:AM257" si="42">M251</f>
        <v>4</v>
      </c>
    </row>
    <row r="252" spans="2:45" x14ac:dyDescent="0.35">
      <c r="B252" s="13" t="s">
        <v>516</v>
      </c>
      <c r="C252" s="13"/>
      <c r="D252" s="13"/>
      <c r="E252" s="13" t="s">
        <v>272</v>
      </c>
      <c r="F252" s="13"/>
      <c r="G252" s="13"/>
      <c r="H252" s="552"/>
      <c r="I252" s="53"/>
      <c r="J252" s="115" t="s">
        <v>272</v>
      </c>
      <c r="K252" s="118"/>
      <c r="L252" s="116" t="s">
        <v>519</v>
      </c>
      <c r="M252" s="198">
        <v>5</v>
      </c>
      <c r="O252" s="85"/>
      <c r="X252" s="688"/>
      <c r="AL252" t="str">
        <f t="shared" si="41"/>
        <v>dpa505_3_2</v>
      </c>
      <c r="AM252">
        <f t="shared" si="42"/>
        <v>5</v>
      </c>
    </row>
    <row r="253" spans="2:45" x14ac:dyDescent="0.35">
      <c r="B253" s="13" t="s">
        <v>516</v>
      </c>
      <c r="C253" s="13"/>
      <c r="D253" s="13"/>
      <c r="E253" s="13" t="s">
        <v>274</v>
      </c>
      <c r="F253" s="13"/>
      <c r="G253" s="13"/>
      <c r="H253" s="552"/>
      <c r="I253" s="53"/>
      <c r="J253" s="115" t="s">
        <v>274</v>
      </c>
      <c r="K253" s="118"/>
      <c r="L253" s="116" t="s">
        <v>520</v>
      </c>
      <c r="M253" s="198">
        <v>6</v>
      </c>
      <c r="O253" s="85"/>
      <c r="X253" s="688"/>
      <c r="AL253" t="str">
        <f t="shared" si="41"/>
        <v>dpa505_3_3</v>
      </c>
      <c r="AM253">
        <f t="shared" si="42"/>
        <v>6</v>
      </c>
    </row>
    <row r="254" spans="2:45" x14ac:dyDescent="0.35">
      <c r="B254" s="13" t="s">
        <v>516</v>
      </c>
      <c r="C254" s="13"/>
      <c r="D254" s="13"/>
      <c r="E254" s="13" t="s">
        <v>283</v>
      </c>
      <c r="F254" s="13"/>
      <c r="G254" s="13"/>
      <c r="H254" s="552"/>
      <c r="I254" s="53"/>
      <c r="J254" s="115" t="s">
        <v>283</v>
      </c>
      <c r="K254" s="118"/>
      <c r="L254" s="116" t="s">
        <v>521</v>
      </c>
      <c r="M254" s="198">
        <v>7</v>
      </c>
      <c r="O254" s="85"/>
      <c r="X254" s="688"/>
      <c r="AL254" t="str">
        <f t="shared" si="41"/>
        <v>dpa505_3_4</v>
      </c>
      <c r="AM254">
        <f t="shared" si="42"/>
        <v>7</v>
      </c>
    </row>
    <row r="255" spans="2:45" ht="15" thickBot="1" x14ac:dyDescent="0.4">
      <c r="B255" s="13" t="s">
        <v>516</v>
      </c>
      <c r="C255" s="13"/>
      <c r="D255" s="13"/>
      <c r="E255" s="13" t="s">
        <v>289</v>
      </c>
      <c r="F255" s="13"/>
      <c r="G255" s="13"/>
      <c r="H255" s="552"/>
      <c r="I255" s="60"/>
      <c r="J255" s="55" t="s">
        <v>289</v>
      </c>
      <c r="K255" s="60"/>
      <c r="L255" s="56" t="s">
        <v>522</v>
      </c>
      <c r="M255" s="270">
        <v>8</v>
      </c>
      <c r="N255" s="58"/>
      <c r="O255" s="184"/>
      <c r="P255" s="58"/>
      <c r="Q255" s="58"/>
      <c r="R255" s="58"/>
      <c r="S255" s="58"/>
      <c r="T255" s="58"/>
      <c r="U255" s="58"/>
      <c r="V255" s="58"/>
      <c r="W255" s="58"/>
      <c r="X255" s="689"/>
      <c r="AL255" t="str">
        <f t="shared" si="41"/>
        <v>dpa505_3_5</v>
      </c>
      <c r="AM255">
        <f t="shared" si="42"/>
        <v>8</v>
      </c>
    </row>
    <row r="256" spans="2:45" ht="15.5" thickTop="1" thickBot="1" x14ac:dyDescent="0.4">
      <c r="B256" s="13" t="s">
        <v>523</v>
      </c>
      <c r="C256" s="13"/>
      <c r="D256" s="13"/>
      <c r="E256" s="13"/>
      <c r="F256" s="13"/>
      <c r="G256" s="13"/>
      <c r="H256" s="552"/>
      <c r="I256" s="71" t="s">
        <v>523</v>
      </c>
      <c r="J256" s="72"/>
      <c r="K256" s="72"/>
      <c r="L256" s="73" t="s">
        <v>524</v>
      </c>
      <c r="M256" s="277">
        <v>8</v>
      </c>
      <c r="N256" s="75"/>
      <c r="O256" s="343">
        <f ca="1">M256*S256*W256</f>
        <v>0</v>
      </c>
      <c r="P256" s="75" t="b">
        <v>1</v>
      </c>
      <c r="Q256" s="75" t="b">
        <v>1</v>
      </c>
      <c r="R256" s="75" t="b">
        <v>0</v>
      </c>
      <c r="S256" t="b">
        <f ca="1">IF($AY$19=INDEX(INDIRECT("ddSingleOrMulti"),2),TRUE,FALSE)</f>
        <v>0</v>
      </c>
      <c r="T256" t="b">
        <f ca="1">AND(NOT(S256),W256=TRUE)</f>
        <v>0</v>
      </c>
      <c r="U256" s="75"/>
      <c r="V256" s="75"/>
      <c r="W256" s="78"/>
      <c r="X256" s="82"/>
      <c r="AC256" t="b">
        <f ca="1">OR(AD256:AE256)</f>
        <v>0</v>
      </c>
      <c r="AD256" t="b">
        <f ca="1">T256</f>
        <v>0</v>
      </c>
      <c r="AL256" t="str">
        <f t="shared" si="41"/>
        <v>dpa505_4</v>
      </c>
      <c r="AM256">
        <f t="shared" si="42"/>
        <v>8</v>
      </c>
      <c r="AN256" t="str">
        <f t="shared" ref="AN256:AN257" si="43">SUBSTITUTE(SUBSTITUTE(SUBSTITUTE("dpc"&amp;$B256&amp;$C256&amp;$D256&amp;$E256&amp;$F256,".","_"),"(","_"),")","")</f>
        <v>dpc505_4</v>
      </c>
      <c r="AO256">
        <f ca="1">O256</f>
        <v>0</v>
      </c>
      <c r="AP256" t="str">
        <f t="shared" ref="AP256:AP257" si="44">SUBSTITUTE(SUBSTITUTE(SUBSTITUTE("dch"&amp;$B256&amp;$C256&amp;$D256&amp;$E256&amp;$F256,".","_"),"(","_"),")","")</f>
        <v>dch505_4</v>
      </c>
      <c r="AQ256">
        <f>W256</f>
        <v>0</v>
      </c>
      <c r="AR256" t="str">
        <f>SUBSTITUTE(SUBSTITUTE(SUBSTITUTE("dnt"&amp;$B256&amp;$C256&amp;$D256&amp;$E256&amp;$F256,".","_"),"(","_"),")","")</f>
        <v>dnt505_4</v>
      </c>
      <c r="AS256">
        <f>X256</f>
        <v>0</v>
      </c>
    </row>
    <row r="257" spans="2:45" ht="15" thickTop="1" x14ac:dyDescent="0.35">
      <c r="B257" s="13" t="s">
        <v>525</v>
      </c>
      <c r="C257" s="13"/>
      <c r="D257" s="13"/>
      <c r="E257" s="13"/>
      <c r="F257" s="13"/>
      <c r="G257" s="13"/>
      <c r="H257" s="552"/>
      <c r="I257" s="69" t="s">
        <v>525</v>
      </c>
      <c r="J257" s="64"/>
      <c r="K257" s="64"/>
      <c r="L257" s="711" t="s">
        <v>526</v>
      </c>
      <c r="M257" s="692">
        <v>3</v>
      </c>
      <c r="N257" s="62"/>
      <c r="O257" s="694">
        <f>M257*S257*W257</f>
        <v>0</v>
      </c>
      <c r="P257" t="b">
        <v>1</v>
      </c>
      <c r="Q257" t="b">
        <v>1</v>
      </c>
      <c r="R257" s="62" t="b">
        <v>0</v>
      </c>
      <c r="S257" s="62" t="b">
        <v>1</v>
      </c>
      <c r="T257" s="62" t="b">
        <v>0</v>
      </c>
      <c r="U257" s="62"/>
      <c r="V257" s="62"/>
      <c r="W257" s="77"/>
      <c r="X257" s="687"/>
      <c r="AL257" t="str">
        <f t="shared" si="41"/>
        <v>dpa505_5</v>
      </c>
      <c r="AM257">
        <f t="shared" si="42"/>
        <v>3</v>
      </c>
      <c r="AN257" t="str">
        <f t="shared" si="43"/>
        <v>dpc505_5</v>
      </c>
      <c r="AO257">
        <f>O257</f>
        <v>0</v>
      </c>
      <c r="AP257" t="str">
        <f t="shared" si="44"/>
        <v>dch505_5</v>
      </c>
      <c r="AQ257">
        <f>W257</f>
        <v>0</v>
      </c>
      <c r="AR257" t="str">
        <f>SUBSTITUTE(SUBSTITUTE(SUBSTITUTE("dnt"&amp;$B257&amp;$C257&amp;$D257&amp;$E257&amp;$F257,".","_"),"(","_"),")","")</f>
        <v>dnt505_5</v>
      </c>
      <c r="AS257">
        <f>X257</f>
        <v>0</v>
      </c>
    </row>
    <row r="258" spans="2:45" ht="15" thickBot="1" x14ac:dyDescent="0.4">
      <c r="B258" s="13" t="s">
        <v>525</v>
      </c>
      <c r="C258" s="13"/>
      <c r="D258" s="13"/>
      <c r="E258" s="13"/>
      <c r="F258" s="13"/>
      <c r="G258" s="13"/>
      <c r="H258" s="552"/>
      <c r="I258" s="60"/>
      <c r="J258" s="60"/>
      <c r="K258" s="60"/>
      <c r="L258" s="710"/>
      <c r="M258" s="693"/>
      <c r="N258" s="58"/>
      <c r="O258" s="695"/>
      <c r="P258" s="58"/>
      <c r="Q258" s="58"/>
      <c r="R258" s="58"/>
      <c r="S258" s="58"/>
      <c r="T258" s="58"/>
      <c r="U258" s="58"/>
      <c r="V258" s="58"/>
      <c r="W258" s="58"/>
      <c r="X258" s="689"/>
    </row>
    <row r="259" spans="2:45" ht="15" thickTop="1" x14ac:dyDescent="0.35">
      <c r="B259" s="13" t="s">
        <v>527</v>
      </c>
      <c r="C259" s="13"/>
      <c r="D259" s="13"/>
      <c r="E259" s="13"/>
      <c r="F259" s="13"/>
      <c r="G259" s="13"/>
      <c r="H259" s="552"/>
      <c r="I259" s="69" t="s">
        <v>527</v>
      </c>
      <c r="J259" s="64"/>
      <c r="K259" s="64"/>
      <c r="L259" s="711" t="s">
        <v>528</v>
      </c>
      <c r="M259" s="692">
        <v>4</v>
      </c>
      <c r="N259" s="62"/>
      <c r="O259" s="341">
        <f ca="1">M259*S259*W259</f>
        <v>0</v>
      </c>
      <c r="P259" t="b">
        <v>0</v>
      </c>
      <c r="Q259" t="b">
        <v>1</v>
      </c>
      <c r="R259" s="62" t="b">
        <v>0</v>
      </c>
      <c r="S259" t="b">
        <f ca="1">IF($AY$19=INDEX(INDIRECT("ddSingleOrMulti"),2),TRUE,FALSE)</f>
        <v>0</v>
      </c>
      <c r="T259" t="b">
        <f ca="1">AND(NOT(S259),W259=TRUE)</f>
        <v>0</v>
      </c>
      <c r="U259" s="62"/>
      <c r="V259" s="62"/>
      <c r="W259" s="17"/>
      <c r="X259" s="687"/>
      <c r="AC259" t="b">
        <f ca="1">OR(AD259:AE259)</f>
        <v>0</v>
      </c>
      <c r="AD259" t="b">
        <f ca="1">T259</f>
        <v>0</v>
      </c>
      <c r="AL259" t="str">
        <f>SUBSTITUTE(SUBSTITUTE(SUBSTITUTE("dpa"&amp;$B259&amp;$C259&amp;$D259&amp;$E259&amp;$F259,".","_"),"(","_"),")","")</f>
        <v>dpa505_6</v>
      </c>
      <c r="AM259">
        <f>M259</f>
        <v>4</v>
      </c>
      <c r="AN259" t="str">
        <f>SUBSTITUTE(SUBSTITUTE(SUBSTITUTE("dpc"&amp;$B259&amp;$C259&amp;$D259&amp;$E259&amp;$F259,".","_"),"(","_"),")","")</f>
        <v>dpc505_6</v>
      </c>
      <c r="AO259">
        <f ca="1">O259</f>
        <v>0</v>
      </c>
      <c r="AP259" t="str">
        <f>SUBSTITUTE(SUBSTITUTE(SUBSTITUTE("dch"&amp;$B259&amp;$C259&amp;$D259&amp;$E259&amp;$F259,".","_"),"(","_"),")","")</f>
        <v>dch505_6</v>
      </c>
      <c r="AQ259">
        <f>W259</f>
        <v>0</v>
      </c>
      <c r="AR259" t="str">
        <f>SUBSTITUTE(SUBSTITUTE(SUBSTITUTE("dnt"&amp;$B259&amp;$C259&amp;$D259&amp;$E259&amp;$F259,".","_"),"(","_"),")","")</f>
        <v>dnt505_6</v>
      </c>
      <c r="AS259">
        <f>X259</f>
        <v>0</v>
      </c>
    </row>
    <row r="260" spans="2:45" x14ac:dyDescent="0.35">
      <c r="B260" s="13" t="s">
        <v>527</v>
      </c>
      <c r="C260" s="13"/>
      <c r="D260" s="13"/>
      <c r="E260" s="13"/>
      <c r="F260" s="13"/>
      <c r="G260" s="13"/>
      <c r="H260" s="552"/>
      <c r="I260" s="53"/>
      <c r="J260" s="53"/>
      <c r="K260" s="53"/>
      <c r="L260" s="706"/>
      <c r="M260" s="690"/>
      <c r="X260" s="688"/>
    </row>
    <row r="261" spans="2:45" x14ac:dyDescent="0.35">
      <c r="B261" s="13" t="s">
        <v>527</v>
      </c>
      <c r="C261" s="13"/>
      <c r="D261" s="13"/>
      <c r="E261" s="13"/>
      <c r="F261" s="13"/>
      <c r="G261" s="13"/>
      <c r="H261" s="552"/>
      <c r="I261" s="53"/>
      <c r="J261" s="53"/>
      <c r="K261" s="53"/>
      <c r="L261" s="706"/>
      <c r="M261" s="690"/>
      <c r="X261" s="688"/>
    </row>
    <row r="262" spans="2:45" x14ac:dyDescent="0.35">
      <c r="B262" s="13" t="s">
        <v>527</v>
      </c>
      <c r="C262" s="13"/>
      <c r="D262" s="13"/>
      <c r="E262" s="13"/>
      <c r="F262" s="13"/>
      <c r="G262" s="13"/>
      <c r="H262" s="552"/>
      <c r="I262" s="53"/>
      <c r="J262" s="53"/>
      <c r="K262" s="53"/>
      <c r="L262" s="706"/>
      <c r="M262" s="690"/>
      <c r="X262" s="688"/>
    </row>
    <row r="263" spans="2:45" x14ac:dyDescent="0.35">
      <c r="B263" s="13" t="s">
        <v>527</v>
      </c>
      <c r="C263" s="13"/>
      <c r="D263" s="13"/>
      <c r="E263" s="13"/>
      <c r="F263" s="13"/>
      <c r="G263" s="13"/>
      <c r="H263" s="552"/>
      <c r="I263" s="53"/>
      <c r="J263" s="53"/>
      <c r="K263" s="53"/>
      <c r="L263" s="706"/>
      <c r="M263" s="690"/>
      <c r="X263" s="688"/>
    </row>
    <row r="264" spans="2:45" ht="15" thickBot="1" x14ac:dyDescent="0.4">
      <c r="B264" s="13" t="s">
        <v>527</v>
      </c>
      <c r="C264" s="13"/>
      <c r="D264" s="13"/>
      <c r="E264" s="13"/>
      <c r="F264" s="13"/>
      <c r="G264" s="13"/>
      <c r="H264" s="552"/>
      <c r="I264" s="60"/>
      <c r="J264" s="60"/>
      <c r="K264" s="60"/>
      <c r="L264" s="710"/>
      <c r="M264" s="693"/>
      <c r="N264" s="58"/>
      <c r="O264" s="80"/>
      <c r="P264" s="58"/>
      <c r="Q264" s="58"/>
      <c r="R264" s="58"/>
      <c r="S264" s="58"/>
      <c r="T264" s="58"/>
      <c r="U264" s="58"/>
      <c r="V264" s="58"/>
      <c r="W264" s="58"/>
      <c r="X264" s="689"/>
    </row>
    <row r="265" spans="2:45" ht="15.5" thickTop="1" thickBot="1" x14ac:dyDescent="0.4">
      <c r="I265" s="142" t="s">
        <v>840</v>
      </c>
      <c r="J265" s="143"/>
      <c r="K265" s="143"/>
      <c r="L265" s="143"/>
      <c r="M265" s="144"/>
      <c r="N265" s="143"/>
      <c r="O265" s="145"/>
      <c r="P265" s="143"/>
      <c r="Q265" s="143"/>
      <c r="R265" s="143"/>
      <c r="S265" s="143"/>
      <c r="T265" s="143"/>
      <c r="U265" s="143"/>
      <c r="V265" s="143"/>
      <c r="W265" s="143"/>
      <c r="X265" s="206" t="s">
        <v>839</v>
      </c>
    </row>
    <row r="266" spans="2:45" ht="15" thickTop="1" x14ac:dyDescent="0.35"/>
  </sheetData>
  <sheetProtection algorithmName="SHA-512" hashValue="rngJ/h0Xo/fuKsXNUtUqaqrxipz4SiyNxJzgCa38UQ2g8sgmAGwGyhjaBRUXSwqhpJTWV+l85BQXXl0IoeIWYw==" saltValue="PbxS9I9xLL1+KXsGgm3Bow==" spinCount="100000" sheet="1" objects="1" scenarios="1" selectLockedCells="1" autoFilter="0"/>
  <mergeCells count="232">
    <mergeCell ref="I1:L1"/>
    <mergeCell ref="I2:L2"/>
    <mergeCell ref="I3:L3"/>
    <mergeCell ref="X6:X7"/>
    <mergeCell ref="M20:M21"/>
    <mergeCell ref="M22:M23"/>
    <mergeCell ref="L20:L21"/>
    <mergeCell ref="L22:L23"/>
    <mergeCell ref="X14:X19"/>
    <mergeCell ref="I4:L4"/>
    <mergeCell ref="I5:L5"/>
    <mergeCell ref="X20:X21"/>
    <mergeCell ref="X22:X23"/>
    <mergeCell ref="L46:L49"/>
    <mergeCell ref="L51:L54"/>
    <mergeCell ref="L58:L59"/>
    <mergeCell ref="L60:L61"/>
    <mergeCell ref="O24:O25"/>
    <mergeCell ref="O26:O27"/>
    <mergeCell ref="X4:X5"/>
    <mergeCell ref="X101:X103"/>
    <mergeCell ref="X104:X107"/>
    <mergeCell ref="X40:X44"/>
    <mergeCell ref="O40:O41"/>
    <mergeCell ref="X37:X39"/>
    <mergeCell ref="M26:M27"/>
    <mergeCell ref="M37:M39"/>
    <mergeCell ref="L26:L27"/>
    <mergeCell ref="M24:M25"/>
    <mergeCell ref="L24:L25"/>
    <mergeCell ref="X24:X25"/>
    <mergeCell ref="X28:X36"/>
    <mergeCell ref="X26:X27"/>
    <mergeCell ref="L37:L39"/>
    <mergeCell ref="L28:L31"/>
    <mergeCell ref="O37:O39"/>
    <mergeCell ref="M40:M41"/>
    <mergeCell ref="L64:L65"/>
    <mergeCell ref="O58:O59"/>
    <mergeCell ref="O60:O61"/>
    <mergeCell ref="O101:O103"/>
    <mergeCell ref="O104:O107"/>
    <mergeCell ref="O108:O111"/>
    <mergeCell ref="O64:O65"/>
    <mergeCell ref="X94:X100"/>
    <mergeCell ref="O66:O67"/>
    <mergeCell ref="M101:M103"/>
    <mergeCell ref="M86:M92"/>
    <mergeCell ref="O86:O92"/>
    <mergeCell ref="O84:O85"/>
    <mergeCell ref="O73:O74"/>
    <mergeCell ref="M78:M79"/>
    <mergeCell ref="M71:M72"/>
    <mergeCell ref="M84:M85"/>
    <mergeCell ref="H1:H7"/>
    <mergeCell ref="O46:O49"/>
    <mergeCell ref="M1:W5"/>
    <mergeCell ref="O134:O135"/>
    <mergeCell ref="O115:O116"/>
    <mergeCell ref="O124:O125"/>
    <mergeCell ref="O130:O131"/>
    <mergeCell ref="O71:O72"/>
    <mergeCell ref="O78:O79"/>
    <mergeCell ref="M104:M107"/>
    <mergeCell ref="L132:L133"/>
    <mergeCell ref="O20:O21"/>
    <mergeCell ref="O22:O23"/>
    <mergeCell ref="N6:N7"/>
    <mergeCell ref="P6:P7"/>
    <mergeCell ref="V6:V7"/>
    <mergeCell ref="W6:W7"/>
    <mergeCell ref="Q6:Q7"/>
    <mergeCell ref="R6:R7"/>
    <mergeCell ref="S6:S7"/>
    <mergeCell ref="T6:T7"/>
    <mergeCell ref="U6:U7"/>
    <mergeCell ref="O28:O36"/>
    <mergeCell ref="M28:M36"/>
    <mergeCell ref="O142:O146"/>
    <mergeCell ref="M130:M131"/>
    <mergeCell ref="M132:M133"/>
    <mergeCell ref="M134:M135"/>
    <mergeCell ref="O132:O133"/>
    <mergeCell ref="X132:X133"/>
    <mergeCell ref="X68:X80"/>
    <mergeCell ref="X81:X93"/>
    <mergeCell ref="L142:L146"/>
    <mergeCell ref="X142:X146"/>
    <mergeCell ref="X108:X114"/>
    <mergeCell ref="X115:X119"/>
    <mergeCell ref="X120:X123"/>
    <mergeCell ref="X124:X129"/>
    <mergeCell ref="X130:X131"/>
    <mergeCell ref="L134:L135"/>
    <mergeCell ref="L73:L74"/>
    <mergeCell ref="L78:L79"/>
    <mergeCell ref="L101:L103"/>
    <mergeCell ref="L104:L107"/>
    <mergeCell ref="L81:L82"/>
    <mergeCell ref="L84:L85"/>
    <mergeCell ref="L86:L87"/>
    <mergeCell ref="L89:L90"/>
    <mergeCell ref="L130:L131"/>
    <mergeCell ref="L122:L123"/>
    <mergeCell ref="L124:L125"/>
    <mergeCell ref="L66:L67"/>
    <mergeCell ref="L94:L97"/>
    <mergeCell ref="L98:L100"/>
    <mergeCell ref="L108:L111"/>
    <mergeCell ref="L115:L116"/>
    <mergeCell ref="L71:L72"/>
    <mergeCell ref="L120:L121"/>
    <mergeCell ref="L259:L264"/>
    <mergeCell ref="L219:L221"/>
    <mergeCell ref="L222:L223"/>
    <mergeCell ref="L224:L225"/>
    <mergeCell ref="L231:L232"/>
    <mergeCell ref="L237:L238"/>
    <mergeCell ref="L197:L198"/>
    <mergeCell ref="L199:L200"/>
    <mergeCell ref="L201:L204"/>
    <mergeCell ref="L205:L207"/>
    <mergeCell ref="L242:L245"/>
    <mergeCell ref="L247:L249"/>
    <mergeCell ref="L257:L258"/>
    <mergeCell ref="L239:L241"/>
    <mergeCell ref="X46:X49"/>
    <mergeCell ref="X51:X55"/>
    <mergeCell ref="X56:X67"/>
    <mergeCell ref="M224:M225"/>
    <mergeCell ref="M187:M188"/>
    <mergeCell ref="M167:M168"/>
    <mergeCell ref="M169:M170"/>
    <mergeCell ref="X184:X190"/>
    <mergeCell ref="X179:X183"/>
    <mergeCell ref="X134:X135"/>
    <mergeCell ref="X136:X140"/>
    <mergeCell ref="M46:M49"/>
    <mergeCell ref="M58:M59"/>
    <mergeCell ref="M60:M61"/>
    <mergeCell ref="M197:M198"/>
    <mergeCell ref="M171:M173"/>
    <mergeCell ref="X171:X175"/>
    <mergeCell ref="O149:O151"/>
    <mergeCell ref="X165:X170"/>
    <mergeCell ref="M189:M190"/>
    <mergeCell ref="M194:M195"/>
    <mergeCell ref="X191:X193"/>
    <mergeCell ref="M205:M207"/>
    <mergeCell ref="M209:M216"/>
    <mergeCell ref="M149:M151"/>
    <mergeCell ref="X147:X148"/>
    <mergeCell ref="M162:M163"/>
    <mergeCell ref="M147:M148"/>
    <mergeCell ref="M152:M153"/>
    <mergeCell ref="M154:M155"/>
    <mergeCell ref="M156:M157"/>
    <mergeCell ref="L187:L188"/>
    <mergeCell ref="L184:L185"/>
    <mergeCell ref="O152:O153"/>
    <mergeCell ref="O154:O155"/>
    <mergeCell ref="O156:O157"/>
    <mergeCell ref="O171:O173"/>
    <mergeCell ref="O158:O159"/>
    <mergeCell ref="L152:L153"/>
    <mergeCell ref="L154:L155"/>
    <mergeCell ref="L156:L157"/>
    <mergeCell ref="L158:L159"/>
    <mergeCell ref="L162:L163"/>
    <mergeCell ref="L165:L166"/>
    <mergeCell ref="L167:L168"/>
    <mergeCell ref="O147:O148"/>
    <mergeCell ref="O165:O166"/>
    <mergeCell ref="L149:L151"/>
    <mergeCell ref="X199:X200"/>
    <mergeCell ref="X197:X198"/>
    <mergeCell ref="X194:X195"/>
    <mergeCell ref="X201:X204"/>
    <mergeCell ref="X224:X225"/>
    <mergeCell ref="X149:X151"/>
    <mergeCell ref="X158:X164"/>
    <mergeCell ref="X152:X153"/>
    <mergeCell ref="X154:X155"/>
    <mergeCell ref="X156:X157"/>
    <mergeCell ref="X247:X249"/>
    <mergeCell ref="O231:O232"/>
    <mergeCell ref="M247:M249"/>
    <mergeCell ref="I6:K7"/>
    <mergeCell ref="L6:L7"/>
    <mergeCell ref="M6:M7"/>
    <mergeCell ref="L10:L12"/>
    <mergeCell ref="L189:L190"/>
    <mergeCell ref="L191:L193"/>
    <mergeCell ref="L194:L195"/>
    <mergeCell ref="L169:L170"/>
    <mergeCell ref="L171:L173"/>
    <mergeCell ref="L174:L175"/>
    <mergeCell ref="L177:L178"/>
    <mergeCell ref="M64:M65"/>
    <mergeCell ref="M66:M67"/>
    <mergeCell ref="L179:L182"/>
    <mergeCell ref="L147:L148"/>
    <mergeCell ref="M237:M238"/>
    <mergeCell ref="M142:M146"/>
    <mergeCell ref="L40:L41"/>
    <mergeCell ref="O224:O225"/>
    <mergeCell ref="X209:X216"/>
    <mergeCell ref="X205:X207"/>
    <mergeCell ref="X259:X264"/>
    <mergeCell ref="M199:M200"/>
    <mergeCell ref="M179:M183"/>
    <mergeCell ref="M174:M175"/>
    <mergeCell ref="O257:O258"/>
    <mergeCell ref="O237:O238"/>
    <mergeCell ref="O247:O249"/>
    <mergeCell ref="O209:O216"/>
    <mergeCell ref="O179:O183"/>
    <mergeCell ref="O187:O188"/>
    <mergeCell ref="O189:O190"/>
    <mergeCell ref="O194:O195"/>
    <mergeCell ref="O197:O198"/>
    <mergeCell ref="O199:O200"/>
    <mergeCell ref="O201:O204"/>
    <mergeCell ref="O205:O207"/>
    <mergeCell ref="X250:X255"/>
    <mergeCell ref="X257:X258"/>
    <mergeCell ref="M257:M258"/>
    <mergeCell ref="M259:M264"/>
    <mergeCell ref="M201:M204"/>
    <mergeCell ref="X237:X246"/>
    <mergeCell ref="X227:X230"/>
    <mergeCell ref="X231:X235"/>
  </mergeCells>
  <conditionalFormatting sqref="I1">
    <cfRule type="expression" dxfId="4393" priority="827">
      <formula>$AG$1="Gold"</formula>
    </cfRule>
    <cfRule type="expression" dxfId="4392" priority="830">
      <formula>$AG$1="Emerald"</formula>
    </cfRule>
    <cfRule type="expression" dxfId="4391" priority="829">
      <formula>$AG$1="Bronze"</formula>
    </cfRule>
    <cfRule type="expression" dxfId="4390" priority="828">
      <formula>$AG$1="Silver"</formula>
    </cfRule>
  </conditionalFormatting>
  <conditionalFormatting sqref="W15">
    <cfRule type="expression" dxfId="4389" priority="316">
      <formula>AND($R$15,$S$15)</formula>
    </cfRule>
    <cfRule type="expression" dxfId="4388" priority="314">
      <formula>$S$15 = FALSE</formula>
    </cfRule>
    <cfRule type="expression" dxfId="4387" priority="315">
      <formula>AND(IF($R$15,$W$15,TRUE),LEN(TRIM($W$15))&gt;0)</formula>
    </cfRule>
    <cfRule type="expression" dxfId="4386" priority="313">
      <formula>OR($T$15 = TRUE, AND($W$15 = TRUE, $S$15 = FALSE))</formula>
    </cfRule>
  </conditionalFormatting>
  <conditionalFormatting sqref="W17">
    <cfRule type="expression" dxfId="4385" priority="310">
      <formula>$S$17 = FALSE</formula>
    </cfRule>
    <cfRule type="expression" dxfId="4384" priority="309">
      <formula>OR($T$17 = TRUE, AND($W$17 = TRUE, $S$17 = FALSE))</formula>
    </cfRule>
    <cfRule type="expression" dxfId="4383" priority="311">
      <formula>AND(IF($R$17,$W$17,TRUE),LEN(TRIM($W$17))&gt;0)</formula>
    </cfRule>
    <cfRule type="expression" dxfId="4382" priority="312">
      <formula>AND($R$17,$S$17)</formula>
    </cfRule>
  </conditionalFormatting>
  <conditionalFormatting sqref="W18">
    <cfRule type="expression" dxfId="4381" priority="305">
      <formula>OR($T$18 = TRUE, AND($W$18 = TRUE, $S$18 = FALSE))</formula>
    </cfRule>
    <cfRule type="expression" dxfId="4380" priority="306">
      <formula>$S$18 = FALSE</formula>
    </cfRule>
    <cfRule type="expression" dxfId="4379" priority="307">
      <formula>AND(IF($R$18,$W$18,TRUE),LEN(TRIM($W$18))&gt;0)</formula>
    </cfRule>
    <cfRule type="expression" dxfId="4378" priority="308">
      <formula>AND($R$18,$S$18)</formula>
    </cfRule>
  </conditionalFormatting>
  <conditionalFormatting sqref="W19">
    <cfRule type="expression" dxfId="4377" priority="304">
      <formula>AND($R$19,$S$19)</formula>
    </cfRule>
    <cfRule type="expression" dxfId="4376" priority="302">
      <formula>$S$19 = FALSE</formula>
    </cfRule>
    <cfRule type="expression" dxfId="4375" priority="303">
      <formula>AND(IF($R$19,$W$19,TRUE),LEN(TRIM($W$19))&gt;0)</formula>
    </cfRule>
    <cfRule type="expression" dxfId="4374" priority="301">
      <formula>OR($T$19 = TRUE, AND($W$19 = TRUE, $S$19 = FALSE))</formula>
    </cfRule>
  </conditionalFormatting>
  <conditionalFormatting sqref="W22">
    <cfRule type="expression" dxfId="4373" priority="297">
      <formula>OR($T$22 = TRUE, AND($W$22 = TRUE, $S$22 = FALSE))</formula>
    </cfRule>
    <cfRule type="expression" dxfId="4372" priority="298">
      <formula>$S$22 = FALSE</formula>
    </cfRule>
    <cfRule type="expression" dxfId="4371" priority="299">
      <formula>AND(IF($R$22,$W$22,TRUE),LEN(TRIM($W$22))&gt;0)</formula>
    </cfRule>
    <cfRule type="expression" dxfId="4370" priority="300">
      <formula>AND($R$22,$S$22)</formula>
    </cfRule>
  </conditionalFormatting>
  <conditionalFormatting sqref="W24">
    <cfRule type="expression" dxfId="4369" priority="295">
      <formula>AND(IF($R$24,$W$24,TRUE),LEN(TRIM($W$24))&gt;0)</formula>
    </cfRule>
    <cfRule type="expression" dxfId="4368" priority="293">
      <formula>OR($T$24 = TRUE, AND($W$24 = TRUE, $S$24 = FALSE))</formula>
    </cfRule>
    <cfRule type="expression" dxfId="4367" priority="294">
      <formula>$S$24 = FALSE</formula>
    </cfRule>
    <cfRule type="expression" dxfId="4366" priority="296">
      <formula>AND($R$24,$S$24)</formula>
    </cfRule>
  </conditionalFormatting>
  <conditionalFormatting sqref="W26">
    <cfRule type="expression" dxfId="4365" priority="292">
      <formula>AND($R$26,$S$26)</formula>
    </cfRule>
    <cfRule type="expression" dxfId="4364" priority="291">
      <formula>AND(IF($R$26,$W$26,TRUE),LEN(TRIM($W$26))&gt;0)</formula>
    </cfRule>
    <cfRule type="expression" dxfId="4363" priority="290">
      <formula>$S$26 = FALSE</formula>
    </cfRule>
    <cfRule type="expression" dxfId="4362" priority="289">
      <formula>OR($T$26 = TRUE, AND($W$26 = TRUE, $S$26 = FALSE))</formula>
    </cfRule>
  </conditionalFormatting>
  <conditionalFormatting sqref="W28">
    <cfRule type="expression" dxfId="4361" priority="285">
      <formula>OR($T$28 = TRUE, AND($W$28 = TRUE, $S$28 = FALSE))</formula>
    </cfRule>
    <cfRule type="expression" dxfId="4360" priority="286">
      <formula>$S$28 = FALSE</formula>
    </cfRule>
    <cfRule type="expression" dxfId="4359" priority="288">
      <formula>AND($R$28,$S$28)</formula>
    </cfRule>
    <cfRule type="expression" dxfId="4358" priority="287">
      <formula>AND(IF($R$28,$W$28,TRUE),LEN(TRIM($W$28))&gt;0)</formula>
    </cfRule>
  </conditionalFormatting>
  <conditionalFormatting sqref="W37">
    <cfRule type="expression" dxfId="4357" priority="284">
      <formula>AND($R$37,$S$37)</formula>
    </cfRule>
    <cfRule type="expression" dxfId="4356" priority="281">
      <formula>OR($T$37 = TRUE, AND($W$37 = TRUE, $S$37 = FALSE))</formula>
    </cfRule>
    <cfRule type="expression" dxfId="4355" priority="282">
      <formula>$S$37 = FALSE</formula>
    </cfRule>
    <cfRule type="expression" dxfId="4354" priority="283">
      <formula>AND(IF($R$37,$W$37,TRUE),LEN(TRIM($W$37))&gt;0)</formula>
    </cfRule>
  </conditionalFormatting>
  <conditionalFormatting sqref="W40">
    <cfRule type="expression" dxfId="4353" priority="684">
      <formula>$S$40 = FALSE</formula>
    </cfRule>
    <cfRule type="expression" dxfId="4352" priority="683">
      <formula>OR($T$40 = TRUE, AND(LEN(TRIM($W$40))&gt;0, $S$40 = FALSE))</formula>
    </cfRule>
    <cfRule type="expression" dxfId="4351" priority="686">
      <formula>AND($R$40,$S$40)</formula>
    </cfRule>
    <cfRule type="expression" dxfId="4350" priority="685">
      <formula>AND(IF($R$40,$W$40,TRUE),LEN(TRIM($W$40))&gt;0)</formula>
    </cfRule>
  </conditionalFormatting>
  <conditionalFormatting sqref="W46">
    <cfRule type="expression" dxfId="4349" priority="278">
      <formula>$S$46 = FALSE</formula>
    </cfRule>
    <cfRule type="expression" dxfId="4348" priority="279">
      <formula>AND(IF($R$46,$W$46,TRUE),LEN(TRIM($W$46))&gt;0)</formula>
    </cfRule>
    <cfRule type="expression" dxfId="4347" priority="280">
      <formula>AND($R$46,$S$46)</formula>
    </cfRule>
    <cfRule type="expression" dxfId="4346" priority="277">
      <formula>OR($T$46 = TRUE, AND($W$46 = TRUE, $S$46 = FALSE))</formula>
    </cfRule>
  </conditionalFormatting>
  <conditionalFormatting sqref="W57">
    <cfRule type="expression" dxfId="4345" priority="276">
      <formula>AND($R$57,$S$57)</formula>
    </cfRule>
    <cfRule type="expression" dxfId="4344" priority="274">
      <formula>$S$57 = FALSE</formula>
    </cfRule>
    <cfRule type="expression" dxfId="4343" priority="275">
      <formula>AND(IF($R$57,$W$57,TRUE),LEN(TRIM($W$57))&gt;0)</formula>
    </cfRule>
    <cfRule type="expression" dxfId="4342" priority="273">
      <formula>OR($T$57 = TRUE, AND($W$57 = TRUE, $S$57 = FALSE))</formula>
    </cfRule>
  </conditionalFormatting>
  <conditionalFormatting sqref="W58">
    <cfRule type="expression" dxfId="4341" priority="272">
      <formula>AND($R$58,$S$58)</formula>
    </cfRule>
    <cfRule type="expression" dxfId="4340" priority="271">
      <formula>AND(IF($R$58,$W$58,TRUE),LEN(TRIM($W$58))&gt;0)</formula>
    </cfRule>
    <cfRule type="expression" dxfId="4339" priority="270">
      <formula>$S$58 = FALSE</formula>
    </cfRule>
    <cfRule type="expression" dxfId="4338" priority="269">
      <formula>OR($T$58 = TRUE, AND($W$58 = TRUE, $S$58 = FALSE))</formula>
    </cfRule>
  </conditionalFormatting>
  <conditionalFormatting sqref="W60">
    <cfRule type="expression" dxfId="4337" priority="265">
      <formula>OR($T$60 = TRUE, AND($W$60 = TRUE, $S$60 = FALSE))</formula>
    </cfRule>
    <cfRule type="expression" dxfId="4336" priority="266">
      <formula>$S$60 = FALSE</formula>
    </cfRule>
    <cfRule type="expression" dxfId="4335" priority="267">
      <formula>AND(IF($R$60,$W$60,TRUE),LEN(TRIM($W$60))&gt;0)</formula>
    </cfRule>
    <cfRule type="expression" dxfId="4334" priority="268">
      <formula>AND($R$60,$S$60)</formula>
    </cfRule>
  </conditionalFormatting>
  <conditionalFormatting sqref="W62">
    <cfRule type="expression" dxfId="4333" priority="262">
      <formula>$S$62 = FALSE</formula>
    </cfRule>
    <cfRule type="expression" dxfId="4332" priority="264">
      <formula>AND($R$62,$S$62)</formula>
    </cfRule>
    <cfRule type="expression" dxfId="4331" priority="263">
      <formula>AND(IF($R$62,$W$62,TRUE),LEN(TRIM($W$62))&gt;0)</formula>
    </cfRule>
    <cfRule type="expression" dxfId="4330" priority="261">
      <formula>OR($T$62 = TRUE, AND($W$62 = TRUE, $S$62 = FALSE))</formula>
    </cfRule>
  </conditionalFormatting>
  <conditionalFormatting sqref="W63">
    <cfRule type="expression" dxfId="4329" priority="260">
      <formula>AND($R$63,$S$63)</formula>
    </cfRule>
    <cfRule type="expression" dxfId="4328" priority="259">
      <formula>AND(IF($R$63,$W$63,TRUE),LEN(TRIM($W$63))&gt;0)</formula>
    </cfRule>
    <cfRule type="expression" dxfId="4327" priority="258">
      <formula>$S$63 = FALSE</formula>
    </cfRule>
    <cfRule type="expression" dxfId="4326" priority="257">
      <formula>OR($T$63 = TRUE, AND($W$63 = TRUE, $S$63 = FALSE))</formula>
    </cfRule>
  </conditionalFormatting>
  <conditionalFormatting sqref="W64">
    <cfRule type="expression" dxfId="4325" priority="255">
      <formula>AND(IF($R$64,$W$64,TRUE),LEN(TRIM($W$64))&gt;0)</formula>
    </cfRule>
    <cfRule type="expression" dxfId="4324" priority="254">
      <formula>$S$64 = FALSE</formula>
    </cfRule>
    <cfRule type="expression" dxfId="4323" priority="253">
      <formula>OR($T$64 = TRUE, AND($W$64 = TRUE, $S$64 = FALSE))</formula>
    </cfRule>
    <cfRule type="expression" dxfId="4322" priority="256">
      <formula>AND($R$64,$S$64)</formula>
    </cfRule>
  </conditionalFormatting>
  <conditionalFormatting sqref="W66">
    <cfRule type="expression" dxfId="4321" priority="252">
      <formula>AND($R$66,$S$66)</formula>
    </cfRule>
    <cfRule type="expression" dxfId="4320" priority="251">
      <formula>AND(IF($R$66,$W$66,TRUE),LEN(TRIM($W$66))&gt;0)</formula>
    </cfRule>
    <cfRule type="expression" dxfId="4319" priority="250">
      <formula>$S$66 = FALSE</formula>
    </cfRule>
    <cfRule type="expression" dxfId="4318" priority="249">
      <formula>OR($T$66 = TRUE, AND($W$66 = TRUE, $S$66 = FALSE))</formula>
    </cfRule>
  </conditionalFormatting>
  <conditionalFormatting sqref="W69">
    <cfRule type="notContainsBlanks" dxfId="4317" priority="832">
      <formula>LEN(TRIM(W69))&gt;0</formula>
    </cfRule>
  </conditionalFormatting>
  <conditionalFormatting sqref="W70">
    <cfRule type="expression" dxfId="4316" priority="248">
      <formula>AND($R$70,$S$70)</formula>
    </cfRule>
    <cfRule type="expression" dxfId="4315" priority="247">
      <formula>AND(IF($R$70,$W$70,TRUE),LEN(TRIM($W$70))&gt;0)</formula>
    </cfRule>
    <cfRule type="expression" dxfId="4314" priority="246">
      <formula>$S$70 = FALSE</formula>
    </cfRule>
    <cfRule type="expression" dxfId="4313" priority="245">
      <formula>OR($T$70 = TRUE, AND($W$70 = TRUE, $S$70 = FALSE))</formula>
    </cfRule>
  </conditionalFormatting>
  <conditionalFormatting sqref="W71">
    <cfRule type="expression" dxfId="4312" priority="244">
      <formula>AND($R$71,$S$71)</formula>
    </cfRule>
    <cfRule type="expression" dxfId="4311" priority="243">
      <formula>AND(IF($R$71,$W$71,TRUE),LEN(TRIM($W$71))&gt;0)</formula>
    </cfRule>
    <cfRule type="expression" dxfId="4310" priority="242">
      <formula>$S$71 = FALSE</formula>
    </cfRule>
    <cfRule type="expression" dxfId="4309" priority="241">
      <formula>OR($T$71 = TRUE, AND($W$71 = TRUE, $S$71 = FALSE))</formula>
    </cfRule>
  </conditionalFormatting>
  <conditionalFormatting sqref="W73">
    <cfRule type="expression" dxfId="4308" priority="236">
      <formula>AND($R$73,$S$73)</formula>
    </cfRule>
    <cfRule type="expression" dxfId="4307" priority="235">
      <formula>AND($W$73&lt;&gt;"Not Met",LEN(TRIM($W$73))&gt;0)</formula>
    </cfRule>
    <cfRule type="expression" dxfId="4306" priority="234">
      <formula>$S$73 = FALSE</formula>
    </cfRule>
    <cfRule type="expression" dxfId="4305" priority="233">
      <formula>OR($T$73 = TRUE, AND(LEN(TRIM($W$73))&gt;0, $S$73 = FALSE))</formula>
    </cfRule>
  </conditionalFormatting>
  <conditionalFormatting sqref="W78">
    <cfRule type="expression" dxfId="4304" priority="232">
      <formula>AND($R$78,$S$78)</formula>
    </cfRule>
    <cfRule type="expression" dxfId="4303" priority="231">
      <formula>AND(IF($R$78,$W$78,TRUE),LEN(TRIM($W$78))&gt;0)</formula>
    </cfRule>
    <cfRule type="expression" dxfId="4302" priority="230">
      <formula>$S$78 = FALSE</formula>
    </cfRule>
    <cfRule type="expression" dxfId="4301" priority="229">
      <formula>OR($T$78 = TRUE, AND($W$78 = TRUE, $S$78 = FALSE))</formula>
    </cfRule>
  </conditionalFormatting>
  <conditionalFormatting sqref="W80">
    <cfRule type="expression" dxfId="4300" priority="228">
      <formula>AND($R$80,$S$80)</formula>
    </cfRule>
    <cfRule type="expression" dxfId="4299" priority="226">
      <formula>$S$80 = FALSE</formula>
    </cfRule>
    <cfRule type="expression" dxfId="4298" priority="227">
      <formula>AND(IF($R$80,$W$80,TRUE),LEN(TRIM($W$80))&gt;0)</formula>
    </cfRule>
    <cfRule type="expression" dxfId="4297" priority="225">
      <formula>OR($T$80 = TRUE, AND($W$80 = TRUE, $S$80 = FALSE))</formula>
    </cfRule>
  </conditionalFormatting>
  <conditionalFormatting sqref="W84">
    <cfRule type="expression" dxfId="4296" priority="221">
      <formula>OR($T$84 = TRUE, AND($W$84 = TRUE, $S$84 = FALSE))</formula>
    </cfRule>
    <cfRule type="expression" dxfId="4295" priority="222">
      <formula>$S$84 = FALSE</formula>
    </cfRule>
    <cfRule type="expression" dxfId="4294" priority="223">
      <formula>AND(IF($R$84,$W$84,TRUE),LEN(TRIM($W$84))&gt;0)</formula>
    </cfRule>
    <cfRule type="expression" dxfId="4293" priority="224">
      <formula>AND($R$84,$S$84)</formula>
    </cfRule>
  </conditionalFormatting>
  <conditionalFormatting sqref="W88">
    <cfRule type="expression" dxfId="4292" priority="217">
      <formula>OR($T$88 = TRUE, AND($W$88 = TRUE, $S$88 = FALSE))</formula>
    </cfRule>
    <cfRule type="expression" dxfId="4291" priority="218">
      <formula>$S$88 = FALSE</formula>
    </cfRule>
    <cfRule type="expression" dxfId="4290" priority="219">
      <formula>AND(IF($R$88,$W$88,TRUE),LEN(TRIM($W$88))&gt;0)</formula>
    </cfRule>
    <cfRule type="expression" dxfId="4289" priority="220">
      <formula>AND($R$88,$S$88)</formula>
    </cfRule>
  </conditionalFormatting>
  <conditionalFormatting sqref="W89">
    <cfRule type="expression" dxfId="4288" priority="213">
      <formula>OR($T$89 = TRUE, AND($W$89 = TRUE, $S$89 = FALSE))</formula>
    </cfRule>
    <cfRule type="expression" dxfId="4287" priority="215">
      <formula>AND(IF($R$89,$W$89,TRUE),LEN(TRIM($W$89))&gt;0)</formula>
    </cfRule>
    <cfRule type="expression" dxfId="4286" priority="216">
      <formula>AND($R$89,$S$89)</formula>
    </cfRule>
    <cfRule type="expression" dxfId="4285" priority="214">
      <formula>$S$89 = FALSE</formula>
    </cfRule>
  </conditionalFormatting>
  <conditionalFormatting sqref="W91">
    <cfRule type="expression" dxfId="4284" priority="212">
      <formula>AND($R$91,$S$91)</formula>
    </cfRule>
    <cfRule type="expression" dxfId="4283" priority="211">
      <formula>AND(IF($R$91,$W$91,TRUE),LEN(TRIM($W$91))&gt;0)</formula>
    </cfRule>
    <cfRule type="expression" dxfId="4282" priority="210">
      <formula>$S$91 = FALSE</formula>
    </cfRule>
    <cfRule type="expression" dxfId="4281" priority="209">
      <formula>OR($T$91 = TRUE, AND($W$91 = TRUE, $S$91 = FALSE))</formula>
    </cfRule>
  </conditionalFormatting>
  <conditionalFormatting sqref="W92">
    <cfRule type="expression" dxfId="4280" priority="205">
      <formula>OR($T$92 = TRUE, AND($W$92 = TRUE, $S$92 = FALSE))</formula>
    </cfRule>
    <cfRule type="expression" dxfId="4279" priority="206">
      <formula>$S$92 = FALSE</formula>
    </cfRule>
    <cfRule type="expression" dxfId="4278" priority="207">
      <formula>AND(IF($R$92,$W$92,TRUE),LEN(TRIM($W$92))&gt;0)</formula>
    </cfRule>
    <cfRule type="expression" dxfId="4277" priority="208">
      <formula>AND($R$92,$S$92)</formula>
    </cfRule>
  </conditionalFormatting>
  <conditionalFormatting sqref="W93">
    <cfRule type="expression" dxfId="4276" priority="204">
      <formula>AND($R$93,$S$93)</formula>
    </cfRule>
    <cfRule type="expression" dxfId="4275" priority="203">
      <formula>AND(IF($R$93,$W$93,TRUE),LEN(TRIM($W$93))&gt;0)</formula>
    </cfRule>
    <cfRule type="expression" dxfId="4274" priority="201">
      <formula>OR($T$93 = TRUE, AND($W$93 = TRUE, $S$93 = FALSE))</formula>
    </cfRule>
    <cfRule type="expression" dxfId="4273" priority="202">
      <formula>$S$93 = FALSE</formula>
    </cfRule>
  </conditionalFormatting>
  <conditionalFormatting sqref="W101">
    <cfRule type="expression" dxfId="4272" priority="197">
      <formula>OR($T$101 = TRUE, AND($W$101 = TRUE, $S$101 = FALSE))</formula>
    </cfRule>
    <cfRule type="expression" dxfId="4271" priority="200">
      <formula>AND($R$101,$S$101)</formula>
    </cfRule>
    <cfRule type="expression" dxfId="4270" priority="199">
      <formula>AND(IF($R$101,$W$101,TRUE),LEN(TRIM($W$101))&gt;0)</formula>
    </cfRule>
    <cfRule type="expression" dxfId="4269" priority="198">
      <formula>$S$101 = FALSE</formula>
    </cfRule>
  </conditionalFormatting>
  <conditionalFormatting sqref="W104">
    <cfRule type="expression" dxfId="4268" priority="193">
      <formula>OR($T$104 = TRUE, AND($W$104 = TRUE, $S$104 = FALSE))</formula>
    </cfRule>
    <cfRule type="expression" dxfId="4267" priority="194">
      <formula>$S$104 = FALSE</formula>
    </cfRule>
    <cfRule type="expression" dxfId="4266" priority="195">
      <formula>AND(IF($R$104,$W$104,TRUE),LEN(TRIM($W$104))&gt;0)</formula>
    </cfRule>
    <cfRule type="expression" dxfId="4265" priority="196">
      <formula>AND($R$104,$S$104)</formula>
    </cfRule>
  </conditionalFormatting>
  <conditionalFormatting sqref="W108">
    <cfRule type="expression" dxfId="4264" priority="9">
      <formula>OR($T$108 = TRUE, AND(LEN(TRIM($W$108))&gt;0, $S$108 = FALSE))</formula>
    </cfRule>
    <cfRule type="expression" dxfId="4263" priority="10">
      <formula>$S$108 = FALSE</formula>
    </cfRule>
    <cfRule type="expression" dxfId="4262" priority="11">
      <formula>AND($W$108&lt;&gt;"Not Met",LEN(TRIM($W$108))&gt;0)</formula>
    </cfRule>
    <cfRule type="expression" dxfId="4261" priority="12">
      <formula>AND($R$108,$S$108)</formula>
    </cfRule>
  </conditionalFormatting>
  <conditionalFormatting sqref="W115">
    <cfRule type="expression" dxfId="4260" priority="5">
      <formula>OR($T$115 = TRUE, AND(LEN(TRIM($W$115))&gt;0, $S$115 = FALSE))</formula>
    </cfRule>
    <cfRule type="expression" dxfId="4259" priority="7">
      <formula>AND($W$115&lt;&gt;"Not Met",LEN(TRIM($W$115))&gt;0)</formula>
    </cfRule>
    <cfRule type="expression" dxfId="4258" priority="8">
      <formula>AND($R$115,$S$115)</formula>
    </cfRule>
    <cfRule type="expression" dxfId="4257" priority="6">
      <formula>$S$115 = FALSE</formula>
    </cfRule>
  </conditionalFormatting>
  <conditionalFormatting sqref="W122">
    <cfRule type="expression" dxfId="4256" priority="394">
      <formula>AND($R$122,$S$122)</formula>
    </cfRule>
    <cfRule type="expression" dxfId="4255" priority="393">
      <formula>AND(IF($R$122,$W$122,TRUE),LEN(TRIM($W$122))&gt;0)</formula>
    </cfRule>
    <cfRule type="expression" dxfId="4254" priority="392">
      <formula>$S$122 = FALSE</formula>
    </cfRule>
    <cfRule type="expression" dxfId="4253" priority="391">
      <formula>OR($T$122 = TRUE, AND(LEN(TRIM($W$122))&gt;0, $S$122 = FALSE))</formula>
    </cfRule>
  </conditionalFormatting>
  <conditionalFormatting sqref="W124">
    <cfRule type="expression" dxfId="4252" priority="397">
      <formula>AND(IF($R$124,$W$124,TRUE),LEN(TRIM($W$124))&gt;0)</formula>
    </cfRule>
    <cfRule type="expression" dxfId="4251" priority="396">
      <formula>$S$124 = FALSE</formula>
    </cfRule>
    <cfRule type="expression" dxfId="4250" priority="395">
      <formula>OR($T$124 = TRUE, AND(LEN(TRIM($W$124))&gt;0, $S$124 = FALSE))</formula>
    </cfRule>
    <cfRule type="expression" dxfId="4249" priority="398">
      <formula>AND($R$124,$S$124)</formula>
    </cfRule>
  </conditionalFormatting>
  <conditionalFormatting sqref="W130">
    <cfRule type="expression" dxfId="4248" priority="181">
      <formula>OR($T$130 = TRUE, AND($W$130 = TRUE, $S$130 = FALSE))</formula>
    </cfRule>
    <cfRule type="expression" dxfId="4247" priority="184">
      <formula>AND($R$130,$S$130)</formula>
    </cfRule>
    <cfRule type="expression" dxfId="4246" priority="183">
      <formula>AND(IF($R$130,$W$130,TRUE),LEN(TRIM($W$130))&gt;0)</formula>
    </cfRule>
    <cfRule type="expression" dxfId="4245" priority="182">
      <formula>$S$130 = FALSE</formula>
    </cfRule>
  </conditionalFormatting>
  <conditionalFormatting sqref="W132">
    <cfRule type="expression" dxfId="4244" priority="178">
      <formula>$S$132 = FALSE</formula>
    </cfRule>
    <cfRule type="expression" dxfId="4243" priority="179">
      <formula>AND(IF($R$132,$W$132,TRUE),LEN(TRIM($W$132))&gt;0)</formula>
    </cfRule>
    <cfRule type="expression" dxfId="4242" priority="180">
      <formula>AND($R$132,$S$132)</formula>
    </cfRule>
    <cfRule type="expression" dxfId="4241" priority="177">
      <formula>OR($T$132 = TRUE, AND($W$132 = TRUE, $S$132 = FALSE))</formula>
    </cfRule>
  </conditionalFormatting>
  <conditionalFormatting sqref="W134">
    <cfRule type="expression" dxfId="4240" priority="175">
      <formula>AND(IF($R$134,$W$134,TRUE),LEN(TRIM($W$134))&gt;0)</formula>
    </cfRule>
    <cfRule type="expression" dxfId="4239" priority="176">
      <formula>AND($R$134,$S$134)</formula>
    </cfRule>
    <cfRule type="expression" dxfId="4238" priority="174">
      <formula>$S$134 = FALSE</formula>
    </cfRule>
    <cfRule type="expression" dxfId="4237" priority="173">
      <formula>OR($T$134 = TRUE, AND($W$134 = TRUE, $S$134 = FALSE))</formula>
    </cfRule>
  </conditionalFormatting>
  <conditionalFormatting sqref="W136">
    <cfRule type="expression" dxfId="4236" priority="402">
      <formula>AND($R$136,$S$136)</formula>
    </cfRule>
    <cfRule type="expression" dxfId="4235" priority="401">
      <formula>AND(IF($R$136,$W$136,TRUE),LEN(TRIM($W$136))&gt;0)</formula>
    </cfRule>
    <cfRule type="expression" dxfId="4234" priority="400">
      <formula>$S$136 = FALSE</formula>
    </cfRule>
    <cfRule type="expression" dxfId="4233" priority="399">
      <formula>OR($T$136 = TRUE, AND(LEN(TRIM($W$136))&gt;0, $S$136 = FALSE))</formula>
    </cfRule>
  </conditionalFormatting>
  <conditionalFormatting sqref="W141">
    <cfRule type="expression" dxfId="4232" priority="171">
      <formula>AND(IF($R$141,$W$141,TRUE),LEN(TRIM($W$141))&gt;0)</formula>
    </cfRule>
    <cfRule type="expression" dxfId="4231" priority="170">
      <formula>$S$141 = FALSE</formula>
    </cfRule>
    <cfRule type="expression" dxfId="4230" priority="169">
      <formula>OR($T$141 = TRUE, AND($W$141 = TRUE, $S$141 = FALSE))</formula>
    </cfRule>
    <cfRule type="expression" dxfId="4229" priority="172">
      <formula>AND($R$141,$S$141)</formula>
    </cfRule>
  </conditionalFormatting>
  <conditionalFormatting sqref="W142">
    <cfRule type="expression" dxfId="4228" priority="168">
      <formula>AND($R$142,$S$142)</formula>
    </cfRule>
    <cfRule type="expression" dxfId="4227" priority="167">
      <formula>AND(IF($R$142,$W$142,TRUE),LEN(TRIM($W$142))&gt;0)</formula>
    </cfRule>
    <cfRule type="expression" dxfId="4226" priority="166">
      <formula>$S$142 = FALSE</formula>
    </cfRule>
    <cfRule type="expression" dxfId="4225" priority="165">
      <formula>OR($T$142 = TRUE, AND($W$142 = TRUE, $S$142 = FALSE))</formula>
    </cfRule>
  </conditionalFormatting>
  <conditionalFormatting sqref="W147">
    <cfRule type="expression" dxfId="4224" priority="164">
      <formula>AND($R$147,$S$147)</formula>
    </cfRule>
    <cfRule type="expression" dxfId="4223" priority="163">
      <formula>AND(IF($R$147,$W$147,TRUE),LEN(TRIM($W$147))&gt;0)</formula>
    </cfRule>
    <cfRule type="expression" dxfId="4222" priority="162">
      <formula>$S$147 = FALSE</formula>
    </cfRule>
    <cfRule type="expression" dxfId="4221" priority="161">
      <formula>OR($T$147 = TRUE, AND($W$147 = TRUE, $S$147 = FALSE))</formula>
    </cfRule>
  </conditionalFormatting>
  <conditionalFormatting sqref="W149">
    <cfRule type="expression" dxfId="4220" priority="160">
      <formula>AND($R$149,$S$149)</formula>
    </cfRule>
    <cfRule type="expression" dxfId="4219" priority="159">
      <formula>AND(IF($R$149,$W$149,TRUE),LEN(TRIM($W$149))&gt;0)</formula>
    </cfRule>
    <cfRule type="expression" dxfId="4218" priority="158">
      <formula>$S$149 = FALSE</formula>
    </cfRule>
    <cfRule type="expression" dxfId="4217" priority="157">
      <formula>OR($T$149 = TRUE, AND($W$149 = TRUE, $S$149 = FALSE))</formula>
    </cfRule>
  </conditionalFormatting>
  <conditionalFormatting sqref="W152">
    <cfRule type="expression" dxfId="4216" priority="155">
      <formula>AND(IF($R$152,$W$152,TRUE),LEN(TRIM($W$152))&gt;0)</formula>
    </cfRule>
    <cfRule type="expression" dxfId="4215" priority="154">
      <formula>$S$152 = FALSE</formula>
    </cfRule>
    <cfRule type="expression" dxfId="4214" priority="153">
      <formula>OR($T$152 = TRUE, AND($W$152 = TRUE, $S$152 = FALSE))</formula>
    </cfRule>
    <cfRule type="expression" dxfId="4213" priority="156">
      <formula>AND($R$152,$S$152)</formula>
    </cfRule>
  </conditionalFormatting>
  <conditionalFormatting sqref="W154">
    <cfRule type="expression" dxfId="4212" priority="149">
      <formula>OR($T$154 = TRUE, AND($W$154 = TRUE, $S$154 = FALSE))</formula>
    </cfRule>
    <cfRule type="expression" dxfId="4211" priority="152">
      <formula>AND($R$154,$S$154)</formula>
    </cfRule>
    <cfRule type="expression" dxfId="4210" priority="151">
      <formula>AND(IF($R$154,$W$154,TRUE),LEN(TRIM($W$154))&gt;0)</formula>
    </cfRule>
    <cfRule type="expression" dxfId="4209" priority="150">
      <formula>$S$154 = FALSE</formula>
    </cfRule>
  </conditionalFormatting>
  <conditionalFormatting sqref="W156">
    <cfRule type="expression" dxfId="4208" priority="148">
      <formula>AND($R$156,$S$156)</formula>
    </cfRule>
    <cfRule type="expression" dxfId="4207" priority="147">
      <formula>AND(IF($R$156,$W$156,TRUE),LEN(TRIM($W$156))&gt;0)</formula>
    </cfRule>
    <cfRule type="expression" dxfId="4206" priority="146">
      <formula>$S$156 = FALSE</formula>
    </cfRule>
    <cfRule type="expression" dxfId="4205" priority="145">
      <formula>OR($T$156 = TRUE, AND($W$156 = TRUE, $S$156 = FALSE))</formula>
    </cfRule>
  </conditionalFormatting>
  <conditionalFormatting sqref="W160">
    <cfRule type="expression" dxfId="4204" priority="143">
      <formula>AND(IF($R$160,$W$160,TRUE),LEN(TRIM($W$160))&gt;0)</formula>
    </cfRule>
    <cfRule type="expression" dxfId="4203" priority="142">
      <formula>$S$160 = FALSE</formula>
    </cfRule>
    <cfRule type="expression" dxfId="4202" priority="141">
      <formula>OR($T$160 = TRUE, AND($W$160 = TRUE, $S$160 = FALSE))</formula>
    </cfRule>
    <cfRule type="expression" dxfId="4201" priority="144">
      <formula>AND($R$160,$S$160)</formula>
    </cfRule>
  </conditionalFormatting>
  <conditionalFormatting sqref="W161">
    <cfRule type="expression" dxfId="4200" priority="139">
      <formula>AND(IF($R$161,$W$161,TRUE),LEN(TRIM($W$161))&gt;0)</formula>
    </cfRule>
    <cfRule type="expression" dxfId="4199" priority="137">
      <formula>OR($T$161 = TRUE, AND($W$161 = TRUE, $S$161 = FALSE))</formula>
    </cfRule>
    <cfRule type="expression" dxfId="4198" priority="138">
      <formula>$S$161 = FALSE</formula>
    </cfRule>
    <cfRule type="expression" dxfId="4197" priority="140">
      <formula>AND($R$161,$S$161)</formula>
    </cfRule>
  </conditionalFormatting>
  <conditionalFormatting sqref="W162">
    <cfRule type="expression" dxfId="4196" priority="133">
      <formula>OR($T$162 = TRUE, AND($W$162 = TRUE, $S$162 = FALSE))</formula>
    </cfRule>
    <cfRule type="expression" dxfId="4195" priority="134">
      <formula>$S$162 = FALSE</formula>
    </cfRule>
    <cfRule type="expression" dxfId="4194" priority="135">
      <formula>AND(IF($R$162,$W$162,TRUE),LEN(TRIM($W$162))&gt;0)</formula>
    </cfRule>
    <cfRule type="expression" dxfId="4193" priority="136">
      <formula>AND($R$162,$S$162)</formula>
    </cfRule>
  </conditionalFormatting>
  <conditionalFormatting sqref="W164">
    <cfRule type="expression" dxfId="4192" priority="129">
      <formula>OR($T$164 = TRUE, AND($W$164 = TRUE, $S$164 = FALSE))</formula>
    </cfRule>
    <cfRule type="expression" dxfId="4191" priority="130">
      <formula>$S$164 = FALSE</formula>
    </cfRule>
    <cfRule type="expression" dxfId="4190" priority="131">
      <formula>AND(IF($R$164,$W$164,TRUE),LEN(TRIM($W$164))&gt;0)</formula>
    </cfRule>
    <cfRule type="expression" dxfId="4189" priority="132">
      <formula>AND($R$164,$S$164)</formula>
    </cfRule>
  </conditionalFormatting>
  <conditionalFormatting sqref="W165">
    <cfRule type="expression" dxfId="4188" priority="3">
      <formula>AND($W$165&lt;&gt;"Not Met",LEN(TRIM($W$165))&gt;0)</formula>
    </cfRule>
    <cfRule type="expression" dxfId="4187" priority="4">
      <formula>AND($R$165,$S$165)</formula>
    </cfRule>
    <cfRule type="expression" dxfId="4186" priority="2">
      <formula>$S$165 = FALSE</formula>
    </cfRule>
    <cfRule type="expression" dxfId="4185" priority="1">
      <formula>OR($T$165 = TRUE, AND(LEN(TRIM($W$165))&gt;0, $S$165 = FALSE))</formula>
    </cfRule>
  </conditionalFormatting>
  <conditionalFormatting sqref="W172">
    <cfRule type="expression" dxfId="4184" priority="403">
      <formula>OR($T$172 = TRUE, AND(LEN(TRIM($W$172))&gt;0, $S$172 = FALSE))</formula>
    </cfRule>
    <cfRule type="expression" dxfId="4183" priority="404">
      <formula>$S$172 = FALSE</formula>
    </cfRule>
    <cfRule type="expression" dxfId="4182" priority="405">
      <formula>AND(IF($R$172,$W$172,TRUE),LEN(TRIM($W$172))&gt;0)</formula>
    </cfRule>
    <cfRule type="expression" dxfId="4181" priority="406">
      <formula>AND($R$172,$S$172)</formula>
    </cfRule>
  </conditionalFormatting>
  <conditionalFormatting sqref="W179">
    <cfRule type="expression" dxfId="4180" priority="120">
      <formula>AND($R$179,$S$179)</formula>
    </cfRule>
    <cfRule type="expression" dxfId="4179" priority="119">
      <formula>AND(IF($R$179,$W$179,TRUE),LEN(TRIM($W$179))&gt;0)</formula>
    </cfRule>
    <cfRule type="expression" dxfId="4178" priority="118">
      <formula>$S$179 = FALSE</formula>
    </cfRule>
    <cfRule type="expression" dxfId="4177" priority="117">
      <formula>OR($T$179 = TRUE, AND($W$179 = TRUE, $S$179 = FALSE))</formula>
    </cfRule>
  </conditionalFormatting>
  <conditionalFormatting sqref="W186">
    <cfRule type="expression" dxfId="4176" priority="116">
      <formula>AND($R$186,$S$186)</formula>
    </cfRule>
    <cfRule type="expression" dxfId="4175" priority="115">
      <formula>AND(IF($R$186,$W$186,TRUE),LEN(TRIM($W$186))&gt;0)</formula>
    </cfRule>
    <cfRule type="expression" dxfId="4174" priority="114">
      <formula>$S$186 = FALSE</formula>
    </cfRule>
    <cfRule type="expression" dxfId="4173" priority="113">
      <formula>OR($T$186 = TRUE, AND($W$186 = TRUE, $S$186 = FALSE))</formula>
    </cfRule>
  </conditionalFormatting>
  <conditionalFormatting sqref="W187">
    <cfRule type="expression" dxfId="4172" priority="112">
      <formula>AND($R$187,$S$187)</formula>
    </cfRule>
    <cfRule type="expression" dxfId="4171" priority="111">
      <formula>AND(IF($R$187,$W$187,TRUE),LEN(TRIM($W$187))&gt;0)</formula>
    </cfRule>
    <cfRule type="expression" dxfId="4170" priority="110">
      <formula>$S$187 = FALSE</formula>
    </cfRule>
    <cfRule type="expression" dxfId="4169" priority="109">
      <formula>OR($T$187 = TRUE, AND($W$187 = TRUE, $S$187 = FALSE))</formula>
    </cfRule>
  </conditionalFormatting>
  <conditionalFormatting sqref="W189">
    <cfRule type="expression" dxfId="4168" priority="108">
      <formula>AND($R$189,$S$189)</formula>
    </cfRule>
    <cfRule type="expression" dxfId="4167" priority="107">
      <formula>AND(IF($R$189,$W$189,TRUE),LEN(TRIM($W$189))&gt;0)</formula>
    </cfRule>
    <cfRule type="expression" dxfId="4166" priority="106">
      <formula>$S$189 = FALSE</formula>
    </cfRule>
    <cfRule type="expression" dxfId="4165" priority="105">
      <formula>OR($T$189 = TRUE, AND($W$189 = TRUE, $S$189 = FALSE))</formula>
    </cfRule>
  </conditionalFormatting>
  <conditionalFormatting sqref="W194">
    <cfRule type="expression" dxfId="4164" priority="103">
      <formula>AND(IF($R$194,$W$194,TRUE),LEN(TRIM($W$194))&gt;0)</formula>
    </cfRule>
    <cfRule type="expression" dxfId="4163" priority="101">
      <formula>OR($T$194 = TRUE, AND($W$194 = TRUE, $S$194 = FALSE))</formula>
    </cfRule>
    <cfRule type="expression" dxfId="4162" priority="102">
      <formula>$S$194 = FALSE</formula>
    </cfRule>
    <cfRule type="expression" dxfId="4161" priority="104">
      <formula>AND($R$194,$S$194)</formula>
    </cfRule>
  </conditionalFormatting>
  <conditionalFormatting sqref="W196">
    <cfRule type="expression" dxfId="4160" priority="99">
      <formula>AND(IF($R$196,$W$196,TRUE),LEN(TRIM($W$196))&gt;0)</formula>
    </cfRule>
    <cfRule type="expression" dxfId="4159" priority="97">
      <formula>OR($T$196 = TRUE, AND($W$196 = TRUE, $S$196 = FALSE))</formula>
    </cfRule>
    <cfRule type="expression" dxfId="4158" priority="98">
      <formula>$S$196 = FALSE</formula>
    </cfRule>
    <cfRule type="expression" dxfId="4157" priority="100">
      <formula>AND($R$196,$S$196)</formula>
    </cfRule>
  </conditionalFormatting>
  <conditionalFormatting sqref="W197">
    <cfRule type="expression" dxfId="4156" priority="95">
      <formula>AND(IF($R$197,$W$197,TRUE),LEN(TRIM($W$197))&gt;0)</formula>
    </cfRule>
    <cfRule type="expression" dxfId="4155" priority="94">
      <formula>$S$197 = FALSE</formula>
    </cfRule>
    <cfRule type="expression" dxfId="4154" priority="93">
      <formula>OR($T$197 = TRUE, AND($W$197 = TRUE, $S$197 = FALSE))</formula>
    </cfRule>
    <cfRule type="expression" dxfId="4153" priority="96">
      <formula>AND($R$197,$S$197)</formula>
    </cfRule>
  </conditionalFormatting>
  <conditionalFormatting sqref="W199">
    <cfRule type="expression" dxfId="4152" priority="92">
      <formula>AND($R$199,$S$199)</formula>
    </cfRule>
    <cfRule type="expression" dxfId="4151" priority="91">
      <formula>AND(IF($R$199,$W$199,TRUE),LEN(TRIM($W$199))&gt;0)</formula>
    </cfRule>
    <cfRule type="expression" dxfId="4150" priority="90">
      <formula>$S$199 = FALSE</formula>
    </cfRule>
    <cfRule type="expression" dxfId="4149" priority="89">
      <formula>OR($T$199 = TRUE, AND($W$199 = TRUE, $S$199 = FALSE))</formula>
    </cfRule>
  </conditionalFormatting>
  <conditionalFormatting sqref="W201">
    <cfRule type="expression" dxfId="4148" priority="87">
      <formula>AND(IF($R$201,$W$201,TRUE),LEN(TRIM($W$201))&gt;0)</formula>
    </cfRule>
    <cfRule type="expression" dxfId="4147" priority="86">
      <formula>$S$201 = FALSE</formula>
    </cfRule>
    <cfRule type="expression" dxfId="4146" priority="85">
      <formula>OR($T$201 = TRUE, AND($W$201 = TRUE, $S$201 = FALSE))</formula>
    </cfRule>
    <cfRule type="expression" dxfId="4145" priority="88">
      <formula>AND($R$201,$S$201)</formula>
    </cfRule>
  </conditionalFormatting>
  <conditionalFormatting sqref="W205">
    <cfRule type="expression" dxfId="4144" priority="81">
      <formula>OR($T$205 = TRUE, AND($W$205 = TRUE, $S$205 = FALSE))</formula>
    </cfRule>
    <cfRule type="expression" dxfId="4143" priority="84">
      <formula>AND($R$205,$S$205)</formula>
    </cfRule>
    <cfRule type="expression" dxfId="4142" priority="83">
      <formula>AND(IF($R$205,$W$205,TRUE),LEN(TRIM($W$205))&gt;0)</formula>
    </cfRule>
    <cfRule type="expression" dxfId="4141" priority="82">
      <formula>$S$205 = FALSE</formula>
    </cfRule>
  </conditionalFormatting>
  <conditionalFormatting sqref="W208">
    <cfRule type="expression" dxfId="4140" priority="79">
      <formula>AND(IF($R$208,$W$208,TRUE),LEN(TRIM($W$208))&gt;0)</formula>
    </cfRule>
    <cfRule type="expression" dxfId="4139" priority="78">
      <formula>$S$208 = FALSE</formula>
    </cfRule>
    <cfRule type="expression" dxfId="4138" priority="77">
      <formula>OR($T$208 = TRUE, AND($W$208 = TRUE, $S$208 = FALSE))</formula>
    </cfRule>
    <cfRule type="expression" dxfId="4137" priority="80">
      <formula>AND($R$208,$S$208)</formula>
    </cfRule>
  </conditionalFormatting>
  <conditionalFormatting sqref="W210">
    <cfRule type="expression" dxfId="4136" priority="75">
      <formula>AND(IF($R$210,$W$210,TRUE),LEN(TRIM($W$210))&gt;0)</formula>
    </cfRule>
    <cfRule type="expression" dxfId="4135" priority="76">
      <formula>AND($R$210,$S$210)</formula>
    </cfRule>
    <cfRule type="expression" dxfId="4134" priority="74">
      <formula>$S$210 = FALSE</formula>
    </cfRule>
    <cfRule type="expression" dxfId="4133" priority="73">
      <formula>OR($T$210 = TRUE, AND($W$210 = TRUE, $S$210 = FALSE))</formula>
    </cfRule>
  </conditionalFormatting>
  <conditionalFormatting sqref="W211">
    <cfRule type="expression" dxfId="4132" priority="72">
      <formula>AND($R$211,$S$211)</formula>
    </cfRule>
    <cfRule type="expression" dxfId="4131" priority="71">
      <formula>AND(IF($R$211,$W$211,TRUE),LEN(TRIM($W$211))&gt;0)</formula>
    </cfRule>
    <cfRule type="expression" dxfId="4130" priority="70">
      <formula>$S$211 = FALSE</formula>
    </cfRule>
    <cfRule type="expression" dxfId="4129" priority="69">
      <formula>OR($T$211 = TRUE, AND($W$211 = TRUE, $S$211 = FALSE))</formula>
    </cfRule>
  </conditionalFormatting>
  <conditionalFormatting sqref="W212">
    <cfRule type="expression" dxfId="4128" priority="68">
      <formula>AND($R$212,$S$212)</formula>
    </cfRule>
    <cfRule type="expression" dxfId="4127" priority="67">
      <formula>AND(IF($R$212,$W$212,TRUE),LEN(TRIM($W$212))&gt;0)</formula>
    </cfRule>
    <cfRule type="expression" dxfId="4126" priority="66">
      <formula>$S$212 = FALSE</formula>
    </cfRule>
    <cfRule type="expression" dxfId="4125" priority="65">
      <formula>OR($T$212 = TRUE, AND($W$212 = TRUE, $S$212 = FALSE))</formula>
    </cfRule>
  </conditionalFormatting>
  <conditionalFormatting sqref="W213">
    <cfRule type="expression" dxfId="4124" priority="64">
      <formula>AND($R$213,$S$213)</formula>
    </cfRule>
    <cfRule type="expression" dxfId="4123" priority="63">
      <formula>AND(IF($R$213,$W$213,TRUE),LEN(TRIM($W$213))&gt;0)</formula>
    </cfRule>
    <cfRule type="expression" dxfId="4122" priority="62">
      <formula>$S$213 = FALSE</formula>
    </cfRule>
    <cfRule type="expression" dxfId="4121" priority="61">
      <formula>OR($T$213 = TRUE, AND($W$213 = TRUE, $S$213 = FALSE))</formula>
    </cfRule>
  </conditionalFormatting>
  <conditionalFormatting sqref="W214">
    <cfRule type="expression" dxfId="4120" priority="59">
      <formula>AND(IF($R$214,$W$214,TRUE),LEN(TRIM($W$214))&gt;0)</formula>
    </cfRule>
    <cfRule type="expression" dxfId="4119" priority="58">
      <formula>$S$214 = FALSE</formula>
    </cfRule>
    <cfRule type="expression" dxfId="4118" priority="57">
      <formula>OR($T$214 = TRUE, AND($W$214 = TRUE, $S$214 = FALSE))</formula>
    </cfRule>
    <cfRule type="expression" dxfId="4117" priority="60">
      <formula>AND($R$214,$S$214)</formula>
    </cfRule>
  </conditionalFormatting>
  <conditionalFormatting sqref="W215">
    <cfRule type="expression" dxfId="4116" priority="56">
      <formula>AND($R$215,$S$215)</formula>
    </cfRule>
    <cfRule type="expression" dxfId="4115" priority="55">
      <formula>AND(IF($R$215,$W$215,TRUE),LEN(TRIM($W$215))&gt;0)</formula>
    </cfRule>
    <cfRule type="expression" dxfId="4114" priority="54">
      <formula>$S$215 = FALSE</formula>
    </cfRule>
    <cfRule type="expression" dxfId="4113" priority="53">
      <formula>OR($T$215 = TRUE, AND($W$215 = TRUE, $S$215 = FALSE))</formula>
    </cfRule>
  </conditionalFormatting>
  <conditionalFormatting sqref="W217">
    <cfRule type="expression" dxfId="4112" priority="51">
      <formula>AND(IF($R$217,$W$217,TRUE),LEN(TRIM($W$217))&gt;0)</formula>
    </cfRule>
    <cfRule type="expression" dxfId="4111" priority="50">
      <formula>$S$217 = FALSE</formula>
    </cfRule>
    <cfRule type="expression" dxfId="4110" priority="49">
      <formula>OR($T$217 = TRUE, AND($W$217 = TRUE, $S$217 = FALSE))</formula>
    </cfRule>
    <cfRule type="expression" dxfId="4109" priority="52">
      <formula>AND($R$217,$S$217)</formula>
    </cfRule>
  </conditionalFormatting>
  <conditionalFormatting sqref="W224">
    <cfRule type="expression" dxfId="4108" priority="47">
      <formula>AND(IF($R$224,$W$224,TRUE),LEN(TRIM($W$224))&gt;0)</formula>
    </cfRule>
    <cfRule type="expression" dxfId="4107" priority="46">
      <formula>$S$224 = FALSE</formula>
    </cfRule>
    <cfRule type="expression" dxfId="4106" priority="45">
      <formula>OR($T$224 = TRUE, AND($W$224 = TRUE, $S$224 = FALSE))</formula>
    </cfRule>
    <cfRule type="expression" dxfId="4105" priority="48">
      <formula>AND($R$224,$S$224)</formula>
    </cfRule>
  </conditionalFormatting>
  <conditionalFormatting sqref="W226">
    <cfRule type="expression" dxfId="4104" priority="43">
      <formula>AND(IF($R$226,$W$226,TRUE),LEN(TRIM($W$226))&gt;0)</formula>
    </cfRule>
    <cfRule type="expression" dxfId="4103" priority="44">
      <formula>AND($R$226,$S$226)</formula>
    </cfRule>
    <cfRule type="expression" dxfId="4102" priority="42">
      <formula>$S$226 = FALSE</formula>
    </cfRule>
    <cfRule type="expression" dxfId="4101" priority="41">
      <formula>OR($T$226 = TRUE, AND($W$226 = TRUE, $S$226 = FALSE))</formula>
    </cfRule>
  </conditionalFormatting>
  <conditionalFormatting sqref="W227">
    <cfRule type="expression" dxfId="4100" priority="413">
      <formula>AND(IF($R$227,$W$227,TRUE),LEN(TRIM($W$227))&gt;0)</formula>
    </cfRule>
    <cfRule type="expression" dxfId="4099" priority="412">
      <formula>$S$227 = FALSE</formula>
    </cfRule>
    <cfRule type="expression" dxfId="4098" priority="411">
      <formula>OR($T$227 = TRUE, AND(LEN(TRIM($W$227))&gt;0, $S$227 = FALSE))</formula>
    </cfRule>
    <cfRule type="expression" dxfId="4097" priority="414">
      <formula>AND($R$227,$S$227)</formula>
    </cfRule>
  </conditionalFormatting>
  <conditionalFormatting sqref="W231">
    <cfRule type="expression" dxfId="4096" priority="415">
      <formula>OR($T$231 = TRUE, AND(LEN(TRIM($W$231))&gt;0, $S$231 = FALSE))</formula>
    </cfRule>
    <cfRule type="expression" dxfId="4095" priority="416">
      <formula>$S$231 = FALSE</formula>
    </cfRule>
    <cfRule type="expression" dxfId="4094" priority="417">
      <formula>AND(IF($R$231,$W$231,TRUE),LEN(TRIM($W$231))&gt;0)</formula>
    </cfRule>
    <cfRule type="expression" dxfId="4093" priority="418">
      <formula>AND($R$231,$S$231)</formula>
    </cfRule>
  </conditionalFormatting>
  <conditionalFormatting sqref="W239">
    <cfRule type="expression" dxfId="4092" priority="37">
      <formula>OR($T$239 = TRUE, AND($W$239 = TRUE, $S$239 = FALSE))</formula>
    </cfRule>
    <cfRule type="expression" dxfId="4091" priority="40">
      <formula>AND($R$239,$S$239)</formula>
    </cfRule>
    <cfRule type="expression" dxfId="4090" priority="39">
      <formula>AND(IF($R$239,$W$239,TRUE),LEN(TRIM($W$239))&gt;0)</formula>
    </cfRule>
    <cfRule type="expression" dxfId="4089" priority="38">
      <formula>$S$239 = FALSE</formula>
    </cfRule>
  </conditionalFormatting>
  <conditionalFormatting sqref="W242">
    <cfRule type="expression" dxfId="4088" priority="36">
      <formula>AND($R$242,$S$242)</formula>
    </cfRule>
    <cfRule type="expression" dxfId="4087" priority="35">
      <formula>AND(IF($R$242,$W$242,TRUE),LEN(TRIM($W$242))&gt;0)</formula>
    </cfRule>
    <cfRule type="expression" dxfId="4086" priority="34">
      <formula>$S$242 = FALSE</formula>
    </cfRule>
    <cfRule type="expression" dxfId="4085" priority="33">
      <formula>OR($T$242 = TRUE, AND($W$242 = TRUE, $S$242 = FALSE))</formula>
    </cfRule>
  </conditionalFormatting>
  <conditionalFormatting sqref="W246">
    <cfRule type="expression" dxfId="4084" priority="32">
      <formula>AND($R$246,$S$246)</formula>
    </cfRule>
    <cfRule type="expression" dxfId="4083" priority="31">
      <formula>AND(IF($R$246,$W$246,TRUE),LEN(TRIM($W$246))&gt;0)</formula>
    </cfRule>
    <cfRule type="expression" dxfId="4082" priority="30">
      <formula>$S$246 = FALSE</formula>
    </cfRule>
    <cfRule type="expression" dxfId="4081" priority="29">
      <formula>OR($T$246 = TRUE, AND($W$246 = TRUE, $S$246 = FALSE))</formula>
    </cfRule>
  </conditionalFormatting>
  <conditionalFormatting sqref="W247">
    <cfRule type="expression" dxfId="4080" priority="25">
      <formula>OR($T$247 = TRUE, AND($W$247 = TRUE, $S$247 = FALSE))</formula>
    </cfRule>
    <cfRule type="expression" dxfId="4079" priority="28">
      <formula>AND($R$247,$S$247)</formula>
    </cfRule>
    <cfRule type="expression" dxfId="4078" priority="27">
      <formula>AND(IF($R$247,$W$247,TRUE),LEN(TRIM($W$247))&gt;0)</formula>
    </cfRule>
    <cfRule type="expression" dxfId="4077" priority="26">
      <formula>$S$247 = FALSE</formula>
    </cfRule>
  </conditionalFormatting>
  <conditionalFormatting sqref="W250">
    <cfRule type="expression" dxfId="4076" priority="419">
      <formula>OR($T$250 = TRUE, AND(LEN(TRIM($W$250))&gt;0, $S$250 = FALSE))</formula>
    </cfRule>
    <cfRule type="expression" dxfId="4075" priority="420">
      <formula>$S$250 = FALSE</formula>
    </cfRule>
    <cfRule type="expression" dxfId="4074" priority="421">
      <formula>AND(IF($R$250,$W$250,TRUE),LEN(TRIM($W$250))&gt;0)</formula>
    </cfRule>
    <cfRule type="expression" dxfId="4073" priority="422">
      <formula>AND($R$250,$S$250)</formula>
    </cfRule>
  </conditionalFormatting>
  <conditionalFormatting sqref="W256">
    <cfRule type="expression" dxfId="4072" priority="24">
      <formula>AND($R$256,$S$256)</formula>
    </cfRule>
    <cfRule type="expression" dxfId="4071" priority="23">
      <formula>AND(IF($R$256,$W$256,TRUE),LEN(TRIM($W$256))&gt;0)</formula>
    </cfRule>
    <cfRule type="expression" dxfId="4070" priority="21">
      <formula>OR($T$256 = TRUE, AND($W$256 = TRUE, $S$256 = FALSE))</formula>
    </cfRule>
    <cfRule type="expression" dxfId="4069" priority="22">
      <formula>$S$256 = FALSE</formula>
    </cfRule>
  </conditionalFormatting>
  <conditionalFormatting sqref="W257">
    <cfRule type="expression" dxfId="4068" priority="18">
      <formula>$S$257 = FALSE</formula>
    </cfRule>
    <cfRule type="expression" dxfId="4067" priority="19">
      <formula>AND(IF($R$257,$W$257,TRUE),LEN(TRIM($W$257))&gt;0)</formula>
    </cfRule>
    <cfRule type="expression" dxfId="4066" priority="20">
      <formula>AND($R$257,$S$257)</formula>
    </cfRule>
    <cfRule type="expression" dxfId="4065" priority="17">
      <formula>OR($T$257 = TRUE, AND($W$257 = TRUE, $S$257 = FALSE))</formula>
    </cfRule>
  </conditionalFormatting>
  <conditionalFormatting sqref="W259">
    <cfRule type="expression" dxfId="4064" priority="13">
      <formula>OR($T$259 = TRUE, AND($W$259 = TRUE, $S$259 = FALSE))</formula>
    </cfRule>
    <cfRule type="expression" dxfId="4063" priority="14">
      <formula>$S$259 = FALSE</formula>
    </cfRule>
    <cfRule type="expression" dxfId="4062" priority="16">
      <formula>AND($R$259,$S$259)</formula>
    </cfRule>
    <cfRule type="expression" dxfId="4061" priority="15">
      <formula>AND(IF($R$259,$W$259,TRUE),LEN(TRIM($W$259))&gt;0)</formula>
    </cfRule>
  </conditionalFormatting>
  <conditionalFormatting sqref="X1">
    <cfRule type="expression" dxfId="4060" priority="788">
      <formula>startError</formula>
    </cfRule>
  </conditionalFormatting>
  <conditionalFormatting sqref="X2">
    <cfRule type="expression" dxfId="4059" priority="825">
      <formula>$AG$3</formula>
    </cfRule>
  </conditionalFormatting>
  <conditionalFormatting sqref="X3">
    <cfRule type="expression" dxfId="4058" priority="831">
      <formula>$AI$3</formula>
    </cfRule>
  </conditionalFormatting>
  <conditionalFormatting sqref="X28:X36">
    <cfRule type="expression" dxfId="4057" priority="382">
      <formula>$W$28=TRUE</formula>
    </cfRule>
  </conditionalFormatting>
  <conditionalFormatting sqref="X209:X216">
    <cfRule type="expression" dxfId="4056" priority="381">
      <formula>$W$215=TRUE</formula>
    </cfRule>
  </conditionalFormatting>
  <dataValidations count="14">
    <dataValidation type="list" allowBlank="1" showInputMessage="1" showErrorMessage="1" error="Please use the dropdown." sqref="W40" xr:uid="{00000000-0002-0000-0300-000000000000}">
      <formula1>INDIRECT($U$40)</formula1>
    </dataValidation>
    <dataValidation type="decimal" allowBlank="1" showDropDown="1" showInputMessage="1" showErrorMessage="1" error="Enter Percentage" prompt="Enter Percentage" sqref="W69" xr:uid="{00000000-0002-0000-0300-000001000000}">
      <formula1>0</formula1>
      <formula2>1</formula2>
    </dataValidation>
    <dataValidation type="list" allowBlank="1" showInputMessage="1" showErrorMessage="1" error="Please use the dropdown." sqref="W250" xr:uid="{00000000-0002-0000-0300-000002000000}">
      <formula1>INDIRECT($U$250)</formula1>
    </dataValidation>
    <dataValidation type="list" allowBlank="1" showInputMessage="1" showErrorMessage="1" error="Please use the dropdown." sqref="W231" xr:uid="{00000000-0002-0000-0300-000003000000}">
      <formula1>INDIRECT($U$231)</formula1>
    </dataValidation>
    <dataValidation type="list" allowBlank="1" showInputMessage="1" showErrorMessage="1" error="Please use the dropdown." sqref="W227" xr:uid="{00000000-0002-0000-0300-000004000000}">
      <formula1>INDIRECT($U$227)</formula1>
    </dataValidation>
    <dataValidation type="list" allowBlank="1" showInputMessage="1" showErrorMessage="1" error="Please use the dropdown." sqref="W172" xr:uid="{00000000-0002-0000-0300-000005000000}">
      <formula1>INDIRECT($U$172)</formula1>
    </dataValidation>
    <dataValidation type="list" allowBlank="1" showInputMessage="1" showErrorMessage="1" error="Please use the dropdown." sqref="W136" xr:uid="{00000000-0002-0000-0300-000006000000}">
      <formula1>INDIRECT($U$136)</formula1>
    </dataValidation>
    <dataValidation type="list" allowBlank="1" showInputMessage="1" showErrorMessage="1" error="Please use the dropdown." sqref="W124" xr:uid="{00000000-0002-0000-0300-000007000000}">
      <formula1>INDIRECT($U$124)</formula1>
    </dataValidation>
    <dataValidation type="list" allowBlank="1" showInputMessage="1" showErrorMessage="1" error="Please use the dropdown." sqref="W122" xr:uid="{00000000-0002-0000-0300-000008000000}">
      <formula1>INDIRECT($U$122)</formula1>
    </dataValidation>
    <dataValidation type="list" allowBlank="1" showDropDown="1" showInputMessage="1" showErrorMessage="1" error="Use Checkbox" prompt="Use Checkbox" sqref="W259 W256:W257 W246:W247 W242 W239 W226 W224 W217 W210:W215 W208 W205 W201 W199 W196:W197 W194 W189 W186:W187 W179 W15 W17:W19 W164 W160:W162 W156 W154 W152 W149 W147 W141:W142 W134 W132 W130 W104 W101 W91:W93 W88:W89 W84 W80 W78 W70:W71 W66 W62:W64 W60 W57:W58 W46 W37 W28 W26 W24 W22" xr:uid="{00000000-0002-0000-0300-000009000000}">
      <formula1>TorF</formula1>
    </dataValidation>
    <dataValidation type="list" allowBlank="1" showInputMessage="1" showErrorMessage="1" error="Please use the dropdown." sqref="W73" xr:uid="{00000000-0002-0000-0300-00000A000000}">
      <formula1>INDIRECT($U$73)</formula1>
    </dataValidation>
    <dataValidation type="list" allowBlank="1" showInputMessage="1" showErrorMessage="1" error="Please use the dropdown." sqref="W108" xr:uid="{00000000-0002-0000-0300-00000B000000}">
      <formula1>INDIRECT($U$108)</formula1>
    </dataValidation>
    <dataValidation type="list" allowBlank="1" showInputMessage="1" showErrorMessage="1" error="Please use the dropdown." sqref="W115" xr:uid="{00000000-0002-0000-0300-00000C000000}">
      <formula1>INDIRECT($U$115)</formula1>
    </dataValidation>
    <dataValidation type="list" allowBlank="1" showInputMessage="1" showErrorMessage="1" error="Please use the dropdown." sqref="W165" xr:uid="{602861B4-7893-4E6E-AA2D-56F5D3DBE54D}">
      <formula1>INDIRECT($U$165)</formula1>
    </dataValidation>
  </dataValidations>
  <hyperlinks>
    <hyperlink ref="X265" location="'Ch6'!A1" display="CLICK TO PROCEED TO CHAPTER 6 &gt;&gt;" xr:uid="{00000000-0004-0000-0300-000000000000}"/>
  </hyperlinks>
  <pageMargins left="0.7" right="0.7" top="0.75" bottom="0.75" header="0.3" footer="0.3"/>
  <pageSetup scale="44" fitToHeight="0" orientation="portrait" r:id="rId1"/>
  <rowBreaks count="2" manualBreakCount="2">
    <brk id="93" max="23" man="1"/>
    <brk id="175" max="23" man="1"/>
  </rowBreaks>
  <ignoredErrors>
    <ignoredError sqref="AQ15 AQ17:AQ19 AQ22 AQ24 AQ26 AQ28 AQ37 AQ40 AQ46 AQ57:AQ58 AQ60 AQ62:AQ64 AQ66 AQ69:AQ71 AQ73 AQ78 AQ80 AQ84 AQ88:AQ89 AQ91:AQ93 AQ101 AQ104 AQ108 AQ115 AQ122 AQ124 AQ152 AQ154 AQ156 AQ130 AQ132 AQ134 AQ136 AQ141:AQ142 AQ147 AQ149 AQ160:AQ162 AQ164:AQ165 AQ171 AQ179 AQ186:AQ187 AQ189 AQ194 AQ196:AQ197 AQ199 AQ201 AQ205 AQ208 AQ210:AQ215 AQ217 AQ224 AQ226:AQ227 AQ231 AQ239 AQ242 AQ246:AQ247 AQ250 AQ256:AQ257 AQ259 AS14 AS20 AS22 AS24 AS26 AS28 AS37 AS40 AS46 AS51 AS56 AS68 AS81 AS94 AS101 AS104 AS108 AS115 AS120 AS124 AS152 AS154 AS156 AS130 AS132 AS134 AS136 AS141:AS142 AS147 AS149 AS158 AS165 AS171 AS179 AS184 AS191 AS194 AS196:AS197 AS199 AS201 AS205 AS208:AS209 AS217 AS224 AS226:AS227 AS231 AS237 AS247 AS250 AS256:AS257 AS25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228" r:id="rId4" name="Check Box 156">
              <controlPr locked="0" defaultSize="0" autoFill="0" autoLine="0" autoPict="0">
                <anchor moveWithCells="1" sizeWithCells="1">
                  <from>
                    <xdr:col>22</xdr:col>
                    <xdr:colOff>0</xdr:colOff>
                    <xdr:row>14</xdr:row>
                    <xdr:rowOff>0</xdr:rowOff>
                  </from>
                  <to>
                    <xdr:col>22</xdr:col>
                    <xdr:colOff>184150</xdr:colOff>
                    <xdr:row>14</xdr:row>
                    <xdr:rowOff>184150</xdr:rowOff>
                  </to>
                </anchor>
              </controlPr>
            </control>
          </mc:Choice>
        </mc:AlternateContent>
        <mc:AlternateContent xmlns:mc="http://schemas.openxmlformats.org/markup-compatibility/2006">
          <mc:Choice Requires="x14">
            <control shapeId="3229" r:id="rId5" name="Check Box 157">
              <controlPr locked="0" defaultSize="0" autoFill="0" autoLine="0" autoPict="0">
                <anchor moveWithCells="1" sizeWithCells="1">
                  <from>
                    <xdr:col>22</xdr:col>
                    <xdr:colOff>0</xdr:colOff>
                    <xdr:row>16</xdr:row>
                    <xdr:rowOff>0</xdr:rowOff>
                  </from>
                  <to>
                    <xdr:col>22</xdr:col>
                    <xdr:colOff>184150</xdr:colOff>
                    <xdr:row>16</xdr:row>
                    <xdr:rowOff>184150</xdr:rowOff>
                  </to>
                </anchor>
              </controlPr>
            </control>
          </mc:Choice>
        </mc:AlternateContent>
        <mc:AlternateContent xmlns:mc="http://schemas.openxmlformats.org/markup-compatibility/2006">
          <mc:Choice Requires="x14">
            <control shapeId="3230" r:id="rId6" name="Check Box 158">
              <controlPr locked="0" defaultSize="0" autoFill="0" autoLine="0" autoPict="0">
                <anchor moveWithCells="1" siz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3231" r:id="rId7" name="Check Box 159">
              <controlPr locked="0" defaultSize="0" autoFill="0" autoLine="0" autoPict="0">
                <anchor moveWithCells="1" sizeWithCells="1">
                  <from>
                    <xdr:col>22</xdr:col>
                    <xdr:colOff>0</xdr:colOff>
                    <xdr:row>18</xdr:row>
                    <xdr:rowOff>0</xdr:rowOff>
                  </from>
                  <to>
                    <xdr:col>22</xdr:col>
                    <xdr:colOff>184150</xdr:colOff>
                    <xdr:row>18</xdr:row>
                    <xdr:rowOff>184150</xdr:rowOff>
                  </to>
                </anchor>
              </controlPr>
            </control>
          </mc:Choice>
        </mc:AlternateContent>
        <mc:AlternateContent xmlns:mc="http://schemas.openxmlformats.org/markup-compatibility/2006">
          <mc:Choice Requires="x14">
            <control shapeId="3232" r:id="rId8" name="Check Box 160">
              <controlPr locked="0" defaultSize="0" autoFill="0" autoLine="0" autoPict="0">
                <anchor moveWithCells="1" sizeWithCells="1">
                  <from>
                    <xdr:col>22</xdr:col>
                    <xdr:colOff>0</xdr:colOff>
                    <xdr:row>21</xdr:row>
                    <xdr:rowOff>0</xdr:rowOff>
                  </from>
                  <to>
                    <xdr:col>22</xdr:col>
                    <xdr:colOff>184150</xdr:colOff>
                    <xdr:row>21</xdr:row>
                    <xdr:rowOff>184150</xdr:rowOff>
                  </to>
                </anchor>
              </controlPr>
            </control>
          </mc:Choice>
        </mc:AlternateContent>
        <mc:AlternateContent xmlns:mc="http://schemas.openxmlformats.org/markup-compatibility/2006">
          <mc:Choice Requires="x14">
            <control shapeId="3233" r:id="rId9" name="Check Box 161">
              <controlPr locked="0" defaultSize="0" autoFill="0" autoLine="0" autoPict="0">
                <anchor moveWithCells="1" sizeWithCells="1">
                  <from>
                    <xdr:col>22</xdr:col>
                    <xdr:colOff>0</xdr:colOff>
                    <xdr:row>23</xdr:row>
                    <xdr:rowOff>0</xdr:rowOff>
                  </from>
                  <to>
                    <xdr:col>22</xdr:col>
                    <xdr:colOff>184150</xdr:colOff>
                    <xdr:row>23</xdr:row>
                    <xdr:rowOff>184150</xdr:rowOff>
                  </to>
                </anchor>
              </controlPr>
            </control>
          </mc:Choice>
        </mc:AlternateContent>
        <mc:AlternateContent xmlns:mc="http://schemas.openxmlformats.org/markup-compatibility/2006">
          <mc:Choice Requires="x14">
            <control shapeId="3234" r:id="rId10" name="Check Box 162">
              <controlPr locked="0" defaultSize="0" autoFill="0" autoLine="0" autoPict="0">
                <anchor moveWithCells="1" sizeWithCells="1">
                  <from>
                    <xdr:col>22</xdr:col>
                    <xdr:colOff>0</xdr:colOff>
                    <xdr:row>25</xdr:row>
                    <xdr:rowOff>0</xdr:rowOff>
                  </from>
                  <to>
                    <xdr:col>22</xdr:col>
                    <xdr:colOff>184150</xdr:colOff>
                    <xdr:row>25</xdr:row>
                    <xdr:rowOff>184150</xdr:rowOff>
                  </to>
                </anchor>
              </controlPr>
            </control>
          </mc:Choice>
        </mc:AlternateContent>
        <mc:AlternateContent xmlns:mc="http://schemas.openxmlformats.org/markup-compatibility/2006">
          <mc:Choice Requires="x14">
            <control shapeId="3235" r:id="rId11" name="Check Box 163">
              <controlPr locked="0" defaultSize="0" autoFill="0" autoLine="0" autoPict="0">
                <anchor moveWithCells="1" sizeWithCells="1">
                  <from>
                    <xdr:col>22</xdr:col>
                    <xdr:colOff>0</xdr:colOff>
                    <xdr:row>27</xdr:row>
                    <xdr:rowOff>0</xdr:rowOff>
                  </from>
                  <to>
                    <xdr:col>22</xdr:col>
                    <xdr:colOff>184150</xdr:colOff>
                    <xdr:row>27</xdr:row>
                    <xdr:rowOff>184150</xdr:rowOff>
                  </to>
                </anchor>
              </controlPr>
            </control>
          </mc:Choice>
        </mc:AlternateContent>
        <mc:AlternateContent xmlns:mc="http://schemas.openxmlformats.org/markup-compatibility/2006">
          <mc:Choice Requires="x14">
            <control shapeId="3236" r:id="rId12" name="Check Box 164">
              <controlPr locked="0" defaultSize="0" autoFill="0" autoLine="0" autoPict="0">
                <anchor moveWithCells="1" sizeWithCells="1">
                  <from>
                    <xdr:col>22</xdr:col>
                    <xdr:colOff>0</xdr:colOff>
                    <xdr:row>36</xdr:row>
                    <xdr:rowOff>0</xdr:rowOff>
                  </from>
                  <to>
                    <xdr:col>22</xdr:col>
                    <xdr:colOff>184150</xdr:colOff>
                    <xdr:row>36</xdr:row>
                    <xdr:rowOff>184150</xdr:rowOff>
                  </to>
                </anchor>
              </controlPr>
            </control>
          </mc:Choice>
        </mc:AlternateContent>
        <mc:AlternateContent xmlns:mc="http://schemas.openxmlformats.org/markup-compatibility/2006">
          <mc:Choice Requires="x14">
            <control shapeId="3237" r:id="rId13" name="Check Box 165">
              <controlPr locked="0" defaultSize="0" autoFill="0" autoLine="0" autoPict="0">
                <anchor moveWithCells="1" sizeWithCells="1">
                  <from>
                    <xdr:col>22</xdr:col>
                    <xdr:colOff>0</xdr:colOff>
                    <xdr:row>45</xdr:row>
                    <xdr:rowOff>0</xdr:rowOff>
                  </from>
                  <to>
                    <xdr:col>22</xdr:col>
                    <xdr:colOff>184150</xdr:colOff>
                    <xdr:row>45</xdr:row>
                    <xdr:rowOff>184150</xdr:rowOff>
                  </to>
                </anchor>
              </controlPr>
            </control>
          </mc:Choice>
        </mc:AlternateContent>
        <mc:AlternateContent xmlns:mc="http://schemas.openxmlformats.org/markup-compatibility/2006">
          <mc:Choice Requires="x14">
            <control shapeId="3238" r:id="rId14" name="Check Box 166">
              <controlPr locked="0" defaultSize="0" autoFill="0" autoLine="0" autoPict="0">
                <anchor moveWithCells="1" sizeWithCells="1">
                  <from>
                    <xdr:col>22</xdr:col>
                    <xdr:colOff>0</xdr:colOff>
                    <xdr:row>56</xdr:row>
                    <xdr:rowOff>0</xdr:rowOff>
                  </from>
                  <to>
                    <xdr:col>22</xdr:col>
                    <xdr:colOff>184150</xdr:colOff>
                    <xdr:row>56</xdr:row>
                    <xdr:rowOff>184150</xdr:rowOff>
                  </to>
                </anchor>
              </controlPr>
            </control>
          </mc:Choice>
        </mc:AlternateContent>
        <mc:AlternateContent xmlns:mc="http://schemas.openxmlformats.org/markup-compatibility/2006">
          <mc:Choice Requires="x14">
            <control shapeId="3239" r:id="rId15" name="Check Box 167">
              <controlPr locked="0" defaultSize="0" autoFill="0" autoLine="0" autoPict="0">
                <anchor moveWithCells="1" sizeWithCells="1">
                  <from>
                    <xdr:col>22</xdr:col>
                    <xdr:colOff>0</xdr:colOff>
                    <xdr:row>57</xdr:row>
                    <xdr:rowOff>0</xdr:rowOff>
                  </from>
                  <to>
                    <xdr:col>22</xdr:col>
                    <xdr:colOff>184150</xdr:colOff>
                    <xdr:row>57</xdr:row>
                    <xdr:rowOff>184150</xdr:rowOff>
                  </to>
                </anchor>
              </controlPr>
            </control>
          </mc:Choice>
        </mc:AlternateContent>
        <mc:AlternateContent xmlns:mc="http://schemas.openxmlformats.org/markup-compatibility/2006">
          <mc:Choice Requires="x14">
            <control shapeId="3240" r:id="rId16" name="Check Box 168">
              <controlPr locked="0" defaultSize="0" autoFill="0" autoLine="0" autoPict="0">
                <anchor moveWithCells="1" sizeWithCells="1">
                  <from>
                    <xdr:col>22</xdr:col>
                    <xdr:colOff>0</xdr:colOff>
                    <xdr:row>59</xdr:row>
                    <xdr:rowOff>0</xdr:rowOff>
                  </from>
                  <to>
                    <xdr:col>22</xdr:col>
                    <xdr:colOff>184150</xdr:colOff>
                    <xdr:row>59</xdr:row>
                    <xdr:rowOff>184150</xdr:rowOff>
                  </to>
                </anchor>
              </controlPr>
            </control>
          </mc:Choice>
        </mc:AlternateContent>
        <mc:AlternateContent xmlns:mc="http://schemas.openxmlformats.org/markup-compatibility/2006">
          <mc:Choice Requires="x14">
            <control shapeId="3241" r:id="rId17" name="Check Box 169">
              <controlPr locked="0" defaultSize="0" autoFill="0" autoLine="0" autoPict="0">
                <anchor moveWithCells="1" sizeWithCells="1">
                  <from>
                    <xdr:col>22</xdr:col>
                    <xdr:colOff>0</xdr:colOff>
                    <xdr:row>61</xdr:row>
                    <xdr:rowOff>0</xdr:rowOff>
                  </from>
                  <to>
                    <xdr:col>22</xdr:col>
                    <xdr:colOff>184150</xdr:colOff>
                    <xdr:row>61</xdr:row>
                    <xdr:rowOff>184150</xdr:rowOff>
                  </to>
                </anchor>
              </controlPr>
            </control>
          </mc:Choice>
        </mc:AlternateContent>
        <mc:AlternateContent xmlns:mc="http://schemas.openxmlformats.org/markup-compatibility/2006">
          <mc:Choice Requires="x14">
            <control shapeId="3242" r:id="rId18" name="Check Box 170">
              <controlPr locked="0" defaultSize="0" autoFill="0" autoLine="0" autoPict="0">
                <anchor moveWithCells="1" sizeWithCells="1">
                  <from>
                    <xdr:col>22</xdr:col>
                    <xdr:colOff>0</xdr:colOff>
                    <xdr:row>62</xdr:row>
                    <xdr:rowOff>0</xdr:rowOff>
                  </from>
                  <to>
                    <xdr:col>22</xdr:col>
                    <xdr:colOff>184150</xdr:colOff>
                    <xdr:row>62</xdr:row>
                    <xdr:rowOff>184150</xdr:rowOff>
                  </to>
                </anchor>
              </controlPr>
            </control>
          </mc:Choice>
        </mc:AlternateContent>
        <mc:AlternateContent xmlns:mc="http://schemas.openxmlformats.org/markup-compatibility/2006">
          <mc:Choice Requires="x14">
            <control shapeId="3243" r:id="rId19" name="Check Box 171">
              <controlPr locked="0" defaultSize="0" autoFill="0" autoLine="0" autoPict="0">
                <anchor moveWithCells="1" sizeWithCells="1">
                  <from>
                    <xdr:col>22</xdr:col>
                    <xdr:colOff>0</xdr:colOff>
                    <xdr:row>63</xdr:row>
                    <xdr:rowOff>0</xdr:rowOff>
                  </from>
                  <to>
                    <xdr:col>22</xdr:col>
                    <xdr:colOff>184150</xdr:colOff>
                    <xdr:row>63</xdr:row>
                    <xdr:rowOff>184150</xdr:rowOff>
                  </to>
                </anchor>
              </controlPr>
            </control>
          </mc:Choice>
        </mc:AlternateContent>
        <mc:AlternateContent xmlns:mc="http://schemas.openxmlformats.org/markup-compatibility/2006">
          <mc:Choice Requires="x14">
            <control shapeId="3244" r:id="rId20" name="Check Box 172">
              <controlPr locked="0" defaultSize="0" autoFill="0" autoLine="0" autoPict="0">
                <anchor moveWithCells="1" sizeWithCells="1">
                  <from>
                    <xdr:col>22</xdr:col>
                    <xdr:colOff>0</xdr:colOff>
                    <xdr:row>65</xdr:row>
                    <xdr:rowOff>0</xdr:rowOff>
                  </from>
                  <to>
                    <xdr:col>22</xdr:col>
                    <xdr:colOff>184150</xdr:colOff>
                    <xdr:row>65</xdr:row>
                    <xdr:rowOff>184150</xdr:rowOff>
                  </to>
                </anchor>
              </controlPr>
            </control>
          </mc:Choice>
        </mc:AlternateContent>
        <mc:AlternateContent xmlns:mc="http://schemas.openxmlformats.org/markup-compatibility/2006">
          <mc:Choice Requires="x14">
            <control shapeId="3245" r:id="rId21" name="Check Box 173">
              <controlPr locked="0" defaultSize="0" autoFill="0" autoLine="0" autoPict="0">
                <anchor moveWithCells="1" sizeWithCells="1">
                  <from>
                    <xdr:col>22</xdr:col>
                    <xdr:colOff>0</xdr:colOff>
                    <xdr:row>69</xdr:row>
                    <xdr:rowOff>0</xdr:rowOff>
                  </from>
                  <to>
                    <xdr:col>22</xdr:col>
                    <xdr:colOff>184150</xdr:colOff>
                    <xdr:row>69</xdr:row>
                    <xdr:rowOff>184150</xdr:rowOff>
                  </to>
                </anchor>
              </controlPr>
            </control>
          </mc:Choice>
        </mc:AlternateContent>
        <mc:AlternateContent xmlns:mc="http://schemas.openxmlformats.org/markup-compatibility/2006">
          <mc:Choice Requires="x14">
            <control shapeId="3246" r:id="rId22" name="Check Box 174">
              <controlPr locked="0" defaultSize="0" autoFill="0" autoLine="0" autoPict="0">
                <anchor moveWithCells="1" sizeWithCells="1">
                  <from>
                    <xdr:col>22</xdr:col>
                    <xdr:colOff>0</xdr:colOff>
                    <xdr:row>70</xdr:row>
                    <xdr:rowOff>0</xdr:rowOff>
                  </from>
                  <to>
                    <xdr:col>22</xdr:col>
                    <xdr:colOff>184150</xdr:colOff>
                    <xdr:row>70</xdr:row>
                    <xdr:rowOff>184150</xdr:rowOff>
                  </to>
                </anchor>
              </controlPr>
            </control>
          </mc:Choice>
        </mc:AlternateContent>
        <mc:AlternateContent xmlns:mc="http://schemas.openxmlformats.org/markup-compatibility/2006">
          <mc:Choice Requires="x14">
            <control shapeId="3248" r:id="rId23" name="Check Box 176">
              <controlPr locked="0" defaultSize="0" autoFill="0" autoLine="0" autoPict="0">
                <anchor moveWithCells="1" sizeWithCells="1">
                  <from>
                    <xdr:col>22</xdr:col>
                    <xdr:colOff>0</xdr:colOff>
                    <xdr:row>77</xdr:row>
                    <xdr:rowOff>0</xdr:rowOff>
                  </from>
                  <to>
                    <xdr:col>22</xdr:col>
                    <xdr:colOff>184150</xdr:colOff>
                    <xdr:row>77</xdr:row>
                    <xdr:rowOff>184150</xdr:rowOff>
                  </to>
                </anchor>
              </controlPr>
            </control>
          </mc:Choice>
        </mc:AlternateContent>
        <mc:AlternateContent xmlns:mc="http://schemas.openxmlformats.org/markup-compatibility/2006">
          <mc:Choice Requires="x14">
            <control shapeId="3249" r:id="rId24" name="Check Box 177">
              <controlPr locked="0" defaultSize="0" autoFill="0" autoLine="0" autoPict="0">
                <anchor moveWithCells="1" sizeWithCells="1">
                  <from>
                    <xdr:col>22</xdr:col>
                    <xdr:colOff>0</xdr:colOff>
                    <xdr:row>79</xdr:row>
                    <xdr:rowOff>0</xdr:rowOff>
                  </from>
                  <to>
                    <xdr:col>22</xdr:col>
                    <xdr:colOff>184150</xdr:colOff>
                    <xdr:row>79</xdr:row>
                    <xdr:rowOff>184150</xdr:rowOff>
                  </to>
                </anchor>
              </controlPr>
            </control>
          </mc:Choice>
        </mc:AlternateContent>
        <mc:AlternateContent xmlns:mc="http://schemas.openxmlformats.org/markup-compatibility/2006">
          <mc:Choice Requires="x14">
            <control shapeId="3250" r:id="rId25" name="Check Box 178">
              <controlPr locked="0" defaultSize="0" autoFill="0" autoLine="0" autoPict="0">
                <anchor moveWithCells="1" sizeWithCells="1">
                  <from>
                    <xdr:col>22</xdr:col>
                    <xdr:colOff>0</xdr:colOff>
                    <xdr:row>83</xdr:row>
                    <xdr:rowOff>0</xdr:rowOff>
                  </from>
                  <to>
                    <xdr:col>22</xdr:col>
                    <xdr:colOff>184150</xdr:colOff>
                    <xdr:row>83</xdr:row>
                    <xdr:rowOff>184150</xdr:rowOff>
                  </to>
                </anchor>
              </controlPr>
            </control>
          </mc:Choice>
        </mc:AlternateContent>
        <mc:AlternateContent xmlns:mc="http://schemas.openxmlformats.org/markup-compatibility/2006">
          <mc:Choice Requires="x14">
            <control shapeId="3251" r:id="rId26" name="Check Box 179">
              <controlPr locked="0" defaultSize="0" autoFill="0" autoLine="0" autoPict="0">
                <anchor moveWithCells="1" sizeWithCells="1">
                  <from>
                    <xdr:col>22</xdr:col>
                    <xdr:colOff>0</xdr:colOff>
                    <xdr:row>87</xdr:row>
                    <xdr:rowOff>0</xdr:rowOff>
                  </from>
                  <to>
                    <xdr:col>22</xdr:col>
                    <xdr:colOff>184150</xdr:colOff>
                    <xdr:row>87</xdr:row>
                    <xdr:rowOff>184150</xdr:rowOff>
                  </to>
                </anchor>
              </controlPr>
            </control>
          </mc:Choice>
        </mc:AlternateContent>
        <mc:AlternateContent xmlns:mc="http://schemas.openxmlformats.org/markup-compatibility/2006">
          <mc:Choice Requires="x14">
            <control shapeId="3252" r:id="rId27" name="Check Box 180">
              <controlPr locked="0" defaultSize="0" autoFill="0" autoLine="0" autoPict="0">
                <anchor moveWithCells="1" sizeWithCells="1">
                  <from>
                    <xdr:col>22</xdr:col>
                    <xdr:colOff>0</xdr:colOff>
                    <xdr:row>88</xdr:row>
                    <xdr:rowOff>0</xdr:rowOff>
                  </from>
                  <to>
                    <xdr:col>22</xdr:col>
                    <xdr:colOff>184150</xdr:colOff>
                    <xdr:row>88</xdr:row>
                    <xdr:rowOff>184150</xdr:rowOff>
                  </to>
                </anchor>
              </controlPr>
            </control>
          </mc:Choice>
        </mc:AlternateContent>
        <mc:AlternateContent xmlns:mc="http://schemas.openxmlformats.org/markup-compatibility/2006">
          <mc:Choice Requires="x14">
            <control shapeId="3253" r:id="rId28" name="Check Box 181">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3254" r:id="rId29" name="Check Box 182">
              <controlPr locked="0" defaultSize="0" autoFill="0" autoLine="0" autoPict="0">
                <anchor moveWithCells="1" sizeWithCells="1">
                  <from>
                    <xdr:col>22</xdr:col>
                    <xdr:colOff>0</xdr:colOff>
                    <xdr:row>91</xdr:row>
                    <xdr:rowOff>0</xdr:rowOff>
                  </from>
                  <to>
                    <xdr:col>22</xdr:col>
                    <xdr:colOff>184150</xdr:colOff>
                    <xdr:row>91</xdr:row>
                    <xdr:rowOff>184150</xdr:rowOff>
                  </to>
                </anchor>
              </controlPr>
            </control>
          </mc:Choice>
        </mc:AlternateContent>
        <mc:AlternateContent xmlns:mc="http://schemas.openxmlformats.org/markup-compatibility/2006">
          <mc:Choice Requires="x14">
            <control shapeId="3255" r:id="rId30" name="Check Box 183">
              <controlPr locked="0" defaultSize="0" autoFill="0" autoLine="0" autoPict="0">
                <anchor moveWithCells="1" sizeWithCells="1">
                  <from>
                    <xdr:col>22</xdr:col>
                    <xdr:colOff>0</xdr:colOff>
                    <xdr:row>92</xdr:row>
                    <xdr:rowOff>0</xdr:rowOff>
                  </from>
                  <to>
                    <xdr:col>22</xdr:col>
                    <xdr:colOff>184150</xdr:colOff>
                    <xdr:row>92</xdr:row>
                    <xdr:rowOff>184150</xdr:rowOff>
                  </to>
                </anchor>
              </controlPr>
            </control>
          </mc:Choice>
        </mc:AlternateContent>
        <mc:AlternateContent xmlns:mc="http://schemas.openxmlformats.org/markup-compatibility/2006">
          <mc:Choice Requires="x14">
            <control shapeId="3256" r:id="rId31" name="Check Box 184">
              <controlPr locked="0" defaultSize="0" autoFill="0" autoLine="0" autoPict="0">
                <anchor moveWithCells="1" sizeWithCells="1">
                  <from>
                    <xdr:col>22</xdr:col>
                    <xdr:colOff>0</xdr:colOff>
                    <xdr:row>100</xdr:row>
                    <xdr:rowOff>0</xdr:rowOff>
                  </from>
                  <to>
                    <xdr:col>22</xdr:col>
                    <xdr:colOff>184150</xdr:colOff>
                    <xdr:row>100</xdr:row>
                    <xdr:rowOff>184150</xdr:rowOff>
                  </to>
                </anchor>
              </controlPr>
            </control>
          </mc:Choice>
        </mc:AlternateContent>
        <mc:AlternateContent xmlns:mc="http://schemas.openxmlformats.org/markup-compatibility/2006">
          <mc:Choice Requires="x14">
            <control shapeId="3257" r:id="rId32" name="Check Box 185">
              <controlPr locked="0" defaultSize="0" autoFill="0" autoLine="0" autoPict="0">
                <anchor moveWithCells="1" sizeWithCells="1">
                  <from>
                    <xdr:col>22</xdr:col>
                    <xdr:colOff>0</xdr:colOff>
                    <xdr:row>103</xdr:row>
                    <xdr:rowOff>0</xdr:rowOff>
                  </from>
                  <to>
                    <xdr:col>22</xdr:col>
                    <xdr:colOff>184150</xdr:colOff>
                    <xdr:row>103</xdr:row>
                    <xdr:rowOff>184150</xdr:rowOff>
                  </to>
                </anchor>
              </controlPr>
            </control>
          </mc:Choice>
        </mc:AlternateContent>
        <mc:AlternateContent xmlns:mc="http://schemas.openxmlformats.org/markup-compatibility/2006">
          <mc:Choice Requires="x14">
            <control shapeId="3260" r:id="rId33" name="Check Box 188">
              <controlPr locked="0" defaultSize="0" autoFill="0" autoLine="0" autoPict="0">
                <anchor moveWithCells="1" sizeWithCells="1">
                  <from>
                    <xdr:col>22</xdr:col>
                    <xdr:colOff>0</xdr:colOff>
                    <xdr:row>129</xdr:row>
                    <xdr:rowOff>0</xdr:rowOff>
                  </from>
                  <to>
                    <xdr:col>22</xdr:col>
                    <xdr:colOff>184150</xdr:colOff>
                    <xdr:row>129</xdr:row>
                    <xdr:rowOff>184150</xdr:rowOff>
                  </to>
                </anchor>
              </controlPr>
            </control>
          </mc:Choice>
        </mc:AlternateContent>
        <mc:AlternateContent xmlns:mc="http://schemas.openxmlformats.org/markup-compatibility/2006">
          <mc:Choice Requires="x14">
            <control shapeId="3261" r:id="rId34" name="Check Box 189">
              <controlPr locked="0" defaultSize="0" autoFill="0" autoLine="0" autoPict="0">
                <anchor moveWithCells="1" sizeWithCells="1">
                  <from>
                    <xdr:col>22</xdr:col>
                    <xdr:colOff>0</xdr:colOff>
                    <xdr:row>131</xdr:row>
                    <xdr:rowOff>0</xdr:rowOff>
                  </from>
                  <to>
                    <xdr:col>22</xdr:col>
                    <xdr:colOff>184150</xdr:colOff>
                    <xdr:row>131</xdr:row>
                    <xdr:rowOff>184150</xdr:rowOff>
                  </to>
                </anchor>
              </controlPr>
            </control>
          </mc:Choice>
        </mc:AlternateContent>
        <mc:AlternateContent xmlns:mc="http://schemas.openxmlformats.org/markup-compatibility/2006">
          <mc:Choice Requires="x14">
            <control shapeId="3262" r:id="rId35" name="Check Box 190">
              <controlPr locked="0" defaultSize="0" autoFill="0" autoLine="0" autoPict="0">
                <anchor moveWithCells="1" sizeWithCells="1">
                  <from>
                    <xdr:col>22</xdr:col>
                    <xdr:colOff>0</xdr:colOff>
                    <xdr:row>133</xdr:row>
                    <xdr:rowOff>0</xdr:rowOff>
                  </from>
                  <to>
                    <xdr:col>22</xdr:col>
                    <xdr:colOff>184150</xdr:colOff>
                    <xdr:row>133</xdr:row>
                    <xdr:rowOff>184150</xdr:rowOff>
                  </to>
                </anchor>
              </controlPr>
            </control>
          </mc:Choice>
        </mc:AlternateContent>
        <mc:AlternateContent xmlns:mc="http://schemas.openxmlformats.org/markup-compatibility/2006">
          <mc:Choice Requires="x14">
            <control shapeId="3263" r:id="rId36" name="Check Box 191">
              <controlPr locked="0" defaultSize="0" autoFill="0" autoLine="0" autoPict="0">
                <anchor moveWithCells="1" sizeWithCells="1">
                  <from>
                    <xdr:col>22</xdr:col>
                    <xdr:colOff>0</xdr:colOff>
                    <xdr:row>140</xdr:row>
                    <xdr:rowOff>0</xdr:rowOff>
                  </from>
                  <to>
                    <xdr:col>22</xdr:col>
                    <xdr:colOff>184150</xdr:colOff>
                    <xdr:row>140</xdr:row>
                    <xdr:rowOff>184150</xdr:rowOff>
                  </to>
                </anchor>
              </controlPr>
            </control>
          </mc:Choice>
        </mc:AlternateContent>
        <mc:AlternateContent xmlns:mc="http://schemas.openxmlformats.org/markup-compatibility/2006">
          <mc:Choice Requires="x14">
            <control shapeId="3264" r:id="rId37" name="Check Box 192">
              <controlPr locked="0" defaultSize="0" autoFill="0" autoLine="0" autoPict="0">
                <anchor moveWithCells="1" sizeWithCells="1">
                  <from>
                    <xdr:col>22</xdr:col>
                    <xdr:colOff>0</xdr:colOff>
                    <xdr:row>141</xdr:row>
                    <xdr:rowOff>0</xdr:rowOff>
                  </from>
                  <to>
                    <xdr:col>22</xdr:col>
                    <xdr:colOff>184150</xdr:colOff>
                    <xdr:row>141</xdr:row>
                    <xdr:rowOff>184150</xdr:rowOff>
                  </to>
                </anchor>
              </controlPr>
            </control>
          </mc:Choice>
        </mc:AlternateContent>
        <mc:AlternateContent xmlns:mc="http://schemas.openxmlformats.org/markup-compatibility/2006">
          <mc:Choice Requires="x14">
            <control shapeId="3265" r:id="rId38" name="Check Box 193">
              <controlPr locked="0" defaultSize="0" autoFill="0" autoLine="0" autoPict="0">
                <anchor moveWithCells="1" sizeWithCells="1">
                  <from>
                    <xdr:col>22</xdr:col>
                    <xdr:colOff>0</xdr:colOff>
                    <xdr:row>146</xdr:row>
                    <xdr:rowOff>0</xdr:rowOff>
                  </from>
                  <to>
                    <xdr:col>22</xdr:col>
                    <xdr:colOff>184150</xdr:colOff>
                    <xdr:row>146</xdr:row>
                    <xdr:rowOff>184150</xdr:rowOff>
                  </to>
                </anchor>
              </controlPr>
            </control>
          </mc:Choice>
        </mc:AlternateContent>
        <mc:AlternateContent xmlns:mc="http://schemas.openxmlformats.org/markup-compatibility/2006">
          <mc:Choice Requires="x14">
            <control shapeId="3266" r:id="rId39" name="Check Box 194">
              <controlPr locked="0" defaultSize="0" autoFill="0" autoLine="0" autoPict="0">
                <anchor moveWithCells="1" sizeWithCells="1">
                  <from>
                    <xdr:col>22</xdr:col>
                    <xdr:colOff>0</xdr:colOff>
                    <xdr:row>148</xdr:row>
                    <xdr:rowOff>0</xdr:rowOff>
                  </from>
                  <to>
                    <xdr:col>22</xdr:col>
                    <xdr:colOff>184150</xdr:colOff>
                    <xdr:row>148</xdr:row>
                    <xdr:rowOff>184150</xdr:rowOff>
                  </to>
                </anchor>
              </controlPr>
            </control>
          </mc:Choice>
        </mc:AlternateContent>
        <mc:AlternateContent xmlns:mc="http://schemas.openxmlformats.org/markup-compatibility/2006">
          <mc:Choice Requires="x14">
            <control shapeId="3267" r:id="rId40" name="Check Box 195">
              <controlPr locked="0" defaultSize="0" autoFill="0" autoLine="0" autoPict="0">
                <anchor moveWithCells="1" sizeWithCells="1">
                  <from>
                    <xdr:col>22</xdr:col>
                    <xdr:colOff>0</xdr:colOff>
                    <xdr:row>151</xdr:row>
                    <xdr:rowOff>0</xdr:rowOff>
                  </from>
                  <to>
                    <xdr:col>22</xdr:col>
                    <xdr:colOff>184150</xdr:colOff>
                    <xdr:row>151</xdr:row>
                    <xdr:rowOff>184150</xdr:rowOff>
                  </to>
                </anchor>
              </controlPr>
            </control>
          </mc:Choice>
        </mc:AlternateContent>
        <mc:AlternateContent xmlns:mc="http://schemas.openxmlformats.org/markup-compatibility/2006">
          <mc:Choice Requires="x14">
            <control shapeId="3268" r:id="rId41" name="Check Box 196">
              <controlPr locked="0" defaultSize="0" autoFill="0" autoLine="0" autoPict="0">
                <anchor moveWithCells="1" sizeWithCells="1">
                  <from>
                    <xdr:col>22</xdr:col>
                    <xdr:colOff>0</xdr:colOff>
                    <xdr:row>153</xdr:row>
                    <xdr:rowOff>0</xdr:rowOff>
                  </from>
                  <to>
                    <xdr:col>22</xdr:col>
                    <xdr:colOff>184150</xdr:colOff>
                    <xdr:row>153</xdr:row>
                    <xdr:rowOff>184150</xdr:rowOff>
                  </to>
                </anchor>
              </controlPr>
            </control>
          </mc:Choice>
        </mc:AlternateContent>
        <mc:AlternateContent xmlns:mc="http://schemas.openxmlformats.org/markup-compatibility/2006">
          <mc:Choice Requires="x14">
            <control shapeId="3269" r:id="rId42" name="Check Box 197">
              <controlPr locked="0" defaultSize="0" autoFill="0" autoLine="0" autoPict="0">
                <anchor moveWithCells="1" sizeWithCells="1">
                  <from>
                    <xdr:col>22</xdr:col>
                    <xdr:colOff>0</xdr:colOff>
                    <xdr:row>155</xdr:row>
                    <xdr:rowOff>0</xdr:rowOff>
                  </from>
                  <to>
                    <xdr:col>22</xdr:col>
                    <xdr:colOff>184150</xdr:colOff>
                    <xdr:row>155</xdr:row>
                    <xdr:rowOff>184150</xdr:rowOff>
                  </to>
                </anchor>
              </controlPr>
            </control>
          </mc:Choice>
        </mc:AlternateContent>
        <mc:AlternateContent xmlns:mc="http://schemas.openxmlformats.org/markup-compatibility/2006">
          <mc:Choice Requires="x14">
            <control shapeId="3270" r:id="rId43" name="Check Box 198">
              <controlPr locked="0" defaultSize="0" autoFill="0" autoLine="0" autoPict="0">
                <anchor moveWithCells="1" sizeWithCells="1">
                  <from>
                    <xdr:col>22</xdr:col>
                    <xdr:colOff>0</xdr:colOff>
                    <xdr:row>159</xdr:row>
                    <xdr:rowOff>0</xdr:rowOff>
                  </from>
                  <to>
                    <xdr:col>22</xdr:col>
                    <xdr:colOff>184150</xdr:colOff>
                    <xdr:row>159</xdr:row>
                    <xdr:rowOff>184150</xdr:rowOff>
                  </to>
                </anchor>
              </controlPr>
            </control>
          </mc:Choice>
        </mc:AlternateContent>
        <mc:AlternateContent xmlns:mc="http://schemas.openxmlformats.org/markup-compatibility/2006">
          <mc:Choice Requires="x14">
            <control shapeId="3271" r:id="rId44" name="Check Box 199">
              <controlPr locked="0" defaultSize="0" autoFill="0" autoLine="0" autoPict="0">
                <anchor moveWithCells="1" sizeWithCells="1">
                  <from>
                    <xdr:col>22</xdr:col>
                    <xdr:colOff>0</xdr:colOff>
                    <xdr:row>160</xdr:row>
                    <xdr:rowOff>0</xdr:rowOff>
                  </from>
                  <to>
                    <xdr:col>22</xdr:col>
                    <xdr:colOff>184150</xdr:colOff>
                    <xdr:row>160</xdr:row>
                    <xdr:rowOff>184150</xdr:rowOff>
                  </to>
                </anchor>
              </controlPr>
            </control>
          </mc:Choice>
        </mc:AlternateContent>
        <mc:AlternateContent xmlns:mc="http://schemas.openxmlformats.org/markup-compatibility/2006">
          <mc:Choice Requires="x14">
            <control shapeId="3272" r:id="rId45" name="Check Box 200">
              <controlPr locked="0" defaultSize="0" autoFill="0" autoLine="0" autoPict="0">
                <anchor moveWithCells="1" sizeWithCells="1">
                  <from>
                    <xdr:col>22</xdr:col>
                    <xdr:colOff>0</xdr:colOff>
                    <xdr:row>161</xdr:row>
                    <xdr:rowOff>0</xdr:rowOff>
                  </from>
                  <to>
                    <xdr:col>22</xdr:col>
                    <xdr:colOff>184150</xdr:colOff>
                    <xdr:row>161</xdr:row>
                    <xdr:rowOff>184150</xdr:rowOff>
                  </to>
                </anchor>
              </controlPr>
            </control>
          </mc:Choice>
        </mc:AlternateContent>
        <mc:AlternateContent xmlns:mc="http://schemas.openxmlformats.org/markup-compatibility/2006">
          <mc:Choice Requires="x14">
            <control shapeId="3273" r:id="rId46" name="Check Box 201">
              <controlPr locked="0" defaultSize="0" autoFill="0" autoLine="0" autoPict="0">
                <anchor moveWithCells="1" sizeWithCells="1">
                  <from>
                    <xdr:col>22</xdr:col>
                    <xdr:colOff>0</xdr:colOff>
                    <xdr:row>163</xdr:row>
                    <xdr:rowOff>0</xdr:rowOff>
                  </from>
                  <to>
                    <xdr:col>22</xdr:col>
                    <xdr:colOff>184150</xdr:colOff>
                    <xdr:row>163</xdr:row>
                    <xdr:rowOff>184150</xdr:rowOff>
                  </to>
                </anchor>
              </controlPr>
            </control>
          </mc:Choice>
        </mc:AlternateContent>
        <mc:AlternateContent xmlns:mc="http://schemas.openxmlformats.org/markup-compatibility/2006">
          <mc:Choice Requires="x14">
            <control shapeId="3276" r:id="rId47" name="Check Box 204">
              <controlPr locked="0" defaultSize="0" autoFill="0" autoLine="0" autoPict="0">
                <anchor moveWithCells="1" sizeWithCells="1">
                  <from>
                    <xdr:col>22</xdr:col>
                    <xdr:colOff>0</xdr:colOff>
                    <xdr:row>178</xdr:row>
                    <xdr:rowOff>0</xdr:rowOff>
                  </from>
                  <to>
                    <xdr:col>22</xdr:col>
                    <xdr:colOff>184150</xdr:colOff>
                    <xdr:row>178</xdr:row>
                    <xdr:rowOff>184150</xdr:rowOff>
                  </to>
                </anchor>
              </controlPr>
            </control>
          </mc:Choice>
        </mc:AlternateContent>
        <mc:AlternateContent xmlns:mc="http://schemas.openxmlformats.org/markup-compatibility/2006">
          <mc:Choice Requires="x14">
            <control shapeId="3277" r:id="rId48" name="Check Box 205">
              <controlPr locked="0" defaultSize="0" autoFill="0" autoLine="0" autoPict="0">
                <anchor moveWithCells="1" sizeWithCells="1">
                  <from>
                    <xdr:col>22</xdr:col>
                    <xdr:colOff>0</xdr:colOff>
                    <xdr:row>185</xdr:row>
                    <xdr:rowOff>0</xdr:rowOff>
                  </from>
                  <to>
                    <xdr:col>22</xdr:col>
                    <xdr:colOff>184150</xdr:colOff>
                    <xdr:row>185</xdr:row>
                    <xdr:rowOff>184150</xdr:rowOff>
                  </to>
                </anchor>
              </controlPr>
            </control>
          </mc:Choice>
        </mc:AlternateContent>
        <mc:AlternateContent xmlns:mc="http://schemas.openxmlformats.org/markup-compatibility/2006">
          <mc:Choice Requires="x14">
            <control shapeId="3278" r:id="rId49" name="Check Box 206">
              <controlPr locked="0" defaultSize="0" autoFill="0" autoLine="0" autoPict="0">
                <anchor moveWithCells="1" sizeWithCells="1">
                  <from>
                    <xdr:col>22</xdr:col>
                    <xdr:colOff>0</xdr:colOff>
                    <xdr:row>186</xdr:row>
                    <xdr:rowOff>0</xdr:rowOff>
                  </from>
                  <to>
                    <xdr:col>22</xdr:col>
                    <xdr:colOff>184150</xdr:colOff>
                    <xdr:row>186</xdr:row>
                    <xdr:rowOff>184150</xdr:rowOff>
                  </to>
                </anchor>
              </controlPr>
            </control>
          </mc:Choice>
        </mc:AlternateContent>
        <mc:AlternateContent xmlns:mc="http://schemas.openxmlformats.org/markup-compatibility/2006">
          <mc:Choice Requires="x14">
            <control shapeId="3279" r:id="rId50" name="Check Box 207">
              <controlPr locked="0" defaultSize="0" autoFill="0" autoLine="0" autoPict="0">
                <anchor moveWithCells="1" sizeWithCells="1">
                  <from>
                    <xdr:col>22</xdr:col>
                    <xdr:colOff>0</xdr:colOff>
                    <xdr:row>188</xdr:row>
                    <xdr:rowOff>0</xdr:rowOff>
                  </from>
                  <to>
                    <xdr:col>22</xdr:col>
                    <xdr:colOff>184150</xdr:colOff>
                    <xdr:row>188</xdr:row>
                    <xdr:rowOff>184150</xdr:rowOff>
                  </to>
                </anchor>
              </controlPr>
            </control>
          </mc:Choice>
        </mc:AlternateContent>
        <mc:AlternateContent xmlns:mc="http://schemas.openxmlformats.org/markup-compatibility/2006">
          <mc:Choice Requires="x14">
            <control shapeId="3280" r:id="rId51" name="Check Box 208">
              <controlPr locked="0" defaultSize="0" autoFill="0" autoLine="0" autoPict="0">
                <anchor moveWithCells="1" sizeWithCells="1">
                  <from>
                    <xdr:col>22</xdr:col>
                    <xdr:colOff>0</xdr:colOff>
                    <xdr:row>193</xdr:row>
                    <xdr:rowOff>0</xdr:rowOff>
                  </from>
                  <to>
                    <xdr:col>22</xdr:col>
                    <xdr:colOff>184150</xdr:colOff>
                    <xdr:row>193</xdr:row>
                    <xdr:rowOff>184150</xdr:rowOff>
                  </to>
                </anchor>
              </controlPr>
            </control>
          </mc:Choice>
        </mc:AlternateContent>
        <mc:AlternateContent xmlns:mc="http://schemas.openxmlformats.org/markup-compatibility/2006">
          <mc:Choice Requires="x14">
            <control shapeId="3281" r:id="rId52" name="Check Box 209">
              <controlPr locked="0" defaultSize="0" autoFill="0" autoLine="0" autoPict="0">
                <anchor moveWithCells="1" sizeWithCells="1">
                  <from>
                    <xdr:col>22</xdr:col>
                    <xdr:colOff>0</xdr:colOff>
                    <xdr:row>195</xdr:row>
                    <xdr:rowOff>0</xdr:rowOff>
                  </from>
                  <to>
                    <xdr:col>22</xdr:col>
                    <xdr:colOff>184150</xdr:colOff>
                    <xdr:row>195</xdr:row>
                    <xdr:rowOff>184150</xdr:rowOff>
                  </to>
                </anchor>
              </controlPr>
            </control>
          </mc:Choice>
        </mc:AlternateContent>
        <mc:AlternateContent xmlns:mc="http://schemas.openxmlformats.org/markup-compatibility/2006">
          <mc:Choice Requires="x14">
            <control shapeId="3282" r:id="rId53" name="Check Box 210">
              <controlPr locked="0" defaultSize="0" autoFill="0" autoLine="0" autoPict="0">
                <anchor moveWithCells="1" sizeWithCells="1">
                  <from>
                    <xdr:col>22</xdr:col>
                    <xdr:colOff>0</xdr:colOff>
                    <xdr:row>196</xdr:row>
                    <xdr:rowOff>0</xdr:rowOff>
                  </from>
                  <to>
                    <xdr:col>22</xdr:col>
                    <xdr:colOff>184150</xdr:colOff>
                    <xdr:row>196</xdr:row>
                    <xdr:rowOff>184150</xdr:rowOff>
                  </to>
                </anchor>
              </controlPr>
            </control>
          </mc:Choice>
        </mc:AlternateContent>
        <mc:AlternateContent xmlns:mc="http://schemas.openxmlformats.org/markup-compatibility/2006">
          <mc:Choice Requires="x14">
            <control shapeId="3283" r:id="rId54" name="Check Box 211">
              <controlPr locked="0" defaultSize="0" autoFill="0" autoLine="0" autoPict="0">
                <anchor moveWithCells="1" sizeWithCells="1">
                  <from>
                    <xdr:col>22</xdr:col>
                    <xdr:colOff>0</xdr:colOff>
                    <xdr:row>198</xdr:row>
                    <xdr:rowOff>0</xdr:rowOff>
                  </from>
                  <to>
                    <xdr:col>22</xdr:col>
                    <xdr:colOff>184150</xdr:colOff>
                    <xdr:row>198</xdr:row>
                    <xdr:rowOff>184150</xdr:rowOff>
                  </to>
                </anchor>
              </controlPr>
            </control>
          </mc:Choice>
        </mc:AlternateContent>
        <mc:AlternateContent xmlns:mc="http://schemas.openxmlformats.org/markup-compatibility/2006">
          <mc:Choice Requires="x14">
            <control shapeId="3284" r:id="rId55" name="Check Box 212">
              <controlPr locked="0" defaultSize="0" autoFill="0" autoLine="0" autoPict="0">
                <anchor moveWithCells="1" sizeWithCells="1">
                  <from>
                    <xdr:col>22</xdr:col>
                    <xdr:colOff>0</xdr:colOff>
                    <xdr:row>200</xdr:row>
                    <xdr:rowOff>0</xdr:rowOff>
                  </from>
                  <to>
                    <xdr:col>22</xdr:col>
                    <xdr:colOff>184150</xdr:colOff>
                    <xdr:row>200</xdr:row>
                    <xdr:rowOff>184150</xdr:rowOff>
                  </to>
                </anchor>
              </controlPr>
            </control>
          </mc:Choice>
        </mc:AlternateContent>
        <mc:AlternateContent xmlns:mc="http://schemas.openxmlformats.org/markup-compatibility/2006">
          <mc:Choice Requires="x14">
            <control shapeId="3285" r:id="rId56" name="Check Box 213">
              <controlPr locked="0" defaultSize="0" autoFill="0" autoLine="0" autoPict="0">
                <anchor moveWithCells="1" sizeWithCells="1">
                  <from>
                    <xdr:col>22</xdr:col>
                    <xdr:colOff>0</xdr:colOff>
                    <xdr:row>204</xdr:row>
                    <xdr:rowOff>0</xdr:rowOff>
                  </from>
                  <to>
                    <xdr:col>22</xdr:col>
                    <xdr:colOff>184150</xdr:colOff>
                    <xdr:row>204</xdr:row>
                    <xdr:rowOff>184150</xdr:rowOff>
                  </to>
                </anchor>
              </controlPr>
            </control>
          </mc:Choice>
        </mc:AlternateContent>
        <mc:AlternateContent xmlns:mc="http://schemas.openxmlformats.org/markup-compatibility/2006">
          <mc:Choice Requires="x14">
            <control shapeId="3286" r:id="rId57" name="Check Box 214">
              <controlPr locked="0" defaultSize="0" autoFill="0" autoLine="0" autoPict="0">
                <anchor moveWithCells="1" sizeWithCells="1">
                  <from>
                    <xdr:col>22</xdr:col>
                    <xdr:colOff>0</xdr:colOff>
                    <xdr:row>207</xdr:row>
                    <xdr:rowOff>0</xdr:rowOff>
                  </from>
                  <to>
                    <xdr:col>22</xdr:col>
                    <xdr:colOff>184150</xdr:colOff>
                    <xdr:row>207</xdr:row>
                    <xdr:rowOff>184150</xdr:rowOff>
                  </to>
                </anchor>
              </controlPr>
            </control>
          </mc:Choice>
        </mc:AlternateContent>
        <mc:AlternateContent xmlns:mc="http://schemas.openxmlformats.org/markup-compatibility/2006">
          <mc:Choice Requires="x14">
            <control shapeId="3287" r:id="rId58" name="Check Box 215">
              <controlPr locked="0" defaultSize="0" autoFill="0" autoLine="0" autoPict="0">
                <anchor moveWithCells="1" sizeWithCells="1">
                  <from>
                    <xdr:col>22</xdr:col>
                    <xdr:colOff>0</xdr:colOff>
                    <xdr:row>209</xdr:row>
                    <xdr:rowOff>0</xdr:rowOff>
                  </from>
                  <to>
                    <xdr:col>22</xdr:col>
                    <xdr:colOff>184150</xdr:colOff>
                    <xdr:row>209</xdr:row>
                    <xdr:rowOff>184150</xdr:rowOff>
                  </to>
                </anchor>
              </controlPr>
            </control>
          </mc:Choice>
        </mc:AlternateContent>
        <mc:AlternateContent xmlns:mc="http://schemas.openxmlformats.org/markup-compatibility/2006">
          <mc:Choice Requires="x14">
            <control shapeId="3288" r:id="rId59" name="Check Box 216">
              <controlPr locked="0" defaultSize="0" autoFill="0" autoLine="0" autoPict="0">
                <anchor moveWithCells="1" sizeWithCells="1">
                  <from>
                    <xdr:col>22</xdr:col>
                    <xdr:colOff>0</xdr:colOff>
                    <xdr:row>210</xdr:row>
                    <xdr:rowOff>0</xdr:rowOff>
                  </from>
                  <to>
                    <xdr:col>22</xdr:col>
                    <xdr:colOff>184150</xdr:colOff>
                    <xdr:row>210</xdr:row>
                    <xdr:rowOff>184150</xdr:rowOff>
                  </to>
                </anchor>
              </controlPr>
            </control>
          </mc:Choice>
        </mc:AlternateContent>
        <mc:AlternateContent xmlns:mc="http://schemas.openxmlformats.org/markup-compatibility/2006">
          <mc:Choice Requires="x14">
            <control shapeId="3289" r:id="rId60" name="Check Box 217">
              <controlPr locked="0" defaultSize="0" autoFill="0" autoLine="0" autoPict="0">
                <anchor moveWithCells="1" sizeWithCells="1">
                  <from>
                    <xdr:col>22</xdr:col>
                    <xdr:colOff>0</xdr:colOff>
                    <xdr:row>211</xdr:row>
                    <xdr:rowOff>0</xdr:rowOff>
                  </from>
                  <to>
                    <xdr:col>22</xdr:col>
                    <xdr:colOff>184150</xdr:colOff>
                    <xdr:row>211</xdr:row>
                    <xdr:rowOff>184150</xdr:rowOff>
                  </to>
                </anchor>
              </controlPr>
            </control>
          </mc:Choice>
        </mc:AlternateContent>
        <mc:AlternateContent xmlns:mc="http://schemas.openxmlformats.org/markup-compatibility/2006">
          <mc:Choice Requires="x14">
            <control shapeId="3290" r:id="rId61" name="Check Box 218">
              <controlPr locked="0" defaultSize="0" autoFill="0" autoLine="0" autoPict="0">
                <anchor moveWithCells="1" sizeWithCells="1">
                  <from>
                    <xdr:col>22</xdr:col>
                    <xdr:colOff>0</xdr:colOff>
                    <xdr:row>212</xdr:row>
                    <xdr:rowOff>0</xdr:rowOff>
                  </from>
                  <to>
                    <xdr:col>22</xdr:col>
                    <xdr:colOff>184150</xdr:colOff>
                    <xdr:row>212</xdr:row>
                    <xdr:rowOff>184150</xdr:rowOff>
                  </to>
                </anchor>
              </controlPr>
            </control>
          </mc:Choice>
        </mc:AlternateContent>
        <mc:AlternateContent xmlns:mc="http://schemas.openxmlformats.org/markup-compatibility/2006">
          <mc:Choice Requires="x14">
            <control shapeId="3291" r:id="rId62" name="Check Box 219">
              <controlPr locked="0" defaultSize="0" autoFill="0" autoLine="0" autoPict="0">
                <anchor moveWithCells="1" sizeWithCells="1">
                  <from>
                    <xdr:col>22</xdr:col>
                    <xdr:colOff>0</xdr:colOff>
                    <xdr:row>213</xdr:row>
                    <xdr:rowOff>0</xdr:rowOff>
                  </from>
                  <to>
                    <xdr:col>22</xdr:col>
                    <xdr:colOff>184150</xdr:colOff>
                    <xdr:row>213</xdr:row>
                    <xdr:rowOff>184150</xdr:rowOff>
                  </to>
                </anchor>
              </controlPr>
            </control>
          </mc:Choice>
        </mc:AlternateContent>
        <mc:AlternateContent xmlns:mc="http://schemas.openxmlformats.org/markup-compatibility/2006">
          <mc:Choice Requires="x14">
            <control shapeId="3292" r:id="rId63" name="Check Box 220">
              <controlPr locked="0" defaultSize="0" autoFill="0" autoLine="0" autoPict="0">
                <anchor moveWithCells="1" sizeWithCells="1">
                  <from>
                    <xdr:col>22</xdr:col>
                    <xdr:colOff>0</xdr:colOff>
                    <xdr:row>214</xdr:row>
                    <xdr:rowOff>0</xdr:rowOff>
                  </from>
                  <to>
                    <xdr:col>22</xdr:col>
                    <xdr:colOff>184150</xdr:colOff>
                    <xdr:row>214</xdr:row>
                    <xdr:rowOff>184150</xdr:rowOff>
                  </to>
                </anchor>
              </controlPr>
            </control>
          </mc:Choice>
        </mc:AlternateContent>
        <mc:AlternateContent xmlns:mc="http://schemas.openxmlformats.org/markup-compatibility/2006">
          <mc:Choice Requires="x14">
            <control shapeId="3293" r:id="rId64" name="Check Box 221">
              <controlPr locked="0" defaultSize="0" autoFill="0" autoLine="0" autoPict="0">
                <anchor moveWithCells="1" sizeWithCells="1">
                  <from>
                    <xdr:col>22</xdr:col>
                    <xdr:colOff>0</xdr:colOff>
                    <xdr:row>216</xdr:row>
                    <xdr:rowOff>0</xdr:rowOff>
                  </from>
                  <to>
                    <xdr:col>22</xdr:col>
                    <xdr:colOff>184150</xdr:colOff>
                    <xdr:row>216</xdr:row>
                    <xdr:rowOff>184150</xdr:rowOff>
                  </to>
                </anchor>
              </controlPr>
            </control>
          </mc:Choice>
        </mc:AlternateContent>
        <mc:AlternateContent xmlns:mc="http://schemas.openxmlformats.org/markup-compatibility/2006">
          <mc:Choice Requires="x14">
            <control shapeId="3294" r:id="rId65" name="Check Box 222">
              <controlPr locked="0" defaultSize="0" autoFill="0" autoLine="0" autoPict="0">
                <anchor moveWithCells="1" sizeWithCells="1">
                  <from>
                    <xdr:col>22</xdr:col>
                    <xdr:colOff>0</xdr:colOff>
                    <xdr:row>223</xdr:row>
                    <xdr:rowOff>0</xdr:rowOff>
                  </from>
                  <to>
                    <xdr:col>22</xdr:col>
                    <xdr:colOff>184150</xdr:colOff>
                    <xdr:row>223</xdr:row>
                    <xdr:rowOff>184150</xdr:rowOff>
                  </to>
                </anchor>
              </controlPr>
            </control>
          </mc:Choice>
        </mc:AlternateContent>
        <mc:AlternateContent xmlns:mc="http://schemas.openxmlformats.org/markup-compatibility/2006">
          <mc:Choice Requires="x14">
            <control shapeId="3295" r:id="rId66" name="Check Box 223">
              <controlPr locked="0" defaultSize="0" autoFill="0" autoLine="0" autoPict="0">
                <anchor moveWithCells="1" sizeWithCells="1">
                  <from>
                    <xdr:col>22</xdr:col>
                    <xdr:colOff>0</xdr:colOff>
                    <xdr:row>225</xdr:row>
                    <xdr:rowOff>0</xdr:rowOff>
                  </from>
                  <to>
                    <xdr:col>22</xdr:col>
                    <xdr:colOff>184150</xdr:colOff>
                    <xdr:row>225</xdr:row>
                    <xdr:rowOff>184150</xdr:rowOff>
                  </to>
                </anchor>
              </controlPr>
            </control>
          </mc:Choice>
        </mc:AlternateContent>
        <mc:AlternateContent xmlns:mc="http://schemas.openxmlformats.org/markup-compatibility/2006">
          <mc:Choice Requires="x14">
            <control shapeId="3296" r:id="rId67" name="Check Box 224">
              <controlPr locked="0" defaultSize="0" autoFill="0" autoLine="0" autoPict="0">
                <anchor moveWithCells="1" sizeWithCells="1">
                  <from>
                    <xdr:col>22</xdr:col>
                    <xdr:colOff>0</xdr:colOff>
                    <xdr:row>238</xdr:row>
                    <xdr:rowOff>0</xdr:rowOff>
                  </from>
                  <to>
                    <xdr:col>22</xdr:col>
                    <xdr:colOff>184150</xdr:colOff>
                    <xdr:row>238</xdr:row>
                    <xdr:rowOff>184150</xdr:rowOff>
                  </to>
                </anchor>
              </controlPr>
            </control>
          </mc:Choice>
        </mc:AlternateContent>
        <mc:AlternateContent xmlns:mc="http://schemas.openxmlformats.org/markup-compatibility/2006">
          <mc:Choice Requires="x14">
            <control shapeId="3297" r:id="rId68" name="Check Box 225">
              <controlPr locked="0" defaultSize="0" autoFill="0" autoLine="0" autoPict="0">
                <anchor moveWithCells="1" sizeWithCells="1">
                  <from>
                    <xdr:col>22</xdr:col>
                    <xdr:colOff>0</xdr:colOff>
                    <xdr:row>241</xdr:row>
                    <xdr:rowOff>0</xdr:rowOff>
                  </from>
                  <to>
                    <xdr:col>22</xdr:col>
                    <xdr:colOff>184150</xdr:colOff>
                    <xdr:row>241</xdr:row>
                    <xdr:rowOff>184150</xdr:rowOff>
                  </to>
                </anchor>
              </controlPr>
            </control>
          </mc:Choice>
        </mc:AlternateContent>
        <mc:AlternateContent xmlns:mc="http://schemas.openxmlformats.org/markup-compatibility/2006">
          <mc:Choice Requires="x14">
            <control shapeId="3298" r:id="rId69" name="Check Box 226">
              <controlPr locked="0" defaultSize="0" autoFill="0" autoLine="0" autoPict="0">
                <anchor moveWithCells="1" sizeWithCells="1">
                  <from>
                    <xdr:col>22</xdr:col>
                    <xdr:colOff>0</xdr:colOff>
                    <xdr:row>245</xdr:row>
                    <xdr:rowOff>0</xdr:rowOff>
                  </from>
                  <to>
                    <xdr:col>22</xdr:col>
                    <xdr:colOff>184150</xdr:colOff>
                    <xdr:row>245</xdr:row>
                    <xdr:rowOff>184150</xdr:rowOff>
                  </to>
                </anchor>
              </controlPr>
            </control>
          </mc:Choice>
        </mc:AlternateContent>
        <mc:AlternateContent xmlns:mc="http://schemas.openxmlformats.org/markup-compatibility/2006">
          <mc:Choice Requires="x14">
            <control shapeId="3299" r:id="rId70" name="Check Box 227">
              <controlPr locked="0" defaultSize="0" autoFill="0" autoLine="0" autoPict="0">
                <anchor moveWithCells="1" sizeWithCells="1">
                  <from>
                    <xdr:col>22</xdr:col>
                    <xdr:colOff>0</xdr:colOff>
                    <xdr:row>246</xdr:row>
                    <xdr:rowOff>0</xdr:rowOff>
                  </from>
                  <to>
                    <xdr:col>22</xdr:col>
                    <xdr:colOff>184150</xdr:colOff>
                    <xdr:row>246</xdr:row>
                    <xdr:rowOff>184150</xdr:rowOff>
                  </to>
                </anchor>
              </controlPr>
            </control>
          </mc:Choice>
        </mc:AlternateContent>
        <mc:AlternateContent xmlns:mc="http://schemas.openxmlformats.org/markup-compatibility/2006">
          <mc:Choice Requires="x14">
            <control shapeId="3300" r:id="rId71" name="Check Box 228">
              <controlPr locked="0" defaultSize="0" autoFill="0" autoLine="0" autoPict="0">
                <anchor moveWithCells="1" sizeWithCells="1">
                  <from>
                    <xdr:col>22</xdr:col>
                    <xdr:colOff>0</xdr:colOff>
                    <xdr:row>255</xdr:row>
                    <xdr:rowOff>0</xdr:rowOff>
                  </from>
                  <to>
                    <xdr:col>22</xdr:col>
                    <xdr:colOff>184150</xdr:colOff>
                    <xdr:row>255</xdr:row>
                    <xdr:rowOff>184150</xdr:rowOff>
                  </to>
                </anchor>
              </controlPr>
            </control>
          </mc:Choice>
        </mc:AlternateContent>
        <mc:AlternateContent xmlns:mc="http://schemas.openxmlformats.org/markup-compatibility/2006">
          <mc:Choice Requires="x14">
            <control shapeId="3301" r:id="rId72" name="Check Box 229">
              <controlPr locked="0" defaultSize="0" autoFill="0" autoLine="0" autoPict="0">
                <anchor moveWithCells="1" sizeWithCells="1">
                  <from>
                    <xdr:col>22</xdr:col>
                    <xdr:colOff>0</xdr:colOff>
                    <xdr:row>256</xdr:row>
                    <xdr:rowOff>0</xdr:rowOff>
                  </from>
                  <to>
                    <xdr:col>22</xdr:col>
                    <xdr:colOff>184150</xdr:colOff>
                    <xdr:row>256</xdr:row>
                    <xdr:rowOff>184150</xdr:rowOff>
                  </to>
                </anchor>
              </controlPr>
            </control>
          </mc:Choice>
        </mc:AlternateContent>
        <mc:AlternateContent xmlns:mc="http://schemas.openxmlformats.org/markup-compatibility/2006">
          <mc:Choice Requires="x14">
            <control shapeId="3302" r:id="rId73" name="Check Box 230">
              <controlPr locked="0" defaultSize="0" autoFill="0" autoLine="0" autoPict="0">
                <anchor moveWithCells="1" sizeWithCells="1">
                  <from>
                    <xdr:col>22</xdr:col>
                    <xdr:colOff>0</xdr:colOff>
                    <xdr:row>258</xdr:row>
                    <xdr:rowOff>0</xdr:rowOff>
                  </from>
                  <to>
                    <xdr:col>22</xdr:col>
                    <xdr:colOff>184150</xdr:colOff>
                    <xdr:row>258</xdr:row>
                    <xdr:rowOff>184150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B2:G9"/>
  <sheetViews>
    <sheetView showGridLines="0" zoomScaleNormal="100" workbookViewId="0"/>
  </sheetViews>
  <sheetFormatPr defaultColWidth="9.1796875" defaultRowHeight="14.5" x14ac:dyDescent="0.35"/>
  <cols>
    <col min="2" max="2" width="37.7265625" bestFit="1" customWidth="1"/>
    <col min="3" max="3" width="8.81640625" bestFit="1" customWidth="1"/>
  </cols>
  <sheetData>
    <row r="2" spans="2:7" x14ac:dyDescent="0.35">
      <c r="B2" s="1088" t="s">
        <v>4617</v>
      </c>
      <c r="C2" s="1088"/>
      <c r="E2" s="1085" t="s">
        <v>4568</v>
      </c>
      <c r="F2" s="1086"/>
      <c r="G2" s="1087"/>
    </row>
    <row r="4" spans="2:7" ht="15" customHeight="1" x14ac:dyDescent="0.35">
      <c r="B4" s="736" t="s">
        <v>3985</v>
      </c>
      <c r="C4" s="736"/>
    </row>
    <row r="5" spans="2:7" ht="15" customHeight="1" thickBot="1" x14ac:dyDescent="0.4">
      <c r="B5" s="1160" t="s">
        <v>3984</v>
      </c>
      <c r="C5" s="1160"/>
    </row>
    <row r="6" spans="2:7" ht="15" customHeight="1" thickBot="1" x14ac:dyDescent="0.4">
      <c r="B6" s="295" t="s">
        <v>3983</v>
      </c>
      <c r="C6" s="254" t="s">
        <v>3982</v>
      </c>
    </row>
    <row r="7" spans="2:7" ht="15" customHeight="1" thickBot="1" x14ac:dyDescent="0.4">
      <c r="B7" s="300" t="s">
        <v>3981</v>
      </c>
      <c r="C7" s="289">
        <v>50</v>
      </c>
    </row>
    <row r="8" spans="2:7" ht="15" customHeight="1" thickBot="1" x14ac:dyDescent="0.4">
      <c r="B8" s="300" t="s">
        <v>3980</v>
      </c>
      <c r="C8" s="289">
        <v>600</v>
      </c>
    </row>
    <row r="9" spans="2:7" ht="15" customHeight="1" thickBot="1" x14ac:dyDescent="0.4">
      <c r="B9" s="300" t="s">
        <v>3979</v>
      </c>
      <c r="C9" s="289">
        <v>50</v>
      </c>
    </row>
  </sheetData>
  <sheetProtection algorithmName="SHA-512" hashValue="60YqdUVhjsY68zI/tW9ZrFv0M/CGWz24bFQCCYXMHpureTisG5Nx1J60k4/gy/O2vQLP6yLe/RYLo+40XsNkew==" saltValue="k5C/Cw7hNu7FC/azKle1XQ==" spinCount="100000" sheet="1" objects="1" scenarios="1" selectLockedCells="1"/>
  <mergeCells count="4">
    <mergeCell ref="B4:C4"/>
    <mergeCell ref="B5:C5"/>
    <mergeCell ref="B2:C2"/>
    <mergeCell ref="E2:G2"/>
  </mergeCells>
  <hyperlinks>
    <hyperlink ref="B2:C2" location="hyptarg9.2" display="back to 901.9.1" xr:uid="{00000000-0004-0000-2700-000000000000}"/>
    <hyperlink ref="E2:F2" location="'Verification Report'!A1" display="back to Verification Report" xr:uid="{00000000-0004-0000-2700-000001000000}"/>
    <hyperlink ref="E2:G2" location="'Verification Report'!A1" display="back to Verification Report" xr:uid="{00000000-0004-0000-2700-000002000000}"/>
  </hyperlinks>
  <pageMargins left="0.7" right="0.7" top="0.75" bottom="0.75" header="0.3" footer="0.3"/>
  <pageSetup scale="9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B2:G40"/>
  <sheetViews>
    <sheetView showGridLines="0" zoomScaleNormal="100" zoomScaleSheetLayoutView="100" workbookViewId="0"/>
  </sheetViews>
  <sheetFormatPr defaultColWidth="9.1796875" defaultRowHeight="14.5" x14ac:dyDescent="0.35"/>
  <cols>
    <col min="2" max="2" width="32.7265625" customWidth="1"/>
    <col min="3" max="3" width="23.453125" customWidth="1"/>
  </cols>
  <sheetData>
    <row r="2" spans="2:7" x14ac:dyDescent="0.35">
      <c r="B2" s="1088" t="s">
        <v>4022</v>
      </c>
      <c r="C2" s="1088"/>
      <c r="E2" s="1085" t="s">
        <v>4568</v>
      </c>
      <c r="F2" s="1086"/>
      <c r="G2" s="1087"/>
    </row>
    <row r="4" spans="2:7" ht="15" customHeight="1" x14ac:dyDescent="0.35">
      <c r="B4" s="736" t="s">
        <v>4018</v>
      </c>
      <c r="C4" s="736"/>
    </row>
    <row r="5" spans="2:7" ht="15" customHeight="1" x14ac:dyDescent="0.35">
      <c r="B5" s="736" t="s">
        <v>4017</v>
      </c>
      <c r="C5" s="736"/>
    </row>
    <row r="6" spans="2:7" ht="15" customHeight="1" x14ac:dyDescent="0.35">
      <c r="B6" s="305" t="s">
        <v>4006</v>
      </c>
      <c r="C6" s="305" t="s">
        <v>4005</v>
      </c>
    </row>
    <row r="7" spans="2:7" ht="15" customHeight="1" x14ac:dyDescent="0.35">
      <c r="B7" s="301" t="s">
        <v>4016</v>
      </c>
      <c r="C7" s="250">
        <v>50</v>
      </c>
    </row>
    <row r="8" spans="2:7" ht="15" customHeight="1" x14ac:dyDescent="0.35">
      <c r="B8" s="301" t="s">
        <v>4015</v>
      </c>
      <c r="C8" s="250">
        <v>50</v>
      </c>
    </row>
    <row r="9" spans="2:7" ht="15" customHeight="1" x14ac:dyDescent="0.35">
      <c r="B9" s="301" t="s">
        <v>4014</v>
      </c>
      <c r="C9" s="250">
        <v>150</v>
      </c>
    </row>
    <row r="10" spans="2:7" ht="15" customHeight="1" x14ac:dyDescent="0.35">
      <c r="B10" s="301" t="s">
        <v>4013</v>
      </c>
      <c r="C10" s="250">
        <v>100</v>
      </c>
    </row>
    <row r="11" spans="2:7" ht="15" customHeight="1" x14ac:dyDescent="0.35">
      <c r="B11" s="301" t="s">
        <v>4012</v>
      </c>
      <c r="C11" s="250">
        <v>60</v>
      </c>
    </row>
    <row r="12" spans="2:7" ht="15" customHeight="1" x14ac:dyDescent="0.35">
      <c r="B12" s="301" t="s">
        <v>4011</v>
      </c>
      <c r="C12" s="250">
        <v>50</v>
      </c>
    </row>
    <row r="13" spans="2:7" ht="15" customHeight="1" x14ac:dyDescent="0.35">
      <c r="B13" s="301" t="s">
        <v>4010</v>
      </c>
      <c r="C13" s="250">
        <v>65</v>
      </c>
    </row>
    <row r="14" spans="2:7" ht="15" customHeight="1" x14ac:dyDescent="0.35">
      <c r="B14" s="301" t="s">
        <v>4009</v>
      </c>
      <c r="C14" s="250">
        <v>50</v>
      </c>
    </row>
    <row r="15" spans="2:7" ht="15" customHeight="1" x14ac:dyDescent="0.35">
      <c r="B15" s="301" t="s">
        <v>4008</v>
      </c>
      <c r="C15" s="250">
        <v>50</v>
      </c>
    </row>
    <row r="16" spans="2:7" ht="15" customHeight="1" x14ac:dyDescent="0.35">
      <c r="B16" s="301" t="s">
        <v>4007</v>
      </c>
      <c r="C16" s="250">
        <v>50</v>
      </c>
    </row>
    <row r="17" spans="2:3" ht="15" customHeight="1" x14ac:dyDescent="0.35">
      <c r="B17" s="305" t="s">
        <v>4006</v>
      </c>
      <c r="C17" s="305" t="s">
        <v>4005</v>
      </c>
    </row>
    <row r="18" spans="2:3" ht="15" customHeight="1" x14ac:dyDescent="0.35">
      <c r="B18" s="301" t="s">
        <v>4004</v>
      </c>
      <c r="C18" s="250">
        <v>70</v>
      </c>
    </row>
    <row r="19" spans="2:3" ht="15" customHeight="1" x14ac:dyDescent="0.35">
      <c r="B19" s="301" t="s">
        <v>4003</v>
      </c>
      <c r="C19" s="250">
        <v>100</v>
      </c>
    </row>
    <row r="20" spans="2:3" ht="15" customHeight="1" x14ac:dyDescent="0.35">
      <c r="B20" s="301" t="s">
        <v>4002</v>
      </c>
      <c r="C20" s="250">
        <v>250</v>
      </c>
    </row>
    <row r="21" spans="2:3" ht="15" customHeight="1" x14ac:dyDescent="0.35">
      <c r="B21" s="306" t="s">
        <v>4001</v>
      </c>
      <c r="C21" s="304">
        <v>250</v>
      </c>
    </row>
    <row r="22" spans="2:3" ht="15" customHeight="1" x14ac:dyDescent="0.35">
      <c r="B22" s="306" t="s">
        <v>4000</v>
      </c>
      <c r="C22" s="304"/>
    </row>
    <row r="23" spans="2:3" ht="15" customHeight="1" x14ac:dyDescent="0.35">
      <c r="B23" s="308" t="s">
        <v>3999</v>
      </c>
      <c r="C23" s="303">
        <v>250</v>
      </c>
    </row>
    <row r="24" spans="2:3" ht="15" customHeight="1" x14ac:dyDescent="0.35">
      <c r="B24" s="307" t="s">
        <v>3998</v>
      </c>
      <c r="C24" s="302">
        <v>775</v>
      </c>
    </row>
    <row r="25" spans="2:3" ht="15" customHeight="1" x14ac:dyDescent="0.35">
      <c r="B25" s="307" t="s">
        <v>3997</v>
      </c>
      <c r="C25" s="302">
        <v>500</v>
      </c>
    </row>
    <row r="26" spans="2:3" ht="15" customHeight="1" x14ac:dyDescent="0.35">
      <c r="B26" s="301" t="s">
        <v>3996</v>
      </c>
      <c r="C26" s="250">
        <v>750</v>
      </c>
    </row>
    <row r="27" spans="2:3" ht="15" customHeight="1" x14ac:dyDescent="0.35">
      <c r="B27" s="301" t="s">
        <v>3995</v>
      </c>
      <c r="C27" s="250">
        <v>490</v>
      </c>
    </row>
    <row r="28" spans="2:3" ht="15" customHeight="1" x14ac:dyDescent="0.35">
      <c r="B28" s="301" t="s">
        <v>3994</v>
      </c>
      <c r="C28" s="250">
        <v>510</v>
      </c>
    </row>
    <row r="29" spans="2:3" ht="15" customHeight="1" x14ac:dyDescent="0.35">
      <c r="B29" s="301" t="s">
        <v>3993</v>
      </c>
      <c r="C29" s="250">
        <v>325</v>
      </c>
    </row>
    <row r="30" spans="2:3" ht="15" customHeight="1" x14ac:dyDescent="0.35">
      <c r="B30" s="301" t="s">
        <v>3992</v>
      </c>
      <c r="C30" s="250">
        <v>250</v>
      </c>
    </row>
    <row r="31" spans="2:3" ht="15" customHeight="1" x14ac:dyDescent="0.35">
      <c r="B31" s="301" t="s">
        <v>3991</v>
      </c>
      <c r="C31" s="250">
        <v>550</v>
      </c>
    </row>
    <row r="32" spans="2:3" ht="15" customHeight="1" x14ac:dyDescent="0.35">
      <c r="B32" s="301" t="s">
        <v>3990</v>
      </c>
      <c r="C32" s="250">
        <v>80</v>
      </c>
    </row>
    <row r="33" spans="2:3" ht="15" customHeight="1" x14ac:dyDescent="0.35">
      <c r="B33" s="301" t="s">
        <v>3989</v>
      </c>
      <c r="C33" s="250">
        <v>250</v>
      </c>
    </row>
    <row r="34" spans="2:3" ht="15" customHeight="1" x14ac:dyDescent="0.35">
      <c r="B34" s="301" t="s">
        <v>3988</v>
      </c>
      <c r="C34" s="250">
        <v>140</v>
      </c>
    </row>
    <row r="35" spans="2:3" x14ac:dyDescent="0.35">
      <c r="B35" s="1162" t="s">
        <v>3987</v>
      </c>
      <c r="C35" s="1162"/>
    </row>
    <row r="36" spans="2:3" x14ac:dyDescent="0.35">
      <c r="B36" s="707" t="s">
        <v>3986</v>
      </c>
      <c r="C36" s="707"/>
    </row>
    <row r="37" spans="2:3" x14ac:dyDescent="0.35">
      <c r="B37" s="707"/>
      <c r="C37" s="707"/>
    </row>
    <row r="38" spans="2:3" x14ac:dyDescent="0.35">
      <c r="B38" s="707"/>
      <c r="C38" s="707"/>
    </row>
    <row r="39" spans="2:3" x14ac:dyDescent="0.35">
      <c r="B39" s="707"/>
      <c r="C39" s="707"/>
    </row>
    <row r="40" spans="2:3" x14ac:dyDescent="0.35">
      <c r="B40" s="707"/>
      <c r="C40" s="707"/>
    </row>
  </sheetData>
  <sheetProtection algorithmName="SHA-512" hashValue="9PanEVJ4mvQ+VeUaHRtvgXdEB/gleBwVR16ZDmLQAPKA5luoet8Z4AwNJ+h7USo5Whw3V4Sq/5WkYllslFvmXg==" saltValue="OTIrUNVH0zFmp2coZGv+KQ==" spinCount="100000" sheet="1" objects="1" scenarios="1" selectLockedCells="1"/>
  <mergeCells count="6">
    <mergeCell ref="E2:G2"/>
    <mergeCell ref="B4:C4"/>
    <mergeCell ref="B5:C5"/>
    <mergeCell ref="B35:C35"/>
    <mergeCell ref="B36:C40"/>
    <mergeCell ref="B2:C2"/>
  </mergeCells>
  <hyperlinks>
    <hyperlink ref="B2:C2" location="hyptarg9.3" display="back to 901.10(3)" xr:uid="{00000000-0004-0000-2800-000000000000}"/>
    <hyperlink ref="E2:F2" location="'Verification Report'!A1" display="back to Verification Report" xr:uid="{00000000-0004-0000-2800-000001000000}"/>
    <hyperlink ref="E2:G2" location="'Verification Report'!A1" display="back to Verification Report" xr:uid="{00000000-0004-0000-2800-000002000000}"/>
  </hyperlinks>
  <pageMargins left="0.7" right="0.7" top="0.75" bottom="0.75" header="0.3" footer="0.3"/>
  <pageSetup scale="8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8">
    <pageSetUpPr fitToPage="1"/>
  </sheetPr>
  <dimension ref="A1:C40"/>
  <sheetViews>
    <sheetView zoomScaleNormal="100" workbookViewId="0"/>
  </sheetViews>
  <sheetFormatPr defaultRowHeight="14.5" x14ac:dyDescent="0.35"/>
  <cols>
    <col min="1" max="1" width="7.54296875" bestFit="1" customWidth="1"/>
    <col min="2" max="2" width="12" bestFit="1" customWidth="1"/>
    <col min="3" max="3" width="193.453125" bestFit="1" customWidth="1"/>
  </cols>
  <sheetData>
    <row r="1" spans="1:3" x14ac:dyDescent="0.35">
      <c r="A1" t="s">
        <v>4570</v>
      </c>
      <c r="B1" t="s">
        <v>4572</v>
      </c>
      <c r="C1" t="s">
        <v>4571</v>
      </c>
    </row>
    <row r="2" spans="1:3" x14ac:dyDescent="0.35">
      <c r="A2" s="544" t="s">
        <v>4589</v>
      </c>
      <c r="B2" s="545">
        <v>42544</v>
      </c>
      <c r="C2" t="s">
        <v>4573</v>
      </c>
    </row>
    <row r="3" spans="1:3" x14ac:dyDescent="0.35">
      <c r="A3" s="544" t="s">
        <v>4588</v>
      </c>
      <c r="B3" s="545">
        <v>42548</v>
      </c>
      <c r="C3" t="s">
        <v>4590</v>
      </c>
    </row>
    <row r="4" spans="1:3" x14ac:dyDescent="0.35">
      <c r="A4" s="544" t="s">
        <v>4591</v>
      </c>
      <c r="B4" s="545">
        <v>42550</v>
      </c>
      <c r="C4" t="s">
        <v>4593</v>
      </c>
    </row>
    <row r="5" spans="1:3" x14ac:dyDescent="0.35">
      <c r="A5" s="544" t="s">
        <v>4597</v>
      </c>
      <c r="B5" s="545">
        <v>42592</v>
      </c>
      <c r="C5" t="s">
        <v>4596</v>
      </c>
    </row>
    <row r="6" spans="1:3" x14ac:dyDescent="0.35">
      <c r="A6" s="544" t="s">
        <v>4599</v>
      </c>
      <c r="B6" s="545" t="s">
        <v>4599</v>
      </c>
      <c r="C6" t="s">
        <v>4605</v>
      </c>
    </row>
    <row r="7" spans="1:3" x14ac:dyDescent="0.35">
      <c r="A7" s="544" t="s">
        <v>4599</v>
      </c>
      <c r="B7" s="545" t="s">
        <v>4599</v>
      </c>
      <c r="C7" t="s">
        <v>4606</v>
      </c>
    </row>
    <row r="8" spans="1:3" x14ac:dyDescent="0.35">
      <c r="A8" s="544" t="s">
        <v>4608</v>
      </c>
      <c r="B8" s="545">
        <v>42657</v>
      </c>
      <c r="C8" t="s">
        <v>4609</v>
      </c>
    </row>
    <row r="9" spans="1:3" x14ac:dyDescent="0.35">
      <c r="A9" s="544" t="s">
        <v>4613</v>
      </c>
      <c r="B9" s="545">
        <v>42664</v>
      </c>
      <c r="C9" t="s">
        <v>4614</v>
      </c>
    </row>
    <row r="10" spans="1:3" x14ac:dyDescent="0.35">
      <c r="A10" s="544" t="s">
        <v>4621</v>
      </c>
      <c r="B10" s="545">
        <v>42724</v>
      </c>
      <c r="C10" t="s">
        <v>4618</v>
      </c>
    </row>
    <row r="11" spans="1:3" x14ac:dyDescent="0.35">
      <c r="A11" s="544" t="s">
        <v>4599</v>
      </c>
      <c r="B11" s="545" t="s">
        <v>4599</v>
      </c>
      <c r="C11" t="s">
        <v>4620</v>
      </c>
    </row>
    <row r="12" spans="1:3" x14ac:dyDescent="0.35">
      <c r="A12" s="544" t="s">
        <v>4622</v>
      </c>
      <c r="B12" s="545">
        <v>42741</v>
      </c>
      <c r="C12" t="s">
        <v>4623</v>
      </c>
    </row>
    <row r="13" spans="1:3" x14ac:dyDescent="0.35">
      <c r="A13" s="544" t="s">
        <v>4624</v>
      </c>
      <c r="B13" s="545">
        <v>42838</v>
      </c>
      <c r="C13" t="s">
        <v>4625</v>
      </c>
    </row>
    <row r="14" spans="1:3" x14ac:dyDescent="0.35">
      <c r="A14" s="544" t="s">
        <v>4630</v>
      </c>
      <c r="B14" s="545">
        <v>42886</v>
      </c>
      <c r="C14" t="s">
        <v>4634</v>
      </c>
    </row>
    <row r="15" spans="1:3" x14ac:dyDescent="0.35">
      <c r="A15" s="544" t="s">
        <v>4599</v>
      </c>
      <c r="B15" s="545" t="s">
        <v>4599</v>
      </c>
      <c r="C15" t="s">
        <v>4637</v>
      </c>
    </row>
    <row r="16" spans="1:3" x14ac:dyDescent="0.35">
      <c r="A16" s="544" t="s">
        <v>4665</v>
      </c>
      <c r="B16" s="545">
        <v>42893</v>
      </c>
      <c r="C16" t="s">
        <v>4666</v>
      </c>
    </row>
    <row r="17" spans="1:3" x14ac:dyDescent="0.35">
      <c r="A17" s="544" t="s">
        <v>4668</v>
      </c>
      <c r="B17" s="545">
        <v>43227</v>
      </c>
      <c r="C17" t="s">
        <v>4669</v>
      </c>
    </row>
    <row r="18" spans="1:3" x14ac:dyDescent="0.35">
      <c r="A18" s="544" t="s">
        <v>4667</v>
      </c>
      <c r="B18" s="545">
        <v>43339</v>
      </c>
      <c r="C18" t="s">
        <v>4671</v>
      </c>
    </row>
    <row r="19" spans="1:3" x14ac:dyDescent="0.35">
      <c r="A19" s="544" t="s">
        <v>4672</v>
      </c>
      <c r="B19" s="545">
        <v>43360</v>
      </c>
      <c r="C19" t="s">
        <v>4673</v>
      </c>
    </row>
    <row r="20" spans="1:3" x14ac:dyDescent="0.35">
      <c r="A20" s="544" t="s">
        <v>4675</v>
      </c>
      <c r="B20" s="545">
        <v>43595</v>
      </c>
      <c r="C20" s="585" t="s">
        <v>4676</v>
      </c>
    </row>
    <row r="21" spans="1:3" x14ac:dyDescent="0.35">
      <c r="A21" s="544" t="s">
        <v>4679</v>
      </c>
      <c r="B21" s="545">
        <v>43643</v>
      </c>
      <c r="C21" t="s">
        <v>4680</v>
      </c>
    </row>
    <row r="22" spans="1:3" x14ac:dyDescent="0.35">
      <c r="A22" s="544" t="s">
        <v>4681</v>
      </c>
      <c r="B22" s="545">
        <v>43657</v>
      </c>
      <c r="C22" t="s">
        <v>4682</v>
      </c>
    </row>
    <row r="23" spans="1:3" x14ac:dyDescent="0.35">
      <c r="A23" s="544" t="s">
        <v>4685</v>
      </c>
      <c r="B23" s="545">
        <v>43724</v>
      </c>
      <c r="C23" t="s">
        <v>4686</v>
      </c>
    </row>
    <row r="24" spans="1:3" x14ac:dyDescent="0.35">
      <c r="A24" s="544" t="s">
        <v>4689</v>
      </c>
      <c r="B24" s="545">
        <v>43752</v>
      </c>
      <c r="C24" t="s">
        <v>4690</v>
      </c>
    </row>
    <row r="25" spans="1:3" x14ac:dyDescent="0.35">
      <c r="A25" s="544" t="s">
        <v>4697</v>
      </c>
      <c r="B25" s="545">
        <v>43833</v>
      </c>
      <c r="C25" t="s">
        <v>4700</v>
      </c>
    </row>
    <row r="26" spans="1:3" x14ac:dyDescent="0.35">
      <c r="A26" s="544" t="s">
        <v>4698</v>
      </c>
      <c r="B26" s="545">
        <v>43875</v>
      </c>
      <c r="C26" t="s">
        <v>4699</v>
      </c>
    </row>
    <row r="27" spans="1:3" x14ac:dyDescent="0.35">
      <c r="A27" s="544" t="s">
        <v>4701</v>
      </c>
      <c r="B27" s="545">
        <v>43928</v>
      </c>
      <c r="C27" t="s">
        <v>4702</v>
      </c>
    </row>
    <row r="28" spans="1:3" x14ac:dyDescent="0.35">
      <c r="A28" s="544" t="s">
        <v>4703</v>
      </c>
      <c r="B28" s="545">
        <v>43948</v>
      </c>
      <c r="C28" t="s">
        <v>4704</v>
      </c>
    </row>
    <row r="29" spans="1:3" x14ac:dyDescent="0.35">
      <c r="A29" s="544" t="s">
        <v>4705</v>
      </c>
      <c r="B29" s="545"/>
      <c r="C29" t="s">
        <v>4712</v>
      </c>
    </row>
    <row r="30" spans="1:3" x14ac:dyDescent="0.35">
      <c r="A30" s="544" t="s">
        <v>4599</v>
      </c>
      <c r="B30" s="545" t="s">
        <v>4599</v>
      </c>
      <c r="C30" t="s">
        <v>4730</v>
      </c>
    </row>
    <row r="31" spans="1:3" x14ac:dyDescent="0.35">
      <c r="A31" s="544" t="s">
        <v>4776</v>
      </c>
      <c r="B31" s="545"/>
      <c r="C31" t="s">
        <v>4777</v>
      </c>
    </row>
    <row r="32" spans="1:3" x14ac:dyDescent="0.35">
      <c r="A32" s="544" t="s">
        <v>4778</v>
      </c>
      <c r="B32" s="545">
        <v>44165</v>
      </c>
      <c r="C32" t="s">
        <v>4779</v>
      </c>
    </row>
    <row r="33" spans="1:3" x14ac:dyDescent="0.35">
      <c r="A33" s="544" t="s">
        <v>4781</v>
      </c>
      <c r="B33" s="545">
        <v>44329</v>
      </c>
      <c r="C33" t="s">
        <v>4782</v>
      </c>
    </row>
    <row r="34" spans="1:3" x14ac:dyDescent="0.35">
      <c r="A34" s="544" t="s">
        <v>4783</v>
      </c>
      <c r="B34" s="545">
        <v>44428</v>
      </c>
      <c r="C34" t="s">
        <v>4786</v>
      </c>
    </row>
    <row r="35" spans="1:3" x14ac:dyDescent="0.35">
      <c r="A35" s="544" t="s">
        <v>4792</v>
      </c>
      <c r="B35" s="545">
        <v>44568</v>
      </c>
      <c r="C35" t="s">
        <v>4791</v>
      </c>
    </row>
    <row r="36" spans="1:3" x14ac:dyDescent="0.35">
      <c r="A36" s="544" t="s">
        <v>4800</v>
      </c>
      <c r="B36" s="545">
        <v>44691</v>
      </c>
      <c r="C36" t="s">
        <v>4799</v>
      </c>
    </row>
    <row r="37" spans="1:3" x14ac:dyDescent="0.35">
      <c r="A37" s="544" t="s">
        <v>4801</v>
      </c>
      <c r="B37" s="545">
        <v>44708</v>
      </c>
      <c r="C37" t="s">
        <v>4802</v>
      </c>
    </row>
    <row r="38" spans="1:3" x14ac:dyDescent="0.35">
      <c r="A38" s="544" t="s">
        <v>4807</v>
      </c>
      <c r="B38" s="545">
        <v>45072</v>
      </c>
      <c r="C38" t="s">
        <v>4808</v>
      </c>
    </row>
    <row r="39" spans="1:3" x14ac:dyDescent="0.35">
      <c r="A39" s="544"/>
      <c r="B39" s="545"/>
    </row>
    <row r="40" spans="1:3" x14ac:dyDescent="0.35">
      <c r="A40" s="544"/>
      <c r="B40" s="545"/>
    </row>
  </sheetData>
  <sheetProtection algorithmName="SHA-512" hashValue="Dli72Q+zlEmiwpTQ8k/cuI+gMzXnm8UOikfSbXrrq2h9IkWw1PH507IOPyAOpjNmtBFGOovtOzAXQEwjB7/VeA==" saltValue="b6oupH2KGkTACZ6gbTOXJQ==" spinCount="100000" sheet="1" objects="1" scenarios="1" selectLockedCells="1" selectUnlockedCells="1"/>
  <pageMargins left="0.7" right="0.7" top="0.75" bottom="0.75" header="0.3" footer="0.3"/>
  <pageSetup scale="4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BI519"/>
  <sheetViews>
    <sheetView showGridLines="0" zoomScaleNormal="100" workbookViewId="0">
      <pane ySplit="7" topLeftCell="A477" activePane="bottomLeft" state="frozen"/>
      <selection pane="bottomLeft" activeCell="X495" sqref="X495:X496"/>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35" customWidth="1"/>
    <col min="14" max="14" width="7.7265625" hidden="1" customWidth="1"/>
    <col min="15" max="15" width="7.7265625" style="44" customWidth="1"/>
    <col min="16" max="21" width="8.81640625" hidden="1" customWidth="1"/>
    <col min="22" max="22" width="3" hidden="1" customWidth="1"/>
    <col min="23" max="23" width="21.453125" customWidth="1"/>
    <col min="24" max="24" width="69" customWidth="1"/>
    <col min="25" max="26" width="34.81640625" hidden="1" customWidth="1"/>
    <col min="27" max="37" width="9.1796875" hidden="1" customWidth="1"/>
    <col min="38" max="38" width="16.453125" hidden="1" customWidth="1"/>
    <col min="39" max="39" width="3" hidden="1" customWidth="1"/>
    <col min="40" max="40" width="15.7265625" hidden="1" customWidth="1"/>
    <col min="41" max="41" width="2.1796875" hidden="1" customWidth="1"/>
    <col min="42" max="42" width="15.7265625" hidden="1" customWidth="1"/>
    <col min="43" max="43" width="2.1796875" hidden="1" customWidth="1"/>
    <col min="44" max="44" width="15.7265625" hidden="1" customWidth="1"/>
    <col min="45" max="45" width="2.1796875" hidden="1" customWidth="1"/>
    <col min="46" max="61" width="9.1796875" hidden="1" customWidth="1"/>
  </cols>
  <sheetData>
    <row r="1" spans="1:61" x14ac:dyDescent="0.35">
      <c r="H1" s="715" t="s">
        <v>4600</v>
      </c>
      <c r="I1" s="726" t="str">
        <f ca="1">IF(OR(AG3,AI3),"Errors on page, no Level reached","Current Chapter level: "&amp;AG1&amp;"                                            Total Points: "&amp;AG2)</f>
        <v>Current Chapter level: Silver                                            Total Points: 61</v>
      </c>
      <c r="J1" s="726"/>
      <c r="K1" s="726"/>
      <c r="L1" s="726"/>
      <c r="M1" s="716"/>
      <c r="N1" s="716"/>
      <c r="O1" s="716"/>
      <c r="P1" s="716"/>
      <c r="Q1" s="716"/>
      <c r="R1" s="716"/>
      <c r="S1" s="716"/>
      <c r="T1" s="716"/>
      <c r="U1" s="716"/>
      <c r="V1" s="716"/>
      <c r="W1" s="716"/>
      <c r="X1" s="593" t="s">
        <v>4563</v>
      </c>
      <c r="AF1" s="6" t="s">
        <v>529</v>
      </c>
      <c r="AG1" t="str">
        <f ca="1">IF(OR(AG3,AI3),"None",Ch6Level)</f>
        <v>Silver</v>
      </c>
    </row>
    <row r="2" spans="1:61" x14ac:dyDescent="0.35">
      <c r="H2" s="715"/>
      <c r="I2" s="727" t="str">
        <f ca="1">"Points away from:  Bronze: "&amp;MAX(Points!C16-Ch6Points,0)&amp;",  Silver: "&amp;MAX(Points!D16-Ch6Points,0)&amp;",  Gold: "&amp;MAX(Points!E16-Ch6Points,0)&amp;",  Emerald: "&amp;MAX(Points!F16-Ch6Points,0)</f>
        <v>Points away from:  Bronze: 0,  Silver: 0,  Gold: 28,  Emerald: 58</v>
      </c>
      <c r="J2" s="727"/>
      <c r="K2" s="727"/>
      <c r="L2" s="727"/>
      <c r="M2" s="716"/>
      <c r="N2" s="716"/>
      <c r="O2" s="716"/>
      <c r="P2" s="716"/>
      <c r="Q2" s="716"/>
      <c r="R2" s="716"/>
      <c r="S2" s="716"/>
      <c r="T2" s="716"/>
      <c r="U2" s="716"/>
      <c r="V2" s="716"/>
      <c r="W2" s="716"/>
      <c r="X2" s="593" t="s">
        <v>3728</v>
      </c>
      <c r="AF2" s="6" t="s">
        <v>530</v>
      </c>
      <c r="AG2">
        <f ca="1">Ch6Points</f>
        <v>61</v>
      </c>
      <c r="AH2" t="s">
        <v>809</v>
      </c>
      <c r="AI2">
        <f ca="1">Ch6NLev</f>
        <v>28</v>
      </c>
    </row>
    <row r="3" spans="1:61" x14ac:dyDescent="0.35">
      <c r="H3" s="715"/>
      <c r="I3" s="727" t="str">
        <f ca="1">"Add'l pts earned above:  Bronze: "&amp; MAX(0,Ch6Points-Points!C16) &amp;",  Silver: " &amp; MAX(0,Ch6Points-Points!D16) &amp;",  Gold: " &amp; MAX(0,Ch6Points-Points!E16) &amp;",  Emerald: " &amp; MAX(0,Ch6Points-Points!F16)</f>
        <v>Add'l pts earned above:  Bronze: 18,  Silver: 2,  Gold: 0,  Emerald: 0</v>
      </c>
      <c r="J3" s="727"/>
      <c r="K3" s="727"/>
      <c r="L3" s="727"/>
      <c r="M3" s="716"/>
      <c r="N3" s="716"/>
      <c r="O3" s="716"/>
      <c r="P3" s="716"/>
      <c r="Q3" s="716"/>
      <c r="R3" s="716"/>
      <c r="S3" s="716"/>
      <c r="T3" s="716"/>
      <c r="U3" s="716"/>
      <c r="V3" s="716"/>
      <c r="W3" s="716"/>
      <c r="X3" s="593" t="s">
        <v>3727</v>
      </c>
      <c r="AF3" s="6" t="s">
        <v>531</v>
      </c>
      <c r="AG3" t="b">
        <f>OR(AE:AE)</f>
        <v>0</v>
      </c>
      <c r="AH3" s="6" t="s">
        <v>810</v>
      </c>
      <c r="AI3" t="b">
        <f ca="1">OR(AD:AD)</f>
        <v>0</v>
      </c>
    </row>
    <row r="4" spans="1:61" x14ac:dyDescent="0.35">
      <c r="H4" s="715"/>
      <c r="I4" s="730" t="str">
        <f>"Total Chapter Points needed for:  Bronze: "&amp;Points!C16&amp;",  Silver: "&amp;Points!D16&amp;",  Gold: "&amp;Points!E16&amp;",  Emerald: "&amp;Points!F16</f>
        <v>Total Chapter Points needed for:  Bronze: 43,  Silver: 59,  Gold: 89,  Emerald: 119</v>
      </c>
      <c r="J4" s="731"/>
      <c r="K4" s="731"/>
      <c r="L4" s="732"/>
      <c r="M4" s="716"/>
      <c r="N4" s="716"/>
      <c r="O4" s="716"/>
      <c r="P4" s="716"/>
      <c r="Q4" s="716"/>
      <c r="R4" s="716"/>
      <c r="S4" s="716"/>
      <c r="T4" s="716"/>
      <c r="U4" s="716"/>
      <c r="V4" s="716"/>
      <c r="W4" s="716"/>
      <c r="X4" s="639" t="s">
        <v>4629</v>
      </c>
      <c r="AF4" s="6"/>
      <c r="AH4" s="6"/>
    </row>
    <row r="5" spans="1:61" x14ac:dyDescent="0.35">
      <c r="H5" s="715"/>
      <c r="I5" s="733" t="str">
        <f>"Revision Date:  "&amp;TEXT('Info &amp; Intro'!E7,"m/d/yyyy")</f>
        <v>Revision Date:  5/26/2023</v>
      </c>
      <c r="J5" s="734"/>
      <c r="K5" s="734"/>
      <c r="L5" s="735"/>
      <c r="M5" s="716"/>
      <c r="N5" s="716"/>
      <c r="O5" s="716"/>
      <c r="P5" s="716"/>
      <c r="Q5" s="716"/>
      <c r="R5" s="716"/>
      <c r="S5" s="716"/>
      <c r="T5" s="716"/>
      <c r="U5" s="716"/>
      <c r="V5" s="716"/>
      <c r="W5" s="716"/>
      <c r="X5" s="639"/>
      <c r="AF5" s="6"/>
      <c r="AH5" s="6"/>
    </row>
    <row r="6" spans="1:61" x14ac:dyDescent="0.35">
      <c r="H6" s="715"/>
      <c r="I6" s="702" t="s">
        <v>261</v>
      </c>
      <c r="J6" s="703"/>
      <c r="K6" s="704"/>
      <c r="L6" s="705" t="s">
        <v>1307</v>
      </c>
      <c r="M6" s="705" t="s">
        <v>262</v>
      </c>
      <c r="N6" s="705"/>
      <c r="O6" s="23" t="s">
        <v>336</v>
      </c>
      <c r="P6" s="705" t="s">
        <v>4626</v>
      </c>
      <c r="Q6" s="705" t="s">
        <v>327</v>
      </c>
      <c r="R6" s="705" t="s">
        <v>263</v>
      </c>
      <c r="S6" s="705" t="s">
        <v>264</v>
      </c>
      <c r="T6" s="705" t="s">
        <v>0</v>
      </c>
      <c r="U6" s="705" t="s">
        <v>4627</v>
      </c>
      <c r="V6" s="705"/>
      <c r="W6" s="705" t="s">
        <v>265</v>
      </c>
      <c r="X6" s="728" t="s">
        <v>1</v>
      </c>
      <c r="AC6" s="2" t="s">
        <v>325</v>
      </c>
      <c r="AD6" s="2" t="s">
        <v>0</v>
      </c>
      <c r="AE6" s="2" t="s">
        <v>324</v>
      </c>
    </row>
    <row r="7" spans="1:61" x14ac:dyDescent="0.35">
      <c r="H7" s="715"/>
      <c r="I7" s="702"/>
      <c r="J7" s="703"/>
      <c r="K7" s="704"/>
      <c r="L7" s="705"/>
      <c r="M7" s="705"/>
      <c r="N7" s="705"/>
      <c r="O7" s="23" t="s">
        <v>337</v>
      </c>
      <c r="P7" s="705"/>
      <c r="Q7" s="705"/>
      <c r="R7" s="705"/>
      <c r="S7" s="705"/>
      <c r="T7" s="705"/>
      <c r="U7" s="705"/>
      <c r="V7" s="705"/>
      <c r="W7" s="705"/>
      <c r="X7" s="729"/>
      <c r="AC7" s="2" t="s">
        <v>325</v>
      </c>
      <c r="AD7" s="2" t="s">
        <v>0</v>
      </c>
      <c r="AE7" s="2" t="s">
        <v>324</v>
      </c>
    </row>
    <row r="8" spans="1:61" hidden="1" x14ac:dyDescent="0.35">
      <c r="I8" s="548"/>
      <c r="J8" s="548"/>
      <c r="K8" s="548"/>
      <c r="L8" s="22"/>
      <c r="M8" s="22"/>
      <c r="N8" s="22"/>
      <c r="O8" s="23"/>
      <c r="P8" s="22"/>
      <c r="Q8" s="22"/>
      <c r="R8" s="22"/>
      <c r="S8" s="22"/>
      <c r="T8" s="22"/>
      <c r="U8" s="22"/>
      <c r="V8" s="22"/>
      <c r="W8" s="22"/>
      <c r="X8" s="548"/>
      <c r="AC8" s="2"/>
      <c r="AD8" s="2"/>
      <c r="AE8" s="2"/>
    </row>
    <row r="9" spans="1:61" ht="18.5" x14ac:dyDescent="0.45">
      <c r="A9" s="12" t="s">
        <v>260</v>
      </c>
      <c r="B9" s="12" t="s">
        <v>260</v>
      </c>
      <c r="C9" s="12" t="s">
        <v>260</v>
      </c>
      <c r="D9" s="12" t="s">
        <v>260</v>
      </c>
      <c r="E9" s="12" t="s">
        <v>260</v>
      </c>
      <c r="F9" s="12" t="s">
        <v>260</v>
      </c>
      <c r="G9" s="12" t="s">
        <v>260</v>
      </c>
      <c r="H9" s="552"/>
      <c r="I9" s="14" t="s">
        <v>533</v>
      </c>
      <c r="J9" s="14"/>
      <c r="K9" s="14"/>
      <c r="L9" s="15"/>
      <c r="M9" s="16"/>
      <c r="N9" t="s">
        <v>260</v>
      </c>
      <c r="O9" s="16"/>
      <c r="P9" t="s">
        <v>260</v>
      </c>
      <c r="Q9" t="s">
        <v>260</v>
      </c>
      <c r="R9" t="s">
        <v>260</v>
      </c>
      <c r="S9" t="s">
        <v>260</v>
      </c>
      <c r="T9" t="s">
        <v>260</v>
      </c>
      <c r="U9" t="s">
        <v>260</v>
      </c>
      <c r="V9" t="s">
        <v>260</v>
      </c>
      <c r="W9" s="15"/>
      <c r="X9" s="15"/>
      <c r="Y9" s="21" t="s">
        <v>260</v>
      </c>
      <c r="Z9" s="21" t="s">
        <v>260</v>
      </c>
      <c r="AA9" s="21" t="s">
        <v>260</v>
      </c>
      <c r="AB9" s="21" t="s">
        <v>260</v>
      </c>
      <c r="AC9" s="21" t="s">
        <v>260</v>
      </c>
      <c r="AD9" s="21" t="s">
        <v>260</v>
      </c>
      <c r="AE9" s="21" t="s">
        <v>260</v>
      </c>
      <c r="AF9" s="21" t="s">
        <v>260</v>
      </c>
      <c r="AG9" s="21" t="s">
        <v>260</v>
      </c>
      <c r="AH9" s="21" t="s">
        <v>260</v>
      </c>
      <c r="AI9" s="21" t="s">
        <v>260</v>
      </c>
      <c r="AJ9" s="21" t="s">
        <v>260</v>
      </c>
      <c r="AK9" s="21" t="s">
        <v>260</v>
      </c>
      <c r="AL9" s="21" t="s">
        <v>260</v>
      </c>
      <c r="AM9" s="21" t="s">
        <v>260</v>
      </c>
      <c r="AN9" s="21" t="s">
        <v>260</v>
      </c>
      <c r="AO9" s="21" t="s">
        <v>260</v>
      </c>
      <c r="AP9" s="21" t="s">
        <v>260</v>
      </c>
      <c r="AQ9" s="21" t="s">
        <v>260</v>
      </c>
      <c r="AR9" s="21" t="s">
        <v>260</v>
      </c>
      <c r="AS9" s="21" t="s">
        <v>260</v>
      </c>
      <c r="AT9" s="21" t="s">
        <v>260</v>
      </c>
      <c r="AU9" s="21" t="s">
        <v>260</v>
      </c>
      <c r="AV9" s="21" t="s">
        <v>260</v>
      </c>
      <c r="AW9" s="21" t="s">
        <v>260</v>
      </c>
      <c r="AX9" s="21" t="s">
        <v>260</v>
      </c>
      <c r="AY9" s="21" t="s">
        <v>260</v>
      </c>
      <c r="AZ9" s="21" t="s">
        <v>260</v>
      </c>
      <c r="BA9" s="21" t="s">
        <v>260</v>
      </c>
      <c r="BB9" s="21" t="s">
        <v>260</v>
      </c>
      <c r="BC9" s="21" t="s">
        <v>260</v>
      </c>
      <c r="BD9" s="21" t="s">
        <v>260</v>
      </c>
      <c r="BE9" s="21" t="s">
        <v>260</v>
      </c>
      <c r="BF9" s="21" t="s">
        <v>260</v>
      </c>
      <c r="BG9" s="21" t="s">
        <v>260</v>
      </c>
      <c r="BH9" s="21" t="s">
        <v>260</v>
      </c>
      <c r="BI9" s="21" t="s">
        <v>260</v>
      </c>
    </row>
    <row r="10" spans="1:61" x14ac:dyDescent="0.35">
      <c r="B10" s="40" t="s">
        <v>534</v>
      </c>
      <c r="C10" s="13"/>
      <c r="D10" s="13"/>
      <c r="E10" s="13"/>
      <c r="F10" s="13"/>
      <c r="G10" s="13"/>
      <c r="H10" s="550"/>
      <c r="I10" s="41" t="s">
        <v>534</v>
      </c>
      <c r="J10" s="19"/>
      <c r="K10" s="50"/>
      <c r="L10" s="706" t="s">
        <v>535</v>
      </c>
      <c r="M10" s="43"/>
    </row>
    <row r="11" spans="1:61" x14ac:dyDescent="0.35">
      <c r="B11" s="40" t="s">
        <v>534</v>
      </c>
      <c r="C11" s="13"/>
      <c r="D11" s="13"/>
      <c r="E11" s="13"/>
      <c r="F11" s="13"/>
      <c r="G11" s="13"/>
      <c r="H11" s="550"/>
      <c r="I11" s="32"/>
      <c r="J11" s="4"/>
      <c r="K11" s="46"/>
      <c r="L11" s="706"/>
      <c r="M11" s="43"/>
      <c r="AX11" s="6" t="str">
        <f>'Overview (Design)'!A10</f>
        <v>Builder Name:</v>
      </c>
      <c r="AY11" t="str">
        <f>'Overview (Design)'!G10</f>
        <v>ABC Builder</v>
      </c>
    </row>
    <row r="12" spans="1:61" ht="15" thickBot="1" x14ac:dyDescent="0.4">
      <c r="B12" s="40" t="s">
        <v>534</v>
      </c>
      <c r="C12" s="13"/>
      <c r="D12" s="13"/>
      <c r="E12" s="13"/>
      <c r="F12" s="13"/>
      <c r="G12" s="13"/>
      <c r="H12" s="550"/>
      <c r="I12" s="32"/>
      <c r="J12" s="4"/>
      <c r="K12" s="46"/>
      <c r="L12" s="706"/>
      <c r="M12" s="43"/>
      <c r="AX12" s="6" t="str">
        <f>'Overview (Design)'!A11</f>
        <v>Physical Address of Home:</v>
      </c>
      <c r="AY12" t="str">
        <f>'Overview (Design)'!G11</f>
        <v>123 Example Drive</v>
      </c>
    </row>
    <row r="13" spans="1:61" ht="15" thickTop="1" x14ac:dyDescent="0.35">
      <c r="B13" s="40">
        <v>601.1</v>
      </c>
      <c r="C13" s="13"/>
      <c r="D13" s="13"/>
      <c r="E13" s="13"/>
      <c r="F13" s="13"/>
      <c r="G13" s="13"/>
      <c r="H13" s="550"/>
      <c r="I13" s="123">
        <v>601.1</v>
      </c>
      <c r="J13" s="124"/>
      <c r="K13" s="125"/>
      <c r="L13" s="711" t="s">
        <v>536</v>
      </c>
      <c r="M13" s="199"/>
      <c r="N13" s="124"/>
      <c r="O13" s="694">
        <f>IFERROR(INDEX({14,12,9,6,3,0},MATCH(AY23,{1,701,1001,1501,2001,2501,100000},1)),0)</f>
        <v>0</v>
      </c>
      <c r="P13" s="62"/>
      <c r="Q13" s="62"/>
      <c r="R13" s="62"/>
      <c r="S13" s="62"/>
      <c r="T13" s="62"/>
      <c r="U13" s="62"/>
      <c r="V13" s="62"/>
      <c r="W13" s="62"/>
      <c r="X13" s="687"/>
      <c r="AN13" t="str">
        <f>SUBSTITUTE(SUBSTITUTE(SUBSTITUTE("dpc"&amp;$B13&amp;$C13&amp;$D13&amp;$E13&amp;$F13,".","_"),"(","_"),")","")</f>
        <v>dpc601_1</v>
      </c>
      <c r="AO13">
        <f>O13</f>
        <v>0</v>
      </c>
      <c r="AR13" t="str">
        <f>SUBSTITUTE(SUBSTITUTE(SUBSTITUTE("dnt"&amp;$B13&amp;$C13&amp;$D13&amp;$E13&amp;$F13,".","_"),"(","_"),")","")</f>
        <v>dnt601_1</v>
      </c>
      <c r="AS13">
        <f>X13</f>
        <v>0</v>
      </c>
      <c r="AX13" s="6" t="str">
        <f>'Overview (Design)'!A12</f>
        <v>Community/Lot #:</v>
      </c>
      <c r="AY13" t="str">
        <f>'Overview (Design)'!G12</f>
        <v>Lot 1A</v>
      </c>
    </row>
    <row r="14" spans="1:61" x14ac:dyDescent="0.35">
      <c r="B14" s="40">
        <v>601.1</v>
      </c>
      <c r="C14" s="13"/>
      <c r="D14" s="13"/>
      <c r="E14" s="13"/>
      <c r="F14" s="13"/>
      <c r="G14" s="13"/>
      <c r="H14" s="550"/>
      <c r="I14" s="32"/>
      <c r="J14" s="4"/>
      <c r="K14" s="46"/>
      <c r="L14" s="706"/>
      <c r="M14" s="43"/>
      <c r="N14" s="4"/>
      <c r="O14" s="696"/>
      <c r="X14" s="688"/>
      <c r="AX14" s="6" t="str">
        <f>'Overview (Design)'!A13</f>
        <v>City:</v>
      </c>
      <c r="AY14" t="str">
        <f>'Overview (Design)'!G13</f>
        <v>Durham</v>
      </c>
    </row>
    <row r="15" spans="1:61" x14ac:dyDescent="0.35">
      <c r="B15" s="40">
        <v>601.1</v>
      </c>
      <c r="C15" s="13"/>
      <c r="D15" s="13"/>
      <c r="E15" s="13"/>
      <c r="F15" s="13"/>
      <c r="G15" s="13"/>
      <c r="H15" s="550"/>
      <c r="I15" s="32"/>
      <c r="J15" s="4"/>
      <c r="K15" s="46"/>
      <c r="L15" s="706"/>
      <c r="M15" s="43"/>
      <c r="N15" s="4"/>
      <c r="O15" s="696"/>
      <c r="X15" s="688"/>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40">
        <v>601.1</v>
      </c>
      <c r="C16" s="13"/>
      <c r="D16" s="13"/>
      <c r="E16" s="13"/>
      <c r="F16" s="13"/>
      <c r="G16" s="13"/>
      <c r="H16" s="550"/>
      <c r="I16" s="32"/>
      <c r="J16" s="4"/>
      <c r="K16" s="46"/>
      <c r="L16" s="706"/>
      <c r="M16" s="43"/>
      <c r="N16" s="4"/>
      <c r="O16" s="696"/>
      <c r="X16" s="688"/>
      <c r="AC16" t="b">
        <f>OR(AD16:AE16)</f>
        <v>0</v>
      </c>
      <c r="AD16" t="b">
        <v>0</v>
      </c>
      <c r="AE16" t="b">
        <v>0</v>
      </c>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2" x14ac:dyDescent="0.35">
      <c r="B17" s="40">
        <v>601.1</v>
      </c>
      <c r="C17" s="13"/>
      <c r="D17" s="13"/>
      <c r="E17" s="13" t="s">
        <v>270</v>
      </c>
      <c r="F17" s="13"/>
      <c r="G17" s="13"/>
      <c r="H17" s="550"/>
      <c r="I17" s="32"/>
      <c r="J17" s="148" t="s">
        <v>270</v>
      </c>
      <c r="K17" s="116"/>
      <c r="L17" s="193" t="s">
        <v>537</v>
      </c>
      <c r="M17" s="198">
        <v>14</v>
      </c>
      <c r="N17" s="4"/>
      <c r="O17" s="85"/>
      <c r="X17" s="688"/>
      <c r="AL17" t="str">
        <f>SUBSTITUTE(SUBSTITUTE(SUBSTITUTE("dpa"&amp;$B17&amp;$C17&amp;$D17&amp;$E17&amp;$F17,".","_"),"(","_"),")","")</f>
        <v>dpa601_1_1</v>
      </c>
      <c r="AM17">
        <f>M17</f>
        <v>14</v>
      </c>
      <c r="AX17" s="6" t="str">
        <f>'Overview (Design)'!A16</f>
        <v>Zip:</v>
      </c>
      <c r="AY17" t="str">
        <f>'Overview (Design)'!G16</f>
        <v>27703</v>
      </c>
    </row>
    <row r="18" spans="2:52" x14ac:dyDescent="0.35">
      <c r="B18" s="40">
        <v>601.1</v>
      </c>
      <c r="C18" s="13"/>
      <c r="D18" s="13"/>
      <c r="E18" s="13" t="s">
        <v>272</v>
      </c>
      <c r="F18" s="13"/>
      <c r="G18" s="13"/>
      <c r="H18" s="550"/>
      <c r="I18" s="32"/>
      <c r="J18" s="150" t="s">
        <v>272</v>
      </c>
      <c r="K18" s="151"/>
      <c r="L18" s="219" t="s">
        <v>538</v>
      </c>
      <c r="M18" s="153">
        <v>12</v>
      </c>
      <c r="N18" s="4"/>
      <c r="O18" s="85"/>
      <c r="X18" s="688"/>
      <c r="AL18" t="str">
        <f>SUBSTITUTE(SUBSTITUTE(SUBSTITUTE("dpa"&amp;$B18&amp;$C18&amp;$D18&amp;$E18&amp;$F18,".","_"),"(","_"),")","")</f>
        <v>dpa601_1_2</v>
      </c>
      <c r="AM18">
        <f>M18</f>
        <v>12</v>
      </c>
      <c r="AX18" s="6"/>
    </row>
    <row r="19" spans="2:52" x14ac:dyDescent="0.35">
      <c r="B19" s="40">
        <v>601.1</v>
      </c>
      <c r="C19" s="13"/>
      <c r="D19" s="13"/>
      <c r="E19" s="13" t="s">
        <v>274</v>
      </c>
      <c r="F19" s="13"/>
      <c r="G19" s="13"/>
      <c r="H19" s="550"/>
      <c r="I19" s="32"/>
      <c r="J19" s="150" t="s">
        <v>274</v>
      </c>
      <c r="K19" s="151"/>
      <c r="L19" s="219" t="s">
        <v>539</v>
      </c>
      <c r="M19" s="153">
        <v>9</v>
      </c>
      <c r="N19" s="4"/>
      <c r="O19" s="85"/>
      <c r="X19" s="688"/>
      <c r="AL19" t="str">
        <f t="shared" ref="AL19:AL21" si="0">SUBSTITUTE(SUBSTITUTE(SUBSTITUTE("dpa"&amp;$B19&amp;$C19&amp;$D19&amp;$E19&amp;$F19,".","_"),"(","_"),")","")</f>
        <v>dpa601_1_3</v>
      </c>
      <c r="AM19">
        <f>M19</f>
        <v>9</v>
      </c>
      <c r="AX19" s="6" t="str">
        <f>'Overview (Design)'!A18</f>
        <v>Single-Family or Multifamily:</v>
      </c>
      <c r="AY19" t="str">
        <f>'Overview (Design)'!G18</f>
        <v>Single-Family</v>
      </c>
    </row>
    <row r="20" spans="2:52" x14ac:dyDescent="0.35">
      <c r="B20" s="40">
        <v>601.1</v>
      </c>
      <c r="C20" s="13"/>
      <c r="D20" s="13"/>
      <c r="E20" s="13" t="s">
        <v>283</v>
      </c>
      <c r="F20" s="13"/>
      <c r="G20" s="13"/>
      <c r="H20" s="550"/>
      <c r="I20" s="32"/>
      <c r="J20" s="150" t="s">
        <v>283</v>
      </c>
      <c r="K20" s="151"/>
      <c r="L20" s="219" t="s">
        <v>540</v>
      </c>
      <c r="M20" s="153">
        <v>6</v>
      </c>
      <c r="N20" s="4"/>
      <c r="O20" s="85"/>
      <c r="X20" s="688"/>
      <c r="AL20" t="str">
        <f t="shared" si="0"/>
        <v>dpa601_1_4</v>
      </c>
      <c r="AM20">
        <f>M20</f>
        <v>6</v>
      </c>
      <c r="AX20" s="6" t="str">
        <f>'Overview (Design)'!A19</f>
        <v>Number of Units:</v>
      </c>
      <c r="AY20">
        <f>'Overview (Design)'!G19</f>
        <v>0</v>
      </c>
    </row>
    <row r="21" spans="2:52" x14ac:dyDescent="0.35">
      <c r="B21" s="40">
        <v>601.1</v>
      </c>
      <c r="C21" s="13"/>
      <c r="D21" s="13"/>
      <c r="E21" s="13" t="s">
        <v>289</v>
      </c>
      <c r="F21" s="13"/>
      <c r="G21" s="13"/>
      <c r="H21" s="550"/>
      <c r="I21" s="32"/>
      <c r="J21" s="150" t="s">
        <v>289</v>
      </c>
      <c r="K21" s="151"/>
      <c r="L21" s="219" t="s">
        <v>541</v>
      </c>
      <c r="M21" s="153">
        <v>3</v>
      </c>
      <c r="N21" s="4"/>
      <c r="O21" s="85"/>
      <c r="X21" s="688"/>
      <c r="AL21" t="str">
        <f t="shared" si="0"/>
        <v>dpa601_1_5</v>
      </c>
      <c r="AM21">
        <f>M21</f>
        <v>3</v>
      </c>
      <c r="AX21" s="6" t="str">
        <f>'Overview (Design)'!A20</f>
        <v>Project Name:</v>
      </c>
      <c r="AY21">
        <f>'Overview (Design)'!G20</f>
        <v>0</v>
      </c>
    </row>
    <row r="22" spans="2:52" x14ac:dyDescent="0.35">
      <c r="B22" s="40">
        <v>601.1</v>
      </c>
      <c r="C22" s="13"/>
      <c r="D22" s="13"/>
      <c r="E22" s="13" t="s">
        <v>291</v>
      </c>
      <c r="F22" s="13"/>
      <c r="G22" s="13"/>
      <c r="H22" s="550"/>
      <c r="I22" s="32"/>
      <c r="J22" s="19" t="s">
        <v>291</v>
      </c>
      <c r="K22" s="46"/>
      <c r="L22" s="103" t="s">
        <v>542</v>
      </c>
      <c r="M22" s="556" t="str">
        <f>IF(AY23&gt;4000,"Mandatory","N/A")</f>
        <v>N/A</v>
      </c>
      <c r="N22" s="4"/>
      <c r="O22" s="85"/>
      <c r="X22" s="688"/>
      <c r="AX22" s="6"/>
    </row>
    <row r="23" spans="2:52" x14ac:dyDescent="0.35">
      <c r="B23" s="40">
        <v>601.1</v>
      </c>
      <c r="C23" s="13"/>
      <c r="D23" s="13"/>
      <c r="E23" s="13" t="s">
        <v>291</v>
      </c>
      <c r="F23" s="13"/>
      <c r="G23" s="13"/>
      <c r="H23" s="550"/>
      <c r="I23" s="32"/>
      <c r="J23" s="4"/>
      <c r="K23" s="46"/>
      <c r="L23" s="706" t="s">
        <v>543</v>
      </c>
      <c r="M23" s="127" t="s">
        <v>1298</v>
      </c>
      <c r="N23" s="4"/>
      <c r="O23" s="85"/>
      <c r="X23" s="688"/>
      <c r="AX23" s="6" t="str">
        <f>'Overview (Design)'!A22</f>
        <v>Above grade plane finished floor area:</v>
      </c>
      <c r="AY23">
        <f>'Overview (Design)'!G22</f>
        <v>2644</v>
      </c>
    </row>
    <row r="24" spans="2:52" x14ac:dyDescent="0.35">
      <c r="B24" s="40">
        <v>601.1</v>
      </c>
      <c r="C24" s="13"/>
      <c r="D24" s="13"/>
      <c r="E24" s="13" t="s">
        <v>291</v>
      </c>
      <c r="F24" s="13"/>
      <c r="G24" s="13"/>
      <c r="H24" s="550"/>
      <c r="I24" s="32"/>
      <c r="J24" s="4"/>
      <c r="K24" s="46"/>
      <c r="L24" s="706"/>
      <c r="M24" s="127">
        <f>MAX(0,ROUNDDOWN((AY23-4000)/100,0))</f>
        <v>0</v>
      </c>
      <c r="N24" s="4"/>
      <c r="O24" s="85"/>
      <c r="X24" s="688"/>
      <c r="AX24" s="6" t="str">
        <f>'Overview (Design)'!A23</f>
        <v>Total conditioned floor area:</v>
      </c>
      <c r="AY24">
        <f>'Overview (Design)'!G23</f>
        <v>2644</v>
      </c>
    </row>
    <row r="25" spans="2:52" ht="15" customHeight="1" x14ac:dyDescent="0.35">
      <c r="B25" s="40">
        <v>601.1</v>
      </c>
      <c r="C25" s="13"/>
      <c r="D25" s="13"/>
      <c r="E25" s="13" t="s">
        <v>291</v>
      </c>
      <c r="F25" s="13"/>
      <c r="G25" s="13"/>
      <c r="H25" s="550"/>
      <c r="I25" s="32"/>
      <c r="J25" s="4"/>
      <c r="L25" s="714" t="s">
        <v>4096</v>
      </c>
      <c r="M25" s="43"/>
      <c r="N25" s="4"/>
      <c r="O25" s="85"/>
      <c r="X25" s="688"/>
      <c r="AX25" s="6" t="str">
        <f>'Overview (Design)'!A24</f>
        <v>Stories above grade:</v>
      </c>
      <c r="AY25">
        <f>'Overview (Design)'!G24</f>
        <v>2</v>
      </c>
    </row>
    <row r="26" spans="2:52" ht="15" thickBot="1" x14ac:dyDescent="0.4">
      <c r="B26" s="40">
        <v>601.1</v>
      </c>
      <c r="C26" s="13"/>
      <c r="D26" s="13"/>
      <c r="E26" s="13" t="s">
        <v>291</v>
      </c>
      <c r="F26" s="13"/>
      <c r="G26" s="13"/>
      <c r="H26" s="550"/>
      <c r="I26" s="32"/>
      <c r="J26" s="4"/>
      <c r="K26" s="147"/>
      <c r="L26" s="714"/>
      <c r="M26" s="43"/>
      <c r="N26" s="4"/>
      <c r="O26" s="85"/>
      <c r="X26" s="698"/>
    </row>
    <row r="27" spans="2:52" ht="15" thickTop="1" x14ac:dyDescent="0.35">
      <c r="B27" s="40">
        <v>601.20000000000005</v>
      </c>
      <c r="C27" s="13"/>
      <c r="D27" s="13"/>
      <c r="E27" s="13"/>
      <c r="F27" s="13"/>
      <c r="G27" s="13"/>
      <c r="H27" s="550"/>
      <c r="I27" s="123">
        <v>601.20000000000005</v>
      </c>
      <c r="J27" s="124"/>
      <c r="K27" s="125"/>
      <c r="L27" s="711" t="s">
        <v>544</v>
      </c>
      <c r="M27" s="199"/>
      <c r="N27" s="124"/>
      <c r="O27" s="341"/>
      <c r="P27" s="62"/>
      <c r="Q27" s="62"/>
      <c r="R27" s="62"/>
      <c r="S27" s="62"/>
      <c r="T27" s="62"/>
      <c r="U27" s="62"/>
      <c r="V27" s="62"/>
      <c r="W27" s="62"/>
      <c r="X27" s="128"/>
      <c r="AX27" s="6" t="str">
        <f>'Overview (Design)'!A26</f>
        <v xml:space="preserve">Project Description (optional): </v>
      </c>
      <c r="AY27">
        <f>'Overview (Design)'!G26</f>
        <v>0</v>
      </c>
    </row>
    <row r="28" spans="2:52" x14ac:dyDescent="0.35">
      <c r="B28" s="40">
        <v>601.20000000000005</v>
      </c>
      <c r="C28" s="13"/>
      <c r="D28" s="13"/>
      <c r="E28" s="13"/>
      <c r="F28" s="13"/>
      <c r="G28" s="13"/>
      <c r="H28" s="550"/>
      <c r="I28" s="32"/>
      <c r="J28" s="4"/>
      <c r="K28" s="46"/>
      <c r="L28" s="706"/>
      <c r="M28" s="43"/>
      <c r="N28" s="4"/>
      <c r="O28" s="85"/>
      <c r="X28" s="68"/>
    </row>
    <row r="29" spans="2:52" x14ac:dyDescent="0.35">
      <c r="B29" s="40">
        <v>601.20000000000005</v>
      </c>
      <c r="C29" s="13"/>
      <c r="D29" s="13"/>
      <c r="E29" s="13" t="s">
        <v>270</v>
      </c>
      <c r="F29" s="13"/>
      <c r="G29" s="13"/>
      <c r="H29" s="550"/>
      <c r="I29" s="32"/>
      <c r="J29" s="19" t="s">
        <v>270</v>
      </c>
      <c r="K29" s="46"/>
      <c r="L29" s="707" t="s">
        <v>546</v>
      </c>
      <c r="M29" s="690">
        <v>3</v>
      </c>
      <c r="N29" s="4"/>
      <c r="O29" s="696">
        <f>M29*S29*W29</f>
        <v>3</v>
      </c>
      <c r="P29" t="b">
        <v>1</v>
      </c>
      <c r="Q29" t="b">
        <v>0</v>
      </c>
      <c r="R29" t="b">
        <v>0</v>
      </c>
      <c r="S29" t="b">
        <v>1</v>
      </c>
      <c r="T29" t="b">
        <v>0</v>
      </c>
      <c r="W29" s="17" t="b">
        <v>1</v>
      </c>
      <c r="X29" s="688" t="s">
        <v>4842</v>
      </c>
      <c r="AL29" t="str">
        <f>SUBSTITUTE(SUBSTITUTE(SUBSTITUTE("dpa"&amp;$B29&amp;$C29&amp;$D29&amp;$E29&amp;$F29,".","_"),"(","_"),")","")</f>
        <v>dpa601_2_1</v>
      </c>
      <c r="AM29">
        <f>M29</f>
        <v>3</v>
      </c>
      <c r="AN29" t="str">
        <f>SUBSTITUTE(SUBSTITUTE(SUBSTITUTE("dpc"&amp;$B29&amp;$C29&amp;$D29&amp;$E29&amp;$F29,".","_"),"(","_"),")","")</f>
        <v>dpc601_2_1</v>
      </c>
      <c r="AO29">
        <f>O29</f>
        <v>3</v>
      </c>
      <c r="AP29" t="str">
        <f t="shared" ref="AP29" si="1">SUBSTITUTE(SUBSTITUTE(SUBSTITUTE("dch"&amp;$B29&amp;$C29&amp;$D29&amp;$E29&amp;$F29,".","_"),"(","_"),")","")</f>
        <v>dch601_2_1</v>
      </c>
      <c r="AQ29" t="b">
        <f>W29</f>
        <v>1</v>
      </c>
      <c r="AR29" t="str">
        <f>SUBSTITUTE(SUBSTITUTE(SUBSTITUTE("dnt"&amp;$B29&amp;$C29&amp;$D29&amp;$E29&amp;$F29,".","_"),"(","_"),")","")</f>
        <v>dnt601_2_1</v>
      </c>
      <c r="AS29" t="str">
        <f>X29</f>
        <v>Weyerhaeuser Trus Joist® TJI® Joist</v>
      </c>
      <c r="AX29" s="6" t="str">
        <f>'Overview (Design)'!A28</f>
        <v>HERS Index (if available):</v>
      </c>
      <c r="AY29">
        <f>'Overview (Design)'!G28</f>
        <v>0</v>
      </c>
    </row>
    <row r="30" spans="2:52" x14ac:dyDescent="0.35">
      <c r="B30" s="40">
        <v>601.20000000000005</v>
      </c>
      <c r="C30" s="13"/>
      <c r="D30" s="13"/>
      <c r="E30" s="13" t="s">
        <v>270</v>
      </c>
      <c r="F30" s="13"/>
      <c r="G30" s="13"/>
      <c r="H30" s="550"/>
      <c r="I30" s="32"/>
      <c r="J30" s="4"/>
      <c r="K30" s="46"/>
      <c r="L30" s="707"/>
      <c r="M30" s="690"/>
      <c r="N30" s="4"/>
      <c r="O30" s="696"/>
      <c r="X30" s="688"/>
      <c r="AX30" s="6" t="str">
        <f>'Overview (Design)'!A29</f>
        <v>Foundation Type:</v>
      </c>
      <c r="AY30" t="str">
        <f>'Overview (Design)'!G29</f>
        <v>Conditioned crawlspace</v>
      </c>
      <c r="AZ30" s="1">
        <f>IFERROR(MATCH(AY30,ddFoundation,0),0)</f>
        <v>3</v>
      </c>
    </row>
    <row r="31" spans="2:52" x14ac:dyDescent="0.35">
      <c r="B31" s="40">
        <v>601.20000000000005</v>
      </c>
      <c r="C31" s="13"/>
      <c r="D31" s="13"/>
      <c r="E31" s="13" t="s">
        <v>270</v>
      </c>
      <c r="F31" s="13"/>
      <c r="G31" s="13"/>
      <c r="H31" s="550"/>
      <c r="I31" s="32"/>
      <c r="J31" s="155"/>
      <c r="K31" s="116"/>
      <c r="L31" s="709"/>
      <c r="M31" s="691"/>
      <c r="N31" s="155"/>
      <c r="O31" s="697"/>
      <c r="X31" s="688"/>
      <c r="AX31" s="6"/>
    </row>
    <row r="32" spans="2:52" x14ac:dyDescent="0.35">
      <c r="B32" s="40">
        <v>601.20000000000005</v>
      </c>
      <c r="C32" s="13"/>
      <c r="D32" s="13"/>
      <c r="E32" s="13" t="s">
        <v>272</v>
      </c>
      <c r="F32" s="13"/>
      <c r="G32" s="13"/>
      <c r="H32" s="550"/>
      <c r="I32" s="32"/>
      <c r="J32" s="19" t="s">
        <v>272</v>
      </c>
      <c r="K32" s="46"/>
      <c r="L32" s="707" t="s">
        <v>547</v>
      </c>
      <c r="M32" s="690">
        <v>3</v>
      </c>
      <c r="N32" s="4"/>
      <c r="O32" s="696">
        <f>M32*S32*W32</f>
        <v>0</v>
      </c>
      <c r="P32" t="b">
        <v>1</v>
      </c>
      <c r="Q32" t="b">
        <v>0</v>
      </c>
      <c r="R32" t="b">
        <v>0</v>
      </c>
      <c r="S32" t="b">
        <v>1</v>
      </c>
      <c r="T32" t="b">
        <v>0</v>
      </c>
      <c r="W32" s="17"/>
      <c r="X32" s="688"/>
      <c r="AL32" t="str">
        <f>SUBSTITUTE(SUBSTITUTE(SUBSTITUTE("dpa"&amp;$B32&amp;$C32&amp;$D32&amp;$E32&amp;$F32,".","_"),"(","_"),")","")</f>
        <v>dpa601_2_2</v>
      </c>
      <c r="AM32">
        <f>M32</f>
        <v>3</v>
      </c>
      <c r="AN32" t="str">
        <f>SUBSTITUTE(SUBSTITUTE(SUBSTITUTE("dpc"&amp;$B32&amp;$C32&amp;$D32&amp;$E32&amp;$F32,".","_"),"(","_"),")","")</f>
        <v>dpc601_2_2</v>
      </c>
      <c r="AO32">
        <f>O32</f>
        <v>0</v>
      </c>
      <c r="AP32" t="str">
        <f t="shared" ref="AP32" si="2">SUBSTITUTE(SUBSTITUTE(SUBSTITUTE("dch"&amp;$B32&amp;$C32&amp;$D32&amp;$E32&amp;$F32,".","_"),"(","_"),")","")</f>
        <v>dch601_2_2</v>
      </c>
      <c r="AQ32">
        <f>W32</f>
        <v>0</v>
      </c>
      <c r="AR32" t="str">
        <f>SUBSTITUTE(SUBSTITUTE(SUBSTITUTE("dnt"&amp;$B32&amp;$C32&amp;$D32&amp;$E32&amp;$F32,".","_"),"(","_"),")","")</f>
        <v>dnt601_2_2</v>
      </c>
      <c r="AS32">
        <f>X32</f>
        <v>0</v>
      </c>
      <c r="AX32" s="6" t="str">
        <f>'Overview (Design)'!A31</f>
        <v>Type of Heating System (main system):</v>
      </c>
      <c r="AY32" t="str">
        <f>'Overview (Design)'!G31</f>
        <v>Furnace</v>
      </c>
    </row>
    <row r="33" spans="2:51" x14ac:dyDescent="0.35">
      <c r="B33" s="40">
        <v>601.20000000000005</v>
      </c>
      <c r="C33" s="13"/>
      <c r="D33" s="13"/>
      <c r="E33" s="13" t="s">
        <v>272</v>
      </c>
      <c r="F33" s="13"/>
      <c r="G33" s="13"/>
      <c r="H33" s="550"/>
      <c r="I33" s="32"/>
      <c r="J33" s="4"/>
      <c r="K33" s="46"/>
      <c r="L33" s="707"/>
      <c r="M33" s="690"/>
      <c r="N33" s="4"/>
      <c r="O33" s="696"/>
      <c r="X33" s="688"/>
      <c r="AX33" s="6" t="str">
        <f>'Overview (Design)'!A32</f>
        <v>Type of Heating System (system 2):</v>
      </c>
      <c r="AY33">
        <f>'Overview (Design)'!G32</f>
        <v>0</v>
      </c>
    </row>
    <row r="34" spans="2:51" x14ac:dyDescent="0.35">
      <c r="B34" s="40">
        <v>601.20000000000005</v>
      </c>
      <c r="C34" s="13"/>
      <c r="D34" s="13"/>
      <c r="E34" s="13" t="s">
        <v>272</v>
      </c>
      <c r="F34" s="13"/>
      <c r="G34" s="13"/>
      <c r="H34" s="550"/>
      <c r="I34" s="32"/>
      <c r="J34" s="155"/>
      <c r="K34" s="116"/>
      <c r="L34" s="709"/>
      <c r="M34" s="691"/>
      <c r="N34" s="155"/>
      <c r="O34" s="697"/>
      <c r="X34" s="688"/>
      <c r="AX34" s="6" t="str">
        <f>'Overview (Design)'!A33</f>
        <v>Type of Heating System (system 3):</v>
      </c>
      <c r="AY34">
        <f>'Overview (Design)'!G33</f>
        <v>0</v>
      </c>
    </row>
    <row r="35" spans="2:51" ht="15" customHeight="1" thickBot="1" x14ac:dyDescent="0.4">
      <c r="B35" s="40">
        <v>601.20000000000005</v>
      </c>
      <c r="C35" s="13"/>
      <c r="D35" s="13"/>
      <c r="E35" s="13" t="s">
        <v>274</v>
      </c>
      <c r="F35" s="13"/>
      <c r="G35" s="13"/>
      <c r="H35" s="550"/>
      <c r="I35" s="32"/>
      <c r="J35" s="19" t="s">
        <v>274</v>
      </c>
      <c r="K35" s="46"/>
      <c r="L35" s="104" t="s">
        <v>548</v>
      </c>
      <c r="M35" s="43">
        <v>3</v>
      </c>
      <c r="N35" s="4"/>
      <c r="O35" s="85">
        <f>M35*S35*W35</f>
        <v>0</v>
      </c>
      <c r="P35" t="b">
        <v>1</v>
      </c>
      <c r="Q35" t="b">
        <v>0</v>
      </c>
      <c r="R35" t="b">
        <v>0</v>
      </c>
      <c r="S35" t="b">
        <v>1</v>
      </c>
      <c r="T35" t="b">
        <v>0</v>
      </c>
      <c r="W35" s="17"/>
      <c r="X35" s="111"/>
      <c r="AL35" t="str">
        <f>SUBSTITUTE(SUBSTITUTE(SUBSTITUTE("dpa"&amp;$B35&amp;$C35&amp;$D35&amp;$E35&amp;$F35,".","_"),"(","_"),")","")</f>
        <v>dpa601_2_3</v>
      </c>
      <c r="AM35">
        <f>M35</f>
        <v>3</v>
      </c>
      <c r="AN35" t="str">
        <f>SUBSTITUTE(SUBSTITUTE(SUBSTITUTE("dpc"&amp;$B35&amp;$C35&amp;$D35&amp;$E35&amp;$F35,".","_"),"(","_"),")","")</f>
        <v>dpc601_2_3</v>
      </c>
      <c r="AO35">
        <f>O35</f>
        <v>0</v>
      </c>
      <c r="AP35" t="str">
        <f t="shared" ref="AP35" si="3">SUBSTITUTE(SUBSTITUTE(SUBSTITUTE("dch"&amp;$B35&amp;$C35&amp;$D35&amp;$E35&amp;$F35,".","_"),"(","_"),")","")</f>
        <v>dch601_2_3</v>
      </c>
      <c r="AQ35">
        <f>W35</f>
        <v>0</v>
      </c>
      <c r="AR35" t="str">
        <f>SUBSTITUTE(SUBSTITUTE(SUBSTITUTE("dnt"&amp;$B35&amp;$C35&amp;$D35&amp;$E35&amp;$F35,".","_"),"(","_"),")","")</f>
        <v>dnt601_2_3</v>
      </c>
      <c r="AS35">
        <f>X35</f>
        <v>0</v>
      </c>
      <c r="AX35" s="6" t="str">
        <f>'Overview (Design)'!A34</f>
        <v>Heating Fuel:</v>
      </c>
      <c r="AY35">
        <f>'Overview (Design)'!G34</f>
        <v>0</v>
      </c>
    </row>
    <row r="36" spans="2:51" ht="15" thickTop="1" x14ac:dyDescent="0.35">
      <c r="B36" s="40">
        <v>601.29999999999995</v>
      </c>
      <c r="C36" s="13"/>
      <c r="D36" s="13"/>
      <c r="E36" s="13"/>
      <c r="F36" s="13"/>
      <c r="G36" s="13"/>
      <c r="H36" s="550"/>
      <c r="I36" s="123">
        <v>601.29999999999995</v>
      </c>
      <c r="J36" s="124"/>
      <c r="K36" s="125"/>
      <c r="L36" s="711" t="s">
        <v>549</v>
      </c>
      <c r="M36" s="199"/>
      <c r="N36" s="124"/>
      <c r="O36" s="341"/>
      <c r="P36" s="62"/>
      <c r="Q36" s="62"/>
      <c r="R36" s="62"/>
      <c r="S36" s="62"/>
      <c r="T36" s="62"/>
      <c r="U36" s="62"/>
      <c r="V36" s="62"/>
      <c r="W36" s="62"/>
      <c r="X36" s="128"/>
      <c r="AX36" s="6" t="str">
        <f>'Overview (Design)'!A35</f>
        <v>Heating Ducts:</v>
      </c>
      <c r="AY36" t="str">
        <f>'Overview (Design)'!G35</f>
        <v>Ducted</v>
      </c>
    </row>
    <row r="37" spans="2:51" x14ac:dyDescent="0.35">
      <c r="B37" s="40">
        <v>601.29999999999995</v>
      </c>
      <c r="C37" s="13"/>
      <c r="D37" s="13"/>
      <c r="E37" s="13"/>
      <c r="F37" s="13"/>
      <c r="G37" s="13"/>
      <c r="H37" s="550"/>
      <c r="I37" s="32"/>
      <c r="J37" s="4"/>
      <c r="K37" s="46"/>
      <c r="L37" s="706"/>
      <c r="M37" s="43"/>
      <c r="N37" s="4"/>
      <c r="O37" s="85"/>
      <c r="X37" s="68"/>
      <c r="AX37" s="6" t="str">
        <f>'Overview (Design)'!A36</f>
        <v>Type of Cooling System (main system):</v>
      </c>
      <c r="AY37" t="str">
        <f>'Overview (Design)'!G36</f>
        <v>Electric Air Conditiner</v>
      </c>
    </row>
    <row r="38" spans="2:51" x14ac:dyDescent="0.35">
      <c r="B38" s="40">
        <v>601.29999999999995</v>
      </c>
      <c r="C38" s="13"/>
      <c r="D38" s="13"/>
      <c r="E38" s="13"/>
      <c r="F38" s="13"/>
      <c r="G38" s="13"/>
      <c r="H38" s="550"/>
      <c r="I38" s="32"/>
      <c r="J38" s="4"/>
      <c r="K38" s="46"/>
      <c r="L38" s="706"/>
      <c r="M38" s="43"/>
      <c r="N38" s="4"/>
      <c r="O38" s="85"/>
      <c r="X38" s="68"/>
      <c r="AX38" s="6" t="str">
        <f>'Overview (Design)'!A37</f>
        <v>Type of Cooling System (system 2):</v>
      </c>
      <c r="AY38">
        <f>'Overview (Design)'!G37</f>
        <v>0</v>
      </c>
    </row>
    <row r="39" spans="2:51" x14ac:dyDescent="0.35">
      <c r="B39" s="40">
        <v>601.29999999999995</v>
      </c>
      <c r="C39" s="13"/>
      <c r="D39" s="13"/>
      <c r="E39" s="13" t="s">
        <v>270</v>
      </c>
      <c r="F39" s="13"/>
      <c r="G39" s="13"/>
      <c r="H39" s="550"/>
      <c r="I39" s="32"/>
      <c r="J39" s="148" t="s">
        <v>270</v>
      </c>
      <c r="K39" s="116"/>
      <c r="L39" s="214" t="s">
        <v>550</v>
      </c>
      <c r="M39" s="198">
        <v>3</v>
      </c>
      <c r="N39" s="155"/>
      <c r="O39" s="342">
        <f t="shared" ref="O39:O44" si="4">M39*S39*W39</f>
        <v>0</v>
      </c>
      <c r="P39" t="b">
        <v>1</v>
      </c>
      <c r="Q39" t="b">
        <v>0</v>
      </c>
      <c r="R39" t="b">
        <v>0</v>
      </c>
      <c r="S39" t="b">
        <v>1</v>
      </c>
      <c r="T39" t="b">
        <v>0</v>
      </c>
      <c r="W39" s="17"/>
      <c r="X39" s="39"/>
      <c r="AL39" t="str">
        <f t="shared" ref="AL39:AL44" si="5">SUBSTITUTE(SUBSTITUTE(SUBSTITUTE("dpa"&amp;$B39&amp;$C39&amp;$D39&amp;$E39&amp;$F39,".","_"),"(","_"),")","")</f>
        <v>dpa601_3_1</v>
      </c>
      <c r="AM39">
        <f t="shared" ref="AM39:AM44" si="6">M39</f>
        <v>3</v>
      </c>
      <c r="AN39" t="str">
        <f t="shared" ref="AN39:AN44" si="7">SUBSTITUTE(SUBSTITUTE(SUBSTITUTE("dpc"&amp;$B39&amp;$C39&amp;$D39&amp;$E39&amp;$F39,".","_"),"(","_"),")","")</f>
        <v>dpc601_3_1</v>
      </c>
      <c r="AO39">
        <f t="shared" ref="AO39:AO44" si="8">O39</f>
        <v>0</v>
      </c>
      <c r="AP39" t="str">
        <f t="shared" ref="AP39:AP44" si="9">SUBSTITUTE(SUBSTITUTE(SUBSTITUTE("dch"&amp;$B39&amp;$C39&amp;$D39&amp;$E39&amp;$F39,".","_"),"(","_"),")","")</f>
        <v>dch601_3_1</v>
      </c>
      <c r="AQ39">
        <f t="shared" ref="AQ39:AQ44" si="10">W39</f>
        <v>0</v>
      </c>
      <c r="AR39" t="str">
        <f t="shared" ref="AR39:AR44" si="11">SUBSTITUTE(SUBSTITUTE(SUBSTITUTE("dnt"&amp;$B39&amp;$C39&amp;$D39&amp;$E39&amp;$F39,".","_"),"(","_"),")","")</f>
        <v>dnt601_3_1</v>
      </c>
      <c r="AS39">
        <f t="shared" ref="AS39:AS44" si="12">X39</f>
        <v>0</v>
      </c>
      <c r="AX39" s="6" t="str">
        <f>'Overview (Design)'!A38</f>
        <v>Type of Cooling System (system 3):</v>
      </c>
      <c r="AY39">
        <f>'Overview (Design)'!G38</f>
        <v>0</v>
      </c>
    </row>
    <row r="40" spans="2:51" x14ac:dyDescent="0.35">
      <c r="B40" s="40">
        <v>601.29999999999995</v>
      </c>
      <c r="C40" s="13"/>
      <c r="D40" s="13"/>
      <c r="E40" s="13" t="s">
        <v>272</v>
      </c>
      <c r="F40" s="13"/>
      <c r="G40" s="13"/>
      <c r="H40" s="550"/>
      <c r="I40" s="32"/>
      <c r="J40" s="150" t="s">
        <v>272</v>
      </c>
      <c r="K40" s="151"/>
      <c r="L40" s="220" t="s">
        <v>551</v>
      </c>
      <c r="M40" s="153">
        <v>3</v>
      </c>
      <c r="N40" s="187"/>
      <c r="O40" s="313">
        <f t="shared" si="4"/>
        <v>0</v>
      </c>
      <c r="P40" t="b">
        <v>1</v>
      </c>
      <c r="Q40" t="b">
        <v>0</v>
      </c>
      <c r="R40" t="b">
        <v>0</v>
      </c>
      <c r="S40" t="b">
        <v>1</v>
      </c>
      <c r="T40" t="b">
        <v>0</v>
      </c>
      <c r="W40" s="17"/>
      <c r="X40" s="39"/>
      <c r="AL40" t="str">
        <f t="shared" si="5"/>
        <v>dpa601_3_2</v>
      </c>
      <c r="AM40">
        <f t="shared" si="6"/>
        <v>3</v>
      </c>
      <c r="AN40" t="str">
        <f t="shared" si="7"/>
        <v>dpc601_3_2</v>
      </c>
      <c r="AO40">
        <f t="shared" si="8"/>
        <v>0</v>
      </c>
      <c r="AP40" t="str">
        <f t="shared" si="9"/>
        <v>dch601_3_2</v>
      </c>
      <c r="AQ40">
        <f t="shared" si="10"/>
        <v>0</v>
      </c>
      <c r="AR40" t="str">
        <f t="shared" si="11"/>
        <v>dnt601_3_2</v>
      </c>
      <c r="AS40">
        <f t="shared" si="12"/>
        <v>0</v>
      </c>
      <c r="AX40" s="6" t="str">
        <f>'Overview (Design)'!A39</f>
        <v>Cooling Ducts:</v>
      </c>
      <c r="AY40" t="str">
        <f>'Overview (Design)'!G39</f>
        <v>Ducted</v>
      </c>
    </row>
    <row r="41" spans="2:51" x14ac:dyDescent="0.35">
      <c r="B41" s="40">
        <v>601.29999999999995</v>
      </c>
      <c r="C41" s="13"/>
      <c r="D41" s="13"/>
      <c r="E41" s="13" t="s">
        <v>274</v>
      </c>
      <c r="F41" s="13"/>
      <c r="G41" s="13"/>
      <c r="H41" s="550"/>
      <c r="I41" s="32"/>
      <c r="J41" s="150" t="s">
        <v>274</v>
      </c>
      <c r="K41" s="151"/>
      <c r="L41" s="220" t="s">
        <v>552</v>
      </c>
      <c r="M41" s="153">
        <v>3</v>
      </c>
      <c r="N41" s="187"/>
      <c r="O41" s="313">
        <f t="shared" si="4"/>
        <v>0</v>
      </c>
      <c r="P41" t="b">
        <v>1</v>
      </c>
      <c r="Q41" t="b">
        <v>0</v>
      </c>
      <c r="R41" t="b">
        <v>0</v>
      </c>
      <c r="S41" t="b">
        <v>1</v>
      </c>
      <c r="T41" t="b">
        <v>0</v>
      </c>
      <c r="W41" s="17"/>
      <c r="X41" s="39"/>
      <c r="AL41" t="str">
        <f t="shared" si="5"/>
        <v>dpa601_3_3</v>
      </c>
      <c r="AM41">
        <f t="shared" si="6"/>
        <v>3</v>
      </c>
      <c r="AN41" t="str">
        <f t="shared" si="7"/>
        <v>dpc601_3_3</v>
      </c>
      <c r="AO41">
        <f t="shared" si="8"/>
        <v>0</v>
      </c>
      <c r="AP41" t="str">
        <f t="shared" si="9"/>
        <v>dch601_3_3</v>
      </c>
      <c r="AQ41">
        <f t="shared" si="10"/>
        <v>0</v>
      </c>
      <c r="AR41" t="str">
        <f t="shared" si="11"/>
        <v>dnt601_3_3</v>
      </c>
      <c r="AS41">
        <f t="shared" si="12"/>
        <v>0</v>
      </c>
      <c r="AX41" s="6"/>
    </row>
    <row r="42" spans="2:51" x14ac:dyDescent="0.35">
      <c r="B42" s="40">
        <v>601.29999999999995</v>
      </c>
      <c r="C42" s="13"/>
      <c r="D42" s="13"/>
      <c r="E42" s="13" t="s">
        <v>283</v>
      </c>
      <c r="F42" s="13"/>
      <c r="G42" s="13"/>
      <c r="H42" s="550"/>
      <c r="I42" s="32"/>
      <c r="J42" s="150" t="s">
        <v>283</v>
      </c>
      <c r="K42" s="151"/>
      <c r="L42" s="220" t="s">
        <v>553</v>
      </c>
      <c r="M42" s="153">
        <v>3</v>
      </c>
      <c r="N42" s="187"/>
      <c r="O42" s="313">
        <f t="shared" si="4"/>
        <v>0</v>
      </c>
      <c r="P42" t="b">
        <v>1</v>
      </c>
      <c r="Q42" t="b">
        <v>0</v>
      </c>
      <c r="R42" t="b">
        <v>0</v>
      </c>
      <c r="S42" t="b">
        <v>1</v>
      </c>
      <c r="T42" t="b">
        <v>0</v>
      </c>
      <c r="W42" s="17"/>
      <c r="X42" s="39"/>
      <c r="AL42" t="str">
        <f t="shared" si="5"/>
        <v>dpa601_3_4</v>
      </c>
      <c r="AM42">
        <f t="shared" si="6"/>
        <v>3</v>
      </c>
      <c r="AN42" t="str">
        <f t="shared" si="7"/>
        <v>dpc601_3_4</v>
      </c>
      <c r="AO42">
        <f t="shared" si="8"/>
        <v>0</v>
      </c>
      <c r="AP42" t="str">
        <f t="shared" si="9"/>
        <v>dch601_3_4</v>
      </c>
      <c r="AQ42">
        <f t="shared" si="10"/>
        <v>0</v>
      </c>
      <c r="AR42" t="str">
        <f t="shared" si="11"/>
        <v>dnt601_3_4</v>
      </c>
      <c r="AS42">
        <f t="shared" si="12"/>
        <v>0</v>
      </c>
      <c r="AX42" s="6" t="str">
        <f>'Overview (Design)'!A41</f>
        <v>Maximum window and door SHGC:</v>
      </c>
      <c r="AY42">
        <f>'Overview (Design)'!G41</f>
        <v>0.22</v>
      </c>
    </row>
    <row r="43" spans="2:51" ht="15" thickBot="1" x14ac:dyDescent="0.4">
      <c r="B43" s="40">
        <v>601.29999999999995</v>
      </c>
      <c r="C43" s="13"/>
      <c r="D43" s="13"/>
      <c r="E43" s="13" t="s">
        <v>289</v>
      </c>
      <c r="F43" s="13"/>
      <c r="G43" s="13"/>
      <c r="H43" s="550"/>
      <c r="I43" s="32"/>
      <c r="J43" s="19" t="s">
        <v>289</v>
      </c>
      <c r="K43" s="46"/>
      <c r="L43" s="104" t="s">
        <v>554</v>
      </c>
      <c r="M43" s="43">
        <v>1</v>
      </c>
      <c r="N43" s="4"/>
      <c r="O43" s="85">
        <f t="shared" si="4"/>
        <v>0</v>
      </c>
      <c r="P43" t="b">
        <v>1</v>
      </c>
      <c r="Q43" t="b">
        <v>0</v>
      </c>
      <c r="R43" t="b">
        <v>0</v>
      </c>
      <c r="S43" t="b">
        <v>1</v>
      </c>
      <c r="T43" t="b">
        <v>0</v>
      </c>
      <c r="W43" s="59"/>
      <c r="X43" s="111"/>
      <c r="AL43" t="str">
        <f t="shared" si="5"/>
        <v>dpa601_3_5</v>
      </c>
      <c r="AM43">
        <f t="shared" si="6"/>
        <v>1</v>
      </c>
      <c r="AN43" t="str">
        <f t="shared" si="7"/>
        <v>dpc601_3_5</v>
      </c>
      <c r="AO43">
        <f t="shared" si="8"/>
        <v>0</v>
      </c>
      <c r="AP43" t="str">
        <f t="shared" si="9"/>
        <v>dch601_3_5</v>
      </c>
      <c r="AQ43">
        <f t="shared" si="10"/>
        <v>0</v>
      </c>
      <c r="AR43" t="str">
        <f t="shared" si="11"/>
        <v>dnt601_3_5</v>
      </c>
      <c r="AS43">
        <f t="shared" si="12"/>
        <v>0</v>
      </c>
      <c r="AX43" s="6" t="str">
        <f>'Overview (Design)'!A42</f>
        <v>Maximum skylight SHGC:</v>
      </c>
      <c r="AY43">
        <f>'Overview (Design)'!G42</f>
        <v>0</v>
      </c>
    </row>
    <row r="44" spans="2:51" ht="15" thickTop="1" x14ac:dyDescent="0.35">
      <c r="B44" s="40">
        <v>601.4</v>
      </c>
      <c r="C44" s="13"/>
      <c r="D44" s="13"/>
      <c r="E44" s="13"/>
      <c r="F44" s="13"/>
      <c r="G44" s="13"/>
      <c r="H44" s="550"/>
      <c r="I44" s="123">
        <v>601.4</v>
      </c>
      <c r="J44" s="124"/>
      <c r="K44" s="125"/>
      <c r="L44" s="711" t="s">
        <v>555</v>
      </c>
      <c r="M44" s="692">
        <v>4</v>
      </c>
      <c r="N44" s="124"/>
      <c r="O44" s="694">
        <f t="shared" si="4"/>
        <v>4</v>
      </c>
      <c r="P44" t="b">
        <v>1</v>
      </c>
      <c r="Q44" t="b">
        <v>0</v>
      </c>
      <c r="R44" s="62" t="b">
        <v>0</v>
      </c>
      <c r="S44" s="62" t="b">
        <v>1</v>
      </c>
      <c r="T44" s="62" t="b">
        <v>0</v>
      </c>
      <c r="U44" s="62"/>
      <c r="V44" s="62"/>
      <c r="W44" s="77" t="b">
        <v>1</v>
      </c>
      <c r="X44" s="687" t="s">
        <v>4810</v>
      </c>
      <c r="AL44" t="str">
        <f t="shared" si="5"/>
        <v>dpa601_4</v>
      </c>
      <c r="AM44">
        <f t="shared" si="6"/>
        <v>4</v>
      </c>
      <c r="AN44" t="str">
        <f t="shared" si="7"/>
        <v>dpc601_4</v>
      </c>
      <c r="AO44">
        <f t="shared" si="8"/>
        <v>4</v>
      </c>
      <c r="AP44" t="str">
        <f t="shared" si="9"/>
        <v>dch601_4</v>
      </c>
      <c r="AQ44" t="b">
        <f t="shared" si="10"/>
        <v>1</v>
      </c>
      <c r="AR44" t="str">
        <f t="shared" si="11"/>
        <v>dnt601_4</v>
      </c>
      <c r="AS44" t="str">
        <f t="shared" si="12"/>
        <v>Weyerhaeuser Javelin Design Software</v>
      </c>
      <c r="AX44" s="6" t="str">
        <f>'Overview (Design)'!A43</f>
        <v>Maximum window and door U-value:</v>
      </c>
      <c r="AY44">
        <f>'Overview (Design)'!G43</f>
        <v>0.32</v>
      </c>
    </row>
    <row r="45" spans="2:51" x14ac:dyDescent="0.35">
      <c r="B45" s="40">
        <v>601.4</v>
      </c>
      <c r="C45" s="13"/>
      <c r="D45" s="13"/>
      <c r="E45" s="13"/>
      <c r="F45" s="13"/>
      <c r="G45" s="13"/>
      <c r="H45" s="550"/>
      <c r="I45" s="32"/>
      <c r="J45" s="4"/>
      <c r="K45" s="46"/>
      <c r="L45" s="706"/>
      <c r="M45" s="690"/>
      <c r="N45" s="4"/>
      <c r="O45" s="696"/>
      <c r="X45" s="688"/>
      <c r="AX45" s="6" t="str">
        <f>'Overview (Design)'!A44</f>
        <v>Maximum skylight U-value:</v>
      </c>
      <c r="AY45">
        <f>'Overview (Design)'!G44</f>
        <v>0</v>
      </c>
    </row>
    <row r="46" spans="2:51" ht="15" thickBot="1" x14ac:dyDescent="0.4">
      <c r="B46" s="40">
        <v>601.4</v>
      </c>
      <c r="C46" s="13"/>
      <c r="D46" s="13"/>
      <c r="E46" s="13"/>
      <c r="F46" s="13"/>
      <c r="G46" s="13"/>
      <c r="H46" s="550"/>
      <c r="I46" s="32"/>
      <c r="J46" s="4"/>
      <c r="K46" s="46"/>
      <c r="L46" s="706"/>
      <c r="M46" s="690"/>
      <c r="N46" s="4"/>
      <c r="O46" s="696"/>
      <c r="X46" s="698"/>
      <c r="AX46" s="6" t="str">
        <f>'Overview (Design)'!A45</f>
        <v>Renewable Energy:</v>
      </c>
      <c r="AY46">
        <f>'Overview (Design)'!G45</f>
        <v>0</v>
      </c>
    </row>
    <row r="47" spans="2:51" ht="15" thickTop="1" x14ac:dyDescent="0.35">
      <c r="B47" s="40">
        <v>601.5</v>
      </c>
      <c r="C47" s="13"/>
      <c r="D47" s="13"/>
      <c r="E47" s="13"/>
      <c r="F47" s="13"/>
      <c r="G47" s="13"/>
      <c r="H47" s="550"/>
      <c r="I47" s="63">
        <v>601.5</v>
      </c>
      <c r="J47" s="124"/>
      <c r="K47" s="125"/>
      <c r="L47" s="711" t="s">
        <v>556</v>
      </c>
      <c r="M47" s="692" t="s">
        <v>557</v>
      </c>
      <c r="N47" s="124"/>
      <c r="O47" s="341"/>
      <c r="P47" s="62"/>
      <c r="Q47" s="62"/>
      <c r="R47" s="62"/>
      <c r="S47" s="62"/>
      <c r="T47" s="62"/>
      <c r="U47" s="62"/>
      <c r="V47" s="62"/>
      <c r="W47" s="62"/>
      <c r="X47" s="128"/>
      <c r="AL47" t="str">
        <f>SUBSTITUTE(SUBSTITUTE(SUBSTITUTE("dpa"&amp;$B47&amp;$C47&amp;$D47&amp;$E47&amp;$F47,".","_"),"(","_"),")","")</f>
        <v>dpa601_5</v>
      </c>
      <c r="AM47" t="str">
        <f>M47</f>
        <v>13 Max</v>
      </c>
      <c r="AX47" s="6" t="str">
        <f>'Overview (Design)'!A46</f>
        <v>Thermal Envelope Insulation:</v>
      </c>
      <c r="AY47">
        <f>'Overview (Design)'!G46</f>
        <v>0</v>
      </c>
    </row>
    <row r="48" spans="2:51" x14ac:dyDescent="0.35">
      <c r="B48" s="40">
        <v>601.5</v>
      </c>
      <c r="C48" s="13"/>
      <c r="D48" s="13"/>
      <c r="E48" s="13"/>
      <c r="F48" s="13"/>
      <c r="G48" s="13"/>
      <c r="H48" s="550"/>
      <c r="I48" s="32"/>
      <c r="J48" s="4"/>
      <c r="K48" s="46"/>
      <c r="L48" s="706"/>
      <c r="M48" s="690"/>
      <c r="N48" s="4"/>
      <c r="O48" s="85"/>
      <c r="X48" s="68"/>
      <c r="AX48" s="6" t="str">
        <f>'Overview (Design)'!A47</f>
        <v>Attic Type:</v>
      </c>
      <c r="AY48" t="str">
        <f>'Overview (Design)'!G47</f>
        <v>Vented</v>
      </c>
    </row>
    <row r="49" spans="2:51" x14ac:dyDescent="0.35">
      <c r="B49" s="40">
        <v>601.5</v>
      </c>
      <c r="C49" s="13"/>
      <c r="D49" s="13"/>
      <c r="E49" s="13"/>
      <c r="F49" s="13"/>
      <c r="G49" s="13"/>
      <c r="H49" s="550"/>
      <c r="I49" s="32"/>
      <c r="J49" s="4"/>
      <c r="K49" s="46"/>
      <c r="L49" s="706"/>
      <c r="M49" s="690"/>
      <c r="N49" s="4"/>
      <c r="O49" s="85"/>
      <c r="X49" s="68"/>
      <c r="AX49" s="6" t="str">
        <f>'Overview (Design)'!A48</f>
        <v>Attached Garage:</v>
      </c>
      <c r="AY49" t="str">
        <f>'Overview (Design)'!G48</f>
        <v>Yes</v>
      </c>
    </row>
    <row r="50" spans="2:51" x14ac:dyDescent="0.35">
      <c r="B50" s="40">
        <v>601.5</v>
      </c>
      <c r="C50" s="13"/>
      <c r="D50" s="13"/>
      <c r="E50" s="13" t="s">
        <v>270</v>
      </c>
      <c r="F50" s="13"/>
      <c r="G50" s="13"/>
      <c r="H50" s="550"/>
      <c r="I50" s="32"/>
      <c r="J50" s="148" t="s">
        <v>270</v>
      </c>
      <c r="K50" s="116"/>
      <c r="L50" s="214" t="s">
        <v>558</v>
      </c>
      <c r="M50" s="198">
        <v>4</v>
      </c>
      <c r="N50" s="155"/>
      <c r="O50" s="342">
        <f>M50*S50*W50</f>
        <v>4</v>
      </c>
      <c r="P50" t="b">
        <v>1</v>
      </c>
      <c r="Q50" t="b">
        <v>0</v>
      </c>
      <c r="R50" t="b">
        <v>0</v>
      </c>
      <c r="S50" t="b">
        <f>AND(NOT(W53=TRUE),NOT(W54=TRUE))</f>
        <v>1</v>
      </c>
      <c r="T50" t="b">
        <f>AND(NOT(S50),W50=TRUE)</f>
        <v>0</v>
      </c>
      <c r="W50" s="17" t="b">
        <v>1</v>
      </c>
      <c r="X50" s="39" t="s">
        <v>4811</v>
      </c>
      <c r="AC50" t="b">
        <f>OR(AD50:AE50)</f>
        <v>0</v>
      </c>
      <c r="AD50" t="b">
        <f>T50</f>
        <v>0</v>
      </c>
      <c r="AE50" t="b">
        <v>0</v>
      </c>
      <c r="AL50" t="str">
        <f t="shared" ref="AL50:AL55" si="13">SUBSTITUTE(SUBSTITUTE(SUBSTITUTE("dpa"&amp;$B50&amp;$C50&amp;$D50&amp;$E50&amp;$F50,".","_"),"(","_"),")","")</f>
        <v>dpa601_5_1</v>
      </c>
      <c r="AM50">
        <f t="shared" ref="AM50:AM55" si="14">M50</f>
        <v>4</v>
      </c>
      <c r="AN50" t="str">
        <f t="shared" ref="AN50:AN55" si="15">SUBSTITUTE(SUBSTITUTE(SUBSTITUTE("dpc"&amp;$B50&amp;$C50&amp;$D50&amp;$E50&amp;$F50,".","_"),"(","_"),")","")</f>
        <v>dpc601_5_1</v>
      </c>
      <c r="AO50">
        <f t="shared" ref="AO50:AO55" si="16">O50</f>
        <v>4</v>
      </c>
      <c r="AP50" t="str">
        <f t="shared" ref="AP50:AP54" si="17">SUBSTITUTE(SUBSTITUTE(SUBSTITUTE("dch"&amp;$B50&amp;$C50&amp;$D50&amp;$E50&amp;$F50,".","_"),"(","_"),")","")</f>
        <v>dch601_5_1</v>
      </c>
      <c r="AQ50" t="b">
        <f>W50</f>
        <v>1</v>
      </c>
      <c r="AR50" t="str">
        <f t="shared" ref="AR50:AR55" si="18">SUBSTITUTE(SUBSTITUTE(SUBSTITUTE("dnt"&amp;$B50&amp;$C50&amp;$D50&amp;$E50&amp;$F50,".","_"),"(","_"),")","")</f>
        <v>dnt601_5_1</v>
      </c>
      <c r="AS50" t="str">
        <f t="shared" ref="AS50:AS55" si="19">X50</f>
        <v>Superior Walls Insulated Precast Concrete Walls</v>
      </c>
      <c r="AX50" s="6" t="str">
        <f>'Overview (Design)'!A49</f>
        <v>Recessed Lighting:</v>
      </c>
      <c r="AY50">
        <f>'Overview (Design)'!G49</f>
        <v>0</v>
      </c>
    </row>
    <row r="51" spans="2:51" x14ac:dyDescent="0.35">
      <c r="B51" s="40">
        <v>601.5</v>
      </c>
      <c r="C51" s="13"/>
      <c r="D51" s="13"/>
      <c r="E51" s="13" t="s">
        <v>272</v>
      </c>
      <c r="F51" s="13"/>
      <c r="G51" s="13"/>
      <c r="H51" s="550"/>
      <c r="I51" s="32"/>
      <c r="J51" s="150" t="s">
        <v>272</v>
      </c>
      <c r="K51" s="151"/>
      <c r="L51" s="220" t="s">
        <v>559</v>
      </c>
      <c r="M51" s="153">
        <v>4</v>
      </c>
      <c r="N51" s="187"/>
      <c r="O51" s="313">
        <f>M51*S51*W51</f>
        <v>0</v>
      </c>
      <c r="P51" t="b">
        <v>1</v>
      </c>
      <c r="Q51" t="b">
        <v>0</v>
      </c>
      <c r="R51" t="b">
        <v>0</v>
      </c>
      <c r="S51" t="b">
        <f>AND(NOT(W53=TRUE),NOT(W54=TRUE))</f>
        <v>1</v>
      </c>
      <c r="T51" t="b">
        <f>AND(NOT(S51),W51=TRUE)</f>
        <v>0</v>
      </c>
      <c r="W51" s="17"/>
      <c r="X51" s="39"/>
      <c r="AC51" t="b">
        <f>OR(AD51:AE51)</f>
        <v>0</v>
      </c>
      <c r="AD51" t="b">
        <f>T51</f>
        <v>0</v>
      </c>
      <c r="AE51" t="b">
        <v>0</v>
      </c>
      <c r="AL51" t="str">
        <f t="shared" si="13"/>
        <v>dpa601_5_2</v>
      </c>
      <c r="AM51">
        <f t="shared" si="14"/>
        <v>4</v>
      </c>
      <c r="AN51" t="str">
        <f t="shared" si="15"/>
        <v>dpc601_5_2</v>
      </c>
      <c r="AO51">
        <f t="shared" si="16"/>
        <v>0</v>
      </c>
      <c r="AP51" t="str">
        <f t="shared" si="17"/>
        <v>dch601_5_2</v>
      </c>
      <c r="AQ51">
        <f>W51</f>
        <v>0</v>
      </c>
      <c r="AR51" t="str">
        <f t="shared" si="18"/>
        <v>dnt601_5_2</v>
      </c>
      <c r="AS51">
        <f t="shared" si="19"/>
        <v>0</v>
      </c>
      <c r="AX51" s="6"/>
    </row>
    <row r="52" spans="2:51" x14ac:dyDescent="0.35">
      <c r="B52" s="40">
        <v>601.5</v>
      </c>
      <c r="C52" s="13"/>
      <c r="D52" s="13"/>
      <c r="E52" s="13" t="s">
        <v>274</v>
      </c>
      <c r="F52" s="13"/>
      <c r="G52" s="13"/>
      <c r="H52" s="550"/>
      <c r="I52" s="32"/>
      <c r="J52" s="150" t="s">
        <v>274</v>
      </c>
      <c r="K52" s="151"/>
      <c r="L52" s="220" t="s">
        <v>560</v>
      </c>
      <c r="M52" s="153">
        <v>4</v>
      </c>
      <c r="N52" s="187"/>
      <c r="O52" s="313">
        <f>M52*S52*W52</f>
        <v>0</v>
      </c>
      <c r="P52" t="b">
        <v>1</v>
      </c>
      <c r="Q52" t="b">
        <v>0</v>
      </c>
      <c r="R52" t="b">
        <v>0</v>
      </c>
      <c r="S52" t="b">
        <f>AND(NOT(W53=TRUE),NOT(W54=TRUE))</f>
        <v>1</v>
      </c>
      <c r="T52" t="b">
        <f>AND(NOT(S52),W52=TRUE)</f>
        <v>0</v>
      </c>
      <c r="W52" s="17"/>
      <c r="X52" s="39"/>
      <c r="AC52" t="b">
        <f>OR(AD52:AE52)</f>
        <v>0</v>
      </c>
      <c r="AD52" t="b">
        <f>T52</f>
        <v>0</v>
      </c>
      <c r="AE52" t="b">
        <v>0</v>
      </c>
      <c r="AL52" t="str">
        <f t="shared" si="13"/>
        <v>dpa601_5_3</v>
      </c>
      <c r="AM52">
        <f t="shared" si="14"/>
        <v>4</v>
      </c>
      <c r="AN52" t="str">
        <f t="shared" si="15"/>
        <v>dpc601_5_3</v>
      </c>
      <c r="AO52">
        <f t="shared" si="16"/>
        <v>0</v>
      </c>
      <c r="AP52" t="str">
        <f t="shared" si="17"/>
        <v>dch601_5_3</v>
      </c>
      <c r="AQ52">
        <f>W52</f>
        <v>0</v>
      </c>
      <c r="AR52" t="str">
        <f t="shared" si="18"/>
        <v>dnt601_5_3</v>
      </c>
      <c r="AS52">
        <f t="shared" si="19"/>
        <v>0</v>
      </c>
      <c r="AX52" s="6" t="str">
        <f>'Overview (Design)'!A51</f>
        <v>Special Design Features:</v>
      </c>
      <c r="AY52">
        <f>'Overview (Design)'!G51</f>
        <v>0</v>
      </c>
    </row>
    <row r="53" spans="2:51" x14ac:dyDescent="0.35">
      <c r="B53" s="40">
        <v>601.5</v>
      </c>
      <c r="C53" s="13"/>
      <c r="D53" s="13"/>
      <c r="E53" s="13" t="s">
        <v>283</v>
      </c>
      <c r="F53" s="13"/>
      <c r="G53" s="13"/>
      <c r="H53" s="550"/>
      <c r="I53" s="32"/>
      <c r="J53" s="150" t="s">
        <v>283</v>
      </c>
      <c r="K53" s="151"/>
      <c r="L53" s="220" t="s">
        <v>561</v>
      </c>
      <c r="M53" s="153">
        <v>13</v>
      </c>
      <c r="N53" s="187"/>
      <c r="O53" s="313">
        <f>M53*S53*W53</f>
        <v>0</v>
      </c>
      <c r="P53" t="b">
        <v>1</v>
      </c>
      <c r="Q53" t="b">
        <v>0</v>
      </c>
      <c r="R53" t="b">
        <v>0</v>
      </c>
      <c r="S53" t="b">
        <f>NOT(OR(W50=TRUE,W51=TRUE,W52=TRUE,W54=TRUE))</f>
        <v>0</v>
      </c>
      <c r="T53" t="b">
        <f>AND(NOT(S53),W53=TRUE)</f>
        <v>0</v>
      </c>
      <c r="W53" s="17"/>
      <c r="X53" s="39"/>
      <c r="AC53" t="b">
        <f>OR(AD53:AE53)</f>
        <v>0</v>
      </c>
      <c r="AD53" t="b">
        <f>T53</f>
        <v>0</v>
      </c>
      <c r="AE53" t="b">
        <v>0</v>
      </c>
      <c r="AL53" t="str">
        <f t="shared" si="13"/>
        <v>dpa601_5_4</v>
      </c>
      <c r="AM53">
        <f t="shared" si="14"/>
        <v>13</v>
      </c>
      <c r="AN53" t="str">
        <f t="shared" si="15"/>
        <v>dpc601_5_4</v>
      </c>
      <c r="AO53">
        <f t="shared" si="16"/>
        <v>0</v>
      </c>
      <c r="AP53" t="str">
        <f t="shared" si="17"/>
        <v>dch601_5_4</v>
      </c>
      <c r="AQ53">
        <f>W53</f>
        <v>0</v>
      </c>
      <c r="AR53" t="str">
        <f t="shared" si="18"/>
        <v>dnt601_5_4</v>
      </c>
      <c r="AS53">
        <f t="shared" si="19"/>
        <v>0</v>
      </c>
      <c r="AX53" s="6" t="str">
        <f>'Overview (Design)'!A52</f>
        <v>Passive Solar:</v>
      </c>
      <c r="AY53">
        <f>'Overview (Design)'!G52</f>
        <v>0</v>
      </c>
    </row>
    <row r="54" spans="2:51" ht="15" thickBot="1" x14ac:dyDescent="0.4">
      <c r="B54" s="40">
        <v>601.5</v>
      </c>
      <c r="C54" s="13"/>
      <c r="D54" s="13"/>
      <c r="E54" s="13" t="s">
        <v>289</v>
      </c>
      <c r="F54" s="13"/>
      <c r="G54" s="13"/>
      <c r="H54" s="550"/>
      <c r="I54" s="32"/>
      <c r="J54" s="19" t="s">
        <v>289</v>
      </c>
      <c r="K54" s="46"/>
      <c r="L54" s="104" t="s">
        <v>562</v>
      </c>
      <c r="M54" s="43">
        <v>13</v>
      </c>
      <c r="N54" s="4"/>
      <c r="O54" s="85">
        <f>M54*S54*W54</f>
        <v>0</v>
      </c>
      <c r="P54" t="b">
        <v>1</v>
      </c>
      <c r="Q54" t="b">
        <v>0</v>
      </c>
      <c r="R54" t="b">
        <v>0</v>
      </c>
      <c r="S54" t="b">
        <f>NOT(OR(W50=TRUE,W51=TRUE,W52=TRUE,W53=TRUE))</f>
        <v>0</v>
      </c>
      <c r="T54" t="b">
        <f>AND(NOT(S54),W54=TRUE)</f>
        <v>0</v>
      </c>
      <c r="W54" s="17"/>
      <c r="X54" s="111"/>
      <c r="AC54" t="b">
        <f>OR(AD54:AE54)</f>
        <v>0</v>
      </c>
      <c r="AD54" t="b">
        <f>T54</f>
        <v>0</v>
      </c>
      <c r="AE54" t="b">
        <v>0</v>
      </c>
      <c r="AL54" t="str">
        <f t="shared" si="13"/>
        <v>dpa601_5_5</v>
      </c>
      <c r="AM54">
        <f t="shared" si="14"/>
        <v>13</v>
      </c>
      <c r="AN54" t="str">
        <f t="shared" si="15"/>
        <v>dpc601_5_5</v>
      </c>
      <c r="AO54">
        <f t="shared" si="16"/>
        <v>0</v>
      </c>
      <c r="AP54" t="str">
        <f t="shared" si="17"/>
        <v>dch601_5_5</v>
      </c>
      <c r="AQ54">
        <f>W54</f>
        <v>0</v>
      </c>
      <c r="AR54" t="str">
        <f t="shared" si="18"/>
        <v>dnt601_5_5</v>
      </c>
      <c r="AS54">
        <f t="shared" si="19"/>
        <v>0</v>
      </c>
      <c r="AX54" s="6" t="str">
        <f>'Overview (Design)'!A53</f>
        <v>Mass Walls:</v>
      </c>
      <c r="AY54">
        <f>'Overview (Design)'!G53</f>
        <v>0</v>
      </c>
    </row>
    <row r="55" spans="2:51" ht="15" thickTop="1" x14ac:dyDescent="0.35">
      <c r="B55" s="40">
        <v>601.6</v>
      </c>
      <c r="C55" s="13"/>
      <c r="D55" s="13"/>
      <c r="E55" s="13"/>
      <c r="F55" s="13"/>
      <c r="G55" s="13"/>
      <c r="H55" s="550"/>
      <c r="I55" s="123">
        <v>601.6</v>
      </c>
      <c r="J55" s="124"/>
      <c r="K55" s="125"/>
      <c r="L55" s="711" t="s">
        <v>563</v>
      </c>
      <c r="M55" s="692" t="s">
        <v>564</v>
      </c>
      <c r="N55" s="124"/>
      <c r="O55" s="694">
        <f ca="1">IFERROR(INDEX({4,6,8},MATCH(W56,INDIRECT(U56),0)),0)</f>
        <v>0</v>
      </c>
      <c r="P55" s="62"/>
      <c r="Q55" s="62"/>
      <c r="R55" s="62"/>
      <c r="S55" s="62"/>
      <c r="T55" s="62"/>
      <c r="U55" s="62"/>
      <c r="V55" s="62"/>
      <c r="W55" s="62"/>
      <c r="X55" s="687"/>
      <c r="AL55" t="str">
        <f t="shared" si="13"/>
        <v>dpa601_6</v>
      </c>
      <c r="AM55" t="str">
        <f t="shared" si="14"/>
        <v>8 Max</v>
      </c>
      <c r="AN55" t="str">
        <f t="shared" si="15"/>
        <v>dpc601_6</v>
      </c>
      <c r="AO55">
        <f t="shared" ca="1" si="16"/>
        <v>0</v>
      </c>
      <c r="AR55" t="str">
        <f t="shared" si="18"/>
        <v>dnt601_6</v>
      </c>
      <c r="AS55">
        <f t="shared" si="19"/>
        <v>0</v>
      </c>
      <c r="AX55" s="6" t="str">
        <f>'Overview (Design)'!A54</f>
        <v>Ductless:</v>
      </c>
      <c r="AY55">
        <f>'Overview (Design)'!G54</f>
        <v>0</v>
      </c>
    </row>
    <row r="56" spans="2:51" x14ac:dyDescent="0.35">
      <c r="B56" s="40">
        <v>601.6</v>
      </c>
      <c r="C56" s="13"/>
      <c r="D56" s="13"/>
      <c r="E56" s="13"/>
      <c r="F56" s="13"/>
      <c r="G56" s="13"/>
      <c r="H56" s="550"/>
      <c r="I56" s="32"/>
      <c r="J56" s="4"/>
      <c r="K56" s="46"/>
      <c r="L56" s="706"/>
      <c r="M56" s="690"/>
      <c r="N56" s="4"/>
      <c r="O56" s="696"/>
      <c r="P56" t="b">
        <v>1</v>
      </c>
      <c r="Q56" t="b">
        <v>0</v>
      </c>
      <c r="R56" t="b">
        <v>0</v>
      </c>
      <c r="S56" t="b">
        <v>1</v>
      </c>
      <c r="T56" t="b">
        <v>0</v>
      </c>
      <c r="U56" t="str">
        <f>SUBSTITUTE(SUBSTITUTE(SUBSTITUTE("dd"&amp;B56&amp;C56&amp;D56&amp;E56&amp;F56,".","_"),"(","_"),")","")</f>
        <v>dd601_6</v>
      </c>
      <c r="W56" s="9"/>
      <c r="X56" s="688"/>
      <c r="AP56" t="str">
        <f t="shared" ref="AP56" si="20">SUBSTITUTE(SUBSTITUTE(SUBSTITUTE("dch"&amp;$B56&amp;$C56&amp;$D56&amp;$E56&amp;$F56,".","_"),"(","_"),")","")</f>
        <v>dch601_6</v>
      </c>
      <c r="AQ56">
        <f>W56</f>
        <v>0</v>
      </c>
      <c r="AX56" s="6" t="str">
        <f>'Overview (Design)'!A55</f>
        <v>Radiant/Hydronic:</v>
      </c>
      <c r="AY56">
        <f>'Overview (Design)'!G55</f>
        <v>0</v>
      </c>
    </row>
    <row r="57" spans="2:51" x14ac:dyDescent="0.35">
      <c r="B57" s="40">
        <v>601.6</v>
      </c>
      <c r="C57" s="13"/>
      <c r="D57" s="13"/>
      <c r="E57" s="13"/>
      <c r="F57" s="13"/>
      <c r="G57" s="13"/>
      <c r="H57" s="550"/>
      <c r="I57" s="32"/>
      <c r="J57" s="4"/>
      <c r="K57" s="46"/>
      <c r="L57" s="706"/>
      <c r="M57" s="690"/>
      <c r="N57" s="4"/>
      <c r="O57" s="696"/>
      <c r="X57" s="688"/>
      <c r="AX57" s="6" t="str">
        <f>'Overview (Design)'!A56</f>
        <v>Tankless Water Heater:</v>
      </c>
      <c r="AY57">
        <f>'Overview (Design)'!G56</f>
        <v>0</v>
      </c>
    </row>
    <row r="58" spans="2:51" x14ac:dyDescent="0.35">
      <c r="B58" s="40">
        <v>601.6</v>
      </c>
      <c r="C58" s="13"/>
      <c r="D58" s="13"/>
      <c r="E58" s="13" t="s">
        <v>270</v>
      </c>
      <c r="F58" s="13"/>
      <c r="G58" s="13"/>
      <c r="H58" s="550"/>
      <c r="I58" s="32"/>
      <c r="J58" s="148" t="s">
        <v>270</v>
      </c>
      <c r="K58" s="116"/>
      <c r="L58" s="214" t="s">
        <v>565</v>
      </c>
      <c r="M58" s="198">
        <v>4</v>
      </c>
      <c r="N58" s="4"/>
      <c r="O58" s="85"/>
      <c r="X58" s="688"/>
      <c r="AL58" t="str">
        <f t="shared" ref="AL58:AL60" si="21">SUBSTITUTE(SUBSTITUTE(SUBSTITUTE("dpa"&amp;$B58&amp;$C58&amp;$D58&amp;$E58&amp;$F58,".","_"),"(","_"),")","")</f>
        <v>dpa601_6_1</v>
      </c>
      <c r="AM58">
        <f>M58</f>
        <v>4</v>
      </c>
      <c r="AX58" s="6" t="str">
        <f>'Overview (Design)'!A57</f>
        <v>Composting Toilet:</v>
      </c>
      <c r="AY58">
        <f>'Overview (Design)'!G57</f>
        <v>0</v>
      </c>
    </row>
    <row r="59" spans="2:51" ht="15" thickBot="1" x14ac:dyDescent="0.4">
      <c r="B59" s="40">
        <v>601.6</v>
      </c>
      <c r="C59" s="13"/>
      <c r="D59" s="13"/>
      <c r="E59" s="13" t="s">
        <v>272</v>
      </c>
      <c r="F59" s="13"/>
      <c r="G59" s="13"/>
      <c r="H59" s="550"/>
      <c r="I59" s="32"/>
      <c r="J59" s="19" t="s">
        <v>272</v>
      </c>
      <c r="K59" s="46"/>
      <c r="L59" s="104" t="s">
        <v>566</v>
      </c>
      <c r="M59" s="43">
        <v>2</v>
      </c>
      <c r="N59" s="4"/>
      <c r="O59" s="85"/>
      <c r="X59" s="698"/>
      <c r="AL59" t="str">
        <f t="shared" si="21"/>
        <v>dpa601_6_2</v>
      </c>
      <c r="AM59">
        <f>M59</f>
        <v>2</v>
      </c>
      <c r="AX59" s="6"/>
    </row>
    <row r="60" spans="2:51" ht="15" thickTop="1" x14ac:dyDescent="0.35">
      <c r="B60" s="40">
        <v>601.70000000000005</v>
      </c>
      <c r="C60" s="13"/>
      <c r="D60" s="13"/>
      <c r="E60" s="13"/>
      <c r="F60" s="13"/>
      <c r="G60" s="13"/>
      <c r="H60" s="550"/>
      <c r="I60" s="123">
        <v>601.70000000000005</v>
      </c>
      <c r="J60" s="124"/>
      <c r="K60" s="125"/>
      <c r="L60" s="711" t="s">
        <v>567</v>
      </c>
      <c r="M60" s="692" t="s">
        <v>568</v>
      </c>
      <c r="N60" s="124"/>
      <c r="O60" s="694">
        <f ca="1">MIN(12,IFERROR(INDEX({1,2,5},MATCH(W63,INDIRECT(U63),0)),0)+IFERROR(INDEX({1,2,5},MATCH(W64,INDIRECT(U64),0)),0)+IFERROR(INDEX({1,2,5},MATCH(W65,INDIRECT(U65),0)),0)+IFERROR(INDEX({1,2,5},MATCH(W69,INDIRECT(U69),0)),0)+IFERROR(INDEX({1,2,5},MATCH(W71,INDIRECT(U71),0)),0))</f>
        <v>5</v>
      </c>
      <c r="P60" s="62"/>
      <c r="Q60" s="62"/>
      <c r="R60" s="62"/>
      <c r="S60" s="62"/>
      <c r="T60" s="62"/>
      <c r="U60" s="62"/>
      <c r="V60" s="62"/>
      <c r="W60" s="62"/>
      <c r="X60" s="721" t="s">
        <v>4843</v>
      </c>
      <c r="AL60" t="str">
        <f t="shared" si="21"/>
        <v>dpa601_7</v>
      </c>
      <c r="AM60" t="str">
        <f>M60</f>
        <v>12 Max</v>
      </c>
      <c r="AN60" t="str">
        <f>SUBSTITUTE(SUBSTITUTE(SUBSTITUTE("dpc"&amp;$B60&amp;$C60&amp;$D60&amp;$E60&amp;$F60,".","_"),"(","_"),")","")</f>
        <v>dpc601_7</v>
      </c>
      <c r="AO60">
        <f ca="1">O60</f>
        <v>5</v>
      </c>
      <c r="AR60" t="str">
        <f>SUBSTITUTE(SUBSTITUTE(SUBSTITUTE("dnt"&amp;$B60&amp;$C60&amp;$D60&amp;$E60&amp;$F60,".","_"),"(","_"),")","")</f>
        <v>dnt601_7</v>
      </c>
      <c r="AS60" t="str">
        <f>X60</f>
        <v>CertainTeed Cedar Impressions; James Hardie Siding</v>
      </c>
      <c r="AX60" s="6" t="str">
        <f>'Overview (Design)'!A59</f>
        <v>Local Energy Code:</v>
      </c>
      <c r="AY60">
        <f>'Overview (Design)'!G59</f>
        <v>0</v>
      </c>
    </row>
    <row r="61" spans="2:51" x14ac:dyDescent="0.35">
      <c r="B61" s="40">
        <v>601.70000000000005</v>
      </c>
      <c r="C61" s="13"/>
      <c r="D61" s="13"/>
      <c r="E61" s="13"/>
      <c r="F61" s="13"/>
      <c r="G61" s="13"/>
      <c r="H61" s="550"/>
      <c r="I61" s="32"/>
      <c r="J61" s="4"/>
      <c r="K61" s="46"/>
      <c r="L61" s="706"/>
      <c r="M61" s="690"/>
      <c r="N61" s="4"/>
      <c r="O61" s="696"/>
      <c r="X61" s="699"/>
      <c r="AX61" s="6" t="str">
        <f>'Overview (Design)'!A60</f>
        <v>Local Building Code:</v>
      </c>
      <c r="AY61">
        <f>'Overview (Design)'!G60</f>
        <v>0</v>
      </c>
    </row>
    <row r="62" spans="2:51" x14ac:dyDescent="0.35">
      <c r="B62" s="40">
        <v>601.70000000000005</v>
      </c>
      <c r="C62" s="13"/>
      <c r="D62" s="13"/>
      <c r="E62" s="13"/>
      <c r="F62" s="13"/>
      <c r="G62" s="13"/>
      <c r="H62" s="550"/>
      <c r="I62" s="32"/>
      <c r="J62" s="4"/>
      <c r="K62" s="46"/>
      <c r="L62" s="107" t="s">
        <v>578</v>
      </c>
      <c r="M62" s="43"/>
      <c r="N62" s="4"/>
      <c r="O62" s="85"/>
      <c r="X62" s="699"/>
    </row>
    <row r="63" spans="2:51" x14ac:dyDescent="0.35">
      <c r="B63" s="40">
        <v>601.70000000000005</v>
      </c>
      <c r="C63" s="13"/>
      <c r="D63" s="13"/>
      <c r="E63" s="13"/>
      <c r="F63" s="13" t="s">
        <v>121</v>
      </c>
      <c r="G63" s="13"/>
      <c r="H63" s="550"/>
      <c r="I63" s="32"/>
      <c r="J63" s="4"/>
      <c r="K63" s="115" t="s">
        <v>121</v>
      </c>
      <c r="L63" s="214" t="s">
        <v>569</v>
      </c>
      <c r="M63" s="43"/>
      <c r="N63" s="4"/>
      <c r="O63" s="85"/>
      <c r="P63" t="b">
        <v>1</v>
      </c>
      <c r="Q63" t="b">
        <v>1</v>
      </c>
      <c r="R63" t="b">
        <v>0</v>
      </c>
      <c r="S63" t="b">
        <v>1</v>
      </c>
      <c r="T63" t="b">
        <v>0</v>
      </c>
      <c r="U63" t="str">
        <f>SUBSTITUTE(SUBSTITUTE(SUBSTITUTE("dd"&amp;B63&amp;C63&amp;D63&amp;E63&amp;F63,".","_"),"(","_"),")","")</f>
        <v>dd601_7_a</v>
      </c>
      <c r="W63" s="9"/>
      <c r="X63" s="699"/>
      <c r="AP63" t="str">
        <f t="shared" ref="AP63:AP65" si="22">SUBSTITUTE(SUBSTITUTE(SUBSTITUTE("dch"&amp;$B63&amp;$C63&amp;$D63&amp;$E63&amp;$F63,".","_"),"(","_"),")","")</f>
        <v>dch601_7_a</v>
      </c>
      <c r="AQ63">
        <f>W63</f>
        <v>0</v>
      </c>
    </row>
    <row r="64" spans="2:51" x14ac:dyDescent="0.35">
      <c r="B64" s="40">
        <v>601.70000000000005</v>
      </c>
      <c r="C64" s="13"/>
      <c r="D64" s="13"/>
      <c r="E64" s="13"/>
      <c r="F64" s="13" t="s">
        <v>122</v>
      </c>
      <c r="G64" s="13"/>
      <c r="H64" s="550"/>
      <c r="I64" s="32"/>
      <c r="J64" s="4"/>
      <c r="K64" s="158" t="s">
        <v>122</v>
      </c>
      <c r="L64" s="220" t="s">
        <v>570</v>
      </c>
      <c r="M64" s="43"/>
      <c r="N64" s="4"/>
      <c r="O64" s="85"/>
      <c r="P64" t="b">
        <v>1</v>
      </c>
      <c r="Q64" t="b">
        <v>1</v>
      </c>
      <c r="R64" t="b">
        <v>0</v>
      </c>
      <c r="S64" t="b">
        <v>1</v>
      </c>
      <c r="T64" t="b">
        <v>0</v>
      </c>
      <c r="U64" t="str">
        <f>SUBSTITUTE(SUBSTITUTE(SUBSTITUTE("dd"&amp;B64&amp;C64&amp;D64&amp;E64&amp;F64,".","_"),"(","_"),")","")</f>
        <v>dd601_7_b</v>
      </c>
      <c r="W64" s="9"/>
      <c r="X64" s="699"/>
      <c r="AP64" t="str">
        <f t="shared" si="22"/>
        <v>dch601_7_b</v>
      </c>
      <c r="AQ64">
        <f>W64</f>
        <v>0</v>
      </c>
    </row>
    <row r="65" spans="2:45" x14ac:dyDescent="0.35">
      <c r="B65" s="40">
        <v>601.70000000000005</v>
      </c>
      <c r="C65" s="13"/>
      <c r="D65" s="13"/>
      <c r="E65" s="13"/>
      <c r="F65" s="18" t="s">
        <v>123</v>
      </c>
      <c r="G65" s="18"/>
      <c r="H65" s="551"/>
      <c r="I65" s="32"/>
      <c r="J65" s="4"/>
      <c r="K65" s="159" t="s">
        <v>123</v>
      </c>
      <c r="L65" s="746" t="s">
        <v>571</v>
      </c>
      <c r="M65" s="43"/>
      <c r="N65" s="4"/>
      <c r="O65" s="85"/>
      <c r="P65" t="b">
        <v>1</v>
      </c>
      <c r="Q65" t="b">
        <v>1</v>
      </c>
      <c r="R65" t="b">
        <v>0</v>
      </c>
      <c r="S65" t="b">
        <v>1</v>
      </c>
      <c r="T65" t="b">
        <v>0</v>
      </c>
      <c r="U65" t="str">
        <f>SUBSTITUTE(SUBSTITUTE(SUBSTITUTE("dd"&amp;B65&amp;C65&amp;D65&amp;E65&amp;F65,".","_"),"(","_"),")","")</f>
        <v>dd601_7_c</v>
      </c>
      <c r="W65" s="9"/>
      <c r="X65" s="699"/>
      <c r="AP65" t="str">
        <f t="shared" si="22"/>
        <v>dch601_7_c</v>
      </c>
      <c r="AQ65">
        <f>W65</f>
        <v>0</v>
      </c>
    </row>
    <row r="66" spans="2:45" x14ac:dyDescent="0.35">
      <c r="B66" s="40">
        <v>601.70000000000005</v>
      </c>
      <c r="C66" s="13"/>
      <c r="D66" s="13"/>
      <c r="E66" s="13"/>
      <c r="F66" s="18" t="s">
        <v>123</v>
      </c>
      <c r="G66" s="18"/>
      <c r="H66" s="551"/>
      <c r="I66" s="32"/>
      <c r="J66" s="4"/>
      <c r="K66" s="46"/>
      <c r="L66" s="747"/>
      <c r="M66" s="43"/>
      <c r="N66" s="4"/>
      <c r="O66" s="85"/>
      <c r="X66" s="699"/>
    </row>
    <row r="67" spans="2:45" x14ac:dyDescent="0.35">
      <c r="B67" s="40">
        <v>601.70000000000005</v>
      </c>
      <c r="C67" s="13"/>
      <c r="D67" s="13"/>
      <c r="E67" s="13"/>
      <c r="F67" s="18" t="s">
        <v>123</v>
      </c>
      <c r="G67" s="18"/>
      <c r="H67" s="551"/>
      <c r="I67" s="32"/>
      <c r="J67" s="4"/>
      <c r="K67" s="46"/>
      <c r="L67" s="221" t="s">
        <v>572</v>
      </c>
      <c r="M67" s="43"/>
      <c r="N67" s="4"/>
      <c r="O67" s="85"/>
      <c r="X67" s="699"/>
    </row>
    <row r="68" spans="2:45" x14ac:dyDescent="0.35">
      <c r="B68" s="40">
        <v>601.70000000000005</v>
      </c>
      <c r="C68" s="13"/>
      <c r="D68" s="13"/>
      <c r="E68" s="13"/>
      <c r="F68" s="18" t="s">
        <v>123</v>
      </c>
      <c r="G68" s="18"/>
      <c r="H68" s="551"/>
      <c r="I68" s="32"/>
      <c r="J68" s="4"/>
      <c r="K68" s="116"/>
      <c r="L68" s="193" t="s">
        <v>573</v>
      </c>
      <c r="M68" s="43"/>
      <c r="N68" s="4"/>
      <c r="O68" s="85"/>
      <c r="X68" s="699"/>
    </row>
    <row r="69" spans="2:45" x14ac:dyDescent="0.35">
      <c r="B69" s="40">
        <v>601.70000000000005</v>
      </c>
      <c r="C69" s="13"/>
      <c r="D69" s="13"/>
      <c r="E69" s="13"/>
      <c r="F69" s="13" t="s">
        <v>420</v>
      </c>
      <c r="G69" s="13"/>
      <c r="H69" s="550"/>
      <c r="I69" s="32"/>
      <c r="J69" s="4"/>
      <c r="K69" s="160" t="s">
        <v>420</v>
      </c>
      <c r="L69" s="742" t="s">
        <v>574</v>
      </c>
      <c r="M69" s="43"/>
      <c r="N69" s="4"/>
      <c r="O69" s="85"/>
      <c r="P69" t="b">
        <v>1</v>
      </c>
      <c r="Q69" t="b">
        <v>1</v>
      </c>
      <c r="R69" t="b">
        <v>0</v>
      </c>
      <c r="S69" t="b">
        <v>1</v>
      </c>
      <c r="T69" t="b">
        <v>0</v>
      </c>
      <c r="U69" t="str">
        <f>SUBSTITUTE(SUBSTITUTE(SUBSTITUTE("dd"&amp;B69&amp;C69&amp;D69&amp;E69&amp;F69,".","_"),"(","_"),")","")</f>
        <v>dd601_7_d</v>
      </c>
      <c r="W69" s="9"/>
      <c r="X69" s="699"/>
      <c r="AP69" t="str">
        <f t="shared" ref="AP69" si="23">SUBSTITUTE(SUBSTITUTE(SUBSTITUTE("dch"&amp;$B69&amp;$C69&amp;$D69&amp;$E69&amp;$F69,".","_"),"(","_"),")","")</f>
        <v>dch601_7_d</v>
      </c>
      <c r="AQ69">
        <f>W69</f>
        <v>0</v>
      </c>
    </row>
    <row r="70" spans="2:45" x14ac:dyDescent="0.35">
      <c r="B70" s="40">
        <v>601.70000000000005</v>
      </c>
      <c r="C70" s="13"/>
      <c r="D70" s="13"/>
      <c r="E70" s="13"/>
      <c r="F70" s="13" t="s">
        <v>420</v>
      </c>
      <c r="G70" s="13"/>
      <c r="H70" s="550"/>
      <c r="I70" s="32"/>
      <c r="J70" s="4"/>
      <c r="K70" s="116"/>
      <c r="L70" s="709"/>
      <c r="M70" s="43"/>
      <c r="N70" s="4"/>
      <c r="O70" s="85"/>
      <c r="X70" s="699"/>
    </row>
    <row r="71" spans="2:45" x14ac:dyDescent="0.35">
      <c r="B71" s="40">
        <v>601.70000000000005</v>
      </c>
      <c r="C71" s="13"/>
      <c r="D71" s="13"/>
      <c r="E71" s="13"/>
      <c r="F71" s="13" t="s">
        <v>575</v>
      </c>
      <c r="G71" s="13"/>
      <c r="H71" s="550"/>
      <c r="I71" s="32"/>
      <c r="J71" s="4"/>
      <c r="K71" s="160" t="s">
        <v>575</v>
      </c>
      <c r="L71" s="742" t="s">
        <v>576</v>
      </c>
      <c r="M71" s="43"/>
      <c r="N71" s="4"/>
      <c r="O71" s="85"/>
      <c r="P71" t="b">
        <v>1</v>
      </c>
      <c r="Q71" t="b">
        <v>1</v>
      </c>
      <c r="R71" t="b">
        <v>0</v>
      </c>
      <c r="S71" t="b">
        <v>1</v>
      </c>
      <c r="T71" t="b">
        <v>0</v>
      </c>
      <c r="U71" t="str">
        <f>SUBSTITUTE(SUBSTITUTE(SUBSTITUTE("dd"&amp;B71&amp;C71&amp;D71&amp;E71&amp;F71,".","_"),"(","_"),")","")</f>
        <v>dd601_7_e</v>
      </c>
      <c r="W71" s="9" t="s">
        <v>3737</v>
      </c>
      <c r="X71" s="699"/>
      <c r="AP71" t="str">
        <f t="shared" ref="AP71" si="24">SUBSTITUTE(SUBSTITUTE(SUBSTITUTE("dch"&amp;$B71&amp;$C71&amp;$D71&amp;$E71&amp;$F71,".","_"),"(","_"),")","")</f>
        <v>dch601_7_e</v>
      </c>
      <c r="AQ71" t="str">
        <f>W71</f>
        <v>90% or more</v>
      </c>
    </row>
    <row r="72" spans="2:45" x14ac:dyDescent="0.35">
      <c r="B72" s="40">
        <v>601.70000000000005</v>
      </c>
      <c r="C72" s="13"/>
      <c r="D72" s="13"/>
      <c r="E72" s="13"/>
      <c r="F72" s="13" t="s">
        <v>575</v>
      </c>
      <c r="G72" s="13"/>
      <c r="H72" s="550"/>
      <c r="I72" s="32"/>
      <c r="J72" s="4"/>
      <c r="K72" s="116"/>
      <c r="L72" s="709"/>
      <c r="M72" s="43"/>
      <c r="N72" s="4"/>
      <c r="O72" s="85"/>
      <c r="X72" s="699"/>
    </row>
    <row r="73" spans="2:45" x14ac:dyDescent="0.35">
      <c r="B73" s="40">
        <v>601.70000000000005</v>
      </c>
      <c r="C73" s="13"/>
      <c r="D73" s="13"/>
      <c r="E73" s="13" t="s">
        <v>270</v>
      </c>
      <c r="F73" s="13"/>
      <c r="G73" s="13"/>
      <c r="H73" s="550"/>
      <c r="I73" s="32"/>
      <c r="J73" s="148" t="s">
        <v>270</v>
      </c>
      <c r="K73" s="46"/>
      <c r="L73" s="214" t="s">
        <v>577</v>
      </c>
      <c r="M73" s="198">
        <v>5</v>
      </c>
      <c r="N73" s="4"/>
      <c r="O73" s="85"/>
      <c r="X73" s="699"/>
      <c r="AL73" t="str">
        <f t="shared" ref="AL73:AL74" si="25">SUBSTITUTE(SUBSTITUTE(SUBSTITUTE("dpa"&amp;$B73&amp;$C73&amp;$D73&amp;$E73&amp;$F73,".","_"),"(","_"),")","")</f>
        <v>dpa601_7_1</v>
      </c>
      <c r="AM73">
        <f>M73</f>
        <v>5</v>
      </c>
    </row>
    <row r="74" spans="2:45" x14ac:dyDescent="0.35">
      <c r="B74" s="40">
        <v>601.70000000000005</v>
      </c>
      <c r="C74" s="13"/>
      <c r="D74" s="13"/>
      <c r="E74" s="13" t="s">
        <v>272</v>
      </c>
      <c r="F74" s="13"/>
      <c r="G74" s="13"/>
      <c r="H74" s="550"/>
      <c r="I74" s="32"/>
      <c r="J74" s="19" t="s">
        <v>272</v>
      </c>
      <c r="K74" s="138"/>
      <c r="L74" s="757" t="s">
        <v>579</v>
      </c>
      <c r="M74" s="712">
        <v>2</v>
      </c>
      <c r="N74" s="4"/>
      <c r="O74" s="85"/>
      <c r="X74" s="699"/>
      <c r="AL74" t="str">
        <f t="shared" si="25"/>
        <v>dpa601_7_2</v>
      </c>
      <c r="AM74">
        <f>M74</f>
        <v>2</v>
      </c>
    </row>
    <row r="75" spans="2:45" x14ac:dyDescent="0.35">
      <c r="B75" s="40">
        <v>601.70000000000005</v>
      </c>
      <c r="C75" s="13"/>
      <c r="D75" s="13"/>
      <c r="E75" s="13"/>
      <c r="F75" s="13"/>
      <c r="G75" s="13"/>
      <c r="H75" s="550"/>
      <c r="I75" s="32"/>
      <c r="J75" s="119"/>
      <c r="K75" s="116"/>
      <c r="L75" s="724"/>
      <c r="M75" s="691"/>
      <c r="N75" s="4"/>
      <c r="O75" s="85"/>
      <c r="X75" s="699"/>
    </row>
    <row r="76" spans="2:45" x14ac:dyDescent="0.35">
      <c r="B76" s="40">
        <v>601.70000000000005</v>
      </c>
      <c r="C76" s="13"/>
      <c r="D76" s="13"/>
      <c r="E76" s="13" t="s">
        <v>274</v>
      </c>
      <c r="F76" s="13"/>
      <c r="G76" s="13"/>
      <c r="H76" s="550"/>
      <c r="I76" s="32"/>
      <c r="J76" s="19" t="s">
        <v>274</v>
      </c>
      <c r="K76" s="46"/>
      <c r="L76" s="723" t="s">
        <v>580</v>
      </c>
      <c r="M76" s="43">
        <v>1</v>
      </c>
      <c r="N76" s="4"/>
      <c r="O76" s="85"/>
      <c r="X76" s="699"/>
      <c r="AL76" t="str">
        <f>SUBSTITUTE(SUBSTITUTE(SUBSTITUTE("dpa"&amp;$B76&amp;$C76&amp;$D76&amp;$E76&amp;$F76,".","_"),"(","_"),")","")</f>
        <v>dpa601_7_3</v>
      </c>
      <c r="AM76">
        <f>M76</f>
        <v>1</v>
      </c>
    </row>
    <row r="77" spans="2:45" ht="15" thickBot="1" x14ac:dyDescent="0.4">
      <c r="B77" s="40">
        <v>601.70000000000005</v>
      </c>
      <c r="C77" s="13"/>
      <c r="D77" s="13"/>
      <c r="E77" s="13"/>
      <c r="F77" s="13"/>
      <c r="G77" s="13"/>
      <c r="H77" s="550"/>
      <c r="I77" s="32"/>
      <c r="J77" s="19"/>
      <c r="K77" s="46"/>
      <c r="L77" s="762"/>
      <c r="M77" s="43"/>
      <c r="N77" s="4"/>
      <c r="O77" s="85"/>
      <c r="W77" s="67"/>
      <c r="X77" s="701"/>
    </row>
    <row r="78" spans="2:45" ht="15" thickTop="1" x14ac:dyDescent="0.35">
      <c r="B78" s="40">
        <v>601.79999999999995</v>
      </c>
      <c r="C78" s="13"/>
      <c r="D78" s="13"/>
      <c r="E78" s="13"/>
      <c r="F78" s="13"/>
      <c r="G78" s="13"/>
      <c r="H78" s="550"/>
      <c r="I78" s="123">
        <v>601.79999999999995</v>
      </c>
      <c r="J78" s="124"/>
      <c r="K78" s="125"/>
      <c r="L78" s="711" t="s">
        <v>581</v>
      </c>
      <c r="M78" s="692">
        <v>3</v>
      </c>
      <c r="N78" s="124"/>
      <c r="O78" s="694">
        <f>M78*S78*W78</f>
        <v>0</v>
      </c>
      <c r="P78" t="b">
        <v>1</v>
      </c>
      <c r="Q78" t="b">
        <v>0</v>
      </c>
      <c r="R78" s="62" t="b">
        <v>0</v>
      </c>
      <c r="S78" s="62" t="b">
        <f>NOT(AZ30=1)</f>
        <v>1</v>
      </c>
      <c r="T78" t="b">
        <f>AND(NOT(S78),W78=TRUE)</f>
        <v>0</v>
      </c>
      <c r="U78" s="62"/>
      <c r="V78" s="62"/>
      <c r="W78" s="77"/>
      <c r="X78" s="687"/>
      <c r="AC78" t="b">
        <f>OR(AD78:AE78)</f>
        <v>0</v>
      </c>
      <c r="AD78" t="b">
        <v>0</v>
      </c>
      <c r="AE78" t="b">
        <f>AND(W78=TRUE,LEN(X78)=0)</f>
        <v>0</v>
      </c>
      <c r="AL78" t="str">
        <f>SUBSTITUTE(SUBSTITUTE(SUBSTITUTE("dpa"&amp;$B78&amp;$C78&amp;$D78&amp;$E78&amp;$F78,".","_"),"(","_"),")","")</f>
        <v>dpa601_8</v>
      </c>
      <c r="AM78">
        <f>M78</f>
        <v>3</v>
      </c>
      <c r="AN78" t="str">
        <f>SUBSTITUTE(SUBSTITUTE(SUBSTITUTE("dpc"&amp;$B78&amp;$C78&amp;$D78&amp;$E78&amp;$F78,".","_"),"(","_"),")","")</f>
        <v>dpc601_8</v>
      </c>
      <c r="AO78">
        <f>O78</f>
        <v>0</v>
      </c>
      <c r="AP78" t="str">
        <f t="shared" ref="AP78" si="26">SUBSTITUTE(SUBSTITUTE(SUBSTITUTE("dch"&amp;$B78&amp;$C78&amp;$D78&amp;$E78&amp;$F78,".","_"),"(","_"),")","")</f>
        <v>dch601_8</v>
      </c>
      <c r="AQ78">
        <f>W78</f>
        <v>0</v>
      </c>
      <c r="AR78" t="str">
        <f>SUBSTITUTE(SUBSTITUTE(SUBSTITUTE("dnt"&amp;$B78&amp;$C78&amp;$D78&amp;$E78&amp;$F78,".","_"),"(","_"),")","")</f>
        <v>dnt601_8</v>
      </c>
      <c r="AS78">
        <f>X78</f>
        <v>0</v>
      </c>
    </row>
    <row r="79" spans="2:45" x14ac:dyDescent="0.35">
      <c r="B79" s="40">
        <v>601.79999999999995</v>
      </c>
      <c r="C79" s="13"/>
      <c r="D79" s="13"/>
      <c r="E79" s="13"/>
      <c r="F79" s="13"/>
      <c r="G79" s="13"/>
      <c r="H79" s="550"/>
      <c r="I79" s="32"/>
      <c r="J79" s="4"/>
      <c r="K79" s="46"/>
      <c r="L79" s="706"/>
      <c r="M79" s="690"/>
      <c r="N79" s="4"/>
      <c r="O79" s="696"/>
      <c r="X79" s="688"/>
    </row>
    <row r="80" spans="2:45" x14ac:dyDescent="0.35">
      <c r="B80" s="40">
        <v>601.79999999999995</v>
      </c>
      <c r="C80" s="13"/>
      <c r="D80" s="13"/>
      <c r="E80" s="13"/>
      <c r="F80" s="13"/>
      <c r="G80" s="13"/>
      <c r="H80" s="550"/>
      <c r="I80" s="32"/>
      <c r="J80" s="4"/>
      <c r="K80" s="46"/>
      <c r="L80" s="706"/>
      <c r="M80" s="690"/>
      <c r="N80" s="4"/>
      <c r="O80" s="696"/>
      <c r="X80" s="688"/>
    </row>
    <row r="81" spans="2:45" x14ac:dyDescent="0.35">
      <c r="B81" s="40">
        <v>601.79999999999995</v>
      </c>
      <c r="C81" s="13"/>
      <c r="D81" s="13"/>
      <c r="E81" s="13"/>
      <c r="F81" s="13"/>
      <c r="G81" s="13"/>
      <c r="H81" s="550"/>
      <c r="I81" s="32"/>
      <c r="J81" s="4"/>
      <c r="K81" s="46"/>
      <c r="L81" s="706"/>
      <c r="M81" s="690"/>
      <c r="N81" s="4"/>
      <c r="O81" s="696"/>
      <c r="X81" s="688"/>
    </row>
    <row r="82" spans="2:45" x14ac:dyDescent="0.35">
      <c r="B82" s="40">
        <v>601.79999999999995</v>
      </c>
      <c r="C82" s="13"/>
      <c r="D82" s="13"/>
      <c r="E82" s="13"/>
      <c r="F82" s="13"/>
      <c r="G82" s="13"/>
      <c r="H82" s="550"/>
      <c r="I82" s="32"/>
      <c r="J82" s="4"/>
      <c r="K82" s="46"/>
      <c r="L82" s="706"/>
      <c r="M82" s="690"/>
      <c r="N82" s="4"/>
      <c r="O82" s="696"/>
      <c r="X82" s="688"/>
    </row>
    <row r="83" spans="2:45" x14ac:dyDescent="0.35">
      <c r="B83" s="40">
        <v>601.79999999999995</v>
      </c>
      <c r="C83" s="13"/>
      <c r="D83" s="13"/>
      <c r="E83" s="13"/>
      <c r="F83" s="13"/>
      <c r="G83" s="13"/>
      <c r="H83" s="550"/>
      <c r="I83" s="32"/>
      <c r="J83" s="4"/>
      <c r="K83" s="46"/>
      <c r="L83" s="714" t="s">
        <v>1299</v>
      </c>
      <c r="M83" s="690"/>
      <c r="N83" s="4"/>
      <c r="O83" s="696"/>
      <c r="X83" s="688"/>
    </row>
    <row r="84" spans="2:45" x14ac:dyDescent="0.35">
      <c r="B84" s="40">
        <v>601.79999999999995</v>
      </c>
      <c r="C84" s="13"/>
      <c r="D84" s="13"/>
      <c r="E84" s="13"/>
      <c r="F84" s="13"/>
      <c r="G84" s="13"/>
      <c r="H84" s="550"/>
      <c r="I84" s="32"/>
      <c r="J84" s="4"/>
      <c r="K84" s="46"/>
      <c r="L84" s="714"/>
      <c r="M84" s="690"/>
      <c r="N84" s="4"/>
      <c r="O84" s="696"/>
      <c r="X84" s="688"/>
    </row>
    <row r="85" spans="2:45" ht="15" thickBot="1" x14ac:dyDescent="0.4">
      <c r="B85" s="40">
        <v>601.79999999999995</v>
      </c>
      <c r="C85" s="13"/>
      <c r="D85" s="13"/>
      <c r="E85" s="13"/>
      <c r="F85" s="13"/>
      <c r="G85" s="13"/>
      <c r="H85" s="550"/>
      <c r="I85" s="32"/>
      <c r="J85" s="4"/>
      <c r="K85" s="46"/>
      <c r="L85" s="744"/>
      <c r="M85" s="690"/>
      <c r="N85" s="4"/>
      <c r="O85" s="696"/>
      <c r="W85" s="67"/>
      <c r="X85" s="698"/>
    </row>
    <row r="86" spans="2:45" ht="15" customHeight="1" thickTop="1" x14ac:dyDescent="0.35">
      <c r="B86" s="40">
        <v>601.9</v>
      </c>
      <c r="C86" s="13"/>
      <c r="D86" s="13"/>
      <c r="E86" s="13"/>
      <c r="F86" s="13"/>
      <c r="G86" s="13"/>
      <c r="H86" s="550"/>
      <c r="I86" s="123">
        <v>601.9</v>
      </c>
      <c r="J86" s="124"/>
      <c r="K86" s="125"/>
      <c r="L86" s="711" t="s">
        <v>582</v>
      </c>
      <c r="M86" s="692">
        <v>4</v>
      </c>
      <c r="N86" s="124"/>
      <c r="O86" s="694">
        <f>M86*S86*W86</f>
        <v>0</v>
      </c>
      <c r="P86" t="b">
        <v>1</v>
      </c>
      <c r="Q86" t="b">
        <v>0</v>
      </c>
      <c r="R86" s="62" t="b">
        <v>0</v>
      </c>
      <c r="S86" s="62" t="b">
        <v>1</v>
      </c>
      <c r="T86" s="62" t="b">
        <v>0</v>
      </c>
      <c r="U86" s="62"/>
      <c r="V86" s="62"/>
      <c r="W86" s="77"/>
      <c r="X86" s="687"/>
      <c r="AC86" t="b">
        <f>OR(AD86:AE86)</f>
        <v>0</v>
      </c>
      <c r="AD86" t="b">
        <v>0</v>
      </c>
      <c r="AE86" t="b">
        <f>AND(W86=TRUE,LEN(X86)=0)</f>
        <v>0</v>
      </c>
      <c r="AL86" t="str">
        <f>SUBSTITUTE(SUBSTITUTE(SUBSTITUTE("dpa"&amp;$B86&amp;$C86&amp;$D86&amp;$E86&amp;$F86,".","_"),"(","_"),")","")</f>
        <v>dpa601_9</v>
      </c>
      <c r="AM86">
        <f>M86</f>
        <v>4</v>
      </c>
      <c r="AN86" t="str">
        <f>SUBSTITUTE(SUBSTITUTE(SUBSTITUTE("dpc"&amp;$B86&amp;$C86&amp;$D86&amp;$E86&amp;$F86,".","_"),"(","_"),")","")</f>
        <v>dpc601_9</v>
      </c>
      <c r="AO86">
        <f>O86</f>
        <v>0</v>
      </c>
      <c r="AP86" t="str">
        <f t="shared" ref="AP86" si="27">SUBSTITUTE(SUBSTITUTE(SUBSTITUTE("dch"&amp;$B86&amp;$C86&amp;$D86&amp;$E86&amp;$F86,".","_"),"(","_"),")","")</f>
        <v>dch601_9</v>
      </c>
      <c r="AQ86">
        <f>W86</f>
        <v>0</v>
      </c>
      <c r="AR86" t="str">
        <f>SUBSTITUTE(SUBSTITUTE(SUBSTITUTE("dnt"&amp;$B86&amp;$C86&amp;$D86&amp;$E86&amp;$F86,".","_"),"(","_"),")","")</f>
        <v>dnt601_9</v>
      </c>
      <c r="AS86">
        <f>X86</f>
        <v>0</v>
      </c>
    </row>
    <row r="87" spans="2:45" x14ac:dyDescent="0.35">
      <c r="B87" s="40">
        <v>601.9</v>
      </c>
      <c r="C87" s="13"/>
      <c r="D87" s="13"/>
      <c r="E87" s="13"/>
      <c r="F87" s="13"/>
      <c r="G87" s="13"/>
      <c r="H87" s="550"/>
      <c r="I87" s="32"/>
      <c r="J87" s="4"/>
      <c r="K87" s="46"/>
      <c r="L87" s="706"/>
      <c r="M87" s="690"/>
      <c r="N87" s="4"/>
      <c r="O87" s="696"/>
      <c r="X87" s="688"/>
    </row>
    <row r="88" spans="2:45" x14ac:dyDescent="0.35">
      <c r="B88" s="40">
        <v>601.9</v>
      </c>
      <c r="C88" s="13"/>
      <c r="D88" s="13"/>
      <c r="E88" s="13"/>
      <c r="F88" s="13"/>
      <c r="G88" s="13"/>
      <c r="H88" s="550"/>
      <c r="I88" s="32"/>
      <c r="J88" s="4"/>
      <c r="K88" s="46"/>
      <c r="L88" s="706"/>
      <c r="M88" s="690"/>
      <c r="N88" s="4"/>
      <c r="O88" s="696"/>
      <c r="X88" s="688"/>
    </row>
    <row r="89" spans="2:45" x14ac:dyDescent="0.35">
      <c r="B89" s="40">
        <v>601.9</v>
      </c>
      <c r="C89" s="13"/>
      <c r="D89" s="13"/>
      <c r="E89" s="13"/>
      <c r="F89" s="13"/>
      <c r="G89" s="13"/>
      <c r="H89" s="550"/>
      <c r="I89" s="32"/>
      <c r="J89" s="4"/>
      <c r="K89" s="46"/>
      <c r="L89" s="714" t="s">
        <v>1299</v>
      </c>
      <c r="M89" s="690"/>
      <c r="N89" s="4"/>
      <c r="O89" s="696"/>
      <c r="X89" s="688"/>
    </row>
    <row r="90" spans="2:45" x14ac:dyDescent="0.35">
      <c r="B90" s="40">
        <v>601.9</v>
      </c>
      <c r="C90" s="13"/>
      <c r="D90" s="13"/>
      <c r="E90" s="13"/>
      <c r="F90" s="13"/>
      <c r="G90" s="13"/>
      <c r="H90" s="550"/>
      <c r="I90" s="32"/>
      <c r="J90" s="4"/>
      <c r="K90" s="46"/>
      <c r="L90" s="714"/>
      <c r="M90" s="690"/>
      <c r="N90" s="4"/>
      <c r="O90" s="696"/>
      <c r="X90" s="688"/>
    </row>
    <row r="91" spans="2:45" x14ac:dyDescent="0.35">
      <c r="B91" s="40">
        <v>601.9</v>
      </c>
      <c r="C91" s="13"/>
      <c r="D91" s="13"/>
      <c r="E91" s="13"/>
      <c r="F91" s="13"/>
      <c r="G91" s="13"/>
      <c r="H91" s="550"/>
      <c r="I91" s="32"/>
      <c r="J91" s="4"/>
      <c r="K91" s="46"/>
      <c r="L91" s="714"/>
      <c r="M91" s="690"/>
      <c r="N91" s="4"/>
      <c r="O91" s="696"/>
      <c r="X91" s="688"/>
    </row>
    <row r="92" spans="2:45" ht="18.5" x14ac:dyDescent="0.45">
      <c r="B92" s="40">
        <v>602</v>
      </c>
      <c r="C92" s="13"/>
      <c r="D92" s="13"/>
      <c r="E92" s="13"/>
      <c r="F92" s="13"/>
      <c r="G92" s="13"/>
      <c r="H92" s="550"/>
      <c r="I92" s="38" t="s">
        <v>583</v>
      </c>
      <c r="J92" s="38"/>
      <c r="K92" s="38"/>
      <c r="L92" s="174"/>
      <c r="M92" s="286"/>
      <c r="N92" s="344"/>
      <c r="O92" s="340"/>
      <c r="P92" s="15"/>
      <c r="Q92" s="15"/>
      <c r="R92" s="15"/>
      <c r="S92" s="15"/>
      <c r="T92" s="15"/>
      <c r="U92" s="15"/>
      <c r="V92" s="15"/>
      <c r="W92" s="15"/>
      <c r="X92" s="15"/>
    </row>
    <row r="93" spans="2:45" x14ac:dyDescent="0.35">
      <c r="B93" s="40" t="s">
        <v>3343</v>
      </c>
      <c r="C93" s="13"/>
      <c r="D93" s="13"/>
      <c r="E93" s="13"/>
      <c r="F93" s="13"/>
      <c r="G93" s="13"/>
      <c r="H93" s="550"/>
      <c r="I93" s="41" t="s">
        <v>3343</v>
      </c>
      <c r="J93" s="4"/>
      <c r="K93" s="46"/>
      <c r="L93" s="706" t="s">
        <v>584</v>
      </c>
      <c r="M93" s="43"/>
      <c r="N93" s="4"/>
      <c r="O93" s="85"/>
    </row>
    <row r="94" spans="2:45" ht="15" thickBot="1" x14ac:dyDescent="0.4">
      <c r="B94" s="40" t="s">
        <v>3343</v>
      </c>
      <c r="C94" s="13"/>
      <c r="D94" s="13"/>
      <c r="E94" s="13"/>
      <c r="F94" s="13"/>
      <c r="G94" s="13"/>
      <c r="H94" s="550"/>
      <c r="I94" s="32"/>
      <c r="J94" s="4"/>
      <c r="K94" s="46"/>
      <c r="L94" s="706"/>
      <c r="M94" s="43"/>
      <c r="N94" s="4"/>
      <c r="O94" s="85"/>
    </row>
    <row r="95" spans="2:45" ht="15.5" thickTop="1" thickBot="1" x14ac:dyDescent="0.4">
      <c r="B95" s="40">
        <v>602.1</v>
      </c>
      <c r="C95" s="13"/>
      <c r="D95" s="13"/>
      <c r="E95" s="13"/>
      <c r="F95" s="13"/>
      <c r="G95" s="13"/>
      <c r="H95" s="550"/>
      <c r="I95" s="123">
        <v>602.1</v>
      </c>
      <c r="J95" s="124"/>
      <c r="K95" s="125"/>
      <c r="L95" s="222" t="s">
        <v>585</v>
      </c>
      <c r="M95" s="199"/>
      <c r="N95" s="124"/>
      <c r="O95" s="341"/>
      <c r="P95" s="62"/>
      <c r="Q95" s="62"/>
      <c r="R95" s="62"/>
      <c r="S95" s="62"/>
      <c r="T95" s="62"/>
      <c r="U95" s="62"/>
      <c r="V95" s="62"/>
      <c r="W95" s="62"/>
      <c r="X95" s="62"/>
    </row>
    <row r="96" spans="2:45" ht="15" thickTop="1" x14ac:dyDescent="0.35">
      <c r="B96" s="40" t="s">
        <v>586</v>
      </c>
      <c r="C96" s="13"/>
      <c r="D96" s="13"/>
      <c r="E96" s="13"/>
      <c r="F96" s="13"/>
      <c r="G96" s="13"/>
      <c r="H96" s="550"/>
      <c r="I96" s="123" t="s">
        <v>586</v>
      </c>
      <c r="J96" s="124"/>
      <c r="K96" s="125"/>
      <c r="L96" s="222" t="s">
        <v>587</v>
      </c>
      <c r="M96" s="199"/>
      <c r="N96" s="124"/>
      <c r="O96" s="341"/>
      <c r="P96" s="62"/>
      <c r="Q96" s="62"/>
      <c r="R96" s="62"/>
      <c r="S96" s="62"/>
      <c r="T96" s="62"/>
      <c r="U96" s="62"/>
      <c r="V96" s="62"/>
      <c r="W96" s="62"/>
      <c r="X96" s="62"/>
    </row>
    <row r="97" spans="2:45" x14ac:dyDescent="0.35">
      <c r="B97" s="40" t="s">
        <v>588</v>
      </c>
      <c r="C97" s="40"/>
      <c r="D97" s="13"/>
      <c r="E97" s="13"/>
      <c r="F97" s="13"/>
      <c r="G97" s="13"/>
      <c r="H97" s="550"/>
      <c r="I97" s="32" t="s">
        <v>588</v>
      </c>
      <c r="J97" s="4"/>
      <c r="K97" s="46"/>
      <c r="L97" s="706" t="s">
        <v>589</v>
      </c>
      <c r="M97" s="740" t="str">
        <f>IF(R97,"Mandatory","N/A")</f>
        <v>N/A</v>
      </c>
      <c r="N97" s="4"/>
      <c r="O97" s="85"/>
      <c r="P97" t="b">
        <v>1</v>
      </c>
      <c r="Q97" t="b">
        <v>0</v>
      </c>
      <c r="R97" t="b">
        <f>S97</f>
        <v>0</v>
      </c>
      <c r="S97" t="b">
        <f>IF(OR(AZ30=2,AZ30=3),FALSE,TRUE)</f>
        <v>0</v>
      </c>
      <c r="T97" t="b">
        <f>AND(NOT(S97),W97="Met")</f>
        <v>0</v>
      </c>
      <c r="U97" t="str">
        <f>SUBSTITUTE(SUBSTITUTE(SUBSTITUTE("dd"&amp;B97&amp;C97&amp;D97&amp;E97&amp;F97,".","_"),"(","_"),")","")</f>
        <v>dd602_1_1_1</v>
      </c>
      <c r="W97" s="9"/>
      <c r="X97" s="688"/>
      <c r="AC97" t="b">
        <f>OR(AD97:AE97)</f>
        <v>0</v>
      </c>
      <c r="AD97" t="b">
        <f>T97</f>
        <v>0</v>
      </c>
      <c r="AE97" t="b">
        <f>OR(AND(R97,NOT(W97="Met"),NOT(W97="N/A")),AND(W97="N/A",ISBLANK(X97)))</f>
        <v>0</v>
      </c>
      <c r="AL97" t="str">
        <f>SUBSTITUTE(SUBSTITUTE(SUBSTITUTE("dpa"&amp;$B97&amp;$C97&amp;$D97&amp;$E97&amp;$F97,".","_"),"(","_"),")","")</f>
        <v>dpa602_1_1_1</v>
      </c>
      <c r="AM97" t="str">
        <f>M97</f>
        <v>N/A</v>
      </c>
      <c r="AP97" t="str">
        <f t="shared" ref="AP97" si="28">SUBSTITUTE(SUBSTITUTE(SUBSTITUTE("dch"&amp;$B97&amp;$C97&amp;$D97&amp;$E97&amp;$F97,".","_"),"(","_"),")","")</f>
        <v>dch602_1_1_1</v>
      </c>
      <c r="AQ97">
        <f>W97</f>
        <v>0</v>
      </c>
      <c r="AR97" t="str">
        <f>SUBSTITUTE(SUBSTITUTE(SUBSTITUTE("dnt"&amp;$B97&amp;$C97&amp;$D97&amp;$E97&amp;$F97,".","_"),"(","_"),")","")</f>
        <v>dnt602_1_1_1</v>
      </c>
      <c r="AS97">
        <f>X97</f>
        <v>0</v>
      </c>
    </row>
    <row r="98" spans="2:45" x14ac:dyDescent="0.35">
      <c r="B98" s="40" t="s">
        <v>588</v>
      </c>
      <c r="C98" s="40"/>
      <c r="D98" s="13"/>
      <c r="E98" s="13"/>
      <c r="F98" s="13"/>
      <c r="G98" s="13"/>
      <c r="H98" s="550"/>
      <c r="I98" s="32"/>
      <c r="J98" s="4"/>
      <c r="K98" s="46"/>
      <c r="L98" s="706"/>
      <c r="M98" s="740"/>
      <c r="N98" s="4"/>
      <c r="O98" s="85"/>
      <c r="X98" s="688"/>
    </row>
    <row r="99" spans="2:45" x14ac:dyDescent="0.35">
      <c r="B99" s="40" t="s">
        <v>588</v>
      </c>
      <c r="C99" s="40"/>
      <c r="D99" s="13"/>
      <c r="E99" s="13"/>
      <c r="F99" s="13"/>
      <c r="G99" s="13"/>
      <c r="H99" s="550"/>
      <c r="I99" s="161"/>
      <c r="J99" s="155"/>
      <c r="K99" s="116"/>
      <c r="L99" s="739"/>
      <c r="M99" s="741"/>
      <c r="N99" s="4"/>
      <c r="O99" s="85"/>
      <c r="X99" s="688"/>
    </row>
    <row r="100" spans="2:45" x14ac:dyDescent="0.35">
      <c r="B100" s="40" t="s">
        <v>590</v>
      </c>
      <c r="C100" s="40"/>
      <c r="D100" s="13"/>
      <c r="E100" s="13"/>
      <c r="F100" s="13"/>
      <c r="G100" s="13"/>
      <c r="H100" s="550"/>
      <c r="I100" s="32" t="s">
        <v>590</v>
      </c>
      <c r="J100" s="4"/>
      <c r="K100" s="46"/>
      <c r="L100" s="706" t="s">
        <v>591</v>
      </c>
      <c r="M100" s="690">
        <v>3</v>
      </c>
      <c r="N100" s="4"/>
      <c r="O100" s="696">
        <f>M100*S100*W100</f>
        <v>0</v>
      </c>
      <c r="P100" t="b">
        <v>1</v>
      </c>
      <c r="Q100" t="b">
        <v>0</v>
      </c>
      <c r="R100" t="b">
        <v>0</v>
      </c>
      <c r="S100" t="b">
        <v>1</v>
      </c>
      <c r="T100" t="b">
        <v>0</v>
      </c>
      <c r="W100" s="17"/>
      <c r="X100" s="688"/>
      <c r="AL100" t="str">
        <f>SUBSTITUTE(SUBSTITUTE(SUBSTITUTE("dpa"&amp;$B100&amp;$C100&amp;$D100&amp;$E100&amp;$F100,".","_"),"(","_"),")","")</f>
        <v xml:space="preserve">dpa602_1_1_2 </v>
      </c>
      <c r="AM100">
        <f>M100</f>
        <v>3</v>
      </c>
      <c r="AN100" t="str">
        <f>SUBSTITUTE(SUBSTITUTE(SUBSTITUTE("dpc"&amp;$B100&amp;$C100&amp;$D100&amp;$E100&amp;$F100,".","_"),"(","_"),")","")</f>
        <v xml:space="preserve">dpc602_1_1_2 </v>
      </c>
      <c r="AO100">
        <f>O100</f>
        <v>0</v>
      </c>
      <c r="AP100" t="str">
        <f t="shared" ref="AP100" si="29">SUBSTITUTE(SUBSTITUTE(SUBSTITUTE("dch"&amp;$B100&amp;$C100&amp;$D100&amp;$E100&amp;$F100,".","_"),"(","_"),")","")</f>
        <v xml:space="preserve">dch602_1_1_2 </v>
      </c>
      <c r="AQ100">
        <f>W100</f>
        <v>0</v>
      </c>
      <c r="AR100" t="str">
        <f>SUBSTITUTE(SUBSTITUTE(SUBSTITUTE("dnt"&amp;$B100&amp;$C100&amp;$D100&amp;$E100&amp;$F100,".","_"),"(","_"),")","")</f>
        <v xml:space="preserve">dnt602_1_1_2 </v>
      </c>
      <c r="AS100">
        <f>X100</f>
        <v>0</v>
      </c>
    </row>
    <row r="101" spans="2:45" ht="15" thickBot="1" x14ac:dyDescent="0.4">
      <c r="B101" s="40" t="s">
        <v>590</v>
      </c>
      <c r="C101" s="40"/>
      <c r="D101" s="13"/>
      <c r="E101" s="13"/>
      <c r="F101" s="13"/>
      <c r="G101" s="13"/>
      <c r="H101" s="550"/>
      <c r="I101" s="32"/>
      <c r="J101" s="4"/>
      <c r="K101" s="46"/>
      <c r="L101" s="706"/>
      <c r="M101" s="690"/>
      <c r="N101" s="4"/>
      <c r="O101" s="696"/>
      <c r="X101" s="698"/>
    </row>
    <row r="102" spans="2:45" ht="15" thickTop="1" x14ac:dyDescent="0.35">
      <c r="B102" s="13" t="s">
        <v>592</v>
      </c>
      <c r="C102" s="13"/>
      <c r="D102" s="13"/>
      <c r="E102" s="13"/>
      <c r="F102" s="13"/>
      <c r="G102" s="13"/>
      <c r="H102" s="550"/>
      <c r="I102" s="123" t="s">
        <v>3344</v>
      </c>
      <c r="J102" s="124"/>
      <c r="K102" s="125"/>
      <c r="L102" s="711" t="s">
        <v>593</v>
      </c>
      <c r="M102" s="692">
        <v>4</v>
      </c>
      <c r="N102" s="124"/>
      <c r="O102" s="694">
        <f>M102*OR(S104*W104,S105*W105)</f>
        <v>4</v>
      </c>
      <c r="P102" s="62"/>
      <c r="Q102" s="62"/>
      <c r="R102" s="62"/>
      <c r="S102" s="62"/>
      <c r="T102" s="62"/>
      <c r="U102" s="62"/>
      <c r="V102" s="62"/>
      <c r="W102" s="62"/>
      <c r="X102" s="687"/>
      <c r="AL102" t="str">
        <f>SUBSTITUTE(SUBSTITUTE(SUBSTITUTE("dpa"&amp;$B102&amp;$C102&amp;$D102&amp;$E102&amp;$F102,".","_"),"(","_"),")","")</f>
        <v xml:space="preserve">dpa602_1_2 </v>
      </c>
      <c r="AM102">
        <f>M102</f>
        <v>4</v>
      </c>
      <c r="AN102" t="str">
        <f>SUBSTITUTE(SUBSTITUTE(SUBSTITUTE("dpc"&amp;$B102&amp;$C102&amp;$D102&amp;$E102&amp;$F102,".","_"),"(","_"),")","")</f>
        <v xml:space="preserve">dpc602_1_2 </v>
      </c>
      <c r="AO102">
        <f>O102</f>
        <v>4</v>
      </c>
      <c r="AR102" t="str">
        <f>SUBSTITUTE(SUBSTITUTE(SUBSTITUTE("dnt"&amp;$B102&amp;$C102&amp;$D102&amp;$E102&amp;$F102,".","_"),"(","_"),")","")</f>
        <v xml:space="preserve">dnt602_1_2 </v>
      </c>
      <c r="AS102">
        <f>X102</f>
        <v>0</v>
      </c>
    </row>
    <row r="103" spans="2:45" x14ac:dyDescent="0.35">
      <c r="B103" s="13" t="s">
        <v>592</v>
      </c>
      <c r="C103" s="13"/>
      <c r="D103" s="13"/>
      <c r="E103" s="13"/>
      <c r="F103" s="13"/>
      <c r="G103" s="13"/>
      <c r="H103" s="550"/>
      <c r="I103" s="32"/>
      <c r="J103" s="4"/>
      <c r="K103" s="46"/>
      <c r="L103" s="706"/>
      <c r="M103" s="690"/>
      <c r="N103" s="4"/>
      <c r="O103" s="696"/>
      <c r="X103" s="688"/>
    </row>
    <row r="104" spans="2:45" x14ac:dyDescent="0.35">
      <c r="B104" s="13" t="s">
        <v>592</v>
      </c>
      <c r="C104" s="13"/>
      <c r="D104" s="13"/>
      <c r="E104" s="13" t="s">
        <v>270</v>
      </c>
      <c r="F104" s="13"/>
      <c r="G104" s="13"/>
      <c r="H104" s="550"/>
      <c r="I104" s="32"/>
      <c r="J104" s="148" t="s">
        <v>270</v>
      </c>
      <c r="K104" s="116"/>
      <c r="L104" s="214" t="s">
        <v>594</v>
      </c>
      <c r="M104" s="690"/>
      <c r="N104" s="4"/>
      <c r="O104" s="696"/>
      <c r="P104" t="b">
        <v>1</v>
      </c>
      <c r="Q104" t="b">
        <v>0</v>
      </c>
      <c r="R104" t="b">
        <v>0</v>
      </c>
      <c r="S104" t="b">
        <f>NOT(AZ30=4)</f>
        <v>1</v>
      </c>
      <c r="T104" t="b">
        <f>AND(NOT(S104),W104=TRUE)</f>
        <v>0</v>
      </c>
      <c r="W104" s="17" t="b">
        <v>1</v>
      </c>
      <c r="X104" s="688"/>
      <c r="AC104" t="b">
        <f>OR(AD104:AE104)</f>
        <v>0</v>
      </c>
      <c r="AD104" t="b">
        <f>T104</f>
        <v>0</v>
      </c>
      <c r="AP104" t="str">
        <f t="shared" ref="AP104:AP105" si="30">SUBSTITUTE(SUBSTITUTE(SUBSTITUTE("dch"&amp;$B104&amp;$C104&amp;$D104&amp;$E104&amp;$F104,".","_"),"(","_"),")","")</f>
        <v>dch602_1_2 _1</v>
      </c>
      <c r="AQ104" t="b">
        <f>W104</f>
        <v>1</v>
      </c>
    </row>
    <row r="105" spans="2:45" ht="15" thickBot="1" x14ac:dyDescent="0.4">
      <c r="B105" s="13" t="s">
        <v>592</v>
      </c>
      <c r="C105" s="13"/>
      <c r="D105" s="13"/>
      <c r="E105" s="13" t="s">
        <v>272</v>
      </c>
      <c r="F105" s="13"/>
      <c r="G105" s="13"/>
      <c r="H105" s="550"/>
      <c r="I105" s="132"/>
      <c r="J105" s="133" t="s">
        <v>272</v>
      </c>
      <c r="K105" s="56"/>
      <c r="L105" s="223" t="s">
        <v>595</v>
      </c>
      <c r="M105" s="693"/>
      <c r="N105" s="183"/>
      <c r="O105" s="695"/>
      <c r="P105" s="58"/>
      <c r="Q105" s="58"/>
      <c r="R105" s="58" t="b">
        <v>0</v>
      </c>
      <c r="S105" s="58" t="b">
        <f>NOT(AZ30=4)</f>
        <v>1</v>
      </c>
      <c r="T105" t="b">
        <f>AND(NOT(S105),W105=TRUE)</f>
        <v>0</v>
      </c>
      <c r="U105" s="58"/>
      <c r="V105" s="58"/>
      <c r="W105" s="17"/>
      <c r="X105" s="689"/>
      <c r="AC105" t="b">
        <f>OR(AD105:AE105)</f>
        <v>0</v>
      </c>
      <c r="AD105" t="b">
        <f>T105</f>
        <v>0</v>
      </c>
      <c r="AP105" t="str">
        <f t="shared" si="30"/>
        <v>dch602_1_2 _2</v>
      </c>
      <c r="AQ105">
        <f>W105</f>
        <v>0</v>
      </c>
    </row>
    <row r="106" spans="2:45" ht="15" thickTop="1" x14ac:dyDescent="0.35">
      <c r="B106" s="40" t="s">
        <v>596</v>
      </c>
      <c r="C106" s="13"/>
      <c r="D106" s="13"/>
      <c r="E106" s="13"/>
      <c r="F106" s="13"/>
      <c r="G106" s="13"/>
      <c r="H106" s="550"/>
      <c r="I106" s="123" t="s">
        <v>596</v>
      </c>
      <c r="J106" s="124"/>
      <c r="K106" s="125"/>
      <c r="L106" s="222" t="s">
        <v>597</v>
      </c>
      <c r="M106" s="199"/>
      <c r="N106" s="124"/>
      <c r="O106" s="341"/>
      <c r="P106" s="62"/>
      <c r="Q106" s="62"/>
      <c r="R106" s="62"/>
      <c r="S106" s="62"/>
      <c r="T106" s="62"/>
      <c r="U106" s="62"/>
      <c r="V106" s="62"/>
      <c r="W106" s="212"/>
      <c r="X106" s="62"/>
    </row>
    <row r="107" spans="2:45" x14ac:dyDescent="0.35">
      <c r="B107" s="40" t="s">
        <v>598</v>
      </c>
      <c r="C107" s="40"/>
      <c r="D107" s="13"/>
      <c r="E107" s="13"/>
      <c r="F107" s="13"/>
      <c r="G107" s="13"/>
      <c r="H107" s="550"/>
      <c r="I107" s="32" t="s">
        <v>598</v>
      </c>
      <c r="J107" s="4"/>
      <c r="K107" s="46"/>
      <c r="L107" s="706" t="s">
        <v>599</v>
      </c>
      <c r="M107" s="740" t="str">
        <f>IF(R107,"Mandatory","N/A")</f>
        <v>N/A</v>
      </c>
      <c r="N107" s="4"/>
      <c r="O107" s="85"/>
      <c r="P107" t="b">
        <v>1</v>
      </c>
      <c r="Q107" t="b">
        <v>0</v>
      </c>
      <c r="R107" t="b">
        <f>S107</f>
        <v>0</v>
      </c>
      <c r="S107" t="b">
        <f>OR(AZ30=1,AZ30=5,AZ30=6)</f>
        <v>0</v>
      </c>
      <c r="T107" t="b">
        <f>AND(NOT(S107),W107=TRUE)</f>
        <v>0</v>
      </c>
      <c r="W107" s="17"/>
      <c r="X107" s="688"/>
      <c r="AC107" t="b">
        <f>OR(AD107:AE107)</f>
        <v>0</v>
      </c>
      <c r="AD107" t="b">
        <f>T107</f>
        <v>0</v>
      </c>
      <c r="AE107" t="b">
        <f>AND(R107,NOT(W107))</f>
        <v>0</v>
      </c>
      <c r="AL107" t="str">
        <f>SUBSTITUTE(SUBSTITUTE(SUBSTITUTE("dpa"&amp;$B107&amp;$C107&amp;$D107&amp;$E107&amp;$F107,".","_"),"(","_"),")","")</f>
        <v>dpa602_1_3_1</v>
      </c>
      <c r="AM107" t="str">
        <f>M107</f>
        <v>N/A</v>
      </c>
      <c r="AP107" t="str">
        <f t="shared" ref="AP107" si="31">SUBSTITUTE(SUBSTITUTE(SUBSTITUTE("dch"&amp;$B107&amp;$C107&amp;$D107&amp;$E107&amp;$F107,".","_"),"(","_"),")","")</f>
        <v>dch602_1_3_1</v>
      </c>
      <c r="AQ107">
        <f>W107</f>
        <v>0</v>
      </c>
      <c r="AR107" t="str">
        <f>SUBSTITUTE(SUBSTITUTE(SUBSTITUTE("dnt"&amp;$B107&amp;$C107&amp;$D107&amp;$E107&amp;$F107,".","_"),"(","_"),")","")</f>
        <v>dnt602_1_3_1</v>
      </c>
      <c r="AS107">
        <f>X107</f>
        <v>0</v>
      </c>
    </row>
    <row r="108" spans="2:45" x14ac:dyDescent="0.35">
      <c r="B108" s="40" t="s">
        <v>598</v>
      </c>
      <c r="C108" s="40"/>
      <c r="D108" s="13"/>
      <c r="E108" s="13"/>
      <c r="F108" s="13"/>
      <c r="G108" s="13"/>
      <c r="H108" s="550"/>
      <c r="I108" s="161"/>
      <c r="J108" s="155"/>
      <c r="K108" s="116"/>
      <c r="L108" s="739"/>
      <c r="M108" s="741"/>
      <c r="N108" s="4"/>
      <c r="O108" s="85"/>
      <c r="X108" s="688"/>
    </row>
    <row r="109" spans="2:45" x14ac:dyDescent="0.35">
      <c r="B109" s="452" t="s">
        <v>600</v>
      </c>
      <c r="C109" s="452"/>
      <c r="D109" s="13"/>
      <c r="E109" s="13"/>
      <c r="F109" s="13"/>
      <c r="G109" s="13"/>
      <c r="H109" s="550"/>
      <c r="I109" s="32" t="s">
        <v>600</v>
      </c>
      <c r="J109" s="4"/>
      <c r="K109" s="46"/>
      <c r="L109" s="706" t="s">
        <v>601</v>
      </c>
      <c r="M109" s="690">
        <v>4</v>
      </c>
      <c r="N109" s="4"/>
      <c r="O109" s="696">
        <f>M109*S109*W109</f>
        <v>4</v>
      </c>
      <c r="P109" t="b">
        <v>1</v>
      </c>
      <c r="Q109" t="b">
        <v>0</v>
      </c>
      <c r="R109" t="b">
        <v>0</v>
      </c>
      <c r="S109" t="b">
        <v>1</v>
      </c>
      <c r="T109" t="b">
        <v>0</v>
      </c>
      <c r="W109" s="17" t="b">
        <v>1</v>
      </c>
      <c r="X109" s="688"/>
      <c r="AL109" t="str">
        <f>SUBSTITUTE(SUBSTITUTE(SUBSTITUTE("dpa"&amp;$B109&amp;$C109&amp;$D109&amp;$E109&amp;$F109,".","_"),"(","_"),")","")</f>
        <v>dpa602_1_3_2</v>
      </c>
      <c r="AM109">
        <f>M109</f>
        <v>4</v>
      </c>
      <c r="AN109" t="str">
        <f>SUBSTITUTE(SUBSTITUTE(SUBSTITUTE("dpc"&amp;$B109&amp;$C109&amp;$D109&amp;$E109&amp;$F109,".","_"),"(","_"),")","")</f>
        <v>dpc602_1_3_2</v>
      </c>
      <c r="AO109">
        <f>O109</f>
        <v>4</v>
      </c>
      <c r="AP109" t="str">
        <f t="shared" ref="AP109" si="32">SUBSTITUTE(SUBSTITUTE(SUBSTITUTE("dch"&amp;$B109&amp;$C109&amp;$D109&amp;$E109&amp;$F109,".","_"),"(","_"),")","")</f>
        <v>dch602_1_3_2</v>
      </c>
      <c r="AQ109" t="b">
        <f>W109</f>
        <v>1</v>
      </c>
      <c r="AR109" t="str">
        <f>SUBSTITUTE(SUBSTITUTE(SUBSTITUTE("dnt"&amp;$B109&amp;$C109&amp;$D109&amp;$E109&amp;$F109,".","_"),"(","_"),")","")</f>
        <v>dnt602_1_3_2</v>
      </c>
      <c r="AS109">
        <f>X109</f>
        <v>0</v>
      </c>
    </row>
    <row r="110" spans="2:45" ht="15" thickBot="1" x14ac:dyDescent="0.4">
      <c r="B110" s="452" t="s">
        <v>600</v>
      </c>
      <c r="C110" s="452"/>
      <c r="D110" s="13"/>
      <c r="E110" s="13"/>
      <c r="F110" s="13"/>
      <c r="G110" s="13"/>
      <c r="H110" s="550"/>
      <c r="I110" s="32"/>
      <c r="J110" s="4"/>
      <c r="K110" s="46"/>
      <c r="L110" s="706"/>
      <c r="M110" s="690"/>
      <c r="N110" s="4"/>
      <c r="O110" s="696"/>
      <c r="X110" s="698"/>
    </row>
    <row r="111" spans="2:45" ht="15" thickTop="1" x14ac:dyDescent="0.35">
      <c r="B111" s="40" t="s">
        <v>602</v>
      </c>
      <c r="C111" s="13"/>
      <c r="D111" s="13"/>
      <c r="E111" s="13"/>
      <c r="F111" s="13"/>
      <c r="G111" s="13"/>
      <c r="H111" s="550"/>
      <c r="I111" s="123" t="s">
        <v>602</v>
      </c>
      <c r="J111" s="124"/>
      <c r="K111" s="125"/>
      <c r="L111" s="222" t="s">
        <v>603</v>
      </c>
      <c r="M111" s="199"/>
      <c r="N111" s="124"/>
      <c r="O111" s="341"/>
      <c r="P111" s="62"/>
      <c r="Q111" s="62"/>
      <c r="R111" s="62"/>
      <c r="S111" s="62"/>
      <c r="T111" s="62"/>
      <c r="U111" s="62"/>
      <c r="V111" s="62"/>
      <c r="W111" s="62"/>
      <c r="X111" s="62"/>
    </row>
    <row r="112" spans="2:45" x14ac:dyDescent="0.35">
      <c r="B112" s="452" t="s">
        <v>604</v>
      </c>
      <c r="C112" s="452"/>
      <c r="D112" s="13"/>
      <c r="E112" s="13"/>
      <c r="F112" s="13"/>
      <c r="G112" s="13"/>
      <c r="H112" s="550"/>
      <c r="I112" s="32" t="s">
        <v>604</v>
      </c>
      <c r="J112" s="4"/>
      <c r="K112" s="46"/>
      <c r="L112" s="706" t="s">
        <v>605</v>
      </c>
      <c r="M112" s="43"/>
      <c r="N112" s="4"/>
      <c r="O112" s="85"/>
    </row>
    <row r="113" spans="2:45" x14ac:dyDescent="0.35">
      <c r="B113" s="452" t="s">
        <v>604</v>
      </c>
      <c r="C113" s="452"/>
      <c r="D113" s="13"/>
      <c r="E113" s="13"/>
      <c r="F113" s="13"/>
      <c r="G113" s="13"/>
      <c r="H113" s="550"/>
      <c r="I113" s="32"/>
      <c r="J113" s="4"/>
      <c r="K113" s="46"/>
      <c r="L113" s="706"/>
      <c r="M113" s="43"/>
      <c r="N113" s="4"/>
      <c r="O113" s="85"/>
    </row>
    <row r="114" spans="2:45" x14ac:dyDescent="0.35">
      <c r="B114" s="452" t="s">
        <v>604</v>
      </c>
      <c r="C114" s="452"/>
      <c r="D114" s="13"/>
      <c r="E114" s="13"/>
      <c r="F114" s="13"/>
      <c r="G114" s="13"/>
      <c r="H114" s="550"/>
      <c r="I114" s="32"/>
      <c r="J114" s="4"/>
      <c r="K114" s="46"/>
      <c r="L114" s="706"/>
      <c r="M114" s="43"/>
      <c r="N114" s="4"/>
      <c r="O114" s="85"/>
    </row>
    <row r="115" spans="2:45" x14ac:dyDescent="0.35">
      <c r="B115" s="452" t="s">
        <v>604</v>
      </c>
      <c r="C115" s="452"/>
      <c r="D115" s="13"/>
      <c r="E115" s="13" t="s">
        <v>270</v>
      </c>
      <c r="F115" s="13"/>
      <c r="G115" s="13"/>
      <c r="H115" s="550"/>
      <c r="I115" s="32"/>
      <c r="J115" s="19" t="s">
        <v>270</v>
      </c>
      <c r="K115" s="46"/>
      <c r="L115" s="707" t="s">
        <v>606</v>
      </c>
      <c r="M115" s="690">
        <v>6</v>
      </c>
      <c r="N115" s="4"/>
      <c r="O115" s="696">
        <f>M115*S115*W115</f>
        <v>0</v>
      </c>
      <c r="P115" t="b">
        <v>1</v>
      </c>
      <c r="Q115" t="b">
        <v>0</v>
      </c>
      <c r="R115" t="b">
        <v>0</v>
      </c>
      <c r="S115" t="b">
        <f>OR(AZ30=2,AZ30=7)</f>
        <v>0</v>
      </c>
      <c r="T115" t="b">
        <f>AND(NOT(S115),W115=TRUE)</f>
        <v>0</v>
      </c>
      <c r="W115" s="17"/>
      <c r="X115" s="688"/>
      <c r="AC115" t="b">
        <f>OR(AD115:AE115)</f>
        <v>0</v>
      </c>
      <c r="AD115" t="b">
        <f>T115</f>
        <v>0</v>
      </c>
      <c r="AL115" t="str">
        <f>SUBSTITUTE(SUBSTITUTE(SUBSTITUTE("dpa"&amp;$B115&amp;$C115&amp;$D115&amp;$E115&amp;$F115,".","_"),"(","_"),")","")</f>
        <v>dpa602_1_4_1_1</v>
      </c>
      <c r="AM115">
        <f>M115</f>
        <v>6</v>
      </c>
      <c r="AN115" t="str">
        <f>SUBSTITUTE(SUBSTITUTE(SUBSTITUTE("dpc"&amp;$B115&amp;$C115&amp;$D115&amp;$E115&amp;$F115,".","_"),"(","_"),")","")</f>
        <v>dpc602_1_4_1_1</v>
      </c>
      <c r="AO115">
        <f>O115</f>
        <v>0</v>
      </c>
      <c r="AP115" t="str">
        <f t="shared" ref="AP115" si="33">SUBSTITUTE(SUBSTITUTE(SUBSTITUTE("dch"&amp;$B115&amp;$C115&amp;$D115&amp;$E115&amp;$F115,".","_"),"(","_"),")","")</f>
        <v>dch602_1_4_1_1</v>
      </c>
      <c r="AQ115">
        <f>W115</f>
        <v>0</v>
      </c>
      <c r="AR115" t="str">
        <f>SUBSTITUTE(SUBSTITUTE(SUBSTITUTE("dnt"&amp;$B115&amp;$C115&amp;$D115&amp;$E115&amp;$F115,".","_"),"(","_"),")","")</f>
        <v>dnt602_1_4_1_1</v>
      </c>
      <c r="AS115">
        <f>X115</f>
        <v>0</v>
      </c>
    </row>
    <row r="116" spans="2:45" x14ac:dyDescent="0.35">
      <c r="B116" s="452" t="s">
        <v>604</v>
      </c>
      <c r="C116" s="452"/>
      <c r="D116" s="13"/>
      <c r="E116" s="13" t="s">
        <v>270</v>
      </c>
      <c r="F116" s="13"/>
      <c r="G116" s="13"/>
      <c r="H116" s="550"/>
      <c r="I116" s="32"/>
      <c r="J116" s="155"/>
      <c r="K116" s="116"/>
      <c r="L116" s="709"/>
      <c r="M116" s="691"/>
      <c r="N116" s="155"/>
      <c r="O116" s="697"/>
      <c r="X116" s="688"/>
    </row>
    <row r="117" spans="2:45" x14ac:dyDescent="0.35">
      <c r="B117" s="452" t="s">
        <v>604</v>
      </c>
      <c r="C117" s="452"/>
      <c r="D117" s="13"/>
      <c r="E117" s="13" t="s">
        <v>272</v>
      </c>
      <c r="F117" s="13"/>
      <c r="G117" s="13"/>
      <c r="H117" s="550"/>
      <c r="I117" s="161"/>
      <c r="J117" s="148" t="s">
        <v>272</v>
      </c>
      <c r="K117" s="116"/>
      <c r="L117" s="214" t="s">
        <v>607</v>
      </c>
      <c r="M117" s="555" t="str">
        <f>IF(R117,"Mandatory","N/A")</f>
        <v>N/A</v>
      </c>
      <c r="N117" s="4"/>
      <c r="O117" s="85"/>
      <c r="P117" t="b">
        <v>1</v>
      </c>
      <c r="Q117" t="b">
        <v>0</v>
      </c>
      <c r="R117" t="b">
        <f>S117</f>
        <v>0</v>
      </c>
      <c r="S117" t="b">
        <f>OR(AZ30=2,AZ30=7)</f>
        <v>0</v>
      </c>
      <c r="T117" t="b">
        <f>AND(NOT(S117),LEN(W117)&gt;0)</f>
        <v>0</v>
      </c>
      <c r="U117" t="str">
        <f>SUBSTITUTE(SUBSTITUTE(SUBSTITUTE("dd"&amp;B117&amp;C117&amp;D117&amp;E117&amp;F117,".","_"),"(","_"),")","")</f>
        <v>dd602_1_4_1_2</v>
      </c>
      <c r="W117" s="9"/>
      <c r="X117" s="39"/>
      <c r="AC117" t="b">
        <f>OR(AD117:AE117)</f>
        <v>0</v>
      </c>
      <c r="AD117" t="b">
        <f>T117</f>
        <v>0</v>
      </c>
      <c r="AE117" t="b">
        <f>AND(R117,NOT(W117="Met"),NOT(W117="N/A"))</f>
        <v>0</v>
      </c>
      <c r="AL117" t="str">
        <f>SUBSTITUTE(SUBSTITUTE(SUBSTITUTE("dpa"&amp;$B117&amp;$C117&amp;$D117&amp;$E117&amp;$F117,".","_"),"(","_"),")","")</f>
        <v>dpa602_1_4_1_2</v>
      </c>
      <c r="AM117" t="str">
        <f>M117</f>
        <v>N/A</v>
      </c>
      <c r="AP117" t="str">
        <f t="shared" ref="AP117" si="34">SUBSTITUTE(SUBSTITUTE(SUBSTITUTE("dch"&amp;$B117&amp;$C117&amp;$D117&amp;$E117&amp;$F117,".","_"),"(","_"),")","")</f>
        <v>dch602_1_4_1_2</v>
      </c>
      <c r="AQ117">
        <f>W117</f>
        <v>0</v>
      </c>
      <c r="AR117" t="str">
        <f>SUBSTITUTE(SUBSTITUTE(SUBSTITUTE("dnt"&amp;$B117&amp;$C117&amp;$D117&amp;$E117&amp;$F117,".","_"),"(","_"),")","")</f>
        <v>dnt602_1_4_1_2</v>
      </c>
      <c r="AS117">
        <f>X117</f>
        <v>0</v>
      </c>
    </row>
    <row r="118" spans="2:45" ht="15" customHeight="1" x14ac:dyDescent="0.35">
      <c r="B118" s="40" t="s">
        <v>608</v>
      </c>
      <c r="C118" s="13"/>
      <c r="D118" s="13"/>
      <c r="E118" s="13"/>
      <c r="F118" s="13"/>
      <c r="G118" s="13"/>
      <c r="H118" s="550"/>
      <c r="I118" s="32" t="s">
        <v>608</v>
      </c>
      <c r="J118" s="4"/>
      <c r="K118" s="46"/>
      <c r="L118" s="706" t="s">
        <v>609</v>
      </c>
      <c r="M118" s="43"/>
      <c r="N118" s="4"/>
      <c r="O118" s="85"/>
    </row>
    <row r="119" spans="2:45" x14ac:dyDescent="0.35">
      <c r="B119" s="40" t="s">
        <v>608</v>
      </c>
      <c r="C119" s="13"/>
      <c r="D119" s="13"/>
      <c r="E119" s="13"/>
      <c r="F119" s="13"/>
      <c r="G119" s="13"/>
      <c r="H119" s="550"/>
      <c r="I119" s="32"/>
      <c r="J119" s="4"/>
      <c r="K119" s="46"/>
      <c r="L119" s="706"/>
      <c r="M119" s="43"/>
      <c r="N119" s="4"/>
      <c r="O119" s="85"/>
    </row>
    <row r="120" spans="2:45" x14ac:dyDescent="0.35">
      <c r="B120" s="40" t="s">
        <v>608</v>
      </c>
      <c r="C120" s="13"/>
      <c r="D120" s="13"/>
      <c r="E120" s="13"/>
      <c r="F120" s="13"/>
      <c r="G120" s="13"/>
      <c r="H120" s="550"/>
      <c r="I120" s="32"/>
      <c r="J120" s="4"/>
      <c r="K120" s="46"/>
      <c r="L120" s="706"/>
      <c r="M120" s="43"/>
      <c r="N120" s="4"/>
      <c r="O120" s="85"/>
    </row>
    <row r="121" spans="2:45" ht="15" customHeight="1" x14ac:dyDescent="0.35">
      <c r="B121" s="40" t="s">
        <v>608</v>
      </c>
      <c r="C121" s="13"/>
      <c r="D121" s="13"/>
      <c r="E121" s="13" t="s">
        <v>270</v>
      </c>
      <c r="F121" s="13"/>
      <c r="G121" s="13"/>
      <c r="H121" s="550"/>
      <c r="I121" s="32"/>
      <c r="J121" s="19" t="s">
        <v>270</v>
      </c>
      <c r="K121" s="46"/>
      <c r="L121" s="707" t="s">
        <v>3242</v>
      </c>
      <c r="M121" s="690">
        <v>8</v>
      </c>
      <c r="N121" s="4"/>
      <c r="O121" s="696">
        <f>M121*S121*W121</f>
        <v>0</v>
      </c>
      <c r="P121" t="b">
        <v>1</v>
      </c>
      <c r="Q121" t="b">
        <v>0</v>
      </c>
      <c r="R121" t="b">
        <v>0</v>
      </c>
      <c r="S121" t="b">
        <f>OR(AZ30=3,AZ30=7)</f>
        <v>1</v>
      </c>
      <c r="T121" t="b">
        <f>AND(NOT(S121),W121=TRUE)</f>
        <v>0</v>
      </c>
      <c r="W121" s="17"/>
      <c r="X121" s="688"/>
      <c r="AC121" t="b">
        <f>OR(AD121:AE121)</f>
        <v>0</v>
      </c>
      <c r="AD121" t="b">
        <f>T121</f>
        <v>0</v>
      </c>
      <c r="AL121" t="str">
        <f>SUBSTITUTE(SUBSTITUTE(SUBSTITUTE("dpa"&amp;$B121&amp;$C121&amp;$D121&amp;$E121&amp;$F121,".","_"),"(","_"),")","")</f>
        <v>dpa602_1_4_2_1</v>
      </c>
      <c r="AM121">
        <f>M121</f>
        <v>8</v>
      </c>
      <c r="AN121" t="str">
        <f>SUBSTITUTE(SUBSTITUTE(SUBSTITUTE("dpc"&amp;$B121&amp;$C121&amp;$D121&amp;$E121&amp;$F121,".","_"),"(","_"),")","")</f>
        <v>dpc602_1_4_2_1</v>
      </c>
      <c r="AO121">
        <f>O121</f>
        <v>0</v>
      </c>
      <c r="AP121" t="str">
        <f t="shared" ref="AP121" si="35">SUBSTITUTE(SUBSTITUTE(SUBSTITUTE("dch"&amp;$B121&amp;$C121&amp;$D121&amp;$E121&amp;$F121,".","_"),"(","_"),")","")</f>
        <v>dch602_1_4_2_1</v>
      </c>
      <c r="AQ121">
        <f>W121</f>
        <v>0</v>
      </c>
      <c r="AR121" t="str">
        <f>SUBSTITUTE(SUBSTITUTE(SUBSTITUTE("dnt"&amp;$B121&amp;$C121&amp;$D121&amp;$E121&amp;$F121,".","_"),"(","_"),")","")</f>
        <v>dnt602_1_4_2_1</v>
      </c>
      <c r="AS121">
        <f>X121</f>
        <v>0</v>
      </c>
    </row>
    <row r="122" spans="2:45" x14ac:dyDescent="0.35">
      <c r="B122" s="40" t="s">
        <v>608</v>
      </c>
      <c r="C122" s="13"/>
      <c r="D122" s="13"/>
      <c r="E122" s="13" t="s">
        <v>270</v>
      </c>
      <c r="F122" s="13"/>
      <c r="G122" s="13"/>
      <c r="H122" s="550"/>
      <c r="I122" s="32"/>
      <c r="J122" s="155"/>
      <c r="K122" s="116"/>
      <c r="L122" s="709"/>
      <c r="M122" s="691"/>
      <c r="N122" s="155"/>
      <c r="O122" s="697"/>
      <c r="X122" s="688"/>
    </row>
    <row r="123" spans="2:45" x14ac:dyDescent="0.35">
      <c r="B123" s="40" t="s">
        <v>608</v>
      </c>
      <c r="C123" s="13"/>
      <c r="D123" s="13"/>
      <c r="E123" s="13" t="s">
        <v>272</v>
      </c>
      <c r="F123" s="13"/>
      <c r="G123" s="13"/>
      <c r="H123" s="550"/>
      <c r="I123" s="32"/>
      <c r="J123" s="19" t="s">
        <v>272</v>
      </c>
      <c r="K123" s="46"/>
      <c r="L123" s="707" t="s">
        <v>3243</v>
      </c>
      <c r="M123" s="740" t="str">
        <f>IF(R123,"Mandatory","N/A")</f>
        <v>Mandatory</v>
      </c>
      <c r="N123" s="4"/>
      <c r="O123" s="85"/>
      <c r="P123" t="b">
        <v>1</v>
      </c>
      <c r="Q123" t="b">
        <v>0</v>
      </c>
      <c r="R123" t="b">
        <f>S123</f>
        <v>1</v>
      </c>
      <c r="S123" t="b">
        <f>OR(AZ30=3,AZ30=7)</f>
        <v>1</v>
      </c>
      <c r="T123" t="b">
        <f>AND(NOT(S123),LEN(W123)&gt;0)</f>
        <v>0</v>
      </c>
      <c r="U123" t="str">
        <f>SUBSTITUTE(SUBSTITUTE(SUBSTITUTE("dd"&amp;B123&amp;C123&amp;D123&amp;E123&amp;F123,".","_"),"(","_"),")","")</f>
        <v>dd602_1_4_2_2</v>
      </c>
      <c r="W123" s="9" t="s">
        <v>3239</v>
      </c>
      <c r="X123" s="688"/>
      <c r="AC123" t="b">
        <f>OR(AD123:AE123)</f>
        <v>0</v>
      </c>
      <c r="AD123" t="b">
        <f>T123</f>
        <v>0</v>
      </c>
      <c r="AE123" t="b">
        <f>AND(R123,NOT(W123="Met"),NOT(W123="N/A"))</f>
        <v>0</v>
      </c>
      <c r="AL123" t="str">
        <f>SUBSTITUTE(SUBSTITUTE(SUBSTITUTE("dpa"&amp;$B123&amp;$C123&amp;$D123&amp;$E123&amp;$F123,".","_"),"(","_"),")","")</f>
        <v>dpa602_1_4_2_2</v>
      </c>
      <c r="AM123" t="str">
        <f>M123</f>
        <v>Mandatory</v>
      </c>
      <c r="AP123" t="str">
        <f t="shared" ref="AP123" si="36">SUBSTITUTE(SUBSTITUTE(SUBSTITUTE("dch"&amp;$B123&amp;$C123&amp;$D123&amp;$E123&amp;$F123,".","_"),"(","_"),")","")</f>
        <v>dch602_1_4_2_2</v>
      </c>
      <c r="AQ123" t="str">
        <f>W123</f>
        <v>Met</v>
      </c>
      <c r="AR123" t="str">
        <f>SUBSTITUTE(SUBSTITUTE(SUBSTITUTE("dnt"&amp;$B123&amp;$C123&amp;$D123&amp;$E123&amp;$F123,".","_"),"(","_"),")","")</f>
        <v>dnt602_1_4_2_2</v>
      </c>
      <c r="AS123">
        <f>X123</f>
        <v>0</v>
      </c>
    </row>
    <row r="124" spans="2:45" ht="15" thickBot="1" x14ac:dyDescent="0.4">
      <c r="B124" s="40" t="s">
        <v>608</v>
      </c>
      <c r="C124" s="13"/>
      <c r="D124" s="13"/>
      <c r="E124" s="13" t="s">
        <v>272</v>
      </c>
      <c r="F124" s="13"/>
      <c r="G124" s="13"/>
      <c r="H124" s="550"/>
      <c r="I124" s="32"/>
      <c r="J124" s="4"/>
      <c r="K124" s="46"/>
      <c r="L124" s="707"/>
      <c r="M124" s="740"/>
      <c r="N124" s="4"/>
      <c r="O124" s="85"/>
      <c r="X124" s="698"/>
    </row>
    <row r="125" spans="2:45" ht="15" thickTop="1" x14ac:dyDescent="0.35">
      <c r="B125" s="40" t="s">
        <v>610</v>
      </c>
      <c r="C125" s="13"/>
      <c r="D125" s="13"/>
      <c r="E125" s="13"/>
      <c r="F125" s="13"/>
      <c r="G125" s="13"/>
      <c r="H125" s="550"/>
      <c r="I125" s="123" t="s">
        <v>610</v>
      </c>
      <c r="J125" s="124"/>
      <c r="K125" s="125"/>
      <c r="L125" s="213" t="s">
        <v>611</v>
      </c>
      <c r="M125" s="199"/>
      <c r="N125" s="124"/>
      <c r="O125" s="341"/>
      <c r="P125" s="62"/>
      <c r="Q125" s="62"/>
      <c r="R125" s="62"/>
      <c r="S125" s="62"/>
      <c r="T125" s="62"/>
      <c r="U125" s="62"/>
      <c r="V125" s="62"/>
      <c r="W125" s="62" t="s">
        <v>1300</v>
      </c>
      <c r="X125" s="62"/>
    </row>
    <row r="126" spans="2:45" x14ac:dyDescent="0.35">
      <c r="B126" s="40" t="s">
        <v>610</v>
      </c>
      <c r="C126" s="13"/>
      <c r="D126" s="13"/>
      <c r="E126" s="13"/>
      <c r="F126" s="13"/>
      <c r="G126" s="13"/>
      <c r="H126" s="550"/>
      <c r="I126" s="32"/>
      <c r="J126" s="4"/>
      <c r="K126" s="46"/>
      <c r="L126" s="207" t="s">
        <v>3234</v>
      </c>
      <c r="M126" s="43"/>
      <c r="N126" s="4"/>
      <c r="O126" s="85"/>
      <c r="P126" t="b">
        <v>1</v>
      </c>
      <c r="Q126" t="b">
        <v>0</v>
      </c>
      <c r="R126" t="b">
        <v>0</v>
      </c>
      <c r="S126" t="b">
        <v>1</v>
      </c>
      <c r="T126" t="b">
        <v>0</v>
      </c>
      <c r="U126" t="str">
        <f>SUBSTITUTE(SUBSTITUTE(SUBSTITUTE("dd"&amp;B126&amp;C126&amp;D126&amp;E126&amp;F126,".","_"),"(","_"),")","")</f>
        <v>dd602_1_5</v>
      </c>
      <c r="W126" s="9"/>
      <c r="X126" s="688"/>
      <c r="AP126" t="str">
        <f t="shared" ref="AP126:AP127" si="37">SUBSTITUTE(SUBSTITUTE(SUBSTITUTE("dch"&amp;$B126&amp;$C126&amp;$D126&amp;$E126&amp;$F126,".","_"),"(","_"),")","")</f>
        <v>dch602_1_5</v>
      </c>
      <c r="AQ126">
        <f>W126</f>
        <v>0</v>
      </c>
      <c r="AR126" t="str">
        <f>SUBSTITUTE(SUBSTITUTE(SUBSTITUTE("dnt"&amp;$B126&amp;$C126&amp;$D126&amp;$E126&amp;$F126,".","_"),"(","_"),")","")</f>
        <v>dnt602_1_5</v>
      </c>
      <c r="AS126">
        <f>X126</f>
        <v>0</v>
      </c>
    </row>
    <row r="127" spans="2:45" x14ac:dyDescent="0.35">
      <c r="B127" s="40" t="s">
        <v>610</v>
      </c>
      <c r="C127" s="13"/>
      <c r="D127" s="13"/>
      <c r="E127" s="13" t="s">
        <v>270</v>
      </c>
      <c r="F127" s="13"/>
      <c r="G127" s="13"/>
      <c r="H127" s="550"/>
      <c r="I127" s="32"/>
      <c r="J127" s="19" t="s">
        <v>270</v>
      </c>
      <c r="K127" s="46"/>
      <c r="L127" s="707" t="s">
        <v>612</v>
      </c>
      <c r="M127" s="690">
        <v>4</v>
      </c>
      <c r="N127" s="4"/>
      <c r="O127" s="696">
        <f ca="1">M127*S127*W127</f>
        <v>0</v>
      </c>
      <c r="P127" t="b">
        <v>1</v>
      </c>
      <c r="Q127" t="b">
        <v>0</v>
      </c>
      <c r="R127" t="b">
        <v>0</v>
      </c>
      <c r="S127" t="b">
        <f ca="1">IF(IFERROR(MATCH(W126,INDIRECT(U126),0),0)=3,TRUE,FALSE)</f>
        <v>0</v>
      </c>
      <c r="T127" t="b">
        <f ca="1">AND(NOT(S127),W127=TRUE)</f>
        <v>0</v>
      </c>
      <c r="W127" s="17"/>
      <c r="X127" s="688"/>
      <c r="AC127" t="b">
        <f ca="1">OR(AD127:AE127)</f>
        <v>0</v>
      </c>
      <c r="AD127" t="b">
        <f ca="1">T127</f>
        <v>0</v>
      </c>
      <c r="AE127" t="b">
        <v>0</v>
      </c>
      <c r="AL127" t="str">
        <f>SUBSTITUTE(SUBSTITUTE(SUBSTITUTE("dpa"&amp;$B127&amp;$C127&amp;$D127&amp;$E127&amp;$F127,".","_"),"(","_"),")","")</f>
        <v>dpa602_1_5_1</v>
      </c>
      <c r="AM127">
        <f>M127</f>
        <v>4</v>
      </c>
      <c r="AN127" t="str">
        <f>SUBSTITUTE(SUBSTITUTE(SUBSTITUTE("dpc"&amp;$B127&amp;$C127&amp;$D127&amp;$E127&amp;$F127,".","_"),"(","_"),")","")</f>
        <v>dpc602_1_5_1</v>
      </c>
      <c r="AO127">
        <f ca="1">O127</f>
        <v>0</v>
      </c>
      <c r="AP127" t="str">
        <f t="shared" si="37"/>
        <v>dch602_1_5_1</v>
      </c>
      <c r="AQ127">
        <f>W127</f>
        <v>0</v>
      </c>
    </row>
    <row r="128" spans="2:45" x14ac:dyDescent="0.35">
      <c r="B128" s="40" t="s">
        <v>610</v>
      </c>
      <c r="C128" s="13"/>
      <c r="D128" s="13"/>
      <c r="E128" s="13" t="s">
        <v>270</v>
      </c>
      <c r="F128" s="13"/>
      <c r="G128" s="13"/>
      <c r="H128" s="550"/>
      <c r="I128" s="32"/>
      <c r="J128" s="155"/>
      <c r="K128" s="116"/>
      <c r="L128" s="709"/>
      <c r="M128" s="691"/>
      <c r="N128" s="155"/>
      <c r="O128" s="697"/>
      <c r="X128" s="688"/>
    </row>
    <row r="129" spans="2:45" x14ac:dyDescent="0.35">
      <c r="B129" s="40" t="s">
        <v>610</v>
      </c>
      <c r="C129" s="13"/>
      <c r="D129" s="13"/>
      <c r="E129" s="13" t="s">
        <v>272</v>
      </c>
      <c r="F129" s="13"/>
      <c r="G129" s="13"/>
      <c r="H129" s="550"/>
      <c r="I129" s="32"/>
      <c r="J129" s="19" t="s">
        <v>272</v>
      </c>
      <c r="K129" s="46"/>
      <c r="L129" s="707" t="s">
        <v>613</v>
      </c>
      <c r="M129" s="690">
        <v>4</v>
      </c>
      <c r="N129" s="4"/>
      <c r="O129" s="696">
        <f ca="1">M129*S129*W129</f>
        <v>0</v>
      </c>
      <c r="P129" t="b">
        <v>1</v>
      </c>
      <c r="Q129" t="b">
        <v>0</v>
      </c>
      <c r="R129" t="b">
        <v>0</v>
      </c>
      <c r="S129" t="b">
        <f ca="1">IF(IFERROR(MATCH(W126,INDIRECT(U126),0),0)=4,TRUE,FALSE)</f>
        <v>0</v>
      </c>
      <c r="T129" t="b">
        <f ca="1">AND(NOT(S129),W129=TRUE)</f>
        <v>0</v>
      </c>
      <c r="W129" s="17"/>
      <c r="X129" s="688"/>
      <c r="AC129" t="b">
        <f ca="1">OR(AD129:AE129)</f>
        <v>0</v>
      </c>
      <c r="AD129" t="b">
        <f ca="1">T129</f>
        <v>0</v>
      </c>
      <c r="AE129" t="b">
        <v>0</v>
      </c>
      <c r="AL129" t="str">
        <f>SUBSTITUTE(SUBSTITUTE(SUBSTITUTE("dpa"&amp;$B129&amp;$C129&amp;$D129&amp;$E129&amp;$F129,".","_"),"(","_"),")","")</f>
        <v>dpa602_1_5_2</v>
      </c>
      <c r="AM129">
        <f>M129</f>
        <v>4</v>
      </c>
      <c r="AN129" t="str">
        <f>SUBSTITUTE(SUBSTITUTE(SUBSTITUTE("dpc"&amp;$B129&amp;$C129&amp;$D129&amp;$E129&amp;$F129,".","_"),"(","_"),")","")</f>
        <v>dpc602_1_5_2</v>
      </c>
      <c r="AO129">
        <f ca="1">O129</f>
        <v>0</v>
      </c>
      <c r="AP129" t="str">
        <f t="shared" ref="AP129" si="38">SUBSTITUTE(SUBSTITUTE(SUBSTITUTE("dch"&amp;$B129&amp;$C129&amp;$D129&amp;$E129&amp;$F129,".","_"),"(","_"),")","")</f>
        <v>dch602_1_5_2</v>
      </c>
      <c r="AQ129">
        <f>W129</f>
        <v>0</v>
      </c>
    </row>
    <row r="130" spans="2:45" x14ac:dyDescent="0.35">
      <c r="B130" s="40" t="s">
        <v>610</v>
      </c>
      <c r="C130" s="13"/>
      <c r="D130" s="13"/>
      <c r="E130" s="13" t="s">
        <v>272</v>
      </c>
      <c r="F130" s="13"/>
      <c r="G130" s="13"/>
      <c r="H130" s="550"/>
      <c r="I130" s="32"/>
      <c r="J130" s="4"/>
      <c r="K130" s="46"/>
      <c r="L130" s="707"/>
      <c r="M130" s="690"/>
      <c r="N130" s="4"/>
      <c r="O130" s="696"/>
      <c r="X130" s="688"/>
    </row>
    <row r="131" spans="2:45" ht="15" thickBot="1" x14ac:dyDescent="0.4">
      <c r="B131" s="40" t="s">
        <v>610</v>
      </c>
      <c r="C131" s="13"/>
      <c r="D131" s="13"/>
      <c r="E131" s="13" t="s">
        <v>272</v>
      </c>
      <c r="F131" s="13"/>
      <c r="G131" s="13"/>
      <c r="H131" s="550"/>
      <c r="I131" s="32"/>
      <c r="J131" s="4"/>
      <c r="K131" s="46"/>
      <c r="L131" s="707"/>
      <c r="M131" s="690"/>
      <c r="N131" s="4"/>
      <c r="O131" s="696"/>
      <c r="X131" s="688"/>
    </row>
    <row r="132" spans="2:45" ht="15" customHeight="1" thickTop="1" x14ac:dyDescent="0.35">
      <c r="B132" s="40" t="s">
        <v>614</v>
      </c>
      <c r="C132" s="13"/>
      <c r="D132" s="13"/>
      <c r="E132" s="13"/>
      <c r="F132" s="13"/>
      <c r="G132" s="13"/>
      <c r="H132" s="550"/>
      <c r="I132" s="123" t="s">
        <v>614</v>
      </c>
      <c r="J132" s="124"/>
      <c r="K132" s="125"/>
      <c r="L132" s="711" t="s">
        <v>615</v>
      </c>
      <c r="M132" s="199"/>
      <c r="N132" s="124"/>
      <c r="O132" s="341"/>
      <c r="P132" s="62"/>
      <c r="Q132" s="62"/>
      <c r="R132" s="62"/>
      <c r="S132" s="62"/>
      <c r="T132" s="62"/>
      <c r="U132" s="62"/>
      <c r="V132" s="62"/>
      <c r="W132" s="62"/>
      <c r="X132" s="62"/>
    </row>
    <row r="133" spans="2:45" x14ac:dyDescent="0.35">
      <c r="B133" s="40" t="s">
        <v>614</v>
      </c>
      <c r="C133" s="13"/>
      <c r="D133" s="13"/>
      <c r="E133" s="13"/>
      <c r="F133" s="13"/>
      <c r="G133" s="13"/>
      <c r="H133" s="550"/>
      <c r="I133" s="32"/>
      <c r="J133" s="4"/>
      <c r="K133" s="46"/>
      <c r="L133" s="706"/>
      <c r="M133" s="43"/>
      <c r="N133" s="4"/>
      <c r="O133" s="85"/>
    </row>
    <row r="134" spans="2:45" x14ac:dyDescent="0.35">
      <c r="B134" s="40" t="s">
        <v>614</v>
      </c>
      <c r="C134" s="13"/>
      <c r="D134" s="13"/>
      <c r="E134" s="13"/>
      <c r="F134" s="13"/>
      <c r="G134" s="13"/>
      <c r="H134" s="550"/>
      <c r="I134" s="32"/>
      <c r="J134" s="4"/>
      <c r="K134" s="46"/>
      <c r="L134" s="207" t="s">
        <v>3234</v>
      </c>
      <c r="M134" s="43"/>
      <c r="N134" s="4"/>
      <c r="O134" s="85"/>
    </row>
    <row r="135" spans="2:45" x14ac:dyDescent="0.35">
      <c r="B135" s="40" t="s">
        <v>614</v>
      </c>
      <c r="C135" s="13"/>
      <c r="D135" s="13"/>
      <c r="E135" s="13" t="s">
        <v>270</v>
      </c>
      <c r="F135" s="13"/>
      <c r="G135" s="13"/>
      <c r="H135" s="550"/>
      <c r="I135" s="32"/>
      <c r="J135" s="19" t="s">
        <v>270</v>
      </c>
      <c r="K135" s="46"/>
      <c r="L135" s="707" t="s">
        <v>616</v>
      </c>
      <c r="M135" s="690">
        <v>2</v>
      </c>
      <c r="N135" s="4"/>
      <c r="O135" s="696">
        <f ca="1">M135*S135*W135</f>
        <v>0</v>
      </c>
      <c r="P135" t="b">
        <v>1</v>
      </c>
      <c r="Q135" t="b">
        <v>1</v>
      </c>
      <c r="R135" t="b">
        <v>0</v>
      </c>
      <c r="S135" t="b">
        <f ca="1">IF(IFERROR(MATCH(W126,INDIRECT(U126),0),0)=2,TRUE,FALSE)</f>
        <v>0</v>
      </c>
      <c r="T135" t="b">
        <f ca="1">AND(NOT(S135),W135=TRUE)</f>
        <v>0</v>
      </c>
      <c r="W135" s="17"/>
      <c r="X135" s="688"/>
      <c r="AC135" t="b">
        <f ca="1">OR(AD135:AE135)</f>
        <v>0</v>
      </c>
      <c r="AD135" t="b">
        <f ca="1">T135</f>
        <v>0</v>
      </c>
      <c r="AE135" t="b">
        <v>0</v>
      </c>
      <c r="AL135" t="str">
        <f>SUBSTITUTE(SUBSTITUTE(SUBSTITUTE("dpa"&amp;$B135&amp;$C135&amp;$D135&amp;$E135&amp;$F135,".","_"),"(","_"),")","")</f>
        <v>dpa602_1_6_1</v>
      </c>
      <c r="AM135">
        <f>M135</f>
        <v>2</v>
      </c>
      <c r="AN135" t="str">
        <f>SUBSTITUTE(SUBSTITUTE(SUBSTITUTE("dpc"&amp;$B135&amp;$C135&amp;$D135&amp;$E135&amp;$F135,".","_"),"(","_"),")","")</f>
        <v>dpc602_1_6_1</v>
      </c>
      <c r="AO135">
        <f ca="1">O135</f>
        <v>0</v>
      </c>
      <c r="AP135" t="str">
        <f t="shared" ref="AP135" si="39">SUBSTITUTE(SUBSTITUTE(SUBSTITUTE("dch"&amp;$B135&amp;$C135&amp;$D135&amp;$E135&amp;$F135,".","_"),"(","_"),")","")</f>
        <v>dch602_1_6_1</v>
      </c>
      <c r="AQ135">
        <f>W135</f>
        <v>0</v>
      </c>
      <c r="AR135" t="str">
        <f>SUBSTITUTE(SUBSTITUTE(SUBSTITUTE("dnt"&amp;$B135&amp;$C135&amp;$D135&amp;$E135&amp;$F135,".","_"),"(","_"),")","")</f>
        <v>dnt602_1_6_1</v>
      </c>
      <c r="AS135">
        <f>X135</f>
        <v>0</v>
      </c>
    </row>
    <row r="136" spans="2:45" x14ac:dyDescent="0.35">
      <c r="B136" s="40" t="s">
        <v>614</v>
      </c>
      <c r="C136" s="13"/>
      <c r="D136" s="13"/>
      <c r="E136" s="13" t="s">
        <v>270</v>
      </c>
      <c r="F136" s="13"/>
      <c r="G136" s="13"/>
      <c r="H136" s="550"/>
      <c r="I136" s="32"/>
      <c r="J136" s="4"/>
      <c r="K136" s="46"/>
      <c r="L136" s="707"/>
      <c r="M136" s="690"/>
      <c r="N136" s="4"/>
      <c r="O136" s="696"/>
      <c r="X136" s="688"/>
    </row>
    <row r="137" spans="2:45" x14ac:dyDescent="0.35">
      <c r="B137" s="40" t="s">
        <v>614</v>
      </c>
      <c r="C137" s="13"/>
      <c r="D137" s="13"/>
      <c r="E137" s="13" t="s">
        <v>270</v>
      </c>
      <c r="F137" s="13"/>
      <c r="G137" s="13"/>
      <c r="H137" s="550"/>
      <c r="I137" s="32"/>
      <c r="J137" s="4"/>
      <c r="K137" s="46"/>
      <c r="L137" s="707"/>
      <c r="M137" s="690"/>
      <c r="N137" s="4"/>
      <c r="O137" s="696"/>
      <c r="X137" s="688"/>
    </row>
    <row r="138" spans="2:45" x14ac:dyDescent="0.35">
      <c r="B138" s="40" t="s">
        <v>614</v>
      </c>
      <c r="C138" s="13"/>
      <c r="D138" s="13"/>
      <c r="E138" s="13" t="s">
        <v>270</v>
      </c>
      <c r="F138" s="13"/>
      <c r="G138" s="13"/>
      <c r="H138" s="550"/>
      <c r="I138" s="32"/>
      <c r="J138" s="155"/>
      <c r="K138" s="116"/>
      <c r="L138" s="709"/>
      <c r="M138" s="691"/>
      <c r="N138" s="155"/>
      <c r="O138" s="697"/>
      <c r="X138" s="688"/>
    </row>
    <row r="139" spans="2:45" x14ac:dyDescent="0.35">
      <c r="B139" s="40" t="s">
        <v>614</v>
      </c>
      <c r="C139" s="13"/>
      <c r="D139" s="13"/>
      <c r="E139" s="13" t="s">
        <v>272</v>
      </c>
      <c r="F139" s="13"/>
      <c r="G139" s="13"/>
      <c r="H139" s="550"/>
      <c r="I139" s="32"/>
      <c r="J139" s="154" t="s">
        <v>272</v>
      </c>
      <c r="K139" s="137"/>
      <c r="L139" s="742" t="s">
        <v>617</v>
      </c>
      <c r="M139" s="712">
        <v>4</v>
      </c>
      <c r="N139" s="136"/>
      <c r="O139" s="713">
        <f ca="1">M139*S139*W139</f>
        <v>0</v>
      </c>
      <c r="P139" t="b">
        <v>1</v>
      </c>
      <c r="Q139" t="b">
        <v>1</v>
      </c>
      <c r="R139" t="b">
        <v>0</v>
      </c>
      <c r="S139" t="b">
        <f ca="1">IF(IFERROR(MATCH(W126,INDIRECT(U126),0),0)=3,TRUE,FALSE)</f>
        <v>0</v>
      </c>
      <c r="T139" t="b">
        <f ca="1">AND(NOT(S139),W139=TRUE)</f>
        <v>0</v>
      </c>
      <c r="W139" s="17"/>
      <c r="X139" s="688"/>
      <c r="AC139" t="b">
        <f ca="1">OR(AD139:AE139)</f>
        <v>0</v>
      </c>
      <c r="AD139" t="b">
        <f ca="1">T139</f>
        <v>0</v>
      </c>
      <c r="AE139" t="b">
        <v>0</v>
      </c>
      <c r="AL139" t="str">
        <f>SUBSTITUTE(SUBSTITUTE(SUBSTITUTE("dpa"&amp;$B139&amp;$C139&amp;$D139&amp;$E139&amp;$F139,".","_"),"(","_"),")","")</f>
        <v>dpa602_1_6_2</v>
      </c>
      <c r="AM139">
        <f>M139</f>
        <v>4</v>
      </c>
      <c r="AN139" t="str">
        <f>SUBSTITUTE(SUBSTITUTE(SUBSTITUTE("dpc"&amp;$B139&amp;$C139&amp;$D139&amp;$E139&amp;$F139,".","_"),"(","_"),")","")</f>
        <v>dpc602_1_6_2</v>
      </c>
      <c r="AO139">
        <f ca="1">O139</f>
        <v>0</v>
      </c>
      <c r="AP139" t="str">
        <f t="shared" ref="AP139" si="40">SUBSTITUTE(SUBSTITUTE(SUBSTITUTE("dch"&amp;$B139&amp;$C139&amp;$D139&amp;$E139&amp;$F139,".","_"),"(","_"),")","")</f>
        <v>dch602_1_6_2</v>
      </c>
      <c r="AQ139">
        <f>W139</f>
        <v>0</v>
      </c>
    </row>
    <row r="140" spans="2:45" x14ac:dyDescent="0.35">
      <c r="B140" s="40" t="s">
        <v>614</v>
      </c>
      <c r="C140" s="13"/>
      <c r="D140" s="13"/>
      <c r="E140" s="13" t="s">
        <v>272</v>
      </c>
      <c r="F140" s="13"/>
      <c r="G140" s="13"/>
      <c r="H140" s="550"/>
      <c r="I140" s="32"/>
      <c r="J140" s="4"/>
      <c r="K140" s="46"/>
      <c r="L140" s="707"/>
      <c r="M140" s="690"/>
      <c r="N140" s="4"/>
      <c r="O140" s="696"/>
      <c r="X140" s="688"/>
    </row>
    <row r="141" spans="2:45" x14ac:dyDescent="0.35">
      <c r="B141" s="40" t="s">
        <v>614</v>
      </c>
      <c r="C141" s="13"/>
      <c r="D141" s="13"/>
      <c r="E141" s="13" t="s">
        <v>272</v>
      </c>
      <c r="F141" s="13"/>
      <c r="G141" s="13"/>
      <c r="H141" s="550"/>
      <c r="I141" s="32"/>
      <c r="J141" s="4"/>
      <c r="K141" s="46"/>
      <c r="L141" s="707"/>
      <c r="M141" s="690"/>
      <c r="N141" s="4"/>
      <c r="O141" s="696"/>
      <c r="X141" s="688"/>
    </row>
    <row r="142" spans="2:45" x14ac:dyDescent="0.35">
      <c r="B142" s="40" t="s">
        <v>614</v>
      </c>
      <c r="C142" s="13"/>
      <c r="D142" s="13"/>
      <c r="E142" s="13" t="s">
        <v>272</v>
      </c>
      <c r="F142" s="13"/>
      <c r="G142" s="13"/>
      <c r="H142" s="550"/>
      <c r="I142" s="32"/>
      <c r="J142" s="155"/>
      <c r="K142" s="116"/>
      <c r="L142" s="709"/>
      <c r="M142" s="691"/>
      <c r="N142" s="155"/>
      <c r="O142" s="697"/>
      <c r="X142" s="688"/>
    </row>
    <row r="143" spans="2:45" x14ac:dyDescent="0.35">
      <c r="B143" s="40" t="s">
        <v>614</v>
      </c>
      <c r="C143" s="13"/>
      <c r="D143" s="13"/>
      <c r="E143" s="13" t="s">
        <v>274</v>
      </c>
      <c r="F143" s="13"/>
      <c r="G143" s="13"/>
      <c r="H143" s="550"/>
      <c r="I143" s="32"/>
      <c r="J143" s="19" t="s">
        <v>274</v>
      </c>
      <c r="K143" s="46"/>
      <c r="L143" s="707" t="s">
        <v>618</v>
      </c>
      <c r="M143" s="690">
        <v>6</v>
      </c>
      <c r="N143" s="4"/>
      <c r="O143" s="696">
        <f ca="1">M143*S143*W143</f>
        <v>0</v>
      </c>
      <c r="P143" t="b">
        <v>1</v>
      </c>
      <c r="Q143" t="b">
        <v>1</v>
      </c>
      <c r="R143" t="b">
        <v>0</v>
      </c>
      <c r="S143" t="b">
        <f ca="1">IF(IFERROR(MATCH(W126,INDIRECT(U126),0),0)=4,TRUE,FALSE)</f>
        <v>0</v>
      </c>
      <c r="T143" t="b">
        <f ca="1">AND(NOT(S143),W143=TRUE)</f>
        <v>0</v>
      </c>
      <c r="W143" s="17"/>
      <c r="X143" s="688"/>
      <c r="AC143" t="b">
        <f ca="1">OR(AD143:AE143)</f>
        <v>0</v>
      </c>
      <c r="AD143" t="b">
        <f ca="1">T143</f>
        <v>0</v>
      </c>
      <c r="AE143" t="b">
        <v>0</v>
      </c>
      <c r="AL143" t="str">
        <f>SUBSTITUTE(SUBSTITUTE(SUBSTITUTE("dpa"&amp;$B143&amp;$C143&amp;$D143&amp;$E143&amp;$F143,".","_"),"(","_"),")","")</f>
        <v>dpa602_1_6_3</v>
      </c>
      <c r="AM143">
        <f>M143</f>
        <v>6</v>
      </c>
      <c r="AN143" t="str">
        <f>SUBSTITUTE(SUBSTITUTE(SUBSTITUTE("dpc"&amp;$B143&amp;$C143&amp;$D143&amp;$E143&amp;$F143,".","_"),"(","_"),")","")</f>
        <v>dpc602_1_6_3</v>
      </c>
      <c r="AO143">
        <f ca="1">O143</f>
        <v>0</v>
      </c>
      <c r="AP143" t="str">
        <f t="shared" ref="AP143" si="41">SUBSTITUTE(SUBSTITUTE(SUBSTITUTE("dch"&amp;$B143&amp;$C143&amp;$D143&amp;$E143&amp;$F143,".","_"),"(","_"),")","")</f>
        <v>dch602_1_6_3</v>
      </c>
      <c r="AQ143">
        <f>W143</f>
        <v>0</v>
      </c>
    </row>
    <row r="144" spans="2:45" x14ac:dyDescent="0.35">
      <c r="B144" s="40" t="s">
        <v>614</v>
      </c>
      <c r="C144" s="13"/>
      <c r="D144" s="13"/>
      <c r="E144" s="13" t="s">
        <v>274</v>
      </c>
      <c r="F144" s="13"/>
      <c r="G144" s="13"/>
      <c r="H144" s="550"/>
      <c r="I144" s="32"/>
      <c r="J144" s="4"/>
      <c r="K144" s="46"/>
      <c r="L144" s="707"/>
      <c r="M144" s="690"/>
      <c r="N144" s="4"/>
      <c r="O144" s="696"/>
      <c r="X144" s="688"/>
    </row>
    <row r="145" spans="2:45" ht="15" thickBot="1" x14ac:dyDescent="0.4">
      <c r="B145" s="40" t="s">
        <v>614</v>
      </c>
      <c r="C145" s="13"/>
      <c r="D145" s="13"/>
      <c r="E145" s="13" t="s">
        <v>274</v>
      </c>
      <c r="F145" s="13"/>
      <c r="G145" s="13"/>
      <c r="H145" s="550"/>
      <c r="I145" s="32"/>
      <c r="J145" s="4"/>
      <c r="K145" s="46"/>
      <c r="L145" s="707"/>
      <c r="M145" s="690"/>
      <c r="N145" s="4"/>
      <c r="O145" s="696"/>
      <c r="X145" s="698"/>
    </row>
    <row r="146" spans="2:45" ht="15" thickTop="1" x14ac:dyDescent="0.35">
      <c r="B146" s="40" t="s">
        <v>619</v>
      </c>
      <c r="C146" s="13"/>
      <c r="D146" s="13"/>
      <c r="E146" s="13"/>
      <c r="F146" s="13"/>
      <c r="G146" s="13"/>
      <c r="H146" s="550"/>
      <c r="I146" s="123" t="s">
        <v>619</v>
      </c>
      <c r="J146" s="124"/>
      <c r="K146" s="125"/>
      <c r="L146" s="222" t="s">
        <v>620</v>
      </c>
      <c r="M146" s="199"/>
      <c r="N146" s="124"/>
      <c r="O146" s="341"/>
      <c r="P146" s="62"/>
      <c r="Q146" s="62"/>
      <c r="R146" s="62"/>
      <c r="S146" s="62"/>
      <c r="T146" s="62"/>
      <c r="U146" s="62"/>
      <c r="V146" s="62"/>
      <c r="W146" s="62"/>
      <c r="X146" s="62"/>
    </row>
    <row r="147" spans="2:45" x14ac:dyDescent="0.35">
      <c r="B147" s="452" t="s">
        <v>621</v>
      </c>
      <c r="C147" s="452"/>
      <c r="D147" s="13"/>
      <c r="E147" s="13"/>
      <c r="F147" s="13"/>
      <c r="G147" s="13"/>
      <c r="H147" s="550"/>
      <c r="I147" s="32" t="s">
        <v>621</v>
      </c>
      <c r="J147" s="4"/>
      <c r="K147" s="46"/>
      <c r="L147" s="110" t="s">
        <v>622</v>
      </c>
      <c r="M147" s="43"/>
      <c r="N147" s="4"/>
      <c r="O147" s="85"/>
    </row>
    <row r="148" spans="2:45" x14ac:dyDescent="0.35">
      <c r="B148" s="452" t="s">
        <v>621</v>
      </c>
      <c r="C148" s="452"/>
      <c r="D148" s="13"/>
      <c r="E148" s="13" t="s">
        <v>270</v>
      </c>
      <c r="F148" s="13"/>
      <c r="G148" s="13"/>
      <c r="H148" s="550"/>
      <c r="I148" s="32"/>
      <c r="J148" s="19" t="s">
        <v>270</v>
      </c>
      <c r="K148" s="46"/>
      <c r="L148" s="707" t="s">
        <v>623</v>
      </c>
      <c r="M148" s="690">
        <v>2</v>
      </c>
      <c r="N148" s="4"/>
      <c r="O148" s="696">
        <f>M148*S148*W148</f>
        <v>2</v>
      </c>
      <c r="P148" t="b">
        <v>1</v>
      </c>
      <c r="Q148" t="b">
        <v>0</v>
      </c>
      <c r="R148" t="b">
        <v>0</v>
      </c>
      <c r="S148" t="b">
        <v>1</v>
      </c>
      <c r="T148" t="b">
        <v>0</v>
      </c>
      <c r="W148" s="17" t="b">
        <v>1</v>
      </c>
      <c r="X148" s="688"/>
      <c r="AL148" t="str">
        <f>SUBSTITUTE(SUBSTITUTE(SUBSTITUTE("dpa"&amp;$B148&amp;$C148&amp;$D148&amp;$E148&amp;$F148,".","_"),"(","_"),")","")</f>
        <v>dpa602_1_7_1_1</v>
      </c>
      <c r="AM148">
        <f>M148</f>
        <v>2</v>
      </c>
      <c r="AN148" t="str">
        <f>SUBSTITUTE(SUBSTITUTE(SUBSTITUTE("dpc"&amp;$B148&amp;$C148&amp;$D148&amp;$E148&amp;$F148,".","_"),"(","_"),")","")</f>
        <v>dpc602_1_7_1_1</v>
      </c>
      <c r="AO148">
        <f>O148</f>
        <v>2</v>
      </c>
      <c r="AP148" t="str">
        <f t="shared" ref="AP148" si="42">SUBSTITUTE(SUBSTITUTE(SUBSTITUTE("dch"&amp;$B148&amp;$C148&amp;$D148&amp;$E148&amp;$F148,".","_"),"(","_"),")","")</f>
        <v>dch602_1_7_1_1</v>
      </c>
      <c r="AQ148" t="b">
        <f>W148</f>
        <v>1</v>
      </c>
      <c r="AR148" t="str">
        <f>SUBSTITUTE(SUBSTITUTE(SUBSTITUTE("dnt"&amp;$B148&amp;$C148&amp;$D148&amp;$E148&amp;$F148,".","_"),"(","_"),")","")</f>
        <v>dnt602_1_7_1_1</v>
      </c>
      <c r="AS148">
        <f>X148</f>
        <v>0</v>
      </c>
    </row>
    <row r="149" spans="2:45" x14ac:dyDescent="0.35">
      <c r="B149" s="452" t="s">
        <v>621</v>
      </c>
      <c r="C149" s="452"/>
      <c r="D149" s="13"/>
      <c r="E149" s="13" t="s">
        <v>270</v>
      </c>
      <c r="F149" s="13"/>
      <c r="G149" s="13"/>
      <c r="H149" s="550"/>
      <c r="I149" s="32"/>
      <c r="J149" s="155"/>
      <c r="K149" s="116"/>
      <c r="L149" s="709"/>
      <c r="M149" s="691"/>
      <c r="N149" s="155"/>
      <c r="O149" s="697"/>
      <c r="X149" s="688"/>
    </row>
    <row r="150" spans="2:45" x14ac:dyDescent="0.35">
      <c r="B150" s="452" t="s">
        <v>621</v>
      </c>
      <c r="C150" s="452"/>
      <c r="D150" s="13"/>
      <c r="E150" s="13" t="s">
        <v>272</v>
      </c>
      <c r="F150" s="13"/>
      <c r="G150" s="13"/>
      <c r="H150" s="550"/>
      <c r="I150" s="32"/>
      <c r="J150" s="19" t="s">
        <v>272</v>
      </c>
      <c r="K150" s="46"/>
      <c r="L150" s="707" t="s">
        <v>624</v>
      </c>
      <c r="M150" s="750" t="str">
        <f>IF(R150,"Mandatory
2","N/A")</f>
        <v>Mandatory
2</v>
      </c>
      <c r="N150" s="4"/>
      <c r="O150" s="696">
        <f>IF(AND(S150,W150="Met"),2,0)</f>
        <v>2</v>
      </c>
      <c r="P150" t="b">
        <v>1</v>
      </c>
      <c r="Q150" t="b">
        <v>0</v>
      </c>
      <c r="R150" t="b">
        <f>S150</f>
        <v>1</v>
      </c>
      <c r="S150" t="b">
        <v>1</v>
      </c>
      <c r="T150" t="b">
        <v>0</v>
      </c>
      <c r="U150" t="str">
        <f>SUBSTITUTE(SUBSTITUTE(SUBSTITUTE("dd"&amp;B150&amp;C150&amp;D150&amp;E150&amp;F150,".","_"),"(","_"),")","")</f>
        <v>dd602_1_7_1_2</v>
      </c>
      <c r="W150" s="9" t="s">
        <v>3239</v>
      </c>
      <c r="X150" s="688"/>
      <c r="AC150" t="b">
        <f>OR(AD150:AE150)</f>
        <v>0</v>
      </c>
      <c r="AD150" t="b">
        <f>T150</f>
        <v>0</v>
      </c>
      <c r="AE150" t="b">
        <f>OR(AND(R150,NOT(W150="Met"),NOT(W150="N/A")),AND(W150="N/A",ISBLANK(X150)))</f>
        <v>0</v>
      </c>
      <c r="AL150" t="str">
        <f>SUBSTITUTE(SUBSTITUTE(SUBSTITUTE("dpa"&amp;$B150&amp;$C150&amp;$D150&amp;$E150&amp;$F150,".","_"),"(","_"),")","")</f>
        <v>dpa602_1_7_1_2</v>
      </c>
      <c r="AM150" t="str">
        <f>M150</f>
        <v>Mandatory
2</v>
      </c>
      <c r="AN150" t="str">
        <f>SUBSTITUTE(SUBSTITUTE(SUBSTITUTE("dpc"&amp;$B150&amp;$C150&amp;$D150&amp;$E150&amp;$F150,".","_"),"(","_"),")","")</f>
        <v>dpc602_1_7_1_2</v>
      </c>
      <c r="AO150">
        <f>O150</f>
        <v>2</v>
      </c>
      <c r="AP150" t="str">
        <f t="shared" ref="AP150" si="43">SUBSTITUTE(SUBSTITUTE(SUBSTITUTE("dch"&amp;$B150&amp;$C150&amp;$D150&amp;$E150&amp;$F150,".","_"),"(","_"),")","")</f>
        <v>dch602_1_7_1_2</v>
      </c>
      <c r="AQ150" t="str">
        <f>W150</f>
        <v>Met</v>
      </c>
      <c r="AR150" t="str">
        <f>SUBSTITUTE(SUBSTITUTE(SUBSTITUTE("dnt"&amp;$B150&amp;$C150&amp;$D150&amp;$E150&amp;$F150,".","_"),"(","_"),")","")</f>
        <v>dnt602_1_7_1_2</v>
      </c>
      <c r="AS150">
        <f>X150</f>
        <v>0</v>
      </c>
    </row>
    <row r="151" spans="2:45" x14ac:dyDescent="0.35">
      <c r="B151" s="452" t="s">
        <v>621</v>
      </c>
      <c r="C151" s="452"/>
      <c r="D151" s="13"/>
      <c r="E151" s="13" t="s">
        <v>272</v>
      </c>
      <c r="F151" s="13"/>
      <c r="G151" s="13"/>
      <c r="H151" s="550"/>
      <c r="I151" s="32"/>
      <c r="J151" s="4"/>
      <c r="K151" s="46"/>
      <c r="L151" s="707"/>
      <c r="M151" s="750"/>
      <c r="N151" s="4"/>
      <c r="O151" s="696"/>
      <c r="X151" s="688"/>
    </row>
    <row r="152" spans="2:45" x14ac:dyDescent="0.35">
      <c r="B152" s="452" t="s">
        <v>621</v>
      </c>
      <c r="C152" s="452"/>
      <c r="D152" s="13"/>
      <c r="E152" s="13" t="s">
        <v>272</v>
      </c>
      <c r="F152" s="13"/>
      <c r="G152" s="13"/>
      <c r="H152" s="550"/>
      <c r="I152" s="32"/>
      <c r="J152" s="155"/>
      <c r="K152" s="116"/>
      <c r="L152" s="121" t="s">
        <v>1301</v>
      </c>
      <c r="M152" s="751"/>
      <c r="N152" s="155"/>
      <c r="O152" s="697"/>
      <c r="X152" s="688"/>
    </row>
    <row r="153" spans="2:45" x14ac:dyDescent="0.35">
      <c r="B153" s="452" t="s">
        <v>621</v>
      </c>
      <c r="C153" s="452"/>
      <c r="D153" s="13"/>
      <c r="E153" s="13" t="s">
        <v>274</v>
      </c>
      <c r="F153" s="13"/>
      <c r="G153" s="13"/>
      <c r="H153" s="550"/>
      <c r="I153" s="32"/>
      <c r="J153" s="19" t="s">
        <v>274</v>
      </c>
      <c r="K153" s="46"/>
      <c r="L153" s="707" t="s">
        <v>625</v>
      </c>
      <c r="M153" s="737">
        <v>4</v>
      </c>
      <c r="N153" s="4"/>
      <c r="O153" s="696">
        <f>M153*S153*W153</f>
        <v>0</v>
      </c>
      <c r="P153" t="b">
        <v>1</v>
      </c>
      <c r="Q153" t="b">
        <v>0</v>
      </c>
      <c r="R153" t="b">
        <v>0</v>
      </c>
      <c r="S153" t="b">
        <v>1</v>
      </c>
      <c r="T153" t="b">
        <v>0</v>
      </c>
      <c r="W153" s="17"/>
      <c r="X153" s="688"/>
      <c r="AL153" t="str">
        <f>SUBSTITUTE(SUBSTITUTE(SUBSTITUTE("dpa"&amp;$B153&amp;$C153&amp;$D153&amp;$E153&amp;$F153,".","_"),"(","_"),")","")</f>
        <v>dpa602_1_7_1_3</v>
      </c>
      <c r="AM153">
        <f>M153</f>
        <v>4</v>
      </c>
      <c r="AN153" t="str">
        <f>SUBSTITUTE(SUBSTITUTE(SUBSTITUTE("dpc"&amp;$B153&amp;$C153&amp;$D153&amp;$E153&amp;$F153,".","_"),"(","_"),")","")</f>
        <v>dpc602_1_7_1_3</v>
      </c>
      <c r="AO153">
        <f>O153</f>
        <v>0</v>
      </c>
      <c r="AP153" t="str">
        <f t="shared" ref="AP153" si="44">SUBSTITUTE(SUBSTITUTE(SUBSTITUTE("dch"&amp;$B153&amp;$C153&amp;$D153&amp;$E153&amp;$F153,".","_"),"(","_"),")","")</f>
        <v>dch602_1_7_1_3</v>
      </c>
      <c r="AQ153">
        <f>W153</f>
        <v>0</v>
      </c>
      <c r="AR153" t="str">
        <f>SUBSTITUTE(SUBSTITUTE(SUBSTITUTE("dnt"&amp;$B153&amp;$C153&amp;$D153&amp;$E153&amp;$F153,".","_"),"(","_"),")","")</f>
        <v>dnt602_1_7_1_3</v>
      </c>
      <c r="AS153">
        <f>X153</f>
        <v>0</v>
      </c>
    </row>
    <row r="154" spans="2:45" x14ac:dyDescent="0.35">
      <c r="B154" s="452" t="s">
        <v>621</v>
      </c>
      <c r="C154" s="452"/>
      <c r="D154" s="13"/>
      <c r="E154" s="13" t="s">
        <v>274</v>
      </c>
      <c r="F154" s="13"/>
      <c r="G154" s="13"/>
      <c r="H154" s="550"/>
      <c r="I154" s="161"/>
      <c r="J154" s="155"/>
      <c r="K154" s="116"/>
      <c r="L154" s="709"/>
      <c r="M154" s="756"/>
      <c r="N154" s="155"/>
      <c r="O154" s="697"/>
      <c r="X154" s="688"/>
    </row>
    <row r="155" spans="2:45" ht="15" customHeight="1" x14ac:dyDescent="0.35">
      <c r="B155" s="452" t="s">
        <v>626</v>
      </c>
      <c r="C155" s="452"/>
      <c r="D155" s="13"/>
      <c r="E155" s="13"/>
      <c r="F155" s="13"/>
      <c r="G155" s="13"/>
      <c r="H155" s="550"/>
      <c r="I155" s="135" t="s">
        <v>627</v>
      </c>
      <c r="J155" s="136"/>
      <c r="K155" s="137"/>
      <c r="L155" s="753" t="s">
        <v>628</v>
      </c>
      <c r="M155" s="712">
        <v>2</v>
      </c>
      <c r="N155" s="136"/>
      <c r="O155" s="713">
        <f>M155*S155*W155</f>
        <v>0</v>
      </c>
      <c r="P155" t="b">
        <v>1</v>
      </c>
      <c r="Q155" t="b">
        <v>1</v>
      </c>
      <c r="R155" t="b">
        <v>0</v>
      </c>
      <c r="S155" t="b">
        <v>1</v>
      </c>
      <c r="T155" t="b">
        <v>0</v>
      </c>
      <c r="W155" s="17"/>
      <c r="X155" s="688"/>
      <c r="AL155" t="str">
        <f>SUBSTITUTE(SUBSTITUTE(SUBSTITUTE("dpa"&amp;$B155&amp;$C155&amp;$D155&amp;$E155&amp;$F155,".","_"),"(","_"),")","")</f>
        <v>dpa602_1_7_2</v>
      </c>
      <c r="AM155">
        <f>M155</f>
        <v>2</v>
      </c>
      <c r="AN155" t="str">
        <f>SUBSTITUTE(SUBSTITUTE(SUBSTITUTE("dpc"&amp;$B155&amp;$C155&amp;$D155&amp;$E155&amp;$F155,".","_"),"(","_"),")","")</f>
        <v>dpc602_1_7_2</v>
      </c>
      <c r="AO155">
        <f>O155</f>
        <v>0</v>
      </c>
      <c r="AP155" t="str">
        <f t="shared" ref="AP155" si="45">SUBSTITUTE(SUBSTITUTE(SUBSTITUTE("dch"&amp;$B155&amp;$C155&amp;$D155&amp;$E155&amp;$F155,".","_"),"(","_"),")","")</f>
        <v>dch602_1_7_2</v>
      </c>
      <c r="AQ155">
        <f>W155</f>
        <v>0</v>
      </c>
      <c r="AR155" t="str">
        <f>SUBSTITUTE(SUBSTITUTE(SUBSTITUTE("dnt"&amp;$B155&amp;$C155&amp;$D155&amp;$E155&amp;$F155,".","_"),"(","_"),")","")</f>
        <v>dnt602_1_7_2</v>
      </c>
      <c r="AS155">
        <f>X155</f>
        <v>0</v>
      </c>
    </row>
    <row r="156" spans="2:45" x14ac:dyDescent="0.35">
      <c r="B156" s="40" t="s">
        <v>626</v>
      </c>
      <c r="C156" s="40"/>
      <c r="D156" s="13"/>
      <c r="E156" s="13"/>
      <c r="F156" s="13"/>
      <c r="G156" s="13"/>
      <c r="H156" s="550"/>
      <c r="I156" s="161"/>
      <c r="J156" s="155"/>
      <c r="K156" s="116"/>
      <c r="L156" s="739"/>
      <c r="M156" s="691"/>
      <c r="N156" s="155"/>
      <c r="O156" s="697"/>
      <c r="X156" s="688"/>
    </row>
    <row r="157" spans="2:45" x14ac:dyDescent="0.35">
      <c r="B157" s="40" t="s">
        <v>629</v>
      </c>
      <c r="C157" s="40"/>
      <c r="D157" s="13"/>
      <c r="E157" s="13"/>
      <c r="F157" s="13"/>
      <c r="G157" s="13"/>
      <c r="H157" s="550"/>
      <c r="I157" s="32" t="s">
        <v>630</v>
      </c>
      <c r="J157" s="4"/>
      <c r="K157" s="46"/>
      <c r="L157" s="706" t="s">
        <v>631</v>
      </c>
      <c r="M157" s="690">
        <v>4</v>
      </c>
      <c r="N157" s="4"/>
      <c r="O157" s="696">
        <f>M157*S157*W157</f>
        <v>0</v>
      </c>
      <c r="P157" t="b">
        <v>1</v>
      </c>
      <c r="Q157" t="b">
        <v>0</v>
      </c>
      <c r="R157" t="b">
        <v>0</v>
      </c>
      <c r="S157" t="b">
        <v>1</v>
      </c>
      <c r="T157" t="b">
        <v>0</v>
      </c>
      <c r="W157" s="17"/>
      <c r="X157" s="688"/>
      <c r="AL157" t="str">
        <f>SUBSTITUTE(SUBSTITUTE(SUBSTITUTE("dpa"&amp;$B157&amp;$C157&amp;$D157&amp;$E157&amp;$F157,".","_"),"(","_"),")","")</f>
        <v>dpa602_1_7_3</v>
      </c>
      <c r="AM157">
        <f>M157</f>
        <v>4</v>
      </c>
      <c r="AN157" t="str">
        <f>SUBSTITUTE(SUBSTITUTE(SUBSTITUTE("dpc"&amp;$B157&amp;$C157&amp;$D157&amp;$E157&amp;$F157,".","_"),"(","_"),")","")</f>
        <v>dpc602_1_7_3</v>
      </c>
      <c r="AO157">
        <f>O157</f>
        <v>0</v>
      </c>
      <c r="AP157" t="str">
        <f t="shared" ref="AP157" si="46">SUBSTITUTE(SUBSTITUTE(SUBSTITUTE("dch"&amp;$B157&amp;$C157&amp;$D157&amp;$E157&amp;$F157,".","_"),"(","_"),")","")</f>
        <v>dch602_1_7_3</v>
      </c>
      <c r="AQ157">
        <f>W157</f>
        <v>0</v>
      </c>
      <c r="AR157" t="str">
        <f>SUBSTITUTE(SUBSTITUTE(SUBSTITUTE("dnt"&amp;$B157&amp;$C157&amp;$D157&amp;$E157&amp;$F157,".","_"),"(","_"),")","")</f>
        <v>dnt602_1_7_3</v>
      </c>
      <c r="AS157">
        <f>X157</f>
        <v>0</v>
      </c>
    </row>
    <row r="158" spans="2:45" x14ac:dyDescent="0.35">
      <c r="B158" s="40" t="s">
        <v>629</v>
      </c>
      <c r="C158" s="40"/>
      <c r="D158" s="13"/>
      <c r="E158" s="13"/>
      <c r="F158" s="13"/>
      <c r="G158" s="13"/>
      <c r="H158" s="550"/>
      <c r="I158" s="32"/>
      <c r="J158" s="4"/>
      <c r="K158" s="46"/>
      <c r="L158" s="706"/>
      <c r="M158" s="690"/>
      <c r="N158" s="4"/>
      <c r="O158" s="696"/>
      <c r="X158" s="688"/>
    </row>
    <row r="159" spans="2:45" x14ac:dyDescent="0.35">
      <c r="B159" s="40" t="s">
        <v>629</v>
      </c>
      <c r="C159" s="40"/>
      <c r="D159" s="13"/>
      <c r="E159" s="13"/>
      <c r="F159" s="13"/>
      <c r="G159" s="13"/>
      <c r="H159" s="550"/>
      <c r="I159" s="32"/>
      <c r="J159" s="4"/>
      <c r="K159" s="46"/>
      <c r="L159" s="706"/>
      <c r="M159" s="690"/>
      <c r="N159" s="4"/>
      <c r="O159" s="696"/>
      <c r="X159" s="688"/>
    </row>
    <row r="160" spans="2:45" ht="15" thickBot="1" x14ac:dyDescent="0.4">
      <c r="B160" s="40" t="s">
        <v>629</v>
      </c>
      <c r="C160" s="40"/>
      <c r="D160" s="13"/>
      <c r="E160" s="13"/>
      <c r="F160" s="13"/>
      <c r="G160" s="13"/>
      <c r="H160" s="550"/>
      <c r="I160" s="32"/>
      <c r="J160" s="4"/>
      <c r="K160" s="46"/>
      <c r="L160" s="706"/>
      <c r="M160" s="690"/>
      <c r="N160" s="4"/>
      <c r="O160" s="696"/>
      <c r="W160" s="67"/>
      <c r="X160" s="698"/>
    </row>
    <row r="161" spans="2:45" ht="15" thickTop="1" x14ac:dyDescent="0.35">
      <c r="B161" s="40" t="s">
        <v>632</v>
      </c>
      <c r="C161" s="13"/>
      <c r="D161" s="13"/>
      <c r="E161" s="13"/>
      <c r="F161" s="13"/>
      <c r="G161" s="13"/>
      <c r="H161" s="550"/>
      <c r="I161" s="123" t="s">
        <v>632</v>
      </c>
      <c r="J161" s="124"/>
      <c r="K161" s="125"/>
      <c r="L161" s="711" t="s">
        <v>633</v>
      </c>
      <c r="M161" s="749" t="str">
        <f>IF(R161,"Mandatory","N/A")</f>
        <v>Mandatory</v>
      </c>
      <c r="N161" s="124"/>
      <c r="O161" s="341"/>
      <c r="P161" t="b">
        <v>1</v>
      </c>
      <c r="Q161" t="b">
        <v>0</v>
      </c>
      <c r="R161" s="62" t="b">
        <f>S161</f>
        <v>1</v>
      </c>
      <c r="S161" s="62" t="b">
        <v>1</v>
      </c>
      <c r="T161" s="62" t="b">
        <v>0</v>
      </c>
      <c r="U161" s="62" t="str">
        <f>SUBSTITUTE(SUBSTITUTE(SUBSTITUTE("dd"&amp;B161&amp;C161&amp;D161&amp;E161&amp;F161,".","_"),"(","_"),")","")</f>
        <v>dd602_1_8</v>
      </c>
      <c r="V161" s="62"/>
      <c r="W161" s="204" t="s">
        <v>3239</v>
      </c>
      <c r="X161" s="687" t="s">
        <v>4844</v>
      </c>
      <c r="AC161" t="b">
        <f>OR(AD161:AE161)</f>
        <v>0</v>
      </c>
      <c r="AD161" t="b">
        <f>T161</f>
        <v>0</v>
      </c>
      <c r="AE161" t="b">
        <f>OR(AND(R161,NOT(W161="Met"),NOT(W161="N/A")),AND(W161="N/A",ISBLANK(X161)))</f>
        <v>0</v>
      </c>
      <c r="AL161" t="str">
        <f>SUBSTITUTE(SUBSTITUTE(SUBSTITUTE("dpa"&amp;$B161&amp;$C161&amp;$D161&amp;$E161&amp;$F161,".","_"),"(","_"),")","")</f>
        <v>dpa602_1_8</v>
      </c>
      <c r="AM161" t="str">
        <f>M161</f>
        <v>Mandatory</v>
      </c>
      <c r="AP161" t="str">
        <f t="shared" ref="AP161" si="47">SUBSTITUTE(SUBSTITUTE(SUBSTITUTE("dch"&amp;$B161&amp;$C161&amp;$D161&amp;$E161&amp;$F161,".","_"),"(","_"),")","")</f>
        <v>dch602_1_8</v>
      </c>
      <c r="AQ161" t="str">
        <f>W161</f>
        <v>Met</v>
      </c>
      <c r="AR161" t="str">
        <f>SUBSTITUTE(SUBSTITUTE(SUBSTITUTE("dnt"&amp;$B161&amp;$C161&amp;$D161&amp;$E161&amp;$F161,".","_"),"(","_"),")","")</f>
        <v>dnt602_1_8</v>
      </c>
      <c r="AS161" t="str">
        <f>X161</f>
        <v>Hardie™ Weather Barrier</v>
      </c>
    </row>
    <row r="162" spans="2:45" x14ac:dyDescent="0.35">
      <c r="B162" s="40" t="s">
        <v>632</v>
      </c>
      <c r="C162" s="13"/>
      <c r="D162" s="13"/>
      <c r="E162" s="13"/>
      <c r="F162" s="13"/>
      <c r="G162" s="13"/>
      <c r="H162" s="550"/>
      <c r="I162" s="32"/>
      <c r="J162" s="4"/>
      <c r="K162" s="46"/>
      <c r="L162" s="706"/>
      <c r="M162" s="740"/>
      <c r="N162" s="4"/>
      <c r="O162" s="85"/>
      <c r="X162" s="688"/>
    </row>
    <row r="163" spans="2:45" ht="15" thickBot="1" x14ac:dyDescent="0.4">
      <c r="B163" s="40" t="s">
        <v>632</v>
      </c>
      <c r="C163" s="13"/>
      <c r="D163" s="13"/>
      <c r="E163" s="13"/>
      <c r="F163" s="13"/>
      <c r="G163" s="13"/>
      <c r="H163" s="550"/>
      <c r="I163" s="32"/>
      <c r="J163" s="4"/>
      <c r="K163" s="46"/>
      <c r="L163" s="197" t="s">
        <v>1301</v>
      </c>
      <c r="M163" s="740"/>
      <c r="N163" s="4"/>
      <c r="O163" s="85"/>
      <c r="X163" s="698"/>
    </row>
    <row r="164" spans="2:45" ht="15" thickTop="1" x14ac:dyDescent="0.35">
      <c r="B164" s="40" t="s">
        <v>634</v>
      </c>
      <c r="C164" s="13"/>
      <c r="D164" s="13"/>
      <c r="E164" s="13"/>
      <c r="F164" s="13"/>
      <c r="G164" s="13"/>
      <c r="H164" s="550"/>
      <c r="I164" s="123" t="s">
        <v>634</v>
      </c>
      <c r="J164" s="124"/>
      <c r="K164" s="125"/>
      <c r="L164" s="711" t="s">
        <v>635</v>
      </c>
      <c r="M164" s="199"/>
      <c r="N164" s="124"/>
      <c r="O164" s="341"/>
      <c r="P164" s="62"/>
      <c r="Q164" s="62"/>
      <c r="R164" s="62"/>
      <c r="S164" s="62"/>
      <c r="T164" s="62"/>
      <c r="U164" s="62"/>
      <c r="V164" s="62"/>
      <c r="W164" s="62"/>
      <c r="X164" s="62"/>
    </row>
    <row r="165" spans="2:45" x14ac:dyDescent="0.35">
      <c r="B165" s="40" t="s">
        <v>634</v>
      </c>
      <c r="C165" s="13"/>
      <c r="D165" s="13"/>
      <c r="E165" s="13"/>
      <c r="F165" s="13"/>
      <c r="G165" s="13"/>
      <c r="H165" s="550"/>
      <c r="I165" s="32"/>
      <c r="J165" s="4"/>
      <c r="K165" s="46"/>
      <c r="L165" s="706"/>
      <c r="M165" s="43"/>
      <c r="N165" s="4"/>
      <c r="O165" s="85"/>
    </row>
    <row r="166" spans="2:45" x14ac:dyDescent="0.35">
      <c r="B166" s="40" t="s">
        <v>634</v>
      </c>
      <c r="C166" s="13"/>
      <c r="D166" s="13"/>
      <c r="E166" s="13"/>
      <c r="F166" s="13"/>
      <c r="G166" s="13"/>
      <c r="H166" s="550"/>
      <c r="I166" s="32"/>
      <c r="J166" s="4"/>
      <c r="K166" s="46"/>
      <c r="L166" s="706"/>
      <c r="M166" s="43"/>
      <c r="N166" s="4"/>
      <c r="O166" s="85"/>
    </row>
    <row r="167" spans="2:45" x14ac:dyDescent="0.35">
      <c r="B167" s="40" t="s">
        <v>634</v>
      </c>
      <c r="C167" s="13"/>
      <c r="D167" s="13"/>
      <c r="E167" s="13"/>
      <c r="F167" s="13"/>
      <c r="G167" s="13"/>
      <c r="H167" s="550"/>
      <c r="I167" s="32"/>
      <c r="J167" s="4"/>
      <c r="K167" s="46"/>
      <c r="L167" s="706"/>
      <c r="M167" s="43"/>
      <c r="N167" s="4"/>
      <c r="O167" s="85"/>
    </row>
    <row r="168" spans="2:45" x14ac:dyDescent="0.35">
      <c r="B168" s="40" t="s">
        <v>634</v>
      </c>
      <c r="C168" s="13"/>
      <c r="D168" s="13"/>
      <c r="E168" s="13"/>
      <c r="F168" s="13"/>
      <c r="G168" s="13"/>
      <c r="H168" s="550"/>
      <c r="I168" s="32"/>
      <c r="J168" s="4"/>
      <c r="K168" s="46"/>
      <c r="L168" s="706"/>
      <c r="M168" s="43"/>
      <c r="N168" s="4"/>
      <c r="O168" s="85"/>
    </row>
    <row r="169" spans="2:45" x14ac:dyDescent="0.35">
      <c r="B169" s="40" t="s">
        <v>634</v>
      </c>
      <c r="C169" s="13"/>
      <c r="D169" s="13"/>
      <c r="E169" s="13" t="s">
        <v>270</v>
      </c>
      <c r="F169" s="13"/>
      <c r="G169" s="13"/>
      <c r="H169" s="550"/>
      <c r="I169" s="32"/>
      <c r="J169" s="19" t="s">
        <v>270</v>
      </c>
      <c r="K169" s="46"/>
      <c r="L169" s="104" t="s">
        <v>636</v>
      </c>
      <c r="M169" s="740" t="str">
        <f>IF(R169,"Mandatory","N/A")</f>
        <v>Mandatory</v>
      </c>
      <c r="N169" s="4"/>
      <c r="O169" s="85"/>
      <c r="P169" t="b">
        <v>1</v>
      </c>
      <c r="Q169" t="b">
        <v>0</v>
      </c>
      <c r="R169" t="b">
        <f>S169</f>
        <v>1</v>
      </c>
      <c r="S169" t="b">
        <v>1</v>
      </c>
      <c r="T169" t="b">
        <v>0</v>
      </c>
      <c r="W169" s="17" t="b">
        <v>1</v>
      </c>
      <c r="X169" s="688" t="s">
        <v>4845</v>
      </c>
      <c r="AC169" t="b">
        <f>OR(AD169:AE169)</f>
        <v>0</v>
      </c>
      <c r="AD169" t="b">
        <f>T169</f>
        <v>0</v>
      </c>
      <c r="AE169" t="b">
        <f>NOT(W169)</f>
        <v>0</v>
      </c>
      <c r="AL169" t="str">
        <f>SUBSTITUTE(SUBSTITUTE(SUBSTITUTE("dpa"&amp;$B169&amp;$C169&amp;$D169&amp;$E169&amp;$F169,".","_"),"(","_"),")","")</f>
        <v>dpa602_1_9_1</v>
      </c>
      <c r="AM169" t="str">
        <f>M169</f>
        <v>Mandatory</v>
      </c>
      <c r="AP169" t="str">
        <f t="shared" ref="AP169" si="48">SUBSTITUTE(SUBSTITUTE(SUBSTITUTE("dch"&amp;$B169&amp;$C169&amp;$D169&amp;$E169&amp;$F169,".","_"),"(","_"),")","")</f>
        <v>dch602_1_9_1</v>
      </c>
      <c r="AQ169" t="b">
        <f>W169</f>
        <v>1</v>
      </c>
      <c r="AR169" t="str">
        <f>SUBSTITUTE(SUBSTITUTE(SUBSTITUTE("dnt"&amp;$B169&amp;$C169&amp;$D169&amp;$E169&amp;$F169,".","_"),"(","_"),")","")</f>
        <v>dnt602_1_9_1</v>
      </c>
      <c r="AS169" t="str">
        <f>X169</f>
        <v>Hardie™ Pro-Flashing</v>
      </c>
    </row>
    <row r="170" spans="2:45" x14ac:dyDescent="0.35">
      <c r="B170" s="40" t="s">
        <v>634</v>
      </c>
      <c r="C170" s="13"/>
      <c r="D170" s="13"/>
      <c r="E170" s="13" t="s">
        <v>270</v>
      </c>
      <c r="F170" s="13" t="s">
        <v>121</v>
      </c>
      <c r="G170" s="13"/>
      <c r="H170" s="550"/>
      <c r="I170" s="32"/>
      <c r="J170" s="4"/>
      <c r="K170" s="50" t="s">
        <v>121</v>
      </c>
      <c r="L170" s="104" t="s">
        <v>637</v>
      </c>
      <c r="M170" s="740"/>
      <c r="N170" s="4"/>
      <c r="O170" s="85"/>
      <c r="X170" s="688"/>
    </row>
    <row r="171" spans="2:45" x14ac:dyDescent="0.35">
      <c r="B171" s="40" t="s">
        <v>634</v>
      </c>
      <c r="C171" s="13"/>
      <c r="D171" s="13"/>
      <c r="E171" s="13" t="s">
        <v>270</v>
      </c>
      <c r="F171" s="13" t="s">
        <v>122</v>
      </c>
      <c r="G171" s="13"/>
      <c r="H171" s="550"/>
      <c r="I171" s="32"/>
      <c r="J171" s="4"/>
      <c r="K171" s="50" t="s">
        <v>122</v>
      </c>
      <c r="L171" s="104" t="s">
        <v>638</v>
      </c>
      <c r="M171" s="740"/>
      <c r="N171" s="4"/>
      <c r="O171" s="85"/>
      <c r="X171" s="688"/>
    </row>
    <row r="172" spans="2:45" x14ac:dyDescent="0.35">
      <c r="B172" s="40" t="s">
        <v>634</v>
      </c>
      <c r="C172" s="13"/>
      <c r="D172" s="13"/>
      <c r="E172" s="13" t="s">
        <v>270</v>
      </c>
      <c r="F172" s="18" t="s">
        <v>123</v>
      </c>
      <c r="G172" s="18"/>
      <c r="H172" s="551"/>
      <c r="I172" s="32"/>
      <c r="J172" s="4"/>
      <c r="K172" s="52" t="s">
        <v>123</v>
      </c>
      <c r="L172" s="104" t="s">
        <v>639</v>
      </c>
      <c r="M172" s="740"/>
      <c r="N172" s="4"/>
      <c r="O172" s="85"/>
      <c r="X172" s="688"/>
    </row>
    <row r="173" spans="2:45" x14ac:dyDescent="0.35">
      <c r="B173" s="40" t="s">
        <v>634</v>
      </c>
      <c r="C173" s="13"/>
      <c r="D173" s="13"/>
      <c r="E173" s="13" t="s">
        <v>270</v>
      </c>
      <c r="F173" s="13" t="s">
        <v>420</v>
      </c>
      <c r="G173" s="13"/>
      <c r="H173" s="550"/>
      <c r="I173" s="32"/>
      <c r="J173" s="4"/>
      <c r="K173" s="48" t="s">
        <v>420</v>
      </c>
      <c r="L173" s="707" t="s">
        <v>640</v>
      </c>
      <c r="M173" s="740"/>
      <c r="N173" s="4"/>
      <c r="O173" s="85"/>
      <c r="X173" s="688"/>
    </row>
    <row r="174" spans="2:45" x14ac:dyDescent="0.35">
      <c r="B174" s="40" t="s">
        <v>634</v>
      </c>
      <c r="C174" s="13"/>
      <c r="D174" s="13"/>
      <c r="E174" s="13" t="s">
        <v>270</v>
      </c>
      <c r="F174" s="13" t="s">
        <v>420</v>
      </c>
      <c r="G174" s="13"/>
      <c r="H174" s="550"/>
      <c r="I174" s="32"/>
      <c r="J174" s="4"/>
      <c r="K174" s="46"/>
      <c r="L174" s="707"/>
      <c r="M174" s="740"/>
      <c r="N174" s="4"/>
      <c r="O174" s="85"/>
      <c r="X174" s="688"/>
    </row>
    <row r="175" spans="2:45" x14ac:dyDescent="0.35">
      <c r="B175" s="40" t="s">
        <v>634</v>
      </c>
      <c r="C175" s="13"/>
      <c r="D175" s="13"/>
      <c r="E175" s="13" t="s">
        <v>270</v>
      </c>
      <c r="F175" s="13" t="s">
        <v>575</v>
      </c>
      <c r="G175" s="13"/>
      <c r="H175" s="550"/>
      <c r="I175" s="32"/>
      <c r="J175" s="4"/>
      <c r="K175" s="48" t="s">
        <v>575</v>
      </c>
      <c r="L175" s="104" t="s">
        <v>641</v>
      </c>
      <c r="M175" s="740"/>
      <c r="N175" s="4"/>
      <c r="O175" s="85"/>
      <c r="X175" s="688"/>
    </row>
    <row r="176" spans="2:45" x14ac:dyDescent="0.35">
      <c r="B176" s="40" t="s">
        <v>634</v>
      </c>
      <c r="C176" s="13"/>
      <c r="D176" s="13"/>
      <c r="E176" s="13" t="s">
        <v>270</v>
      </c>
      <c r="F176" s="18" t="s">
        <v>642</v>
      </c>
      <c r="G176" s="18"/>
      <c r="H176" s="551"/>
      <c r="I176" s="32"/>
      <c r="J176" s="4"/>
      <c r="K176" s="52" t="s">
        <v>642</v>
      </c>
      <c r="L176" s="104" t="s">
        <v>643</v>
      </c>
      <c r="M176" s="740"/>
      <c r="N176" s="4"/>
      <c r="O176" s="85"/>
      <c r="X176" s="688"/>
    </row>
    <row r="177" spans="2:45" x14ac:dyDescent="0.35">
      <c r="B177" s="40" t="s">
        <v>634</v>
      </c>
      <c r="C177" s="13"/>
      <c r="D177" s="13"/>
      <c r="E177" s="13" t="s">
        <v>270</v>
      </c>
      <c r="F177" s="13" t="s">
        <v>644</v>
      </c>
      <c r="G177" s="13"/>
      <c r="H177" s="550"/>
      <c r="I177" s="32"/>
      <c r="J177" s="4"/>
      <c r="K177" s="48" t="s">
        <v>644</v>
      </c>
      <c r="L177" s="104" t="s">
        <v>645</v>
      </c>
      <c r="M177" s="740"/>
      <c r="N177" s="4"/>
      <c r="O177" s="85"/>
      <c r="X177" s="688"/>
    </row>
    <row r="178" spans="2:45" x14ac:dyDescent="0.35">
      <c r="B178" s="40" t="s">
        <v>634</v>
      </c>
      <c r="C178" s="13"/>
      <c r="D178" s="13"/>
      <c r="E178" s="13" t="s">
        <v>270</v>
      </c>
      <c r="F178" s="13" t="s">
        <v>646</v>
      </c>
      <c r="G178" s="13"/>
      <c r="H178" s="550"/>
      <c r="I178" s="32"/>
      <c r="J178" s="155"/>
      <c r="K178" s="162" t="s">
        <v>646</v>
      </c>
      <c r="L178" s="214" t="s">
        <v>647</v>
      </c>
      <c r="M178" s="741"/>
      <c r="N178" s="4"/>
      <c r="O178" s="85"/>
      <c r="X178" s="688"/>
    </row>
    <row r="179" spans="2:45" x14ac:dyDescent="0.35">
      <c r="B179" s="40" t="s">
        <v>634</v>
      </c>
      <c r="C179" s="13"/>
      <c r="D179" s="13"/>
      <c r="E179" s="13" t="s">
        <v>272</v>
      </c>
      <c r="F179" s="40"/>
      <c r="G179" s="40"/>
      <c r="H179" s="553"/>
      <c r="I179" s="32"/>
      <c r="J179" s="19" t="s">
        <v>272</v>
      </c>
      <c r="K179" s="46"/>
      <c r="L179" s="707" t="s">
        <v>648</v>
      </c>
      <c r="M179" s="690">
        <v>2</v>
      </c>
      <c r="N179" s="4"/>
      <c r="O179" s="696">
        <f>M179*S179*W179</f>
        <v>2</v>
      </c>
      <c r="P179" t="b">
        <v>1</v>
      </c>
      <c r="Q179" t="b">
        <v>0</v>
      </c>
      <c r="R179" t="b">
        <v>0</v>
      </c>
      <c r="S179" t="b">
        <v>1</v>
      </c>
      <c r="T179" t="b">
        <v>0</v>
      </c>
      <c r="W179" s="17" t="b">
        <v>1</v>
      </c>
      <c r="X179" s="688" t="s">
        <v>4812</v>
      </c>
      <c r="AL179" t="str">
        <f>SUBSTITUTE(SUBSTITUTE(SUBSTITUTE("dpa"&amp;$B179&amp;$C179&amp;$D179&amp;$E179&amp;$F179,".","_"),"(","_"),")","")</f>
        <v>dpa602_1_9_2</v>
      </c>
      <c r="AM179">
        <f>M179</f>
        <v>2</v>
      </c>
      <c r="AN179" t="str">
        <f>SUBSTITUTE(SUBSTITUTE(SUBSTITUTE("dpc"&amp;$B179&amp;$C179&amp;$D179&amp;$E179&amp;$F179,".","_"),"(","_"),")","")</f>
        <v>dpc602_1_9_2</v>
      </c>
      <c r="AO179">
        <f>O179</f>
        <v>2</v>
      </c>
      <c r="AP179" t="str">
        <f t="shared" ref="AP179" si="49">SUBSTITUTE(SUBSTITUTE(SUBSTITUTE("dch"&amp;$B179&amp;$C179&amp;$D179&amp;$E179&amp;$F179,".","_"),"(","_"),")","")</f>
        <v>dch602_1_9_2</v>
      </c>
      <c r="AQ179" t="b">
        <f>W179</f>
        <v>1</v>
      </c>
      <c r="AR179" t="str">
        <f>SUBSTITUTE(SUBSTITUTE(SUBSTITUTE("dnt"&amp;$B179&amp;$C179&amp;$D179&amp;$E179&amp;$F179,".","_"),"(","_"),")","")</f>
        <v>dnt602_1_9_2</v>
      </c>
      <c r="AS179" t="str">
        <f>X179</f>
        <v>DuPont FlexWrap</v>
      </c>
    </row>
    <row r="180" spans="2:45" x14ac:dyDescent="0.35">
      <c r="B180" s="40" t="s">
        <v>634</v>
      </c>
      <c r="C180" s="13"/>
      <c r="D180" s="13"/>
      <c r="E180" s="13" t="s">
        <v>272</v>
      </c>
      <c r="F180" s="40"/>
      <c r="G180" s="40"/>
      <c r="H180" s="553"/>
      <c r="I180" s="32"/>
      <c r="J180" s="4"/>
      <c r="K180" s="46"/>
      <c r="L180" s="707"/>
      <c r="M180" s="690"/>
      <c r="N180" s="4"/>
      <c r="O180" s="696"/>
      <c r="X180" s="688"/>
    </row>
    <row r="181" spans="2:45" x14ac:dyDescent="0.35">
      <c r="B181" s="40" t="s">
        <v>634</v>
      </c>
      <c r="C181" s="13"/>
      <c r="D181" s="13"/>
      <c r="E181" s="13" t="s">
        <v>272</v>
      </c>
      <c r="F181" s="40"/>
      <c r="G181" s="40"/>
      <c r="H181" s="553"/>
      <c r="I181" s="32"/>
      <c r="J181" s="155"/>
      <c r="K181" s="116"/>
      <c r="L181" s="709"/>
      <c r="M181" s="691"/>
      <c r="N181" s="155"/>
      <c r="O181" s="697"/>
      <c r="X181" s="688"/>
    </row>
    <row r="182" spans="2:45" x14ac:dyDescent="0.35">
      <c r="B182" s="40" t="s">
        <v>634</v>
      </c>
      <c r="C182" s="13"/>
      <c r="D182" s="13"/>
      <c r="E182" s="13" t="s">
        <v>274</v>
      </c>
      <c r="F182" s="40"/>
      <c r="G182" s="40"/>
      <c r="H182" s="553"/>
      <c r="I182" s="32"/>
      <c r="J182" s="150" t="s">
        <v>274</v>
      </c>
      <c r="K182" s="151"/>
      <c r="L182" s="220" t="s">
        <v>649</v>
      </c>
      <c r="M182" s="153">
        <v>3</v>
      </c>
      <c r="N182" s="187"/>
      <c r="O182" s="313">
        <f>M182*S182*W182</f>
        <v>0</v>
      </c>
      <c r="P182" t="b">
        <v>1</v>
      </c>
      <c r="Q182" t="b">
        <v>0</v>
      </c>
      <c r="R182" t="b">
        <v>0</v>
      </c>
      <c r="S182" t="b">
        <v>1</v>
      </c>
      <c r="T182" t="b">
        <v>0</v>
      </c>
      <c r="W182" s="17"/>
      <c r="X182" s="39"/>
      <c r="AL182" t="str">
        <f t="shared" ref="AL182:AL183" si="50">SUBSTITUTE(SUBSTITUTE(SUBSTITUTE("dpa"&amp;$B182&amp;$C182&amp;$D182&amp;$E182&amp;$F182,".","_"),"(","_"),")","")</f>
        <v>dpa602_1_9_3</v>
      </c>
      <c r="AM182">
        <f>M182</f>
        <v>3</v>
      </c>
      <c r="AN182" t="str">
        <f t="shared" ref="AN182:AN183" si="51">SUBSTITUTE(SUBSTITUTE(SUBSTITUTE("dpc"&amp;$B182&amp;$C182&amp;$D182&amp;$E182&amp;$F182,".","_"),"(","_"),")","")</f>
        <v>dpc602_1_9_3</v>
      </c>
      <c r="AO182">
        <f>O182</f>
        <v>0</v>
      </c>
      <c r="AP182" t="str">
        <f t="shared" ref="AP182:AP183" si="52">SUBSTITUTE(SUBSTITUTE(SUBSTITUTE("dch"&amp;$B182&amp;$C182&amp;$D182&amp;$E182&amp;$F182,".","_"),"(","_"),")","")</f>
        <v>dch602_1_9_3</v>
      </c>
      <c r="AQ182">
        <f>W182</f>
        <v>0</v>
      </c>
      <c r="AR182" t="str">
        <f>SUBSTITUTE(SUBSTITUTE(SUBSTITUTE("dnt"&amp;$B182&amp;$C182&amp;$D182&amp;$E182&amp;$F182,".","_"),"(","_"),")","")</f>
        <v>dnt602_1_9_3</v>
      </c>
      <c r="AS182">
        <f>X182</f>
        <v>0</v>
      </c>
    </row>
    <row r="183" spans="2:45" x14ac:dyDescent="0.35">
      <c r="B183" s="40" t="s">
        <v>634</v>
      </c>
      <c r="C183" s="13"/>
      <c r="D183" s="13"/>
      <c r="E183" s="13" t="s">
        <v>283</v>
      </c>
      <c r="F183" s="40"/>
      <c r="G183" s="40"/>
      <c r="H183" s="553"/>
      <c r="I183" s="32"/>
      <c r="J183" s="154" t="s">
        <v>283</v>
      </c>
      <c r="K183" s="137"/>
      <c r="L183" s="742" t="s">
        <v>650</v>
      </c>
      <c r="M183" s="712">
        <v>3</v>
      </c>
      <c r="N183" s="136"/>
      <c r="O183" s="713">
        <f>M183*S183*W183</f>
        <v>0</v>
      </c>
      <c r="P183" t="b">
        <v>1</v>
      </c>
      <c r="Q183" t="b">
        <v>0</v>
      </c>
      <c r="R183" t="b">
        <v>0</v>
      </c>
      <c r="S183" t="b">
        <v>1</v>
      </c>
      <c r="T183" t="b">
        <v>0</v>
      </c>
      <c r="W183" s="17"/>
      <c r="X183" s="688"/>
      <c r="AL183" t="str">
        <f t="shared" si="50"/>
        <v>dpa602_1_9_4</v>
      </c>
      <c r="AM183">
        <f>M183</f>
        <v>3</v>
      </c>
      <c r="AN183" t="str">
        <f t="shared" si="51"/>
        <v>dpc602_1_9_4</v>
      </c>
      <c r="AO183">
        <f>O183</f>
        <v>0</v>
      </c>
      <c r="AP183" t="str">
        <f t="shared" si="52"/>
        <v>dch602_1_9_4</v>
      </c>
      <c r="AQ183">
        <f>W183</f>
        <v>0</v>
      </c>
      <c r="AR183" t="str">
        <f>SUBSTITUTE(SUBSTITUTE(SUBSTITUTE("dnt"&amp;$B183&amp;$C183&amp;$D183&amp;$E183&amp;$F183,".","_"),"(","_"),")","")</f>
        <v>dnt602_1_9_4</v>
      </c>
      <c r="AS183">
        <f>X183</f>
        <v>0</v>
      </c>
    </row>
    <row r="184" spans="2:45" x14ac:dyDescent="0.35">
      <c r="B184" s="40" t="s">
        <v>634</v>
      </c>
      <c r="C184" s="13"/>
      <c r="D184" s="13"/>
      <c r="E184" s="13" t="s">
        <v>283</v>
      </c>
      <c r="F184" s="40"/>
      <c r="G184" s="40"/>
      <c r="H184" s="553"/>
      <c r="I184" s="32"/>
      <c r="J184" s="4"/>
      <c r="K184" s="46"/>
      <c r="L184" s="707"/>
      <c r="M184" s="690"/>
      <c r="N184" s="4"/>
      <c r="O184" s="696"/>
      <c r="X184" s="688"/>
    </row>
    <row r="185" spans="2:45" x14ac:dyDescent="0.35">
      <c r="B185" s="40" t="s">
        <v>634</v>
      </c>
      <c r="C185" s="13"/>
      <c r="D185" s="13"/>
      <c r="E185" s="13" t="s">
        <v>283</v>
      </c>
      <c r="F185" s="40"/>
      <c r="G185" s="40"/>
      <c r="H185" s="553"/>
      <c r="I185" s="32"/>
      <c r="J185" s="4"/>
      <c r="K185" s="46"/>
      <c r="L185" s="707"/>
      <c r="M185" s="690"/>
      <c r="N185" s="4"/>
      <c r="O185" s="696"/>
      <c r="X185" s="688"/>
    </row>
    <row r="186" spans="2:45" x14ac:dyDescent="0.35">
      <c r="B186" s="40" t="s">
        <v>634</v>
      </c>
      <c r="C186" s="13"/>
      <c r="D186" s="13"/>
      <c r="E186" s="13" t="s">
        <v>283</v>
      </c>
      <c r="F186" s="40"/>
      <c r="G186" s="40"/>
      <c r="H186" s="553"/>
      <c r="I186" s="32"/>
      <c r="J186" s="155"/>
      <c r="K186" s="116"/>
      <c r="L186" s="709"/>
      <c r="M186" s="691"/>
      <c r="N186" s="155"/>
      <c r="O186" s="697"/>
      <c r="X186" s="688"/>
    </row>
    <row r="187" spans="2:45" x14ac:dyDescent="0.35">
      <c r="B187" s="40" t="s">
        <v>634</v>
      </c>
      <c r="C187" s="13"/>
      <c r="D187" s="13"/>
      <c r="E187" s="13" t="s">
        <v>289</v>
      </c>
      <c r="F187" s="40"/>
      <c r="G187" s="40"/>
      <c r="H187" s="553"/>
      <c r="I187" s="32"/>
      <c r="J187" s="19" t="s">
        <v>289</v>
      </c>
      <c r="K187" s="46"/>
      <c r="L187" s="104" t="s">
        <v>651</v>
      </c>
      <c r="M187" s="43"/>
      <c r="N187" s="4"/>
      <c r="O187" s="85">
        <f ca="1">IFERROR(INDEX({4,2},MATCH(W187,INDIRECT(U187),0)),0)</f>
        <v>0</v>
      </c>
      <c r="P187" t="b">
        <v>1</v>
      </c>
      <c r="Q187" t="b">
        <v>0</v>
      </c>
      <c r="R187" t="b">
        <v>0</v>
      </c>
      <c r="S187" t="b">
        <v>1</v>
      </c>
      <c r="T187" t="b">
        <v>0</v>
      </c>
      <c r="U187" t="str">
        <f>SUBSTITUTE(SUBSTITUTE(SUBSTITUTE("dd"&amp;B187&amp;C187&amp;D187&amp;E187&amp;F187,".","_"),"(","_"),")","")</f>
        <v>dd602_1_9_5</v>
      </c>
      <c r="W187" s="9"/>
      <c r="X187" s="688"/>
      <c r="AN187" t="str">
        <f>SUBSTITUTE(SUBSTITUTE(SUBSTITUTE("dpc"&amp;$B187&amp;$C187&amp;$D187&amp;$E187&amp;$F187,".","_"),"(","_"),")","")</f>
        <v>dpc602_1_9_5</v>
      </c>
      <c r="AO187">
        <f ca="1">O187</f>
        <v>0</v>
      </c>
      <c r="AP187" t="str">
        <f t="shared" ref="AP187" si="53">SUBSTITUTE(SUBSTITUTE(SUBSTITUTE("dch"&amp;$B187&amp;$C187&amp;$D187&amp;$E187&amp;$F187,".","_"),"(","_"),")","")</f>
        <v>dch602_1_9_5</v>
      </c>
      <c r="AQ187">
        <f>W187</f>
        <v>0</v>
      </c>
      <c r="AR187" t="str">
        <f>SUBSTITUTE(SUBSTITUTE(SUBSTITUTE("dnt"&amp;$B187&amp;$C187&amp;$D187&amp;$E187&amp;$F187,".","_"),"(","_"),")","")</f>
        <v>dnt602_1_9_5</v>
      </c>
      <c r="AS187">
        <f>X187</f>
        <v>0</v>
      </c>
    </row>
    <row r="188" spans="2:45" x14ac:dyDescent="0.35">
      <c r="B188" s="40" t="s">
        <v>634</v>
      </c>
      <c r="C188" s="13"/>
      <c r="D188" s="13"/>
      <c r="E188" s="13" t="s">
        <v>289</v>
      </c>
      <c r="F188" s="13" t="s">
        <v>121</v>
      </c>
      <c r="G188" s="13"/>
      <c r="H188" s="550"/>
      <c r="I188" s="32"/>
      <c r="J188" s="4"/>
      <c r="K188" s="50" t="s">
        <v>121</v>
      </c>
      <c r="L188" s="707" t="s">
        <v>652</v>
      </c>
      <c r="M188" s="690">
        <v>4</v>
      </c>
      <c r="N188" s="4"/>
      <c r="O188" s="85"/>
      <c r="X188" s="688"/>
      <c r="AL188" t="str">
        <f>SUBSTITUTE(SUBSTITUTE(SUBSTITUTE("dpa"&amp;$B188&amp;$C188&amp;$D188&amp;$E188&amp;$F188,".","_"),"(","_"),")","")</f>
        <v>dpa602_1_9_5_a</v>
      </c>
      <c r="AM188">
        <f>M188</f>
        <v>4</v>
      </c>
    </row>
    <row r="189" spans="2:45" x14ac:dyDescent="0.35">
      <c r="B189" s="40" t="s">
        <v>634</v>
      </c>
      <c r="C189" s="13"/>
      <c r="D189" s="13"/>
      <c r="E189" s="13" t="s">
        <v>289</v>
      </c>
      <c r="F189" s="13" t="s">
        <v>121</v>
      </c>
      <c r="G189" s="13"/>
      <c r="H189" s="550"/>
      <c r="I189" s="32"/>
      <c r="J189" s="4"/>
      <c r="K189" s="50"/>
      <c r="L189" s="707"/>
      <c r="M189" s="690"/>
      <c r="N189" s="4"/>
      <c r="O189" s="85"/>
      <c r="X189" s="688"/>
    </row>
    <row r="190" spans="2:45" x14ac:dyDescent="0.35">
      <c r="B190" s="40" t="s">
        <v>634</v>
      </c>
      <c r="C190" s="13"/>
      <c r="D190" s="13"/>
      <c r="E190" s="13" t="s">
        <v>289</v>
      </c>
      <c r="F190" s="13" t="s">
        <v>121</v>
      </c>
      <c r="G190" s="13"/>
      <c r="H190" s="550"/>
      <c r="I190" s="32"/>
      <c r="J190" s="4"/>
      <c r="K190" s="115"/>
      <c r="L190" s="709"/>
      <c r="M190" s="691"/>
      <c r="N190" s="4"/>
      <c r="O190" s="85"/>
      <c r="X190" s="688"/>
    </row>
    <row r="191" spans="2:45" x14ac:dyDescent="0.35">
      <c r="B191" s="40" t="s">
        <v>634</v>
      </c>
      <c r="C191" s="13"/>
      <c r="D191" s="13"/>
      <c r="E191" s="13" t="s">
        <v>289</v>
      </c>
      <c r="F191" s="13" t="s">
        <v>122</v>
      </c>
      <c r="G191" s="13"/>
      <c r="H191" s="550"/>
      <c r="I191" s="32"/>
      <c r="J191" s="4"/>
      <c r="K191" s="50" t="s">
        <v>122</v>
      </c>
      <c r="L191" s="707" t="s">
        <v>653</v>
      </c>
      <c r="M191" s="690">
        <v>2</v>
      </c>
      <c r="N191" s="4"/>
      <c r="O191" s="85"/>
      <c r="X191" s="688"/>
      <c r="AL191" t="str">
        <f>SUBSTITUTE(SUBSTITUTE(SUBSTITUTE("dpa"&amp;$B191&amp;$C191&amp;$D191&amp;$E191&amp;$F191,".","_"),"(","_"),")","")</f>
        <v>dpa602_1_9_5_b</v>
      </c>
      <c r="AM191">
        <f>M191</f>
        <v>2</v>
      </c>
    </row>
    <row r="192" spans="2:45" x14ac:dyDescent="0.35">
      <c r="B192" s="40" t="s">
        <v>634</v>
      </c>
      <c r="C192" s="13"/>
      <c r="D192" s="13"/>
      <c r="E192" s="13" t="s">
        <v>289</v>
      </c>
      <c r="F192" s="13" t="s">
        <v>122</v>
      </c>
      <c r="G192" s="13"/>
      <c r="H192" s="550"/>
      <c r="I192" s="32"/>
      <c r="J192" s="155"/>
      <c r="K192" s="116"/>
      <c r="L192" s="709"/>
      <c r="M192" s="691"/>
      <c r="N192" s="155"/>
      <c r="O192" s="342"/>
      <c r="X192" s="688"/>
    </row>
    <row r="193" spans="2:45" x14ac:dyDescent="0.35">
      <c r="B193" s="40" t="s">
        <v>634</v>
      </c>
      <c r="C193" s="13"/>
      <c r="D193" s="13"/>
      <c r="E193" s="13" t="s">
        <v>291</v>
      </c>
      <c r="F193" s="40"/>
      <c r="G193" s="40"/>
      <c r="H193" s="553"/>
      <c r="I193" s="32"/>
      <c r="J193" s="154" t="s">
        <v>291</v>
      </c>
      <c r="K193" s="137"/>
      <c r="L193" s="742" t="s">
        <v>654</v>
      </c>
      <c r="M193" s="712">
        <v>2</v>
      </c>
      <c r="N193" s="136"/>
      <c r="O193" s="713">
        <f>M193*S193*W193</f>
        <v>0</v>
      </c>
      <c r="P193" t="b">
        <v>1</v>
      </c>
      <c r="Q193" t="b">
        <v>0</v>
      </c>
      <c r="R193" t="b">
        <v>0</v>
      </c>
      <c r="S193" t="b">
        <v>1</v>
      </c>
      <c r="T193" t="b">
        <v>0</v>
      </c>
      <c r="W193" s="17"/>
      <c r="X193" s="688"/>
      <c r="AL193" t="str">
        <f>SUBSTITUTE(SUBSTITUTE(SUBSTITUTE("dpa"&amp;$B193&amp;$C193&amp;$D193&amp;$E193&amp;$F193,".","_"),"(","_"),")","")</f>
        <v>dpa602_1_9_6</v>
      </c>
      <c r="AM193">
        <f>M193</f>
        <v>2</v>
      </c>
      <c r="AN193" t="str">
        <f>SUBSTITUTE(SUBSTITUTE(SUBSTITUTE("dpc"&amp;$B193&amp;$C193&amp;$D193&amp;$E193&amp;$F193,".","_"),"(","_"),")","")</f>
        <v>dpc602_1_9_6</v>
      </c>
      <c r="AO193">
        <f>O193</f>
        <v>0</v>
      </c>
      <c r="AP193" t="str">
        <f t="shared" ref="AP193" si="54">SUBSTITUTE(SUBSTITUTE(SUBSTITUTE("dch"&amp;$B193&amp;$C193&amp;$D193&amp;$E193&amp;$F193,".","_"),"(","_"),")","")</f>
        <v>dch602_1_9_6</v>
      </c>
      <c r="AQ193">
        <f>W193</f>
        <v>0</v>
      </c>
      <c r="AR193" t="str">
        <f>SUBSTITUTE(SUBSTITUTE(SUBSTITUTE("dnt"&amp;$B193&amp;$C193&amp;$D193&amp;$E193&amp;$F193,".","_"),"(","_"),")","")</f>
        <v>dnt602_1_9_6</v>
      </c>
      <c r="AS193">
        <f>X193</f>
        <v>0</v>
      </c>
    </row>
    <row r="194" spans="2:45" x14ac:dyDescent="0.35">
      <c r="B194" s="40" t="s">
        <v>634</v>
      </c>
      <c r="C194" s="13"/>
      <c r="D194" s="13"/>
      <c r="E194" s="13" t="s">
        <v>291</v>
      </c>
      <c r="F194" s="40"/>
      <c r="G194" s="40"/>
      <c r="H194" s="553"/>
      <c r="I194" s="32"/>
      <c r="J194" s="155"/>
      <c r="K194" s="116"/>
      <c r="L194" s="709"/>
      <c r="M194" s="691"/>
      <c r="N194" s="155"/>
      <c r="O194" s="697"/>
      <c r="X194" s="688"/>
    </row>
    <row r="195" spans="2:45" ht="15" thickBot="1" x14ac:dyDescent="0.4">
      <c r="B195" s="40" t="s">
        <v>634</v>
      </c>
      <c r="C195" s="13"/>
      <c r="D195" s="13"/>
      <c r="E195" s="13" t="s">
        <v>403</v>
      </c>
      <c r="F195" s="41"/>
      <c r="G195" s="41"/>
      <c r="H195" s="554"/>
      <c r="I195" s="32"/>
      <c r="J195" s="19" t="s">
        <v>403</v>
      </c>
      <c r="K195" s="46"/>
      <c r="L195" s="104" t="s">
        <v>655</v>
      </c>
      <c r="M195" s="43">
        <v>2</v>
      </c>
      <c r="N195" s="4"/>
      <c r="O195" s="85">
        <f>M195*S195*W195</f>
        <v>0</v>
      </c>
      <c r="P195" t="b">
        <v>1</v>
      </c>
      <c r="Q195" t="b">
        <v>0</v>
      </c>
      <c r="R195" t="b">
        <v>0</v>
      </c>
      <c r="S195" t="b">
        <v>1</v>
      </c>
      <c r="T195" t="b">
        <v>0</v>
      </c>
      <c r="W195" s="17"/>
      <c r="X195" s="111"/>
      <c r="AL195" t="str">
        <f>SUBSTITUTE(SUBSTITUTE(SUBSTITUTE("dpa"&amp;$B195&amp;$C195&amp;$D195&amp;$E195&amp;$F195,".","_"),"(","_"),")","")</f>
        <v>dpa602_1_9_7</v>
      </c>
      <c r="AM195">
        <f>M195</f>
        <v>2</v>
      </c>
      <c r="AN195" t="str">
        <f t="shared" ref="AN195:AN196" si="55">SUBSTITUTE(SUBSTITUTE(SUBSTITUTE("dpc"&amp;$B195&amp;$C195&amp;$D195&amp;$E195&amp;$F195,".","_"),"(","_"),")","")</f>
        <v>dpc602_1_9_7</v>
      </c>
      <c r="AO195">
        <f>O195</f>
        <v>0</v>
      </c>
      <c r="AP195" t="str">
        <f t="shared" ref="AP195" si="56">SUBSTITUTE(SUBSTITUTE(SUBSTITUTE("dch"&amp;$B195&amp;$C195&amp;$D195&amp;$E195&amp;$F195,".","_"),"(","_"),")","")</f>
        <v>dch602_1_9_7</v>
      </c>
      <c r="AQ195">
        <f>W195</f>
        <v>0</v>
      </c>
      <c r="AR195" t="str">
        <f>SUBSTITUTE(SUBSTITUTE(SUBSTITUTE("dnt"&amp;$B195&amp;$C195&amp;$D195&amp;$E195&amp;$F195,".","_"),"(","_"),")","")</f>
        <v>dnt602_1_9_7</v>
      </c>
      <c r="AS195">
        <f>X195</f>
        <v>0</v>
      </c>
    </row>
    <row r="196" spans="2:45" ht="15" customHeight="1" thickTop="1" x14ac:dyDescent="0.35">
      <c r="B196" s="452" t="s">
        <v>656</v>
      </c>
      <c r="C196" s="546"/>
      <c r="D196" s="13"/>
      <c r="E196" s="13"/>
      <c r="F196" s="13"/>
      <c r="G196" s="13"/>
      <c r="H196" s="550"/>
      <c r="I196" s="123" t="s">
        <v>657</v>
      </c>
      <c r="J196" s="124"/>
      <c r="K196" s="125"/>
      <c r="L196" s="711" t="s">
        <v>658</v>
      </c>
      <c r="M196" s="748" t="s">
        <v>806</v>
      </c>
      <c r="N196" s="124"/>
      <c r="O196" s="694">
        <f ca="1">IFERROR(INDEX({2,4,6},MATCH(W197,INDIRECT(U197),0)),0)</f>
        <v>4</v>
      </c>
      <c r="P196" s="62"/>
      <c r="Q196" s="62"/>
      <c r="R196" s="62"/>
      <c r="S196" s="62"/>
      <c r="T196" s="62"/>
      <c r="U196" s="62"/>
      <c r="V196" s="62"/>
      <c r="W196" s="62"/>
      <c r="X196" s="62"/>
      <c r="AL196" t="str">
        <f>SUBSTITUTE(SUBSTITUTE(SUBSTITUTE("dpa"&amp;$B196&amp;$C196&amp;$D196&amp;$E196&amp;$F196,".","_"),"(","_"),")","")</f>
        <v>dpa602_1_10</v>
      </c>
      <c r="AM196" t="str">
        <f>M196</f>
        <v>2 per exterior door
6 Max</v>
      </c>
      <c r="AN196" t="str">
        <f t="shared" si="55"/>
        <v>dpc602_1_10</v>
      </c>
      <c r="AO196">
        <f ca="1">O196</f>
        <v>4</v>
      </c>
    </row>
    <row r="197" spans="2:45" ht="15" customHeight="1" x14ac:dyDescent="0.35">
      <c r="B197" s="452" t="s">
        <v>656</v>
      </c>
      <c r="C197" s="546"/>
      <c r="D197" s="13"/>
      <c r="E197" s="13"/>
      <c r="F197" s="13"/>
      <c r="G197" s="13"/>
      <c r="H197" s="550"/>
      <c r="I197" s="32"/>
      <c r="J197" s="4"/>
      <c r="K197" s="46"/>
      <c r="L197" s="706"/>
      <c r="M197" s="736"/>
      <c r="N197" s="4"/>
      <c r="O197" s="696"/>
      <c r="P197" t="b">
        <v>1</v>
      </c>
      <c r="Q197" t="b">
        <v>1</v>
      </c>
      <c r="R197" t="b">
        <v>0</v>
      </c>
      <c r="S197" t="b">
        <v>1</v>
      </c>
      <c r="T197" t="b">
        <v>0</v>
      </c>
      <c r="U197" t="str">
        <f>SUBSTITUTE(SUBSTITUTE(SUBSTITUTE("dd"&amp;B197&amp;C197&amp;D197&amp;E197&amp;F197,".","_"),"(","_"),")","")</f>
        <v>dd602_1_10</v>
      </c>
      <c r="W197" s="9" t="s">
        <v>3249</v>
      </c>
      <c r="X197" s="688"/>
      <c r="AP197" t="str">
        <f t="shared" ref="AP197" si="57">SUBSTITUTE(SUBSTITUTE(SUBSTITUTE("dch"&amp;$B197&amp;$C197&amp;$D197&amp;$E197&amp;$F197,".","_"),"(","_"),")","")</f>
        <v>dch602_1_10</v>
      </c>
      <c r="AQ197" t="str">
        <f>W197</f>
        <v>2 exterior door</v>
      </c>
      <c r="AR197" t="str">
        <f>SUBSTITUTE(SUBSTITUTE(SUBSTITUTE("dnt"&amp;$B197&amp;$C197&amp;$D197&amp;$E197&amp;$F197,".","_"),"(","_"),")","")</f>
        <v>dnt602_1_10</v>
      </c>
      <c r="AS197">
        <f>X197</f>
        <v>0</v>
      </c>
    </row>
    <row r="198" spans="2:45" ht="15" customHeight="1" x14ac:dyDescent="0.35">
      <c r="B198" s="452" t="s">
        <v>656</v>
      </c>
      <c r="C198" s="546"/>
      <c r="D198" s="13"/>
      <c r="E198" s="13"/>
      <c r="F198" s="13"/>
      <c r="G198" s="13"/>
      <c r="H198" s="550"/>
      <c r="I198" s="32"/>
      <c r="J198" s="4"/>
      <c r="K198" s="46"/>
      <c r="L198" s="706"/>
      <c r="M198" s="736"/>
      <c r="N198" s="4"/>
      <c r="O198" s="696"/>
      <c r="X198" s="688"/>
    </row>
    <row r="199" spans="2:45" ht="15" customHeight="1" x14ac:dyDescent="0.35">
      <c r="B199" s="452" t="s">
        <v>656</v>
      </c>
      <c r="C199" s="546"/>
      <c r="D199" s="13"/>
      <c r="E199" s="13"/>
      <c r="F199" s="13"/>
      <c r="G199" s="13"/>
      <c r="H199" s="550"/>
      <c r="I199" s="32"/>
      <c r="J199" s="4"/>
      <c r="K199" s="46"/>
      <c r="L199" s="706"/>
      <c r="M199" s="736"/>
      <c r="N199" s="4"/>
      <c r="O199" s="696"/>
      <c r="X199" s="688"/>
    </row>
    <row r="200" spans="2:45" ht="15" customHeight="1" x14ac:dyDescent="0.35">
      <c r="B200" s="452" t="s">
        <v>656</v>
      </c>
      <c r="C200" s="546"/>
      <c r="D200" s="13"/>
      <c r="E200" s="13"/>
      <c r="F200" s="13"/>
      <c r="G200" s="13"/>
      <c r="H200" s="550"/>
      <c r="I200" s="32"/>
      <c r="J200" s="4"/>
      <c r="K200" s="46"/>
      <c r="L200" s="706"/>
      <c r="M200" s="736"/>
      <c r="N200" s="4"/>
      <c r="O200" s="696"/>
      <c r="X200" s="688"/>
    </row>
    <row r="201" spans="2:45" ht="15" customHeight="1" x14ac:dyDescent="0.35">
      <c r="B201" s="452" t="s">
        <v>656</v>
      </c>
      <c r="C201" s="546"/>
      <c r="D201" s="13"/>
      <c r="E201" s="13"/>
      <c r="F201" s="13"/>
      <c r="G201" s="13"/>
      <c r="H201" s="550"/>
      <c r="I201" s="32"/>
      <c r="J201" s="4"/>
      <c r="K201" s="46"/>
      <c r="L201" s="706"/>
      <c r="M201" s="736"/>
      <c r="N201" s="4"/>
      <c r="O201" s="696"/>
      <c r="X201" s="688"/>
    </row>
    <row r="202" spans="2:45" x14ac:dyDescent="0.35">
      <c r="B202" s="452" t="s">
        <v>656</v>
      </c>
      <c r="C202" s="546"/>
      <c r="D202" s="13"/>
      <c r="E202" s="13"/>
      <c r="F202" s="13"/>
      <c r="G202" s="13"/>
      <c r="H202" s="550"/>
      <c r="I202" s="32"/>
      <c r="J202" s="4"/>
      <c r="K202" s="46"/>
      <c r="L202" s="105" t="str">
        <f>"This Project's Climate Zone: "&amp;BF16</f>
        <v>This Project's Climate Zone: 4</v>
      </c>
      <c r="M202" s="736"/>
      <c r="N202" s="4"/>
      <c r="O202" s="696"/>
      <c r="X202" s="688"/>
    </row>
    <row r="203" spans="2:45" ht="15" customHeight="1" x14ac:dyDescent="0.35">
      <c r="B203" s="452" t="s">
        <v>656</v>
      </c>
      <c r="C203" s="546"/>
      <c r="D203" s="13"/>
      <c r="E203" s="13"/>
      <c r="F203" s="13" t="s">
        <v>121</v>
      </c>
      <c r="G203" s="13"/>
      <c r="H203" s="550"/>
      <c r="I203" s="32"/>
      <c r="J203" s="4"/>
      <c r="K203" s="50" t="s">
        <v>121</v>
      </c>
      <c r="L203" s="104" t="s">
        <v>659</v>
      </c>
      <c r="M203" s="736"/>
      <c r="N203" s="4"/>
      <c r="O203" s="696"/>
      <c r="X203" s="688"/>
    </row>
    <row r="204" spans="2:45" ht="15" customHeight="1" x14ac:dyDescent="0.35">
      <c r="B204" s="452" t="s">
        <v>656</v>
      </c>
      <c r="C204" s="546"/>
      <c r="D204" s="13"/>
      <c r="E204" s="13"/>
      <c r="F204" s="13" t="s">
        <v>122</v>
      </c>
      <c r="G204" s="13"/>
      <c r="H204" s="550"/>
      <c r="I204" s="32"/>
      <c r="J204" s="4"/>
      <c r="K204" s="50" t="s">
        <v>122</v>
      </c>
      <c r="L204" s="104" t="s">
        <v>660</v>
      </c>
      <c r="M204" s="736"/>
      <c r="N204" s="4"/>
      <c r="O204" s="696"/>
      <c r="X204" s="688"/>
    </row>
    <row r="205" spans="2:45" ht="15" customHeight="1" x14ac:dyDescent="0.35">
      <c r="B205" s="452" t="s">
        <v>656</v>
      </c>
      <c r="C205" s="546"/>
      <c r="D205" s="13"/>
      <c r="E205" s="13"/>
      <c r="F205" s="13" t="s">
        <v>123</v>
      </c>
      <c r="G205" s="13"/>
      <c r="H205" s="550"/>
      <c r="I205" s="32"/>
      <c r="J205" s="4"/>
      <c r="K205" s="52" t="s">
        <v>123</v>
      </c>
      <c r="L205" s="104" t="s">
        <v>661</v>
      </c>
      <c r="M205" s="736"/>
      <c r="N205" s="4"/>
      <c r="O205" s="696"/>
      <c r="X205" s="688"/>
    </row>
    <row r="206" spans="2:45" ht="15" customHeight="1" x14ac:dyDescent="0.35">
      <c r="B206" s="452" t="s">
        <v>656</v>
      </c>
      <c r="C206" s="546"/>
      <c r="D206" s="13"/>
      <c r="E206" s="13"/>
      <c r="F206" s="13" t="s">
        <v>420</v>
      </c>
      <c r="G206" s="13"/>
      <c r="H206" s="550"/>
      <c r="I206" s="32"/>
      <c r="J206" s="4"/>
      <c r="K206" s="48" t="s">
        <v>420</v>
      </c>
      <c r="L206" s="104" t="s">
        <v>662</v>
      </c>
      <c r="M206" s="736"/>
      <c r="N206" s="4"/>
      <c r="O206" s="696"/>
      <c r="X206" s="688"/>
    </row>
    <row r="207" spans="2:45" x14ac:dyDescent="0.35">
      <c r="B207" s="452" t="s">
        <v>656</v>
      </c>
      <c r="C207" s="546"/>
      <c r="D207" s="13"/>
      <c r="E207" s="13"/>
      <c r="F207" s="13"/>
      <c r="G207" s="13"/>
      <c r="H207" s="550"/>
      <c r="I207" s="32"/>
      <c r="J207" s="4"/>
      <c r="K207" s="48"/>
      <c r="L207" s="714" t="s">
        <v>3251</v>
      </c>
      <c r="M207" s="736"/>
      <c r="N207" s="4"/>
      <c r="O207" s="696"/>
      <c r="X207" s="688"/>
    </row>
    <row r="208" spans="2:45" ht="15" thickBot="1" x14ac:dyDescent="0.4">
      <c r="B208" s="452" t="s">
        <v>656</v>
      </c>
      <c r="C208" s="546"/>
      <c r="D208" s="13"/>
      <c r="E208" s="13"/>
      <c r="F208" s="13"/>
      <c r="G208" s="13"/>
      <c r="H208" s="550"/>
      <c r="I208" s="32"/>
      <c r="J208" s="4"/>
      <c r="K208" s="48"/>
      <c r="L208" s="744"/>
      <c r="M208" s="736"/>
      <c r="N208" s="4"/>
      <c r="O208" s="696"/>
      <c r="W208" s="67"/>
      <c r="X208" s="698"/>
    </row>
    <row r="209" spans="2:45" ht="15" customHeight="1" thickTop="1" x14ac:dyDescent="0.35">
      <c r="B209" s="452" t="s">
        <v>663</v>
      </c>
      <c r="C209" s="546"/>
      <c r="D209" s="13"/>
      <c r="E209" s="13"/>
      <c r="F209" s="13"/>
      <c r="G209" s="13"/>
      <c r="H209" s="550"/>
      <c r="I209" s="123" t="s">
        <v>664</v>
      </c>
      <c r="J209" s="124"/>
      <c r="K209" s="125"/>
      <c r="L209" s="711" t="s">
        <v>665</v>
      </c>
      <c r="M209" s="749" t="str">
        <f>IF(R209,"Mandatory","N/A")</f>
        <v>Mandatory</v>
      </c>
      <c r="N209" s="124"/>
      <c r="O209" s="341"/>
      <c r="P209" s="62" t="b">
        <v>1</v>
      </c>
      <c r="Q209" s="62" t="b">
        <v>1</v>
      </c>
      <c r="R209" s="62" t="b">
        <f>S209</f>
        <v>1</v>
      </c>
      <c r="S209" s="62" t="b">
        <v>1</v>
      </c>
      <c r="T209" s="62" t="b">
        <v>0</v>
      </c>
      <c r="U209" s="62" t="str">
        <f>SUBSTITUTE(SUBSTITUTE(SUBSTITUTE("dd"&amp;B209&amp;C209&amp;D209&amp;E209&amp;F209,".","_"),"(","_"),")","")</f>
        <v>dd602_1_11</v>
      </c>
      <c r="V209" s="62"/>
      <c r="W209" s="204" t="s">
        <v>3239</v>
      </c>
      <c r="X209" s="687"/>
      <c r="AC209" t="b">
        <f>OR(AD209:AE209)</f>
        <v>0</v>
      </c>
      <c r="AD209" t="b">
        <f>T209</f>
        <v>0</v>
      </c>
      <c r="AE209" t="b">
        <f>AND(R209,NOT(W209="Met"),NOT(W209="N/A"))</f>
        <v>0</v>
      </c>
      <c r="AL209" t="str">
        <f>SUBSTITUTE(SUBSTITUTE(SUBSTITUTE("dpa"&amp;$B209&amp;$C209&amp;$D209&amp;$E209&amp;$F209,".","_"),"(","_"),")","")</f>
        <v>dpa602_1_11</v>
      </c>
      <c r="AM209" t="str">
        <f>M209</f>
        <v>Mandatory</v>
      </c>
      <c r="AP209" t="str">
        <f t="shared" ref="AP209" si="58">SUBSTITUTE(SUBSTITUTE(SUBSTITUTE("dch"&amp;$B209&amp;$C209&amp;$D209&amp;$E209&amp;$F209,".","_"),"(","_"),")","")</f>
        <v>dch602_1_11</v>
      </c>
      <c r="AQ209" t="str">
        <f>W209</f>
        <v>Met</v>
      </c>
      <c r="AR209" t="str">
        <f>SUBSTITUTE(SUBSTITUTE(SUBSTITUTE("dnt"&amp;$B209&amp;$C209&amp;$D209&amp;$E209&amp;$F209,".","_"),"(","_"),")","")</f>
        <v>dnt602_1_11</v>
      </c>
      <c r="AS209">
        <f>X209</f>
        <v>0</v>
      </c>
    </row>
    <row r="210" spans="2:45" ht="15" customHeight="1" thickBot="1" x14ac:dyDescent="0.4">
      <c r="B210" s="452" t="s">
        <v>663</v>
      </c>
      <c r="C210" s="546"/>
      <c r="D210" s="13"/>
      <c r="E210" s="13"/>
      <c r="F210" s="13"/>
      <c r="G210" s="13"/>
      <c r="H210" s="550"/>
      <c r="I210" s="32"/>
      <c r="J210" s="4"/>
      <c r="K210" s="46"/>
      <c r="L210" s="706"/>
      <c r="M210" s="740"/>
      <c r="N210" s="4"/>
      <c r="O210" s="85"/>
      <c r="W210" s="205"/>
      <c r="X210" s="698"/>
    </row>
    <row r="211" spans="2:45" ht="15" customHeight="1" thickTop="1" x14ac:dyDescent="0.35">
      <c r="B211" s="452" t="s">
        <v>666</v>
      </c>
      <c r="C211" s="546"/>
      <c r="D211" s="13"/>
      <c r="E211" s="13"/>
      <c r="F211" s="13"/>
      <c r="G211" s="13"/>
      <c r="H211" s="550"/>
      <c r="I211" s="123" t="s">
        <v>666</v>
      </c>
      <c r="J211" s="124"/>
      <c r="K211" s="125"/>
      <c r="L211" s="711" t="s">
        <v>667</v>
      </c>
      <c r="M211" s="692">
        <v>4</v>
      </c>
      <c r="N211" s="124"/>
      <c r="O211" s="694">
        <f ca="1">M211*S211*hyptarg3</f>
        <v>0</v>
      </c>
      <c r="P211" t="b">
        <v>1</v>
      </c>
      <c r="Q211" t="b">
        <v>0</v>
      </c>
      <c r="R211" s="62" t="b">
        <v>0</v>
      </c>
      <c r="S211" s="62" t="b">
        <f ca="1">OR(ISBLANK(W56),W56=INDEX(INDIRECT(U56),1))</f>
        <v>1</v>
      </c>
      <c r="T211" t="b">
        <f ca="1">AND(NOT(S211),W211=TRUE)</f>
        <v>0</v>
      </c>
      <c r="U211" s="62"/>
      <c r="V211" s="62"/>
      <c r="W211" s="77"/>
      <c r="X211" s="687"/>
      <c r="AC211" t="b">
        <f ca="1">OR(AD211:AE211)</f>
        <v>0</v>
      </c>
      <c r="AD211" t="b">
        <f ca="1">T211</f>
        <v>0</v>
      </c>
      <c r="AE211" t="b">
        <v>0</v>
      </c>
      <c r="AL211" t="str">
        <f>SUBSTITUTE(SUBSTITUTE(SUBSTITUTE("dpa"&amp;$B211&amp;$C211&amp;$D211&amp;$E211&amp;$F211,".","_"),"(","_"),")","")</f>
        <v>dpa602_1_12</v>
      </c>
      <c r="AM211">
        <f>M211</f>
        <v>4</v>
      </c>
      <c r="AN211" t="str">
        <f>SUBSTITUTE(SUBSTITUTE(SUBSTITUTE("dpc"&amp;$B211&amp;$C211&amp;$D211&amp;$E211&amp;$F211,".","_"),"(","_"),")","")</f>
        <v>dpc602_1_12</v>
      </c>
      <c r="AO211">
        <f ca="1">O211</f>
        <v>0</v>
      </c>
      <c r="AP211" t="str">
        <f t="shared" ref="AP211" si="59">SUBSTITUTE(SUBSTITUTE(SUBSTITUTE("dch"&amp;$B211&amp;$C211&amp;$D211&amp;$E211&amp;$F211,".","_"),"(","_"),")","")</f>
        <v>dch602_1_12</v>
      </c>
      <c r="AQ211">
        <f>W211</f>
        <v>0</v>
      </c>
      <c r="AR211" t="str">
        <f>SUBSTITUTE(SUBSTITUTE(SUBSTITUTE("dnt"&amp;$B211&amp;$C211&amp;$D211&amp;$E211&amp;$F211,".","_"),"(","_"),")","")</f>
        <v>dnt602_1_12</v>
      </c>
      <c r="AS211">
        <f>X211</f>
        <v>0</v>
      </c>
    </row>
    <row r="212" spans="2:45" ht="15" customHeight="1" x14ac:dyDescent="0.35">
      <c r="B212" s="452" t="s">
        <v>666</v>
      </c>
      <c r="C212" s="546"/>
      <c r="D212" s="13"/>
      <c r="E212" s="13"/>
      <c r="F212" s="13"/>
      <c r="G212" s="13"/>
      <c r="H212" s="550"/>
      <c r="I212" s="32"/>
      <c r="J212" s="4"/>
      <c r="K212" s="46"/>
      <c r="L212" s="706"/>
      <c r="M212" s="690"/>
      <c r="N212" s="4"/>
      <c r="O212" s="696"/>
      <c r="X212" s="688"/>
    </row>
    <row r="213" spans="2:45" ht="15" thickBot="1" x14ac:dyDescent="0.4">
      <c r="B213" s="452" t="s">
        <v>666</v>
      </c>
      <c r="C213" s="546"/>
      <c r="D213" s="13"/>
      <c r="E213" s="13"/>
      <c r="F213" s="13"/>
      <c r="G213" s="13"/>
      <c r="H213" s="550"/>
      <c r="I213" s="32"/>
      <c r="J213" s="4"/>
      <c r="K213" s="46"/>
      <c r="L213" s="558" t="s">
        <v>3236</v>
      </c>
      <c r="M213" s="690"/>
      <c r="N213" s="4"/>
      <c r="O213" s="696"/>
      <c r="W213" s="67"/>
      <c r="X213" s="698"/>
    </row>
    <row r="214" spans="2:45" ht="15" thickTop="1" x14ac:dyDescent="0.35">
      <c r="B214" s="40" t="s">
        <v>668</v>
      </c>
      <c r="C214" s="40"/>
      <c r="D214" s="13"/>
      <c r="E214" s="13"/>
      <c r="F214" s="13"/>
      <c r="G214" s="13"/>
      <c r="H214" s="550"/>
      <c r="I214" s="123" t="s">
        <v>669</v>
      </c>
      <c r="J214" s="124"/>
      <c r="K214" s="125"/>
      <c r="L214" s="711" t="s">
        <v>670</v>
      </c>
      <c r="M214" s="749" t="str">
        <f>IF(R214,"Mandatory","N/A")</f>
        <v>Mandatory</v>
      </c>
      <c r="N214" s="124"/>
      <c r="O214" s="341"/>
      <c r="P214" s="62" t="b">
        <v>1</v>
      </c>
      <c r="Q214" s="62" t="b">
        <v>0</v>
      </c>
      <c r="R214" s="62" t="b">
        <f>S214</f>
        <v>1</v>
      </c>
      <c r="S214" s="62" t="b">
        <v>1</v>
      </c>
      <c r="T214" s="62" t="b">
        <v>0</v>
      </c>
      <c r="U214" s="62" t="str">
        <f>SUBSTITUTE(SUBSTITUTE(SUBSTITUTE("dd"&amp;B214&amp;C214&amp;D214&amp;E214&amp;F214,".","_"),"(","_"),")","")</f>
        <v>dd602_1_13</v>
      </c>
      <c r="V214" s="62"/>
      <c r="W214" s="204" t="s">
        <v>3241</v>
      </c>
      <c r="X214" s="687"/>
      <c r="AC214" t="b">
        <f>OR(AD214:AE214)</f>
        <v>0</v>
      </c>
      <c r="AD214" t="b">
        <f>T214</f>
        <v>0</v>
      </c>
      <c r="AE214" t="b">
        <f>AND(R214,NOT(W214="Met"),NOT(W214="N/A"))</f>
        <v>0</v>
      </c>
      <c r="AL214" t="str">
        <f>SUBSTITUTE(SUBSTITUTE(SUBSTITUTE("dpa"&amp;$B214&amp;$C214&amp;$D214&amp;$E214&amp;$F214,".","_"),"(","_"),")","")</f>
        <v>dpa602_1_13</v>
      </c>
      <c r="AM214" t="str">
        <f>M214</f>
        <v>Mandatory</v>
      </c>
      <c r="AP214" t="str">
        <f t="shared" ref="AP214" si="60">SUBSTITUTE(SUBSTITUTE(SUBSTITUTE("dch"&amp;$B214&amp;$C214&amp;$D214&amp;$E214&amp;$F214,".","_"),"(","_"),")","")</f>
        <v>dch602_1_13</v>
      </c>
      <c r="AQ214" t="str">
        <f>W214</f>
        <v>N/A</v>
      </c>
      <c r="AR214" t="str">
        <f>SUBSTITUTE(SUBSTITUTE(SUBSTITUTE("dnt"&amp;$B214&amp;$C214&amp;$D214&amp;$E214&amp;$F214,".","_"),"(","_"),")","")</f>
        <v>dnt602_1_13</v>
      </c>
      <c r="AS214">
        <f>X214</f>
        <v>0</v>
      </c>
    </row>
    <row r="215" spans="2:45" x14ac:dyDescent="0.35">
      <c r="B215" s="40" t="s">
        <v>668</v>
      </c>
      <c r="C215" s="40"/>
      <c r="D215" s="13"/>
      <c r="E215" s="13"/>
      <c r="F215" s="13"/>
      <c r="G215" s="13"/>
      <c r="H215" s="550"/>
      <c r="I215" s="32"/>
      <c r="J215" s="4"/>
      <c r="K215" s="46"/>
      <c r="L215" s="706"/>
      <c r="M215" s="740"/>
      <c r="N215" s="4"/>
      <c r="O215" s="85"/>
      <c r="X215" s="688"/>
    </row>
    <row r="216" spans="2:45" x14ac:dyDescent="0.35">
      <c r="B216" s="40" t="s">
        <v>668</v>
      </c>
      <c r="C216" s="40"/>
      <c r="D216" s="13"/>
      <c r="E216" s="13"/>
      <c r="F216" s="13"/>
      <c r="G216" s="13"/>
      <c r="H216" s="550"/>
      <c r="I216" s="32"/>
      <c r="J216" s="4"/>
      <c r="K216" s="46"/>
      <c r="L216" s="706"/>
      <c r="M216" s="740"/>
      <c r="N216" s="4"/>
      <c r="O216" s="85"/>
      <c r="X216" s="688"/>
    </row>
    <row r="217" spans="2:45" ht="15" thickBot="1" x14ac:dyDescent="0.4">
      <c r="B217" s="40" t="s">
        <v>668</v>
      </c>
      <c r="C217" s="40"/>
      <c r="D217" s="13"/>
      <c r="E217" s="13"/>
      <c r="F217" s="13"/>
      <c r="G217" s="13"/>
      <c r="H217" s="550"/>
      <c r="I217" s="32"/>
      <c r="J217" s="4"/>
      <c r="K217" s="46"/>
      <c r="L217" s="706"/>
      <c r="M217" s="740"/>
      <c r="N217" s="4"/>
      <c r="O217" s="85"/>
      <c r="X217" s="698"/>
    </row>
    <row r="218" spans="2:45" ht="15" thickTop="1" x14ac:dyDescent="0.35">
      <c r="B218" s="40" t="s">
        <v>671</v>
      </c>
      <c r="C218" s="40"/>
      <c r="D218" s="13"/>
      <c r="E218" s="13"/>
      <c r="F218" s="13"/>
      <c r="G218" s="13"/>
      <c r="H218" s="550"/>
      <c r="I218" s="123" t="s">
        <v>671</v>
      </c>
      <c r="J218" s="124"/>
      <c r="K218" s="125"/>
      <c r="L218" s="711" t="s">
        <v>672</v>
      </c>
      <c r="M218" s="199"/>
      <c r="N218" s="124"/>
      <c r="O218" s="341"/>
      <c r="P218" s="62"/>
      <c r="Q218" s="62"/>
      <c r="R218" s="62"/>
      <c r="S218" s="62"/>
      <c r="T218" s="62"/>
      <c r="U218" s="62"/>
      <c r="V218" s="62"/>
      <c r="W218" s="62"/>
      <c r="X218" s="62"/>
    </row>
    <row r="219" spans="2:45" x14ac:dyDescent="0.35">
      <c r="B219" s="40" t="s">
        <v>671</v>
      </c>
      <c r="C219" s="40"/>
      <c r="D219" s="13"/>
      <c r="E219" s="13"/>
      <c r="F219" s="13"/>
      <c r="G219" s="13"/>
      <c r="H219" s="550"/>
      <c r="I219" s="32"/>
      <c r="J219" s="4"/>
      <c r="K219" s="46"/>
      <c r="L219" s="706"/>
      <c r="M219" s="43"/>
      <c r="N219" s="4"/>
      <c r="O219" s="85"/>
    </row>
    <row r="220" spans="2:45" x14ac:dyDescent="0.35">
      <c r="B220" s="40" t="s">
        <v>671</v>
      </c>
      <c r="C220" s="40"/>
      <c r="D220" s="13"/>
      <c r="E220" s="13" t="s">
        <v>270</v>
      </c>
      <c r="F220" s="13"/>
      <c r="G220" s="13"/>
      <c r="H220" s="550"/>
      <c r="I220" s="32"/>
      <c r="J220" s="19" t="s">
        <v>270</v>
      </c>
      <c r="K220" s="46"/>
      <c r="L220" s="707" t="s">
        <v>673</v>
      </c>
      <c r="M220" s="750" t="str">
        <f>IF(R220,"Mandatory
1","N/A")</f>
        <v>Mandatory
1</v>
      </c>
      <c r="N220" s="4"/>
      <c r="O220" s="696">
        <f>IF(AND(S220,W220="Met"),1,0)</f>
        <v>1</v>
      </c>
      <c r="P220" t="b">
        <v>1</v>
      </c>
      <c r="Q220" t="b">
        <v>1</v>
      </c>
      <c r="R220" t="b">
        <f>S220</f>
        <v>1</v>
      </c>
      <c r="S220" t="b">
        <v>1</v>
      </c>
      <c r="T220" t="b">
        <v>0</v>
      </c>
      <c r="U220" t="str">
        <f>SUBSTITUTE(SUBSTITUTE(SUBSTITUTE("dd"&amp;B220&amp;C220&amp;D220&amp;E220&amp;F220,".","_"),"(","_"),")","")</f>
        <v>dd602_1_14_1</v>
      </c>
      <c r="W220" s="9" t="s">
        <v>3239</v>
      </c>
      <c r="X220" s="688"/>
      <c r="AC220" t="b">
        <f>OR(AD220:AE220)</f>
        <v>0</v>
      </c>
      <c r="AD220" t="b">
        <f>T220</f>
        <v>0</v>
      </c>
      <c r="AE220" t="b">
        <f>AND(R220,NOT(W220="Met"),NOT(W220="N/A"))</f>
        <v>0</v>
      </c>
      <c r="AL220" t="str">
        <f>SUBSTITUTE(SUBSTITUTE(SUBSTITUTE("dpa"&amp;$B220&amp;$C220&amp;$D220&amp;$E220&amp;$F220,".","_"),"(","_"),")","")</f>
        <v>dpa602_1_14_1</v>
      </c>
      <c r="AM220" t="str">
        <f>M220</f>
        <v>Mandatory
1</v>
      </c>
      <c r="AN220" t="str">
        <f>SUBSTITUTE(SUBSTITUTE(SUBSTITUTE("dpc"&amp;$B220&amp;$C220&amp;$D220&amp;$E220&amp;$F220,".","_"),"(","_"),")","")</f>
        <v>dpc602_1_14_1</v>
      </c>
      <c r="AO220">
        <f>O220</f>
        <v>1</v>
      </c>
      <c r="AP220" t="str">
        <f t="shared" ref="AP220" si="61">SUBSTITUTE(SUBSTITUTE(SUBSTITUTE("dch"&amp;$B220&amp;$C220&amp;$D220&amp;$E220&amp;$F220,".","_"),"(","_"),")","")</f>
        <v>dch602_1_14_1</v>
      </c>
      <c r="AQ220" t="str">
        <f>W220</f>
        <v>Met</v>
      </c>
      <c r="AR220" t="str">
        <f>SUBSTITUTE(SUBSTITUTE(SUBSTITUTE("dnt"&amp;$B220&amp;$C220&amp;$D220&amp;$E220&amp;$F220,".","_"),"(","_"),")","")</f>
        <v>dnt602_1_14_1</v>
      </c>
      <c r="AS220">
        <f>X220</f>
        <v>0</v>
      </c>
    </row>
    <row r="221" spans="2:45" x14ac:dyDescent="0.35">
      <c r="B221" s="40" t="s">
        <v>671</v>
      </c>
      <c r="C221" s="40"/>
      <c r="D221" s="13"/>
      <c r="E221" s="13" t="s">
        <v>270</v>
      </c>
      <c r="F221" s="13"/>
      <c r="G221" s="13"/>
      <c r="H221" s="550"/>
      <c r="I221" s="32"/>
      <c r="J221" s="155"/>
      <c r="K221" s="116"/>
      <c r="L221" s="709"/>
      <c r="M221" s="751"/>
      <c r="N221" s="155"/>
      <c r="O221" s="697"/>
      <c r="X221" s="688"/>
    </row>
    <row r="222" spans="2:45" x14ac:dyDescent="0.35">
      <c r="B222" s="40" t="s">
        <v>671</v>
      </c>
      <c r="C222" s="40"/>
      <c r="D222" s="13"/>
      <c r="E222" s="13" t="s">
        <v>272</v>
      </c>
      <c r="F222" s="13"/>
      <c r="G222" s="13"/>
      <c r="H222" s="550"/>
      <c r="I222" s="32"/>
      <c r="J222" s="150" t="s">
        <v>272</v>
      </c>
      <c r="K222" s="151"/>
      <c r="L222" s="220" t="s">
        <v>674</v>
      </c>
      <c r="M222" s="153">
        <v>2</v>
      </c>
      <c r="N222" s="187"/>
      <c r="O222" s="313">
        <f>M222*S222*W222</f>
        <v>0</v>
      </c>
      <c r="P222" t="b">
        <v>1</v>
      </c>
      <c r="Q222" t="b">
        <v>1</v>
      </c>
      <c r="R222" t="b">
        <v>0</v>
      </c>
      <c r="S222" t="b">
        <v>1</v>
      </c>
      <c r="T222" t="b">
        <v>0</v>
      </c>
      <c r="W222" s="17"/>
      <c r="X222" s="39"/>
      <c r="AL222" t="str">
        <f>SUBSTITUTE(SUBSTITUTE(SUBSTITUTE("dpa"&amp;$B222&amp;$C222&amp;$D222&amp;$E222&amp;$F222,".","_"),"(","_"),")","")</f>
        <v>dpa602_1_14_2</v>
      </c>
      <c r="AM222">
        <f>M222</f>
        <v>2</v>
      </c>
      <c r="AN222" t="str">
        <f t="shared" ref="AN222:AN224" si="62">SUBSTITUTE(SUBSTITUTE(SUBSTITUTE("dpc"&amp;$B222&amp;$C222&amp;$D222&amp;$E222&amp;$F222,".","_"),"(","_"),")","")</f>
        <v>dpc602_1_14_2</v>
      </c>
      <c r="AO222">
        <f>O222</f>
        <v>0</v>
      </c>
      <c r="AP222" t="str">
        <f t="shared" ref="AP222:AP223" si="63">SUBSTITUTE(SUBSTITUTE(SUBSTITUTE("dch"&amp;$B222&amp;$C222&amp;$D222&amp;$E222&amp;$F222,".","_"),"(","_"),")","")</f>
        <v>dch602_1_14_2</v>
      </c>
      <c r="AQ222">
        <f>W222</f>
        <v>0</v>
      </c>
      <c r="AR222" t="str">
        <f>SUBSTITUTE(SUBSTITUTE(SUBSTITUTE("dnt"&amp;$B222&amp;$C222&amp;$D222&amp;$E222&amp;$F222,".","_"),"(","_"),")","")</f>
        <v>dnt602_1_14_2</v>
      </c>
      <c r="AS222">
        <f>X222</f>
        <v>0</v>
      </c>
    </row>
    <row r="223" spans="2:45" ht="15" thickBot="1" x14ac:dyDescent="0.4">
      <c r="B223" s="40" t="s">
        <v>671</v>
      </c>
      <c r="C223" s="40"/>
      <c r="D223" s="13"/>
      <c r="E223" s="13" t="s">
        <v>274</v>
      </c>
      <c r="F223" s="13"/>
      <c r="G223" s="13"/>
      <c r="H223" s="550"/>
      <c r="I223" s="32"/>
      <c r="J223" s="19" t="s">
        <v>274</v>
      </c>
      <c r="K223" s="46"/>
      <c r="L223" s="104" t="s">
        <v>675</v>
      </c>
      <c r="M223" s="43">
        <v>2</v>
      </c>
      <c r="N223" s="4"/>
      <c r="O223" s="85">
        <f>M223*S223*W223</f>
        <v>0</v>
      </c>
      <c r="P223" t="b">
        <v>1</v>
      </c>
      <c r="Q223" t="b">
        <v>1</v>
      </c>
      <c r="R223" t="b">
        <v>0</v>
      </c>
      <c r="S223" t="b">
        <v>1</v>
      </c>
      <c r="T223" t="b">
        <v>0</v>
      </c>
      <c r="W223" s="17"/>
      <c r="X223" s="111"/>
      <c r="AL223" t="str">
        <f>SUBSTITUTE(SUBSTITUTE(SUBSTITUTE("dpa"&amp;$B223&amp;$C223&amp;$D223&amp;$E223&amp;$F223,".","_"),"(","_"),")","")</f>
        <v>dpa602_1_14_3</v>
      </c>
      <c r="AM223">
        <f>M223</f>
        <v>2</v>
      </c>
      <c r="AN223" t="str">
        <f t="shared" si="62"/>
        <v>dpc602_1_14_3</v>
      </c>
      <c r="AO223">
        <f>O223</f>
        <v>0</v>
      </c>
      <c r="AP223" t="str">
        <f t="shared" si="63"/>
        <v>dch602_1_14_3</v>
      </c>
      <c r="AQ223">
        <f>W223</f>
        <v>0</v>
      </c>
      <c r="AR223" t="str">
        <f>SUBSTITUTE(SUBSTITUTE(SUBSTITUTE("dnt"&amp;$B223&amp;$C223&amp;$D223&amp;$E223&amp;$F223,".","_"),"(","_"),")","")</f>
        <v>dnt602_1_14_3</v>
      </c>
      <c r="AS223">
        <f>X223</f>
        <v>0</v>
      </c>
    </row>
    <row r="224" spans="2:45" ht="15" thickTop="1" x14ac:dyDescent="0.35">
      <c r="B224" s="40">
        <v>602.20000000000005</v>
      </c>
      <c r="C224" s="13"/>
      <c r="D224" s="13"/>
      <c r="E224" s="13"/>
      <c r="F224" s="13"/>
      <c r="G224" s="13"/>
      <c r="H224" s="550"/>
      <c r="I224" s="123">
        <v>602.20000000000005</v>
      </c>
      <c r="J224" s="124"/>
      <c r="K224" s="125"/>
      <c r="L224" s="711" t="s">
        <v>676</v>
      </c>
      <c r="M224" s="692">
        <v>3</v>
      </c>
      <c r="N224" s="124"/>
      <c r="O224" s="694">
        <f>IFERROR(OR(W228,W230,W231),0)*M224</f>
        <v>0</v>
      </c>
      <c r="P224" s="62"/>
      <c r="Q224" s="62"/>
      <c r="R224" s="62"/>
      <c r="S224" s="62"/>
      <c r="T224" s="62"/>
      <c r="U224" s="62"/>
      <c r="V224" s="62"/>
      <c r="W224" s="62"/>
      <c r="X224" s="62"/>
      <c r="AL224" t="str">
        <f>SUBSTITUTE(SUBSTITUTE(SUBSTITUTE("dpa"&amp;$B224&amp;$C224&amp;$D224&amp;$E224&amp;$F224,".","_"),"(","_"),")","")</f>
        <v>dpa602_2</v>
      </c>
      <c r="AM224">
        <f>M224</f>
        <v>3</v>
      </c>
      <c r="AN224" t="str">
        <f t="shared" si="62"/>
        <v>dpc602_2</v>
      </c>
      <c r="AO224">
        <f>O224</f>
        <v>0</v>
      </c>
    </row>
    <row r="225" spans="2:45" x14ac:dyDescent="0.35">
      <c r="B225" s="40">
        <v>602.20000000000005</v>
      </c>
      <c r="C225" s="13"/>
      <c r="D225" s="13"/>
      <c r="E225" s="13"/>
      <c r="F225" s="13"/>
      <c r="G225" s="13"/>
      <c r="H225" s="550"/>
      <c r="I225" s="32"/>
      <c r="J225" s="4"/>
      <c r="K225" s="46"/>
      <c r="L225" s="706"/>
      <c r="M225" s="690"/>
      <c r="N225" s="4"/>
      <c r="O225" s="696"/>
    </row>
    <row r="226" spans="2:45" x14ac:dyDescent="0.35">
      <c r="B226" s="40">
        <v>602.20000000000005</v>
      </c>
      <c r="C226" s="13"/>
      <c r="D226" s="13"/>
      <c r="E226" s="13"/>
      <c r="F226" s="13"/>
      <c r="G226" s="13"/>
      <c r="H226" s="550"/>
      <c r="I226" s="32"/>
      <c r="J226" s="4"/>
      <c r="K226" s="46"/>
      <c r="L226" s="706"/>
      <c r="M226" s="690"/>
      <c r="N226" s="4"/>
      <c r="O226" s="696"/>
    </row>
    <row r="227" spans="2:45" x14ac:dyDescent="0.35">
      <c r="B227" s="40">
        <v>602.20000000000005</v>
      </c>
      <c r="C227" s="13"/>
      <c r="D227" s="13"/>
      <c r="E227" s="13"/>
      <c r="F227" s="13"/>
      <c r="G227" s="13"/>
      <c r="H227" s="550"/>
      <c r="I227" s="32"/>
      <c r="J227" s="4"/>
      <c r="K227" s="46"/>
      <c r="L227" s="706"/>
      <c r="M227" s="690"/>
      <c r="N227" s="4"/>
      <c r="O227" s="696"/>
    </row>
    <row r="228" spans="2:45" x14ac:dyDescent="0.35">
      <c r="B228" s="40">
        <v>602.20000000000005</v>
      </c>
      <c r="C228" s="13"/>
      <c r="D228" s="13"/>
      <c r="E228" s="13" t="s">
        <v>270</v>
      </c>
      <c r="F228" s="13"/>
      <c r="G228" s="13"/>
      <c r="H228" s="550"/>
      <c r="I228" s="32"/>
      <c r="J228" s="19" t="s">
        <v>270</v>
      </c>
      <c r="K228" s="46"/>
      <c r="L228" s="723" t="s">
        <v>677</v>
      </c>
      <c r="M228" s="43"/>
      <c r="N228" s="4"/>
      <c r="O228" s="85"/>
      <c r="P228" t="b">
        <v>1</v>
      </c>
      <c r="Q228" t="b">
        <v>1</v>
      </c>
      <c r="R228" t="b">
        <v>0</v>
      </c>
      <c r="S228" t="b">
        <v>1</v>
      </c>
      <c r="T228" t="b">
        <v>0</v>
      </c>
      <c r="W228" s="17"/>
      <c r="X228" s="688"/>
      <c r="AP228" t="str">
        <f t="shared" ref="AP228" si="64">SUBSTITUTE(SUBSTITUTE(SUBSTITUTE("dch"&amp;$B228&amp;$C228&amp;$D228&amp;$E228&amp;$F228,".","_"),"(","_"),")","")</f>
        <v>dch602_2_1</v>
      </c>
      <c r="AQ228">
        <f>W228</f>
        <v>0</v>
      </c>
      <c r="AR228" t="str">
        <f>SUBSTITUTE(SUBSTITUTE(SUBSTITUTE("dnt"&amp;$B228&amp;$C228&amp;$D228&amp;$E228&amp;$F228,".","_"),"(","_"),")","")</f>
        <v>dnt602_2_1</v>
      </c>
      <c r="AS228">
        <f>X228</f>
        <v>0</v>
      </c>
    </row>
    <row r="229" spans="2:45" x14ac:dyDescent="0.35">
      <c r="B229" s="40">
        <v>602.20000000000005</v>
      </c>
      <c r="C229" s="13"/>
      <c r="D229" s="13"/>
      <c r="E229" s="13" t="s">
        <v>270</v>
      </c>
      <c r="F229" s="13"/>
      <c r="G229" s="13"/>
      <c r="H229" s="550"/>
      <c r="I229" s="32"/>
      <c r="J229" s="148"/>
      <c r="K229" s="116"/>
      <c r="L229" s="724"/>
      <c r="M229" s="43"/>
      <c r="N229" s="4"/>
      <c r="O229" s="85"/>
      <c r="X229" s="688"/>
    </row>
    <row r="230" spans="2:45" x14ac:dyDescent="0.35">
      <c r="B230" s="40">
        <v>602.20000000000005</v>
      </c>
      <c r="C230" s="13"/>
      <c r="D230" s="13"/>
      <c r="E230" s="13" t="s">
        <v>272</v>
      </c>
      <c r="F230" s="13"/>
      <c r="G230" s="13"/>
      <c r="H230" s="550"/>
      <c r="I230" s="32"/>
      <c r="J230" s="150" t="s">
        <v>272</v>
      </c>
      <c r="K230" s="151"/>
      <c r="L230" s="220" t="s">
        <v>678</v>
      </c>
      <c r="M230" s="43"/>
      <c r="N230" s="4"/>
      <c r="O230" s="85"/>
      <c r="P230" t="b">
        <v>1</v>
      </c>
      <c r="Q230" t="b">
        <v>1</v>
      </c>
      <c r="R230" t="b">
        <v>0</v>
      </c>
      <c r="S230" t="b">
        <v>1</v>
      </c>
      <c r="T230" t="b">
        <v>0</v>
      </c>
      <c r="W230" s="17"/>
      <c r="X230" s="39"/>
      <c r="AP230" t="str">
        <f t="shared" ref="AP230:AP231" si="65">SUBSTITUTE(SUBSTITUTE(SUBSTITUTE("dch"&amp;$B230&amp;$C230&amp;$D230&amp;$E230&amp;$F230,".","_"),"(","_"),")","")</f>
        <v>dch602_2_2</v>
      </c>
      <c r="AQ230">
        <f>W230</f>
        <v>0</v>
      </c>
      <c r="AR230" t="str">
        <f>SUBSTITUTE(SUBSTITUTE(SUBSTITUTE("dnt"&amp;$B230&amp;$C230&amp;$D230&amp;$E230&amp;$F230,".","_"),"(","_"),")","")</f>
        <v>dnt602_2_2</v>
      </c>
      <c r="AS230">
        <f>X230</f>
        <v>0</v>
      </c>
    </row>
    <row r="231" spans="2:45" x14ac:dyDescent="0.35">
      <c r="B231" s="40">
        <v>602.20000000000005</v>
      </c>
      <c r="C231" s="13"/>
      <c r="D231" s="13"/>
      <c r="E231" s="13" t="s">
        <v>274</v>
      </c>
      <c r="F231" s="13"/>
      <c r="G231" s="13"/>
      <c r="H231" s="550"/>
      <c r="I231" s="32"/>
      <c r="J231" s="19" t="s">
        <v>274</v>
      </c>
      <c r="K231" s="46"/>
      <c r="L231" s="707" t="s">
        <v>679</v>
      </c>
      <c r="M231" s="43"/>
      <c r="N231" s="4"/>
      <c r="O231" s="85"/>
      <c r="P231" t="b">
        <v>1</v>
      </c>
      <c r="Q231" t="b">
        <v>1</v>
      </c>
      <c r="R231" t="b">
        <v>0</v>
      </c>
      <c r="S231" t="b">
        <v>1</v>
      </c>
      <c r="T231" t="b">
        <v>0</v>
      </c>
      <c r="W231" s="17"/>
      <c r="X231" s="688"/>
      <c r="AP231" t="str">
        <f t="shared" si="65"/>
        <v>dch602_2_3</v>
      </c>
      <c r="AQ231">
        <f>W231</f>
        <v>0</v>
      </c>
      <c r="AR231" t="str">
        <f>SUBSTITUTE(SUBSTITUTE(SUBSTITUTE("dnt"&amp;$B231&amp;$C231&amp;$D231&amp;$E231&amp;$F231,".","_"),"(","_"),")","")</f>
        <v>dnt602_2_3</v>
      </c>
      <c r="AS231">
        <f>X231</f>
        <v>0</v>
      </c>
    </row>
    <row r="232" spans="2:45" x14ac:dyDescent="0.35">
      <c r="B232" s="40">
        <v>602.20000000000005</v>
      </c>
      <c r="C232" s="13"/>
      <c r="D232" s="13"/>
      <c r="E232" s="13"/>
      <c r="F232" s="13"/>
      <c r="G232" s="13"/>
      <c r="H232" s="550"/>
      <c r="I232" s="32"/>
      <c r="J232" s="4"/>
      <c r="K232" s="46"/>
      <c r="L232" s="707"/>
      <c r="M232" s="43"/>
      <c r="N232" s="4"/>
      <c r="O232" s="85"/>
      <c r="X232" s="688"/>
    </row>
    <row r="233" spans="2:45" ht="15" thickBot="1" x14ac:dyDescent="0.4">
      <c r="B233" s="40">
        <v>602.20000000000005</v>
      </c>
      <c r="C233" s="13"/>
      <c r="D233" s="13"/>
      <c r="E233" s="13"/>
      <c r="F233" s="13"/>
      <c r="G233" s="13"/>
      <c r="H233" s="550"/>
      <c r="I233" s="32"/>
      <c r="J233" s="4"/>
      <c r="K233" s="46"/>
      <c r="L233" s="707"/>
      <c r="M233" s="43"/>
      <c r="N233" s="4"/>
      <c r="O233" s="85"/>
      <c r="W233" s="67"/>
      <c r="X233" s="698"/>
    </row>
    <row r="234" spans="2:45" ht="15" thickTop="1" x14ac:dyDescent="0.35">
      <c r="B234" s="40">
        <v>602.29999999999995</v>
      </c>
      <c r="C234" s="13"/>
      <c r="D234" s="13"/>
      <c r="E234" s="13"/>
      <c r="F234" s="13"/>
      <c r="G234" s="13"/>
      <c r="H234" s="550"/>
      <c r="I234" s="123">
        <v>602.29999999999995</v>
      </c>
      <c r="J234" s="124"/>
      <c r="K234" s="125"/>
      <c r="L234" s="711" t="s">
        <v>680</v>
      </c>
      <c r="M234" s="692">
        <v>4</v>
      </c>
      <c r="N234" s="124"/>
      <c r="O234" s="694">
        <f>M234*S234*W234</f>
        <v>4</v>
      </c>
      <c r="P234" t="b">
        <v>0</v>
      </c>
      <c r="Q234" t="b">
        <v>1</v>
      </c>
      <c r="R234" s="62" t="b">
        <v>0</v>
      </c>
      <c r="S234" s="62" t="b">
        <v>1</v>
      </c>
      <c r="T234" s="62" t="b">
        <v>0</v>
      </c>
      <c r="U234" s="62"/>
      <c r="V234" s="62"/>
      <c r="W234" s="77" t="b">
        <v>1</v>
      </c>
      <c r="X234" s="687"/>
      <c r="AL234" t="str">
        <f>SUBSTITUTE(SUBSTITUTE(SUBSTITUTE("dpa"&amp;$B234&amp;$C234&amp;$D234&amp;$E234&amp;$F234,".","_"),"(","_"),")","")</f>
        <v>dpa602_3</v>
      </c>
      <c r="AM234">
        <f>M234</f>
        <v>4</v>
      </c>
      <c r="AN234" t="str">
        <f>SUBSTITUTE(SUBSTITUTE(SUBSTITUTE("dpc"&amp;$B234&amp;$C234&amp;$D234&amp;$E234&amp;$F234,".","_"),"(","_"),")","")</f>
        <v>dpc602_3</v>
      </c>
      <c r="AO234">
        <f>O234</f>
        <v>4</v>
      </c>
      <c r="AP234" t="str">
        <f t="shared" ref="AP234" si="66">SUBSTITUTE(SUBSTITUTE(SUBSTITUTE("dch"&amp;$B234&amp;$C234&amp;$D234&amp;$E234&amp;$F234,".","_"),"(","_"),")","")</f>
        <v>dch602_3</v>
      </c>
      <c r="AQ234" t="b">
        <f>W234</f>
        <v>1</v>
      </c>
      <c r="AR234" t="str">
        <f>SUBSTITUTE(SUBSTITUTE(SUBSTITUTE("dnt"&amp;$B234&amp;$C234&amp;$D234&amp;$E234&amp;$F234,".","_"),"(","_"),")","")</f>
        <v>dnt602_3</v>
      </c>
      <c r="AS234">
        <f>X234</f>
        <v>0</v>
      </c>
    </row>
    <row r="235" spans="2:45" x14ac:dyDescent="0.35">
      <c r="B235" s="40">
        <v>602.29999999999995</v>
      </c>
      <c r="C235" s="13"/>
      <c r="D235" s="13"/>
      <c r="E235" s="13"/>
      <c r="F235" s="13"/>
      <c r="G235" s="13"/>
      <c r="H235" s="550"/>
      <c r="I235" s="32"/>
      <c r="J235" s="4"/>
      <c r="K235" s="46"/>
      <c r="L235" s="706"/>
      <c r="M235" s="690"/>
      <c r="N235" s="4"/>
      <c r="O235" s="696"/>
      <c r="X235" s="688"/>
    </row>
    <row r="236" spans="2:45" ht="15" thickBot="1" x14ac:dyDescent="0.4">
      <c r="B236" s="40">
        <v>602.29999999999995</v>
      </c>
      <c r="C236" s="13"/>
      <c r="D236" s="13"/>
      <c r="E236" s="13"/>
      <c r="F236" s="13"/>
      <c r="G236" s="13"/>
      <c r="H236" s="550"/>
      <c r="I236" s="32"/>
      <c r="J236" s="4"/>
      <c r="K236" s="46"/>
      <c r="L236" s="706"/>
      <c r="M236" s="690"/>
      <c r="N236" s="4"/>
      <c r="O236" s="696"/>
      <c r="X236" s="698"/>
    </row>
    <row r="237" spans="2:45" ht="15" thickTop="1" x14ac:dyDescent="0.35">
      <c r="B237" s="40">
        <v>602.4</v>
      </c>
      <c r="C237" s="13"/>
      <c r="D237" s="13"/>
      <c r="E237" s="13"/>
      <c r="F237" s="13"/>
      <c r="G237" s="13"/>
      <c r="H237" s="550"/>
      <c r="I237" s="123">
        <v>602.4</v>
      </c>
      <c r="J237" s="124"/>
      <c r="K237" s="125"/>
      <c r="L237" s="222" t="s">
        <v>681</v>
      </c>
      <c r="M237" s="199"/>
      <c r="N237" s="124"/>
      <c r="O237" s="341"/>
      <c r="P237" s="62"/>
      <c r="Q237" s="62"/>
      <c r="R237" s="62"/>
      <c r="S237" s="62"/>
      <c r="T237" s="62"/>
      <c r="U237" s="62"/>
      <c r="V237" s="62"/>
      <c r="W237" s="62"/>
      <c r="X237" s="62"/>
    </row>
    <row r="238" spans="2:45" x14ac:dyDescent="0.35">
      <c r="B238" s="40" t="s">
        <v>682</v>
      </c>
      <c r="C238" s="13"/>
      <c r="D238" s="13"/>
      <c r="E238" s="13"/>
      <c r="F238" s="13"/>
      <c r="G238" s="13"/>
      <c r="H238" s="550"/>
      <c r="I238" s="32" t="s">
        <v>682</v>
      </c>
      <c r="J238" s="4"/>
      <c r="K238" s="46"/>
      <c r="L238" s="706" t="s">
        <v>683</v>
      </c>
      <c r="M238" s="740" t="str">
        <f>IF(R238,"Mandatory","N/A")</f>
        <v>Mandatory</v>
      </c>
      <c r="N238" s="4"/>
      <c r="O238" s="85"/>
      <c r="P238" t="b">
        <v>1</v>
      </c>
      <c r="Q238" t="b">
        <v>1</v>
      </c>
      <c r="R238" t="b">
        <f>S238</f>
        <v>1</v>
      </c>
      <c r="S238" t="b">
        <v>1</v>
      </c>
      <c r="T238" t="b">
        <v>0</v>
      </c>
      <c r="W238" s="17" t="b">
        <v>1</v>
      </c>
      <c r="X238" s="688"/>
      <c r="AC238" t="b">
        <f>OR(AD238:AE238)</f>
        <v>0</v>
      </c>
      <c r="AD238" t="b">
        <f>T238</f>
        <v>0</v>
      </c>
      <c r="AE238" t="b">
        <f>NOT(W238)</f>
        <v>0</v>
      </c>
      <c r="AL238" t="str">
        <f>SUBSTITUTE(SUBSTITUTE(SUBSTITUTE("dpa"&amp;$B238&amp;$C238&amp;$D238&amp;$E238&amp;$F238,".","_"),"(","_"),")","")</f>
        <v>dpa602_4_1</v>
      </c>
      <c r="AM238" t="str">
        <f>M238</f>
        <v>Mandatory</v>
      </c>
      <c r="AP238" t="str">
        <f t="shared" ref="AP238" si="67">SUBSTITUTE(SUBSTITUTE(SUBSTITUTE("dch"&amp;$B238&amp;$C238&amp;$D238&amp;$E238&amp;$F238,".","_"),"(","_"),")","")</f>
        <v>dch602_4_1</v>
      </c>
      <c r="AQ238" t="b">
        <f>W238</f>
        <v>1</v>
      </c>
      <c r="AR238" t="str">
        <f>SUBSTITUTE(SUBSTITUTE(SUBSTITUTE("dnt"&amp;$B238&amp;$C238&amp;$D238&amp;$E238&amp;$F238,".","_"),"(","_"),")","")</f>
        <v>dnt602_4_1</v>
      </c>
      <c r="AS238">
        <f>X238</f>
        <v>0</v>
      </c>
    </row>
    <row r="239" spans="2:45" x14ac:dyDescent="0.35">
      <c r="B239" s="40" t="s">
        <v>682</v>
      </c>
      <c r="C239" s="13"/>
      <c r="D239" s="13"/>
      <c r="E239" s="13"/>
      <c r="F239" s="13"/>
      <c r="G239" s="13"/>
      <c r="H239" s="550"/>
      <c r="I239" s="32"/>
      <c r="J239" s="4"/>
      <c r="K239" s="46"/>
      <c r="L239" s="706"/>
      <c r="M239" s="740"/>
      <c r="N239" s="4"/>
      <c r="O239" s="85"/>
      <c r="X239" s="688"/>
    </row>
    <row r="240" spans="2:45" x14ac:dyDescent="0.35">
      <c r="B240" s="40" t="s">
        <v>682</v>
      </c>
      <c r="C240" s="13"/>
      <c r="D240" s="13"/>
      <c r="E240" s="13"/>
      <c r="F240" s="13"/>
      <c r="G240" s="13"/>
      <c r="H240" s="550"/>
      <c r="I240" s="32"/>
      <c r="J240" s="4"/>
      <c r="K240" s="46"/>
      <c r="L240" s="706"/>
      <c r="M240" s="740"/>
      <c r="N240" s="4"/>
      <c r="O240" s="85"/>
      <c r="X240" s="688"/>
    </row>
    <row r="241" spans="2:45" x14ac:dyDescent="0.35">
      <c r="B241" s="40" t="s">
        <v>682</v>
      </c>
      <c r="C241" s="13"/>
      <c r="D241" s="13"/>
      <c r="E241" s="13"/>
      <c r="F241" s="13"/>
      <c r="G241" s="13"/>
      <c r="H241" s="550"/>
      <c r="I241" s="32"/>
      <c r="J241" s="4"/>
      <c r="K241" s="46"/>
      <c r="L241" s="706"/>
      <c r="M241" s="740"/>
      <c r="N241" s="4"/>
      <c r="O241" s="85"/>
      <c r="X241" s="688"/>
    </row>
    <row r="242" spans="2:45" x14ac:dyDescent="0.35">
      <c r="B242" s="40" t="s">
        <v>682</v>
      </c>
      <c r="C242" s="13"/>
      <c r="D242" s="13"/>
      <c r="E242" s="13"/>
      <c r="F242" s="13"/>
      <c r="G242" s="13"/>
      <c r="H242" s="550"/>
      <c r="I242" s="161"/>
      <c r="J242" s="155"/>
      <c r="K242" s="116"/>
      <c r="L242" s="739"/>
      <c r="M242" s="741"/>
      <c r="N242" s="4"/>
      <c r="O242" s="85"/>
      <c r="X242" s="688"/>
    </row>
    <row r="243" spans="2:45" x14ac:dyDescent="0.35">
      <c r="B243" s="40" t="s">
        <v>684</v>
      </c>
      <c r="C243" s="13"/>
      <c r="D243" s="13"/>
      <c r="E243" s="13"/>
      <c r="F243" s="13"/>
      <c r="G243" s="13"/>
      <c r="H243" s="550"/>
      <c r="I243" s="32" t="s">
        <v>684</v>
      </c>
      <c r="J243" s="4"/>
      <c r="K243" s="46"/>
      <c r="L243" s="706" t="s">
        <v>685</v>
      </c>
      <c r="M243" s="690">
        <v>1</v>
      </c>
      <c r="N243" s="4"/>
      <c r="O243" s="696">
        <f>M243*S243*W243</f>
        <v>1</v>
      </c>
      <c r="P243" t="b">
        <v>1</v>
      </c>
      <c r="Q243" t="b">
        <v>1</v>
      </c>
      <c r="R243" t="b">
        <v>0</v>
      </c>
      <c r="S243" t="b">
        <v>1</v>
      </c>
      <c r="T243" t="b">
        <v>0</v>
      </c>
      <c r="W243" s="17" t="b">
        <v>1</v>
      </c>
      <c r="X243" s="688"/>
      <c r="AL243" t="str">
        <f>SUBSTITUTE(SUBSTITUTE(SUBSTITUTE("dpa"&amp;$B243&amp;$C243&amp;$D243&amp;$E243&amp;$F243,".","_"),"(","_"),")","")</f>
        <v>dpa602_4_2</v>
      </c>
      <c r="AM243">
        <f>M243</f>
        <v>1</v>
      </c>
      <c r="AN243" t="str">
        <f>SUBSTITUTE(SUBSTITUTE(SUBSTITUTE("dpc"&amp;$B243&amp;$C243&amp;$D243&amp;$E243&amp;$F243,".","_"),"(","_"),")","")</f>
        <v>dpc602_4_2</v>
      </c>
      <c r="AO243">
        <f>O243</f>
        <v>1</v>
      </c>
      <c r="AP243" t="str">
        <f t="shared" ref="AP243" si="68">SUBSTITUTE(SUBSTITUTE(SUBSTITUTE("dch"&amp;$B243&amp;$C243&amp;$D243&amp;$E243&amp;$F243,".","_"),"(","_"),")","")</f>
        <v>dch602_4_2</v>
      </c>
      <c r="AQ243" t="b">
        <f>W243</f>
        <v>1</v>
      </c>
      <c r="AR243" t="str">
        <f>SUBSTITUTE(SUBSTITUTE(SUBSTITUTE("dnt"&amp;$B243&amp;$C243&amp;$D243&amp;$E243&amp;$F243,".","_"),"(","_"),")","")</f>
        <v>dnt602_4_2</v>
      </c>
      <c r="AS243">
        <f>X243</f>
        <v>0</v>
      </c>
    </row>
    <row r="244" spans="2:45" x14ac:dyDescent="0.35">
      <c r="B244" s="40" t="s">
        <v>684</v>
      </c>
      <c r="C244" s="13"/>
      <c r="D244" s="13"/>
      <c r="E244" s="13"/>
      <c r="F244" s="13"/>
      <c r="G244" s="13"/>
      <c r="H244" s="550"/>
      <c r="I244" s="161"/>
      <c r="J244" s="155"/>
      <c r="K244" s="116"/>
      <c r="L244" s="739"/>
      <c r="M244" s="691"/>
      <c r="N244" s="155"/>
      <c r="O244" s="697"/>
      <c r="X244" s="688"/>
    </row>
    <row r="245" spans="2:45" ht="15" customHeight="1" x14ac:dyDescent="0.35">
      <c r="B245" s="40" t="s">
        <v>686</v>
      </c>
      <c r="C245" s="13"/>
      <c r="D245" s="13"/>
      <c r="E245" s="13"/>
      <c r="F245" s="13"/>
      <c r="G245" s="13"/>
      <c r="H245" s="550"/>
      <c r="I245" s="32" t="s">
        <v>686</v>
      </c>
      <c r="J245" s="4"/>
      <c r="K245" s="46"/>
      <c r="L245" s="110" t="s">
        <v>687</v>
      </c>
      <c r="M245" s="43">
        <v>1</v>
      </c>
      <c r="N245" s="4"/>
      <c r="O245" s="85">
        <f>M245*S245*W245</f>
        <v>1</v>
      </c>
      <c r="P245" t="b">
        <v>1</v>
      </c>
      <c r="Q245" t="b">
        <v>1</v>
      </c>
      <c r="R245" t="b">
        <v>0</v>
      </c>
      <c r="S245" t="b">
        <v>1</v>
      </c>
      <c r="T245" t="b">
        <v>0</v>
      </c>
      <c r="W245" s="17" t="b">
        <v>1</v>
      </c>
      <c r="X245" s="39"/>
      <c r="AL245" t="str">
        <f>SUBSTITUTE(SUBSTITUTE(SUBSTITUTE("dpa"&amp;$B245&amp;$C245&amp;$D245&amp;$E245&amp;$F245,".","_"),"(","_"),")","")</f>
        <v>dpa602_4_3</v>
      </c>
      <c r="AM245">
        <f>M245</f>
        <v>1</v>
      </c>
      <c r="AN245" t="str">
        <f>SUBSTITUTE(SUBSTITUTE(SUBSTITUTE("dpc"&amp;$B245&amp;$C245&amp;$D245&amp;$E245&amp;$F245,".","_"),"(","_"),")","")</f>
        <v>dpc602_4_3</v>
      </c>
      <c r="AO245">
        <f>O245</f>
        <v>1</v>
      </c>
      <c r="AP245" t="str">
        <f t="shared" ref="AP245" si="69">SUBSTITUTE(SUBSTITUTE(SUBSTITUTE("dch"&amp;$B245&amp;$C245&amp;$D245&amp;$E245&amp;$F245,".","_"),"(","_"),")","")</f>
        <v>dch602_4_3</v>
      </c>
      <c r="AQ245" t="b">
        <f>W245</f>
        <v>1</v>
      </c>
      <c r="AR245" t="str">
        <f>SUBSTITUTE(SUBSTITUTE(SUBSTITUTE("dnt"&amp;$B245&amp;$C245&amp;$D245&amp;$E245&amp;$F245,".","_"),"(","_"),")","")</f>
        <v>dnt602_4_3</v>
      </c>
      <c r="AS245">
        <f>X245</f>
        <v>0</v>
      </c>
    </row>
    <row r="246" spans="2:45" ht="18.5" x14ac:dyDescent="0.45">
      <c r="B246" s="40">
        <v>603</v>
      </c>
      <c r="C246" s="13"/>
      <c r="D246" s="13"/>
      <c r="E246" s="13"/>
      <c r="F246" s="13"/>
      <c r="G246" s="13"/>
      <c r="H246" s="550"/>
      <c r="I246" s="38" t="s">
        <v>688</v>
      </c>
      <c r="J246" s="15"/>
      <c r="K246" s="45"/>
      <c r="L246" s="174"/>
      <c r="M246" s="286"/>
      <c r="N246" s="344"/>
      <c r="O246" s="340"/>
      <c r="P246" s="15"/>
      <c r="Q246" s="15"/>
      <c r="R246" s="15"/>
      <c r="S246" s="15"/>
      <c r="T246" s="15"/>
      <c r="U246" s="15"/>
      <c r="V246" s="15"/>
      <c r="W246" s="15"/>
      <c r="X246" s="15"/>
    </row>
    <row r="247" spans="2:45" x14ac:dyDescent="0.35">
      <c r="B247" s="40" t="s">
        <v>4355</v>
      </c>
      <c r="C247" s="13"/>
      <c r="D247" s="13"/>
      <c r="E247" s="13"/>
      <c r="F247" s="13"/>
      <c r="G247" s="13"/>
      <c r="H247" s="550"/>
      <c r="I247" s="441" t="s">
        <v>4355</v>
      </c>
      <c r="J247" s="4"/>
      <c r="K247" s="46"/>
      <c r="L247" s="706" t="s">
        <v>689</v>
      </c>
      <c r="M247" s="43"/>
      <c r="N247" s="4"/>
      <c r="O247" s="85"/>
    </row>
    <row r="248" spans="2:45" ht="15" thickBot="1" x14ac:dyDescent="0.4">
      <c r="B248" s="40" t="s">
        <v>4355</v>
      </c>
      <c r="C248" s="13"/>
      <c r="D248" s="13"/>
      <c r="E248" s="13"/>
      <c r="F248" s="13"/>
      <c r="G248" s="13"/>
      <c r="H248" s="550"/>
      <c r="I248" s="32"/>
      <c r="J248" s="4"/>
      <c r="K248" s="46"/>
      <c r="L248" s="706"/>
      <c r="M248" s="43"/>
      <c r="N248" s="4"/>
      <c r="O248" s="85"/>
    </row>
    <row r="249" spans="2:45" ht="15" thickTop="1" x14ac:dyDescent="0.35">
      <c r="B249" s="40">
        <v>603.1</v>
      </c>
      <c r="C249" s="13"/>
      <c r="D249" s="13"/>
      <c r="E249" s="13"/>
      <c r="F249" s="13"/>
      <c r="G249" s="13"/>
      <c r="H249" s="550"/>
      <c r="I249" s="123">
        <v>603.1</v>
      </c>
      <c r="J249" s="124"/>
      <c r="K249" s="125"/>
      <c r="L249" s="711" t="s">
        <v>690</v>
      </c>
      <c r="M249" s="743" t="s">
        <v>3254</v>
      </c>
      <c r="N249" s="124"/>
      <c r="O249" s="694">
        <f>MIN(ROUNDDOWN(W249/200,0),12)</f>
        <v>0</v>
      </c>
      <c r="P249" s="62" t="b">
        <v>1</v>
      </c>
      <c r="Q249" s="62" t="b">
        <v>0</v>
      </c>
      <c r="R249" s="62" t="b">
        <v>0</v>
      </c>
      <c r="S249" s="62" t="b">
        <v>1</v>
      </c>
      <c r="T249" s="62" t="b">
        <v>0</v>
      </c>
      <c r="U249" s="62"/>
      <c r="V249" s="62"/>
      <c r="W249" s="134"/>
      <c r="X249" s="721"/>
      <c r="AC249" t="b">
        <f>OR(AD249:AE249)</f>
        <v>0</v>
      </c>
      <c r="AD249" t="b">
        <v>0</v>
      </c>
      <c r="AE249" t="b">
        <f>AND(W249&gt;0,LEN(X249)=0)</f>
        <v>0</v>
      </c>
      <c r="AL249" t="str">
        <f>SUBSTITUTE(SUBSTITUTE(SUBSTITUTE("dpa"&amp;$B249&amp;$C249&amp;$D249&amp;$E249&amp;$F249,".","_"),"(","_"),")","")</f>
        <v>dpa603_1</v>
      </c>
      <c r="AM249" t="str">
        <f>M249</f>
        <v>1
12 Max</v>
      </c>
      <c r="AN249" t="str">
        <f>SUBSTITUTE(SUBSTITUTE(SUBSTITUTE("dpc"&amp;$B249&amp;$C249&amp;$D249&amp;$E249&amp;$F249,".","_"),"(","_"),")","")</f>
        <v>dpc603_1</v>
      </c>
      <c r="AO249">
        <f>O249</f>
        <v>0</v>
      </c>
      <c r="AP249" t="str">
        <f t="shared" ref="AP249" si="70">SUBSTITUTE(SUBSTITUTE(SUBSTITUTE("dch"&amp;$B249&amp;$C249&amp;$D249&amp;$E249&amp;$F249,".","_"),"(","_"),")","")</f>
        <v>dch603_1</v>
      </c>
      <c r="AQ249" s="619">
        <f>W249</f>
        <v>0</v>
      </c>
      <c r="AR249" t="str">
        <f>SUBSTITUTE(SUBSTITUTE(SUBSTITUTE("dnt"&amp;$B249&amp;$C249&amp;$D249&amp;$E249&amp;$F249,".","_"),"(","_"),")","")</f>
        <v>dnt603_1</v>
      </c>
      <c r="AS249">
        <f>X249</f>
        <v>0</v>
      </c>
    </row>
    <row r="250" spans="2:45" x14ac:dyDescent="0.35">
      <c r="B250" s="40">
        <v>603.1</v>
      </c>
      <c r="C250" s="13"/>
      <c r="D250" s="13"/>
      <c r="E250" s="13"/>
      <c r="F250" s="13"/>
      <c r="G250" s="13"/>
      <c r="H250" s="550"/>
      <c r="I250" s="32"/>
      <c r="J250" s="4"/>
      <c r="K250" s="46"/>
      <c r="L250" s="706"/>
      <c r="M250" s="737"/>
      <c r="N250" s="4"/>
      <c r="O250" s="696"/>
      <c r="X250" s="699"/>
    </row>
    <row r="251" spans="2:45" x14ac:dyDescent="0.35">
      <c r="B251" s="40">
        <v>603.1</v>
      </c>
      <c r="C251" s="13"/>
      <c r="D251" s="13"/>
      <c r="E251" s="13"/>
      <c r="F251" s="13"/>
      <c r="G251" s="13"/>
      <c r="H251" s="550"/>
      <c r="I251" s="32"/>
      <c r="J251" s="4"/>
      <c r="K251" s="46"/>
      <c r="L251" s="107" t="s">
        <v>691</v>
      </c>
      <c r="M251" s="737"/>
      <c r="N251" s="4"/>
      <c r="O251" s="696"/>
      <c r="X251" s="699"/>
    </row>
    <row r="252" spans="2:45" x14ac:dyDescent="0.35">
      <c r="B252" s="40">
        <v>603.1</v>
      </c>
      <c r="C252" s="13"/>
      <c r="D252" s="13"/>
      <c r="E252" s="13"/>
      <c r="F252" s="13"/>
      <c r="G252" s="13"/>
      <c r="H252" s="550"/>
      <c r="I252" s="32"/>
      <c r="J252" s="4"/>
      <c r="K252" s="46"/>
      <c r="L252" s="744" t="s">
        <v>3255</v>
      </c>
      <c r="M252" s="737"/>
      <c r="N252" s="4"/>
      <c r="O252" s="696"/>
      <c r="X252" s="699"/>
    </row>
    <row r="253" spans="2:45" x14ac:dyDescent="0.35">
      <c r="B253" s="40">
        <v>603.1</v>
      </c>
      <c r="C253" s="13"/>
      <c r="D253" s="13"/>
      <c r="E253" s="13"/>
      <c r="F253" s="13"/>
      <c r="G253" s="13"/>
      <c r="H253" s="550"/>
      <c r="I253" s="32"/>
      <c r="J253" s="4"/>
      <c r="K253" s="46"/>
      <c r="L253" s="745"/>
      <c r="M253" s="737"/>
      <c r="N253" s="4"/>
      <c r="O253" s="696"/>
      <c r="X253" s="699"/>
    </row>
    <row r="254" spans="2:45" ht="15" thickBot="1" x14ac:dyDescent="0.4">
      <c r="B254" s="40">
        <v>603.1</v>
      </c>
      <c r="C254" s="13"/>
      <c r="D254" s="13"/>
      <c r="E254" s="13"/>
      <c r="F254" s="13"/>
      <c r="G254" s="13"/>
      <c r="H254" s="550"/>
      <c r="I254" s="32"/>
      <c r="J254" s="4"/>
      <c r="K254" s="46"/>
      <c r="L254" s="745"/>
      <c r="M254" s="737"/>
      <c r="N254" s="4"/>
      <c r="O254" s="696"/>
      <c r="X254" s="699"/>
    </row>
    <row r="255" spans="2:45" ht="15" thickTop="1" x14ac:dyDescent="0.35">
      <c r="B255" s="40">
        <v>603.20000000000005</v>
      </c>
      <c r="C255" s="13"/>
      <c r="D255" s="13"/>
      <c r="E255" s="13"/>
      <c r="F255" s="13"/>
      <c r="G255" s="13"/>
      <c r="H255" s="550"/>
      <c r="I255" s="123">
        <v>603.20000000000005</v>
      </c>
      <c r="J255" s="124"/>
      <c r="K255" s="125"/>
      <c r="L255" s="711" t="s">
        <v>692</v>
      </c>
      <c r="M255" s="743" t="s">
        <v>3256</v>
      </c>
      <c r="N255" s="124"/>
      <c r="O255" s="694">
        <f>MIN(9,ROUNDDOWN(W255/0.01,0))</f>
        <v>0</v>
      </c>
      <c r="P255" s="62" t="b">
        <v>1</v>
      </c>
      <c r="Q255" s="62" t="b">
        <v>1</v>
      </c>
      <c r="R255" s="62" t="b">
        <v>0</v>
      </c>
      <c r="S255" s="62" t="b">
        <v>1</v>
      </c>
      <c r="T255" s="62" t="b">
        <v>0</v>
      </c>
      <c r="U255" s="62"/>
      <c r="V255" s="62"/>
      <c r="W255" s="139"/>
      <c r="X255" s="687"/>
      <c r="AC255" t="b">
        <f>OR(AD255:AE255)</f>
        <v>0</v>
      </c>
      <c r="AD255" t="b">
        <v>0</v>
      </c>
      <c r="AE255" t="b">
        <f>AND(W255&gt;0,LEN(X255)=0)</f>
        <v>0</v>
      </c>
      <c r="AL255" t="str">
        <f>SUBSTITUTE(SUBSTITUTE(SUBSTITUTE("dpa"&amp;$B255&amp;$C255&amp;$D255&amp;$E255&amp;$F255,".","_"),"(","_"),")","")</f>
        <v>dpa603_2</v>
      </c>
      <c r="AM255" t="str">
        <f>M255</f>
        <v>1
9 Max</v>
      </c>
      <c r="AN255" t="str">
        <f>SUBSTITUTE(SUBSTITUTE(SUBSTITUTE("dpc"&amp;$B255&amp;$C255&amp;$D255&amp;$E255&amp;$F255,".","_"),"(","_"),")","")</f>
        <v>dpc603_2</v>
      </c>
      <c r="AO255">
        <f>O255</f>
        <v>0</v>
      </c>
      <c r="AP255" t="str">
        <f t="shared" ref="AP255" si="71">SUBSTITUTE(SUBSTITUTE(SUBSTITUTE("dch"&amp;$B255&amp;$C255&amp;$D255&amp;$E255&amp;$F255,".","_"),"(","_"),")","")</f>
        <v>dch603_2</v>
      </c>
      <c r="AQ255" s="620">
        <f>W255</f>
        <v>0</v>
      </c>
      <c r="AR255" t="str">
        <f>SUBSTITUTE(SUBSTITUTE(SUBSTITUTE("dnt"&amp;$B255&amp;$C255&amp;$D255&amp;$E255&amp;$F255,".","_"),"(","_"),")","")</f>
        <v>dnt603_2</v>
      </c>
      <c r="AS255">
        <f>X255</f>
        <v>0</v>
      </c>
    </row>
    <row r="256" spans="2:45" x14ac:dyDescent="0.35">
      <c r="B256" s="40">
        <v>603.20000000000005</v>
      </c>
      <c r="C256" s="13"/>
      <c r="D256" s="13"/>
      <c r="E256" s="13"/>
      <c r="F256" s="13"/>
      <c r="G256" s="13"/>
      <c r="H256" s="550"/>
      <c r="I256" s="32"/>
      <c r="J256" s="4"/>
      <c r="K256" s="46"/>
      <c r="L256" s="706"/>
      <c r="M256" s="737"/>
      <c r="N256" s="4"/>
      <c r="O256" s="696"/>
      <c r="X256" s="688"/>
    </row>
    <row r="257" spans="2:45" x14ac:dyDescent="0.35">
      <c r="B257" s="40">
        <v>603.20000000000005</v>
      </c>
      <c r="C257" s="13"/>
      <c r="D257" s="13"/>
      <c r="E257" s="13"/>
      <c r="F257" s="13"/>
      <c r="G257" s="13"/>
      <c r="H257" s="550"/>
      <c r="I257" s="32"/>
      <c r="J257" s="4"/>
      <c r="K257" s="46"/>
      <c r="L257" s="706"/>
      <c r="M257" s="737"/>
      <c r="N257" s="4"/>
      <c r="O257" s="696"/>
      <c r="X257" s="688"/>
    </row>
    <row r="258" spans="2:45" ht="15" customHeight="1" x14ac:dyDescent="0.35">
      <c r="B258" s="40">
        <v>603.20000000000005</v>
      </c>
      <c r="C258" s="13"/>
      <c r="D258" s="13"/>
      <c r="E258" s="13"/>
      <c r="F258" s="13"/>
      <c r="G258" s="13"/>
      <c r="H258" s="550"/>
      <c r="I258" s="32"/>
      <c r="J258" s="4"/>
      <c r="K258" s="46"/>
      <c r="L258" s="106" t="s">
        <v>3257</v>
      </c>
      <c r="M258" s="737"/>
      <c r="N258" s="4"/>
      <c r="O258" s="696"/>
      <c r="X258" s="688"/>
    </row>
    <row r="259" spans="2:45" x14ac:dyDescent="0.35">
      <c r="B259" s="40">
        <v>603.20000000000005</v>
      </c>
      <c r="C259" s="13"/>
      <c r="D259" s="13"/>
      <c r="E259" s="13"/>
      <c r="F259" s="13"/>
      <c r="G259" s="13"/>
      <c r="H259" s="550"/>
      <c r="I259" s="32"/>
      <c r="J259" s="4"/>
      <c r="K259" s="46"/>
      <c r="L259" s="744" t="s">
        <v>3255</v>
      </c>
      <c r="M259" s="737"/>
      <c r="N259" s="4"/>
      <c r="O259" s="696"/>
      <c r="X259" s="688"/>
    </row>
    <row r="260" spans="2:45" x14ac:dyDescent="0.35">
      <c r="B260" s="40">
        <v>603.20000000000005</v>
      </c>
      <c r="C260" s="13"/>
      <c r="D260" s="13"/>
      <c r="E260" s="13"/>
      <c r="F260" s="13"/>
      <c r="G260" s="13"/>
      <c r="H260" s="550"/>
      <c r="I260" s="32"/>
      <c r="J260" s="4"/>
      <c r="K260" s="46"/>
      <c r="L260" s="745"/>
      <c r="M260" s="737"/>
      <c r="N260" s="4"/>
      <c r="O260" s="696"/>
      <c r="X260" s="688"/>
    </row>
    <row r="261" spans="2:45" ht="15" thickBot="1" x14ac:dyDescent="0.4">
      <c r="B261" s="40">
        <v>603.20000000000005</v>
      </c>
      <c r="C261" s="13"/>
      <c r="D261" s="13"/>
      <c r="E261" s="13"/>
      <c r="F261" s="13"/>
      <c r="G261" s="13"/>
      <c r="H261" s="550"/>
      <c r="I261" s="32"/>
      <c r="J261" s="4"/>
      <c r="K261" s="46"/>
      <c r="L261" s="745"/>
      <c r="M261" s="737"/>
      <c r="N261" s="4"/>
      <c r="O261" s="696"/>
      <c r="W261" s="67"/>
      <c r="X261" s="698"/>
    </row>
    <row r="262" spans="2:45" ht="15" customHeight="1" thickTop="1" x14ac:dyDescent="0.35">
      <c r="B262" s="40">
        <v>603.29999999999995</v>
      </c>
      <c r="C262" s="13"/>
      <c r="D262" s="13"/>
      <c r="E262" s="13"/>
      <c r="F262" s="13"/>
      <c r="G262" s="13"/>
      <c r="H262" s="550"/>
      <c r="I262" s="123">
        <v>603.29999999999995</v>
      </c>
      <c r="J262" s="124"/>
      <c r="K262" s="125"/>
      <c r="L262" s="711" t="s">
        <v>693</v>
      </c>
      <c r="M262" s="692">
        <v>4</v>
      </c>
      <c r="N262" s="124"/>
      <c r="O262" s="694">
        <f>M262*S262*W262</f>
        <v>0</v>
      </c>
      <c r="P262" s="62" t="b">
        <v>1</v>
      </c>
      <c r="Q262" s="62" t="b">
        <v>1</v>
      </c>
      <c r="R262" s="62" t="b">
        <v>0</v>
      </c>
      <c r="S262" s="62" t="b">
        <v>1</v>
      </c>
      <c r="T262" s="62" t="b">
        <v>0</v>
      </c>
      <c r="U262" s="62"/>
      <c r="V262" s="62"/>
      <c r="W262" s="77"/>
      <c r="X262" s="687"/>
      <c r="AC262" t="b">
        <f>OR(AD262:AE262)</f>
        <v>0</v>
      </c>
      <c r="AD262" t="b">
        <v>0</v>
      </c>
      <c r="AE262" t="b">
        <f>AND(W262=TRUE,LEN(X262)=0)</f>
        <v>0</v>
      </c>
      <c r="AL262" t="str">
        <f>SUBSTITUTE(SUBSTITUTE(SUBSTITUTE("dpa"&amp;$B262&amp;$C262&amp;$D262&amp;$E262&amp;$F262,".","_"),"(","_"),")","")</f>
        <v>dpa603_3</v>
      </c>
      <c r="AM262">
        <f>M262</f>
        <v>4</v>
      </c>
      <c r="AN262" t="str">
        <f>SUBSTITUTE(SUBSTITUTE(SUBSTITUTE("dpc"&amp;$B262&amp;$C262&amp;$D262&amp;$E262&amp;$F262,".","_"),"(","_"),")","")</f>
        <v>dpc603_3</v>
      </c>
      <c r="AO262">
        <f>O262</f>
        <v>0</v>
      </c>
      <c r="AP262" t="str">
        <f t="shared" ref="AP262" si="72">SUBSTITUTE(SUBSTITUTE(SUBSTITUTE("dch"&amp;$B262&amp;$C262&amp;$D262&amp;$E262&amp;$F262,".","_"),"(","_"),")","")</f>
        <v>dch603_3</v>
      </c>
      <c r="AQ262">
        <f>W262</f>
        <v>0</v>
      </c>
      <c r="AR262" t="str">
        <f>SUBSTITUTE(SUBSTITUTE(SUBSTITUTE("dnt"&amp;$B262&amp;$C262&amp;$D262&amp;$E262&amp;$F262,".","_"),"(","_"),")","")</f>
        <v>dnt603_3</v>
      </c>
      <c r="AS262">
        <f>X262</f>
        <v>0</v>
      </c>
    </row>
    <row r="263" spans="2:45" x14ac:dyDescent="0.35">
      <c r="B263" s="40">
        <v>603.29999999999995</v>
      </c>
      <c r="C263" s="13"/>
      <c r="D263" s="13"/>
      <c r="E263" s="13"/>
      <c r="F263" s="13"/>
      <c r="G263" s="13"/>
      <c r="H263" s="550"/>
      <c r="I263" s="32"/>
      <c r="J263" s="4"/>
      <c r="K263" s="46"/>
      <c r="L263" s="706"/>
      <c r="M263" s="690"/>
      <c r="N263" s="4"/>
      <c r="O263" s="696"/>
      <c r="X263" s="688"/>
    </row>
    <row r="264" spans="2:45" ht="15" customHeight="1" x14ac:dyDescent="0.35">
      <c r="B264" s="40">
        <v>603.29999999999995</v>
      </c>
      <c r="C264" s="13"/>
      <c r="D264" s="13"/>
      <c r="E264" s="13"/>
      <c r="F264" s="13"/>
      <c r="G264" s="13"/>
      <c r="H264" s="550"/>
      <c r="I264" s="32"/>
      <c r="J264" s="4"/>
      <c r="K264" s="46"/>
      <c r="L264" s="105" t="s">
        <v>3253</v>
      </c>
      <c r="M264" s="690"/>
      <c r="N264" s="4"/>
      <c r="O264" s="696"/>
      <c r="X264" s="688"/>
    </row>
    <row r="265" spans="2:45" ht="18.5" x14ac:dyDescent="0.45">
      <c r="B265" s="40">
        <v>604</v>
      </c>
      <c r="C265" s="13"/>
      <c r="D265" s="13"/>
      <c r="E265" s="13"/>
      <c r="F265" s="13"/>
      <c r="G265" s="13"/>
      <c r="H265" s="550"/>
      <c r="I265" s="10" t="s">
        <v>694</v>
      </c>
      <c r="J265" s="15"/>
      <c r="K265" s="45"/>
      <c r="L265" s="174"/>
      <c r="M265" s="286"/>
      <c r="N265" s="344"/>
      <c r="O265" s="340"/>
      <c r="P265" s="15"/>
      <c r="Q265" s="15"/>
      <c r="R265" s="15"/>
      <c r="S265" s="15"/>
      <c r="T265" s="15"/>
      <c r="U265" s="15"/>
      <c r="V265" s="15"/>
      <c r="W265" s="15"/>
      <c r="X265" s="15"/>
    </row>
    <row r="266" spans="2:45" ht="15" customHeight="1" x14ac:dyDescent="0.35">
      <c r="B266" s="40">
        <v>604.1</v>
      </c>
      <c r="C266" s="13" t="s">
        <v>3170</v>
      </c>
      <c r="D266" s="13"/>
      <c r="E266" s="13"/>
      <c r="F266" s="13"/>
      <c r="G266" s="13"/>
      <c r="H266" s="550"/>
      <c r="I266" s="32">
        <v>604.1</v>
      </c>
      <c r="J266" s="4"/>
      <c r="K266" s="46"/>
      <c r="L266" s="706" t="s">
        <v>695</v>
      </c>
      <c r="M266" s="737" t="s">
        <v>3259</v>
      </c>
      <c r="N266" s="4"/>
      <c r="O266" s="696">
        <f>IFERROR(INDEX({0,1,2,3},MATCH(MIN(W269+0,W267+0),{0,0.25,0.5,0.75},1)),0)+IFERROR(INDEX({0,2,4,6},MATCH(MIN(W271+0,W273+0),{0,0.25,0.5,0.75},1)),0)</f>
        <v>0</v>
      </c>
      <c r="W266" t="s">
        <v>3260</v>
      </c>
      <c r="X266" s="698"/>
      <c r="AL266" t="str">
        <f>SUBSTITUTE(SUBSTITUTE(SUBSTITUTE("dpa"&amp;$B266&amp;$C266&amp;$D266&amp;$E266&amp;$F266,".","_"),"(","_"),")","")</f>
        <v>dpa604_1a</v>
      </c>
      <c r="AM266" t="str">
        <f>M266</f>
        <v>per Table
604.1</v>
      </c>
      <c r="AN266" t="str">
        <f>SUBSTITUTE(SUBSTITUTE(SUBSTITUTE("dpc"&amp;$B266&amp;$C266&amp;$D266&amp;$E266&amp;$F266,".","_"),"(","_"),")","")</f>
        <v>dpc604_1a</v>
      </c>
      <c r="AO266">
        <f>O266</f>
        <v>0</v>
      </c>
      <c r="AR266" t="str">
        <f>SUBSTITUTE(SUBSTITUTE(SUBSTITUTE("dnt"&amp;$B266&amp;$C266&amp;$D266&amp;$E266&amp;$F266,".","_"),"(","_"),")","")</f>
        <v>dnt604_1a</v>
      </c>
      <c r="AS266">
        <f>X266</f>
        <v>0</v>
      </c>
    </row>
    <row r="267" spans="2:45" x14ac:dyDescent="0.35">
      <c r="B267" s="40">
        <v>604.1</v>
      </c>
      <c r="C267" s="13" t="s">
        <v>3170</v>
      </c>
      <c r="D267" s="13"/>
      <c r="E267" s="13"/>
      <c r="F267" s="13"/>
      <c r="G267" s="13"/>
      <c r="H267" s="550"/>
      <c r="I267" s="32"/>
      <c r="J267" s="4"/>
      <c r="K267" s="46"/>
      <c r="L267" s="706"/>
      <c r="M267" s="737"/>
      <c r="N267" s="4"/>
      <c r="O267" s="696"/>
      <c r="P267" t="b">
        <v>1</v>
      </c>
      <c r="Q267" t="b">
        <v>1</v>
      </c>
      <c r="R267" t="b">
        <v>0</v>
      </c>
      <c r="S267" t="b">
        <v>1</v>
      </c>
      <c r="T267" t="b">
        <v>0</v>
      </c>
      <c r="W267" s="112"/>
      <c r="X267" s="700"/>
      <c r="AC267" t="b">
        <f>OR(AD267:AE267)</f>
        <v>0</v>
      </c>
      <c r="AD267" t="b">
        <v>0</v>
      </c>
      <c r="AE267" t="b">
        <f>AND(W267&gt;0,LEN(X266)=0)</f>
        <v>0</v>
      </c>
      <c r="AP267" t="str">
        <f t="shared" ref="AP267" si="73">SUBSTITUTE(SUBSTITUTE(SUBSTITUTE("dch"&amp;$B267&amp;$C267&amp;$D267&amp;$E267&amp;$F267,".","_"),"(","_"),")","")</f>
        <v>dch604_1a</v>
      </c>
      <c r="AQ267" s="620">
        <f>W267</f>
        <v>0</v>
      </c>
    </row>
    <row r="268" spans="2:45" x14ac:dyDescent="0.35">
      <c r="B268" s="40">
        <v>604.1</v>
      </c>
      <c r="C268" s="13" t="s">
        <v>3171</v>
      </c>
      <c r="D268" s="13"/>
      <c r="E268" s="13"/>
      <c r="F268" s="13"/>
      <c r="G268" s="13"/>
      <c r="H268" s="550"/>
      <c r="I268" s="32"/>
      <c r="J268" s="4"/>
      <c r="K268" s="46"/>
      <c r="L268" s="105" t="s">
        <v>3267</v>
      </c>
      <c r="M268" s="737"/>
      <c r="N268" s="4"/>
      <c r="O268" s="696"/>
      <c r="W268" t="s">
        <v>3261</v>
      </c>
      <c r="X268" s="688"/>
      <c r="AR268" t="str">
        <f>SUBSTITUTE(SUBSTITUTE(SUBSTITUTE("dnt"&amp;$B268&amp;$C268&amp;$D268&amp;$E268&amp;$F268,".","_"),"(","_"),")","")</f>
        <v>dnt604_1b</v>
      </c>
      <c r="AS268">
        <f>X268</f>
        <v>0</v>
      </c>
    </row>
    <row r="269" spans="2:45" x14ac:dyDescent="0.35">
      <c r="B269" s="40">
        <v>604.1</v>
      </c>
      <c r="C269" s="13" t="s">
        <v>3171</v>
      </c>
      <c r="D269" s="13"/>
      <c r="E269" s="13"/>
      <c r="F269" s="13"/>
      <c r="G269" s="13"/>
      <c r="H269" s="550"/>
      <c r="I269" s="32"/>
      <c r="J269" s="4"/>
      <c r="K269" s="46"/>
      <c r="L269" s="209" t="s">
        <v>3264</v>
      </c>
      <c r="M269" s="737"/>
      <c r="N269" s="4"/>
      <c r="O269" s="696"/>
      <c r="P269" t="b">
        <v>1</v>
      </c>
      <c r="Q269" t="b">
        <v>1</v>
      </c>
      <c r="R269" t="b">
        <v>0</v>
      </c>
      <c r="S269" t="b">
        <v>1</v>
      </c>
      <c r="T269" t="b">
        <v>0</v>
      </c>
      <c r="W269" s="112"/>
      <c r="X269" s="688"/>
      <c r="AC269" t="b">
        <f>OR(AD269:AE269)</f>
        <v>0</v>
      </c>
      <c r="AD269" t="b">
        <v>0</v>
      </c>
      <c r="AE269" t="b">
        <f>AND(W269&gt;0,LEN(X268)=0)</f>
        <v>0</v>
      </c>
      <c r="AP269" t="str">
        <f t="shared" ref="AP269" si="74">SUBSTITUTE(SUBSTITUTE(SUBSTITUTE("dch"&amp;$B269&amp;$C269&amp;$D269&amp;$E269&amp;$F269,".","_"),"(","_"),")","")</f>
        <v>dch604_1b</v>
      </c>
      <c r="AQ269" s="620">
        <f>W269</f>
        <v>0</v>
      </c>
    </row>
    <row r="270" spans="2:45" x14ac:dyDescent="0.35">
      <c r="B270" s="40">
        <v>604.1</v>
      </c>
      <c r="C270" s="13" t="s">
        <v>3172</v>
      </c>
      <c r="D270" s="13"/>
      <c r="E270" s="13"/>
      <c r="F270" s="13"/>
      <c r="G270" s="13"/>
      <c r="H270" s="550"/>
      <c r="I270" s="32"/>
      <c r="J270" s="4"/>
      <c r="K270" s="46"/>
      <c r="L270" s="714" t="s">
        <v>3266</v>
      </c>
      <c r="M270" s="737"/>
      <c r="N270" s="4"/>
      <c r="O270" s="696"/>
      <c r="W270" t="s">
        <v>3263</v>
      </c>
      <c r="X270" s="688"/>
      <c r="AR270" t="str">
        <f>SUBSTITUTE(SUBSTITUTE(SUBSTITUTE("dnt"&amp;$B270&amp;$C270&amp;$D270&amp;$E270&amp;$F270,".","_"),"(","_"),")","")</f>
        <v>dnt604_1c</v>
      </c>
      <c r="AS270">
        <f>X270</f>
        <v>0</v>
      </c>
    </row>
    <row r="271" spans="2:45" x14ac:dyDescent="0.35">
      <c r="B271" s="40">
        <v>604.1</v>
      </c>
      <c r="C271" s="13" t="s">
        <v>3172</v>
      </c>
      <c r="D271" s="13"/>
      <c r="E271" s="13"/>
      <c r="F271" s="13"/>
      <c r="G271" s="13"/>
      <c r="H271" s="550"/>
      <c r="I271" s="32"/>
      <c r="J271" s="4"/>
      <c r="K271" s="46"/>
      <c r="L271" s="714"/>
      <c r="M271" s="737"/>
      <c r="N271" s="4"/>
      <c r="O271" s="696"/>
      <c r="P271" t="b">
        <v>1</v>
      </c>
      <c r="Q271" t="b">
        <v>1</v>
      </c>
      <c r="R271" t="b">
        <v>0</v>
      </c>
      <c r="S271" t="b">
        <v>1</v>
      </c>
      <c r="T271" t="b">
        <v>0</v>
      </c>
      <c r="W271" s="112"/>
      <c r="X271" s="688"/>
      <c r="AC271" t="b">
        <f>OR(AD271:AE271)</f>
        <v>0</v>
      </c>
      <c r="AD271" t="b">
        <v>0</v>
      </c>
      <c r="AE271" t="b">
        <f>AND(W271&gt;0,LEN(X270)=0)</f>
        <v>0</v>
      </c>
      <c r="AP271" t="str">
        <f t="shared" ref="AP271" si="75">SUBSTITUTE(SUBSTITUTE(SUBSTITUTE("dch"&amp;$B271&amp;$C271&amp;$D271&amp;$E271&amp;$F271,".","_"),"(","_"),")","")</f>
        <v>dch604_1c</v>
      </c>
      <c r="AQ271" s="620">
        <f>W271</f>
        <v>0</v>
      </c>
    </row>
    <row r="272" spans="2:45" x14ac:dyDescent="0.35">
      <c r="B272" s="40">
        <v>604.1</v>
      </c>
      <c r="C272" s="13" t="s">
        <v>3173</v>
      </c>
      <c r="D272" s="13"/>
      <c r="E272" s="13"/>
      <c r="F272" s="13"/>
      <c r="G272" s="13"/>
      <c r="H272" s="550"/>
      <c r="I272" s="32"/>
      <c r="J272" s="4"/>
      <c r="K272" s="46"/>
      <c r="L272" s="215"/>
      <c r="M272" s="737"/>
      <c r="N272" s="4"/>
      <c r="O272" s="696"/>
      <c r="W272" t="s">
        <v>3262</v>
      </c>
      <c r="X272" s="688"/>
      <c r="AR272" t="str">
        <f>SUBSTITUTE(SUBSTITUTE(SUBSTITUTE("dnt"&amp;$B272&amp;$C272&amp;$D272&amp;$E272&amp;$F272,".","_"),"(","_"),")","")</f>
        <v>dnt604_1d</v>
      </c>
      <c r="AS272">
        <f>X272</f>
        <v>0</v>
      </c>
    </row>
    <row r="273" spans="2:45" x14ac:dyDescent="0.35">
      <c r="B273" s="40">
        <v>604.1</v>
      </c>
      <c r="C273" s="13" t="s">
        <v>3173</v>
      </c>
      <c r="D273" s="13"/>
      <c r="E273" s="13"/>
      <c r="F273" s="13"/>
      <c r="G273" s="13"/>
      <c r="H273" s="550"/>
      <c r="I273" s="32"/>
      <c r="J273" s="4"/>
      <c r="K273" s="46"/>
      <c r="L273" s="215"/>
      <c r="M273" s="737"/>
      <c r="N273" s="4"/>
      <c r="O273" s="696"/>
      <c r="P273" t="b">
        <v>1</v>
      </c>
      <c r="Q273" t="b">
        <v>1</v>
      </c>
      <c r="R273" t="b">
        <v>0</v>
      </c>
      <c r="S273" t="b">
        <v>1</v>
      </c>
      <c r="T273" t="b">
        <v>0</v>
      </c>
      <c r="W273" s="112"/>
      <c r="X273" s="688"/>
      <c r="AC273" t="b">
        <f>OR(AD273:AE273)</f>
        <v>0</v>
      </c>
      <c r="AD273" t="b">
        <v>0</v>
      </c>
      <c r="AE273" t="b">
        <f>AND(W273&gt;0,LEN(X272)=0)</f>
        <v>0</v>
      </c>
      <c r="AP273" t="str">
        <f t="shared" ref="AP273" si="76">SUBSTITUTE(SUBSTITUTE(SUBSTITUTE("dch"&amp;$B273&amp;$C273&amp;$D273&amp;$E273&amp;$F273,".","_"),"(","_"),")","")</f>
        <v>dch604_1d</v>
      </c>
      <c r="AQ273" s="620">
        <f>W273</f>
        <v>0</v>
      </c>
    </row>
    <row r="274" spans="2:45" ht="18.5" x14ac:dyDescent="0.45">
      <c r="B274" s="40">
        <v>605</v>
      </c>
      <c r="C274" s="13"/>
      <c r="D274" s="13"/>
      <c r="E274" s="13"/>
      <c r="F274" s="13"/>
      <c r="G274" s="13"/>
      <c r="H274" s="550"/>
      <c r="I274" s="10" t="s">
        <v>696</v>
      </c>
      <c r="J274" s="15"/>
      <c r="K274" s="45"/>
      <c r="L274" s="173"/>
      <c r="M274" s="286"/>
      <c r="N274" s="344"/>
      <c r="O274" s="340"/>
      <c r="P274" s="15"/>
      <c r="Q274" s="15"/>
      <c r="R274" s="15"/>
      <c r="S274" s="15"/>
      <c r="T274" s="15"/>
      <c r="U274" s="15"/>
      <c r="V274" s="15"/>
      <c r="W274" s="15"/>
      <c r="X274" s="15"/>
    </row>
    <row r="275" spans="2:45" x14ac:dyDescent="0.35">
      <c r="B275" s="40" t="s">
        <v>4354</v>
      </c>
      <c r="C275" s="13"/>
      <c r="D275" s="13"/>
      <c r="E275" s="13"/>
      <c r="F275" s="13"/>
      <c r="G275" s="13"/>
      <c r="H275" s="550"/>
      <c r="I275" s="41" t="s">
        <v>4354</v>
      </c>
      <c r="J275" s="4"/>
      <c r="K275" s="46"/>
      <c r="L275" s="706" t="s">
        <v>697</v>
      </c>
      <c r="M275" s="43"/>
      <c r="N275" s="4"/>
      <c r="O275" s="85"/>
    </row>
    <row r="276" spans="2:45" x14ac:dyDescent="0.35">
      <c r="B276" s="40" t="s">
        <v>4354</v>
      </c>
      <c r="C276" s="13"/>
      <c r="D276" s="13"/>
      <c r="E276" s="13"/>
      <c r="F276" s="13"/>
      <c r="G276" s="13"/>
      <c r="H276" s="550"/>
      <c r="I276" s="32"/>
      <c r="J276" s="4"/>
      <c r="K276" s="46"/>
      <c r="L276" s="706"/>
      <c r="M276" s="43"/>
      <c r="N276" s="4"/>
      <c r="O276" s="85"/>
    </row>
    <row r="277" spans="2:45" ht="15" thickBot="1" x14ac:dyDescent="0.4">
      <c r="B277" s="40" t="s">
        <v>4354</v>
      </c>
      <c r="C277" s="13"/>
      <c r="D277" s="13"/>
      <c r="E277" s="13"/>
      <c r="F277" s="13"/>
      <c r="G277" s="13"/>
      <c r="H277" s="550"/>
      <c r="I277" s="32"/>
      <c r="J277" s="4"/>
      <c r="K277" s="46"/>
      <c r="L277" s="107" t="s">
        <v>698</v>
      </c>
      <c r="M277" s="43"/>
      <c r="N277" s="4"/>
      <c r="O277" s="85"/>
      <c r="W277" s="58"/>
    </row>
    <row r="278" spans="2:45" ht="15" thickTop="1" x14ac:dyDescent="0.35">
      <c r="B278" s="40">
        <v>605.1</v>
      </c>
      <c r="C278" s="13"/>
      <c r="D278" s="13"/>
      <c r="E278" s="13"/>
      <c r="F278" s="13"/>
      <c r="G278" s="13"/>
      <c r="H278" s="550"/>
      <c r="I278" s="123">
        <v>605.1</v>
      </c>
      <c r="J278" s="124"/>
      <c r="K278" s="125"/>
      <c r="L278" s="711" t="s">
        <v>699</v>
      </c>
      <c r="M278" s="692">
        <v>6</v>
      </c>
      <c r="N278" s="124"/>
      <c r="O278" s="694">
        <f>M278*S278*IFERROR(OR(W278,W291),0)</f>
        <v>0</v>
      </c>
      <c r="P278" t="b">
        <v>1</v>
      </c>
      <c r="Q278" t="b">
        <v>1</v>
      </c>
      <c r="R278" s="62" t="b">
        <v>0</v>
      </c>
      <c r="S278" s="62" t="b">
        <v>1</v>
      </c>
      <c r="T278" s="62" t="b">
        <v>0</v>
      </c>
      <c r="U278" s="62"/>
      <c r="V278" s="62"/>
      <c r="W278" s="77"/>
      <c r="X278" s="687"/>
      <c r="AL278" t="str">
        <f>SUBSTITUTE(SUBSTITUTE(SUBSTITUTE("dpa"&amp;$B278&amp;$C278&amp;$D278&amp;$E278&amp;$F278,".","_"),"(","_"),")","")</f>
        <v>dpa605_1</v>
      </c>
      <c r="AM278">
        <f>M278</f>
        <v>6</v>
      </c>
      <c r="AN278" t="str">
        <f>SUBSTITUTE(SUBSTITUTE(SUBSTITUTE("dpc"&amp;$B278&amp;$C278&amp;$D278&amp;$E278&amp;$F278,".","_"),"(","_"),")","")</f>
        <v>dpc605_1</v>
      </c>
      <c r="AO278">
        <f>O278</f>
        <v>0</v>
      </c>
      <c r="AP278" t="str">
        <f t="shared" ref="AP278" si="77">SUBSTITUTE(SUBSTITUTE(SUBSTITUTE("dch"&amp;$B278&amp;$C278&amp;$D278&amp;$E278&amp;$F278,".","_"),"(","_"),")","")</f>
        <v>dch605_1</v>
      </c>
      <c r="AQ278">
        <f>W278</f>
        <v>0</v>
      </c>
      <c r="AR278" t="str">
        <f>SUBSTITUTE(SUBSTITUTE(SUBSTITUTE("dnt"&amp;$B278&amp;$C278&amp;$D278&amp;$E278&amp;$F278,".","_"),"(","_"),")","")</f>
        <v>dnt605_1</v>
      </c>
      <c r="AS278">
        <f>X278</f>
        <v>0</v>
      </c>
    </row>
    <row r="279" spans="2:45" x14ac:dyDescent="0.35">
      <c r="B279" s="40">
        <v>605.1</v>
      </c>
      <c r="C279" s="13"/>
      <c r="D279" s="13"/>
      <c r="E279" s="13"/>
      <c r="F279" s="13"/>
      <c r="G279" s="13"/>
      <c r="H279" s="550"/>
      <c r="I279" s="32"/>
      <c r="J279" s="4"/>
      <c r="K279" s="46"/>
      <c r="L279" s="706"/>
      <c r="M279" s="690"/>
      <c r="N279" s="4"/>
      <c r="O279" s="696"/>
      <c r="X279" s="688"/>
    </row>
    <row r="280" spans="2:45" x14ac:dyDescent="0.35">
      <c r="B280" s="40">
        <v>605.1</v>
      </c>
      <c r="C280" s="13"/>
      <c r="D280" s="13"/>
      <c r="E280" s="13"/>
      <c r="F280" s="13"/>
      <c r="G280" s="13"/>
      <c r="H280" s="550"/>
      <c r="I280" s="32"/>
      <c r="J280" s="4"/>
      <c r="K280" s="46"/>
      <c r="L280" s="706"/>
      <c r="M280" s="690"/>
      <c r="N280" s="4"/>
      <c r="O280" s="696"/>
      <c r="X280" s="688"/>
    </row>
    <row r="281" spans="2:45" x14ac:dyDescent="0.35">
      <c r="B281" s="40">
        <v>605.1</v>
      </c>
      <c r="C281" s="13"/>
      <c r="D281" s="13"/>
      <c r="E281" s="13"/>
      <c r="F281" s="13"/>
      <c r="G281" s="13"/>
      <c r="H281" s="550"/>
      <c r="I281" s="32"/>
      <c r="J281" s="4"/>
      <c r="K281" s="46"/>
      <c r="L281" s="706"/>
      <c r="M281" s="690"/>
      <c r="N281" s="4"/>
      <c r="O281" s="696"/>
      <c r="X281" s="688"/>
    </row>
    <row r="282" spans="2:45" x14ac:dyDescent="0.35">
      <c r="B282" s="40">
        <v>605.1</v>
      </c>
      <c r="C282" s="13"/>
      <c r="D282" s="13"/>
      <c r="E282" s="13"/>
      <c r="F282" s="13"/>
      <c r="G282" s="13"/>
      <c r="H282" s="550"/>
      <c r="I282" s="32"/>
      <c r="J282" s="4"/>
      <c r="K282" s="46"/>
      <c r="L282" s="706"/>
      <c r="M282" s="690"/>
      <c r="N282" s="4"/>
      <c r="O282" s="696"/>
      <c r="X282" s="688"/>
    </row>
    <row r="283" spans="2:45" x14ac:dyDescent="0.35">
      <c r="B283" s="40">
        <v>605.1</v>
      </c>
      <c r="C283" s="13"/>
      <c r="D283" s="13"/>
      <c r="E283" s="13"/>
      <c r="F283" s="13"/>
      <c r="G283" s="13"/>
      <c r="H283" s="550"/>
      <c r="I283" s="32"/>
      <c r="J283" s="4"/>
      <c r="K283" s="46"/>
      <c r="L283" s="706"/>
      <c r="M283" s="690"/>
      <c r="N283" s="4"/>
      <c r="O283" s="696"/>
      <c r="X283" s="688"/>
    </row>
    <row r="284" spans="2:45" x14ac:dyDescent="0.35">
      <c r="B284" s="40">
        <v>605.1</v>
      </c>
      <c r="C284" s="13"/>
      <c r="D284" s="13"/>
      <c r="E284" s="13"/>
      <c r="F284" s="13"/>
      <c r="G284" s="13"/>
      <c r="H284" s="550"/>
      <c r="I284" s="32"/>
      <c r="J284" s="4"/>
      <c r="K284" s="46"/>
      <c r="L284" s="707" t="s">
        <v>700</v>
      </c>
      <c r="M284" s="690"/>
      <c r="N284" s="4"/>
      <c r="O284" s="696"/>
      <c r="X284" s="688"/>
    </row>
    <row r="285" spans="2:45" x14ac:dyDescent="0.35">
      <c r="B285" s="40">
        <v>605.1</v>
      </c>
      <c r="C285" s="13"/>
      <c r="D285" s="13"/>
      <c r="E285" s="13"/>
      <c r="F285" s="13"/>
      <c r="G285" s="13"/>
      <c r="H285" s="550"/>
      <c r="I285" s="32"/>
      <c r="J285" s="4"/>
      <c r="K285" s="46"/>
      <c r="L285" s="707"/>
      <c r="M285" s="690"/>
      <c r="N285" s="4"/>
      <c r="O285" s="696"/>
      <c r="X285" s="688"/>
    </row>
    <row r="286" spans="2:45" x14ac:dyDescent="0.35">
      <c r="B286" s="40">
        <v>605.1</v>
      </c>
      <c r="C286" s="13"/>
      <c r="D286" s="13"/>
      <c r="E286" s="13"/>
      <c r="F286" s="13"/>
      <c r="G286" s="13"/>
      <c r="H286" s="550"/>
      <c r="I286" s="32"/>
      <c r="J286" s="4"/>
      <c r="K286" s="46"/>
      <c r="L286" s="707"/>
      <c r="M286" s="690"/>
      <c r="N286" s="4"/>
      <c r="O286" s="696"/>
      <c r="X286" s="688"/>
    </row>
    <row r="287" spans="2:45" x14ac:dyDescent="0.35">
      <c r="B287" s="40">
        <v>605.1</v>
      </c>
      <c r="C287" s="13"/>
      <c r="D287" s="13"/>
      <c r="E287" s="13"/>
      <c r="F287" s="13"/>
      <c r="G287" s="13"/>
      <c r="H287" s="550"/>
      <c r="I287" s="32"/>
      <c r="J287" s="4"/>
      <c r="K287" s="46"/>
      <c r="L287" s="707"/>
      <c r="M287" s="690"/>
      <c r="N287" s="4"/>
      <c r="O287" s="696"/>
      <c r="X287" s="688"/>
    </row>
    <row r="288" spans="2:45" x14ac:dyDescent="0.35">
      <c r="B288" s="40">
        <v>605.1</v>
      </c>
      <c r="C288" s="13"/>
      <c r="D288" s="13"/>
      <c r="E288" s="13"/>
      <c r="F288" s="13"/>
      <c r="G288" s="13"/>
      <c r="H288" s="550"/>
      <c r="I288" s="32"/>
      <c r="J288" s="4"/>
      <c r="K288" s="46"/>
      <c r="L288" s="110" t="s">
        <v>701</v>
      </c>
      <c r="M288" s="690"/>
      <c r="N288" s="4"/>
      <c r="O288" s="696"/>
      <c r="X288" s="688"/>
    </row>
    <row r="289" spans="2:45" x14ac:dyDescent="0.35">
      <c r="B289" s="40">
        <v>605.1</v>
      </c>
      <c r="C289" s="13"/>
      <c r="D289" s="13"/>
      <c r="E289" s="13" t="s">
        <v>270</v>
      </c>
      <c r="F289" s="13"/>
      <c r="G289" s="13"/>
      <c r="H289" s="550"/>
      <c r="I289" s="32"/>
      <c r="J289" s="19" t="s">
        <v>270</v>
      </c>
      <c r="K289" s="46"/>
      <c r="L289" s="707" t="s">
        <v>702</v>
      </c>
      <c r="M289" s="690"/>
      <c r="N289" s="4"/>
      <c r="O289" s="696"/>
      <c r="X289" s="688"/>
    </row>
    <row r="290" spans="2:45" x14ac:dyDescent="0.35">
      <c r="B290" s="40">
        <v>605.1</v>
      </c>
      <c r="C290" s="13"/>
      <c r="D290" s="13"/>
      <c r="E290" s="13" t="s">
        <v>270</v>
      </c>
      <c r="F290" s="13"/>
      <c r="G290" s="13"/>
      <c r="H290" s="550"/>
      <c r="I290" s="32"/>
      <c r="J290" s="4"/>
      <c r="K290" s="46"/>
      <c r="L290" s="707"/>
      <c r="M290" s="690"/>
      <c r="N290" s="4"/>
      <c r="O290" s="696"/>
      <c r="X290" s="688"/>
    </row>
    <row r="291" spans="2:45" x14ac:dyDescent="0.35">
      <c r="B291" s="40">
        <v>605.1</v>
      </c>
      <c r="C291" s="13"/>
      <c r="D291" s="13"/>
      <c r="E291" s="13" t="s">
        <v>272</v>
      </c>
      <c r="F291" s="13"/>
      <c r="G291" s="13"/>
      <c r="H291" s="550"/>
      <c r="I291" s="32"/>
      <c r="J291" s="19" t="s">
        <v>272</v>
      </c>
      <c r="K291" s="46"/>
      <c r="L291" s="707" t="s">
        <v>703</v>
      </c>
      <c r="M291" s="690"/>
      <c r="N291" s="4"/>
      <c r="O291" s="696"/>
      <c r="P291" t="b">
        <v>1</v>
      </c>
      <c r="Q291" t="b">
        <v>1</v>
      </c>
      <c r="R291" t="b">
        <v>0</v>
      </c>
      <c r="S291" t="b">
        <v>1</v>
      </c>
      <c r="T291" t="b">
        <v>0</v>
      </c>
      <c r="W291" s="17"/>
      <c r="X291" s="688"/>
      <c r="AP291" t="str">
        <f t="shared" ref="AP291" si="78">SUBSTITUTE(SUBSTITUTE(SUBSTITUTE("dch"&amp;$B291&amp;$C291&amp;$D291&amp;$E291&amp;$F291,".","_"),"(","_"),")","")</f>
        <v>dch605_1_2</v>
      </c>
      <c r="AQ291">
        <f>W291</f>
        <v>0</v>
      </c>
    </row>
    <row r="292" spans="2:45" ht="15" thickBot="1" x14ac:dyDescent="0.4">
      <c r="B292" s="40">
        <v>605.1</v>
      </c>
      <c r="C292" s="13"/>
      <c r="D292" s="13"/>
      <c r="E292" s="13" t="s">
        <v>272</v>
      </c>
      <c r="F292" s="13"/>
      <c r="G292" s="13"/>
      <c r="H292" s="550"/>
      <c r="I292" s="32"/>
      <c r="J292" s="4"/>
      <c r="K292" s="46"/>
      <c r="L292" s="707"/>
      <c r="M292" s="690"/>
      <c r="N292" s="4"/>
      <c r="O292" s="696"/>
      <c r="W292" s="205"/>
      <c r="X292" s="698"/>
    </row>
    <row r="293" spans="2:45" ht="15" thickTop="1" x14ac:dyDescent="0.35">
      <c r="B293" s="40">
        <v>605.20000000000005</v>
      </c>
      <c r="C293" s="13"/>
      <c r="D293" s="13"/>
      <c r="E293" s="13"/>
      <c r="F293" s="13"/>
      <c r="G293" s="13"/>
      <c r="H293" s="550"/>
      <c r="I293" s="123">
        <v>605.20000000000005</v>
      </c>
      <c r="J293" s="124"/>
      <c r="K293" s="125"/>
      <c r="L293" s="711" t="s">
        <v>704</v>
      </c>
      <c r="M293" s="692">
        <v>7</v>
      </c>
      <c r="N293" s="124"/>
      <c r="O293" s="694">
        <f>M293*S293*W293</f>
        <v>0</v>
      </c>
      <c r="P293" t="b">
        <v>1</v>
      </c>
      <c r="Q293" t="b">
        <v>1</v>
      </c>
      <c r="R293" s="62" t="b">
        <v>0</v>
      </c>
      <c r="S293" s="62" t="b">
        <v>1</v>
      </c>
      <c r="T293" s="62" t="b">
        <v>0</v>
      </c>
      <c r="U293" s="62"/>
      <c r="V293" s="62"/>
      <c r="W293" s="77"/>
      <c r="X293" s="687"/>
      <c r="AL293" t="str">
        <f>SUBSTITUTE(SUBSTITUTE(SUBSTITUTE("dpa"&amp;$B293&amp;$C293&amp;$D293&amp;$E293&amp;$F293,".","_"),"(","_"),")","")</f>
        <v>dpa605_2</v>
      </c>
      <c r="AM293">
        <f>M293</f>
        <v>7</v>
      </c>
      <c r="AN293" t="str">
        <f>SUBSTITUTE(SUBSTITUTE(SUBSTITUTE("dpc"&amp;$B293&amp;$C293&amp;$D293&amp;$E293&amp;$F293,".","_"),"(","_"),")","")</f>
        <v>dpc605_2</v>
      </c>
      <c r="AO293">
        <f>O293</f>
        <v>0</v>
      </c>
      <c r="AP293" t="str">
        <f t="shared" ref="AP293" si="79">SUBSTITUTE(SUBSTITUTE(SUBSTITUTE("dch"&amp;$B293&amp;$C293&amp;$D293&amp;$E293&amp;$F293,".","_"),"(","_"),")","")</f>
        <v>dch605_2</v>
      </c>
      <c r="AQ293">
        <f>W293</f>
        <v>0</v>
      </c>
      <c r="AR293" t="str">
        <f>SUBSTITUTE(SUBSTITUTE(SUBSTITUTE("dnt"&amp;$B293&amp;$C293&amp;$D293&amp;$E293&amp;$F293,".","_"),"(","_"),")","")</f>
        <v>dnt605_2</v>
      </c>
      <c r="AS293">
        <f>X293</f>
        <v>0</v>
      </c>
    </row>
    <row r="294" spans="2:45" x14ac:dyDescent="0.35">
      <c r="B294" s="40">
        <v>605.20000000000005</v>
      </c>
      <c r="C294" s="13"/>
      <c r="D294" s="13"/>
      <c r="E294" s="13"/>
      <c r="F294" s="13"/>
      <c r="G294" s="13"/>
      <c r="H294" s="550"/>
      <c r="I294" s="32"/>
      <c r="J294" s="4"/>
      <c r="K294" s="46"/>
      <c r="L294" s="706"/>
      <c r="M294" s="690"/>
      <c r="N294" s="4"/>
      <c r="O294" s="696"/>
      <c r="X294" s="688"/>
    </row>
    <row r="295" spans="2:45" x14ac:dyDescent="0.35">
      <c r="B295" s="40">
        <v>605.20000000000005</v>
      </c>
      <c r="C295" s="13"/>
      <c r="D295" s="13"/>
      <c r="E295" s="13"/>
      <c r="F295" s="13" t="s">
        <v>121</v>
      </c>
      <c r="G295" s="13"/>
      <c r="H295" s="550"/>
      <c r="I295" s="32"/>
      <c r="J295" s="4"/>
      <c r="K295" s="50" t="s">
        <v>121</v>
      </c>
      <c r="L295" s="707" t="s">
        <v>705</v>
      </c>
      <c r="M295" s="43"/>
      <c r="N295" s="4"/>
      <c r="O295" s="85"/>
      <c r="X295" s="688"/>
    </row>
    <row r="296" spans="2:45" x14ac:dyDescent="0.35">
      <c r="B296" s="40">
        <v>605.20000000000005</v>
      </c>
      <c r="C296" s="13"/>
      <c r="D296" s="13"/>
      <c r="E296" s="13"/>
      <c r="F296" s="13" t="s">
        <v>121</v>
      </c>
      <c r="G296" s="13"/>
      <c r="H296" s="550"/>
      <c r="I296" s="32"/>
      <c r="J296" s="4"/>
      <c r="K296" s="46"/>
      <c r="L296" s="707"/>
      <c r="M296" s="43"/>
      <c r="N296" s="4"/>
      <c r="O296" s="85"/>
      <c r="X296" s="688"/>
    </row>
    <row r="297" spans="2:45" x14ac:dyDescent="0.35">
      <c r="B297" s="40">
        <v>605.20000000000005</v>
      </c>
      <c r="C297" s="13"/>
      <c r="D297" s="13"/>
      <c r="E297" s="13"/>
      <c r="F297" s="13" t="s">
        <v>121</v>
      </c>
      <c r="G297" s="13"/>
      <c r="H297" s="550"/>
      <c r="I297" s="32"/>
      <c r="J297" s="4"/>
      <c r="K297" s="116"/>
      <c r="L297" s="709"/>
      <c r="M297" s="43"/>
      <c r="N297" s="4"/>
      <c r="O297" s="85"/>
      <c r="X297" s="688"/>
    </row>
    <row r="298" spans="2:45" x14ac:dyDescent="0.35">
      <c r="B298" s="40">
        <v>605.20000000000005</v>
      </c>
      <c r="C298" s="13"/>
      <c r="D298" s="13"/>
      <c r="E298" s="13"/>
      <c r="F298" s="13" t="s">
        <v>122</v>
      </c>
      <c r="G298" s="13"/>
      <c r="H298" s="550"/>
      <c r="I298" s="32"/>
      <c r="J298" s="4"/>
      <c r="K298" s="158" t="s">
        <v>122</v>
      </c>
      <c r="L298" s="220" t="s">
        <v>706</v>
      </c>
      <c r="M298" s="43"/>
      <c r="N298" s="4"/>
      <c r="O298" s="85"/>
      <c r="X298" s="688"/>
    </row>
    <row r="299" spans="2:45" x14ac:dyDescent="0.35">
      <c r="B299" s="40">
        <v>605.20000000000005</v>
      </c>
      <c r="C299" s="13"/>
      <c r="D299" s="13"/>
      <c r="E299" s="13"/>
      <c r="F299" s="13" t="s">
        <v>123</v>
      </c>
      <c r="G299" s="13"/>
      <c r="H299" s="550"/>
      <c r="I299" s="32"/>
      <c r="J299" s="4"/>
      <c r="K299" s="52" t="s">
        <v>123</v>
      </c>
      <c r="L299" s="707" t="s">
        <v>707</v>
      </c>
      <c r="M299" s="43"/>
      <c r="N299" s="4"/>
      <c r="O299" s="85"/>
      <c r="X299" s="688"/>
    </row>
    <row r="300" spans="2:45" x14ac:dyDescent="0.35">
      <c r="B300" s="40">
        <v>605.20000000000005</v>
      </c>
      <c r="C300" s="13"/>
      <c r="D300" s="13"/>
      <c r="E300" s="13"/>
      <c r="F300" s="13" t="s">
        <v>123</v>
      </c>
      <c r="G300" s="13"/>
      <c r="H300" s="550"/>
      <c r="I300" s="32"/>
      <c r="J300" s="4"/>
      <c r="K300" s="48"/>
      <c r="L300" s="707"/>
      <c r="M300" s="43"/>
      <c r="N300" s="4"/>
      <c r="O300" s="85"/>
      <c r="X300" s="688"/>
    </row>
    <row r="301" spans="2:45" ht="15" thickBot="1" x14ac:dyDescent="0.4">
      <c r="B301" s="40">
        <v>605.20000000000005</v>
      </c>
      <c r="C301" s="13"/>
      <c r="D301" s="13"/>
      <c r="E301" s="13"/>
      <c r="F301" s="13" t="s">
        <v>123</v>
      </c>
      <c r="G301" s="13"/>
      <c r="H301" s="550"/>
      <c r="I301" s="32"/>
      <c r="J301" s="4"/>
      <c r="K301" s="46"/>
      <c r="L301" s="707"/>
      <c r="M301" s="43"/>
      <c r="N301" s="4"/>
      <c r="O301" s="85"/>
      <c r="X301" s="698"/>
    </row>
    <row r="302" spans="2:45" ht="15" thickTop="1" x14ac:dyDescent="0.35">
      <c r="B302" s="40">
        <v>605.29999999999995</v>
      </c>
      <c r="C302" s="13"/>
      <c r="D302" s="13"/>
      <c r="E302" s="13"/>
      <c r="F302" s="13"/>
      <c r="G302" s="13"/>
      <c r="H302" s="550"/>
      <c r="I302" s="123">
        <v>605.29999999999995</v>
      </c>
      <c r="J302" s="124"/>
      <c r="K302" s="125"/>
      <c r="L302" s="711" t="s">
        <v>708</v>
      </c>
      <c r="M302" s="692" t="s">
        <v>709</v>
      </c>
      <c r="N302" s="124"/>
      <c r="O302" s="694">
        <f>IF(COUNTIF(W306:W314,TRUE)&lt;2,0,MIN(6,(COUNTIF(W306:W314,TRUE)+1)))</f>
        <v>4</v>
      </c>
      <c r="P302" t="b">
        <v>1</v>
      </c>
      <c r="Q302" t="b">
        <v>1</v>
      </c>
      <c r="R302" s="62" t="b">
        <v>0</v>
      </c>
      <c r="S302" s="62" t="b">
        <v>1</v>
      </c>
      <c r="T302" s="62" t="b">
        <v>0</v>
      </c>
      <c r="U302" s="62"/>
      <c r="V302" s="62"/>
      <c r="W302" s="62"/>
      <c r="X302" s="62"/>
      <c r="AL302" t="str">
        <f>SUBSTITUTE(SUBSTITUTE(SUBSTITUTE("dpa"&amp;$B302&amp;$C302&amp;$D302&amp;$E302&amp;$F302,".","_"),"(","_"),")","")</f>
        <v>dpa605_3</v>
      </c>
      <c r="AM302" t="str">
        <f>M302</f>
        <v>6 Max</v>
      </c>
      <c r="AN302" t="str">
        <f>SUBSTITUTE(SUBSTITUTE(SUBSTITUTE("dpc"&amp;$B302&amp;$C302&amp;$D302&amp;$E302&amp;$F302,".","_"),"(","_"),")","")</f>
        <v>dpc605_3</v>
      </c>
      <c r="AO302">
        <f>O302</f>
        <v>4</v>
      </c>
    </row>
    <row r="303" spans="2:45" x14ac:dyDescent="0.35">
      <c r="B303" s="40">
        <v>605.29999999999995</v>
      </c>
      <c r="C303" s="13"/>
      <c r="D303" s="13"/>
      <c r="E303" s="13"/>
      <c r="F303" s="13"/>
      <c r="G303" s="13"/>
      <c r="H303" s="550"/>
      <c r="I303" s="32"/>
      <c r="J303" s="4"/>
      <c r="K303" s="46"/>
      <c r="L303" s="706"/>
      <c r="M303" s="690"/>
      <c r="N303" s="4"/>
      <c r="O303" s="696"/>
    </row>
    <row r="304" spans="2:45" x14ac:dyDescent="0.35">
      <c r="B304" s="40">
        <v>605.29999999999995</v>
      </c>
      <c r="C304" s="13"/>
      <c r="D304" s="13"/>
      <c r="E304" s="13" t="s">
        <v>270</v>
      </c>
      <c r="F304" s="13"/>
      <c r="G304" s="13"/>
      <c r="H304" s="550"/>
      <c r="I304" s="32"/>
      <c r="J304" s="148" t="s">
        <v>270</v>
      </c>
      <c r="K304" s="116"/>
      <c r="L304" s="214" t="s">
        <v>710</v>
      </c>
      <c r="M304" s="198">
        <v>3</v>
      </c>
      <c r="N304" s="4"/>
      <c r="O304" s="85"/>
      <c r="AL304" t="str">
        <f t="shared" ref="AL304:AL305" si="80">SUBSTITUTE(SUBSTITUTE(SUBSTITUTE("dpa"&amp;$B304&amp;$C304&amp;$D304&amp;$E304&amp;$F304,".","_"),"(","_"),")","")</f>
        <v>dpa605_3_1</v>
      </c>
      <c r="AM304">
        <f>M304</f>
        <v>3</v>
      </c>
    </row>
    <row r="305" spans="2:45" x14ac:dyDescent="0.35">
      <c r="B305" s="40">
        <v>605.29999999999995</v>
      </c>
      <c r="C305" s="13"/>
      <c r="D305" s="13"/>
      <c r="E305" s="13" t="s">
        <v>272</v>
      </c>
      <c r="F305" s="13"/>
      <c r="G305" s="13"/>
      <c r="H305" s="550"/>
      <c r="I305" s="32"/>
      <c r="J305" s="19" t="s">
        <v>272</v>
      </c>
      <c r="K305" s="46"/>
      <c r="L305" s="104" t="s">
        <v>711</v>
      </c>
      <c r="M305" s="43">
        <v>1</v>
      </c>
      <c r="N305" s="4"/>
      <c r="O305" s="85"/>
      <c r="AL305" t="str">
        <f t="shared" si="80"/>
        <v>dpa605_3_2</v>
      </c>
      <c r="AM305">
        <f>M305</f>
        <v>1</v>
      </c>
    </row>
    <row r="306" spans="2:45" x14ac:dyDescent="0.35">
      <c r="B306" s="40">
        <v>605.29999999999995</v>
      </c>
      <c r="C306" s="13"/>
      <c r="D306" s="13"/>
      <c r="E306" s="13" t="s">
        <v>272</v>
      </c>
      <c r="F306" s="13" t="s">
        <v>121</v>
      </c>
      <c r="G306" s="13"/>
      <c r="H306" s="550"/>
      <c r="I306" s="32"/>
      <c r="J306" s="4"/>
      <c r="K306" s="115" t="s">
        <v>121</v>
      </c>
      <c r="L306" s="214" t="s">
        <v>3268</v>
      </c>
      <c r="M306" s="43"/>
      <c r="N306" s="4"/>
      <c r="O306" s="85"/>
      <c r="P306" t="b">
        <v>1</v>
      </c>
      <c r="Q306" t="b">
        <v>1</v>
      </c>
      <c r="R306" t="b">
        <v>0</v>
      </c>
      <c r="S306" t="b">
        <v>1</v>
      </c>
      <c r="T306" t="b">
        <v>0</v>
      </c>
      <c r="W306" s="17" t="b">
        <v>1</v>
      </c>
      <c r="X306" s="688"/>
      <c r="AP306" t="str">
        <f t="shared" ref="AP306:AP314" si="81">SUBSTITUTE(SUBSTITUTE(SUBSTITUTE("dch"&amp;$B306&amp;$C306&amp;$D306&amp;$E306&amp;$F306,".","_"),"(","_"),")","")</f>
        <v>dch605_3_2_a</v>
      </c>
      <c r="AQ306" t="b">
        <f t="shared" ref="AQ306:AQ314" si="82">W306</f>
        <v>1</v>
      </c>
      <c r="AR306" t="str">
        <f>SUBSTITUTE(SUBSTITUTE(SUBSTITUTE("dnt"&amp;$B306&amp;$C306&amp;$D306&amp;$E306&amp;$F306,".","_"),"(","_"),")","")</f>
        <v>dnt605_3_2_a</v>
      </c>
      <c r="AS306">
        <f>X306</f>
        <v>0</v>
      </c>
    </row>
    <row r="307" spans="2:45" x14ac:dyDescent="0.35">
      <c r="B307" s="40">
        <v>605.29999999999995</v>
      </c>
      <c r="C307" s="13"/>
      <c r="D307" s="13"/>
      <c r="E307" s="13" t="s">
        <v>272</v>
      </c>
      <c r="F307" s="13" t="s">
        <v>122</v>
      </c>
      <c r="G307" s="13"/>
      <c r="H307" s="550"/>
      <c r="I307" s="32"/>
      <c r="J307" s="4"/>
      <c r="K307" s="158" t="s">
        <v>122</v>
      </c>
      <c r="L307" s="220" t="s">
        <v>3269</v>
      </c>
      <c r="M307" s="43"/>
      <c r="N307" s="4"/>
      <c r="O307" s="85"/>
      <c r="P307" t="b">
        <v>1</v>
      </c>
      <c r="Q307" t="b">
        <v>1</v>
      </c>
      <c r="R307" t="b">
        <v>0</v>
      </c>
      <c r="S307" t="b">
        <v>1</v>
      </c>
      <c r="T307" t="b">
        <v>0</v>
      </c>
      <c r="W307" s="17" t="b">
        <v>1</v>
      </c>
      <c r="X307" s="688"/>
      <c r="AP307" t="str">
        <f t="shared" si="81"/>
        <v>dch605_3_2_b</v>
      </c>
      <c r="AQ307" t="b">
        <f t="shared" si="82"/>
        <v>1</v>
      </c>
    </row>
    <row r="308" spans="2:45" x14ac:dyDescent="0.35">
      <c r="B308" s="40">
        <v>605.29999999999995</v>
      </c>
      <c r="C308" s="13"/>
      <c r="D308" s="13"/>
      <c r="E308" s="13" t="s">
        <v>272</v>
      </c>
      <c r="F308" s="13" t="s">
        <v>123</v>
      </c>
      <c r="G308" s="13"/>
      <c r="H308" s="550"/>
      <c r="I308" s="32"/>
      <c r="J308" s="4"/>
      <c r="K308" s="163" t="s">
        <v>123</v>
      </c>
      <c r="L308" s="220" t="s">
        <v>3270</v>
      </c>
      <c r="M308" s="43"/>
      <c r="N308" s="4"/>
      <c r="O308" s="85"/>
      <c r="P308" t="b">
        <v>1</v>
      </c>
      <c r="Q308" t="b">
        <v>1</v>
      </c>
      <c r="R308" t="b">
        <v>0</v>
      </c>
      <c r="S308" t="b">
        <v>1</v>
      </c>
      <c r="T308" t="b">
        <v>0</v>
      </c>
      <c r="W308" s="17" t="b">
        <v>1</v>
      </c>
      <c r="X308" s="688"/>
      <c r="AP308" t="str">
        <f t="shared" si="81"/>
        <v>dch605_3_2_c</v>
      </c>
      <c r="AQ308" t="b">
        <f t="shared" si="82"/>
        <v>1</v>
      </c>
    </row>
    <row r="309" spans="2:45" x14ac:dyDescent="0.35">
      <c r="B309" s="40">
        <v>605.29999999999995</v>
      </c>
      <c r="C309" s="13"/>
      <c r="D309" s="13"/>
      <c r="E309" s="13" t="s">
        <v>272</v>
      </c>
      <c r="F309" s="13" t="s">
        <v>420</v>
      </c>
      <c r="G309" s="13"/>
      <c r="H309" s="550"/>
      <c r="I309" s="32"/>
      <c r="J309" s="4"/>
      <c r="K309" s="164" t="s">
        <v>420</v>
      </c>
      <c r="L309" s="220" t="s">
        <v>3271</v>
      </c>
      <c r="M309" s="43"/>
      <c r="N309" s="4"/>
      <c r="O309" s="85"/>
      <c r="P309" t="b">
        <v>1</v>
      </c>
      <c r="Q309" t="b">
        <v>1</v>
      </c>
      <c r="R309" t="b">
        <v>0</v>
      </c>
      <c r="S309" t="b">
        <v>1</v>
      </c>
      <c r="T309" t="b">
        <v>0</v>
      </c>
      <c r="W309" s="17"/>
      <c r="X309" s="688"/>
      <c r="AP309" t="str">
        <f t="shared" si="81"/>
        <v>dch605_3_2_d</v>
      </c>
      <c r="AQ309">
        <f t="shared" si="82"/>
        <v>0</v>
      </c>
    </row>
    <row r="310" spans="2:45" x14ac:dyDescent="0.35">
      <c r="B310" s="40">
        <v>605.29999999999995</v>
      </c>
      <c r="C310" s="13"/>
      <c r="D310" s="13"/>
      <c r="E310" s="13" t="s">
        <v>272</v>
      </c>
      <c r="F310" s="13" t="s">
        <v>575</v>
      </c>
      <c r="G310" s="13"/>
      <c r="H310" s="550"/>
      <c r="I310" s="32"/>
      <c r="J310" s="4"/>
      <c r="K310" s="158" t="s">
        <v>575</v>
      </c>
      <c r="L310" s="220" t="s">
        <v>3272</v>
      </c>
      <c r="M310" s="43"/>
      <c r="N310" s="4"/>
      <c r="O310" s="85"/>
      <c r="P310" t="b">
        <v>1</v>
      </c>
      <c r="Q310" t="b">
        <v>1</v>
      </c>
      <c r="R310" t="b">
        <v>0</v>
      </c>
      <c r="S310" t="b">
        <v>1</v>
      </c>
      <c r="T310" t="b">
        <v>0</v>
      </c>
      <c r="W310" s="17"/>
      <c r="X310" s="688"/>
      <c r="AP310" t="str">
        <f t="shared" si="81"/>
        <v>dch605_3_2_e</v>
      </c>
      <c r="AQ310">
        <f t="shared" si="82"/>
        <v>0</v>
      </c>
    </row>
    <row r="311" spans="2:45" x14ac:dyDescent="0.35">
      <c r="B311" s="40">
        <v>605.29999999999995</v>
      </c>
      <c r="C311" s="13"/>
      <c r="D311" s="13"/>
      <c r="E311" s="13" t="s">
        <v>272</v>
      </c>
      <c r="F311" s="13" t="s">
        <v>642</v>
      </c>
      <c r="G311" s="13"/>
      <c r="H311" s="550"/>
      <c r="I311" s="32"/>
      <c r="J311" s="4"/>
      <c r="K311" s="158" t="s">
        <v>642</v>
      </c>
      <c r="L311" s="220" t="s">
        <v>3273</v>
      </c>
      <c r="M311" s="43"/>
      <c r="N311" s="4"/>
      <c r="O311" s="85"/>
      <c r="P311" t="b">
        <v>1</v>
      </c>
      <c r="Q311" t="b">
        <v>1</v>
      </c>
      <c r="R311" t="b">
        <v>0</v>
      </c>
      <c r="S311" t="b">
        <v>1</v>
      </c>
      <c r="T311" t="b">
        <v>0</v>
      </c>
      <c r="W311" s="17"/>
      <c r="X311" s="688"/>
      <c r="AP311" t="str">
        <f t="shared" si="81"/>
        <v>dch605_3_2_f</v>
      </c>
      <c r="AQ311">
        <f t="shared" si="82"/>
        <v>0</v>
      </c>
    </row>
    <row r="312" spans="2:45" x14ac:dyDescent="0.35">
      <c r="B312" s="40">
        <v>605.29999999999995</v>
      </c>
      <c r="C312" s="13"/>
      <c r="D312" s="13"/>
      <c r="E312" s="13" t="s">
        <v>272</v>
      </c>
      <c r="F312" s="13" t="s">
        <v>644</v>
      </c>
      <c r="G312" s="13"/>
      <c r="H312" s="550"/>
      <c r="I312" s="32"/>
      <c r="J312" s="4"/>
      <c r="K312" s="163" t="s">
        <v>644</v>
      </c>
      <c r="L312" s="220" t="s">
        <v>3274</v>
      </c>
      <c r="M312" s="43"/>
      <c r="N312" s="4"/>
      <c r="O312" s="85"/>
      <c r="P312" t="b">
        <v>1</v>
      </c>
      <c r="Q312" t="b">
        <v>1</v>
      </c>
      <c r="R312" t="b">
        <v>0</v>
      </c>
      <c r="S312" t="b">
        <v>1</v>
      </c>
      <c r="T312" t="b">
        <v>0</v>
      </c>
      <c r="W312" s="17"/>
      <c r="X312" s="688"/>
      <c r="AP312" t="str">
        <f t="shared" si="81"/>
        <v>dch605_3_2_g</v>
      </c>
      <c r="AQ312">
        <f t="shared" si="82"/>
        <v>0</v>
      </c>
    </row>
    <row r="313" spans="2:45" x14ac:dyDescent="0.35">
      <c r="B313" s="40">
        <v>605.29999999999995</v>
      </c>
      <c r="C313" s="13"/>
      <c r="D313" s="13"/>
      <c r="E313" s="13" t="s">
        <v>272</v>
      </c>
      <c r="F313" s="13" t="s">
        <v>646</v>
      </c>
      <c r="G313" s="13"/>
      <c r="H313" s="550"/>
      <c r="I313" s="32"/>
      <c r="K313" s="164" t="s">
        <v>646</v>
      </c>
      <c r="L313" s="220" t="s">
        <v>3275</v>
      </c>
      <c r="M313" s="34"/>
      <c r="N313" s="4"/>
      <c r="O313" s="85"/>
      <c r="P313" t="b">
        <v>1</v>
      </c>
      <c r="Q313" t="b">
        <v>1</v>
      </c>
      <c r="R313" t="b">
        <v>0</v>
      </c>
      <c r="S313" t="b">
        <v>1</v>
      </c>
      <c r="T313" t="b">
        <v>0</v>
      </c>
      <c r="W313" s="17"/>
      <c r="X313" s="39"/>
      <c r="AC313" t="b">
        <f>OR(AD313:AE313)</f>
        <v>0</v>
      </c>
      <c r="AD313" t="b">
        <v>0</v>
      </c>
      <c r="AE313" t="b">
        <f>AND(W313=TRUE,LEN(X313)=0)</f>
        <v>0</v>
      </c>
      <c r="AP313" t="str">
        <f t="shared" si="81"/>
        <v>dch605_3_2_h</v>
      </c>
      <c r="AQ313">
        <f t="shared" si="82"/>
        <v>0</v>
      </c>
      <c r="AR313" t="str">
        <f>SUBSTITUTE(SUBSTITUTE(SUBSTITUTE("dnt"&amp;$B313&amp;$C313&amp;$D313&amp;$E313&amp;$F313,".","_"),"(","_"),")","")</f>
        <v>dnt605_3_2_h</v>
      </c>
      <c r="AS313">
        <f>X313</f>
        <v>0</v>
      </c>
    </row>
    <row r="314" spans="2:45" x14ac:dyDescent="0.35">
      <c r="B314" s="40">
        <v>605.29999999999995</v>
      </c>
      <c r="C314" s="13"/>
      <c r="D314" s="13"/>
      <c r="E314" s="13" t="s">
        <v>272</v>
      </c>
      <c r="F314" s="13" t="s">
        <v>982</v>
      </c>
      <c r="G314" s="13"/>
      <c r="H314" s="550"/>
      <c r="I314" s="32"/>
      <c r="K314" s="48" t="s">
        <v>982</v>
      </c>
      <c r="L314" s="104" t="s">
        <v>3275</v>
      </c>
      <c r="M314" s="34"/>
      <c r="N314" s="4"/>
      <c r="O314" s="85"/>
      <c r="P314" t="b">
        <v>1</v>
      </c>
      <c r="Q314" t="b">
        <v>1</v>
      </c>
      <c r="R314" t="b">
        <v>0</v>
      </c>
      <c r="S314" t="b">
        <v>1</v>
      </c>
      <c r="T314" t="b">
        <v>0</v>
      </c>
      <c r="W314" s="17"/>
      <c r="X314" s="39"/>
      <c r="AC314" t="b">
        <f>OR(AD314:AE314)</f>
        <v>0</v>
      </c>
      <c r="AD314" t="b">
        <v>0</v>
      </c>
      <c r="AE314" t="b">
        <f>AND(W314=TRUE,LEN(X314)=0)</f>
        <v>0</v>
      </c>
      <c r="AP314" t="str">
        <f t="shared" si="81"/>
        <v>dch605_3_2_i</v>
      </c>
      <c r="AQ314">
        <f t="shared" si="82"/>
        <v>0</v>
      </c>
      <c r="AR314" t="str">
        <f>SUBSTITUTE(SUBSTITUTE(SUBSTITUTE("dnt"&amp;$B314&amp;$C314&amp;$D314&amp;$E314&amp;$F314,".","_"),"(","_"),")","")</f>
        <v>dnt605_3_2_i</v>
      </c>
      <c r="AS314">
        <f>X314</f>
        <v>0</v>
      </c>
    </row>
    <row r="315" spans="2:45" x14ac:dyDescent="0.35">
      <c r="B315" s="40">
        <v>605.29999999999995</v>
      </c>
      <c r="C315" s="13"/>
      <c r="D315" s="13"/>
      <c r="E315" s="13"/>
      <c r="F315" s="13"/>
      <c r="G315" s="13"/>
      <c r="H315" s="550"/>
      <c r="I315" s="32"/>
      <c r="K315" s="48"/>
      <c r="L315" s="105" t="s">
        <v>3276</v>
      </c>
      <c r="M315" s="34"/>
      <c r="N315" s="4"/>
      <c r="O315" s="85"/>
    </row>
    <row r="316" spans="2:45" ht="18.5" x14ac:dyDescent="0.45">
      <c r="B316" s="40">
        <v>606</v>
      </c>
      <c r="C316" s="13"/>
      <c r="D316" s="13"/>
      <c r="E316" s="13"/>
      <c r="F316" s="13"/>
      <c r="G316" s="13"/>
      <c r="H316" s="550"/>
      <c r="I316" s="10" t="s">
        <v>712</v>
      </c>
      <c r="J316" s="15"/>
      <c r="K316" s="45"/>
      <c r="L316" s="174"/>
      <c r="M316" s="286"/>
      <c r="N316" s="344"/>
      <c r="O316" s="340"/>
      <c r="P316" s="15"/>
      <c r="Q316" s="15"/>
      <c r="R316" s="15"/>
      <c r="S316" s="15"/>
      <c r="T316" s="15"/>
      <c r="U316" s="15"/>
      <c r="V316" s="15"/>
      <c r="W316" s="15"/>
      <c r="X316" s="15"/>
    </row>
    <row r="317" spans="2:45" ht="15" thickBot="1" x14ac:dyDescent="0.4">
      <c r="B317" s="40" t="s">
        <v>4353</v>
      </c>
      <c r="C317" s="13"/>
      <c r="D317" s="13"/>
      <c r="E317" s="13"/>
      <c r="F317" s="13"/>
      <c r="G317" s="13"/>
      <c r="H317" s="550"/>
      <c r="I317" s="41" t="s">
        <v>4353</v>
      </c>
      <c r="J317" s="4"/>
      <c r="K317" s="46"/>
      <c r="L317" s="110" t="s">
        <v>713</v>
      </c>
      <c r="M317" s="43"/>
      <c r="N317" s="4"/>
      <c r="O317" s="85"/>
    </row>
    <row r="318" spans="2:45" ht="15" thickTop="1" x14ac:dyDescent="0.35">
      <c r="B318" s="40">
        <v>606.1</v>
      </c>
      <c r="C318" s="13"/>
      <c r="D318" s="13"/>
      <c r="E318" s="13"/>
      <c r="F318" s="13"/>
      <c r="G318" s="13"/>
      <c r="H318" s="550"/>
      <c r="I318" s="123">
        <v>606.1</v>
      </c>
      <c r="J318" s="124"/>
      <c r="K318" s="125"/>
      <c r="L318" s="222" t="s">
        <v>714</v>
      </c>
      <c r="M318" s="199"/>
      <c r="N318" s="124"/>
      <c r="O318" s="694">
        <f ca="1">MIN(8,IF(R331&gt;1,6+R331+R329-2,IF(R331+R329&gt;1,3+MIN(2,R329+R331-2),0)))</f>
        <v>0</v>
      </c>
      <c r="P318" s="62"/>
      <c r="Q318" s="62"/>
      <c r="R318" s="62"/>
      <c r="S318" s="62"/>
      <c r="T318" s="62"/>
      <c r="U318" s="62"/>
      <c r="V318" s="62"/>
      <c r="W318" s="62"/>
      <c r="X318" s="62"/>
      <c r="AN318" t="str">
        <f>SUBSTITUTE(SUBSTITUTE(SUBSTITUTE("dpc"&amp;$B318&amp;$C318&amp;$D318&amp;$E318&amp;$F318,".","_"),"(","_"),")","")</f>
        <v>dpc606_1</v>
      </c>
      <c r="AO318">
        <f ca="1">O318</f>
        <v>0</v>
      </c>
    </row>
    <row r="319" spans="2:45" x14ac:dyDescent="0.35">
      <c r="B319" s="40">
        <v>606.1</v>
      </c>
      <c r="C319" s="13"/>
      <c r="D319" s="13"/>
      <c r="E319" s="13"/>
      <c r="F319" s="13" t="s">
        <v>121</v>
      </c>
      <c r="G319" s="13"/>
      <c r="H319" s="550"/>
      <c r="I319" s="32"/>
      <c r="J319" s="4"/>
      <c r="K319" s="50" t="s">
        <v>121</v>
      </c>
      <c r="L319" s="104" t="s">
        <v>715</v>
      </c>
      <c r="M319" s="43"/>
      <c r="N319" s="4"/>
      <c r="O319" s="696"/>
      <c r="P319" t="b">
        <v>1</v>
      </c>
      <c r="Q319" t="b">
        <v>1</v>
      </c>
      <c r="R319" t="b">
        <v>0</v>
      </c>
      <c r="S319" t="b">
        <f>OR(NOT(ISBLANK(W346)),NOT(ISBLANK(W347)),NOT(ISBLANK(W349)),NOT(ISBLANK(W350)))</f>
        <v>1</v>
      </c>
      <c r="T319" t="b">
        <f>AND(NOT(S319),LEN(W319)&gt;0)</f>
        <v>0</v>
      </c>
      <c r="U319" t="str">
        <f t="shared" ref="U319:U326" si="83">SUBSTITUTE(SUBSTITUTE(SUBSTITUTE("dd"&amp;B319&amp;C319&amp;D319&amp;E319&amp;F319,".","_"),"(","_"),")","")</f>
        <v>dd606_1_a</v>
      </c>
      <c r="W319" s="9"/>
      <c r="X319" s="688"/>
      <c r="AC319" t="b">
        <f>OR(AD319:AE319)</f>
        <v>0</v>
      </c>
      <c r="AD319" t="b">
        <f>T319</f>
        <v>0</v>
      </c>
      <c r="AP319" t="str">
        <f t="shared" ref="AP319:AP326" si="84">SUBSTITUTE(SUBSTITUTE(SUBSTITUTE("dch"&amp;$B319&amp;$C319&amp;$D319&amp;$E319&amp;$F319,".","_"),"(","_"),")","")</f>
        <v>dch606_1_a</v>
      </c>
      <c r="AQ319">
        <f t="shared" ref="AQ319:AQ326" si="85">W319</f>
        <v>0</v>
      </c>
      <c r="AR319" t="str">
        <f>SUBSTITUTE(SUBSTITUTE(SUBSTITUTE("dnt"&amp;$B319&amp;$C319&amp;$D319&amp;$E319&amp;$F319,".","_"),"(","_"),")","")</f>
        <v>dnt606_1_a</v>
      </c>
      <c r="AS319">
        <f>X319</f>
        <v>0</v>
      </c>
    </row>
    <row r="320" spans="2:45" x14ac:dyDescent="0.35">
      <c r="B320" s="40">
        <v>606.1</v>
      </c>
      <c r="C320" s="13"/>
      <c r="D320" s="13"/>
      <c r="E320" s="13"/>
      <c r="F320" s="13" t="s">
        <v>122</v>
      </c>
      <c r="G320" s="13"/>
      <c r="H320" s="550"/>
      <c r="I320" s="32"/>
      <c r="J320" s="4"/>
      <c r="K320" s="50" t="s">
        <v>122</v>
      </c>
      <c r="L320" s="104" t="s">
        <v>716</v>
      </c>
      <c r="M320" s="43"/>
      <c r="N320" s="4"/>
      <c r="O320" s="696"/>
      <c r="P320" t="b">
        <v>1</v>
      </c>
      <c r="Q320" t="b">
        <v>1</v>
      </c>
      <c r="R320" t="b">
        <v>0</v>
      </c>
      <c r="S320" t="b">
        <v>1</v>
      </c>
      <c r="T320" t="b">
        <v>0</v>
      </c>
      <c r="U320" t="str">
        <f t="shared" si="83"/>
        <v>dd606_1_b</v>
      </c>
      <c r="W320" s="9"/>
      <c r="X320" s="688"/>
      <c r="AP320" t="str">
        <f t="shared" si="84"/>
        <v>dch606_1_b</v>
      </c>
      <c r="AQ320">
        <f t="shared" si="85"/>
        <v>0</v>
      </c>
    </row>
    <row r="321" spans="2:43" x14ac:dyDescent="0.35">
      <c r="B321" s="40">
        <v>606.1</v>
      </c>
      <c r="C321" s="13"/>
      <c r="D321" s="13"/>
      <c r="E321" s="13"/>
      <c r="F321" s="18" t="s">
        <v>123</v>
      </c>
      <c r="G321" s="18"/>
      <c r="H321" s="551"/>
      <c r="I321" s="32"/>
      <c r="J321" s="4"/>
      <c r="K321" s="52" t="s">
        <v>123</v>
      </c>
      <c r="L321" s="104" t="s">
        <v>717</v>
      </c>
      <c r="M321" s="43"/>
      <c r="N321" s="4"/>
      <c r="O321" s="696"/>
      <c r="P321" t="b">
        <v>1</v>
      </c>
      <c r="Q321" t="b">
        <v>1</v>
      </c>
      <c r="R321" t="b">
        <v>0</v>
      </c>
      <c r="S321" t="b">
        <v>1</v>
      </c>
      <c r="T321" t="b">
        <v>0</v>
      </c>
      <c r="U321" t="str">
        <f t="shared" si="83"/>
        <v>dd606_1_c</v>
      </c>
      <c r="W321" s="9"/>
      <c r="X321" s="688"/>
      <c r="AP321" t="str">
        <f t="shared" si="84"/>
        <v>dch606_1_c</v>
      </c>
      <c r="AQ321">
        <f t="shared" si="85"/>
        <v>0</v>
      </c>
    </row>
    <row r="322" spans="2:43" x14ac:dyDescent="0.35">
      <c r="B322" s="40">
        <v>606.1</v>
      </c>
      <c r="C322" s="13"/>
      <c r="D322" s="13"/>
      <c r="E322" s="13"/>
      <c r="F322" s="13" t="s">
        <v>420</v>
      </c>
      <c r="G322" s="13"/>
      <c r="H322" s="550"/>
      <c r="I322" s="32"/>
      <c r="J322" s="4"/>
      <c r="K322" s="48" t="s">
        <v>420</v>
      </c>
      <c r="L322" s="104" t="s">
        <v>718</v>
      </c>
      <c r="M322" s="43"/>
      <c r="N322" s="4"/>
      <c r="O322" s="696"/>
      <c r="P322" t="b">
        <v>1</v>
      </c>
      <c r="Q322" t="b">
        <v>1</v>
      </c>
      <c r="R322" t="b">
        <v>0</v>
      </c>
      <c r="S322" t="b">
        <v>1</v>
      </c>
      <c r="T322" t="b">
        <v>0</v>
      </c>
      <c r="U322" t="str">
        <f t="shared" si="83"/>
        <v>dd606_1_d</v>
      </c>
      <c r="W322" s="9"/>
      <c r="X322" s="688"/>
      <c r="AP322" t="str">
        <f t="shared" si="84"/>
        <v>dch606_1_d</v>
      </c>
      <c r="AQ322">
        <f t="shared" si="85"/>
        <v>0</v>
      </c>
    </row>
    <row r="323" spans="2:43" x14ac:dyDescent="0.35">
      <c r="B323" s="40">
        <v>606.1</v>
      </c>
      <c r="C323" s="13"/>
      <c r="D323" s="13"/>
      <c r="E323" s="13"/>
      <c r="F323" s="13" t="s">
        <v>575</v>
      </c>
      <c r="G323" s="13"/>
      <c r="H323" s="550"/>
      <c r="I323" s="32"/>
      <c r="J323" s="4"/>
      <c r="K323" s="50" t="s">
        <v>575</v>
      </c>
      <c r="L323" s="104" t="s">
        <v>719</v>
      </c>
      <c r="M323" s="43"/>
      <c r="N323" s="4"/>
      <c r="O323" s="696"/>
      <c r="P323" t="b">
        <v>1</v>
      </c>
      <c r="Q323" t="b">
        <v>1</v>
      </c>
      <c r="R323" t="b">
        <v>0</v>
      </c>
      <c r="S323" t="b">
        <v>1</v>
      </c>
      <c r="T323" t="b">
        <v>0</v>
      </c>
      <c r="U323" t="str">
        <f t="shared" si="83"/>
        <v>dd606_1_e</v>
      </c>
      <c r="W323" s="9"/>
      <c r="X323" s="688"/>
      <c r="AP323" t="str">
        <f t="shared" si="84"/>
        <v>dch606_1_e</v>
      </c>
      <c r="AQ323">
        <f t="shared" si="85"/>
        <v>0</v>
      </c>
    </row>
    <row r="324" spans="2:43" x14ac:dyDescent="0.35">
      <c r="B324" s="40">
        <v>606.1</v>
      </c>
      <c r="C324" s="13"/>
      <c r="D324" s="13"/>
      <c r="E324" s="13"/>
      <c r="F324" s="13" t="s">
        <v>642</v>
      </c>
      <c r="G324" s="13"/>
      <c r="H324" s="550"/>
      <c r="I324" s="32"/>
      <c r="J324" s="4"/>
      <c r="K324" s="50" t="s">
        <v>642</v>
      </c>
      <c r="L324" s="104" t="s">
        <v>720</v>
      </c>
      <c r="M324" s="43"/>
      <c r="N324" s="4"/>
      <c r="O324" s="696"/>
      <c r="P324" t="b">
        <v>1</v>
      </c>
      <c r="Q324" t="b">
        <v>1</v>
      </c>
      <c r="R324" t="b">
        <v>0</v>
      </c>
      <c r="S324" t="b">
        <v>1</v>
      </c>
      <c r="T324" t="b">
        <v>0</v>
      </c>
      <c r="U324" t="str">
        <f t="shared" si="83"/>
        <v>dd606_1_f</v>
      </c>
      <c r="W324" s="9"/>
      <c r="X324" s="688"/>
      <c r="AP324" t="str">
        <f t="shared" si="84"/>
        <v>dch606_1_f</v>
      </c>
      <c r="AQ324">
        <f t="shared" si="85"/>
        <v>0</v>
      </c>
    </row>
    <row r="325" spans="2:43" x14ac:dyDescent="0.35">
      <c r="B325" s="40">
        <v>606.1</v>
      </c>
      <c r="C325" s="13"/>
      <c r="D325" s="13"/>
      <c r="E325" s="13"/>
      <c r="F325" s="18" t="s">
        <v>644</v>
      </c>
      <c r="G325" s="18"/>
      <c r="H325" s="551"/>
      <c r="I325" s="32"/>
      <c r="J325" s="4"/>
      <c r="K325" s="52" t="s">
        <v>644</v>
      </c>
      <c r="L325" s="104" t="s">
        <v>721</v>
      </c>
      <c r="M325" s="43"/>
      <c r="N325" s="4"/>
      <c r="O325" s="696"/>
      <c r="P325" t="b">
        <v>1</v>
      </c>
      <c r="Q325" t="b">
        <v>1</v>
      </c>
      <c r="R325" t="b">
        <v>0</v>
      </c>
      <c r="S325" t="b">
        <v>1</v>
      </c>
      <c r="T325" t="b">
        <v>0</v>
      </c>
      <c r="U325" t="str">
        <f t="shared" si="83"/>
        <v>dd606_1_g</v>
      </c>
      <c r="W325" s="9"/>
      <c r="X325" s="688"/>
      <c r="AP325" t="str">
        <f t="shared" si="84"/>
        <v>dch606_1_g</v>
      </c>
      <c r="AQ325">
        <f t="shared" si="85"/>
        <v>0</v>
      </c>
    </row>
    <row r="326" spans="2:43" x14ac:dyDescent="0.35">
      <c r="B326" s="40">
        <v>606.1</v>
      </c>
      <c r="C326" s="13"/>
      <c r="D326" s="13"/>
      <c r="E326" s="13"/>
      <c r="F326" s="13" t="s">
        <v>646</v>
      </c>
      <c r="G326" s="13"/>
      <c r="H326" s="550"/>
      <c r="I326" s="32"/>
      <c r="J326" s="4"/>
      <c r="K326" s="48" t="s">
        <v>646</v>
      </c>
      <c r="L326" s="707" t="s">
        <v>722</v>
      </c>
      <c r="M326" s="43"/>
      <c r="N326" s="4"/>
      <c r="O326" s="696"/>
      <c r="P326" t="b">
        <v>1</v>
      </c>
      <c r="Q326" t="b">
        <v>1</v>
      </c>
      <c r="R326" t="b">
        <v>0</v>
      </c>
      <c r="S326" t="b">
        <v>1</v>
      </c>
      <c r="T326" t="b">
        <v>0</v>
      </c>
      <c r="U326" t="str">
        <f t="shared" si="83"/>
        <v>dd606_1_h</v>
      </c>
      <c r="W326" s="9"/>
      <c r="X326" s="688"/>
      <c r="AC326" t="b">
        <f>OR(AD326:AE326)</f>
        <v>0</v>
      </c>
      <c r="AD326" t="b">
        <v>0</v>
      </c>
      <c r="AE326" t="b">
        <f>AND(NOT(ISBLANK(W326)),LEN(X319)=0)</f>
        <v>0</v>
      </c>
      <c r="AP326" t="str">
        <f t="shared" si="84"/>
        <v>dch606_1_h</v>
      </c>
      <c r="AQ326">
        <f t="shared" si="85"/>
        <v>0</v>
      </c>
    </row>
    <row r="327" spans="2:43" x14ac:dyDescent="0.35">
      <c r="B327" s="40">
        <v>606.1</v>
      </c>
      <c r="C327" s="13"/>
      <c r="D327" s="13"/>
      <c r="E327" s="13"/>
      <c r="F327" s="13" t="s">
        <v>646</v>
      </c>
      <c r="G327" s="13"/>
      <c r="H327" s="550"/>
      <c r="I327" s="32"/>
      <c r="J327" s="4"/>
      <c r="K327" s="48"/>
      <c r="L327" s="707"/>
      <c r="M327" s="43"/>
      <c r="N327" s="4"/>
      <c r="O327" s="696"/>
      <c r="X327" s="688"/>
    </row>
    <row r="328" spans="2:43" x14ac:dyDescent="0.35">
      <c r="B328" s="40">
        <v>606.1</v>
      </c>
      <c r="C328" s="13"/>
      <c r="D328" s="13"/>
      <c r="E328" s="13"/>
      <c r="F328" s="13"/>
      <c r="G328" s="13"/>
      <c r="H328" s="550"/>
      <c r="I328" s="32"/>
      <c r="J328" s="4"/>
      <c r="K328" s="48"/>
      <c r="L328" s="105" t="s">
        <v>1302</v>
      </c>
      <c r="M328" s="43"/>
      <c r="N328" s="4"/>
      <c r="O328" s="85"/>
      <c r="X328" s="688"/>
    </row>
    <row r="329" spans="2:43" x14ac:dyDescent="0.35">
      <c r="B329" s="40">
        <v>606.1</v>
      </c>
      <c r="C329" s="13"/>
      <c r="D329" s="13"/>
      <c r="E329" s="13" t="s">
        <v>270</v>
      </c>
      <c r="F329" s="13"/>
      <c r="G329" s="13"/>
      <c r="H329" s="550"/>
      <c r="I329" s="32"/>
      <c r="J329" s="19" t="s">
        <v>270</v>
      </c>
      <c r="K329" s="46"/>
      <c r="L329" s="707" t="s">
        <v>723</v>
      </c>
      <c r="M329" s="690">
        <v>3</v>
      </c>
      <c r="N329" s="4"/>
      <c r="O329" s="85"/>
      <c r="R329" s="1">
        <f ca="1">COUNTIF(W320:W326,INDEX(INDIRECT(U319),1))+IF(AND(S319,W319=INDEX(INDIRECT(U319),1)),1,0)</f>
        <v>0</v>
      </c>
      <c r="X329" s="688"/>
      <c r="AL329" t="str">
        <f>SUBSTITUTE(SUBSTITUTE(SUBSTITUTE("dpa"&amp;$B329&amp;$C329&amp;$D329&amp;$E329&amp;$F329,".","_"),"(","_"),")","")</f>
        <v>dpa606_1_1</v>
      </c>
      <c r="AM329">
        <f>M329</f>
        <v>3</v>
      </c>
    </row>
    <row r="330" spans="2:43" x14ac:dyDescent="0.35">
      <c r="B330" s="40">
        <v>606.1</v>
      </c>
      <c r="C330" s="13"/>
      <c r="D330" s="13"/>
      <c r="E330" s="13" t="s">
        <v>270</v>
      </c>
      <c r="F330" s="13"/>
      <c r="G330" s="13"/>
      <c r="H330" s="550"/>
      <c r="I330" s="32"/>
      <c r="J330" s="155"/>
      <c r="K330" s="116"/>
      <c r="L330" s="709"/>
      <c r="M330" s="691"/>
      <c r="N330" s="4"/>
      <c r="O330" s="85"/>
      <c r="X330" s="688"/>
    </row>
    <row r="331" spans="2:43" x14ac:dyDescent="0.35">
      <c r="B331" s="40">
        <v>606.1</v>
      </c>
      <c r="C331" s="13"/>
      <c r="D331" s="13"/>
      <c r="E331" s="13" t="s">
        <v>272</v>
      </c>
      <c r="F331" s="13"/>
      <c r="G331" s="13"/>
      <c r="H331" s="550"/>
      <c r="I331" s="32"/>
      <c r="J331" s="154" t="s">
        <v>272</v>
      </c>
      <c r="K331" s="137"/>
      <c r="L331" s="742" t="s">
        <v>724</v>
      </c>
      <c r="M331" s="712">
        <v>6</v>
      </c>
      <c r="N331" s="4"/>
      <c r="O331" s="85"/>
      <c r="R331" s="1">
        <f ca="1">COUNTIF(W320:W326,INDEX(INDIRECT(U319),2))+IF(AND(S319,W319=INDEX(INDIRECT(U319),2)),1,0)</f>
        <v>0</v>
      </c>
      <c r="X331" s="688"/>
      <c r="AL331" t="str">
        <f>SUBSTITUTE(SUBSTITUTE(SUBSTITUTE("dpa"&amp;$B331&amp;$C331&amp;$D331&amp;$E331&amp;$F331,".","_"),"(","_"),")","")</f>
        <v>dpa606_1_2</v>
      </c>
      <c r="AM331">
        <f>M331</f>
        <v>6</v>
      </c>
    </row>
    <row r="332" spans="2:43" x14ac:dyDescent="0.35">
      <c r="B332" s="40">
        <v>606.1</v>
      </c>
      <c r="C332" s="13"/>
      <c r="D332" s="13"/>
      <c r="E332" s="13" t="s">
        <v>272</v>
      </c>
      <c r="F332" s="13"/>
      <c r="G332" s="13"/>
      <c r="H332" s="550"/>
      <c r="I332" s="32"/>
      <c r="J332" s="155"/>
      <c r="K332" s="116"/>
      <c r="L332" s="709"/>
      <c r="M332" s="691"/>
      <c r="N332" s="4"/>
      <c r="O332" s="85"/>
      <c r="X332" s="688"/>
    </row>
    <row r="333" spans="2:43" x14ac:dyDescent="0.35">
      <c r="B333" s="40">
        <v>606.1</v>
      </c>
      <c r="C333" s="13"/>
      <c r="D333" s="13"/>
      <c r="E333" s="13" t="s">
        <v>274</v>
      </c>
      <c r="F333" s="13"/>
      <c r="G333" s="13"/>
      <c r="H333" s="550"/>
      <c r="I333" s="32"/>
      <c r="J333" s="19" t="s">
        <v>274</v>
      </c>
      <c r="K333" s="46"/>
      <c r="L333" s="707" t="s">
        <v>725</v>
      </c>
      <c r="M333" s="737" t="s">
        <v>3279</v>
      </c>
      <c r="N333" s="4"/>
      <c r="O333" s="85"/>
      <c r="X333" s="688"/>
      <c r="AL333" t="str">
        <f>SUBSTITUTE(SUBSTITUTE(SUBSTITUTE("dpa"&amp;$B333&amp;$C333&amp;$D333&amp;$E333&amp;$F333,".","_"),"(","_"),")","")</f>
        <v>dpa606_1_3</v>
      </c>
      <c r="AM333" t="str">
        <f>M333</f>
        <v>1
2 Max</v>
      </c>
    </row>
    <row r="334" spans="2:43" ht="15" thickBot="1" x14ac:dyDescent="0.4">
      <c r="B334" s="40">
        <v>606.1</v>
      </c>
      <c r="C334" s="13"/>
      <c r="D334" s="13"/>
      <c r="E334" s="13" t="s">
        <v>274</v>
      </c>
      <c r="F334" s="13"/>
      <c r="G334" s="13"/>
      <c r="H334" s="550"/>
      <c r="I334" s="32"/>
      <c r="J334" s="4"/>
      <c r="K334" s="46"/>
      <c r="L334" s="707"/>
      <c r="M334" s="737"/>
      <c r="N334" s="4"/>
      <c r="O334" s="85"/>
      <c r="X334" s="698"/>
    </row>
    <row r="335" spans="2:43" ht="15" thickTop="1" x14ac:dyDescent="0.35">
      <c r="B335" s="40">
        <v>606.20000000000005</v>
      </c>
      <c r="C335" s="13"/>
      <c r="D335" s="13"/>
      <c r="E335" s="13"/>
      <c r="F335" s="13"/>
      <c r="G335" s="13"/>
      <c r="H335" s="550"/>
      <c r="I335" s="123">
        <v>606.20000000000005</v>
      </c>
      <c r="J335" s="124"/>
      <c r="K335" s="125"/>
      <c r="L335" s="711" t="s">
        <v>726</v>
      </c>
      <c r="M335" s="199"/>
      <c r="N335" s="124"/>
      <c r="O335" s="341"/>
      <c r="P335" s="62"/>
      <c r="Q335" s="62"/>
      <c r="R335" s="62"/>
      <c r="S335" s="62"/>
      <c r="T335" s="62"/>
      <c r="U335" s="62"/>
      <c r="V335" s="62"/>
      <c r="W335" s="62"/>
      <c r="X335" s="62"/>
    </row>
    <row r="336" spans="2:43" x14ac:dyDescent="0.35">
      <c r="B336" s="40">
        <v>606.20000000000005</v>
      </c>
      <c r="C336" s="13"/>
      <c r="D336" s="13"/>
      <c r="E336" s="13"/>
      <c r="F336" s="13"/>
      <c r="G336" s="13"/>
      <c r="H336" s="550"/>
      <c r="I336" s="32"/>
      <c r="J336" s="4"/>
      <c r="K336" s="46"/>
      <c r="L336" s="706"/>
      <c r="M336" s="43"/>
      <c r="N336" s="4"/>
      <c r="O336" s="85"/>
    </row>
    <row r="337" spans="2:45" x14ac:dyDescent="0.35">
      <c r="B337" s="40">
        <v>606.20000000000005</v>
      </c>
      <c r="C337" s="13"/>
      <c r="D337" s="13"/>
      <c r="E337" s="13"/>
      <c r="F337" s="13" t="s">
        <v>121</v>
      </c>
      <c r="G337" s="13"/>
      <c r="H337" s="550"/>
      <c r="I337" s="32"/>
      <c r="J337" s="4"/>
      <c r="K337" s="50" t="s">
        <v>121</v>
      </c>
      <c r="L337" s="104" t="s">
        <v>727</v>
      </c>
      <c r="M337" s="43"/>
      <c r="N337" s="4"/>
      <c r="O337" s="85"/>
    </row>
    <row r="338" spans="2:45" x14ac:dyDescent="0.35">
      <c r="B338" s="40">
        <v>606.20000000000005</v>
      </c>
      <c r="C338" s="13"/>
      <c r="D338" s="13"/>
      <c r="E338" s="13"/>
      <c r="F338" s="13" t="s">
        <v>122</v>
      </c>
      <c r="G338" s="13"/>
      <c r="H338" s="550"/>
      <c r="I338" s="32"/>
      <c r="J338" s="4"/>
      <c r="K338" s="50" t="s">
        <v>122</v>
      </c>
      <c r="L338" s="707" t="s">
        <v>728</v>
      </c>
      <c r="M338" s="43"/>
      <c r="N338" s="4"/>
      <c r="O338" s="85"/>
    </row>
    <row r="339" spans="2:45" x14ac:dyDescent="0.35">
      <c r="B339" s="40">
        <v>606.20000000000005</v>
      </c>
      <c r="C339" s="13"/>
      <c r="D339" s="13"/>
      <c r="E339" s="13"/>
      <c r="F339" s="13" t="s">
        <v>122</v>
      </c>
      <c r="G339" s="13"/>
      <c r="H339" s="550"/>
      <c r="I339" s="32"/>
      <c r="J339" s="4"/>
      <c r="K339" s="50"/>
      <c r="L339" s="707"/>
      <c r="M339" s="43"/>
      <c r="N339" s="4"/>
      <c r="O339" s="85"/>
    </row>
    <row r="340" spans="2:45" x14ac:dyDescent="0.35">
      <c r="B340" s="40">
        <v>606.20000000000005</v>
      </c>
      <c r="C340" s="13"/>
      <c r="D340" s="13"/>
      <c r="E340" s="13"/>
      <c r="F340" s="13" t="s">
        <v>123</v>
      </c>
      <c r="G340" s="13"/>
      <c r="H340" s="550"/>
      <c r="I340" s="32"/>
      <c r="J340" s="4"/>
      <c r="K340" s="50" t="s">
        <v>123</v>
      </c>
      <c r="L340" s="178" t="s">
        <v>729</v>
      </c>
      <c r="M340" s="43"/>
      <c r="N340" s="4"/>
      <c r="O340" s="85"/>
    </row>
    <row r="341" spans="2:45" x14ac:dyDescent="0.35">
      <c r="B341" s="40">
        <v>606.20000000000005</v>
      </c>
      <c r="C341" s="13"/>
      <c r="D341" s="13"/>
      <c r="E341" s="13"/>
      <c r="F341" s="18" t="s">
        <v>420</v>
      </c>
      <c r="G341" s="18"/>
      <c r="H341" s="551"/>
      <c r="I341" s="32"/>
      <c r="J341" s="4"/>
      <c r="K341" s="52" t="s">
        <v>420</v>
      </c>
      <c r="L341" s="178" t="s">
        <v>730</v>
      </c>
      <c r="M341" s="43"/>
      <c r="N341" s="4"/>
      <c r="O341" s="85"/>
    </row>
    <row r="342" spans="2:45" x14ac:dyDescent="0.35">
      <c r="B342" s="40">
        <v>606.20000000000005</v>
      </c>
      <c r="C342" s="13"/>
      <c r="D342" s="13"/>
      <c r="E342" s="13"/>
      <c r="F342" s="13" t="s">
        <v>575</v>
      </c>
      <c r="G342" s="13"/>
      <c r="H342" s="550"/>
      <c r="I342" s="32"/>
      <c r="J342" s="4"/>
      <c r="K342" s="48" t="s">
        <v>575</v>
      </c>
      <c r="L342" s="178" t="s">
        <v>731</v>
      </c>
      <c r="M342" s="43"/>
      <c r="N342" s="4"/>
      <c r="O342" s="85"/>
    </row>
    <row r="343" spans="2:45" x14ac:dyDescent="0.35">
      <c r="B343" s="40">
        <v>606.20000000000005</v>
      </c>
      <c r="C343" s="13"/>
      <c r="D343" s="13"/>
      <c r="E343" s="13"/>
      <c r="F343" s="13" t="s">
        <v>642</v>
      </c>
      <c r="G343" s="13"/>
      <c r="H343" s="550"/>
      <c r="I343" s="32"/>
      <c r="J343" s="4"/>
      <c r="K343" s="50" t="s">
        <v>642</v>
      </c>
      <c r="L343" s="104" t="s">
        <v>732</v>
      </c>
      <c r="M343" s="43"/>
      <c r="N343" s="4"/>
      <c r="O343" s="85"/>
    </row>
    <row r="344" spans="2:45" x14ac:dyDescent="0.35">
      <c r="B344" s="40">
        <v>606.20000000000005</v>
      </c>
      <c r="C344" s="13"/>
      <c r="D344" s="13"/>
      <c r="E344" s="13"/>
      <c r="F344" s="13" t="s">
        <v>644</v>
      </c>
      <c r="G344" s="13"/>
      <c r="H344" s="550"/>
      <c r="I344" s="32"/>
      <c r="J344" s="4"/>
      <c r="K344" s="50" t="s">
        <v>644</v>
      </c>
      <c r="L344" s="104" t="s">
        <v>733</v>
      </c>
      <c r="M344" s="43"/>
      <c r="N344" s="4"/>
      <c r="O344" s="85"/>
    </row>
    <row r="345" spans="2:45" x14ac:dyDescent="0.35">
      <c r="B345" s="40">
        <v>606.20000000000005</v>
      </c>
      <c r="C345" s="13"/>
      <c r="D345" s="13"/>
      <c r="E345" s="13"/>
      <c r="F345" s="13" t="s">
        <v>646</v>
      </c>
      <c r="G345" s="13"/>
      <c r="H345" s="550"/>
      <c r="I345" s="32"/>
      <c r="J345" s="4"/>
      <c r="K345" s="50"/>
      <c r="L345" s="104"/>
      <c r="M345" s="43"/>
      <c r="N345" s="4"/>
      <c r="O345" s="85"/>
      <c r="W345" t="s">
        <v>3281</v>
      </c>
    </row>
    <row r="346" spans="2:45" x14ac:dyDescent="0.35">
      <c r="B346" s="40">
        <v>606.20000000000005</v>
      </c>
      <c r="C346" s="13"/>
      <c r="D346" s="13"/>
      <c r="E346" s="13" t="s">
        <v>270</v>
      </c>
      <c r="F346" s="41" t="s">
        <v>3170</v>
      </c>
      <c r="G346" s="41"/>
      <c r="H346" s="554"/>
      <c r="I346" s="32"/>
      <c r="J346" s="19" t="s">
        <v>270</v>
      </c>
      <c r="K346" s="46"/>
      <c r="L346" s="707" t="s">
        <v>734</v>
      </c>
      <c r="M346" s="690">
        <v>3</v>
      </c>
      <c r="N346" s="4"/>
      <c r="O346" s="696">
        <f>IF(AND(S346,NOT(ISBLANK(W346)),NOT(ISBLANK(W347))),M346,0)</f>
        <v>0</v>
      </c>
      <c r="P346" t="b">
        <v>1</v>
      </c>
      <c r="Q346" t="b">
        <v>1</v>
      </c>
      <c r="R346" t="b">
        <v>0</v>
      </c>
      <c r="S346" t="b">
        <v>1</v>
      </c>
      <c r="T346" t="b">
        <v>0</v>
      </c>
      <c r="U346" t="str">
        <f t="shared" ref="U346:U352" si="86">SUBSTITUTE(SUBSTITUTE(SUBSTITUTE("dd"&amp;B346&amp;C346&amp;D346&amp;E346&amp;F346,".","_"),"(","_"),")","")</f>
        <v>dd606_2_1a</v>
      </c>
      <c r="W346" s="9"/>
      <c r="X346" s="39"/>
      <c r="AC346" t="b">
        <f>OR(AD346:AE346)</f>
        <v>0</v>
      </c>
      <c r="AD346" t="b">
        <v>0</v>
      </c>
      <c r="AE346" t="b">
        <f>AND(NOT(ISBLANK(W346)),LEN(X346)=0)</f>
        <v>0</v>
      </c>
      <c r="AL346" t="str">
        <f>SUBSTITUTE(SUBSTITUTE(SUBSTITUTE("dpa"&amp;$B346&amp;$C346&amp;$D346&amp;$E346&amp;$F346,".","_"),"(","_"),")","")</f>
        <v>dpa606_2_1a</v>
      </c>
      <c r="AM346">
        <f>M346</f>
        <v>3</v>
      </c>
      <c r="AN346" t="str">
        <f>SUBSTITUTE(SUBSTITUTE(SUBSTITUTE("dpc"&amp;$B346&amp;$C346&amp;$D346&amp;$E346&amp;$F346,".","_"),"(","_"),")","")</f>
        <v>dpc606_2_1a</v>
      </c>
      <c r="AO346">
        <f>O346</f>
        <v>0</v>
      </c>
      <c r="AP346" t="str">
        <f t="shared" ref="AP346:AP347" si="87">SUBSTITUTE(SUBSTITUTE(SUBSTITUTE("dch"&amp;$B346&amp;$C346&amp;$D346&amp;$E346&amp;$F346,".","_"),"(","_"),")","")</f>
        <v>dch606_2_1a</v>
      </c>
      <c r="AQ346">
        <f>W346</f>
        <v>0</v>
      </c>
      <c r="AR346" t="str">
        <f>SUBSTITUTE(SUBSTITUTE(SUBSTITUTE("dnt"&amp;$B346&amp;$C346&amp;$D346&amp;$E346&amp;$F346,".","_"),"(","_"),")","")</f>
        <v>dnt606_2_1a</v>
      </c>
      <c r="AS346">
        <f>X346</f>
        <v>0</v>
      </c>
    </row>
    <row r="347" spans="2:45" x14ac:dyDescent="0.35">
      <c r="B347" s="40">
        <v>606.20000000000005</v>
      </c>
      <c r="C347" s="13"/>
      <c r="D347" s="13"/>
      <c r="E347" s="13" t="s">
        <v>270</v>
      </c>
      <c r="F347" s="41" t="s">
        <v>3171</v>
      </c>
      <c r="G347" s="41"/>
      <c r="H347" s="554"/>
      <c r="I347" s="32"/>
      <c r="J347" s="19"/>
      <c r="K347" s="46"/>
      <c r="L347" s="707"/>
      <c r="M347" s="690"/>
      <c r="N347" s="4"/>
      <c r="O347" s="696"/>
      <c r="P347" t="b">
        <v>1</v>
      </c>
      <c r="Q347" t="b">
        <v>1</v>
      </c>
      <c r="R347" t="b">
        <v>0</v>
      </c>
      <c r="S347" t="b">
        <v>1</v>
      </c>
      <c r="T347" t="b">
        <v>0</v>
      </c>
      <c r="U347" t="str">
        <f t="shared" si="86"/>
        <v>dd606_2_1b</v>
      </c>
      <c r="W347" s="9"/>
      <c r="X347" s="688"/>
      <c r="AC347" t="b">
        <f>OR(AD347:AE347)</f>
        <v>0</v>
      </c>
      <c r="AD347" t="b">
        <v>0</v>
      </c>
      <c r="AE347" t="b">
        <f>AND(NOT(ISBLANK(W347)),LEN(X347)=0)</f>
        <v>0</v>
      </c>
      <c r="AP347" t="str">
        <f t="shared" si="87"/>
        <v>dch606_2_1b</v>
      </c>
      <c r="AQ347">
        <f>W347</f>
        <v>0</v>
      </c>
      <c r="AR347" t="str">
        <f>SUBSTITUTE(SUBSTITUTE(SUBSTITUTE("dnt"&amp;$B347&amp;$C347&amp;$D347&amp;$E347&amp;$F347,".","_"),"(","_"),")","")</f>
        <v>dnt606_2_1b</v>
      </c>
      <c r="AS347">
        <f>X347</f>
        <v>0</v>
      </c>
    </row>
    <row r="348" spans="2:45" x14ac:dyDescent="0.35">
      <c r="B348" s="40">
        <v>606.20000000000005</v>
      </c>
      <c r="C348" s="13"/>
      <c r="D348" s="13"/>
      <c r="E348" s="13" t="s">
        <v>270</v>
      </c>
      <c r="F348" s="41"/>
      <c r="G348" s="41"/>
      <c r="H348" s="554"/>
      <c r="I348" s="32"/>
      <c r="J348" s="148"/>
      <c r="K348" s="116"/>
      <c r="L348" s="121" t="s">
        <v>3282</v>
      </c>
      <c r="M348" s="691"/>
      <c r="N348" s="155"/>
      <c r="O348" s="697"/>
      <c r="X348" s="688"/>
    </row>
    <row r="349" spans="2:45" x14ac:dyDescent="0.35">
      <c r="B349" s="40">
        <v>606.20000000000005</v>
      </c>
      <c r="C349" s="13"/>
      <c r="D349" s="13"/>
      <c r="E349" s="13" t="s">
        <v>272</v>
      </c>
      <c r="F349" s="41" t="s">
        <v>3170</v>
      </c>
      <c r="G349" s="41"/>
      <c r="H349" s="554"/>
      <c r="I349" s="32"/>
      <c r="J349" s="19" t="s">
        <v>272</v>
      </c>
      <c r="K349" s="46"/>
      <c r="L349" s="707" t="s">
        <v>735</v>
      </c>
      <c r="M349" s="690">
        <v>4</v>
      </c>
      <c r="N349" s="4"/>
      <c r="O349" s="696">
        <f>IF(AND(S349,NOT(ISBLANK(W349)),NOT(ISBLANK(W350))),M349,0)</f>
        <v>4</v>
      </c>
      <c r="P349" t="b">
        <v>1</v>
      </c>
      <c r="Q349" t="b">
        <v>1</v>
      </c>
      <c r="R349" t="b">
        <v>0</v>
      </c>
      <c r="S349" t="b">
        <v>1</v>
      </c>
      <c r="T349" t="b">
        <v>0</v>
      </c>
      <c r="U349" t="str">
        <f t="shared" si="86"/>
        <v>dd606_2_2a</v>
      </c>
      <c r="W349" s="9" t="s">
        <v>3734</v>
      </c>
      <c r="X349" s="39" t="s">
        <v>4813</v>
      </c>
      <c r="AC349" t="b">
        <f>OR(AD349:AE349)</f>
        <v>0</v>
      </c>
      <c r="AD349" t="b">
        <v>0</v>
      </c>
      <c r="AE349" t="b">
        <f>AND(NOT(ISBLANK(W349)),LEN(X349)=0)</f>
        <v>0</v>
      </c>
      <c r="AL349" t="str">
        <f>SUBSTITUTE(SUBSTITUTE(SUBSTITUTE("dpa"&amp;$B349&amp;$C349&amp;$D349&amp;$E349&amp;$F349,".","_"),"(","_"),")","")</f>
        <v>dpa606_2_2a</v>
      </c>
      <c r="AM349">
        <f>M349</f>
        <v>4</v>
      </c>
      <c r="AN349" t="str">
        <f>SUBSTITUTE(SUBSTITUTE(SUBSTITUTE("dpc"&amp;$B349&amp;$C349&amp;$D349&amp;$E349&amp;$F349,".","_"),"(","_"),")","")</f>
        <v>dpc606_2_2a</v>
      </c>
      <c r="AO349">
        <f>O349</f>
        <v>4</v>
      </c>
      <c r="AP349" t="str">
        <f t="shared" ref="AP349:AP350" si="88">SUBSTITUTE(SUBSTITUTE(SUBSTITUTE("dch"&amp;$B349&amp;$C349&amp;$D349&amp;$E349&amp;$F349,".","_"),"(","_"),")","")</f>
        <v>dch606_2_2a</v>
      </c>
      <c r="AQ349" t="str">
        <f>W349</f>
        <v>SFI</v>
      </c>
      <c r="AR349" t="str">
        <f>SUBSTITUTE(SUBSTITUTE(SUBSTITUTE("dnt"&amp;$B349&amp;$C349&amp;$D349&amp;$E349&amp;$F349,".","_"),"(","_"),")","")</f>
        <v>dnt606_2_2a</v>
      </c>
      <c r="AS349" t="str">
        <f>X349</f>
        <v>Weyerhaeuser Trus Joist</v>
      </c>
    </row>
    <row r="350" spans="2:45" x14ac:dyDescent="0.35">
      <c r="B350" s="40">
        <v>606.20000000000005</v>
      </c>
      <c r="C350" s="13"/>
      <c r="D350" s="13"/>
      <c r="E350" s="13" t="s">
        <v>272</v>
      </c>
      <c r="F350" s="41" t="s">
        <v>3171</v>
      </c>
      <c r="G350" s="41"/>
      <c r="H350" s="554"/>
      <c r="I350" s="32"/>
      <c r="J350" s="4"/>
      <c r="K350" s="46"/>
      <c r="L350" s="707"/>
      <c r="M350" s="690"/>
      <c r="N350" s="4"/>
      <c r="O350" s="696"/>
      <c r="P350" t="b">
        <v>1</v>
      </c>
      <c r="Q350" t="b">
        <v>1</v>
      </c>
      <c r="R350" t="b">
        <v>0</v>
      </c>
      <c r="S350" t="b">
        <v>1</v>
      </c>
      <c r="T350" t="b">
        <v>0</v>
      </c>
      <c r="U350" t="str">
        <f t="shared" si="86"/>
        <v>dd606_2_2b</v>
      </c>
      <c r="W350" s="9" t="s">
        <v>3734</v>
      </c>
      <c r="X350" s="688" t="s">
        <v>4814</v>
      </c>
      <c r="AC350" t="b">
        <f>OR(AD350:AE350)</f>
        <v>0</v>
      </c>
      <c r="AD350" t="b">
        <v>0</v>
      </c>
      <c r="AE350" t="b">
        <f>AND(NOT(ISBLANK(W350)),LEN(X350)=0)</f>
        <v>0</v>
      </c>
      <c r="AP350" t="str">
        <f t="shared" si="88"/>
        <v>dch606_2_2b</v>
      </c>
      <c r="AQ350" t="str">
        <f>W350</f>
        <v>SFI</v>
      </c>
      <c r="AR350" t="str">
        <f>SUBSTITUTE(SUBSTITUTE(SUBSTITUTE("dnt"&amp;$B350&amp;$C350&amp;$D350&amp;$E350&amp;$F350,".","_"),"(","_"),")","")</f>
        <v>dnt606_2_2b</v>
      </c>
      <c r="AS350" t="str">
        <f>X350</f>
        <v>Nordic Lam Products</v>
      </c>
    </row>
    <row r="351" spans="2:45" ht="15" thickBot="1" x14ac:dyDescent="0.4">
      <c r="B351" s="40">
        <v>606.20000000000005</v>
      </c>
      <c r="C351" s="13"/>
      <c r="D351" s="13"/>
      <c r="E351" s="13" t="s">
        <v>272</v>
      </c>
      <c r="F351" s="41"/>
      <c r="G351" s="41"/>
      <c r="H351" s="554"/>
      <c r="I351" s="32"/>
      <c r="J351" s="4"/>
      <c r="K351" s="46"/>
      <c r="L351" s="197" t="s">
        <v>3282</v>
      </c>
      <c r="M351" s="690"/>
      <c r="N351" s="4"/>
      <c r="O351" s="696"/>
      <c r="X351" s="698"/>
    </row>
    <row r="352" spans="2:45" ht="15" thickTop="1" x14ac:dyDescent="0.35">
      <c r="B352" s="40">
        <v>606.29999999999995</v>
      </c>
      <c r="C352" s="13"/>
      <c r="D352" s="13"/>
      <c r="E352" s="13"/>
      <c r="F352" s="13"/>
      <c r="G352" s="13"/>
      <c r="H352" s="550"/>
      <c r="I352" s="123">
        <v>606.29999999999995</v>
      </c>
      <c r="J352" s="124"/>
      <c r="K352" s="125"/>
      <c r="L352" s="711" t="s">
        <v>736</v>
      </c>
      <c r="M352" s="692" t="s">
        <v>709</v>
      </c>
      <c r="N352" s="124"/>
      <c r="O352" s="694">
        <f ca="1">IFERROR(MATCH(W352,INDIRECT(U352),0),0)*2</f>
        <v>2</v>
      </c>
      <c r="P352" s="62" t="b">
        <v>1</v>
      </c>
      <c r="Q352" s="62" t="b">
        <v>1</v>
      </c>
      <c r="R352" s="62" t="b">
        <v>0</v>
      </c>
      <c r="S352" s="62" t="b">
        <v>1</v>
      </c>
      <c r="T352" s="62" t="b">
        <v>0</v>
      </c>
      <c r="U352" s="62" t="str">
        <f t="shared" si="86"/>
        <v>dd606_3</v>
      </c>
      <c r="V352" s="62"/>
      <c r="W352" s="131" t="s">
        <v>3283</v>
      </c>
      <c r="X352" s="721" t="s">
        <v>4815</v>
      </c>
      <c r="AC352" t="b">
        <f>OR(AD352:AE352)</f>
        <v>0</v>
      </c>
      <c r="AD352" t="b">
        <v>0</v>
      </c>
      <c r="AE352" t="b">
        <f>AND(NOT(ISBLANK(W352)),LEN(X352)=0)</f>
        <v>0</v>
      </c>
      <c r="AL352" t="str">
        <f>SUBSTITUTE(SUBSTITUTE(SUBSTITUTE("dpa"&amp;$B352&amp;$C352&amp;$D352&amp;$E352&amp;$F352,".","_"),"(","_"),")","")</f>
        <v>dpa606_3</v>
      </c>
      <c r="AM352" t="str">
        <f>M352</f>
        <v>6 Max</v>
      </c>
      <c r="AN352" t="str">
        <f>SUBSTITUTE(SUBSTITUTE(SUBSTITUTE("dpc"&amp;$B352&amp;$C352&amp;$D352&amp;$E352&amp;$F352,".","_"),"(","_"),")","")</f>
        <v>dpc606_3</v>
      </c>
      <c r="AO352">
        <f ca="1">O352</f>
        <v>2</v>
      </c>
      <c r="AP352" t="str">
        <f t="shared" ref="AP352" si="89">SUBSTITUTE(SUBSTITUTE(SUBSTITUTE("dch"&amp;$B352&amp;$C352&amp;$D352&amp;$E352&amp;$F352,".","_"),"(","_"),")","")</f>
        <v>dch606_3</v>
      </c>
      <c r="AQ352" t="str">
        <f>W352</f>
        <v>1 material</v>
      </c>
      <c r="AR352" t="str">
        <f>SUBSTITUTE(SUBSTITUTE(SUBSTITUTE("dnt"&amp;$B352&amp;$C352&amp;$D352&amp;$E352&amp;$F352,".","_"),"(","_"),")","")</f>
        <v>dnt606_3</v>
      </c>
      <c r="AS352" t="str">
        <f>X352</f>
        <v>Weyerhaeuser Lumber-Framer Series</v>
      </c>
    </row>
    <row r="353" spans="2:45" x14ac:dyDescent="0.35">
      <c r="B353" s="40">
        <v>606.29999999999995</v>
      </c>
      <c r="C353" s="13"/>
      <c r="D353" s="13"/>
      <c r="E353" s="13"/>
      <c r="F353" s="13"/>
      <c r="G353" s="13"/>
      <c r="H353" s="550"/>
      <c r="I353" s="32"/>
      <c r="J353" s="4"/>
      <c r="K353" s="46"/>
      <c r="L353" s="706"/>
      <c r="M353" s="690"/>
      <c r="N353" s="4"/>
      <c r="O353" s="696"/>
      <c r="X353" s="699"/>
    </row>
    <row r="354" spans="2:45" x14ac:dyDescent="0.35">
      <c r="B354" s="40">
        <v>606.29999999999995</v>
      </c>
      <c r="C354" s="13"/>
      <c r="D354" s="13"/>
      <c r="E354" s="13"/>
      <c r="F354" s="13"/>
      <c r="G354" s="13"/>
      <c r="H354" s="550"/>
      <c r="I354" s="32"/>
      <c r="J354" s="4"/>
      <c r="K354" s="46"/>
      <c r="L354" s="706"/>
      <c r="M354" s="690"/>
      <c r="N354" s="4"/>
      <c r="O354" s="696"/>
      <c r="X354" s="699"/>
    </row>
    <row r="355" spans="2:45" x14ac:dyDescent="0.35">
      <c r="B355" s="40">
        <v>606.29999999999995</v>
      </c>
      <c r="C355" s="13"/>
      <c r="D355" s="13"/>
      <c r="E355" s="13"/>
      <c r="F355" s="13"/>
      <c r="G355" s="13"/>
      <c r="H355" s="550"/>
      <c r="I355" s="32"/>
      <c r="J355" s="4"/>
      <c r="K355" s="46"/>
      <c r="L355" s="706"/>
      <c r="M355" s="690"/>
      <c r="N355" s="4"/>
      <c r="O355" s="696"/>
      <c r="X355" s="699"/>
    </row>
    <row r="356" spans="2:45" x14ac:dyDescent="0.35">
      <c r="B356" s="40">
        <v>606.29999999999995</v>
      </c>
      <c r="C356" s="13"/>
      <c r="D356" s="13"/>
      <c r="E356" s="13"/>
      <c r="F356" s="13"/>
      <c r="G356" s="13"/>
      <c r="H356" s="550"/>
      <c r="I356" s="32"/>
      <c r="J356" s="4"/>
      <c r="K356" s="46"/>
      <c r="L356" s="107" t="s">
        <v>737</v>
      </c>
      <c r="M356" s="690"/>
      <c r="N356" s="4"/>
      <c r="O356" s="696"/>
      <c r="X356" s="699"/>
    </row>
    <row r="357" spans="2:45" x14ac:dyDescent="0.35">
      <c r="B357" s="40">
        <v>606.29999999999995</v>
      </c>
      <c r="C357" s="13"/>
      <c r="D357" s="13"/>
      <c r="E357" s="13"/>
      <c r="F357" s="13"/>
      <c r="G357" s="13"/>
      <c r="H357" s="550"/>
      <c r="I357" s="32"/>
      <c r="J357" s="4"/>
      <c r="K357" s="46"/>
      <c r="L357" s="105" t="s">
        <v>3286</v>
      </c>
      <c r="M357" s="690"/>
      <c r="N357" s="4"/>
      <c r="O357" s="696"/>
      <c r="X357" s="700"/>
    </row>
    <row r="358" spans="2:45" ht="18.5" x14ac:dyDescent="0.45">
      <c r="B358" s="40">
        <v>607</v>
      </c>
      <c r="C358" s="13"/>
      <c r="D358" s="13"/>
      <c r="E358" s="13"/>
      <c r="F358" s="13"/>
      <c r="G358" s="13"/>
      <c r="H358" s="550"/>
      <c r="I358" s="10" t="s">
        <v>738</v>
      </c>
      <c r="J358" s="15"/>
      <c r="K358" s="45"/>
      <c r="L358" s="174"/>
      <c r="M358" s="286"/>
      <c r="N358" s="344"/>
      <c r="O358" s="340"/>
      <c r="P358" s="15"/>
      <c r="Q358" s="15"/>
      <c r="R358" s="15"/>
      <c r="S358" s="15"/>
      <c r="T358" s="15"/>
      <c r="U358" s="15"/>
      <c r="V358" s="15"/>
      <c r="W358" s="15"/>
      <c r="X358" s="15"/>
    </row>
    <row r="359" spans="2:45" x14ac:dyDescent="0.35">
      <c r="B359" s="40">
        <v>607.1</v>
      </c>
      <c r="C359" s="13"/>
      <c r="D359" s="13"/>
      <c r="E359" s="13"/>
      <c r="F359" s="13"/>
      <c r="G359" s="13"/>
      <c r="H359" s="550"/>
      <c r="I359" s="32">
        <v>607.1</v>
      </c>
      <c r="J359" s="4"/>
      <c r="K359" s="46"/>
      <c r="L359" s="706" t="s">
        <v>739</v>
      </c>
      <c r="M359" s="43"/>
      <c r="N359" s="4"/>
      <c r="O359" s="85"/>
    </row>
    <row r="360" spans="2:45" x14ac:dyDescent="0.35">
      <c r="B360" s="40">
        <v>607.1</v>
      </c>
      <c r="C360" s="13"/>
      <c r="D360" s="13"/>
      <c r="E360" s="13"/>
      <c r="F360" s="13"/>
      <c r="G360" s="13"/>
      <c r="H360" s="550"/>
      <c r="I360" s="32"/>
      <c r="J360" s="4"/>
      <c r="K360" s="46"/>
      <c r="L360" s="706"/>
      <c r="M360" s="43"/>
      <c r="N360" s="4"/>
      <c r="O360" s="85"/>
    </row>
    <row r="361" spans="2:45" x14ac:dyDescent="0.35">
      <c r="B361" s="40">
        <v>607.1</v>
      </c>
      <c r="C361" s="13"/>
      <c r="D361" s="13"/>
      <c r="E361" s="13" t="s">
        <v>270</v>
      </c>
      <c r="F361" s="13"/>
      <c r="G361" s="13"/>
      <c r="H361" s="550"/>
      <c r="I361" s="32"/>
      <c r="J361" s="19" t="s">
        <v>270</v>
      </c>
      <c r="K361" s="46"/>
      <c r="L361" s="707" t="s">
        <v>740</v>
      </c>
      <c r="M361" s="690">
        <v>3</v>
      </c>
      <c r="N361" s="4"/>
      <c r="O361" s="696">
        <f>M361*S361*W361</f>
        <v>3</v>
      </c>
      <c r="P361" t="b">
        <v>0</v>
      </c>
      <c r="Q361" t="b">
        <v>1</v>
      </c>
      <c r="R361" t="b">
        <v>0</v>
      </c>
      <c r="S361" t="b">
        <v>1</v>
      </c>
      <c r="T361" t="b">
        <v>0</v>
      </c>
      <c r="W361" s="17" t="b">
        <v>1</v>
      </c>
      <c r="X361" s="688"/>
      <c r="AL361" t="str">
        <f>SUBSTITUTE(SUBSTITUTE(SUBSTITUTE("dpa"&amp;$B361&amp;$C361&amp;$D361&amp;$E361&amp;$F361,".","_"),"(","_"),")","")</f>
        <v>dpa607_1_1</v>
      </c>
      <c r="AM361">
        <f>M361</f>
        <v>3</v>
      </c>
      <c r="AN361" t="str">
        <f>SUBSTITUTE(SUBSTITUTE(SUBSTITUTE("dpc"&amp;$B361&amp;$C361&amp;$D361&amp;$E361&amp;$F361,".","_"),"(","_"),")","")</f>
        <v>dpc607_1_1</v>
      </c>
      <c r="AO361">
        <f>O361</f>
        <v>3</v>
      </c>
      <c r="AP361" t="str">
        <f t="shared" ref="AP361" si="90">SUBSTITUTE(SUBSTITUTE(SUBSTITUTE("dch"&amp;$B361&amp;$C361&amp;$D361&amp;$E361&amp;$F361,".","_"),"(","_"),")","")</f>
        <v>dch607_1_1</v>
      </c>
      <c r="AQ361" t="b">
        <f>W361</f>
        <v>1</v>
      </c>
      <c r="AR361" t="str">
        <f>SUBSTITUTE(SUBSTITUTE(SUBSTITUTE("dnt"&amp;$B361&amp;$C361&amp;$D361&amp;$E361&amp;$F361,".","_"),"(","_"),")","")</f>
        <v>dnt607_1_1</v>
      </c>
      <c r="AS361">
        <f>X361</f>
        <v>0</v>
      </c>
    </row>
    <row r="362" spans="2:45" x14ac:dyDescent="0.35">
      <c r="B362" s="40">
        <v>607.1</v>
      </c>
      <c r="C362" s="13"/>
      <c r="D362" s="13"/>
      <c r="E362" s="13" t="s">
        <v>270</v>
      </c>
      <c r="F362" s="13"/>
      <c r="G362" s="13"/>
      <c r="H362" s="550"/>
      <c r="I362" s="32"/>
      <c r="J362" s="148"/>
      <c r="K362" s="116"/>
      <c r="L362" s="709"/>
      <c r="M362" s="691"/>
      <c r="N362" s="155"/>
      <c r="O362" s="697"/>
      <c r="X362" s="688"/>
    </row>
    <row r="363" spans="2:45" ht="15" thickBot="1" x14ac:dyDescent="0.4">
      <c r="B363" s="40">
        <v>607.1</v>
      </c>
      <c r="C363" s="13"/>
      <c r="D363" s="13"/>
      <c r="E363" s="13" t="s">
        <v>272</v>
      </c>
      <c r="F363" s="13"/>
      <c r="G363" s="13"/>
      <c r="H363" s="550"/>
      <c r="I363" s="32"/>
      <c r="J363" s="19" t="s">
        <v>272</v>
      </c>
      <c r="K363" s="46"/>
      <c r="L363" s="104" t="s">
        <v>741</v>
      </c>
      <c r="M363" s="43">
        <v>3</v>
      </c>
      <c r="N363" s="4"/>
      <c r="O363" s="85">
        <f>M363*S363*W363</f>
        <v>0</v>
      </c>
      <c r="P363" t="b">
        <v>0</v>
      </c>
      <c r="Q363" t="b">
        <v>1</v>
      </c>
      <c r="R363" t="b">
        <v>0</v>
      </c>
      <c r="S363" t="b">
        <v>1</v>
      </c>
      <c r="T363" t="b">
        <v>0</v>
      </c>
      <c r="W363" s="59"/>
      <c r="X363" s="111"/>
      <c r="AL363" t="str">
        <f t="shared" ref="AL363:AL364" si="91">SUBSTITUTE(SUBSTITUTE(SUBSTITUTE("dpa"&amp;$B363&amp;$C363&amp;$D363&amp;$E363&amp;$F363,".","_"),"(","_"),")","")</f>
        <v>dpa607_1_2</v>
      </c>
      <c r="AM363">
        <f>M363</f>
        <v>3</v>
      </c>
      <c r="AN363" t="str">
        <f t="shared" ref="AN363:AN364" si="92">SUBSTITUTE(SUBSTITUTE(SUBSTITUTE("dpc"&amp;$B363&amp;$C363&amp;$D363&amp;$E363&amp;$F363,".","_"),"(","_"),")","")</f>
        <v>dpc607_1_2</v>
      </c>
      <c r="AO363">
        <f>O363</f>
        <v>0</v>
      </c>
      <c r="AP363" t="str">
        <f t="shared" ref="AP363:AP364" si="93">SUBSTITUTE(SUBSTITUTE(SUBSTITUTE("dch"&amp;$B363&amp;$C363&amp;$D363&amp;$E363&amp;$F363,".","_"),"(","_"),")","")</f>
        <v>dch607_1_2</v>
      </c>
      <c r="AQ363">
        <f>W363</f>
        <v>0</v>
      </c>
      <c r="AR363" t="str">
        <f>SUBSTITUTE(SUBSTITUTE(SUBSTITUTE("dnt"&amp;$B363&amp;$C363&amp;$D363&amp;$E363&amp;$F363,".","_"),"(","_"),")","")</f>
        <v>dnt607_1_2</v>
      </c>
      <c r="AS363">
        <f>X363</f>
        <v>0</v>
      </c>
    </row>
    <row r="364" spans="2:45" ht="15" thickTop="1" x14ac:dyDescent="0.35">
      <c r="B364" s="40">
        <v>607.20000000000005</v>
      </c>
      <c r="C364" s="13"/>
      <c r="D364" s="13"/>
      <c r="E364" s="13"/>
      <c r="F364" s="13"/>
      <c r="G364" s="13"/>
      <c r="H364" s="550"/>
      <c r="I364" s="123">
        <v>607.20000000000005</v>
      </c>
      <c r="J364" s="124"/>
      <c r="K364" s="125"/>
      <c r="L364" s="711" t="s">
        <v>742</v>
      </c>
      <c r="M364" s="692">
        <v>1</v>
      </c>
      <c r="N364" s="124"/>
      <c r="O364" s="694">
        <f>M364*S364*W364</f>
        <v>0</v>
      </c>
      <c r="P364" t="b">
        <v>0</v>
      </c>
      <c r="Q364" t="b">
        <v>1</v>
      </c>
      <c r="R364" s="62" t="b">
        <v>0</v>
      </c>
      <c r="S364" s="62" t="b">
        <v>1</v>
      </c>
      <c r="T364" s="62" t="b">
        <v>0</v>
      </c>
      <c r="U364" s="62"/>
      <c r="V364" s="62"/>
      <c r="W364" s="77"/>
      <c r="X364" s="687"/>
      <c r="AL364" t="str">
        <f t="shared" si="91"/>
        <v>dpa607_2</v>
      </c>
      <c r="AM364">
        <f>M364</f>
        <v>1</v>
      </c>
      <c r="AN364" t="str">
        <f t="shared" si="92"/>
        <v>dpc607_2</v>
      </c>
      <c r="AO364">
        <f>O364</f>
        <v>0</v>
      </c>
      <c r="AP364" t="str">
        <f t="shared" si="93"/>
        <v>dch607_2</v>
      </c>
      <c r="AQ364">
        <f>W364</f>
        <v>0</v>
      </c>
      <c r="AR364" t="str">
        <f>SUBSTITUTE(SUBSTITUTE(SUBSTITUTE("dnt"&amp;$B364&amp;$C364&amp;$D364&amp;$E364&amp;$F364,".","_"),"(","_"),")","")</f>
        <v>dnt607_2</v>
      </c>
      <c r="AS364">
        <f>X364</f>
        <v>0</v>
      </c>
    </row>
    <row r="365" spans="2:45" x14ac:dyDescent="0.35">
      <c r="B365" s="40">
        <v>607.20000000000005</v>
      </c>
      <c r="C365" s="13"/>
      <c r="D365" s="13"/>
      <c r="E365" s="13"/>
      <c r="F365" s="13"/>
      <c r="G365" s="13"/>
      <c r="H365" s="550"/>
      <c r="I365" s="32"/>
      <c r="J365" s="4"/>
      <c r="K365" s="46"/>
      <c r="L365" s="706"/>
      <c r="M365" s="690"/>
      <c r="N365" s="4"/>
      <c r="O365" s="696"/>
      <c r="X365" s="688"/>
    </row>
    <row r="366" spans="2:45" ht="18.5" x14ac:dyDescent="0.45">
      <c r="B366" s="40">
        <v>608</v>
      </c>
      <c r="C366" s="13"/>
      <c r="D366" s="13"/>
      <c r="E366" s="13"/>
      <c r="F366" s="13"/>
      <c r="G366" s="13"/>
      <c r="H366" s="550"/>
      <c r="I366" s="10" t="s">
        <v>743</v>
      </c>
      <c r="J366" s="15"/>
      <c r="K366" s="45"/>
      <c r="L366" s="174"/>
      <c r="M366" s="286"/>
      <c r="N366" s="344"/>
      <c r="O366" s="340"/>
      <c r="P366" s="15"/>
      <c r="Q366" s="15"/>
      <c r="R366" s="15"/>
      <c r="S366" s="15"/>
      <c r="T366" s="15"/>
      <c r="U366" s="15"/>
      <c r="V366" s="15"/>
      <c r="W366" s="15"/>
      <c r="X366" s="15"/>
    </row>
    <row r="367" spans="2:45" x14ac:dyDescent="0.35">
      <c r="B367" s="40">
        <v>608.1</v>
      </c>
      <c r="C367" s="13"/>
      <c r="D367" s="13"/>
      <c r="E367" s="13"/>
      <c r="F367" s="13"/>
      <c r="G367" s="13"/>
      <c r="H367" s="550"/>
      <c r="I367" s="32">
        <v>608.1</v>
      </c>
      <c r="J367" s="4"/>
      <c r="K367" s="46"/>
      <c r="L367" s="706" t="s">
        <v>744</v>
      </c>
      <c r="M367" s="736" t="s">
        <v>3287</v>
      </c>
      <c r="N367" s="4"/>
      <c r="O367" s="696">
        <f ca="1">IFERROR(MATCH(W367,INDIRECT(U367),0),0)*3</f>
        <v>6</v>
      </c>
      <c r="P367" t="b">
        <v>1</v>
      </c>
      <c r="Q367" t="b">
        <v>1</v>
      </c>
      <c r="R367" t="b">
        <v>0</v>
      </c>
      <c r="S367" t="b">
        <v>1</v>
      </c>
      <c r="T367" t="b">
        <v>0</v>
      </c>
      <c r="U367" t="str">
        <f>SUBSTITUTE(SUBSTITUTE(SUBSTITUTE("dd"&amp;B367&amp;C367&amp;D367&amp;E367&amp;F367,".","_"),"(","_"),")","")</f>
        <v>dd608_1</v>
      </c>
      <c r="W367" s="9" t="s">
        <v>3289</v>
      </c>
      <c r="X367" s="698" t="s">
        <v>4816</v>
      </c>
      <c r="AC367" t="b">
        <f>OR(AD367:AE367)</f>
        <v>0</v>
      </c>
      <c r="AD367" t="b">
        <v>0</v>
      </c>
      <c r="AE367" t="b">
        <f>AND(NOT(ISBLANK(W367)),LEN(X367)=0)</f>
        <v>0</v>
      </c>
      <c r="AL367" t="str">
        <f>SUBSTITUTE(SUBSTITUTE(SUBSTITUTE("dpa"&amp;$B367&amp;$C367&amp;$D367&amp;$E367&amp;$F367,".","_"),"(","_"),")","")</f>
        <v>dpa608_1</v>
      </c>
      <c r="AM367" t="str">
        <f>M367</f>
        <v>9 Max
3 per material</v>
      </c>
      <c r="AN367" t="str">
        <f>SUBSTITUTE(SUBSTITUTE(SUBSTITUTE("dpc"&amp;$B367&amp;$C367&amp;$D367&amp;$E367&amp;$F367,".","_"),"(","_"),")","")</f>
        <v>dpc608_1</v>
      </c>
      <c r="AO367">
        <f ca="1">O367</f>
        <v>6</v>
      </c>
      <c r="AP367" t="str">
        <f t="shared" ref="AP367" si="94">SUBSTITUTE(SUBSTITUTE(SUBSTITUTE("dch"&amp;$B367&amp;$C367&amp;$D367&amp;$E367&amp;$F367,".","_"),"(","_"),")","")</f>
        <v>dch608_1</v>
      </c>
      <c r="AQ367" t="str">
        <f>W367</f>
        <v>2 products</v>
      </c>
      <c r="AR367" t="str">
        <f>SUBSTITUTE(SUBSTITUTE(SUBSTITUTE("dnt"&amp;$B367&amp;$C367&amp;$D367&amp;$E367&amp;$F367,".","_"),"(","_"),")","")</f>
        <v>dnt608_1</v>
      </c>
      <c r="AS367" t="str">
        <f>X367</f>
        <v>Weyerhaeuser Flooring and Sheating; Boise Cascade Versa-Lam</v>
      </c>
    </row>
    <row r="368" spans="2:45" x14ac:dyDescent="0.35">
      <c r="B368" s="40">
        <v>608.1</v>
      </c>
      <c r="C368" s="13"/>
      <c r="D368" s="13"/>
      <c r="E368" s="13"/>
      <c r="F368" s="13"/>
      <c r="G368" s="13"/>
      <c r="H368" s="550"/>
      <c r="I368" s="32"/>
      <c r="J368" s="4"/>
      <c r="K368" s="46"/>
      <c r="L368" s="706"/>
      <c r="M368" s="736"/>
      <c r="N368" s="4"/>
      <c r="O368" s="696"/>
      <c r="X368" s="699"/>
    </row>
    <row r="369" spans="2:45" x14ac:dyDescent="0.35">
      <c r="B369" s="40">
        <v>608.1</v>
      </c>
      <c r="C369" s="13"/>
      <c r="D369" s="13"/>
      <c r="E369" s="13"/>
      <c r="F369" s="13"/>
      <c r="G369" s="13"/>
      <c r="H369" s="550"/>
      <c r="I369" s="32"/>
      <c r="J369" s="4"/>
      <c r="K369" s="46"/>
      <c r="L369" s="706"/>
      <c r="M369" s="736"/>
      <c r="N369" s="4"/>
      <c r="O369" s="696"/>
      <c r="X369" s="699"/>
    </row>
    <row r="370" spans="2:45" x14ac:dyDescent="0.35">
      <c r="B370" s="40">
        <v>608.1</v>
      </c>
      <c r="C370" s="13"/>
      <c r="D370" s="13"/>
      <c r="E370" s="13" t="s">
        <v>270</v>
      </c>
      <c r="F370" s="13"/>
      <c r="G370" s="13"/>
      <c r="H370" s="550"/>
      <c r="I370" s="32"/>
      <c r="J370" s="19" t="s">
        <v>270</v>
      </c>
      <c r="K370" s="46"/>
      <c r="L370" s="707" t="s">
        <v>745</v>
      </c>
      <c r="M370" s="736"/>
      <c r="N370" s="4"/>
      <c r="O370" s="696"/>
      <c r="X370" s="699"/>
    </row>
    <row r="371" spans="2:45" x14ac:dyDescent="0.35">
      <c r="B371" s="40">
        <v>608.1</v>
      </c>
      <c r="C371" s="13"/>
      <c r="D371" s="13"/>
      <c r="E371" s="13" t="s">
        <v>270</v>
      </c>
      <c r="F371" s="13"/>
      <c r="G371" s="13"/>
      <c r="H371" s="550"/>
      <c r="I371" s="32"/>
      <c r="J371" s="19"/>
      <c r="K371" s="46"/>
      <c r="L371" s="707"/>
      <c r="M371" s="736"/>
      <c r="N371" s="4"/>
      <c r="O371" s="696"/>
      <c r="X371" s="699"/>
    </row>
    <row r="372" spans="2:45" x14ac:dyDescent="0.35">
      <c r="B372" s="40">
        <v>608.1</v>
      </c>
      <c r="C372" s="13"/>
      <c r="D372" s="13"/>
      <c r="E372" s="13" t="s">
        <v>272</v>
      </c>
      <c r="F372" s="13"/>
      <c r="G372" s="13"/>
      <c r="H372" s="550"/>
      <c r="I372" s="32"/>
      <c r="J372" s="19" t="s">
        <v>272</v>
      </c>
      <c r="K372" s="46"/>
      <c r="L372" s="104" t="s">
        <v>746</v>
      </c>
      <c r="M372" s="736"/>
      <c r="N372" s="4"/>
      <c r="O372" s="696"/>
      <c r="X372" s="699"/>
    </row>
    <row r="373" spans="2:45" x14ac:dyDescent="0.35">
      <c r="B373" s="40">
        <v>608.1</v>
      </c>
      <c r="C373" s="13"/>
      <c r="D373" s="13"/>
      <c r="E373" s="13" t="s">
        <v>274</v>
      </c>
      <c r="F373" s="13"/>
      <c r="G373" s="13"/>
      <c r="H373" s="550"/>
      <c r="I373" s="32"/>
      <c r="J373" s="19" t="s">
        <v>274</v>
      </c>
      <c r="K373" s="46"/>
      <c r="L373" s="104" t="s">
        <v>747</v>
      </c>
      <c r="M373" s="736"/>
      <c r="N373" s="4"/>
      <c r="O373" s="696"/>
      <c r="X373" s="699"/>
    </row>
    <row r="374" spans="2:45" ht="15" customHeight="1" x14ac:dyDescent="0.35">
      <c r="B374" s="40">
        <v>608.1</v>
      </c>
      <c r="C374" s="13"/>
      <c r="D374" s="13"/>
      <c r="E374" s="13"/>
      <c r="F374" s="13"/>
      <c r="G374" s="13"/>
      <c r="H374" s="550"/>
      <c r="I374" s="32"/>
      <c r="J374" s="19"/>
      <c r="K374" s="46"/>
      <c r="L374" s="105" t="s">
        <v>3291</v>
      </c>
      <c r="M374" s="736"/>
      <c r="N374" s="4"/>
      <c r="O374" s="696"/>
      <c r="X374" s="700"/>
    </row>
    <row r="375" spans="2:45" ht="18.5" x14ac:dyDescent="0.45">
      <c r="B375" s="40">
        <v>609</v>
      </c>
      <c r="C375" s="13"/>
      <c r="D375" s="13"/>
      <c r="E375" s="13"/>
      <c r="F375" s="13"/>
      <c r="G375" s="13"/>
      <c r="H375" s="550"/>
      <c r="I375" s="10" t="s">
        <v>748</v>
      </c>
      <c r="J375" s="15"/>
      <c r="K375" s="45"/>
      <c r="L375" s="174"/>
      <c r="M375" s="286"/>
      <c r="N375" s="344"/>
      <c r="O375" s="340"/>
      <c r="P375" s="15"/>
      <c r="Q375" s="15"/>
      <c r="R375" s="15"/>
      <c r="S375" s="15"/>
      <c r="T375" s="15"/>
      <c r="U375" s="15"/>
      <c r="V375" s="15"/>
      <c r="W375" s="15"/>
      <c r="X375" s="15"/>
    </row>
    <row r="376" spans="2:45" x14ac:dyDescent="0.35">
      <c r="B376" s="40">
        <v>609.1</v>
      </c>
      <c r="C376" s="13" t="s">
        <v>3170</v>
      </c>
      <c r="D376" s="13"/>
      <c r="E376" s="13"/>
      <c r="F376" s="13"/>
      <c r="G376" s="13"/>
      <c r="H376" s="550"/>
      <c r="I376" s="32">
        <v>609.1</v>
      </c>
      <c r="J376" s="4"/>
      <c r="K376" s="46"/>
      <c r="L376" s="706" t="s">
        <v>749</v>
      </c>
      <c r="M376" s="736" t="s">
        <v>3292</v>
      </c>
      <c r="N376" s="4"/>
      <c r="O376" s="696">
        <f ca="1">MIN(10,IFERROR(MATCH(W377,INDIRECT(U377),0),0)*2+IFERROR(MATCH(W380,INDIRECT(U380),0),0))</f>
        <v>0</v>
      </c>
      <c r="W376" t="s">
        <v>3293</v>
      </c>
      <c r="X376" s="688"/>
      <c r="AL376" t="str">
        <f>SUBSTITUTE(SUBSTITUTE(SUBSTITUTE("dpa"&amp;$B376&amp;$C376&amp;$D376&amp;$E376&amp;$F376,".","_"),"(","_"),")","")</f>
        <v>dpa609_1a</v>
      </c>
      <c r="AM376" t="str">
        <f>M376</f>
        <v>10 Max
2 per each major comp. 
and 
1 per each minor comp.</v>
      </c>
      <c r="AN376" t="str">
        <f>SUBSTITUTE(SUBSTITUTE(SUBSTITUTE("dpc"&amp;$B376&amp;$C376&amp;$D376&amp;$E376&amp;$F376,".","_"),"(","_"),")","")</f>
        <v>dpc609_1a</v>
      </c>
      <c r="AO376">
        <f ca="1">O376</f>
        <v>0</v>
      </c>
      <c r="AR376" t="str">
        <f>SUBSTITUTE(SUBSTITUTE(SUBSTITUTE("dnt"&amp;$B376&amp;$C376&amp;$D376&amp;$E376&amp;$F376,".","_"),"(","_"),")","")</f>
        <v>dnt609_1a</v>
      </c>
      <c r="AS376">
        <f>X376</f>
        <v>0</v>
      </c>
    </row>
    <row r="377" spans="2:45" x14ac:dyDescent="0.35">
      <c r="B377" s="40">
        <v>609.1</v>
      </c>
      <c r="C377" s="13" t="s">
        <v>3170</v>
      </c>
      <c r="D377" s="13"/>
      <c r="E377" s="13"/>
      <c r="F377" s="13"/>
      <c r="G377" s="13"/>
      <c r="H377" s="550"/>
      <c r="I377" s="32"/>
      <c r="J377" s="4"/>
      <c r="K377" s="46"/>
      <c r="L377" s="706"/>
      <c r="M377" s="736"/>
      <c r="N377" s="4"/>
      <c r="O377" s="696"/>
      <c r="P377" t="b">
        <v>1</v>
      </c>
      <c r="Q377" t="b">
        <v>1</v>
      </c>
      <c r="R377" t="b">
        <v>0</v>
      </c>
      <c r="S377" t="b">
        <v>1</v>
      </c>
      <c r="T377" t="b">
        <v>0</v>
      </c>
      <c r="U377" t="str">
        <f>SUBSTITUTE(SUBSTITUTE(SUBSTITUTE("dd"&amp;B377&amp;C377&amp;D377&amp;E377&amp;F377,".","_"),"(","_"),")","")</f>
        <v>dd609_1a</v>
      </c>
      <c r="W377" s="9"/>
      <c r="X377" s="688"/>
      <c r="AC377" t="b">
        <f>OR(AD377:AE377)</f>
        <v>0</v>
      </c>
      <c r="AD377" t="b">
        <v>0</v>
      </c>
      <c r="AE377" t="b">
        <f>AND(NOT(ISBLANK(W377)),LEN(X376)=0)</f>
        <v>0</v>
      </c>
      <c r="AP377" t="str">
        <f t="shared" ref="AP377" si="95">SUBSTITUTE(SUBSTITUTE(SUBSTITUTE("dch"&amp;$B377&amp;$C377&amp;$D377&amp;$E377&amp;$F377,".","_"),"(","_"),")","")</f>
        <v>dch609_1a</v>
      </c>
      <c r="AQ377">
        <f>W377</f>
        <v>0</v>
      </c>
    </row>
    <row r="378" spans="2:45" ht="15" customHeight="1" x14ac:dyDescent="0.35">
      <c r="B378" s="40">
        <v>609.1</v>
      </c>
      <c r="C378" s="13"/>
      <c r="D378" s="13"/>
      <c r="E378" s="13"/>
      <c r="F378" s="13"/>
      <c r="G378" s="13"/>
      <c r="H378" s="550"/>
      <c r="I378" s="32"/>
      <c r="J378" s="4"/>
      <c r="K378" s="46"/>
      <c r="L378" s="752" t="s">
        <v>3307</v>
      </c>
      <c r="M378" s="736"/>
      <c r="N378" s="4"/>
      <c r="O378" s="696"/>
      <c r="X378" s="688"/>
    </row>
    <row r="379" spans="2:45" x14ac:dyDescent="0.35">
      <c r="B379" s="40">
        <v>609.1</v>
      </c>
      <c r="C379" s="13" t="s">
        <v>3171</v>
      </c>
      <c r="D379" s="13"/>
      <c r="E379" s="13"/>
      <c r="F379" s="13"/>
      <c r="G379" s="13"/>
      <c r="H379" s="550"/>
      <c r="I379" s="32"/>
      <c r="J379" s="4"/>
      <c r="K379" s="46"/>
      <c r="L379" s="752"/>
      <c r="M379" s="736"/>
      <c r="N379" s="4"/>
      <c r="O379" s="696"/>
      <c r="W379" t="s">
        <v>3294</v>
      </c>
      <c r="X379" s="698"/>
      <c r="AR379" t="str">
        <f>SUBSTITUTE(SUBSTITUTE(SUBSTITUTE("dnt"&amp;$B379&amp;$C379&amp;$D379&amp;$E379&amp;$F379,".","_"),"(","_"),")","")</f>
        <v>dnt609_1b</v>
      </c>
      <c r="AS379">
        <f>X379</f>
        <v>0</v>
      </c>
    </row>
    <row r="380" spans="2:45" x14ac:dyDescent="0.35">
      <c r="B380" s="40">
        <v>609.1</v>
      </c>
      <c r="C380" s="13" t="s">
        <v>3171</v>
      </c>
      <c r="D380" s="13"/>
      <c r="E380" s="13"/>
      <c r="F380" s="13"/>
      <c r="G380" s="13"/>
      <c r="H380" s="550"/>
      <c r="I380" s="32"/>
      <c r="J380" s="4"/>
      <c r="K380" s="46"/>
      <c r="L380" s="752"/>
      <c r="M380" s="736"/>
      <c r="N380" s="4"/>
      <c r="O380" s="696"/>
      <c r="P380" t="b">
        <v>1</v>
      </c>
      <c r="Q380" t="b">
        <v>1</v>
      </c>
      <c r="R380" t="b">
        <v>0</v>
      </c>
      <c r="S380" t="b">
        <v>1</v>
      </c>
      <c r="T380" t="b">
        <v>0</v>
      </c>
      <c r="U380" t="str">
        <f>SUBSTITUTE(SUBSTITUTE(SUBSTITUTE("dd"&amp;B380&amp;C380&amp;D380&amp;E380&amp;F380,".","_"),"(","_"),")","")</f>
        <v>dd609_1b</v>
      </c>
      <c r="W380" s="9"/>
      <c r="X380" s="699"/>
      <c r="AC380" t="b">
        <f>OR(AD380:AE380)</f>
        <v>0</v>
      </c>
      <c r="AD380" t="b">
        <v>0</v>
      </c>
      <c r="AE380" t="b">
        <f>AND(NOT(ISBLANK(W380)),LEN(X379)=0)</f>
        <v>0</v>
      </c>
      <c r="AP380" t="str">
        <f t="shared" ref="AP380" si="96">SUBSTITUTE(SUBSTITUTE(SUBSTITUTE("dch"&amp;$B380&amp;$C380&amp;$D380&amp;$E380&amp;$F380,".","_"),"(","_"),")","")</f>
        <v>dch609_1b</v>
      </c>
      <c r="AQ380">
        <f>W380</f>
        <v>0</v>
      </c>
    </row>
    <row r="381" spans="2:45" ht="15" customHeight="1" x14ac:dyDescent="0.35">
      <c r="B381" s="40">
        <v>609.1</v>
      </c>
      <c r="C381" s="13"/>
      <c r="D381" s="13"/>
      <c r="E381" s="13"/>
      <c r="F381" s="13"/>
      <c r="G381" s="13"/>
      <c r="H381" s="550"/>
      <c r="I381" s="32"/>
      <c r="J381" s="4"/>
      <c r="K381" s="46"/>
      <c r="L381" s="744" t="s">
        <v>3306</v>
      </c>
      <c r="M381" s="736"/>
      <c r="N381" s="4"/>
      <c r="O381" s="696"/>
      <c r="X381" s="699"/>
    </row>
    <row r="382" spans="2:45" ht="15" customHeight="1" x14ac:dyDescent="0.35">
      <c r="B382" s="40">
        <v>609.1</v>
      </c>
      <c r="C382" s="13"/>
      <c r="D382" s="13"/>
      <c r="E382" s="13"/>
      <c r="F382" s="13"/>
      <c r="G382" s="13"/>
      <c r="H382" s="550"/>
      <c r="I382" s="32"/>
      <c r="J382" s="4"/>
      <c r="K382" s="46"/>
      <c r="L382" s="754"/>
      <c r="M382" s="736"/>
      <c r="N382" s="4"/>
      <c r="O382" s="696"/>
      <c r="X382" s="700"/>
    </row>
    <row r="383" spans="2:45" ht="18.5" x14ac:dyDescent="0.45">
      <c r="B383" s="40">
        <v>610</v>
      </c>
      <c r="C383" s="13"/>
      <c r="D383" s="13"/>
      <c r="E383" s="13"/>
      <c r="F383" s="13"/>
      <c r="G383" s="13"/>
      <c r="H383" s="550"/>
      <c r="I383" s="10" t="s">
        <v>751</v>
      </c>
      <c r="J383" s="15"/>
      <c r="K383" s="45"/>
      <c r="L383" s="174"/>
      <c r="M383" s="286"/>
      <c r="N383" s="344"/>
      <c r="O383" s="340"/>
      <c r="P383" s="15"/>
      <c r="Q383" s="15"/>
      <c r="R383" s="15"/>
      <c r="S383" s="15"/>
      <c r="T383" s="15"/>
      <c r="U383" s="15"/>
      <c r="V383" s="15"/>
      <c r="W383" s="15"/>
      <c r="X383" s="15"/>
    </row>
    <row r="384" spans="2:45" ht="15" customHeight="1" x14ac:dyDescent="0.35">
      <c r="B384" s="40">
        <v>610.1</v>
      </c>
      <c r="C384" s="13"/>
      <c r="D384" s="13"/>
      <c r="E384" s="13"/>
      <c r="F384" s="13"/>
      <c r="G384" s="13"/>
      <c r="H384" s="550"/>
      <c r="I384" s="32">
        <v>610.1</v>
      </c>
      <c r="J384" s="4"/>
      <c r="K384" s="46"/>
      <c r="L384" s="706" t="s">
        <v>752</v>
      </c>
      <c r="M384" s="34"/>
      <c r="N384" s="4"/>
      <c r="O384" s="85"/>
    </row>
    <row r="385" spans="2:45" x14ac:dyDescent="0.35">
      <c r="B385" s="40">
        <v>610.1</v>
      </c>
      <c r="C385" s="13"/>
      <c r="D385" s="13"/>
      <c r="E385" s="13"/>
      <c r="F385" s="13"/>
      <c r="G385" s="13"/>
      <c r="H385" s="550"/>
      <c r="I385" s="32"/>
      <c r="J385" s="4"/>
      <c r="K385" s="46"/>
      <c r="L385" s="706"/>
      <c r="M385" s="34"/>
      <c r="N385" s="4"/>
      <c r="O385" s="85"/>
    </row>
    <row r="386" spans="2:45" x14ac:dyDescent="0.35">
      <c r="B386" s="40">
        <v>610.1</v>
      </c>
      <c r="C386" s="13"/>
      <c r="D386" s="13"/>
      <c r="E386" s="13"/>
      <c r="F386" s="13"/>
      <c r="G386" s="13"/>
      <c r="H386" s="550"/>
      <c r="I386" s="32"/>
      <c r="J386" s="4"/>
      <c r="K386" s="46"/>
      <c r="L386" s="706"/>
      <c r="M386" s="34"/>
      <c r="N386" s="4"/>
      <c r="O386" s="85"/>
    </row>
    <row r="387" spans="2:45" x14ac:dyDescent="0.35">
      <c r="B387" s="40">
        <v>610.1</v>
      </c>
      <c r="C387" s="13"/>
      <c r="D387" s="13"/>
      <c r="E387" s="13"/>
      <c r="F387" s="13"/>
      <c r="G387" s="13"/>
      <c r="H387" s="550"/>
      <c r="I387" s="32"/>
      <c r="J387" s="4"/>
      <c r="K387" s="46"/>
      <c r="L387" s="706"/>
      <c r="M387" s="34"/>
      <c r="N387" s="4"/>
      <c r="O387" s="85"/>
    </row>
    <row r="388" spans="2:45" x14ac:dyDescent="0.35">
      <c r="B388" s="40">
        <v>610.1</v>
      </c>
      <c r="C388" s="13"/>
      <c r="D388" s="13"/>
      <c r="E388" s="13"/>
      <c r="F388" s="13"/>
      <c r="G388" s="13"/>
      <c r="H388" s="550"/>
      <c r="I388" s="32"/>
      <c r="J388" s="4"/>
      <c r="K388" s="46"/>
      <c r="L388" s="706"/>
      <c r="M388" s="34"/>
      <c r="N388" s="4"/>
      <c r="O388" s="85"/>
    </row>
    <row r="389" spans="2:45" ht="15" thickBot="1" x14ac:dyDescent="0.4">
      <c r="B389" s="40">
        <v>610.1</v>
      </c>
      <c r="C389" s="13"/>
      <c r="D389" s="13"/>
      <c r="E389" s="13"/>
      <c r="F389" s="13"/>
      <c r="G389" s="13"/>
      <c r="H389" s="550"/>
      <c r="I389" s="32"/>
      <c r="J389" s="4"/>
      <c r="K389" s="46"/>
      <c r="L389" s="706"/>
      <c r="M389" s="34"/>
      <c r="N389" s="4"/>
      <c r="O389" s="85"/>
    </row>
    <row r="390" spans="2:45" ht="15" thickTop="1" x14ac:dyDescent="0.35">
      <c r="B390" s="40" t="s">
        <v>753</v>
      </c>
      <c r="C390" s="13"/>
      <c r="D390" s="13"/>
      <c r="E390" s="13"/>
      <c r="F390" s="13"/>
      <c r="G390" s="13"/>
      <c r="H390" s="550"/>
      <c r="I390" s="123" t="s">
        <v>753</v>
      </c>
      <c r="J390" s="124"/>
      <c r="K390" s="125"/>
      <c r="L390" s="711" t="s">
        <v>754</v>
      </c>
      <c r="M390" s="345"/>
      <c r="N390" s="124"/>
      <c r="O390" s="341"/>
      <c r="P390" s="62"/>
      <c r="Q390" s="62"/>
      <c r="R390" s="62"/>
      <c r="S390" s="62"/>
      <c r="T390" s="62"/>
      <c r="U390" s="62"/>
      <c r="V390" s="62"/>
      <c r="W390" s="62"/>
      <c r="X390" s="62"/>
    </row>
    <row r="391" spans="2:45" x14ac:dyDescent="0.35">
      <c r="B391" s="40" t="s">
        <v>753</v>
      </c>
      <c r="C391" s="13"/>
      <c r="D391" s="13"/>
      <c r="E391" s="13"/>
      <c r="F391" s="13"/>
      <c r="G391" s="13"/>
      <c r="H391" s="550"/>
      <c r="I391" s="32"/>
      <c r="J391" s="4"/>
      <c r="K391" s="46"/>
      <c r="L391" s="706"/>
      <c r="M391" s="34"/>
      <c r="N391" s="4"/>
      <c r="O391" s="85"/>
    </row>
    <row r="392" spans="2:45" x14ac:dyDescent="0.35">
      <c r="B392" s="40" t="s">
        <v>753</v>
      </c>
      <c r="C392" s="13"/>
      <c r="D392" s="13"/>
      <c r="E392" s="13" t="s">
        <v>270</v>
      </c>
      <c r="F392" s="41"/>
      <c r="G392" s="41"/>
      <c r="H392" s="554"/>
      <c r="I392" s="32"/>
      <c r="J392" s="19" t="s">
        <v>270</v>
      </c>
      <c r="K392" s="46"/>
      <c r="L392" s="707" t="s">
        <v>755</v>
      </c>
      <c r="M392" s="690">
        <v>8</v>
      </c>
      <c r="N392" s="4"/>
      <c r="O392" s="696">
        <f>M392*S392*W392</f>
        <v>0</v>
      </c>
      <c r="P392" t="b">
        <v>1</v>
      </c>
      <c r="Q392" t="b">
        <v>0</v>
      </c>
      <c r="R392" t="b">
        <v>0</v>
      </c>
      <c r="S392" t="b">
        <f>NOT(OR(NOT(ISBLANK(W416)),NOT(ISBLANK(W423)),NOT(ISBLANK(W429)),NOT(ISBLANK(W435)),NOT(ISBLANK(W441)),NOT(ISBLANK(W447))))</f>
        <v>1</v>
      </c>
      <c r="T392" t="b">
        <f>AND(NOT(S392),W392=TRUE)</f>
        <v>0</v>
      </c>
      <c r="W392" s="17"/>
      <c r="X392" s="688"/>
      <c r="AC392" t="b">
        <f>OR(AD392:AE392)</f>
        <v>0</v>
      </c>
      <c r="AD392" t="b">
        <f>T392</f>
        <v>0</v>
      </c>
      <c r="AL392" t="str">
        <f>SUBSTITUTE(SUBSTITUTE(SUBSTITUTE("dpa"&amp;$B392&amp;$C392&amp;$D392&amp;$E392&amp;$F392,".","_"),"(","_"),")","")</f>
        <v>dpa610_1_1_1</v>
      </c>
      <c r="AM392">
        <f>M392</f>
        <v>8</v>
      </c>
      <c r="AN392" t="str">
        <f>SUBSTITUTE(SUBSTITUTE(SUBSTITUTE("dpc"&amp;$B392&amp;$C392&amp;$D392&amp;$E392&amp;$F392,".","_"),"(","_"),")","")</f>
        <v>dpc610_1_1_1</v>
      </c>
      <c r="AO392">
        <f>O392</f>
        <v>0</v>
      </c>
      <c r="AP392" t="str">
        <f t="shared" ref="AP392" si="97">SUBSTITUTE(SUBSTITUTE(SUBSTITUTE("dch"&amp;$B392&amp;$C392&amp;$D392&amp;$E392&amp;$F392,".","_"),"(","_"),")","")</f>
        <v>dch610_1_1_1</v>
      </c>
      <c r="AQ392">
        <f>W392</f>
        <v>0</v>
      </c>
      <c r="AR392" t="str">
        <f>SUBSTITUTE(SUBSTITUTE(SUBSTITUTE("dnt"&amp;$B392&amp;$C392&amp;$D392&amp;$E392&amp;$F392,".","_"),"(","_"),")","")</f>
        <v>dnt610_1_1_1</v>
      </c>
      <c r="AS392">
        <f>X392</f>
        <v>0</v>
      </c>
    </row>
    <row r="393" spans="2:45" x14ac:dyDescent="0.35">
      <c r="B393" s="40" t="s">
        <v>753</v>
      </c>
      <c r="C393" s="13"/>
      <c r="D393" s="13"/>
      <c r="E393" s="13"/>
      <c r="F393" s="41"/>
      <c r="G393" s="41"/>
      <c r="H393" s="554"/>
      <c r="I393" s="32"/>
      <c r="J393" s="4"/>
      <c r="K393" s="46"/>
      <c r="L393" s="707"/>
      <c r="M393" s="690"/>
      <c r="N393" s="4"/>
      <c r="O393" s="696"/>
      <c r="X393" s="688"/>
    </row>
    <row r="394" spans="2:45" x14ac:dyDescent="0.35">
      <c r="B394" s="40" t="s">
        <v>753</v>
      </c>
      <c r="C394" s="13"/>
      <c r="D394" s="13"/>
      <c r="E394" s="13"/>
      <c r="F394" s="41"/>
      <c r="G394" s="41"/>
      <c r="H394" s="554"/>
      <c r="I394" s="32"/>
      <c r="J394" s="4"/>
      <c r="K394" s="46"/>
      <c r="L394" s="707"/>
      <c r="M394" s="690"/>
      <c r="N394" s="4"/>
      <c r="O394" s="696"/>
      <c r="X394" s="688"/>
    </row>
    <row r="395" spans="2:45" x14ac:dyDescent="0.35">
      <c r="B395" s="40" t="s">
        <v>753</v>
      </c>
      <c r="C395" s="13"/>
      <c r="D395" s="13"/>
      <c r="E395" s="13" t="s">
        <v>270</v>
      </c>
      <c r="F395" s="13" t="s">
        <v>121</v>
      </c>
      <c r="G395" s="13"/>
      <c r="H395" s="550"/>
      <c r="I395" s="32"/>
      <c r="J395" s="4"/>
      <c r="K395" s="50" t="s">
        <v>121</v>
      </c>
      <c r="L395" s="104" t="s">
        <v>756</v>
      </c>
      <c r="M395" s="690"/>
      <c r="N395" s="4"/>
      <c r="O395" s="696"/>
      <c r="X395" s="688"/>
    </row>
    <row r="396" spans="2:45" x14ac:dyDescent="0.35">
      <c r="B396" s="40" t="s">
        <v>753</v>
      </c>
      <c r="C396" s="13"/>
      <c r="D396" s="13"/>
      <c r="E396" s="13" t="s">
        <v>270</v>
      </c>
      <c r="F396" s="13" t="s">
        <v>122</v>
      </c>
      <c r="G396" s="13"/>
      <c r="H396" s="550"/>
      <c r="I396" s="32"/>
      <c r="J396" s="4"/>
      <c r="K396" s="50" t="s">
        <v>122</v>
      </c>
      <c r="L396" s="104" t="s">
        <v>757</v>
      </c>
      <c r="M396" s="690"/>
      <c r="N396" s="4"/>
      <c r="O396" s="696"/>
      <c r="X396" s="688"/>
    </row>
    <row r="397" spans="2:45" x14ac:dyDescent="0.35">
      <c r="B397" s="40" t="s">
        <v>753</v>
      </c>
      <c r="C397" s="13"/>
      <c r="D397" s="13"/>
      <c r="E397" s="13" t="s">
        <v>270</v>
      </c>
      <c r="F397" s="13" t="s">
        <v>123</v>
      </c>
      <c r="G397" s="13"/>
      <c r="H397" s="550"/>
      <c r="I397" s="32"/>
      <c r="J397" s="4"/>
      <c r="K397" s="50" t="s">
        <v>123</v>
      </c>
      <c r="L397" s="104" t="s">
        <v>758</v>
      </c>
      <c r="M397" s="690"/>
      <c r="N397" s="4"/>
      <c r="O397" s="696"/>
      <c r="X397" s="688"/>
    </row>
    <row r="398" spans="2:45" x14ac:dyDescent="0.35">
      <c r="B398" s="40" t="s">
        <v>753</v>
      </c>
      <c r="C398" s="13"/>
      <c r="D398" s="13"/>
      <c r="E398" s="13" t="s">
        <v>270</v>
      </c>
      <c r="F398" s="18" t="s">
        <v>420</v>
      </c>
      <c r="G398" s="18"/>
      <c r="H398" s="551"/>
      <c r="I398" s="32"/>
      <c r="J398" s="4"/>
      <c r="K398" s="52" t="s">
        <v>420</v>
      </c>
      <c r="L398" s="104" t="s">
        <v>759</v>
      </c>
      <c r="M398" s="690"/>
      <c r="N398" s="4"/>
      <c r="O398" s="696"/>
      <c r="X398" s="688"/>
    </row>
    <row r="399" spans="2:45" x14ac:dyDescent="0.35">
      <c r="B399" s="40" t="s">
        <v>753</v>
      </c>
      <c r="C399" s="13"/>
      <c r="D399" s="13"/>
      <c r="E399" s="13" t="s">
        <v>270</v>
      </c>
      <c r="F399" s="13" t="s">
        <v>575</v>
      </c>
      <c r="G399" s="13"/>
      <c r="H399" s="550"/>
      <c r="I399" s="32"/>
      <c r="J399" s="4"/>
      <c r="K399" s="48" t="s">
        <v>575</v>
      </c>
      <c r="L399" s="104" t="s">
        <v>760</v>
      </c>
      <c r="M399" s="690"/>
      <c r="N399" s="4"/>
      <c r="O399" s="696"/>
      <c r="X399" s="688"/>
    </row>
    <row r="400" spans="2:45" x14ac:dyDescent="0.35">
      <c r="B400" s="40" t="s">
        <v>753</v>
      </c>
      <c r="C400" s="13"/>
      <c r="D400" s="13"/>
      <c r="E400" s="13" t="s">
        <v>270</v>
      </c>
      <c r="F400" s="13" t="s">
        <v>642</v>
      </c>
      <c r="G400" s="13"/>
      <c r="H400" s="550"/>
      <c r="I400" s="32"/>
      <c r="J400" s="155"/>
      <c r="K400" s="115" t="s">
        <v>642</v>
      </c>
      <c r="L400" s="214" t="s">
        <v>761</v>
      </c>
      <c r="M400" s="691"/>
      <c r="N400" s="155"/>
      <c r="O400" s="697"/>
      <c r="X400" s="688"/>
    </row>
    <row r="401" spans="2:45" x14ac:dyDescent="0.35">
      <c r="B401" s="40" t="s">
        <v>753</v>
      </c>
      <c r="C401" s="13"/>
      <c r="D401" s="13"/>
      <c r="E401" s="13" t="s">
        <v>272</v>
      </c>
      <c r="F401" s="41"/>
      <c r="G401" s="41"/>
      <c r="H401" s="554"/>
      <c r="I401" s="32"/>
      <c r="J401" s="154" t="s">
        <v>272</v>
      </c>
      <c r="K401" s="137"/>
      <c r="L401" s="742" t="s">
        <v>762</v>
      </c>
      <c r="M401" s="712">
        <v>5</v>
      </c>
      <c r="N401" s="136"/>
      <c r="O401" s="713">
        <f>M401*S401*W401</f>
        <v>0</v>
      </c>
      <c r="P401" t="b">
        <v>1</v>
      </c>
      <c r="Q401" t="b">
        <v>0</v>
      </c>
      <c r="R401" t="b">
        <v>0</v>
      </c>
      <c r="S401" t="b">
        <f>NOT(OR(NOT(ISBLANK(W416)),NOT(ISBLANK(W423)),NOT(ISBLANK(W429)),NOT(ISBLANK(W435)),NOT(ISBLANK(W441)),NOT(ISBLANK(W447))))</f>
        <v>1</v>
      </c>
      <c r="T401" t="b">
        <f>AND(NOT(S401),W401=TRUE)</f>
        <v>0</v>
      </c>
      <c r="W401" s="17"/>
      <c r="X401" s="688"/>
      <c r="AC401" t="b">
        <f>OR(AD401:AE401)</f>
        <v>0</v>
      </c>
      <c r="AD401" t="b">
        <f>T401</f>
        <v>0</v>
      </c>
      <c r="AL401" t="str">
        <f>SUBSTITUTE(SUBSTITUTE(SUBSTITUTE("dpa"&amp;$B401&amp;$C401&amp;$D401&amp;$E401&amp;$F401,".","_"),"(","_"),")","")</f>
        <v>dpa610_1_1_2</v>
      </c>
      <c r="AM401">
        <f>M401</f>
        <v>5</v>
      </c>
      <c r="AN401" t="str">
        <f>SUBSTITUTE(SUBSTITUTE(SUBSTITUTE("dpc"&amp;$B401&amp;$C401&amp;$D401&amp;$E401&amp;$F401,".","_"),"(","_"),")","")</f>
        <v>dpc610_1_1_2</v>
      </c>
      <c r="AO401">
        <f>O401</f>
        <v>0</v>
      </c>
      <c r="AP401" t="str">
        <f t="shared" ref="AP401" si="98">SUBSTITUTE(SUBSTITUTE(SUBSTITUTE("dch"&amp;$B401&amp;$C401&amp;$D401&amp;$E401&amp;$F401,".","_"),"(","_"),")","")</f>
        <v>dch610_1_1_2</v>
      </c>
      <c r="AQ401">
        <f>W401</f>
        <v>0</v>
      </c>
      <c r="AR401" t="str">
        <f>SUBSTITUTE(SUBSTITUTE(SUBSTITUTE("dnt"&amp;$B401&amp;$C401&amp;$D401&amp;$E401&amp;$F401,".","_"),"(","_"),")","")</f>
        <v>dnt610_1_1_2</v>
      </c>
      <c r="AS401">
        <f>X401</f>
        <v>0</v>
      </c>
    </row>
    <row r="402" spans="2:45" x14ac:dyDescent="0.35">
      <c r="B402" s="40" t="s">
        <v>753</v>
      </c>
      <c r="C402" s="13"/>
      <c r="D402" s="13"/>
      <c r="E402" s="13" t="s">
        <v>272</v>
      </c>
      <c r="F402" s="41"/>
      <c r="G402" s="41"/>
      <c r="H402" s="554"/>
      <c r="I402" s="32"/>
      <c r="J402" s="4"/>
      <c r="K402" s="46"/>
      <c r="L402" s="707"/>
      <c r="M402" s="690"/>
      <c r="N402" s="4"/>
      <c r="O402" s="696"/>
      <c r="X402" s="688"/>
    </row>
    <row r="403" spans="2:45" x14ac:dyDescent="0.35">
      <c r="B403" s="40" t="s">
        <v>753</v>
      </c>
      <c r="C403" s="13"/>
      <c r="D403" s="13"/>
      <c r="E403" s="13" t="s">
        <v>272</v>
      </c>
      <c r="F403" s="41"/>
      <c r="G403" s="41"/>
      <c r="H403" s="554"/>
      <c r="I403" s="32"/>
      <c r="J403" s="4"/>
      <c r="K403" s="46"/>
      <c r="L403" s="707"/>
      <c r="M403" s="690"/>
      <c r="N403" s="4"/>
      <c r="O403" s="696"/>
      <c r="X403" s="688"/>
    </row>
    <row r="404" spans="2:45" x14ac:dyDescent="0.35">
      <c r="B404" s="40" t="s">
        <v>753</v>
      </c>
      <c r="C404" s="13"/>
      <c r="D404" s="13"/>
      <c r="E404" s="13" t="s">
        <v>272</v>
      </c>
      <c r="F404" s="41"/>
      <c r="G404" s="41"/>
      <c r="H404" s="554"/>
      <c r="I404" s="32"/>
      <c r="J404" s="4"/>
      <c r="K404" s="46"/>
      <c r="L404" s="707"/>
      <c r="M404" s="690"/>
      <c r="N404" s="4"/>
      <c r="O404" s="696"/>
      <c r="X404" s="688"/>
    </row>
    <row r="405" spans="2:45" x14ac:dyDescent="0.35">
      <c r="B405" s="40" t="s">
        <v>753</v>
      </c>
      <c r="C405" s="13"/>
      <c r="D405" s="13"/>
      <c r="E405" s="13" t="s">
        <v>272</v>
      </c>
      <c r="F405" s="41"/>
      <c r="G405" s="41"/>
      <c r="H405" s="554"/>
      <c r="I405" s="32"/>
      <c r="J405" s="4"/>
      <c r="K405" s="46"/>
      <c r="L405" s="707"/>
      <c r="M405" s="690"/>
      <c r="N405" s="4"/>
      <c r="O405" s="696"/>
      <c r="X405" s="688"/>
    </row>
    <row r="406" spans="2:45" x14ac:dyDescent="0.35">
      <c r="B406" s="40" t="s">
        <v>753</v>
      </c>
      <c r="C406" s="13"/>
      <c r="D406" s="13"/>
      <c r="E406" s="13" t="s">
        <v>272</v>
      </c>
      <c r="F406" s="41"/>
      <c r="G406" s="41"/>
      <c r="H406" s="554"/>
      <c r="I406" s="32"/>
      <c r="J406" s="4"/>
      <c r="K406" s="46"/>
      <c r="L406" s="707"/>
      <c r="M406" s="690"/>
      <c r="N406" s="4"/>
      <c r="O406" s="696"/>
      <c r="X406" s="688"/>
    </row>
    <row r="407" spans="2:45" x14ac:dyDescent="0.35">
      <c r="B407" s="40" t="s">
        <v>753</v>
      </c>
      <c r="C407" s="13"/>
      <c r="D407" s="13"/>
      <c r="E407" s="13" t="s">
        <v>272</v>
      </c>
      <c r="F407" s="41"/>
      <c r="G407" s="41"/>
      <c r="H407" s="554"/>
      <c r="I407" s="32"/>
      <c r="J407" s="155"/>
      <c r="K407" s="116"/>
      <c r="L407" s="709"/>
      <c r="M407" s="691"/>
      <c r="N407" s="155"/>
      <c r="O407" s="697"/>
      <c r="X407" s="688"/>
    </row>
    <row r="408" spans="2:45" x14ac:dyDescent="0.35">
      <c r="B408" s="40" t="s">
        <v>753</v>
      </c>
      <c r="C408" s="13"/>
      <c r="D408" s="13"/>
      <c r="E408" s="13" t="s">
        <v>274</v>
      </c>
      <c r="F408" s="41"/>
      <c r="G408" s="41"/>
      <c r="H408" s="554"/>
      <c r="I408" s="32"/>
      <c r="J408" s="19" t="s">
        <v>274</v>
      </c>
      <c r="K408" s="46"/>
      <c r="L408" s="707" t="s">
        <v>763</v>
      </c>
      <c r="M408" s="690">
        <v>2</v>
      </c>
      <c r="N408" s="4"/>
      <c r="O408" s="696">
        <f>M408*S408*W408</f>
        <v>0</v>
      </c>
      <c r="P408" t="b">
        <v>1</v>
      </c>
      <c r="Q408" t="b">
        <v>0</v>
      </c>
      <c r="R408" t="b">
        <v>0</v>
      </c>
      <c r="S408" t="b">
        <f>NOT(OR(NOT(ISBLANK(W416)),NOT(ISBLANK(W423)),NOT(ISBLANK(W429)),NOT(ISBLANK(W435)),NOT(ISBLANK(W441)),NOT(ISBLANK(W447))))</f>
        <v>1</v>
      </c>
      <c r="T408" t="b">
        <f>AND(NOT(S408),W408=TRUE)</f>
        <v>0</v>
      </c>
      <c r="W408" s="17"/>
      <c r="X408" s="698"/>
      <c r="AC408" t="b">
        <f>OR(AD408:AE408)</f>
        <v>0</v>
      </c>
      <c r="AD408" t="b">
        <f>T408</f>
        <v>0</v>
      </c>
      <c r="AL408" t="str">
        <f>SUBSTITUTE(SUBSTITUTE(SUBSTITUTE("dpa"&amp;$B408&amp;$C408&amp;$D408&amp;$E408&amp;$F408,".","_"),"(","_"),")","")</f>
        <v>dpa610_1_1_3</v>
      </c>
      <c r="AM408">
        <f>M408</f>
        <v>2</v>
      </c>
      <c r="AN408" t="str">
        <f>SUBSTITUTE(SUBSTITUTE(SUBSTITUTE("dpc"&amp;$B408&amp;$C408&amp;$D408&amp;$E408&amp;$F408,".","_"),"(","_"),")","")</f>
        <v>dpc610_1_1_3</v>
      </c>
      <c r="AO408">
        <f>O408</f>
        <v>0</v>
      </c>
      <c r="AP408" t="str">
        <f t="shared" ref="AP408" si="99">SUBSTITUTE(SUBSTITUTE(SUBSTITUTE("dch"&amp;$B408&amp;$C408&amp;$D408&amp;$E408&amp;$F408,".","_"),"(","_"),")","")</f>
        <v>dch610_1_1_3</v>
      </c>
      <c r="AQ408">
        <f>W408</f>
        <v>0</v>
      </c>
      <c r="AR408" t="str">
        <f>SUBSTITUTE(SUBSTITUTE(SUBSTITUTE("dnt"&amp;$B408&amp;$C408&amp;$D408&amp;$E408&amp;$F408,".","_"),"(","_"),")","")</f>
        <v>dnt610_1_1_3</v>
      </c>
      <c r="AS408">
        <f>X408</f>
        <v>0</v>
      </c>
    </row>
    <row r="409" spans="2:45" ht="15" thickBot="1" x14ac:dyDescent="0.4">
      <c r="B409" s="40" t="s">
        <v>753</v>
      </c>
      <c r="C409" s="13"/>
      <c r="D409" s="13"/>
      <c r="E409" s="13" t="s">
        <v>274</v>
      </c>
      <c r="F409" s="41"/>
      <c r="G409" s="41"/>
      <c r="H409" s="554"/>
      <c r="I409" s="32"/>
      <c r="J409" s="4"/>
      <c r="K409" s="46"/>
      <c r="L409" s="707"/>
      <c r="M409" s="690"/>
      <c r="N409" s="4"/>
      <c r="O409" s="696"/>
      <c r="X409" s="699"/>
    </row>
    <row r="410" spans="2:45" ht="15" thickTop="1" x14ac:dyDescent="0.35">
      <c r="B410" s="40" t="s">
        <v>764</v>
      </c>
      <c r="C410" s="13"/>
      <c r="D410" s="13"/>
      <c r="E410" s="13"/>
      <c r="F410" s="13"/>
      <c r="G410" s="13"/>
      <c r="H410" s="550"/>
      <c r="I410" s="123" t="s">
        <v>764</v>
      </c>
      <c r="J410" s="124"/>
      <c r="K410" s="125"/>
      <c r="L410" s="711" t="s">
        <v>765</v>
      </c>
      <c r="M410" s="692" t="s">
        <v>766</v>
      </c>
      <c r="N410" s="124"/>
      <c r="O410" s="694">
        <f ca="1">MIN(10,(R417+R424)+IFERROR((INDEX({3,3,6,4,4,6,8,5,5,9,9,10},MATCH(R428*4+S428*5,{8,9,10,12,13,14,15,16,17,18,19,20},0))),0))</f>
        <v>0</v>
      </c>
      <c r="P410" s="62"/>
      <c r="Q410" s="62"/>
      <c r="R410" s="62"/>
      <c r="S410" s="62"/>
      <c r="T410" s="62"/>
      <c r="U410" s="62"/>
      <c r="V410" s="62"/>
      <c r="W410" s="62"/>
      <c r="X410" s="62"/>
      <c r="AL410" t="str">
        <f>SUBSTITUTE(SUBSTITUTE(SUBSTITUTE("dpa"&amp;$B410&amp;$C410&amp;$D410&amp;$E410&amp;$F410,".","_"),"(","_"),")","")</f>
        <v>dpa610_1_2</v>
      </c>
      <c r="AM410" t="str">
        <f>M410</f>
        <v xml:space="preserve">10 Max </v>
      </c>
      <c r="AN410" t="str">
        <f>SUBSTITUTE(SUBSTITUTE(SUBSTITUTE("dpc"&amp;$B410&amp;$C410&amp;$D410&amp;$E410&amp;$F410,".","_"),"(","_"),")","")</f>
        <v>dpc610_1_2</v>
      </c>
      <c r="AO410">
        <f ca="1">O410</f>
        <v>0</v>
      </c>
    </row>
    <row r="411" spans="2:45" x14ac:dyDescent="0.35">
      <c r="B411" s="40" t="s">
        <v>764</v>
      </c>
      <c r="C411" s="13"/>
      <c r="D411" s="13"/>
      <c r="E411" s="13"/>
      <c r="F411" s="13"/>
      <c r="G411" s="13"/>
      <c r="H411" s="550"/>
      <c r="I411" s="32"/>
      <c r="J411" s="4"/>
      <c r="K411" s="46"/>
      <c r="L411" s="706"/>
      <c r="M411" s="690"/>
      <c r="N411" s="4"/>
      <c r="O411" s="696"/>
    </row>
    <row r="412" spans="2:45" x14ac:dyDescent="0.35">
      <c r="B412" s="40" t="s">
        <v>764</v>
      </c>
      <c r="C412" s="13"/>
      <c r="D412" s="13"/>
      <c r="E412" s="13"/>
      <c r="F412" s="13"/>
      <c r="G412" s="13"/>
      <c r="H412" s="550"/>
      <c r="I412" s="32"/>
      <c r="J412" s="4"/>
      <c r="K412" s="46"/>
      <c r="L412" s="706"/>
      <c r="M412" s="690"/>
      <c r="N412" s="4"/>
      <c r="O412" s="696"/>
    </row>
    <row r="413" spans="2:45" x14ac:dyDescent="0.35">
      <c r="B413" s="40" t="s">
        <v>764</v>
      </c>
      <c r="C413" s="13"/>
      <c r="D413" s="13"/>
      <c r="E413" s="13"/>
      <c r="F413" s="13"/>
      <c r="G413" s="13"/>
      <c r="H413" s="550"/>
      <c r="I413" s="161"/>
      <c r="J413" s="155"/>
      <c r="K413" s="116"/>
      <c r="L413" s="739"/>
      <c r="M413" s="691"/>
      <c r="N413" s="155"/>
      <c r="O413" s="697"/>
    </row>
    <row r="414" spans="2:45" x14ac:dyDescent="0.35">
      <c r="B414" s="40" t="s">
        <v>767</v>
      </c>
      <c r="C414" s="13"/>
      <c r="D414" s="13"/>
      <c r="E414" s="13"/>
      <c r="F414" s="13"/>
      <c r="G414" s="13"/>
      <c r="H414" s="550"/>
      <c r="I414" s="135" t="s">
        <v>767</v>
      </c>
      <c r="J414" s="136"/>
      <c r="K414" s="137"/>
      <c r="L414" s="753" t="s">
        <v>768</v>
      </c>
      <c r="M414" s="758" t="s">
        <v>3323</v>
      </c>
      <c r="N414" s="4"/>
      <c r="O414" s="85"/>
      <c r="W414" s="637" t="s">
        <v>3310</v>
      </c>
      <c r="X414" s="688"/>
      <c r="AL414" t="str">
        <f>SUBSTITUTE(SUBSTITUTE(SUBSTITUTE("dpa"&amp;$B414&amp;$C414&amp;$D414&amp;$E414&amp;$F414,".","_"),"(","_"),")","")</f>
        <v>dpa610_1_2_1</v>
      </c>
      <c r="AM414" t="str">
        <f>M414</f>
        <v>per Table 610.1.2.1
10 Max</v>
      </c>
      <c r="AR414" t="str">
        <f>SUBSTITUTE(SUBSTITUTE(SUBSTITUTE("dnt"&amp;$B414&amp;$C414&amp;$D414&amp;$E414&amp;$F414,".","_"),"(","_"),")","")</f>
        <v>dnt610_1_2_1</v>
      </c>
      <c r="AS414">
        <f>X414</f>
        <v>0</v>
      </c>
    </row>
    <row r="415" spans="2:45" x14ac:dyDescent="0.35">
      <c r="B415" s="40" t="s">
        <v>767</v>
      </c>
      <c r="C415" s="13"/>
      <c r="D415" s="13"/>
      <c r="E415" s="13"/>
      <c r="F415" s="13"/>
      <c r="G415" s="13"/>
      <c r="H415" s="550"/>
      <c r="I415" s="32"/>
      <c r="J415" s="4"/>
      <c r="K415" s="46"/>
      <c r="L415" s="706"/>
      <c r="M415" s="759"/>
      <c r="N415" s="4"/>
      <c r="O415" s="85"/>
      <c r="W415" s="637"/>
      <c r="X415" s="688"/>
    </row>
    <row r="416" spans="2:45" x14ac:dyDescent="0.35">
      <c r="B416" s="40" t="s">
        <v>767</v>
      </c>
      <c r="C416" s="13"/>
      <c r="D416" s="13"/>
      <c r="E416" s="13" t="s">
        <v>3170</v>
      </c>
      <c r="F416" s="13"/>
      <c r="G416" s="13"/>
      <c r="H416" s="550"/>
      <c r="I416" s="32"/>
      <c r="J416" s="4"/>
      <c r="K416" s="46"/>
      <c r="L416" s="706"/>
      <c r="M416" s="759"/>
      <c r="N416" s="4"/>
      <c r="O416" s="85"/>
      <c r="P416" t="b">
        <v>1</v>
      </c>
      <c r="Q416" t="b">
        <v>0</v>
      </c>
      <c r="R416" t="b">
        <v>0</v>
      </c>
      <c r="S416" t="b">
        <f>COUNTIF(W392:W408,TRUE)&lt;1</f>
        <v>1</v>
      </c>
      <c r="T416" t="b">
        <f>AND(NOT(S416),LEN(W416)&gt;0)</f>
        <v>0</v>
      </c>
      <c r="U416" t="str">
        <f>SUBSTITUTE(SUBSTITUTE(SUBSTITUTE("dd"&amp;B416&amp;C416&amp;D416&amp;E416&amp;F416,".","_"),"(","_"),")","")</f>
        <v>dd610_1_2_1a</v>
      </c>
      <c r="W416" s="9"/>
      <c r="X416" s="688"/>
      <c r="AC416" t="b">
        <f>OR(AD416:AE416)</f>
        <v>0</v>
      </c>
      <c r="AD416" t="b">
        <f>T416</f>
        <v>0</v>
      </c>
      <c r="AE416" t="b">
        <f>AND(NOT(ISBLANK(W416)),LEN(X414)=0)</f>
        <v>0</v>
      </c>
      <c r="AP416" t="str">
        <f t="shared" ref="AP416" si="100">SUBSTITUTE(SUBSTITUTE(SUBSTITUTE("dch"&amp;$B416&amp;$C416&amp;$D416&amp;$E416&amp;$F416,".","_"),"(","_"),")","")</f>
        <v>dch610_1_2_1a</v>
      </c>
      <c r="AQ416">
        <f>W416</f>
        <v>0</v>
      </c>
    </row>
    <row r="417" spans="2:45" x14ac:dyDescent="0.35">
      <c r="B417" s="40" t="s">
        <v>767</v>
      </c>
      <c r="C417" s="13"/>
      <c r="D417" s="13"/>
      <c r="E417" s="13"/>
      <c r="F417" s="13" t="s">
        <v>121</v>
      </c>
      <c r="G417" s="13"/>
      <c r="H417" s="550"/>
      <c r="I417" s="32"/>
      <c r="J417" s="4"/>
      <c r="K417" s="50" t="s">
        <v>121</v>
      </c>
      <c r="L417" s="104" t="s">
        <v>756</v>
      </c>
      <c r="M417" s="759"/>
      <c r="N417" s="4"/>
      <c r="O417" s="85"/>
      <c r="R417" s="1">
        <f ca="1">2*IFERROR(MATCH(W416,INDIRECT(U416),0),0)*S416</f>
        <v>0</v>
      </c>
      <c r="X417" s="688"/>
    </row>
    <row r="418" spans="2:45" x14ac:dyDescent="0.35">
      <c r="B418" s="40" t="s">
        <v>767</v>
      </c>
      <c r="C418" s="13"/>
      <c r="D418" s="13"/>
      <c r="E418" s="13"/>
      <c r="F418" s="13" t="s">
        <v>122</v>
      </c>
      <c r="G418" s="13"/>
      <c r="H418" s="550"/>
      <c r="I418" s="32"/>
      <c r="J418" s="4"/>
      <c r="K418" s="50" t="s">
        <v>122</v>
      </c>
      <c r="L418" s="104" t="s">
        <v>757</v>
      </c>
      <c r="M418" s="759"/>
      <c r="N418" s="4"/>
      <c r="O418" s="85"/>
      <c r="X418" s="688"/>
    </row>
    <row r="419" spans="2:45" x14ac:dyDescent="0.35">
      <c r="B419" s="40" t="s">
        <v>767</v>
      </c>
      <c r="C419" s="13"/>
      <c r="D419" s="13"/>
      <c r="E419" s="13"/>
      <c r="F419" s="13" t="s">
        <v>123</v>
      </c>
      <c r="G419" s="13"/>
      <c r="H419" s="550"/>
      <c r="I419" s="32"/>
      <c r="J419" s="4"/>
      <c r="K419" s="50" t="s">
        <v>123</v>
      </c>
      <c r="L419" s="104" t="s">
        <v>758</v>
      </c>
      <c r="M419" s="759"/>
      <c r="N419" s="4"/>
      <c r="O419" s="85"/>
      <c r="X419" s="688"/>
    </row>
    <row r="420" spans="2:45" x14ac:dyDescent="0.35">
      <c r="B420" s="40" t="s">
        <v>767</v>
      </c>
      <c r="C420" s="13"/>
      <c r="D420" s="13"/>
      <c r="E420" s="13"/>
      <c r="F420" s="18" t="s">
        <v>420</v>
      </c>
      <c r="G420" s="18"/>
      <c r="H420" s="551"/>
      <c r="I420" s="32"/>
      <c r="J420" s="4"/>
      <c r="K420" s="52" t="s">
        <v>420</v>
      </c>
      <c r="L420" s="104" t="s">
        <v>759</v>
      </c>
      <c r="M420" s="759"/>
      <c r="N420" s="4"/>
      <c r="O420" s="85"/>
      <c r="X420" s="688"/>
    </row>
    <row r="421" spans="2:45" ht="15" customHeight="1" x14ac:dyDescent="0.35">
      <c r="B421" s="40" t="s">
        <v>767</v>
      </c>
      <c r="C421" s="13"/>
      <c r="D421" s="13"/>
      <c r="E421" s="13"/>
      <c r="F421" s="13" t="s">
        <v>575</v>
      </c>
      <c r="G421" s="13"/>
      <c r="H421" s="550"/>
      <c r="I421" s="32"/>
      <c r="J421" s="4"/>
      <c r="K421" s="48" t="s">
        <v>575</v>
      </c>
      <c r="L421" s="104" t="s">
        <v>760</v>
      </c>
      <c r="M421" s="759"/>
      <c r="N421" s="4"/>
      <c r="O421" s="85"/>
      <c r="W421" s="637" t="s">
        <v>3309</v>
      </c>
      <c r="X421" s="688"/>
      <c r="AR421" t="str">
        <f>SUBSTITUTE(SUBSTITUTE(SUBSTITUTE("dnt"&amp;$B421&amp;$C421&amp;$D421&amp;$E421&amp;$F421,".","_"),"(","_"),")","")</f>
        <v>dnt610_1_2_1_e</v>
      </c>
      <c r="AS421">
        <f>X421</f>
        <v>0</v>
      </c>
    </row>
    <row r="422" spans="2:45" x14ac:dyDescent="0.35">
      <c r="B422" s="40" t="s">
        <v>767</v>
      </c>
      <c r="C422" s="13"/>
      <c r="D422" s="13"/>
      <c r="E422" s="13"/>
      <c r="F422" s="13" t="s">
        <v>642</v>
      </c>
      <c r="G422" s="13"/>
      <c r="H422" s="550"/>
      <c r="I422" s="32"/>
      <c r="J422" s="4"/>
      <c r="K422" s="50" t="s">
        <v>642</v>
      </c>
      <c r="L422" s="104" t="s">
        <v>761</v>
      </c>
      <c r="M422" s="759"/>
      <c r="N422" s="4"/>
      <c r="O422" s="85"/>
      <c r="W422" s="637"/>
      <c r="X422" s="688"/>
    </row>
    <row r="423" spans="2:45" ht="15" customHeight="1" x14ac:dyDescent="0.35">
      <c r="B423" s="40" t="s">
        <v>767</v>
      </c>
      <c r="C423" s="13"/>
      <c r="D423" s="13"/>
      <c r="E423" s="13" t="s">
        <v>3171</v>
      </c>
      <c r="F423" s="13"/>
      <c r="G423" s="13"/>
      <c r="H423" s="550"/>
      <c r="I423" s="32"/>
      <c r="J423" s="4"/>
      <c r="L423" s="752" t="s">
        <v>769</v>
      </c>
      <c r="M423" s="759"/>
      <c r="N423" s="4"/>
      <c r="O423" s="85"/>
      <c r="P423" t="b">
        <v>1</v>
      </c>
      <c r="Q423" t="b">
        <v>0</v>
      </c>
      <c r="R423" t="b">
        <v>0</v>
      </c>
      <c r="S423" t="b">
        <f>COUNTIF(W392:W408,TRUE)&lt;1</f>
        <v>1</v>
      </c>
      <c r="T423" t="b">
        <f>AND(NOT(S423),LEN(W423)&gt;0)</f>
        <v>0</v>
      </c>
      <c r="U423" t="str">
        <f>SUBSTITUTE(SUBSTITUTE(SUBSTITUTE("dd"&amp;B423&amp;C423&amp;D423&amp;E423&amp;F423,".","_"),"(","_"),")","")</f>
        <v>dd610_1_2_1b</v>
      </c>
      <c r="W423" s="9"/>
      <c r="X423" s="688"/>
      <c r="AC423" t="b">
        <f>OR(AD423:AE423)</f>
        <v>0</v>
      </c>
      <c r="AD423" t="b">
        <f>T423</f>
        <v>0</v>
      </c>
      <c r="AE423" t="b">
        <f>AND(NOT(ISBLANK(W423)),LEN(X421)=0)</f>
        <v>0</v>
      </c>
      <c r="AP423" t="str">
        <f t="shared" ref="AP423" si="101">SUBSTITUTE(SUBSTITUTE(SUBSTITUTE("dch"&amp;$B423&amp;$C423&amp;$D423&amp;$E423&amp;$F423,".","_"),"(","_"),")","")</f>
        <v>dch610_1_2_1b</v>
      </c>
      <c r="AQ423">
        <f>W423</f>
        <v>0</v>
      </c>
    </row>
    <row r="424" spans="2:45" x14ac:dyDescent="0.35">
      <c r="B424" s="40" t="s">
        <v>767</v>
      </c>
      <c r="C424" s="13"/>
      <c r="D424" s="13"/>
      <c r="E424" s="13"/>
      <c r="F424" s="13"/>
      <c r="G424" s="13"/>
      <c r="H424" s="550"/>
      <c r="I424" s="32"/>
      <c r="J424" s="4"/>
      <c r="K424" s="107"/>
      <c r="L424" s="752"/>
      <c r="M424" s="759"/>
      <c r="N424" s="4"/>
      <c r="O424" s="85"/>
      <c r="R424" s="1">
        <f ca="1">3*IFERROR(MATCH(W423,INDIRECT(U423),0),0)*S423</f>
        <v>0</v>
      </c>
      <c r="X424" s="688"/>
    </row>
    <row r="425" spans="2:45" x14ac:dyDescent="0.35">
      <c r="B425" s="40" t="s">
        <v>767</v>
      </c>
      <c r="C425" s="13"/>
      <c r="D425" s="13"/>
      <c r="E425" s="13"/>
      <c r="F425" s="13"/>
      <c r="G425" s="13"/>
      <c r="H425" s="550"/>
      <c r="I425" s="32"/>
      <c r="J425" s="4"/>
      <c r="K425" s="107"/>
      <c r="L425" s="752"/>
      <c r="M425" s="759"/>
      <c r="N425" s="4"/>
      <c r="O425" s="85"/>
      <c r="X425" s="688"/>
    </row>
    <row r="426" spans="2:45" x14ac:dyDescent="0.35">
      <c r="B426" s="40" t="s">
        <v>767</v>
      </c>
      <c r="C426" s="13"/>
      <c r="D426" s="13"/>
      <c r="E426" s="13"/>
      <c r="F426" s="13"/>
      <c r="G426" s="13"/>
      <c r="H426" s="550"/>
      <c r="I426" s="32"/>
      <c r="J426" s="4"/>
      <c r="K426" s="107"/>
      <c r="L426" s="714" t="s">
        <v>3308</v>
      </c>
      <c r="M426" s="759"/>
      <c r="N426" s="4"/>
      <c r="O426" s="85"/>
      <c r="X426" s="688"/>
    </row>
    <row r="427" spans="2:45" x14ac:dyDescent="0.35">
      <c r="B427" s="40" t="s">
        <v>767</v>
      </c>
      <c r="C427" s="13"/>
      <c r="D427" s="13"/>
      <c r="E427" s="13"/>
      <c r="F427" s="13"/>
      <c r="G427" s="13"/>
      <c r="H427" s="550"/>
      <c r="I427" s="161"/>
      <c r="J427" s="155"/>
      <c r="K427" s="165"/>
      <c r="L427" s="755"/>
      <c r="M427" s="760"/>
      <c r="N427" s="4"/>
      <c r="O427" s="85"/>
      <c r="X427" s="688"/>
    </row>
    <row r="428" spans="2:45" ht="15" customHeight="1" x14ac:dyDescent="0.35">
      <c r="B428" s="40" t="s">
        <v>770</v>
      </c>
      <c r="C428" s="13"/>
      <c r="D428" s="13"/>
      <c r="E428" s="13" t="s">
        <v>3170</v>
      </c>
      <c r="F428" s="13"/>
      <c r="G428" s="13"/>
      <c r="H428" s="550"/>
      <c r="I428" s="32" t="s">
        <v>770</v>
      </c>
      <c r="J428" s="4"/>
      <c r="K428" s="46"/>
      <c r="L428" s="706" t="s">
        <v>771</v>
      </c>
      <c r="M428" s="761" t="s">
        <v>3324</v>
      </c>
      <c r="N428" s="4"/>
      <c r="O428" s="85"/>
      <c r="R428">
        <f ca="1">COUNTIF(W429:W447,INDEX(INDIRECT(U429),1))*S429</f>
        <v>0</v>
      </c>
      <c r="S428">
        <f ca="1">COUNTIF(W429:W447,INDEX(INDIRECT(U429),2))*S429</f>
        <v>0</v>
      </c>
      <c r="W428" t="s">
        <v>3319</v>
      </c>
      <c r="X428" s="688"/>
      <c r="AL428" t="str">
        <f>SUBSTITUTE(SUBSTITUTE(SUBSTITUTE("dpa"&amp;$B428&amp;$C428&amp;$D428&amp;$E428&amp;$F428,".","_"),"(","_"),")","")</f>
        <v>dpa610_1_2_2a</v>
      </c>
      <c r="AM428" t="str">
        <f>M428</f>
        <v>per Table 610.1.2.2
10 Max</v>
      </c>
      <c r="AR428" t="str">
        <f>SUBSTITUTE(SUBSTITUTE(SUBSTITUTE("dnt"&amp;$B428&amp;$C428&amp;$D428&amp;$E428&amp;$F428,".","_"),"(","_"),")","")</f>
        <v>dnt610_1_2_2a</v>
      </c>
      <c r="AS428">
        <f>X428</f>
        <v>0</v>
      </c>
    </row>
    <row r="429" spans="2:45" x14ac:dyDescent="0.35">
      <c r="B429" s="40" t="s">
        <v>770</v>
      </c>
      <c r="C429" s="13"/>
      <c r="D429" s="13"/>
      <c r="E429" s="13" t="s">
        <v>3170</v>
      </c>
      <c r="F429" s="13"/>
      <c r="G429" s="13"/>
      <c r="H429" s="550"/>
      <c r="I429" s="32"/>
      <c r="J429" s="4"/>
      <c r="K429" s="46"/>
      <c r="L429" s="706"/>
      <c r="M429" s="761"/>
      <c r="N429" s="4"/>
      <c r="O429" s="85"/>
      <c r="P429" t="b">
        <v>1</v>
      </c>
      <c r="Q429" t="b">
        <v>0</v>
      </c>
      <c r="R429" t="b">
        <v>0</v>
      </c>
      <c r="S429" t="b">
        <f>COUNTIF(W392:W408,TRUE)&lt;1</f>
        <v>1</v>
      </c>
      <c r="T429" t="b">
        <f>AND(NOT(S429),LEN(W429)&gt;0)</f>
        <v>0</v>
      </c>
      <c r="U429" t="str">
        <f>SUBSTITUTE(SUBSTITUTE(SUBSTITUTE("dd"&amp;B429&amp;C429&amp;D429&amp;E429&amp;F429,".","_"),"(","_"),")","")</f>
        <v>dd610_1_2_2a</v>
      </c>
      <c r="W429" s="9"/>
      <c r="X429" s="688"/>
      <c r="AC429" t="b">
        <f>OR(AD429:AE429)</f>
        <v>0</v>
      </c>
      <c r="AD429" t="b">
        <f>T429</f>
        <v>0</v>
      </c>
      <c r="AE429" t="b">
        <f>AND(NOT(ISBLANK(W429)),LEN(X428)=0)</f>
        <v>0</v>
      </c>
      <c r="AP429" t="str">
        <f t="shared" ref="AP429" si="102">SUBSTITUTE(SUBSTITUTE(SUBSTITUTE("dch"&amp;$B429&amp;$C429&amp;$D429&amp;$E429&amp;$F429,".","_"),"(","_"),")","")</f>
        <v>dch610_1_2_2a</v>
      </c>
      <c r="AQ429">
        <f>W429</f>
        <v>0</v>
      </c>
    </row>
    <row r="430" spans="2:45" x14ac:dyDescent="0.35">
      <c r="B430" s="40" t="s">
        <v>770</v>
      </c>
      <c r="C430" s="13"/>
      <c r="D430" s="13"/>
      <c r="E430" s="13"/>
      <c r="F430" s="13"/>
      <c r="G430" s="13"/>
      <c r="H430" s="550"/>
      <c r="I430" s="32"/>
      <c r="J430" s="4"/>
      <c r="K430" s="46"/>
      <c r="L430" s="706"/>
      <c r="M430" s="761"/>
      <c r="N430" s="4"/>
      <c r="O430" s="85"/>
      <c r="X430" s="688"/>
    </row>
    <row r="431" spans="2:45" x14ac:dyDescent="0.35">
      <c r="B431" s="40" t="s">
        <v>770</v>
      </c>
      <c r="C431" s="13"/>
      <c r="D431" s="13"/>
      <c r="E431" s="13"/>
      <c r="F431" s="13"/>
      <c r="G431" s="13"/>
      <c r="H431" s="550"/>
      <c r="I431" s="32"/>
      <c r="J431" s="4"/>
      <c r="K431" s="46"/>
      <c r="L431" s="706"/>
      <c r="M431" s="761"/>
      <c r="N431" s="4"/>
      <c r="O431" s="85"/>
      <c r="X431" s="688"/>
    </row>
    <row r="432" spans="2:45" x14ac:dyDescent="0.35">
      <c r="B432" s="40" t="s">
        <v>770</v>
      </c>
      <c r="C432" s="13"/>
      <c r="D432" s="13"/>
      <c r="E432" s="13"/>
      <c r="F432" s="13"/>
      <c r="G432" s="13"/>
      <c r="H432" s="550"/>
      <c r="I432" s="32"/>
      <c r="J432" s="4"/>
      <c r="K432" s="46"/>
      <c r="L432" s="706"/>
      <c r="M432" s="761"/>
      <c r="N432" s="4"/>
      <c r="O432" s="85"/>
      <c r="X432" s="688"/>
    </row>
    <row r="433" spans="2:45" x14ac:dyDescent="0.35">
      <c r="B433" s="40" t="s">
        <v>770</v>
      </c>
      <c r="C433" s="13"/>
      <c r="D433" s="13"/>
      <c r="E433" s="13"/>
      <c r="F433" s="13"/>
      <c r="G433" s="13"/>
      <c r="H433" s="550"/>
      <c r="I433" s="32"/>
      <c r="J433" s="4"/>
      <c r="K433" s="46"/>
      <c r="L433" s="706"/>
      <c r="M433" s="761"/>
      <c r="N433" s="4"/>
      <c r="O433" s="85"/>
      <c r="X433" s="688"/>
    </row>
    <row r="434" spans="2:45" x14ac:dyDescent="0.35">
      <c r="B434" s="40" t="s">
        <v>770</v>
      </c>
      <c r="C434" s="13"/>
      <c r="D434" s="13"/>
      <c r="E434" s="13" t="s">
        <v>3171</v>
      </c>
      <c r="F434" s="13"/>
      <c r="G434" s="13"/>
      <c r="H434" s="550"/>
      <c r="I434" s="32"/>
      <c r="J434" s="4"/>
      <c r="K434" s="46"/>
      <c r="L434" s="706"/>
      <c r="M434" s="761"/>
      <c r="N434" s="4"/>
      <c r="O434" s="85"/>
      <c r="W434" t="s">
        <v>3320</v>
      </c>
      <c r="X434" s="688"/>
      <c r="AR434" t="str">
        <f>SUBSTITUTE(SUBSTITUTE(SUBSTITUTE("dnt"&amp;$B434&amp;$C434&amp;$D434&amp;$E434&amp;$F434,".","_"),"(","_"),")","")</f>
        <v>dnt610_1_2_2b</v>
      </c>
      <c r="AS434">
        <f>X434</f>
        <v>0</v>
      </c>
    </row>
    <row r="435" spans="2:45" x14ac:dyDescent="0.35">
      <c r="B435" s="40" t="s">
        <v>770</v>
      </c>
      <c r="C435" s="13"/>
      <c r="D435" s="13"/>
      <c r="E435" s="13" t="s">
        <v>3171</v>
      </c>
      <c r="F435" s="13"/>
      <c r="G435" s="13"/>
      <c r="H435" s="550"/>
      <c r="I435" s="32"/>
      <c r="J435" s="4"/>
      <c r="K435" s="46"/>
      <c r="L435" s="706"/>
      <c r="M435" s="761"/>
      <c r="N435" s="4"/>
      <c r="O435" s="85"/>
      <c r="P435" t="b">
        <v>1</v>
      </c>
      <c r="Q435" t="b">
        <v>0</v>
      </c>
      <c r="R435" t="b">
        <v>0</v>
      </c>
      <c r="S435" t="b">
        <f>COUNTIF(W392:W408,TRUE)&lt;1</f>
        <v>1</v>
      </c>
      <c r="T435" t="b">
        <f>AND(NOT(S435),LEN(W435)&gt;0)</f>
        <v>0</v>
      </c>
      <c r="U435" t="str">
        <f>SUBSTITUTE(SUBSTITUTE(SUBSTITUTE("dd"&amp;B435&amp;C435&amp;D435&amp;E435&amp;F435,".","_"),"(","_"),")","")</f>
        <v>dd610_1_2_2b</v>
      </c>
      <c r="W435" s="9"/>
      <c r="X435" s="688"/>
      <c r="AC435" t="b">
        <f>OR(AD435:AE435)</f>
        <v>0</v>
      </c>
      <c r="AD435" t="b">
        <f>T435</f>
        <v>0</v>
      </c>
      <c r="AE435" t="b">
        <f>AND(NOT(ISBLANK(W435)),LEN(X434)=0)</f>
        <v>0</v>
      </c>
      <c r="AP435" t="str">
        <f t="shared" ref="AP435" si="103">SUBSTITUTE(SUBSTITUTE(SUBSTITUTE("dch"&amp;$B435&amp;$C435&amp;$D435&amp;$E435&amp;$F435,".","_"),"(","_"),")","")</f>
        <v>dch610_1_2_2b</v>
      </c>
      <c r="AQ435">
        <f>W435</f>
        <v>0</v>
      </c>
    </row>
    <row r="436" spans="2:45" x14ac:dyDescent="0.35">
      <c r="B436" s="40" t="s">
        <v>770</v>
      </c>
      <c r="C436" s="13"/>
      <c r="D436" s="13"/>
      <c r="E436" s="13"/>
      <c r="F436" s="13" t="s">
        <v>121</v>
      </c>
      <c r="G436" s="13"/>
      <c r="H436" s="550"/>
      <c r="I436" s="32"/>
      <c r="J436" s="4"/>
      <c r="K436" s="50" t="s">
        <v>121</v>
      </c>
      <c r="L436" s="104" t="s">
        <v>772</v>
      </c>
      <c r="M436" s="761"/>
      <c r="N436" s="4"/>
      <c r="O436" s="85"/>
      <c r="X436" s="688"/>
    </row>
    <row r="437" spans="2:45" x14ac:dyDescent="0.35">
      <c r="B437" s="40" t="s">
        <v>770</v>
      </c>
      <c r="C437" s="13"/>
      <c r="D437" s="13"/>
      <c r="E437" s="13"/>
      <c r="F437" s="13" t="s">
        <v>122</v>
      </c>
      <c r="G437" s="13"/>
      <c r="H437" s="550"/>
      <c r="I437" s="32"/>
      <c r="J437" s="4"/>
      <c r="K437" s="50" t="s">
        <v>122</v>
      </c>
      <c r="L437" s="104" t="s">
        <v>773</v>
      </c>
      <c r="M437" s="761"/>
      <c r="N437" s="4"/>
      <c r="O437" s="85"/>
      <c r="X437" s="688"/>
    </row>
    <row r="438" spans="2:45" x14ac:dyDescent="0.35">
      <c r="B438" s="40" t="s">
        <v>770</v>
      </c>
      <c r="C438" s="13"/>
      <c r="D438" s="13"/>
      <c r="E438" s="13"/>
      <c r="F438" s="13" t="s">
        <v>123</v>
      </c>
      <c r="G438" s="13"/>
      <c r="H438" s="550"/>
      <c r="I438" s="32"/>
      <c r="J438" s="4"/>
      <c r="K438" s="50" t="s">
        <v>123</v>
      </c>
      <c r="L438" s="104" t="s">
        <v>774</v>
      </c>
      <c r="M438" s="761"/>
      <c r="N438" s="4"/>
      <c r="O438" s="85"/>
      <c r="X438" s="688"/>
    </row>
    <row r="439" spans="2:45" x14ac:dyDescent="0.35">
      <c r="B439" s="40" t="s">
        <v>770</v>
      </c>
      <c r="C439" s="13"/>
      <c r="D439" s="13"/>
      <c r="E439" s="13"/>
      <c r="F439" s="18" t="s">
        <v>420</v>
      </c>
      <c r="G439" s="18"/>
      <c r="H439" s="551"/>
      <c r="I439" s="32"/>
      <c r="J439" s="4"/>
      <c r="K439" s="52" t="s">
        <v>420</v>
      </c>
      <c r="L439" s="104" t="s">
        <v>775</v>
      </c>
      <c r="M439" s="761"/>
      <c r="N439" s="4"/>
      <c r="O439" s="85"/>
      <c r="X439" s="688"/>
    </row>
    <row r="440" spans="2:45" x14ac:dyDescent="0.35">
      <c r="B440" s="40" t="s">
        <v>770</v>
      </c>
      <c r="C440" s="13"/>
      <c r="D440" s="13"/>
      <c r="E440" s="13" t="s">
        <v>3172</v>
      </c>
      <c r="F440" s="13"/>
      <c r="G440" s="13"/>
      <c r="H440" s="550"/>
      <c r="I440" s="32"/>
      <c r="J440" s="4"/>
      <c r="K440" s="46"/>
      <c r="L440" s="723" t="s">
        <v>776</v>
      </c>
      <c r="M440" s="761"/>
      <c r="N440" s="4"/>
      <c r="O440" s="85"/>
      <c r="W440" t="s">
        <v>3321</v>
      </c>
      <c r="X440" s="688"/>
      <c r="AR440" t="str">
        <f>SUBSTITUTE(SUBSTITUTE(SUBSTITUTE("dnt"&amp;$B440&amp;$C440&amp;$D440&amp;$E440&amp;$F440,".","_"),"(","_"),")","")</f>
        <v>dnt610_1_2_2c</v>
      </c>
      <c r="AS440">
        <f>X440</f>
        <v>0</v>
      </c>
    </row>
    <row r="441" spans="2:45" x14ac:dyDescent="0.35">
      <c r="B441" s="40" t="s">
        <v>770</v>
      </c>
      <c r="C441" s="13"/>
      <c r="D441" s="13"/>
      <c r="E441" s="13" t="s">
        <v>3172</v>
      </c>
      <c r="F441" s="13"/>
      <c r="G441" s="13"/>
      <c r="H441" s="550"/>
      <c r="I441" s="32"/>
      <c r="J441" s="4"/>
      <c r="K441" s="46"/>
      <c r="L441" s="723"/>
      <c r="M441" s="761"/>
      <c r="N441" s="4"/>
      <c r="O441" s="85"/>
      <c r="P441" t="b">
        <v>1</v>
      </c>
      <c r="Q441" t="b">
        <v>0</v>
      </c>
      <c r="R441" t="b">
        <v>0</v>
      </c>
      <c r="S441" t="b">
        <f>COUNTIF(W392:W408,TRUE)&lt;1</f>
        <v>1</v>
      </c>
      <c r="T441" t="b">
        <f>AND(NOT(S441),LEN(W441)&gt;0)</f>
        <v>0</v>
      </c>
      <c r="U441" t="str">
        <f>SUBSTITUTE(SUBSTITUTE(SUBSTITUTE("dd"&amp;B441&amp;C441&amp;D441&amp;E441&amp;F441,".","_"),"(","_"),")","")</f>
        <v>dd610_1_2_2c</v>
      </c>
      <c r="W441" s="9"/>
      <c r="X441" s="688"/>
      <c r="AC441" t="b">
        <f>OR(AD441:AE441)</f>
        <v>0</v>
      </c>
      <c r="AD441" t="b">
        <f>T441</f>
        <v>0</v>
      </c>
      <c r="AE441" t="b">
        <f>AND(NOT(ISBLANK(W441)),LEN(X440)=0)</f>
        <v>0</v>
      </c>
      <c r="AP441" t="str">
        <f t="shared" ref="AP441" si="104">SUBSTITUTE(SUBSTITUTE(SUBSTITUTE("dch"&amp;$B441&amp;$C441&amp;$D441&amp;$E441&amp;$F441,".","_"),"(","_"),")","")</f>
        <v>dch610_1_2_2c</v>
      </c>
      <c r="AQ441">
        <f>W441</f>
        <v>0</v>
      </c>
    </row>
    <row r="442" spans="2:45" x14ac:dyDescent="0.35">
      <c r="B442" s="40" t="s">
        <v>770</v>
      </c>
      <c r="C442" s="13"/>
      <c r="D442" s="13"/>
      <c r="E442" s="13"/>
      <c r="F442" s="13" t="s">
        <v>121</v>
      </c>
      <c r="G442" s="13"/>
      <c r="H442" s="550"/>
      <c r="I442" s="32"/>
      <c r="J442" s="4"/>
      <c r="K442" s="50" t="s">
        <v>121</v>
      </c>
      <c r="L442" s="104" t="s">
        <v>756</v>
      </c>
      <c r="M442" s="761"/>
      <c r="N442" s="4"/>
      <c r="O442" s="85"/>
      <c r="X442" s="688"/>
    </row>
    <row r="443" spans="2:45" x14ac:dyDescent="0.35">
      <c r="B443" s="40" t="s">
        <v>770</v>
      </c>
      <c r="C443" s="13"/>
      <c r="D443" s="13"/>
      <c r="E443" s="13"/>
      <c r="F443" s="13" t="s">
        <v>122</v>
      </c>
      <c r="G443" s="13"/>
      <c r="H443" s="550"/>
      <c r="I443" s="32"/>
      <c r="J443" s="4"/>
      <c r="K443" s="50" t="s">
        <v>122</v>
      </c>
      <c r="L443" s="104" t="s">
        <v>757</v>
      </c>
      <c r="M443" s="761"/>
      <c r="N443" s="4"/>
      <c r="O443" s="85"/>
      <c r="X443" s="688"/>
    </row>
    <row r="444" spans="2:45" x14ac:dyDescent="0.35">
      <c r="B444" s="40" t="s">
        <v>770</v>
      </c>
      <c r="C444" s="13"/>
      <c r="D444" s="13"/>
      <c r="E444" s="13"/>
      <c r="F444" s="13" t="s">
        <v>123</v>
      </c>
      <c r="G444" s="13"/>
      <c r="H444" s="550"/>
      <c r="I444" s="32"/>
      <c r="J444" s="4"/>
      <c r="K444" s="50" t="s">
        <v>123</v>
      </c>
      <c r="L444" s="104" t="s">
        <v>758</v>
      </c>
      <c r="M444" s="761"/>
      <c r="N444" s="4"/>
      <c r="O444" s="85"/>
      <c r="X444" s="688"/>
    </row>
    <row r="445" spans="2:45" x14ac:dyDescent="0.35">
      <c r="B445" s="40" t="s">
        <v>770</v>
      </c>
      <c r="C445" s="13"/>
      <c r="D445" s="13"/>
      <c r="E445" s="13"/>
      <c r="F445" s="18" t="s">
        <v>420</v>
      </c>
      <c r="G445" s="18"/>
      <c r="H445" s="551"/>
      <c r="I445" s="32"/>
      <c r="J445" s="4"/>
      <c r="K445" s="52" t="s">
        <v>420</v>
      </c>
      <c r="L445" s="104" t="s">
        <v>759</v>
      </c>
      <c r="M445" s="761"/>
      <c r="N445" s="4"/>
      <c r="O445" s="85"/>
      <c r="X445" s="688"/>
    </row>
    <row r="446" spans="2:45" x14ac:dyDescent="0.35">
      <c r="B446" s="40" t="s">
        <v>770</v>
      </c>
      <c r="C446" s="13"/>
      <c r="D446" s="13"/>
      <c r="E446" s="13"/>
      <c r="F446" s="13" t="s">
        <v>575</v>
      </c>
      <c r="G446" s="13"/>
      <c r="H446" s="550"/>
      <c r="I446" s="32"/>
      <c r="J446" s="4"/>
      <c r="K446" s="48" t="s">
        <v>575</v>
      </c>
      <c r="L446" s="104" t="s">
        <v>760</v>
      </c>
      <c r="M446" s="761"/>
      <c r="N446" s="4"/>
      <c r="O446" s="85"/>
      <c r="W446" t="s">
        <v>3322</v>
      </c>
      <c r="X446" s="688"/>
      <c r="AR446" t="str">
        <f>SUBSTITUTE(SUBSTITUTE(SUBSTITUTE("dnt"&amp;$B446&amp;$C446&amp;$D446&amp;$E446&amp;$F446,".","_"),"(","_"),")","")</f>
        <v>dnt610_1_2_2_e</v>
      </c>
      <c r="AS446">
        <f>X446</f>
        <v>0</v>
      </c>
    </row>
    <row r="447" spans="2:45" x14ac:dyDescent="0.35">
      <c r="B447" s="40" t="s">
        <v>770</v>
      </c>
      <c r="C447" s="13"/>
      <c r="D447" s="13"/>
      <c r="E447" s="13"/>
      <c r="F447" s="13" t="s">
        <v>642</v>
      </c>
      <c r="G447" s="13"/>
      <c r="H447" s="550"/>
      <c r="I447" s="32"/>
      <c r="J447" s="4"/>
      <c r="K447" s="50" t="s">
        <v>642</v>
      </c>
      <c r="L447" s="104" t="s">
        <v>761</v>
      </c>
      <c r="M447" s="761"/>
      <c r="N447" s="4"/>
      <c r="O447" s="85"/>
      <c r="P447" t="b">
        <v>1</v>
      </c>
      <c r="Q447" t="b">
        <v>0</v>
      </c>
      <c r="R447" t="b">
        <v>0</v>
      </c>
      <c r="S447" t="b">
        <f>COUNTIF(W392:W408,TRUE)&lt;1</f>
        <v>1</v>
      </c>
      <c r="T447" t="b">
        <f>AND(NOT(S447),LEN(W447)&gt;0)</f>
        <v>0</v>
      </c>
      <c r="U447" t="str">
        <f>SUBSTITUTE(SUBSTITUTE(SUBSTITUTE("dd"&amp;B447&amp;C447&amp;D447&amp;E447&amp;F447,".","_"),"(","_"),")","")</f>
        <v>dd610_1_2_2_f</v>
      </c>
      <c r="W447" s="9"/>
      <c r="X447" s="688"/>
      <c r="AC447" t="b">
        <f>OR(AD447:AE447)</f>
        <v>0</v>
      </c>
      <c r="AD447" t="b">
        <f>T447</f>
        <v>0</v>
      </c>
      <c r="AE447" t="b">
        <f>AND(NOT(ISBLANK(W447)),LEN(X446)=0)</f>
        <v>0</v>
      </c>
      <c r="AP447" t="str">
        <f t="shared" ref="AP447" si="105">SUBSTITUTE(SUBSTITUTE(SUBSTITUTE("dch"&amp;$B447&amp;$C447&amp;$D447&amp;$E447&amp;$F447,".","_"),"(","_"),")","")</f>
        <v>dch610_1_2_2_f</v>
      </c>
      <c r="AQ447">
        <f>W447</f>
        <v>0</v>
      </c>
    </row>
    <row r="448" spans="2:45" x14ac:dyDescent="0.35">
      <c r="B448" s="40" t="s">
        <v>770</v>
      </c>
      <c r="C448" s="13"/>
      <c r="D448" s="13"/>
      <c r="E448" s="13"/>
      <c r="F448" s="13"/>
      <c r="G448" s="13"/>
      <c r="H448" s="550"/>
      <c r="I448" s="32"/>
      <c r="J448" s="4"/>
      <c r="K448" s="46"/>
      <c r="L448" s="752" t="s">
        <v>777</v>
      </c>
      <c r="M448" s="761"/>
      <c r="N448" s="4"/>
      <c r="O448" s="85"/>
      <c r="X448" s="688"/>
    </row>
    <row r="449" spans="2:45" x14ac:dyDescent="0.35">
      <c r="B449" s="40" t="s">
        <v>770</v>
      </c>
      <c r="C449" s="13"/>
      <c r="D449" s="13"/>
      <c r="E449" s="13"/>
      <c r="F449" s="13"/>
      <c r="G449" s="13"/>
      <c r="H449" s="550"/>
      <c r="I449" s="32"/>
      <c r="J449" s="4"/>
      <c r="K449" s="46"/>
      <c r="L449" s="752"/>
      <c r="M449" s="761"/>
      <c r="N449" s="4"/>
      <c r="O449" s="85"/>
      <c r="X449" s="688"/>
    </row>
    <row r="450" spans="2:45" x14ac:dyDescent="0.35">
      <c r="B450" s="40" t="s">
        <v>770</v>
      </c>
      <c r="C450" s="13"/>
      <c r="D450" s="13"/>
      <c r="E450" s="13"/>
      <c r="F450" s="13"/>
      <c r="G450" s="13"/>
      <c r="H450" s="550"/>
      <c r="I450" s="32"/>
      <c r="J450" s="4"/>
      <c r="K450" s="46"/>
      <c r="L450" s="744" t="s">
        <v>3316</v>
      </c>
      <c r="M450" s="761"/>
      <c r="N450" s="4"/>
      <c r="O450" s="85"/>
      <c r="X450" s="688"/>
    </row>
    <row r="451" spans="2:45" x14ac:dyDescent="0.35">
      <c r="B451" s="40" t="s">
        <v>770</v>
      </c>
      <c r="C451" s="13"/>
      <c r="D451" s="13"/>
      <c r="E451" s="13"/>
      <c r="F451" s="13"/>
      <c r="G451" s="13"/>
      <c r="H451" s="550"/>
      <c r="I451" s="32"/>
      <c r="J451" s="4"/>
      <c r="K451" s="46"/>
      <c r="L451" s="754"/>
      <c r="M451" s="761"/>
      <c r="N451" s="4"/>
      <c r="O451" s="85"/>
      <c r="X451" s="688"/>
    </row>
    <row r="452" spans="2:45" ht="18.5" x14ac:dyDescent="0.45">
      <c r="B452" s="40">
        <v>611</v>
      </c>
      <c r="C452" s="13"/>
      <c r="D452" s="13"/>
      <c r="E452" s="13"/>
      <c r="F452" s="13"/>
      <c r="G452" s="13"/>
      <c r="H452" s="550"/>
      <c r="I452" s="10" t="s">
        <v>778</v>
      </c>
      <c r="J452" s="15"/>
      <c r="K452" s="45"/>
      <c r="L452" s="174"/>
      <c r="M452" s="286"/>
      <c r="N452" s="344"/>
      <c r="O452" s="340"/>
      <c r="P452" s="15"/>
      <c r="Q452" s="15"/>
      <c r="R452" s="15"/>
      <c r="S452" s="15"/>
      <c r="T452" s="15"/>
      <c r="U452" s="15"/>
      <c r="V452" s="15"/>
      <c r="W452" s="15"/>
      <c r="X452" s="15"/>
    </row>
    <row r="453" spans="2:45" x14ac:dyDescent="0.35">
      <c r="B453" s="40">
        <v>611.1</v>
      </c>
      <c r="C453" s="13"/>
      <c r="D453" s="13"/>
      <c r="E453" s="13"/>
      <c r="F453" s="13"/>
      <c r="G453" s="13"/>
      <c r="H453" s="550"/>
      <c r="I453" s="32">
        <v>611.1</v>
      </c>
      <c r="J453" s="4"/>
      <c r="K453" s="46"/>
      <c r="L453" s="706" t="s">
        <v>779</v>
      </c>
      <c r="M453" s="690" t="s">
        <v>750</v>
      </c>
      <c r="N453" s="4"/>
      <c r="O453" s="696">
        <f ca="1">IFERROR(MATCH(W453,INDIRECT(U453),0),0)</f>
        <v>0</v>
      </c>
      <c r="P453" t="b">
        <v>1</v>
      </c>
      <c r="Q453" t="b">
        <v>1</v>
      </c>
      <c r="R453" t="b">
        <v>0</v>
      </c>
      <c r="S453" t="b">
        <v>1</v>
      </c>
      <c r="T453" t="b">
        <v>0</v>
      </c>
      <c r="U453" t="str">
        <f>SUBSTITUTE(SUBSTITUTE(SUBSTITUTE("dd"&amp;B453&amp;C453&amp;D453&amp;E453&amp;F453,".","_"),"(","_"),")","")</f>
        <v>dd611_1</v>
      </c>
      <c r="W453" s="9"/>
      <c r="X453" s="688"/>
      <c r="AC453" t="b">
        <f>OR(AD453:AE453)</f>
        <v>0</v>
      </c>
      <c r="AD453" t="b">
        <v>0</v>
      </c>
      <c r="AE453" t="b">
        <f>AND(NOT(ISBLANK(W453)),LEN(X453)=0)</f>
        <v>0</v>
      </c>
      <c r="AL453" t="str">
        <f>SUBSTITUTE(SUBSTITUTE(SUBSTITUTE("dpa"&amp;$B453&amp;$C453&amp;$D453&amp;$E453&amp;$F453,".","_"),"(","_"),")","")</f>
        <v>dpa611_1</v>
      </c>
      <c r="AM453" t="str">
        <f>M453</f>
        <v>10 Max</v>
      </c>
      <c r="AN453" t="str">
        <f>SUBSTITUTE(SUBSTITUTE(SUBSTITUTE("dpc"&amp;$B453&amp;$C453&amp;$D453&amp;$E453&amp;$F453,".","_"),"(","_"),")","")</f>
        <v>dpc611_1</v>
      </c>
      <c r="AO453">
        <f ca="1">O453</f>
        <v>0</v>
      </c>
      <c r="AP453" t="str">
        <f t="shared" ref="AP453" si="106">SUBSTITUTE(SUBSTITUTE(SUBSTITUTE("dch"&amp;$B453&amp;$C453&amp;$D453&amp;$E453&amp;$F453,".","_"),"(","_"),")","")</f>
        <v>dch611_1</v>
      </c>
      <c r="AQ453">
        <f>W453</f>
        <v>0</v>
      </c>
      <c r="AR453" t="str">
        <f>SUBSTITUTE(SUBSTITUTE(SUBSTITUTE("dnt"&amp;$B453&amp;$C453&amp;$D453&amp;$E453&amp;$F453,".","_"),"(","_"),")","")</f>
        <v>dnt611_1</v>
      </c>
      <c r="AS453">
        <f>X453</f>
        <v>0</v>
      </c>
    </row>
    <row r="454" spans="2:45" x14ac:dyDescent="0.35">
      <c r="B454" s="40">
        <v>611.1</v>
      </c>
      <c r="C454" s="13"/>
      <c r="D454" s="13"/>
      <c r="E454" s="13"/>
      <c r="F454" s="13"/>
      <c r="G454" s="13"/>
      <c r="H454" s="550"/>
      <c r="I454" s="32"/>
      <c r="J454" s="4"/>
      <c r="K454" s="46"/>
      <c r="L454" s="706"/>
      <c r="M454" s="690"/>
      <c r="N454" s="4"/>
      <c r="O454" s="696"/>
      <c r="X454" s="688"/>
    </row>
    <row r="455" spans="2:45" x14ac:dyDescent="0.35">
      <c r="B455" s="40">
        <v>611.1</v>
      </c>
      <c r="C455" s="13"/>
      <c r="D455" s="13"/>
      <c r="E455" s="13"/>
      <c r="F455" s="13"/>
      <c r="G455" s="13"/>
      <c r="H455" s="550"/>
      <c r="I455" s="32"/>
      <c r="J455" s="4"/>
      <c r="K455" s="46"/>
      <c r="L455" s="706"/>
      <c r="M455" s="690"/>
      <c r="N455" s="4"/>
      <c r="O455" s="696"/>
      <c r="X455" s="688"/>
    </row>
    <row r="456" spans="2:45" x14ac:dyDescent="0.35">
      <c r="B456" s="40">
        <v>611.1</v>
      </c>
      <c r="C456" s="13"/>
      <c r="D456" s="13"/>
      <c r="E456" s="13"/>
      <c r="F456" s="13"/>
      <c r="G456" s="13"/>
      <c r="H456" s="550"/>
      <c r="I456" s="32"/>
      <c r="J456" s="4"/>
      <c r="K456" s="46"/>
      <c r="L456" s="706"/>
      <c r="M456" s="690"/>
      <c r="N456" s="4"/>
      <c r="O456" s="696"/>
      <c r="X456" s="688"/>
    </row>
    <row r="457" spans="2:45" x14ac:dyDescent="0.35">
      <c r="B457" s="40">
        <v>611.1</v>
      </c>
      <c r="C457" s="13"/>
      <c r="D457" s="13"/>
      <c r="E457" s="13"/>
      <c r="F457" s="13"/>
      <c r="G457" s="13"/>
      <c r="H457" s="550"/>
      <c r="I457" s="32"/>
      <c r="J457" s="4"/>
      <c r="K457" s="46"/>
      <c r="L457" s="706"/>
      <c r="M457" s="690"/>
      <c r="N457" s="4"/>
      <c r="O457" s="696"/>
      <c r="X457" s="688"/>
    </row>
    <row r="458" spans="2:45" x14ac:dyDescent="0.35">
      <c r="B458" s="40">
        <v>611.1</v>
      </c>
      <c r="C458" s="13"/>
      <c r="D458" s="13"/>
      <c r="E458" s="13"/>
      <c r="F458" s="13"/>
      <c r="G458" s="13"/>
      <c r="H458" s="550"/>
      <c r="I458" s="32"/>
      <c r="J458" s="4"/>
      <c r="K458" s="46"/>
      <c r="L458" s="181" t="s">
        <v>780</v>
      </c>
      <c r="M458" s="690"/>
      <c r="N458" s="4"/>
      <c r="O458" s="696"/>
      <c r="X458" s="688"/>
    </row>
    <row r="459" spans="2:45" x14ac:dyDescent="0.35">
      <c r="B459" s="40">
        <v>611.1</v>
      </c>
      <c r="C459" s="13"/>
      <c r="D459" s="13"/>
      <c r="E459" s="13"/>
      <c r="F459" s="13"/>
      <c r="G459" s="13"/>
      <c r="H459" s="550"/>
      <c r="I459" s="32"/>
      <c r="J459" s="4"/>
      <c r="K459" s="46"/>
      <c r="L459" s="714" t="s">
        <v>3337</v>
      </c>
      <c r="M459" s="690"/>
      <c r="N459" s="4"/>
      <c r="O459" s="696"/>
      <c r="X459" s="688"/>
    </row>
    <row r="460" spans="2:45" ht="15" thickBot="1" x14ac:dyDescent="0.4">
      <c r="B460" s="40">
        <v>611.1</v>
      </c>
      <c r="C460" s="13"/>
      <c r="D460" s="13"/>
      <c r="E460" s="13"/>
      <c r="F460" s="13"/>
      <c r="G460" s="13"/>
      <c r="H460" s="550"/>
      <c r="I460" s="32"/>
      <c r="J460" s="4"/>
      <c r="K460" s="46"/>
      <c r="L460" s="744"/>
      <c r="M460" s="690"/>
      <c r="N460" s="4"/>
      <c r="O460" s="696"/>
      <c r="X460" s="698"/>
    </row>
    <row r="461" spans="2:45" ht="15" thickTop="1" x14ac:dyDescent="0.35">
      <c r="B461" s="40">
        <v>611.20000000000005</v>
      </c>
      <c r="C461" s="13"/>
      <c r="D461" s="13"/>
      <c r="E461" s="13"/>
      <c r="F461" s="13"/>
      <c r="G461" s="13"/>
      <c r="H461" s="550"/>
      <c r="I461" s="123">
        <v>611.20000000000005</v>
      </c>
      <c r="J461" s="124"/>
      <c r="K461" s="125"/>
      <c r="L461" s="711" t="s">
        <v>781</v>
      </c>
      <c r="M461" s="692" t="s">
        <v>545</v>
      </c>
      <c r="N461" s="124"/>
      <c r="O461" s="694">
        <f>MIN(9,M464*S464*W464+M465*S465*W465+M466*S466*W466+M467*S467*W467+M468*S468*W468+M469*S469*W469+M470*S470*W470)</f>
        <v>0</v>
      </c>
      <c r="P461" s="62"/>
      <c r="Q461" s="62"/>
      <c r="R461" s="62"/>
      <c r="S461" s="62"/>
      <c r="T461" s="62"/>
      <c r="U461" s="62"/>
      <c r="V461" s="62"/>
      <c r="W461" s="62"/>
      <c r="X461" s="62"/>
      <c r="AL461" t="str">
        <f>SUBSTITUTE(SUBSTITUTE(SUBSTITUTE("dpa"&amp;$B461&amp;$C461&amp;$D461&amp;$E461&amp;$F461,".","_"),"(","_"),")","")</f>
        <v>dpa611_2</v>
      </c>
      <c r="AM461" t="str">
        <f>M461</f>
        <v>9 Max</v>
      </c>
      <c r="AN461" t="str">
        <f>SUBSTITUTE(SUBSTITUTE(SUBSTITUTE("dpc"&amp;$B461&amp;$C461&amp;$D461&amp;$E461&amp;$F461,".","_"),"(","_"),")","")</f>
        <v>dpc611_2</v>
      </c>
      <c r="AO461">
        <f>O461</f>
        <v>0</v>
      </c>
    </row>
    <row r="462" spans="2:45" x14ac:dyDescent="0.35">
      <c r="B462" s="40">
        <v>611.20000000000005</v>
      </c>
      <c r="C462" s="13"/>
      <c r="D462" s="13"/>
      <c r="E462" s="13"/>
      <c r="F462" s="13"/>
      <c r="G462" s="13"/>
      <c r="H462" s="550"/>
      <c r="I462" s="32"/>
      <c r="J462" s="4"/>
      <c r="K462" s="46"/>
      <c r="L462" s="706"/>
      <c r="M462" s="690"/>
      <c r="N462" s="4"/>
      <c r="O462" s="696"/>
    </row>
    <row r="463" spans="2:45" x14ac:dyDescent="0.35">
      <c r="B463" s="40">
        <v>611.20000000000005</v>
      </c>
      <c r="C463" s="13"/>
      <c r="D463" s="13"/>
      <c r="E463" s="13"/>
      <c r="F463" s="13"/>
      <c r="G463" s="13"/>
      <c r="H463" s="550"/>
      <c r="I463" s="32"/>
      <c r="J463" s="4"/>
      <c r="K463" s="46"/>
      <c r="L463" s="706"/>
      <c r="M463" s="690"/>
      <c r="N463" s="4"/>
      <c r="O463" s="696"/>
    </row>
    <row r="464" spans="2:45" x14ac:dyDescent="0.35">
      <c r="B464" s="40">
        <v>611.20000000000005</v>
      </c>
      <c r="C464" s="13"/>
      <c r="D464" s="13"/>
      <c r="E464" s="13" t="s">
        <v>270</v>
      </c>
      <c r="F464" s="13"/>
      <c r="G464" s="13"/>
      <c r="H464" s="550"/>
      <c r="I464" s="32"/>
      <c r="J464" s="148" t="s">
        <v>270</v>
      </c>
      <c r="K464" s="116"/>
      <c r="L464" s="214" t="s">
        <v>782</v>
      </c>
      <c r="M464" s="198">
        <v>3</v>
      </c>
      <c r="N464" s="4"/>
      <c r="O464" s="85"/>
      <c r="P464" t="b">
        <v>1</v>
      </c>
      <c r="Q464" t="b">
        <v>1</v>
      </c>
      <c r="R464" t="b">
        <v>0</v>
      </c>
      <c r="S464" t="b">
        <v>1</v>
      </c>
      <c r="T464" t="b">
        <v>0</v>
      </c>
      <c r="W464" s="17"/>
      <c r="X464" s="39"/>
      <c r="AC464" t="b">
        <f t="shared" ref="AC464:AC470" si="107">OR(AD464:AE464)</f>
        <v>0</v>
      </c>
      <c r="AD464" t="b">
        <f t="shared" ref="AD464:AD470" si="108">T464</f>
        <v>0</v>
      </c>
      <c r="AE464" t="b">
        <v>0</v>
      </c>
      <c r="AL464" t="str">
        <f t="shared" ref="AL464:AL470" si="109">SUBSTITUTE(SUBSTITUTE(SUBSTITUTE("dpa"&amp;$B464&amp;$C464&amp;$D464&amp;$E464&amp;$F464,".","_"),"(","_"),")","")</f>
        <v>dpa611_2_1</v>
      </c>
      <c r="AM464">
        <f t="shared" ref="AM464:AM470" si="110">M464</f>
        <v>3</v>
      </c>
      <c r="AP464" t="str">
        <f t="shared" ref="AP464:AP470" si="111">SUBSTITUTE(SUBSTITUTE(SUBSTITUTE("dch"&amp;$B464&amp;$C464&amp;$D464&amp;$E464&amp;$F464,".","_"),"(","_"),")","")</f>
        <v>dch611_2_1</v>
      </c>
      <c r="AQ464">
        <f t="shared" ref="AQ464:AQ470" si="112">W464</f>
        <v>0</v>
      </c>
      <c r="AR464" t="str">
        <f t="shared" ref="AR464:AR470" si="113">SUBSTITUTE(SUBSTITUTE(SUBSTITUTE("dnt"&amp;$B464&amp;$C464&amp;$D464&amp;$E464&amp;$F464,".","_"),"(","_"),")","")</f>
        <v>dnt611_2_1</v>
      </c>
      <c r="AS464">
        <f t="shared" ref="AS464:AS470" si="114">X464</f>
        <v>0</v>
      </c>
    </row>
    <row r="465" spans="2:45" x14ac:dyDescent="0.35">
      <c r="B465" s="40">
        <v>611.20000000000005</v>
      </c>
      <c r="C465" s="13"/>
      <c r="D465" s="13"/>
      <c r="E465" s="13" t="s">
        <v>272</v>
      </c>
      <c r="F465" s="13"/>
      <c r="G465" s="13"/>
      <c r="H465" s="550"/>
      <c r="I465" s="32"/>
      <c r="J465" s="150" t="s">
        <v>272</v>
      </c>
      <c r="K465" s="151"/>
      <c r="L465" s="220" t="s">
        <v>783</v>
      </c>
      <c r="M465" s="153">
        <v>3</v>
      </c>
      <c r="N465" s="4"/>
      <c r="O465" s="85"/>
      <c r="P465" t="b">
        <v>1</v>
      </c>
      <c r="Q465" t="b">
        <v>1</v>
      </c>
      <c r="R465" t="b">
        <v>0</v>
      </c>
      <c r="S465" t="b">
        <v>1</v>
      </c>
      <c r="T465" t="b">
        <v>0</v>
      </c>
      <c r="W465" s="17"/>
      <c r="X465" s="39"/>
      <c r="AC465" t="b">
        <f t="shared" si="107"/>
        <v>0</v>
      </c>
      <c r="AD465" t="b">
        <f t="shared" si="108"/>
        <v>0</v>
      </c>
      <c r="AE465" t="b">
        <v>0</v>
      </c>
      <c r="AL465" t="str">
        <f t="shared" si="109"/>
        <v>dpa611_2_2</v>
      </c>
      <c r="AM465">
        <f t="shared" si="110"/>
        <v>3</v>
      </c>
      <c r="AP465" t="str">
        <f t="shared" si="111"/>
        <v>dch611_2_2</v>
      </c>
      <c r="AQ465">
        <f t="shared" si="112"/>
        <v>0</v>
      </c>
      <c r="AR465" t="str">
        <f t="shared" si="113"/>
        <v>dnt611_2_2</v>
      </c>
      <c r="AS465">
        <f t="shared" si="114"/>
        <v>0</v>
      </c>
    </row>
    <row r="466" spans="2:45" x14ac:dyDescent="0.35">
      <c r="B466" s="40">
        <v>611.20000000000005</v>
      </c>
      <c r="C466" s="13"/>
      <c r="D466" s="13"/>
      <c r="E466" s="13" t="s">
        <v>274</v>
      </c>
      <c r="F466" s="13"/>
      <c r="G466" s="13"/>
      <c r="H466" s="550"/>
      <c r="I466" s="32"/>
      <c r="J466" s="150" t="s">
        <v>274</v>
      </c>
      <c r="K466" s="151"/>
      <c r="L466" s="220" t="s">
        <v>784</v>
      </c>
      <c r="M466" s="153">
        <v>3</v>
      </c>
      <c r="N466" s="4"/>
      <c r="O466" s="85"/>
      <c r="P466" t="b">
        <v>1</v>
      </c>
      <c r="Q466" t="b">
        <v>1</v>
      </c>
      <c r="R466" t="b">
        <v>0</v>
      </c>
      <c r="S466" t="b">
        <v>1</v>
      </c>
      <c r="T466" t="b">
        <v>0</v>
      </c>
      <c r="W466" s="17"/>
      <c r="X466" s="39"/>
      <c r="AC466" t="b">
        <f t="shared" si="107"/>
        <v>0</v>
      </c>
      <c r="AD466" t="b">
        <f t="shared" si="108"/>
        <v>0</v>
      </c>
      <c r="AE466" t="b">
        <v>0</v>
      </c>
      <c r="AL466" t="str">
        <f t="shared" si="109"/>
        <v>dpa611_2_3</v>
      </c>
      <c r="AM466">
        <f t="shared" si="110"/>
        <v>3</v>
      </c>
      <c r="AP466" t="str">
        <f t="shared" si="111"/>
        <v>dch611_2_3</v>
      </c>
      <c r="AQ466">
        <f t="shared" si="112"/>
        <v>0</v>
      </c>
      <c r="AR466" t="str">
        <f t="shared" si="113"/>
        <v>dnt611_2_3</v>
      </c>
      <c r="AS466">
        <f t="shared" si="114"/>
        <v>0</v>
      </c>
    </row>
    <row r="467" spans="2:45" x14ac:dyDescent="0.35">
      <c r="B467" s="40">
        <v>611.20000000000005</v>
      </c>
      <c r="C467" s="13"/>
      <c r="D467" s="13"/>
      <c r="E467" s="13" t="s">
        <v>283</v>
      </c>
      <c r="F467" s="13"/>
      <c r="G467" s="13"/>
      <c r="H467" s="550"/>
      <c r="I467" s="32"/>
      <c r="J467" s="150" t="s">
        <v>283</v>
      </c>
      <c r="K467" s="151"/>
      <c r="L467" s="220" t="s">
        <v>785</v>
      </c>
      <c r="M467" s="153">
        <v>3</v>
      </c>
      <c r="N467" s="4"/>
      <c r="O467" s="85"/>
      <c r="P467" t="b">
        <v>1</v>
      </c>
      <c r="Q467" t="b">
        <v>1</v>
      </c>
      <c r="R467" t="b">
        <v>0</v>
      </c>
      <c r="S467" t="b">
        <v>1</v>
      </c>
      <c r="T467" t="b">
        <v>0</v>
      </c>
      <c r="W467" s="17"/>
      <c r="X467" s="39"/>
      <c r="AC467" t="b">
        <f t="shared" si="107"/>
        <v>0</v>
      </c>
      <c r="AD467" t="b">
        <f t="shared" si="108"/>
        <v>0</v>
      </c>
      <c r="AE467" t="b">
        <v>0</v>
      </c>
      <c r="AL467" t="str">
        <f t="shared" si="109"/>
        <v>dpa611_2_4</v>
      </c>
      <c r="AM467">
        <f t="shared" si="110"/>
        <v>3</v>
      </c>
      <c r="AP467" t="str">
        <f t="shared" si="111"/>
        <v>dch611_2_4</v>
      </c>
      <c r="AQ467">
        <f t="shared" si="112"/>
        <v>0</v>
      </c>
      <c r="AR467" t="str">
        <f t="shared" si="113"/>
        <v>dnt611_2_4</v>
      </c>
      <c r="AS467">
        <f t="shared" si="114"/>
        <v>0</v>
      </c>
    </row>
    <row r="468" spans="2:45" x14ac:dyDescent="0.35">
      <c r="B468" s="40">
        <v>611.20000000000005</v>
      </c>
      <c r="C468" s="13"/>
      <c r="D468" s="13"/>
      <c r="E468" s="13" t="s">
        <v>289</v>
      </c>
      <c r="F468" s="13"/>
      <c r="G468" s="13"/>
      <c r="H468" s="550"/>
      <c r="I468" s="32"/>
      <c r="J468" s="150" t="s">
        <v>289</v>
      </c>
      <c r="K468" s="151"/>
      <c r="L468" s="220" t="s">
        <v>786</v>
      </c>
      <c r="M468" s="153">
        <v>3</v>
      </c>
      <c r="N468" s="4"/>
      <c r="O468" s="85"/>
      <c r="P468" t="b">
        <v>1</v>
      </c>
      <c r="Q468" t="b">
        <v>1</v>
      </c>
      <c r="R468" t="b">
        <v>0</v>
      </c>
      <c r="S468" t="b">
        <v>1</v>
      </c>
      <c r="T468" t="b">
        <v>0</v>
      </c>
      <c r="W468" s="17"/>
      <c r="X468" s="39"/>
      <c r="AC468" t="b">
        <f t="shared" si="107"/>
        <v>0</v>
      </c>
      <c r="AD468" t="b">
        <f t="shared" si="108"/>
        <v>0</v>
      </c>
      <c r="AE468" t="b">
        <v>0</v>
      </c>
      <c r="AL468" t="str">
        <f t="shared" si="109"/>
        <v>dpa611_2_5</v>
      </c>
      <c r="AM468">
        <f t="shared" si="110"/>
        <v>3</v>
      </c>
      <c r="AP468" t="str">
        <f t="shared" si="111"/>
        <v>dch611_2_5</v>
      </c>
      <c r="AQ468">
        <f t="shared" si="112"/>
        <v>0</v>
      </c>
      <c r="AR468" t="str">
        <f t="shared" si="113"/>
        <v>dnt611_2_5</v>
      </c>
      <c r="AS468">
        <f t="shared" si="114"/>
        <v>0</v>
      </c>
    </row>
    <row r="469" spans="2:45" x14ac:dyDescent="0.35">
      <c r="B469" s="40">
        <v>611.20000000000005</v>
      </c>
      <c r="C469" s="13"/>
      <c r="D469" s="13"/>
      <c r="E469" s="13" t="s">
        <v>291</v>
      </c>
      <c r="F469" s="13"/>
      <c r="G469" s="13"/>
      <c r="H469" s="550"/>
      <c r="I469" s="32"/>
      <c r="J469" s="150" t="s">
        <v>291</v>
      </c>
      <c r="K469" s="151"/>
      <c r="L469" s="220" t="s">
        <v>787</v>
      </c>
      <c r="M469" s="153">
        <v>3</v>
      </c>
      <c r="N469" s="4"/>
      <c r="O469" s="85"/>
      <c r="P469" t="b">
        <v>1</v>
      </c>
      <c r="Q469" t="b">
        <v>1</v>
      </c>
      <c r="R469" t="b">
        <v>0</v>
      </c>
      <c r="S469" t="b">
        <v>1</v>
      </c>
      <c r="T469" t="b">
        <v>0</v>
      </c>
      <c r="W469" s="17"/>
      <c r="X469" s="39"/>
      <c r="AC469" t="b">
        <f t="shared" si="107"/>
        <v>0</v>
      </c>
      <c r="AD469" t="b">
        <f t="shared" si="108"/>
        <v>0</v>
      </c>
      <c r="AE469" t="b">
        <v>0</v>
      </c>
      <c r="AL469" t="str">
        <f t="shared" si="109"/>
        <v>dpa611_2_6</v>
      </c>
      <c r="AM469">
        <f t="shared" si="110"/>
        <v>3</v>
      </c>
      <c r="AP469" t="str">
        <f t="shared" si="111"/>
        <v>dch611_2_6</v>
      </c>
      <c r="AQ469">
        <f t="shared" si="112"/>
        <v>0</v>
      </c>
      <c r="AR469" t="str">
        <f t="shared" si="113"/>
        <v>dnt611_2_6</v>
      </c>
      <c r="AS469">
        <f t="shared" si="114"/>
        <v>0</v>
      </c>
    </row>
    <row r="470" spans="2:45" x14ac:dyDescent="0.35">
      <c r="B470" s="40">
        <v>611.20000000000005</v>
      </c>
      <c r="C470" s="13"/>
      <c r="D470" s="13"/>
      <c r="E470" s="13" t="s">
        <v>403</v>
      </c>
      <c r="F470" s="13"/>
      <c r="G470" s="13"/>
      <c r="H470" s="550"/>
      <c r="I470" s="32"/>
      <c r="J470" s="19" t="s">
        <v>403</v>
      </c>
      <c r="K470" s="46"/>
      <c r="L470" s="707" t="s">
        <v>788</v>
      </c>
      <c r="M470" s="690">
        <v>3</v>
      </c>
      <c r="N470" s="4"/>
      <c r="O470" s="85"/>
      <c r="P470" t="b">
        <v>1</v>
      </c>
      <c r="Q470" t="b">
        <v>1</v>
      </c>
      <c r="R470" t="b">
        <v>0</v>
      </c>
      <c r="S470" t="b">
        <v>1</v>
      </c>
      <c r="T470" t="b">
        <v>0</v>
      </c>
      <c r="W470" s="17"/>
      <c r="X470" s="688"/>
      <c r="AC470" t="b">
        <f t="shared" si="107"/>
        <v>0</v>
      </c>
      <c r="AD470" t="b">
        <f t="shared" si="108"/>
        <v>0</v>
      </c>
      <c r="AE470" t="b">
        <v>0</v>
      </c>
      <c r="AL470" t="str">
        <f t="shared" si="109"/>
        <v>dpa611_2_7</v>
      </c>
      <c r="AM470">
        <f t="shared" si="110"/>
        <v>3</v>
      </c>
      <c r="AP470" t="str">
        <f t="shared" si="111"/>
        <v>dch611_2_7</v>
      </c>
      <c r="AQ470">
        <f t="shared" si="112"/>
        <v>0</v>
      </c>
      <c r="AR470" t="str">
        <f t="shared" si="113"/>
        <v>dnt611_2_7</v>
      </c>
      <c r="AS470">
        <f t="shared" si="114"/>
        <v>0</v>
      </c>
    </row>
    <row r="471" spans="2:45" ht="15" thickBot="1" x14ac:dyDescent="0.4">
      <c r="B471" s="40">
        <v>611.20000000000005</v>
      </c>
      <c r="C471" s="13"/>
      <c r="D471" s="13"/>
      <c r="E471" s="13" t="s">
        <v>403</v>
      </c>
      <c r="F471" s="13"/>
      <c r="G471" s="13"/>
      <c r="H471" s="550"/>
      <c r="I471" s="32"/>
      <c r="J471" s="19"/>
      <c r="K471" s="46"/>
      <c r="L471" s="707"/>
      <c r="M471" s="690"/>
      <c r="N471" s="4"/>
      <c r="O471" s="85"/>
      <c r="X471" s="698"/>
    </row>
    <row r="472" spans="2:45" ht="15" thickTop="1" x14ac:dyDescent="0.35">
      <c r="B472" s="40">
        <v>611.29999999999995</v>
      </c>
      <c r="C472" s="13"/>
      <c r="D472" s="13"/>
      <c r="E472" s="13"/>
      <c r="F472" s="13"/>
      <c r="G472" s="13"/>
      <c r="H472" s="550"/>
      <c r="I472" s="123">
        <v>611.29999999999995</v>
      </c>
      <c r="J472" s="140"/>
      <c r="K472" s="125"/>
      <c r="L472" s="711" t="s">
        <v>789</v>
      </c>
      <c r="M472" s="692" t="s">
        <v>568</v>
      </c>
      <c r="N472" s="124"/>
      <c r="O472" s="694">
        <f>MIN(12,M474*S474*W474+M479*S479*W479+M483*S483*W483+M485*S485*W485+M487*S487*W487+M488*S488*W488+M489*S489*W489+M493*S493*W493+M495*S495*W495)</f>
        <v>1</v>
      </c>
      <c r="P472" s="62"/>
      <c r="Q472" s="62"/>
      <c r="R472" s="62"/>
      <c r="S472" s="62"/>
      <c r="T472" s="62"/>
      <c r="U472" s="62"/>
      <c r="V472" s="62"/>
      <c r="W472" s="62"/>
      <c r="X472" s="62"/>
      <c r="AL472" t="str">
        <f>SUBSTITUTE(SUBSTITUTE(SUBSTITUTE("dpa"&amp;$B472&amp;$C472&amp;$D472&amp;$E472&amp;$F472,".","_"),"(","_"),")","")</f>
        <v>dpa611_3</v>
      </c>
      <c r="AM472" t="str">
        <f>M472</f>
        <v>12 Max</v>
      </c>
      <c r="AN472" t="str">
        <f>SUBSTITUTE(SUBSTITUTE(SUBSTITUTE("dpc"&amp;$B472&amp;$C472&amp;$D472&amp;$E472&amp;$F472,".","_"),"(","_"),")","")</f>
        <v>dpc611_3</v>
      </c>
      <c r="AO472">
        <f>O472</f>
        <v>1</v>
      </c>
    </row>
    <row r="473" spans="2:45" x14ac:dyDescent="0.35">
      <c r="B473" s="40">
        <v>611.29999999999995</v>
      </c>
      <c r="C473" s="13"/>
      <c r="D473" s="13"/>
      <c r="E473" s="13"/>
      <c r="F473" s="13"/>
      <c r="G473" s="13"/>
      <c r="H473" s="550"/>
      <c r="I473" s="32"/>
      <c r="J473" s="4"/>
      <c r="K473" s="46"/>
      <c r="L473" s="706"/>
      <c r="M473" s="690"/>
      <c r="N473" s="4"/>
      <c r="O473" s="696"/>
    </row>
    <row r="474" spans="2:45" x14ac:dyDescent="0.35">
      <c r="B474" s="40">
        <v>611.29999999999995</v>
      </c>
      <c r="C474" s="13"/>
      <c r="D474" s="13"/>
      <c r="E474" s="13" t="s">
        <v>270</v>
      </c>
      <c r="F474" s="13"/>
      <c r="G474" s="13"/>
      <c r="H474" s="550"/>
      <c r="I474" s="32"/>
      <c r="J474" s="19" t="s">
        <v>270</v>
      </c>
      <c r="K474" s="46"/>
      <c r="L474" s="707" t="s">
        <v>790</v>
      </c>
      <c r="M474" s="690">
        <v>3</v>
      </c>
      <c r="N474" s="4"/>
      <c r="O474" s="85"/>
      <c r="P474" t="b">
        <v>1</v>
      </c>
      <c r="Q474" t="b">
        <v>1</v>
      </c>
      <c r="R474" t="b">
        <v>0</v>
      </c>
      <c r="S474" t="b">
        <v>1</v>
      </c>
      <c r="T474" t="b">
        <v>0</v>
      </c>
      <c r="W474" s="17"/>
      <c r="X474" s="688"/>
      <c r="AL474" t="str">
        <f>SUBSTITUTE(SUBSTITUTE(SUBSTITUTE("dpa"&amp;$B474&amp;$C474&amp;$D474&amp;$E474&amp;$F474,".","_"),"(","_"),")","")</f>
        <v>dpa611_3_1</v>
      </c>
      <c r="AM474">
        <f>M474</f>
        <v>3</v>
      </c>
      <c r="AP474" t="str">
        <f t="shared" ref="AP474" si="115">SUBSTITUTE(SUBSTITUTE(SUBSTITUTE("dch"&amp;$B474&amp;$C474&amp;$D474&amp;$E474&amp;$F474,".","_"),"(","_"),")","")</f>
        <v>dch611_3_1</v>
      </c>
      <c r="AQ474">
        <f>W474</f>
        <v>0</v>
      </c>
      <c r="AR474" t="str">
        <f>SUBSTITUTE(SUBSTITUTE(SUBSTITUTE("dnt"&amp;$B474&amp;$C474&amp;$D474&amp;$E474&amp;$F474,".","_"),"(","_"),")","")</f>
        <v>dnt611_3_1</v>
      </c>
      <c r="AS474">
        <f>X474</f>
        <v>0</v>
      </c>
    </row>
    <row r="475" spans="2:45" x14ac:dyDescent="0.35">
      <c r="B475" s="40">
        <v>611.29999999999995</v>
      </c>
      <c r="C475" s="13"/>
      <c r="D475" s="13"/>
      <c r="E475" s="13" t="s">
        <v>270</v>
      </c>
      <c r="F475" s="13"/>
      <c r="G475" s="13"/>
      <c r="H475" s="550"/>
      <c r="I475" s="32"/>
      <c r="J475" s="4"/>
      <c r="K475" s="46"/>
      <c r="L475" s="707"/>
      <c r="M475" s="690"/>
      <c r="N475" s="4"/>
      <c r="O475" s="85"/>
      <c r="X475" s="688"/>
    </row>
    <row r="476" spans="2:45" x14ac:dyDescent="0.35">
      <c r="B476" s="40">
        <v>611.29999999999995</v>
      </c>
      <c r="C476" s="13"/>
      <c r="D476" s="13"/>
      <c r="E476" s="13" t="s">
        <v>270</v>
      </c>
      <c r="F476" s="13"/>
      <c r="G476" s="13"/>
      <c r="H476" s="550"/>
      <c r="I476" s="32"/>
      <c r="J476" s="4"/>
      <c r="K476" s="46"/>
      <c r="L476" s="707"/>
      <c r="M476" s="690"/>
      <c r="N476" s="4"/>
      <c r="O476" s="85"/>
      <c r="X476" s="688"/>
    </row>
    <row r="477" spans="2:45" x14ac:dyDescent="0.35">
      <c r="B477" s="40">
        <v>611.29999999999995</v>
      </c>
      <c r="C477" s="13"/>
      <c r="D477" s="13"/>
      <c r="E477" s="13" t="s">
        <v>270</v>
      </c>
      <c r="F477" s="13"/>
      <c r="G477" s="13"/>
      <c r="H477" s="550"/>
      <c r="I477" s="32"/>
      <c r="J477" s="4"/>
      <c r="K477" s="46"/>
      <c r="L477" s="707"/>
      <c r="M477" s="690"/>
      <c r="N477" s="4"/>
      <c r="O477" s="85"/>
      <c r="X477" s="688"/>
    </row>
    <row r="478" spans="2:45" x14ac:dyDescent="0.35">
      <c r="B478" s="40">
        <v>611.29999999999995</v>
      </c>
      <c r="C478" s="13"/>
      <c r="D478" s="13"/>
      <c r="E478" s="13" t="s">
        <v>270</v>
      </c>
      <c r="F478" s="13"/>
      <c r="G478" s="13"/>
      <c r="H478" s="550"/>
      <c r="I478" s="32"/>
      <c r="J478" s="155"/>
      <c r="K478" s="116"/>
      <c r="L478" s="709"/>
      <c r="M478" s="691"/>
      <c r="N478" s="4"/>
      <c r="O478" s="85"/>
      <c r="X478" s="688"/>
    </row>
    <row r="479" spans="2:45" x14ac:dyDescent="0.35">
      <c r="B479" s="40">
        <v>611.29999999999995</v>
      </c>
      <c r="C479" s="13"/>
      <c r="D479" s="13"/>
      <c r="E479" s="13" t="s">
        <v>272</v>
      </c>
      <c r="F479" s="13"/>
      <c r="G479" s="13"/>
      <c r="H479" s="550"/>
      <c r="I479" s="32"/>
      <c r="J479" s="154" t="s">
        <v>272</v>
      </c>
      <c r="K479" s="137"/>
      <c r="L479" s="742" t="s">
        <v>791</v>
      </c>
      <c r="M479" s="712">
        <v>3</v>
      </c>
      <c r="N479" s="4"/>
      <c r="O479" s="85"/>
      <c r="P479" t="b">
        <v>1</v>
      </c>
      <c r="Q479" t="b">
        <v>1</v>
      </c>
      <c r="R479" t="b">
        <v>0</v>
      </c>
      <c r="S479" t="b">
        <f>IF(W474=TRUE,TRUE,FALSE)</f>
        <v>0</v>
      </c>
      <c r="T479" t="b">
        <f>AND(NOT(S479),W479=TRUE)</f>
        <v>0</v>
      </c>
      <c r="W479" s="17"/>
      <c r="X479" s="688"/>
      <c r="AC479" t="b">
        <f>OR(AD479:AE479)</f>
        <v>0</v>
      </c>
      <c r="AD479" t="b">
        <f>T479</f>
        <v>0</v>
      </c>
      <c r="AL479" t="str">
        <f>SUBSTITUTE(SUBSTITUTE(SUBSTITUTE("dpa"&amp;$B479&amp;$C479&amp;$D479&amp;$E479&amp;$F479,".","_"),"(","_"),")","")</f>
        <v>dpa611_3_2</v>
      </c>
      <c r="AM479">
        <f>M479</f>
        <v>3</v>
      </c>
      <c r="AP479" t="str">
        <f t="shared" ref="AP479" si="116">SUBSTITUTE(SUBSTITUTE(SUBSTITUTE("dch"&amp;$B479&amp;$C479&amp;$D479&amp;$E479&amp;$F479,".","_"),"(","_"),")","")</f>
        <v>dch611_3_2</v>
      </c>
      <c r="AQ479">
        <f>W479</f>
        <v>0</v>
      </c>
      <c r="AR479" t="str">
        <f>SUBSTITUTE(SUBSTITUTE(SUBSTITUTE("dnt"&amp;$B479&amp;$C479&amp;$D479&amp;$E479&amp;$F479,".","_"),"(","_"),")","")</f>
        <v>dnt611_3_2</v>
      </c>
      <c r="AS479">
        <f>X479</f>
        <v>0</v>
      </c>
    </row>
    <row r="480" spans="2:45" x14ac:dyDescent="0.35">
      <c r="B480" s="40">
        <v>611.29999999999995</v>
      </c>
      <c r="C480" s="13"/>
      <c r="D480" s="13"/>
      <c r="E480" s="13" t="s">
        <v>272</v>
      </c>
      <c r="F480" s="13"/>
      <c r="G480" s="13"/>
      <c r="H480" s="550"/>
      <c r="I480" s="32"/>
      <c r="J480" s="4"/>
      <c r="K480" s="46"/>
      <c r="L480" s="707"/>
      <c r="M480" s="690"/>
      <c r="N480" s="4"/>
      <c r="O480" s="85"/>
      <c r="X480" s="688"/>
    </row>
    <row r="481" spans="2:45" x14ac:dyDescent="0.35">
      <c r="B481" s="40">
        <v>611.29999999999995</v>
      </c>
      <c r="C481" s="13"/>
      <c r="D481" s="13"/>
      <c r="E481" s="13" t="s">
        <v>272</v>
      </c>
      <c r="F481" s="13"/>
      <c r="G481" s="13"/>
      <c r="H481" s="550"/>
      <c r="I481" s="32"/>
      <c r="J481" s="4"/>
      <c r="K481" s="46"/>
      <c r="L481" s="707"/>
      <c r="M481" s="690"/>
      <c r="N481" s="4"/>
      <c r="O481" s="85"/>
      <c r="X481" s="688"/>
    </row>
    <row r="482" spans="2:45" x14ac:dyDescent="0.35">
      <c r="B482" s="40">
        <v>611.29999999999995</v>
      </c>
      <c r="C482" s="13"/>
      <c r="D482" s="13"/>
      <c r="E482" s="13" t="s">
        <v>272</v>
      </c>
      <c r="F482" s="13"/>
      <c r="G482" s="13"/>
      <c r="H482" s="550"/>
      <c r="I482" s="32"/>
      <c r="J482" s="155"/>
      <c r="K482" s="116"/>
      <c r="L482" s="709"/>
      <c r="M482" s="691"/>
      <c r="N482" s="4"/>
      <c r="O482" s="85"/>
      <c r="X482" s="688"/>
    </row>
    <row r="483" spans="2:45" x14ac:dyDescent="0.35">
      <c r="B483" s="40">
        <v>611.29999999999995</v>
      </c>
      <c r="C483" s="13"/>
      <c r="D483" s="13"/>
      <c r="E483" s="13" t="s">
        <v>274</v>
      </c>
      <c r="F483" s="13"/>
      <c r="G483" s="13"/>
      <c r="H483" s="550"/>
      <c r="I483" s="32"/>
      <c r="J483" s="154" t="s">
        <v>274</v>
      </c>
      <c r="K483" s="137"/>
      <c r="L483" s="742" t="s">
        <v>792</v>
      </c>
      <c r="M483" s="712">
        <v>3</v>
      </c>
      <c r="N483" s="4"/>
      <c r="O483" s="85"/>
      <c r="P483" t="b">
        <v>1</v>
      </c>
      <c r="Q483" t="b">
        <v>1</v>
      </c>
      <c r="R483" t="b">
        <v>0</v>
      </c>
      <c r="S483" t="b">
        <f>IF(W474=TRUE,TRUE,FALSE)</f>
        <v>0</v>
      </c>
      <c r="T483" t="b">
        <f>AND(NOT(S483),W483=TRUE)</f>
        <v>0</v>
      </c>
      <c r="W483" s="17"/>
      <c r="X483" s="688"/>
      <c r="AC483" t="b">
        <f>OR(AD483:AE483)</f>
        <v>0</v>
      </c>
      <c r="AD483" t="b">
        <f>T483</f>
        <v>0</v>
      </c>
      <c r="AL483" t="str">
        <f>SUBSTITUTE(SUBSTITUTE(SUBSTITUTE("dpa"&amp;$B483&amp;$C483&amp;$D483&amp;$E483&amp;$F483,".","_"),"(","_"),")","")</f>
        <v>dpa611_3_3</v>
      </c>
      <c r="AM483">
        <f>M483</f>
        <v>3</v>
      </c>
      <c r="AP483" t="str">
        <f t="shared" ref="AP483" si="117">SUBSTITUTE(SUBSTITUTE(SUBSTITUTE("dch"&amp;$B483&amp;$C483&amp;$D483&amp;$E483&amp;$F483,".","_"),"(","_"),")","")</f>
        <v>dch611_3_3</v>
      </c>
      <c r="AQ483">
        <f>W483</f>
        <v>0</v>
      </c>
      <c r="AR483" t="str">
        <f>SUBSTITUTE(SUBSTITUTE(SUBSTITUTE("dnt"&amp;$B483&amp;$C483&amp;$D483&amp;$E483&amp;$F483,".","_"),"(","_"),")","")</f>
        <v>dnt611_3_3</v>
      </c>
      <c r="AS483">
        <f>X483</f>
        <v>0</v>
      </c>
    </row>
    <row r="484" spans="2:45" x14ac:dyDescent="0.35">
      <c r="B484" s="40">
        <v>611.29999999999995</v>
      </c>
      <c r="C484" s="13"/>
      <c r="D484" s="13"/>
      <c r="E484" s="13" t="s">
        <v>274</v>
      </c>
      <c r="F484" s="13"/>
      <c r="G484" s="13"/>
      <c r="H484" s="550"/>
      <c r="I484" s="32"/>
      <c r="J484" s="155"/>
      <c r="K484" s="116"/>
      <c r="L484" s="709"/>
      <c r="M484" s="691"/>
      <c r="N484" s="4"/>
      <c r="O484" s="85"/>
      <c r="X484" s="688"/>
    </row>
    <row r="485" spans="2:45" x14ac:dyDescent="0.35">
      <c r="B485" s="40">
        <v>611.29999999999995</v>
      </c>
      <c r="C485" s="13"/>
      <c r="D485" s="13"/>
      <c r="E485" s="13" t="s">
        <v>283</v>
      </c>
      <c r="F485" s="13"/>
      <c r="G485" s="13"/>
      <c r="H485" s="550"/>
      <c r="I485" s="32"/>
      <c r="J485" s="154" t="s">
        <v>283</v>
      </c>
      <c r="K485" s="137"/>
      <c r="L485" s="742" t="s">
        <v>793</v>
      </c>
      <c r="M485" s="712">
        <v>1</v>
      </c>
      <c r="N485" s="4"/>
      <c r="O485" s="85"/>
      <c r="P485" t="b">
        <v>1</v>
      </c>
      <c r="Q485" t="b">
        <v>0</v>
      </c>
      <c r="R485" t="b">
        <v>0</v>
      </c>
      <c r="S485" t="b">
        <v>1</v>
      </c>
      <c r="T485" t="b">
        <v>0</v>
      </c>
      <c r="W485" s="17"/>
      <c r="X485" s="688"/>
      <c r="AL485" t="str">
        <f>SUBSTITUTE(SUBSTITUTE(SUBSTITUTE("dpa"&amp;$B485&amp;$C485&amp;$D485&amp;$E485&amp;$F485,".","_"),"(","_"),")","")</f>
        <v>dpa611_3_4</v>
      </c>
      <c r="AM485">
        <f>M485</f>
        <v>1</v>
      </c>
      <c r="AP485" t="str">
        <f t="shared" ref="AP485" si="118">SUBSTITUTE(SUBSTITUTE(SUBSTITUTE("dch"&amp;$B485&amp;$C485&amp;$D485&amp;$E485&amp;$F485,".","_"),"(","_"),")","")</f>
        <v>dch611_3_4</v>
      </c>
      <c r="AQ485">
        <f>W485</f>
        <v>0</v>
      </c>
      <c r="AR485" t="str">
        <f>SUBSTITUTE(SUBSTITUTE(SUBSTITUTE("dnt"&amp;$B485&amp;$C485&amp;$D485&amp;$E485&amp;$F485,".","_"),"(","_"),")","")</f>
        <v>dnt611_3_4</v>
      </c>
      <c r="AS485">
        <f>X485</f>
        <v>0</v>
      </c>
    </row>
    <row r="486" spans="2:45" x14ac:dyDescent="0.35">
      <c r="B486" s="40">
        <v>611.29999999999995</v>
      </c>
      <c r="C486" s="13"/>
      <c r="D486" s="13"/>
      <c r="E486" s="13" t="s">
        <v>283</v>
      </c>
      <c r="F486" s="13"/>
      <c r="G486" s="13"/>
      <c r="H486" s="550"/>
      <c r="I486" s="32"/>
      <c r="J486" s="155"/>
      <c r="K486" s="116"/>
      <c r="L486" s="709"/>
      <c r="M486" s="691"/>
      <c r="N486" s="4"/>
      <c r="O486" s="85"/>
      <c r="X486" s="688"/>
    </row>
    <row r="487" spans="2:45" x14ac:dyDescent="0.35">
      <c r="B487" s="40">
        <v>611.29999999999995</v>
      </c>
      <c r="C487" s="13"/>
      <c r="D487" s="13"/>
      <c r="E487" s="13" t="s">
        <v>289</v>
      </c>
      <c r="F487" s="13"/>
      <c r="G487" s="13"/>
      <c r="H487" s="550"/>
      <c r="I487" s="32"/>
      <c r="J487" s="150" t="s">
        <v>289</v>
      </c>
      <c r="K487" s="151"/>
      <c r="L487" s="220" t="s">
        <v>794</v>
      </c>
      <c r="M487" s="153">
        <v>1</v>
      </c>
      <c r="N487" s="4"/>
      <c r="O487" s="85"/>
      <c r="P487" t="b">
        <v>1</v>
      </c>
      <c r="Q487" t="b">
        <v>1</v>
      </c>
      <c r="R487" t="b">
        <v>0</v>
      </c>
      <c r="S487" t="b">
        <v>1</v>
      </c>
      <c r="T487" t="b">
        <v>0</v>
      </c>
      <c r="W487" s="17"/>
      <c r="X487" s="39"/>
      <c r="AL487" t="str">
        <f t="shared" ref="AL487:AL489" si="119">SUBSTITUTE(SUBSTITUTE(SUBSTITUTE("dpa"&amp;$B487&amp;$C487&amp;$D487&amp;$E487&amp;$F487,".","_"),"(","_"),")","")</f>
        <v>dpa611_3_5</v>
      </c>
      <c r="AM487">
        <f>M487</f>
        <v>1</v>
      </c>
      <c r="AP487" t="str">
        <f t="shared" ref="AP487:AP489" si="120">SUBSTITUTE(SUBSTITUTE(SUBSTITUTE("dch"&amp;$B487&amp;$C487&amp;$D487&amp;$E487&amp;$F487,".","_"),"(","_"),")","")</f>
        <v>dch611_3_5</v>
      </c>
      <c r="AQ487">
        <f>W487</f>
        <v>0</v>
      </c>
      <c r="AR487" t="str">
        <f>SUBSTITUTE(SUBSTITUTE(SUBSTITUTE("dnt"&amp;$B487&amp;$C487&amp;$D487&amp;$E487&amp;$F487,".","_"),"(","_"),")","")</f>
        <v>dnt611_3_5</v>
      </c>
      <c r="AS487">
        <f>X487</f>
        <v>0</v>
      </c>
    </row>
    <row r="488" spans="2:45" x14ac:dyDescent="0.35">
      <c r="B488" s="40">
        <v>611.29999999999995</v>
      </c>
      <c r="C488" s="13"/>
      <c r="D488" s="13"/>
      <c r="E488" s="13" t="s">
        <v>291</v>
      </c>
      <c r="F488" s="13"/>
      <c r="G488" s="13"/>
      <c r="H488" s="550"/>
      <c r="I488" s="32"/>
      <c r="J488" s="150" t="s">
        <v>291</v>
      </c>
      <c r="K488" s="151"/>
      <c r="L488" s="220" t="s">
        <v>795</v>
      </c>
      <c r="M488" s="153">
        <v>1</v>
      </c>
      <c r="N488" s="4"/>
      <c r="O488" s="85"/>
      <c r="P488" t="b">
        <v>1</v>
      </c>
      <c r="Q488" t="b">
        <v>1</v>
      </c>
      <c r="R488" t="b">
        <v>0</v>
      </c>
      <c r="S488" t="b">
        <v>1</v>
      </c>
      <c r="T488" t="b">
        <v>0</v>
      </c>
      <c r="W488" s="17"/>
      <c r="X488" s="39"/>
      <c r="AL488" t="str">
        <f t="shared" si="119"/>
        <v>dpa611_3_6</v>
      </c>
      <c r="AM488">
        <f>M488</f>
        <v>1</v>
      </c>
      <c r="AP488" t="str">
        <f t="shared" si="120"/>
        <v>dch611_3_6</v>
      </c>
      <c r="AQ488">
        <f>W488</f>
        <v>0</v>
      </c>
      <c r="AR488" t="str">
        <f>SUBSTITUTE(SUBSTITUTE(SUBSTITUTE("dnt"&amp;$B488&amp;$C488&amp;$D488&amp;$E488&amp;$F488,".","_"),"(","_"),")","")</f>
        <v>dnt611_3_6</v>
      </c>
      <c r="AS488">
        <f>X488</f>
        <v>0</v>
      </c>
    </row>
    <row r="489" spans="2:45" x14ac:dyDescent="0.35">
      <c r="B489" s="40">
        <v>611.29999999999995</v>
      </c>
      <c r="C489" s="13"/>
      <c r="D489" s="13"/>
      <c r="E489" s="13" t="s">
        <v>403</v>
      </c>
      <c r="F489" s="13"/>
      <c r="G489" s="13"/>
      <c r="H489" s="550"/>
      <c r="I489" s="32"/>
      <c r="J489" s="154" t="s">
        <v>403</v>
      </c>
      <c r="K489" s="137"/>
      <c r="L489" s="742" t="s">
        <v>796</v>
      </c>
      <c r="M489" s="712">
        <v>1</v>
      </c>
      <c r="N489" s="4"/>
      <c r="O489" s="85"/>
      <c r="P489" t="b">
        <v>1</v>
      </c>
      <c r="Q489" t="b">
        <v>1</v>
      </c>
      <c r="R489" t="b">
        <v>0</v>
      </c>
      <c r="S489" t="b">
        <v>1</v>
      </c>
      <c r="T489" t="b">
        <v>0</v>
      </c>
      <c r="W489" s="17"/>
      <c r="X489" s="688"/>
      <c r="AL489" t="str">
        <f t="shared" si="119"/>
        <v>dpa611_3_7</v>
      </c>
      <c r="AM489">
        <f>M489</f>
        <v>1</v>
      </c>
      <c r="AP489" t="str">
        <f t="shared" si="120"/>
        <v>dch611_3_7</v>
      </c>
      <c r="AQ489">
        <f>W489</f>
        <v>0</v>
      </c>
      <c r="AR489" t="str">
        <f>SUBSTITUTE(SUBSTITUTE(SUBSTITUTE("dnt"&amp;$B489&amp;$C489&amp;$D489&amp;$E489&amp;$F489,".","_"),"(","_"),")","")</f>
        <v>dnt611_3_7</v>
      </c>
      <c r="AS489">
        <f>X489</f>
        <v>0</v>
      </c>
    </row>
    <row r="490" spans="2:45" x14ac:dyDescent="0.35">
      <c r="B490" s="40">
        <v>611.29999999999995</v>
      </c>
      <c r="C490" s="13"/>
      <c r="D490" s="13"/>
      <c r="E490" s="13" t="s">
        <v>403</v>
      </c>
      <c r="F490" s="13"/>
      <c r="G490" s="13"/>
      <c r="H490" s="550"/>
      <c r="I490" s="32"/>
      <c r="J490" s="4"/>
      <c r="K490" s="46"/>
      <c r="L490" s="707"/>
      <c r="M490" s="690"/>
      <c r="N490" s="4"/>
      <c r="O490" s="85"/>
      <c r="X490" s="688"/>
    </row>
    <row r="491" spans="2:45" x14ac:dyDescent="0.35">
      <c r="B491" s="40">
        <v>611.29999999999995</v>
      </c>
      <c r="C491" s="13"/>
      <c r="D491" s="13"/>
      <c r="E491" s="13" t="s">
        <v>403</v>
      </c>
      <c r="F491" s="13"/>
      <c r="G491" s="13"/>
      <c r="H491" s="550"/>
      <c r="I491" s="32"/>
      <c r="J491" s="4"/>
      <c r="K491" s="46"/>
      <c r="L491" s="707"/>
      <c r="M491" s="690"/>
      <c r="N491" s="4"/>
      <c r="O491" s="85"/>
      <c r="X491" s="688"/>
    </row>
    <row r="492" spans="2:45" x14ac:dyDescent="0.35">
      <c r="B492" s="40">
        <v>611.29999999999995</v>
      </c>
      <c r="C492" s="13"/>
      <c r="D492" s="13"/>
      <c r="E492" s="13" t="s">
        <v>403</v>
      </c>
      <c r="F492" s="13"/>
      <c r="G492" s="13"/>
      <c r="H492" s="550"/>
      <c r="I492" s="32"/>
      <c r="J492" s="155"/>
      <c r="K492" s="116"/>
      <c r="L492" s="709"/>
      <c r="M492" s="691"/>
      <c r="N492" s="4"/>
      <c r="O492" s="85"/>
      <c r="X492" s="688"/>
    </row>
    <row r="493" spans="2:45" x14ac:dyDescent="0.35">
      <c r="B493" s="40">
        <v>611.29999999999995</v>
      </c>
      <c r="C493" s="13"/>
      <c r="D493" s="13"/>
      <c r="E493" s="13" t="s">
        <v>453</v>
      </c>
      <c r="F493" s="13"/>
      <c r="G493" s="13"/>
      <c r="H493" s="550"/>
      <c r="I493" s="32"/>
      <c r="J493" s="154" t="s">
        <v>453</v>
      </c>
      <c r="K493" s="137"/>
      <c r="L493" s="742" t="s">
        <v>797</v>
      </c>
      <c r="M493" s="712">
        <v>1</v>
      </c>
      <c r="N493" s="4"/>
      <c r="O493" s="85"/>
      <c r="P493" t="b">
        <v>1</v>
      </c>
      <c r="Q493" t="b">
        <v>1</v>
      </c>
      <c r="R493" t="b">
        <v>0</v>
      </c>
      <c r="S493" t="b">
        <v>1</v>
      </c>
      <c r="T493" t="b">
        <v>0</v>
      </c>
      <c r="W493" s="17"/>
      <c r="X493" s="688"/>
      <c r="AL493" t="str">
        <f>SUBSTITUTE(SUBSTITUTE(SUBSTITUTE("dpa"&amp;$B493&amp;$C493&amp;$D493&amp;$E493&amp;$F493,".","_"),"(","_"),")","")</f>
        <v>dpa611_3_8</v>
      </c>
      <c r="AM493">
        <f>M493</f>
        <v>1</v>
      </c>
      <c r="AP493" t="str">
        <f t="shared" ref="AP493" si="121">SUBSTITUTE(SUBSTITUTE(SUBSTITUTE("dch"&amp;$B493&amp;$C493&amp;$D493&amp;$E493&amp;$F493,".","_"),"(","_"),")","")</f>
        <v>dch611_3_8</v>
      </c>
      <c r="AQ493">
        <f>W493</f>
        <v>0</v>
      </c>
      <c r="AR493" t="str">
        <f>SUBSTITUTE(SUBSTITUTE(SUBSTITUTE("dnt"&amp;$B493&amp;$C493&amp;$D493&amp;$E493&amp;$F493,".","_"),"(","_"),")","")</f>
        <v>dnt611_3_8</v>
      </c>
      <c r="AS493">
        <f>X493</f>
        <v>0</v>
      </c>
    </row>
    <row r="494" spans="2:45" x14ac:dyDescent="0.35">
      <c r="B494" s="40">
        <v>611.29999999999995</v>
      </c>
      <c r="C494" s="13"/>
      <c r="D494" s="13"/>
      <c r="E494" s="13" t="s">
        <v>453</v>
      </c>
      <c r="F494" s="13"/>
      <c r="G494" s="13"/>
      <c r="H494" s="550"/>
      <c r="I494" s="32"/>
      <c r="J494" s="155"/>
      <c r="K494" s="116"/>
      <c r="L494" s="709"/>
      <c r="M494" s="691"/>
      <c r="N494" s="4"/>
      <c r="O494" s="85"/>
      <c r="X494" s="688"/>
    </row>
    <row r="495" spans="2:45" x14ac:dyDescent="0.35">
      <c r="B495" s="40">
        <v>611.29999999999995</v>
      </c>
      <c r="C495" s="13"/>
      <c r="D495" s="13"/>
      <c r="E495" s="13" t="s">
        <v>455</v>
      </c>
      <c r="F495" s="13"/>
      <c r="G495" s="13"/>
      <c r="H495" s="550"/>
      <c r="I495" s="32"/>
      <c r="J495" s="19" t="s">
        <v>455</v>
      </c>
      <c r="K495" s="46"/>
      <c r="L495" s="707" t="s">
        <v>798</v>
      </c>
      <c r="M495" s="690">
        <v>1</v>
      </c>
      <c r="N495" s="4"/>
      <c r="O495" s="85"/>
      <c r="P495" t="b">
        <v>1</v>
      </c>
      <c r="Q495" t="b">
        <v>1</v>
      </c>
      <c r="R495" t="b">
        <v>0</v>
      </c>
      <c r="S495" t="b">
        <v>1</v>
      </c>
      <c r="T495" t="b">
        <v>0</v>
      </c>
      <c r="W495" s="17" t="b">
        <v>1</v>
      </c>
      <c r="X495" s="688"/>
      <c r="AL495" t="str">
        <f>SUBSTITUTE(SUBSTITUTE(SUBSTITUTE("dpa"&amp;$B495&amp;$C495&amp;$D495&amp;$E495&amp;$F495,".","_"),"(","_"),")","")</f>
        <v>dpa611_3_9</v>
      </c>
      <c r="AM495">
        <f>M495</f>
        <v>1</v>
      </c>
      <c r="AP495" t="str">
        <f t="shared" ref="AP495" si="122">SUBSTITUTE(SUBSTITUTE(SUBSTITUTE("dch"&amp;$B495&amp;$C495&amp;$D495&amp;$E495&amp;$F495,".","_"),"(","_"),")","")</f>
        <v>dch611_3_9</v>
      </c>
      <c r="AQ495" t="b">
        <f>W495</f>
        <v>1</v>
      </c>
      <c r="AR495" t="str">
        <f>SUBSTITUTE(SUBSTITUTE(SUBSTITUTE("dnt"&amp;$B495&amp;$C495&amp;$D495&amp;$E495&amp;$F495,".","_"),"(","_"),")","")</f>
        <v>dnt611_3_9</v>
      </c>
      <c r="AS495">
        <f>X495</f>
        <v>0</v>
      </c>
    </row>
    <row r="496" spans="2:45" ht="15" thickBot="1" x14ac:dyDescent="0.4">
      <c r="B496" s="40">
        <v>611.29999999999995</v>
      </c>
      <c r="C496" s="13"/>
      <c r="D496" s="13"/>
      <c r="E496" s="13" t="s">
        <v>455</v>
      </c>
      <c r="F496" s="13"/>
      <c r="G496" s="13"/>
      <c r="H496" s="550"/>
      <c r="I496" s="32"/>
      <c r="J496" s="4"/>
      <c r="K496" s="46"/>
      <c r="L496" s="707"/>
      <c r="M496" s="690"/>
      <c r="N496" s="4"/>
      <c r="O496" s="85"/>
      <c r="X496" s="698"/>
    </row>
    <row r="497" spans="2:45" ht="15" thickTop="1" x14ac:dyDescent="0.35">
      <c r="B497" s="40">
        <v>611.4</v>
      </c>
      <c r="C497" s="13"/>
      <c r="D497" s="13"/>
      <c r="E497" s="13"/>
      <c r="F497" s="13"/>
      <c r="G497" s="13"/>
      <c r="H497" s="550"/>
      <c r="I497" s="123">
        <v>611.4</v>
      </c>
      <c r="J497" s="124"/>
      <c r="K497" s="125"/>
      <c r="L497" s="711" t="s">
        <v>799</v>
      </c>
      <c r="M497" s="692">
        <v>5</v>
      </c>
      <c r="N497" s="124"/>
      <c r="O497" s="694">
        <f>IF(W503+W513*2&gt;=10,5,0)</f>
        <v>0</v>
      </c>
      <c r="P497" s="62"/>
      <c r="Q497" s="62"/>
      <c r="R497" s="62"/>
      <c r="S497" s="62"/>
      <c r="T497" s="62"/>
      <c r="U497" s="62"/>
      <c r="V497" s="62"/>
      <c r="W497" s="62"/>
      <c r="X497" s="62"/>
      <c r="AL497" t="str">
        <f>SUBSTITUTE(SUBSTITUTE(SUBSTITUTE("dpa"&amp;$B497&amp;$C497&amp;$D497&amp;$E497&amp;$F497,".","_"),"(","_"),")","")</f>
        <v>dpa611_4</v>
      </c>
      <c r="AM497">
        <f>M497</f>
        <v>5</v>
      </c>
      <c r="AN497" t="str">
        <f>SUBSTITUTE(SUBSTITUTE(SUBSTITUTE("dpc"&amp;$B497&amp;$C497&amp;$D497&amp;$E497&amp;$F497,".","_"),"(","_"),")","")</f>
        <v>dpc611_4</v>
      </c>
      <c r="AO497">
        <f>O497</f>
        <v>0</v>
      </c>
    </row>
    <row r="498" spans="2:45" x14ac:dyDescent="0.35">
      <c r="B498" s="40">
        <v>611.4</v>
      </c>
      <c r="C498" s="13"/>
      <c r="D498" s="13"/>
      <c r="E498" s="13"/>
      <c r="F498" s="13"/>
      <c r="G498" s="13"/>
      <c r="H498" s="550"/>
      <c r="I498" s="32"/>
      <c r="J498" s="4"/>
      <c r="K498" s="46"/>
      <c r="L498" s="706"/>
      <c r="M498" s="690"/>
      <c r="N498" s="4"/>
      <c r="O498" s="696"/>
    </row>
    <row r="499" spans="2:45" x14ac:dyDescent="0.35">
      <c r="B499" s="40">
        <v>611.4</v>
      </c>
      <c r="C499" s="13"/>
      <c r="D499" s="13"/>
      <c r="E499" s="13"/>
      <c r="F499" s="13"/>
      <c r="G499" s="13"/>
      <c r="H499" s="550"/>
      <c r="I499" s="32"/>
      <c r="J499" s="4"/>
      <c r="K499" s="46"/>
      <c r="L499" s="706"/>
      <c r="M499" s="690"/>
      <c r="N499" s="4"/>
      <c r="O499" s="696"/>
    </row>
    <row r="500" spans="2:45" x14ac:dyDescent="0.35">
      <c r="B500" s="40">
        <v>611.4</v>
      </c>
      <c r="C500" s="13"/>
      <c r="D500" s="13"/>
      <c r="E500" s="13"/>
      <c r="F500" s="13"/>
      <c r="G500" s="13"/>
      <c r="H500" s="550"/>
      <c r="I500" s="32"/>
      <c r="J500" s="4"/>
      <c r="K500" s="46"/>
      <c r="L500" s="706"/>
      <c r="M500" s="690"/>
      <c r="N500" s="4"/>
      <c r="O500" s="696"/>
    </row>
    <row r="501" spans="2:45" x14ac:dyDescent="0.35">
      <c r="B501" s="40">
        <v>611.4</v>
      </c>
      <c r="C501" s="13"/>
      <c r="D501" s="13"/>
      <c r="E501" s="13"/>
      <c r="F501" s="13"/>
      <c r="G501" s="13"/>
      <c r="H501" s="550"/>
      <c r="I501" s="161"/>
      <c r="J501" s="155"/>
      <c r="K501" s="116"/>
      <c r="L501" s="739"/>
      <c r="M501" s="691"/>
      <c r="N501" s="155"/>
      <c r="O501" s="697"/>
    </row>
    <row r="502" spans="2:45" ht="15" customHeight="1" x14ac:dyDescent="0.35">
      <c r="B502" s="40" t="s">
        <v>800</v>
      </c>
      <c r="C502" s="13"/>
      <c r="D502" s="13"/>
      <c r="E502" s="13"/>
      <c r="F502" s="13"/>
      <c r="G502" s="13"/>
      <c r="H502" s="550"/>
      <c r="I502" s="32" t="s">
        <v>800</v>
      </c>
      <c r="J502" s="4"/>
      <c r="K502" s="46"/>
      <c r="L502" s="738" t="s">
        <v>801</v>
      </c>
      <c r="M502" s="43"/>
      <c r="N502" s="4"/>
      <c r="O502" s="85"/>
      <c r="W502" t="s">
        <v>3338</v>
      </c>
      <c r="X502" s="688"/>
      <c r="AR502" t="str">
        <f>SUBSTITUTE(SUBSTITUTE(SUBSTITUTE("dnt"&amp;$B502&amp;$C502&amp;$D502&amp;$E502&amp;$F502,".","_"),"(","_"),")","")</f>
        <v>dnt611_4_1</v>
      </c>
      <c r="AS502">
        <f>X502</f>
        <v>0</v>
      </c>
    </row>
    <row r="503" spans="2:45" x14ac:dyDescent="0.35">
      <c r="B503" s="40" t="s">
        <v>800</v>
      </c>
      <c r="C503" s="13"/>
      <c r="D503" s="13"/>
      <c r="E503" s="13"/>
      <c r="F503" s="13"/>
      <c r="G503" s="13"/>
      <c r="H503" s="550"/>
      <c r="I503" s="32"/>
      <c r="J503" s="4"/>
      <c r="K503" s="46"/>
      <c r="L503" s="738"/>
      <c r="M503" s="43"/>
      <c r="N503" s="4"/>
      <c r="O503" s="85"/>
      <c r="P503" t="b">
        <v>0</v>
      </c>
      <c r="Q503" t="b">
        <v>1</v>
      </c>
      <c r="R503" t="b">
        <v>0</v>
      </c>
      <c r="S503" t="b">
        <v>1</v>
      </c>
      <c r="T503" t="b">
        <v>0</v>
      </c>
      <c r="W503" s="114"/>
      <c r="X503" s="688"/>
      <c r="AC503" t="b">
        <f>OR(AD503:AE503)</f>
        <v>0</v>
      </c>
      <c r="AD503" t="b">
        <v>0</v>
      </c>
      <c r="AE503" t="b">
        <f>AND(W503&gt;0,LEN(X502)=0)</f>
        <v>0</v>
      </c>
      <c r="AP503" t="str">
        <f t="shared" ref="AP503" si="123">SUBSTITUTE(SUBSTITUTE(SUBSTITUTE("dch"&amp;$B503&amp;$C503&amp;$D503&amp;$E503&amp;$F503,".","_"),"(","_"),")","")</f>
        <v>dch611_4_1</v>
      </c>
      <c r="AQ503" s="621">
        <f>W503</f>
        <v>0</v>
      </c>
    </row>
    <row r="504" spans="2:45" x14ac:dyDescent="0.35">
      <c r="B504" s="40" t="s">
        <v>800</v>
      </c>
      <c r="C504" s="13"/>
      <c r="D504" s="13"/>
      <c r="E504" s="13"/>
      <c r="F504" s="13"/>
      <c r="G504" s="13"/>
      <c r="H504" s="550"/>
      <c r="I504" s="32"/>
      <c r="J504" s="4"/>
      <c r="K504" s="46"/>
      <c r="L504" s="738"/>
      <c r="M504" s="43"/>
      <c r="N504" s="4"/>
      <c r="O504" s="85"/>
      <c r="X504" s="688"/>
    </row>
    <row r="505" spans="2:45" x14ac:dyDescent="0.35">
      <c r="B505" s="40" t="s">
        <v>800</v>
      </c>
      <c r="C505" s="13"/>
      <c r="D505" s="13"/>
      <c r="E505" s="13"/>
      <c r="F505" s="13"/>
      <c r="G505" s="13"/>
      <c r="H505" s="550"/>
      <c r="I505" s="32"/>
      <c r="J505" s="4"/>
      <c r="K505" s="46"/>
      <c r="L505" s="738"/>
      <c r="M505" s="43"/>
      <c r="N505" s="4"/>
      <c r="O505" s="85"/>
      <c r="X505" s="688"/>
    </row>
    <row r="506" spans="2:45" x14ac:dyDescent="0.35">
      <c r="B506" s="40" t="s">
        <v>800</v>
      </c>
      <c r="C506" s="13"/>
      <c r="D506" s="13"/>
      <c r="E506" s="13"/>
      <c r="F506" s="13"/>
      <c r="G506" s="13"/>
      <c r="H506" s="550"/>
      <c r="I506" s="32"/>
      <c r="J506" s="4"/>
      <c r="K506" s="46"/>
      <c r="L506" s="738"/>
      <c r="M506" s="43"/>
      <c r="N506" s="4"/>
      <c r="O506" s="85"/>
      <c r="X506" s="688"/>
    </row>
    <row r="507" spans="2:45" x14ac:dyDescent="0.35">
      <c r="B507" s="40" t="s">
        <v>800</v>
      </c>
      <c r="C507" s="13"/>
      <c r="D507" s="13"/>
      <c r="E507" s="13"/>
      <c r="F507" s="13"/>
      <c r="G507" s="13"/>
      <c r="H507" s="550"/>
      <c r="I507" s="32"/>
      <c r="J507" s="4"/>
      <c r="K507" s="46"/>
      <c r="L507" s="738"/>
      <c r="M507" s="43"/>
      <c r="N507" s="4"/>
      <c r="O507" s="85"/>
      <c r="X507" s="688"/>
    </row>
    <row r="508" spans="2:45" x14ac:dyDescent="0.35">
      <c r="B508" s="40" t="s">
        <v>800</v>
      </c>
      <c r="C508" s="13"/>
      <c r="D508" s="13"/>
      <c r="E508" s="13"/>
      <c r="F508" s="13"/>
      <c r="G508" s="13"/>
      <c r="H508" s="550"/>
      <c r="I508" s="32"/>
      <c r="J508" s="4"/>
      <c r="K508" s="46"/>
      <c r="L508" s="738"/>
      <c r="M508" s="43"/>
      <c r="N508" s="4"/>
      <c r="O508" s="85"/>
      <c r="X508" s="688"/>
    </row>
    <row r="509" spans="2:45" x14ac:dyDescent="0.35">
      <c r="B509" s="40" t="s">
        <v>800</v>
      </c>
      <c r="C509" s="13"/>
      <c r="D509" s="13"/>
      <c r="E509" s="13"/>
      <c r="F509" s="13"/>
      <c r="G509" s="13"/>
      <c r="H509" s="550"/>
      <c r="I509" s="32"/>
      <c r="J509" s="4"/>
      <c r="K509" s="46"/>
      <c r="L509" s="738"/>
      <c r="M509" s="43"/>
      <c r="N509" s="4"/>
      <c r="O509" s="85"/>
      <c r="X509" s="688"/>
    </row>
    <row r="510" spans="2:45" x14ac:dyDescent="0.35">
      <c r="B510" s="40" t="s">
        <v>800</v>
      </c>
      <c r="C510" s="13"/>
      <c r="D510" s="13"/>
      <c r="E510" s="13"/>
      <c r="F510" s="13"/>
      <c r="G510" s="13"/>
      <c r="H510" s="550"/>
      <c r="I510" s="161"/>
      <c r="J510" s="155"/>
      <c r="K510" s="116"/>
      <c r="L510" s="121" t="s">
        <v>3340</v>
      </c>
      <c r="M510" s="43"/>
      <c r="N510" s="4"/>
      <c r="O510" s="85"/>
      <c r="X510" s="688"/>
    </row>
    <row r="511" spans="2:45" x14ac:dyDescent="0.35">
      <c r="B511" s="40" t="s">
        <v>802</v>
      </c>
      <c r="C511" s="13"/>
      <c r="D511" s="13"/>
      <c r="E511" s="13"/>
      <c r="F511" s="13"/>
      <c r="G511" s="13"/>
      <c r="H511" s="550"/>
      <c r="I511" s="32" t="s">
        <v>802</v>
      </c>
      <c r="J511" s="4"/>
      <c r="K511" s="46"/>
      <c r="L511" s="738" t="s">
        <v>803</v>
      </c>
      <c r="M511" s="43"/>
      <c r="N511" s="4"/>
      <c r="O511" s="85"/>
      <c r="W511" s="637" t="s">
        <v>3339</v>
      </c>
      <c r="X511" s="688"/>
      <c r="AR511" t="str">
        <f>SUBSTITUTE(SUBSTITUTE(SUBSTITUTE("dnt"&amp;$B511&amp;$C511&amp;$D511&amp;$E511&amp;$F511,".","_"),"(","_"),")","")</f>
        <v>dnt611_4_2</v>
      </c>
      <c r="AS511">
        <f>X511</f>
        <v>0</v>
      </c>
    </row>
    <row r="512" spans="2:45" x14ac:dyDescent="0.35">
      <c r="B512" s="40" t="s">
        <v>802</v>
      </c>
      <c r="C512" s="13"/>
      <c r="D512" s="13"/>
      <c r="E512" s="13"/>
      <c r="F512" s="13"/>
      <c r="G512" s="13"/>
      <c r="H512" s="550"/>
      <c r="I512" s="32"/>
      <c r="J512" s="4"/>
      <c r="K512" s="46"/>
      <c r="L512" s="738"/>
      <c r="M512" s="43"/>
      <c r="N512" s="4"/>
      <c r="O512" s="85"/>
      <c r="W512" s="637"/>
      <c r="X512" s="688"/>
    </row>
    <row r="513" spans="2:43" x14ac:dyDescent="0.35">
      <c r="B513" s="40" t="s">
        <v>802</v>
      </c>
      <c r="C513" s="13"/>
      <c r="D513" s="13"/>
      <c r="E513" s="13"/>
      <c r="F513" s="13"/>
      <c r="G513" s="13"/>
      <c r="H513" s="550"/>
      <c r="I513" s="32"/>
      <c r="J513" s="4"/>
      <c r="K513" s="46"/>
      <c r="L513" s="738"/>
      <c r="M513" s="43"/>
      <c r="N513" s="4"/>
      <c r="O513" s="85"/>
      <c r="P513" t="b">
        <v>0</v>
      </c>
      <c r="Q513" t="b">
        <v>1</v>
      </c>
      <c r="R513" t="b">
        <v>0</v>
      </c>
      <c r="S513" t="b">
        <v>1</v>
      </c>
      <c r="T513" t="b">
        <v>0</v>
      </c>
      <c r="W513" s="114"/>
      <c r="X513" s="688"/>
      <c r="AC513" t="b">
        <f>OR(AD513:AE513)</f>
        <v>0</v>
      </c>
      <c r="AD513" t="b">
        <v>0</v>
      </c>
      <c r="AE513" t="b">
        <f>AND(W513&gt;0,LEN(X511)=0)</f>
        <v>0</v>
      </c>
      <c r="AP513" t="str">
        <f t="shared" ref="AP513" si="124">SUBSTITUTE(SUBSTITUTE(SUBSTITUTE("dch"&amp;$B513&amp;$C513&amp;$D513&amp;$E513&amp;$F513,".","_"),"(","_"),")","")</f>
        <v>dch611_4_2</v>
      </c>
      <c r="AQ513" s="621">
        <f>W513</f>
        <v>0</v>
      </c>
    </row>
    <row r="514" spans="2:43" x14ac:dyDescent="0.35">
      <c r="B514" s="40" t="s">
        <v>802</v>
      </c>
      <c r="C514" s="13"/>
      <c r="D514" s="13"/>
      <c r="E514" s="13"/>
      <c r="F514" s="13"/>
      <c r="G514" s="13"/>
      <c r="H514" s="550"/>
      <c r="I514" s="32"/>
      <c r="J514" s="4"/>
      <c r="K514" s="46"/>
      <c r="L514" s="738"/>
      <c r="M514" s="43"/>
      <c r="N514" s="4"/>
      <c r="O514" s="85"/>
      <c r="X514" s="688"/>
    </row>
    <row r="515" spans="2:43" x14ac:dyDescent="0.35">
      <c r="B515" s="40" t="s">
        <v>802</v>
      </c>
      <c r="C515" s="13"/>
      <c r="D515" s="13"/>
      <c r="E515" s="13"/>
      <c r="F515" s="13"/>
      <c r="G515" s="13"/>
      <c r="H515" s="550"/>
      <c r="I515" s="32"/>
      <c r="J515" s="4"/>
      <c r="K515" s="46"/>
      <c r="L515" s="738"/>
      <c r="M515" s="43"/>
      <c r="N515" s="4"/>
      <c r="O515" s="85"/>
      <c r="X515" s="688"/>
    </row>
    <row r="516" spans="2:43" x14ac:dyDescent="0.35">
      <c r="B516" s="40" t="s">
        <v>802</v>
      </c>
      <c r="C516" s="13"/>
      <c r="D516" s="13"/>
      <c r="E516" s="13"/>
      <c r="F516" s="13"/>
      <c r="G516" s="13"/>
      <c r="H516" s="550"/>
      <c r="I516" s="32"/>
      <c r="J516" s="4"/>
      <c r="K516" s="46"/>
      <c r="L516" s="738"/>
      <c r="M516" s="43"/>
      <c r="N516" s="4"/>
      <c r="O516" s="85"/>
      <c r="X516" s="688"/>
    </row>
    <row r="517" spans="2:43" ht="15" thickBot="1" x14ac:dyDescent="0.4">
      <c r="B517" s="40" t="s">
        <v>802</v>
      </c>
      <c r="H517" s="552"/>
      <c r="I517" s="58"/>
      <c r="J517" s="58"/>
      <c r="K517" s="58"/>
      <c r="L517" s="122" t="s">
        <v>3340</v>
      </c>
      <c r="M517" s="346"/>
      <c r="N517" s="183"/>
      <c r="O517" s="184"/>
      <c r="P517" s="58"/>
      <c r="Q517" s="58"/>
      <c r="R517" s="58"/>
      <c r="S517" s="58"/>
      <c r="T517" s="58"/>
      <c r="U517" s="58"/>
      <c r="V517" s="58"/>
      <c r="W517" s="58"/>
      <c r="X517" s="689"/>
    </row>
    <row r="518" spans="2:43" ht="15.5" thickTop="1" thickBot="1" x14ac:dyDescent="0.4">
      <c r="I518" s="142" t="s">
        <v>3341</v>
      </c>
      <c r="J518" s="143"/>
      <c r="K518" s="143"/>
      <c r="L518" s="143"/>
      <c r="M518" s="144"/>
      <c r="N518" s="143"/>
      <c r="O518" s="145"/>
      <c r="P518" s="143"/>
      <c r="Q518" s="143"/>
      <c r="R518" s="143"/>
      <c r="S518" s="143"/>
      <c r="T518" s="143"/>
      <c r="U518" s="143"/>
      <c r="V518" s="143"/>
      <c r="W518" s="143"/>
      <c r="X518" s="206" t="s">
        <v>3342</v>
      </c>
    </row>
    <row r="519" spans="2:43" ht="15" thickTop="1" x14ac:dyDescent="0.35"/>
  </sheetData>
  <sheetProtection algorithmName="SHA-512" hashValue="+tN0HjW5HTs47uxejp5xw33lB5xJIU4taWQpUwRHvQ4VveK5p0ddRGPfY0npDN7888vR8ZUGQmRBSptpHzUe1g==" saltValue="8ob0p8o8hrpygUGXrEI6jw==" spinCount="100000" sheet="1" objects="1" scenarios="1" selectLockedCells="1" autoFilter="0"/>
  <mergeCells count="361">
    <mergeCell ref="H1:H7"/>
    <mergeCell ref="M414:M427"/>
    <mergeCell ref="X414:X420"/>
    <mergeCell ref="M428:M451"/>
    <mergeCell ref="W414:W415"/>
    <mergeCell ref="W421:W422"/>
    <mergeCell ref="M364:M365"/>
    <mergeCell ref="O361:O362"/>
    <mergeCell ref="O364:O365"/>
    <mergeCell ref="L76:L77"/>
    <mergeCell ref="X60:X77"/>
    <mergeCell ref="L266:L267"/>
    <mergeCell ref="L270:L271"/>
    <mergeCell ref="L262:L263"/>
    <mergeCell ref="X262:X264"/>
    <mergeCell ref="M278:M292"/>
    <mergeCell ref="O278:O292"/>
    <mergeCell ref="M262:M264"/>
    <mergeCell ref="L121:L122"/>
    <mergeCell ref="L123:L124"/>
    <mergeCell ref="M155:M156"/>
    <mergeCell ref="L148:L149"/>
    <mergeCell ref="L150:L151"/>
    <mergeCell ref="L135:L138"/>
    <mergeCell ref="L243:L244"/>
    <mergeCell ref="X78:X85"/>
    <mergeCell ref="M78:M85"/>
    <mergeCell ref="O127:O128"/>
    <mergeCell ref="O121:O122"/>
    <mergeCell ref="X150:X152"/>
    <mergeCell ref="X161:X163"/>
    <mergeCell ref="O193:O194"/>
    <mergeCell ref="L173:L174"/>
    <mergeCell ref="L179:L181"/>
    <mergeCell ref="M169:M178"/>
    <mergeCell ref="M179:M181"/>
    <mergeCell ref="L161:L162"/>
    <mergeCell ref="L164:L168"/>
    <mergeCell ref="M107:M108"/>
    <mergeCell ref="O100:O101"/>
    <mergeCell ref="L86:L88"/>
    <mergeCell ref="O135:O138"/>
    <mergeCell ref="O139:O142"/>
    <mergeCell ref="M135:M138"/>
    <mergeCell ref="O143:O145"/>
    <mergeCell ref="L188:L190"/>
    <mergeCell ref="M188:M190"/>
    <mergeCell ref="O179:O181"/>
    <mergeCell ref="O183:O186"/>
    <mergeCell ref="O102:O105"/>
    <mergeCell ref="L78:L82"/>
    <mergeCell ref="O55:O57"/>
    <mergeCell ref="O78:O85"/>
    <mergeCell ref="M139:M142"/>
    <mergeCell ref="M148:M149"/>
    <mergeCell ref="M143:M145"/>
    <mergeCell ref="L143:L145"/>
    <mergeCell ref="M150:M152"/>
    <mergeCell ref="L74:L75"/>
    <mergeCell ref="M74:M75"/>
    <mergeCell ref="L139:L142"/>
    <mergeCell ref="M44:M46"/>
    <mergeCell ref="L252:L254"/>
    <mergeCell ref="M249:M254"/>
    <mergeCell ref="O249:O254"/>
    <mergeCell ref="M123:M124"/>
    <mergeCell ref="M121:M122"/>
    <mergeCell ref="O109:O110"/>
    <mergeCell ref="O115:O116"/>
    <mergeCell ref="O157:O160"/>
    <mergeCell ref="M161:M163"/>
    <mergeCell ref="L153:L154"/>
    <mergeCell ref="M153:M154"/>
    <mergeCell ref="L155:L156"/>
    <mergeCell ref="L157:L160"/>
    <mergeCell ref="L109:L110"/>
    <mergeCell ref="L102:L103"/>
    <mergeCell ref="L112:L114"/>
    <mergeCell ref="L115:L116"/>
    <mergeCell ref="L127:L128"/>
    <mergeCell ref="L118:L120"/>
    <mergeCell ref="L132:L133"/>
    <mergeCell ref="M102:M105"/>
    <mergeCell ref="L247:L248"/>
    <mergeCell ref="L249:L250"/>
    <mergeCell ref="L511:L516"/>
    <mergeCell ref="L470:L471"/>
    <mergeCell ref="L483:L484"/>
    <mergeCell ref="L485:L486"/>
    <mergeCell ref="L489:L492"/>
    <mergeCell ref="L493:L494"/>
    <mergeCell ref="L495:L496"/>
    <mergeCell ref="M497:M501"/>
    <mergeCell ref="M470:M471"/>
    <mergeCell ref="M472:M473"/>
    <mergeCell ref="M474:M478"/>
    <mergeCell ref="M479:M482"/>
    <mergeCell ref="M483:M484"/>
    <mergeCell ref="M485:M486"/>
    <mergeCell ref="M489:M492"/>
    <mergeCell ref="M493:M494"/>
    <mergeCell ref="M495:M496"/>
    <mergeCell ref="L472:L473"/>
    <mergeCell ref="L474:L478"/>
    <mergeCell ref="L479:L482"/>
    <mergeCell ref="L497:L501"/>
    <mergeCell ref="L448:L449"/>
    <mergeCell ref="L453:L457"/>
    <mergeCell ref="L461:L463"/>
    <mergeCell ref="L378:L380"/>
    <mergeCell ref="L428:L435"/>
    <mergeCell ref="L410:L413"/>
    <mergeCell ref="L384:L389"/>
    <mergeCell ref="L414:L416"/>
    <mergeCell ref="L450:L451"/>
    <mergeCell ref="L440:L441"/>
    <mergeCell ref="L459:L460"/>
    <mergeCell ref="L390:L391"/>
    <mergeCell ref="L392:L394"/>
    <mergeCell ref="L401:L407"/>
    <mergeCell ref="L408:L409"/>
    <mergeCell ref="L381:L382"/>
    <mergeCell ref="L423:L425"/>
    <mergeCell ref="L426:L427"/>
    <mergeCell ref="M29:M31"/>
    <mergeCell ref="X13:X26"/>
    <mergeCell ref="X29:X31"/>
    <mergeCell ref="M234:M236"/>
    <mergeCell ref="M209:M210"/>
    <mergeCell ref="M224:M227"/>
    <mergeCell ref="L183:L186"/>
    <mergeCell ref="L191:L192"/>
    <mergeCell ref="L193:L194"/>
    <mergeCell ref="M183:M186"/>
    <mergeCell ref="M191:M192"/>
    <mergeCell ref="M193:M194"/>
    <mergeCell ref="L231:L233"/>
    <mergeCell ref="L234:L236"/>
    <mergeCell ref="X32:X34"/>
    <mergeCell ref="X44:X46"/>
    <mergeCell ref="X55:X59"/>
    <mergeCell ref="X97:X99"/>
    <mergeCell ref="X100:X101"/>
    <mergeCell ref="M47:M49"/>
    <mergeCell ref="L44:L46"/>
    <mergeCell ref="O60:O61"/>
    <mergeCell ref="M214:M217"/>
    <mergeCell ref="M220:M221"/>
    <mergeCell ref="L255:L257"/>
    <mergeCell ref="L207:L208"/>
    <mergeCell ref="M196:M208"/>
    <mergeCell ref="L224:L227"/>
    <mergeCell ref="O196:O208"/>
    <mergeCell ref="L107:L108"/>
    <mergeCell ref="O220:O221"/>
    <mergeCell ref="L228:L229"/>
    <mergeCell ref="L214:L217"/>
    <mergeCell ref="L218:L219"/>
    <mergeCell ref="L220:L221"/>
    <mergeCell ref="L129:L131"/>
    <mergeCell ref="M129:M131"/>
    <mergeCell ref="O129:O131"/>
    <mergeCell ref="O211:O213"/>
    <mergeCell ref="M157:M160"/>
    <mergeCell ref="L196:L201"/>
    <mergeCell ref="L209:L210"/>
    <mergeCell ref="L211:L212"/>
    <mergeCell ref="M211:M213"/>
    <mergeCell ref="O148:O149"/>
    <mergeCell ref="O153:O154"/>
    <mergeCell ref="O150:O152"/>
    <mergeCell ref="O155:O156"/>
    <mergeCell ref="I1:L1"/>
    <mergeCell ref="M1:W5"/>
    <mergeCell ref="I2:L2"/>
    <mergeCell ref="I3:L3"/>
    <mergeCell ref="L83:L85"/>
    <mergeCell ref="L100:L101"/>
    <mergeCell ref="M32:M34"/>
    <mergeCell ref="M55:M57"/>
    <mergeCell ref="M60:M61"/>
    <mergeCell ref="M86:M91"/>
    <mergeCell ref="M97:M99"/>
    <mergeCell ref="M100:M101"/>
    <mergeCell ref="L25:L26"/>
    <mergeCell ref="T6:T7"/>
    <mergeCell ref="U6:U7"/>
    <mergeCell ref="V6:V7"/>
    <mergeCell ref="W6:W7"/>
    <mergeCell ref="R6:R7"/>
    <mergeCell ref="O44:O46"/>
    <mergeCell ref="L89:L91"/>
    <mergeCell ref="O86:O91"/>
    <mergeCell ref="O32:O34"/>
    <mergeCell ref="L47:L49"/>
    <mergeCell ref="L71:L72"/>
    <mergeCell ref="X4:X5"/>
    <mergeCell ref="I6:K7"/>
    <mergeCell ref="L6:L7"/>
    <mergeCell ref="M6:M7"/>
    <mergeCell ref="N6:N7"/>
    <mergeCell ref="P6:P7"/>
    <mergeCell ref="Q6:Q7"/>
    <mergeCell ref="L93:L94"/>
    <mergeCell ref="L97:L99"/>
    <mergeCell ref="L23:L24"/>
    <mergeCell ref="L69:L70"/>
    <mergeCell ref="L60:L61"/>
    <mergeCell ref="L55:L57"/>
    <mergeCell ref="L27:L28"/>
    <mergeCell ref="L32:L34"/>
    <mergeCell ref="L36:L38"/>
    <mergeCell ref="L65:L66"/>
    <mergeCell ref="X6:X7"/>
    <mergeCell ref="S6:S7"/>
    <mergeCell ref="O29:O31"/>
    <mergeCell ref="L10:L12"/>
    <mergeCell ref="L13:L16"/>
    <mergeCell ref="O13:O16"/>
    <mergeCell ref="L29:L31"/>
    <mergeCell ref="L359:L360"/>
    <mergeCell ref="L361:L362"/>
    <mergeCell ref="L364:L365"/>
    <mergeCell ref="O224:O227"/>
    <mergeCell ref="L238:L242"/>
    <mergeCell ref="M238:M242"/>
    <mergeCell ref="O234:O236"/>
    <mergeCell ref="O243:O244"/>
    <mergeCell ref="O262:O264"/>
    <mergeCell ref="L289:L290"/>
    <mergeCell ref="L291:L292"/>
    <mergeCell ref="L293:L294"/>
    <mergeCell ref="L352:L355"/>
    <mergeCell ref="L329:L330"/>
    <mergeCell ref="L331:L332"/>
    <mergeCell ref="L333:L334"/>
    <mergeCell ref="L335:L336"/>
    <mergeCell ref="L338:L339"/>
    <mergeCell ref="L346:L347"/>
    <mergeCell ref="L349:L350"/>
    <mergeCell ref="M255:M261"/>
    <mergeCell ref="O255:O261"/>
    <mergeCell ref="L259:L261"/>
    <mergeCell ref="O266:O273"/>
    <mergeCell ref="L367:L369"/>
    <mergeCell ref="L370:L371"/>
    <mergeCell ref="L376:L377"/>
    <mergeCell ref="M243:M244"/>
    <mergeCell ref="M293:M294"/>
    <mergeCell ref="M266:M273"/>
    <mergeCell ref="O453:O460"/>
    <mergeCell ref="X453:X460"/>
    <mergeCell ref="W511:W512"/>
    <mergeCell ref="O497:O501"/>
    <mergeCell ref="X502:X510"/>
    <mergeCell ref="X511:X517"/>
    <mergeCell ref="X495:X496"/>
    <mergeCell ref="X408:X409"/>
    <mergeCell ref="O461:O463"/>
    <mergeCell ref="O472:O473"/>
    <mergeCell ref="L502:L509"/>
    <mergeCell ref="L275:L276"/>
    <mergeCell ref="L278:L283"/>
    <mergeCell ref="L284:L287"/>
    <mergeCell ref="L295:L297"/>
    <mergeCell ref="L299:L301"/>
    <mergeCell ref="L302:L303"/>
    <mergeCell ref="L326:L327"/>
    <mergeCell ref="M453:M460"/>
    <mergeCell ref="M461:M463"/>
    <mergeCell ref="O302:O303"/>
    <mergeCell ref="O318:O327"/>
    <mergeCell ref="M333:M334"/>
    <mergeCell ref="M346:M348"/>
    <mergeCell ref="X102:X105"/>
    <mergeCell ref="X107:X108"/>
    <mergeCell ref="X86:X91"/>
    <mergeCell ref="X109:X110"/>
    <mergeCell ref="X115:X116"/>
    <mergeCell ref="X121:X122"/>
    <mergeCell ref="X123:X124"/>
    <mergeCell ref="X169:X178"/>
    <mergeCell ref="X126:X131"/>
    <mergeCell ref="X135:X145"/>
    <mergeCell ref="X148:X149"/>
    <mergeCell ref="X153:X154"/>
    <mergeCell ref="X155:X156"/>
    <mergeCell ref="X157:X160"/>
    <mergeCell ref="M109:M110"/>
    <mergeCell ref="M115:M116"/>
    <mergeCell ref="M127:M128"/>
    <mergeCell ref="O346:O348"/>
    <mergeCell ref="X470:X471"/>
    <mergeCell ref="X179:X181"/>
    <mergeCell ref="X183:X186"/>
    <mergeCell ref="X220:X221"/>
    <mergeCell ref="X228:X229"/>
    <mergeCell ref="X197:X208"/>
    <mergeCell ref="X209:X210"/>
    <mergeCell ref="X211:X213"/>
    <mergeCell ref="X214:X217"/>
    <mergeCell ref="X231:X233"/>
    <mergeCell ref="X347:X348"/>
    <mergeCell ref="X350:X351"/>
    <mergeCell ref="X367:X374"/>
    <mergeCell ref="X421:X427"/>
    <mergeCell ref="X352:X357"/>
    <mergeCell ref="X446:X451"/>
    <mergeCell ref="X187:X192"/>
    <mergeCell ref="X193:X194"/>
    <mergeCell ref="X401:X407"/>
    <mergeCell ref="X440:X445"/>
    <mergeCell ref="X434:X439"/>
    <mergeCell ref="X428:X433"/>
    <mergeCell ref="X376:X378"/>
    <mergeCell ref="X379:X382"/>
    <mergeCell ref="M349:M351"/>
    <mergeCell ref="O349:O351"/>
    <mergeCell ref="M302:M303"/>
    <mergeCell ref="M329:M330"/>
    <mergeCell ref="M331:M332"/>
    <mergeCell ref="O293:O294"/>
    <mergeCell ref="M401:M407"/>
    <mergeCell ref="M408:M409"/>
    <mergeCell ref="M410:M413"/>
    <mergeCell ref="M352:M357"/>
    <mergeCell ref="O352:O357"/>
    <mergeCell ref="M367:M374"/>
    <mergeCell ref="O367:O374"/>
    <mergeCell ref="M361:M362"/>
    <mergeCell ref="M376:M382"/>
    <mergeCell ref="O376:O382"/>
    <mergeCell ref="M392:M400"/>
    <mergeCell ref="O410:O413"/>
    <mergeCell ref="O392:O400"/>
    <mergeCell ref="O401:O407"/>
    <mergeCell ref="O408:O409"/>
    <mergeCell ref="I4:L4"/>
    <mergeCell ref="I5:L5"/>
    <mergeCell ref="X474:X478"/>
    <mergeCell ref="X479:X482"/>
    <mergeCell ref="X483:X484"/>
    <mergeCell ref="X485:X486"/>
    <mergeCell ref="X489:X492"/>
    <mergeCell ref="X493:X494"/>
    <mergeCell ref="X234:X236"/>
    <mergeCell ref="X238:X242"/>
    <mergeCell ref="X243:X244"/>
    <mergeCell ref="X278:X292"/>
    <mergeCell ref="X293:X301"/>
    <mergeCell ref="X306:X312"/>
    <mergeCell ref="X361:X362"/>
    <mergeCell ref="X364:X365"/>
    <mergeCell ref="X392:X400"/>
    <mergeCell ref="X319:X334"/>
    <mergeCell ref="X249:X254"/>
    <mergeCell ref="X255:X261"/>
    <mergeCell ref="X266:X267"/>
    <mergeCell ref="X268:X269"/>
    <mergeCell ref="X270:X271"/>
    <mergeCell ref="X272:X273"/>
  </mergeCells>
  <conditionalFormatting sqref="I1">
    <cfRule type="expression" dxfId="4055" priority="7">
      <formula>$AG$1="Gold"</formula>
    </cfRule>
    <cfRule type="expression" dxfId="4054" priority="8">
      <formula>$AG$1="Silver"</formula>
    </cfRule>
    <cfRule type="expression" dxfId="4053" priority="9">
      <formula>$AG$1="Bronze"</formula>
    </cfRule>
    <cfRule type="expression" dxfId="4052" priority="10">
      <formula>$AG$1="Emerald"</formula>
    </cfRule>
  </conditionalFormatting>
  <conditionalFormatting sqref="L23:L24">
    <cfRule type="expression" dxfId="4051" priority="974">
      <formula>AY23&gt;4099</formula>
    </cfRule>
  </conditionalFormatting>
  <conditionalFormatting sqref="M23:M24">
    <cfRule type="expression" dxfId="4050" priority="973">
      <formula>$AY$23&gt;4099</formula>
    </cfRule>
  </conditionalFormatting>
  <conditionalFormatting sqref="W29">
    <cfRule type="expression" dxfId="4049" priority="354">
      <formula>AND($R$29,$S$29)</formula>
    </cfRule>
    <cfRule type="expression" dxfId="4048" priority="353">
      <formula>AND(IF($R$29,$W$29,TRUE),LEN(TRIM($W$29))&gt;0)</formula>
    </cfRule>
    <cfRule type="expression" dxfId="4047" priority="351">
      <formula>OR($T$29 = TRUE, AND($W$29 = TRUE, $S$29 = FALSE))</formula>
    </cfRule>
    <cfRule type="expression" dxfId="4046" priority="352">
      <formula>$S$29 = FALSE</formula>
    </cfRule>
  </conditionalFormatting>
  <conditionalFormatting sqref="W32">
    <cfRule type="expression" dxfId="4045" priority="347">
      <formula>OR($T$32 = TRUE, AND($W$32 = TRUE, $S$32 = FALSE))</formula>
    </cfRule>
    <cfRule type="expression" dxfId="4044" priority="348">
      <formula>$S$32 = FALSE</formula>
    </cfRule>
    <cfRule type="expression" dxfId="4043" priority="349">
      <formula>AND(IF($R$32,$W$32,TRUE),LEN(TRIM($W$32))&gt;0)</formula>
    </cfRule>
    <cfRule type="expression" dxfId="4042" priority="350">
      <formula>AND($R$32,$S$32)</formula>
    </cfRule>
  </conditionalFormatting>
  <conditionalFormatting sqref="W35">
    <cfRule type="expression" dxfId="4041" priority="343">
      <formula>OR($T$35 = TRUE, AND($W$35 = TRUE, $S$35 = FALSE))</formula>
    </cfRule>
    <cfRule type="expression" dxfId="4040" priority="344">
      <formula>$S$35 = FALSE</formula>
    </cfRule>
    <cfRule type="expression" dxfId="4039" priority="345">
      <formula>AND(IF($R$35,$W$35,TRUE),LEN(TRIM($W$35))&gt;0)</formula>
    </cfRule>
    <cfRule type="expression" dxfId="4038" priority="346">
      <formula>AND($R$35,$S$35)</formula>
    </cfRule>
  </conditionalFormatting>
  <conditionalFormatting sqref="W39">
    <cfRule type="expression" dxfId="4037" priority="340">
      <formula>$S$39 = FALSE</formula>
    </cfRule>
    <cfRule type="expression" dxfId="4036" priority="342">
      <formula>AND($R$39,$S$39)</formula>
    </cfRule>
    <cfRule type="expression" dxfId="4035" priority="341">
      <formula>AND(IF($R$39,$W$39,TRUE),LEN(TRIM($W$39))&gt;0)</formula>
    </cfRule>
    <cfRule type="expression" dxfId="4034" priority="339">
      <formula>OR($T$39 = TRUE, AND($W$39 = TRUE, $S$39 = FALSE))</formula>
    </cfRule>
  </conditionalFormatting>
  <conditionalFormatting sqref="W40">
    <cfRule type="expression" dxfId="4033" priority="335">
      <formula>OR($T$40 = TRUE, AND($W$40 = TRUE, $S$40 = FALSE))</formula>
    </cfRule>
    <cfRule type="expression" dxfId="4032" priority="338">
      <formula>AND($R$40,$S$40)</formula>
    </cfRule>
    <cfRule type="expression" dxfId="4031" priority="337">
      <formula>AND(IF($R$40,$W$40,TRUE),LEN(TRIM($W$40))&gt;0)</formula>
    </cfRule>
    <cfRule type="expression" dxfId="4030" priority="336">
      <formula>$S$40 = FALSE</formula>
    </cfRule>
  </conditionalFormatting>
  <conditionalFormatting sqref="W41">
    <cfRule type="expression" dxfId="4029" priority="334">
      <formula>AND($R$41,$S$41)</formula>
    </cfRule>
    <cfRule type="expression" dxfId="4028" priority="333">
      <formula>AND(IF($R$41,$W$41,TRUE),LEN(TRIM($W$41))&gt;0)</formula>
    </cfRule>
    <cfRule type="expression" dxfId="4027" priority="332">
      <formula>$S$41 = FALSE</formula>
    </cfRule>
    <cfRule type="expression" dxfId="4026" priority="331">
      <formula>OR($T$41 = TRUE, AND($W$41 = TRUE, $S$41 = FALSE))</formula>
    </cfRule>
  </conditionalFormatting>
  <conditionalFormatting sqref="W42">
    <cfRule type="expression" dxfId="4025" priority="327">
      <formula>OR($T$42 = TRUE, AND($W$42 = TRUE, $S$42 = FALSE))</formula>
    </cfRule>
    <cfRule type="expression" dxfId="4024" priority="330">
      <formula>AND($R$42,$S$42)</formula>
    </cfRule>
    <cfRule type="expression" dxfId="4023" priority="329">
      <formula>AND(IF($R$42,$W$42,TRUE),LEN(TRIM($W$42))&gt;0)</formula>
    </cfRule>
    <cfRule type="expression" dxfId="4022" priority="328">
      <formula>$S$42 = FALSE</formula>
    </cfRule>
  </conditionalFormatting>
  <conditionalFormatting sqref="W43">
    <cfRule type="expression" dxfId="4021" priority="323">
      <formula>OR($T$43 = TRUE, AND($W$43 = TRUE, $S$43 = FALSE))</formula>
    </cfRule>
    <cfRule type="expression" dxfId="4020" priority="325">
      <formula>AND(IF($R$43,$W$43,TRUE),LEN(TRIM($W$43))&gt;0)</formula>
    </cfRule>
    <cfRule type="expression" dxfId="4019" priority="326">
      <formula>AND($R$43,$S$43)</formula>
    </cfRule>
    <cfRule type="expression" dxfId="4018" priority="324">
      <formula>$S$43 = FALSE</formula>
    </cfRule>
  </conditionalFormatting>
  <conditionalFormatting sqref="W44">
    <cfRule type="expression" dxfId="4017" priority="322">
      <formula>AND($R$44,$S$44)</formula>
    </cfRule>
    <cfRule type="expression" dxfId="4016" priority="320">
      <formula>$S$44 = FALSE</formula>
    </cfRule>
    <cfRule type="expression" dxfId="4015" priority="319">
      <formula>OR($T$44 = TRUE, AND($W$44 = TRUE, $S$44 = FALSE))</formula>
    </cfRule>
    <cfRule type="expression" dxfId="4014" priority="321">
      <formula>AND(IF($R$44,$W$44,TRUE),LEN(TRIM($W$44))&gt;0)</formula>
    </cfRule>
  </conditionalFormatting>
  <conditionalFormatting sqref="W50">
    <cfRule type="expression" dxfId="4013" priority="318">
      <formula>AND($R$50,$S$50)</formula>
    </cfRule>
    <cfRule type="expression" dxfId="4012" priority="317">
      <formula>AND(IF($R$50,$W$50,TRUE),LEN(TRIM($W$50))&gt;0)</formula>
    </cfRule>
    <cfRule type="expression" dxfId="4011" priority="316">
      <formula>$S$50 = FALSE</formula>
    </cfRule>
    <cfRule type="expression" dxfId="4010" priority="315">
      <formula>OR($T$50 = TRUE, AND($W$50 = TRUE, $S$50 = FALSE))</formula>
    </cfRule>
  </conditionalFormatting>
  <conditionalFormatting sqref="W51">
    <cfRule type="expression" dxfId="4009" priority="311">
      <formula>OR($T$51 = TRUE, AND($W$51 = TRUE, $S$51 = FALSE))</formula>
    </cfRule>
    <cfRule type="expression" dxfId="4008" priority="312">
      <formula>$S$51 = FALSE</formula>
    </cfRule>
    <cfRule type="expression" dxfId="4007" priority="314">
      <formula>AND($R$51,$S$51)</formula>
    </cfRule>
    <cfRule type="expression" dxfId="4006" priority="313">
      <formula>AND(IF($R$51,$W$51,TRUE),LEN(TRIM($W$51))&gt;0)</formula>
    </cfRule>
  </conditionalFormatting>
  <conditionalFormatting sqref="W52">
    <cfRule type="expression" dxfId="4005" priority="310">
      <formula>AND($R$52,$S$52)</formula>
    </cfRule>
    <cfRule type="expression" dxfId="4004" priority="309">
      <formula>AND(IF($R$52,$W$52,TRUE),LEN(TRIM($W$52))&gt;0)</formula>
    </cfRule>
    <cfRule type="expression" dxfId="4003" priority="308">
      <formula>$S$52 = FALSE</formula>
    </cfRule>
    <cfRule type="expression" dxfId="4002" priority="307">
      <formula>OR($T$52 = TRUE, AND($W$52 = TRUE, $S$52 = FALSE))</formula>
    </cfRule>
  </conditionalFormatting>
  <conditionalFormatting sqref="W53">
    <cfRule type="expression" dxfId="4001" priority="306">
      <formula>AND($R$53,$S$53)</formula>
    </cfRule>
    <cfRule type="expression" dxfId="4000" priority="305">
      <formula>AND(IF($R$53,$W$53,TRUE),LEN(TRIM($W$53))&gt;0)</formula>
    </cfRule>
    <cfRule type="expression" dxfId="3999" priority="304">
      <formula>$S$53 = FALSE</formula>
    </cfRule>
    <cfRule type="expression" dxfId="3998" priority="303">
      <formula>OR($T$53 = TRUE, AND($W$53 = TRUE, $S$53 = FALSE))</formula>
    </cfRule>
  </conditionalFormatting>
  <conditionalFormatting sqref="W54">
    <cfRule type="expression" dxfId="3997" priority="302">
      <formula>AND($R$54,$S$54)</formula>
    </cfRule>
    <cfRule type="expression" dxfId="3996" priority="301">
      <formula>AND(IF($R$54,$W$54,TRUE),LEN(TRIM($W$54))&gt;0)</formula>
    </cfRule>
    <cfRule type="expression" dxfId="3995" priority="300">
      <formula>$S$54 = FALSE</formula>
    </cfRule>
    <cfRule type="expression" dxfId="3994" priority="299">
      <formula>OR($T$54 = TRUE, AND($W$54 = TRUE, $S$54 = FALSE))</formula>
    </cfRule>
  </conditionalFormatting>
  <conditionalFormatting sqref="W56">
    <cfRule type="expression" dxfId="3993" priority="749">
      <formula>AND(IF($R$56,$W$56,TRUE),LEN(TRIM($W$56))&gt;0)</formula>
    </cfRule>
    <cfRule type="expression" dxfId="3992" priority="748">
      <formula>$S$56 = FALSE</formula>
    </cfRule>
    <cfRule type="expression" dxfId="3991" priority="747">
      <formula>OR($T$56 = TRUE, AND(LEN(TRIM($W$56))&gt;0, $S$56 = FALSE))</formula>
    </cfRule>
    <cfRule type="expression" dxfId="3990" priority="750">
      <formula>AND($R$56,$S$56)</formula>
    </cfRule>
  </conditionalFormatting>
  <conditionalFormatting sqref="W63">
    <cfRule type="expression" dxfId="3989" priority="743">
      <formula>OR($T$63 = TRUE, AND(LEN(TRIM($W$63))&gt;0, $S$63 = FALSE))</formula>
    </cfRule>
    <cfRule type="expression" dxfId="3988" priority="744">
      <formula>$S$63 = FALSE</formula>
    </cfRule>
    <cfRule type="expression" dxfId="3987" priority="745">
      <formula>AND(IF($R$63,$W$63,TRUE),LEN(TRIM($W$63))&gt;0)</formula>
    </cfRule>
    <cfRule type="expression" dxfId="3986" priority="746">
      <formula>AND($R$63,$S$63)</formula>
    </cfRule>
  </conditionalFormatting>
  <conditionalFormatting sqref="W64">
    <cfRule type="expression" dxfId="3985" priority="739">
      <formula>OR($T$64 = TRUE, AND(LEN(TRIM($W$64))&gt;0, $S$64 = FALSE))</formula>
    </cfRule>
    <cfRule type="expression" dxfId="3984" priority="740">
      <formula>$S$64 = FALSE</formula>
    </cfRule>
    <cfRule type="expression" dxfId="3983" priority="741">
      <formula>AND(IF($R$64,$W$64,TRUE),LEN(TRIM($W$64))&gt;0)</formula>
    </cfRule>
    <cfRule type="expression" dxfId="3982" priority="742">
      <formula>AND($R$64,$S$64)</formula>
    </cfRule>
  </conditionalFormatting>
  <conditionalFormatting sqref="W65">
    <cfRule type="expression" dxfId="3981" priority="733">
      <formula>AND(IF($R$65,$W$65,TRUE),LEN(TRIM($W$65))&gt;0)</formula>
    </cfRule>
    <cfRule type="expression" dxfId="3980" priority="731">
      <formula>OR($T$65 = TRUE, AND(LEN(TRIM($W$65))&gt;0, $S$65 = FALSE))</formula>
    </cfRule>
    <cfRule type="expression" dxfId="3979" priority="732">
      <formula>$S$65 = FALSE</formula>
    </cfRule>
    <cfRule type="expression" dxfId="3978" priority="734">
      <formula>AND($R$65,$S$65)</formula>
    </cfRule>
  </conditionalFormatting>
  <conditionalFormatting sqref="W69">
    <cfRule type="expression" dxfId="3977" priority="730">
      <formula>AND($R$69,$S$69)</formula>
    </cfRule>
    <cfRule type="expression" dxfId="3976" priority="729">
      <formula>AND(IF($R$69,$W$69,TRUE),LEN(TRIM($W$69))&gt;0)</formula>
    </cfRule>
    <cfRule type="expression" dxfId="3975" priority="728">
      <formula>$S$69 = FALSE</formula>
    </cfRule>
    <cfRule type="expression" dxfId="3974" priority="727">
      <formula>OR($T$69 = TRUE, AND(LEN(TRIM($W$69))&gt;0, $S$69 = FALSE))</formula>
    </cfRule>
  </conditionalFormatting>
  <conditionalFormatting sqref="W71">
    <cfRule type="expression" dxfId="3973" priority="724">
      <formula>$S$71 = FALSE</formula>
    </cfRule>
    <cfRule type="expression" dxfId="3972" priority="723">
      <formula>OR($T$71 = TRUE, AND(LEN(TRIM($W$71))&gt;0, $S$71 = FALSE))</formula>
    </cfRule>
    <cfRule type="expression" dxfId="3971" priority="725">
      <formula>AND(IF($R$71,$W$71,TRUE),LEN(TRIM($W$71))&gt;0)</formula>
    </cfRule>
    <cfRule type="expression" dxfId="3970" priority="726">
      <formula>AND($R$71,$S$71)</formula>
    </cfRule>
  </conditionalFormatting>
  <conditionalFormatting sqref="W78">
    <cfRule type="expression" dxfId="3969" priority="296">
      <formula>$S$78 = FALSE</formula>
    </cfRule>
    <cfRule type="expression" dxfId="3968" priority="295">
      <formula>OR($T$78 = TRUE, AND($W$78 = TRUE, $S$78 = FALSE))</formula>
    </cfRule>
    <cfRule type="expression" dxfId="3967" priority="298">
      <formula>AND($R$78,$S$78)</formula>
    </cfRule>
    <cfRule type="expression" dxfId="3966" priority="297">
      <formula>AND(IF($R$78,$W$78,TRUE),LEN(TRIM($W$78))&gt;0)</formula>
    </cfRule>
  </conditionalFormatting>
  <conditionalFormatting sqref="W86">
    <cfRule type="expression" dxfId="3965" priority="294">
      <formula>AND($R$86,$S$86)</formula>
    </cfRule>
    <cfRule type="expression" dxfId="3964" priority="293">
      <formula>AND(IF($R$86,$W$86,TRUE),LEN(TRIM($W$86))&gt;0)</formula>
    </cfRule>
    <cfRule type="expression" dxfId="3963" priority="292">
      <formula>$S$86 = FALSE</formula>
    </cfRule>
    <cfRule type="expression" dxfId="3962" priority="291">
      <formula>OR($T$86 = TRUE, AND($W$86 = TRUE, $S$86 = FALSE))</formula>
    </cfRule>
  </conditionalFormatting>
  <conditionalFormatting sqref="W97">
    <cfRule type="expression" dxfId="3961" priority="3">
      <formula>$S$97 = FALSE</formula>
    </cfRule>
    <cfRule type="expression" dxfId="3960" priority="4">
      <formula>AND($W$97&lt;&gt;"Not Met",LEN(TRIM($W$97))&gt;0)</formula>
    </cfRule>
    <cfRule type="expression" dxfId="3959" priority="5">
      <formula>AND($R$97,$S$97)</formula>
    </cfRule>
    <cfRule type="expression" dxfId="3958" priority="2">
      <formula>OR($T$97 = TRUE, AND(LEN(TRIM($W$97))&gt;0, $S$97 = FALSE))</formula>
    </cfRule>
  </conditionalFormatting>
  <conditionalFormatting sqref="W100">
    <cfRule type="expression" dxfId="3957" priority="284">
      <formula>$S$100 = FALSE</formula>
    </cfRule>
    <cfRule type="expression" dxfId="3956" priority="283">
      <formula>OR($T$100 = TRUE, AND($W$100 = TRUE, $S$100 = FALSE))</formula>
    </cfRule>
    <cfRule type="expression" dxfId="3955" priority="285">
      <formula>AND(IF($R$100,$W$100,TRUE),LEN(TRIM($W$100))&gt;0)</formula>
    </cfRule>
    <cfRule type="expression" dxfId="3954" priority="286">
      <formula>AND($R$100,$S$100)</formula>
    </cfRule>
  </conditionalFormatting>
  <conditionalFormatting sqref="W104">
    <cfRule type="expression" dxfId="3953" priority="279">
      <formula>OR($T$104 = TRUE, AND($W$104 = TRUE, $S$104 = FALSE))</formula>
    </cfRule>
    <cfRule type="expression" dxfId="3952" priority="281">
      <formula>AND(IF($R$104,$W$104,TRUE),LEN(TRIM($W$104))&gt;0)</formula>
    </cfRule>
    <cfRule type="expression" dxfId="3951" priority="282">
      <formula>AND($R$104,$S$104)</formula>
    </cfRule>
    <cfRule type="expression" dxfId="3950" priority="280">
      <formula>$S$104 = FALSE</formula>
    </cfRule>
  </conditionalFormatting>
  <conditionalFormatting sqref="W105">
    <cfRule type="expression" dxfId="3949" priority="275">
      <formula>OR($T$105 = TRUE, AND($W$105 = TRUE, $S$105 = FALSE))</formula>
    </cfRule>
    <cfRule type="expression" dxfId="3948" priority="276">
      <formula>$S$105 = FALSE</formula>
    </cfRule>
    <cfRule type="expression" dxfId="3947" priority="277">
      <formula>AND(IF($R$105,$W$105,TRUE),LEN(TRIM($W$105))&gt;0)</formula>
    </cfRule>
    <cfRule type="expression" dxfId="3946" priority="278">
      <formula>AND($R$105,$S$105)</formula>
    </cfRule>
  </conditionalFormatting>
  <conditionalFormatting sqref="W107">
    <cfRule type="expression" dxfId="3945" priority="274">
      <formula>AND($R$107,$S$107)</formula>
    </cfRule>
    <cfRule type="expression" dxfId="3944" priority="273">
      <formula>AND(IF($R$107,$W$107,TRUE),LEN(TRIM($W$107))&gt;0)</formula>
    </cfRule>
    <cfRule type="expression" dxfId="3943" priority="272">
      <formula>$S$107 = FALSE</formula>
    </cfRule>
    <cfRule type="expression" dxfId="3942" priority="271">
      <formula>OR($T$107 = TRUE, AND($W$107 = TRUE, $S$107 = FALSE))</formula>
    </cfRule>
  </conditionalFormatting>
  <conditionalFormatting sqref="W109">
    <cfRule type="expression" dxfId="3941" priority="269">
      <formula>AND(IF($R$109,$W$109,TRUE),LEN(TRIM($W$109))&gt;0)</formula>
    </cfRule>
    <cfRule type="expression" dxfId="3940" priority="268">
      <formula>$S$109 = FALSE</formula>
    </cfRule>
    <cfRule type="expression" dxfId="3939" priority="267">
      <formula>OR($T$109 = TRUE, AND($W$109 = TRUE, $S$109 = FALSE))</formula>
    </cfRule>
    <cfRule type="expression" dxfId="3938" priority="270">
      <formula>AND($R$109,$S$109)</formula>
    </cfRule>
  </conditionalFormatting>
  <conditionalFormatting sqref="W115">
    <cfRule type="expression" dxfId="3937" priority="266">
      <formula>AND($R$115,$S$115)</formula>
    </cfRule>
    <cfRule type="expression" dxfId="3936" priority="265">
      <formula>AND(IF($R$115,$W$115,TRUE),LEN(TRIM($W$115))&gt;0)</formula>
    </cfRule>
    <cfRule type="expression" dxfId="3935" priority="263">
      <formula>OR($T$115 = TRUE, AND($W$115 = TRUE, $S$115 = FALSE))</formula>
    </cfRule>
    <cfRule type="expression" dxfId="3934" priority="264">
      <formula>$S$115 = FALSE</formula>
    </cfRule>
  </conditionalFormatting>
  <conditionalFormatting sqref="W117">
    <cfRule type="expression" dxfId="3933" priority="379">
      <formula>OR($T$117 = TRUE, AND(LEN(TRIM($W$117))&gt;0, $S$117 = FALSE))</formula>
    </cfRule>
    <cfRule type="expression" dxfId="3932" priority="380">
      <formula>$S$117 = FALSE</formula>
    </cfRule>
    <cfRule type="expression" dxfId="3931" priority="381">
      <formula>AND($W$117&lt;&gt;"Not Met",LEN(TRIM($W$117))&gt;0)</formula>
    </cfRule>
    <cfRule type="expression" dxfId="3930" priority="382">
      <formula>AND($R$117,$S$117)</formula>
    </cfRule>
  </conditionalFormatting>
  <conditionalFormatting sqref="W121">
    <cfRule type="expression" dxfId="3929" priority="261">
      <formula>AND(IF($R$121,$W$121,TRUE),LEN(TRIM($W$121))&gt;0)</formula>
    </cfRule>
    <cfRule type="expression" dxfId="3928" priority="260">
      <formula>$S$121 = FALSE</formula>
    </cfRule>
    <cfRule type="expression" dxfId="3927" priority="259">
      <formula>OR($T$121 = TRUE, AND($W$121 = TRUE, $S$121 = FALSE))</formula>
    </cfRule>
    <cfRule type="expression" dxfId="3926" priority="262">
      <formula>AND($R$121,$S$121)</formula>
    </cfRule>
  </conditionalFormatting>
  <conditionalFormatting sqref="W123">
    <cfRule type="expression" dxfId="3925" priority="376">
      <formula>$S$123 = FALSE</formula>
    </cfRule>
    <cfRule type="expression" dxfId="3924" priority="378">
      <formula>AND($R$123,$S$123)</formula>
    </cfRule>
    <cfRule type="expression" dxfId="3923" priority="377">
      <formula>AND($W$123&lt;&gt;"Not Met",LEN(TRIM($W$123))&gt;0)</formula>
    </cfRule>
    <cfRule type="expression" dxfId="3922" priority="375">
      <formula>OR($T$123 = TRUE, AND(LEN(TRIM($W$123))&gt;0, $S$123 = FALSE))</formula>
    </cfRule>
  </conditionalFormatting>
  <conditionalFormatting sqref="W126">
    <cfRule type="expression" dxfId="3921" priority="669">
      <formula>OR($T$126 = TRUE, AND(LEN(TRIM($W$126))&gt;0, $S$126 = FALSE))</formula>
    </cfRule>
    <cfRule type="expression" dxfId="3920" priority="671">
      <formula>AND(IF($R$126,$W$126,TRUE),LEN(TRIM($W$126))&gt;0)</formula>
    </cfRule>
    <cfRule type="expression" dxfId="3919" priority="670">
      <formula>$S$126 = FALSE</formula>
    </cfRule>
    <cfRule type="expression" dxfId="3918" priority="672">
      <formula>AND($R$126,$S$126)</formula>
    </cfRule>
  </conditionalFormatting>
  <conditionalFormatting sqref="W127">
    <cfRule type="expression" dxfId="3917" priority="258">
      <formula>AND($R$127,$S$127)</formula>
    </cfRule>
    <cfRule type="expression" dxfId="3916" priority="257">
      <formula>AND(IF($R$127,$W$127,TRUE),LEN(TRIM($W$127))&gt;0)</formula>
    </cfRule>
    <cfRule type="expression" dxfId="3915" priority="256">
      <formula>$S$127 = FALSE</formula>
    </cfRule>
    <cfRule type="expression" dxfId="3914" priority="255">
      <formula>OR($T$127 = TRUE, AND($W$127 = TRUE, $S$127 = FALSE))</formula>
    </cfRule>
  </conditionalFormatting>
  <conditionalFormatting sqref="W129">
    <cfRule type="expression" dxfId="3913" priority="254">
      <formula>AND($R$129,$S$129)</formula>
    </cfRule>
    <cfRule type="expression" dxfId="3912" priority="253">
      <formula>AND(IF($R$129,$W$129,TRUE),LEN(TRIM($W$129))&gt;0)</formula>
    </cfRule>
    <cfRule type="expression" dxfId="3911" priority="252">
      <formula>$S$129 = FALSE</formula>
    </cfRule>
    <cfRule type="expression" dxfId="3910" priority="251">
      <formula>OR($T$129 = TRUE, AND($W$129 = TRUE, $S$129 = FALSE))</formula>
    </cfRule>
  </conditionalFormatting>
  <conditionalFormatting sqref="W135">
    <cfRule type="expression" dxfId="3909" priority="249">
      <formula>AND(IF($R$135,$W$135,TRUE),LEN(TRIM($W$135))&gt;0)</formula>
    </cfRule>
    <cfRule type="expression" dxfId="3908" priority="250">
      <formula>AND($R$135,$S$135)</formula>
    </cfRule>
    <cfRule type="expression" dxfId="3907" priority="247">
      <formula>OR($T$135 = TRUE, AND($W$135 = TRUE, $S$135 = FALSE))</formula>
    </cfRule>
    <cfRule type="expression" dxfId="3906" priority="248">
      <formula>$S$135 = FALSE</formula>
    </cfRule>
  </conditionalFormatting>
  <conditionalFormatting sqref="W139">
    <cfRule type="expression" dxfId="3905" priority="243">
      <formula>OR($T$139 = TRUE, AND($W$139 = TRUE, $S$139 = FALSE))</formula>
    </cfRule>
    <cfRule type="expression" dxfId="3904" priority="244">
      <formula>$S$139 = FALSE</formula>
    </cfRule>
    <cfRule type="expression" dxfId="3903" priority="245">
      <formula>AND(IF($R$139,$W$139,TRUE),LEN(TRIM($W$139))&gt;0)</formula>
    </cfRule>
    <cfRule type="expression" dxfId="3902" priority="246">
      <formula>AND($R$139,$S$139)</formula>
    </cfRule>
  </conditionalFormatting>
  <conditionalFormatting sqref="W143">
    <cfRule type="expression" dxfId="3901" priority="240">
      <formula>$S$143 = FALSE</formula>
    </cfRule>
    <cfRule type="expression" dxfId="3900" priority="241">
      <formula>AND(IF($R$143,$W$143,TRUE),LEN(TRIM($W$143))&gt;0)</formula>
    </cfRule>
    <cfRule type="expression" dxfId="3899" priority="242">
      <formula>AND($R$143,$S$143)</formula>
    </cfRule>
    <cfRule type="expression" dxfId="3898" priority="239">
      <formula>OR($T$143 = TRUE, AND($W$143 = TRUE, $S$143 = FALSE))</formula>
    </cfRule>
  </conditionalFormatting>
  <conditionalFormatting sqref="W148">
    <cfRule type="expression" dxfId="3897" priority="238">
      <formula>AND($R$148,$S$148)</formula>
    </cfRule>
    <cfRule type="expression" dxfId="3896" priority="237">
      <formula>AND(IF($R$148,$W$148,TRUE),LEN(TRIM($W$148))&gt;0)</formula>
    </cfRule>
    <cfRule type="expression" dxfId="3895" priority="235">
      <formula>OR($T$148 = TRUE, AND($W$148 = TRUE, $S$148 = FALSE))</formula>
    </cfRule>
    <cfRule type="expression" dxfId="3894" priority="236">
      <formula>$S$148 = FALSE</formula>
    </cfRule>
  </conditionalFormatting>
  <conditionalFormatting sqref="W150">
    <cfRule type="expression" dxfId="3893" priority="373">
      <formula>AND($W$150&lt;&gt;"Not Met",LEN(TRIM($W$150))&gt;0)</formula>
    </cfRule>
    <cfRule type="expression" dxfId="3892" priority="374">
      <formula>AND($R$150,$S$150)</formula>
    </cfRule>
    <cfRule type="expression" dxfId="3891" priority="371">
      <formula>OR($T$150 = TRUE, AND(LEN(TRIM($W$150))&gt;0, $S$150 = FALSE))</formula>
    </cfRule>
    <cfRule type="expression" dxfId="3890" priority="372">
      <formula>$S$150 = FALSE</formula>
    </cfRule>
  </conditionalFormatting>
  <conditionalFormatting sqref="W153">
    <cfRule type="expression" dxfId="3889" priority="234">
      <formula>AND($R$153,$S$153)</formula>
    </cfRule>
    <cfRule type="expression" dxfId="3888" priority="233">
      <formula>AND(IF($R$153,$W$153,TRUE),LEN(TRIM($W$153))&gt;0)</formula>
    </cfRule>
    <cfRule type="expression" dxfId="3887" priority="232">
      <formula>$S$153 = FALSE</formula>
    </cfRule>
    <cfRule type="expression" dxfId="3886" priority="231">
      <formula>OR($T$153 = TRUE, AND($W$153 = TRUE, $S$153 = FALSE))</formula>
    </cfRule>
  </conditionalFormatting>
  <conditionalFormatting sqref="W155">
    <cfRule type="expression" dxfId="3885" priority="230">
      <formula>AND($R$155,$S$155)</formula>
    </cfRule>
    <cfRule type="expression" dxfId="3884" priority="228">
      <formula>$S$155 = FALSE</formula>
    </cfRule>
    <cfRule type="expression" dxfId="3883" priority="227">
      <formula>OR($T$155 = TRUE, AND($W$155 = TRUE, $S$155 = FALSE))</formula>
    </cfRule>
    <cfRule type="expression" dxfId="3882" priority="229">
      <formula>AND(IF($R$155,$W$155,TRUE),LEN(TRIM($W$155))&gt;0)</formula>
    </cfRule>
  </conditionalFormatting>
  <conditionalFormatting sqref="W157">
    <cfRule type="expression" dxfId="3881" priority="223">
      <formula>OR($T$157 = TRUE, AND($W$157 = TRUE, $S$157 = FALSE))</formula>
    </cfRule>
    <cfRule type="expression" dxfId="3880" priority="226">
      <formula>AND($R$157,$S$157)</formula>
    </cfRule>
    <cfRule type="expression" dxfId="3879" priority="225">
      <formula>AND(IF($R$157,$W$157,TRUE),LEN(TRIM($W$157))&gt;0)</formula>
    </cfRule>
    <cfRule type="expression" dxfId="3878" priority="224">
      <formula>$S$157 = FALSE</formula>
    </cfRule>
  </conditionalFormatting>
  <conditionalFormatting sqref="W161">
    <cfRule type="expression" dxfId="3877" priority="367">
      <formula>OR($T$161 = TRUE, AND(LEN(TRIM($W$161))&gt;0, $S$161 = FALSE))</formula>
    </cfRule>
    <cfRule type="expression" dxfId="3876" priority="370">
      <formula>AND($R$161,$S$161)</formula>
    </cfRule>
    <cfRule type="expression" dxfId="3875" priority="369">
      <formula>AND($W$161&lt;&gt;"Not Met",LEN(TRIM($W$161))&gt;0)</formula>
    </cfRule>
    <cfRule type="expression" dxfId="3874" priority="368">
      <formula>$S$161 = FALSE</formula>
    </cfRule>
  </conditionalFormatting>
  <conditionalFormatting sqref="W169">
    <cfRule type="expression" dxfId="3873" priority="220">
      <formula>$S$169 = FALSE</formula>
    </cfRule>
    <cfRule type="expression" dxfId="3872" priority="222">
      <formula>AND($R$169,$S$169)</formula>
    </cfRule>
    <cfRule type="expression" dxfId="3871" priority="219">
      <formula>OR($T$169 = TRUE, AND($W$169 = TRUE, $S$169 = FALSE))</formula>
    </cfRule>
    <cfRule type="expression" dxfId="3870" priority="221">
      <formula>AND(IF($R$169,$W$169,TRUE),LEN(TRIM($W$169))&gt;0)</formula>
    </cfRule>
  </conditionalFormatting>
  <conditionalFormatting sqref="W179">
    <cfRule type="expression" dxfId="3869" priority="218">
      <formula>AND($R$179,$S$179)</formula>
    </cfRule>
    <cfRule type="expression" dxfId="3868" priority="217">
      <formula>AND(IF($R$179,$W$179,TRUE),LEN(TRIM($W$179))&gt;0)</formula>
    </cfRule>
    <cfRule type="expression" dxfId="3867" priority="216">
      <formula>$S$179 = FALSE</formula>
    </cfRule>
    <cfRule type="expression" dxfId="3866" priority="215">
      <formula>OR($T$179 = TRUE, AND($W$179 = TRUE, $S$179 = FALSE))</formula>
    </cfRule>
  </conditionalFormatting>
  <conditionalFormatting sqref="W182">
    <cfRule type="expression" dxfId="3865" priority="214">
      <formula>AND($R$182,$S$182)</formula>
    </cfRule>
    <cfRule type="expression" dxfId="3864" priority="213">
      <formula>AND(IF($R$182,$W$182,TRUE),LEN(TRIM($W$182))&gt;0)</formula>
    </cfRule>
    <cfRule type="expression" dxfId="3863" priority="212">
      <formula>$S$182 = FALSE</formula>
    </cfRule>
    <cfRule type="expression" dxfId="3862" priority="211">
      <formula>OR($T$182 = TRUE, AND($W$182 = TRUE, $S$182 = FALSE))</formula>
    </cfRule>
  </conditionalFormatting>
  <conditionalFormatting sqref="W183">
    <cfRule type="expression" dxfId="3861" priority="210">
      <formula>AND($R$183,$S$183)</formula>
    </cfRule>
    <cfRule type="expression" dxfId="3860" priority="209">
      <formula>AND(IF($R$183,$W$183,TRUE),LEN(TRIM($W$183))&gt;0)</formula>
    </cfRule>
    <cfRule type="expression" dxfId="3859" priority="208">
      <formula>$S$183 = FALSE</formula>
    </cfRule>
    <cfRule type="expression" dxfId="3858" priority="207">
      <formula>OR($T$183 = TRUE, AND($W$183 = TRUE, $S$183 = FALSE))</formula>
    </cfRule>
  </conditionalFormatting>
  <conditionalFormatting sqref="W187">
    <cfRule type="expression" dxfId="3857" priority="633">
      <formula>AND(IF($R$187,$W$187,TRUE),LEN(TRIM($W$187))&gt;0)</formula>
    </cfRule>
    <cfRule type="expression" dxfId="3856" priority="631">
      <formula>OR($T$187 = TRUE, AND(LEN(TRIM($W$187))&gt;0, $S$187 = FALSE))</formula>
    </cfRule>
    <cfRule type="expression" dxfId="3855" priority="632">
      <formula>$S$187 = FALSE</formula>
    </cfRule>
    <cfRule type="expression" dxfId="3854" priority="634">
      <formula>AND($R$187,$S$187)</formula>
    </cfRule>
  </conditionalFormatting>
  <conditionalFormatting sqref="W193">
    <cfRule type="expression" dxfId="3853" priority="203">
      <formula>OR($T$193 = TRUE, AND($W$193 = TRUE, $S$193 = FALSE))</formula>
    </cfRule>
    <cfRule type="expression" dxfId="3852" priority="204">
      <formula>$S$193 = FALSE</formula>
    </cfRule>
    <cfRule type="expression" dxfId="3851" priority="205">
      <formula>AND(IF($R$193,$W$193,TRUE),LEN(TRIM($W$193))&gt;0)</formula>
    </cfRule>
    <cfRule type="expression" dxfId="3850" priority="206">
      <formula>AND($R$193,$S$193)</formula>
    </cfRule>
  </conditionalFormatting>
  <conditionalFormatting sqref="W195">
    <cfRule type="expression" dxfId="3849" priority="200">
      <formula>$S$195 = FALSE</formula>
    </cfRule>
    <cfRule type="expression" dxfId="3848" priority="201">
      <formula>AND(IF($R$195,$W$195,TRUE),LEN(TRIM($W$195))&gt;0)</formula>
    </cfRule>
    <cfRule type="expression" dxfId="3847" priority="202">
      <formula>AND($R$195,$S$195)</formula>
    </cfRule>
    <cfRule type="expression" dxfId="3846" priority="199">
      <formula>OR($T$195 = TRUE, AND($W$195 = TRUE, $S$195 = FALSE))</formula>
    </cfRule>
  </conditionalFormatting>
  <conditionalFormatting sqref="W197">
    <cfRule type="expression" dxfId="3845" priority="628">
      <formula>$S$197 = FALSE</formula>
    </cfRule>
    <cfRule type="expression" dxfId="3844" priority="627">
      <formula>OR($T$197 = TRUE, AND(LEN(TRIM($W$197))&gt;0, $S$197 = FALSE))</formula>
    </cfRule>
    <cfRule type="expression" dxfId="3843" priority="629">
      <formula>AND(IF($R$197,$W$197,TRUE),LEN(TRIM($W$197))&gt;0)</formula>
    </cfRule>
    <cfRule type="expression" dxfId="3842" priority="630">
      <formula>AND($R$197,$S$197)</formula>
    </cfRule>
  </conditionalFormatting>
  <conditionalFormatting sqref="W209">
    <cfRule type="expression" dxfId="3841" priority="366">
      <formula>AND($R$209,$S$209)</formula>
    </cfRule>
    <cfRule type="expression" dxfId="3840" priority="365">
      <formula>AND($W$209&lt;&gt;"Not Met",LEN(TRIM($W$209))&gt;0)</formula>
    </cfRule>
    <cfRule type="expression" dxfId="3839" priority="364">
      <formula>$S$209 = FALSE</formula>
    </cfRule>
    <cfRule type="expression" dxfId="3838" priority="363">
      <formula>OR($T$209 = TRUE, AND(LEN(TRIM($W$209))&gt;0, $S$209 = FALSE))</formula>
    </cfRule>
  </conditionalFormatting>
  <conditionalFormatting sqref="W211">
    <cfRule type="expression" dxfId="3837" priority="196">
      <formula>$S$211 = FALSE</formula>
    </cfRule>
    <cfRule type="expression" dxfId="3836" priority="198">
      <formula>AND($R$211,$S$211)</formula>
    </cfRule>
    <cfRule type="expression" dxfId="3835" priority="197">
      <formula>AND(IF($R$211,$W$211,TRUE),LEN(TRIM($W$211))&gt;0)</formula>
    </cfRule>
    <cfRule type="expression" dxfId="3834" priority="195">
      <formula>OR($T$211 = TRUE, AND($W$211 = TRUE, $S$211 = FALSE))</formula>
    </cfRule>
  </conditionalFormatting>
  <conditionalFormatting sqref="W214">
    <cfRule type="expression" dxfId="3833" priority="362">
      <formula>AND($R$214,$S$214)</formula>
    </cfRule>
    <cfRule type="expression" dxfId="3832" priority="361">
      <formula>AND($W$214&lt;&gt;"Not Met",LEN(TRIM($W$214))&gt;0)</formula>
    </cfRule>
    <cfRule type="expression" dxfId="3831" priority="360">
      <formula>$S$214 = FALSE</formula>
    </cfRule>
    <cfRule type="expression" dxfId="3830" priority="359">
      <formula>OR($T$214 = TRUE, AND(LEN(TRIM($W$214))&gt;0, $S$214 = FALSE))</formula>
    </cfRule>
  </conditionalFormatting>
  <conditionalFormatting sqref="W220">
    <cfRule type="expression" dxfId="3829" priority="358">
      <formula>AND($R$220,$S$220)</formula>
    </cfRule>
    <cfRule type="expression" dxfId="3828" priority="357">
      <formula>AND($W$220&lt;&gt;"Not Met",LEN(TRIM($W$220))&gt;0)</formula>
    </cfRule>
    <cfRule type="expression" dxfId="3827" priority="356">
      <formula>$S$220 = FALSE</formula>
    </cfRule>
    <cfRule type="expression" dxfId="3826" priority="355">
      <formula>OR($T$220 = TRUE, AND(LEN(TRIM($W$220))&gt;0, $S$220 = FALSE))</formula>
    </cfRule>
  </conditionalFormatting>
  <conditionalFormatting sqref="W222">
    <cfRule type="expression" dxfId="3825" priority="191">
      <formula>OR($T$222 = TRUE, AND($W$222 = TRUE, $S$222 = FALSE))</formula>
    </cfRule>
    <cfRule type="expression" dxfId="3824" priority="192">
      <formula>$S$222 = FALSE</formula>
    </cfRule>
    <cfRule type="expression" dxfId="3823" priority="193">
      <formula>AND(IF($R$222,$W$222,TRUE),LEN(TRIM($W$222))&gt;0)</formula>
    </cfRule>
    <cfRule type="expression" dxfId="3822" priority="194">
      <formula>AND($R$222,$S$222)</formula>
    </cfRule>
  </conditionalFormatting>
  <conditionalFormatting sqref="W223">
    <cfRule type="expression" dxfId="3821" priority="189">
      <formula>AND(IF($R$223,$W$223,TRUE),LEN(TRIM($W$223))&gt;0)</formula>
    </cfRule>
    <cfRule type="expression" dxfId="3820" priority="188">
      <formula>$S$223 = FALSE</formula>
    </cfRule>
    <cfRule type="expression" dxfId="3819" priority="187">
      <formula>OR($T$223 = TRUE, AND($W$223 = TRUE, $S$223 = FALSE))</formula>
    </cfRule>
    <cfRule type="expression" dxfId="3818" priority="190">
      <formula>AND($R$223,$S$223)</formula>
    </cfRule>
  </conditionalFormatting>
  <conditionalFormatting sqref="W228">
    <cfRule type="expression" dxfId="3817" priority="184">
      <formula>$S$228 = FALSE</formula>
    </cfRule>
    <cfRule type="expression" dxfId="3816" priority="186">
      <formula>AND($R$228,$S$228)</formula>
    </cfRule>
    <cfRule type="expression" dxfId="3815" priority="185">
      <formula>AND(IF($R$228,$W$228,TRUE),LEN(TRIM($W$228))&gt;0)</formula>
    </cfRule>
    <cfRule type="expression" dxfId="3814" priority="183">
      <formula>OR($T$228 = TRUE, AND($W$228 = TRUE, $S$228 = FALSE))</formula>
    </cfRule>
  </conditionalFormatting>
  <conditionalFormatting sqref="W230">
    <cfRule type="expression" dxfId="3813" priority="181">
      <formula>AND(IF($R$230,$W$230,TRUE),LEN(TRIM($W$230))&gt;0)</formula>
    </cfRule>
    <cfRule type="expression" dxfId="3812" priority="182">
      <formula>AND($R$230,$S$230)</formula>
    </cfRule>
    <cfRule type="expression" dxfId="3811" priority="180">
      <formula>$S$230 = FALSE</formula>
    </cfRule>
    <cfRule type="expression" dxfId="3810" priority="179">
      <formula>OR($T$230 = TRUE, AND($W$230 = TRUE, $S$230 = FALSE))</formula>
    </cfRule>
  </conditionalFormatting>
  <conditionalFormatting sqref="W231">
    <cfRule type="expression" dxfId="3809" priority="178">
      <formula>AND($R$231,$S$231)</formula>
    </cfRule>
    <cfRule type="expression" dxfId="3808" priority="177">
      <formula>AND(IF($R$231,$W$231,TRUE),LEN(TRIM($W$231))&gt;0)</formula>
    </cfRule>
    <cfRule type="expression" dxfId="3807" priority="176">
      <formula>$S$231 = FALSE</formula>
    </cfRule>
    <cfRule type="expression" dxfId="3806" priority="175">
      <formula>OR($T$231 = TRUE, AND($W$231 = TRUE, $S$231 = FALSE))</formula>
    </cfRule>
  </conditionalFormatting>
  <conditionalFormatting sqref="W234">
    <cfRule type="expression" dxfId="3805" priority="174">
      <formula>AND($R$234,$S$234)</formula>
    </cfRule>
    <cfRule type="expression" dxfId="3804" priority="173">
      <formula>AND(IF($R$234,$W$234,TRUE),LEN(TRIM($W$234))&gt;0)</formula>
    </cfRule>
    <cfRule type="expression" dxfId="3803" priority="172">
      <formula>$S$234 = FALSE</formula>
    </cfRule>
    <cfRule type="expression" dxfId="3802" priority="171">
      <formula>OR($T$234 = TRUE, AND($W$234 = TRUE, $S$234 = FALSE))</formula>
    </cfRule>
  </conditionalFormatting>
  <conditionalFormatting sqref="W238">
    <cfRule type="expression" dxfId="3801" priority="170">
      <formula>AND($R$238,$S$238)</formula>
    </cfRule>
    <cfRule type="expression" dxfId="3800" priority="169">
      <formula>AND(IF($R$238,$W$238,TRUE),LEN(TRIM($W$238))&gt;0)</formula>
    </cfRule>
    <cfRule type="expression" dxfId="3799" priority="168">
      <formula>$S$238 = FALSE</formula>
    </cfRule>
    <cfRule type="expression" dxfId="3798" priority="167">
      <formula>OR($T$238 = TRUE, AND($W$238 = TRUE, $S$238 = FALSE))</formula>
    </cfRule>
  </conditionalFormatting>
  <conditionalFormatting sqref="W243">
    <cfRule type="expression" dxfId="3797" priority="166">
      <formula>AND($R$243,$S$243)</formula>
    </cfRule>
    <cfRule type="expression" dxfId="3796" priority="164">
      <formula>$S$243 = FALSE</formula>
    </cfRule>
    <cfRule type="expression" dxfId="3795" priority="165">
      <formula>AND(IF($R$243,$W$243,TRUE),LEN(TRIM($W$243))&gt;0)</formula>
    </cfRule>
    <cfRule type="expression" dxfId="3794" priority="163">
      <formula>OR($T$243 = TRUE, AND($W$243 = TRUE, $S$243 = FALSE))</formula>
    </cfRule>
  </conditionalFormatting>
  <conditionalFormatting sqref="W245">
    <cfRule type="expression" dxfId="3793" priority="159">
      <formula>OR($T$245 = TRUE, AND($W$245 = TRUE, $S$245 = FALSE))</formula>
    </cfRule>
    <cfRule type="expression" dxfId="3792" priority="160">
      <formula>$S$245 = FALSE</formula>
    </cfRule>
    <cfRule type="expression" dxfId="3791" priority="161">
      <formula>AND(IF($R$245,$W$245,TRUE),LEN(TRIM($W$245))&gt;0)</formula>
    </cfRule>
    <cfRule type="expression" dxfId="3790" priority="162">
      <formula>AND($R$245,$S$245)</formula>
    </cfRule>
  </conditionalFormatting>
  <conditionalFormatting sqref="W249">
    <cfRule type="expression" dxfId="3789" priority="609">
      <formula>AND($R$249,$S$249)</formula>
    </cfRule>
    <cfRule type="expression" dxfId="3788" priority="608">
      <formula>AND(IF($R$249,$W$249,TRUE),LEN(TRIM($W$249))&gt;0)</formula>
    </cfRule>
    <cfRule type="expression" dxfId="3787" priority="607">
      <formula>$S$249 = FALSE</formula>
    </cfRule>
    <cfRule type="expression" dxfId="3786" priority="606">
      <formula>OR($T$249 = TRUE, AND($W$249 = TRUE, $S$249 = FALSE))</formula>
    </cfRule>
  </conditionalFormatting>
  <conditionalFormatting sqref="W255">
    <cfRule type="expression" dxfId="3785" priority="598">
      <formula>S255 = FALSE</formula>
    </cfRule>
    <cfRule type="expression" dxfId="3784" priority="600">
      <formula>AND(R255,S255)</formula>
    </cfRule>
    <cfRule type="expression" dxfId="3783" priority="599">
      <formula>AND(IF(R255,W255,TRUE),LEN(TRIM(W255))&gt;0)</formula>
    </cfRule>
    <cfRule type="expression" dxfId="3782" priority="597">
      <formula>OR(T255 = TRUE, AND(W255 = TRUE, S255 = FALSE))</formula>
    </cfRule>
  </conditionalFormatting>
  <conditionalFormatting sqref="W262">
    <cfRule type="expression" dxfId="3781" priority="157">
      <formula>AND(IF($R$262,$W$262,TRUE),LEN(TRIM($W$262))&gt;0)</formula>
    </cfRule>
    <cfRule type="expression" dxfId="3780" priority="155">
      <formula>OR($T$262 = TRUE, AND($W$262 = TRUE, $S$262 = FALSE))</formula>
    </cfRule>
    <cfRule type="expression" dxfId="3779" priority="158">
      <formula>AND($R$262,$S$262)</formula>
    </cfRule>
    <cfRule type="expression" dxfId="3778" priority="156">
      <formula>$S$262 = FALSE</formula>
    </cfRule>
  </conditionalFormatting>
  <conditionalFormatting sqref="W267">
    <cfRule type="expression" dxfId="3777" priority="595">
      <formula>AND(R267,S267)</formula>
    </cfRule>
    <cfRule type="expression" dxfId="3776" priority="594">
      <formula>AND(IF(R267,W267,TRUE),LEN(TRIM(W267))&gt;0)</formula>
    </cfRule>
    <cfRule type="expression" dxfId="3775" priority="593">
      <formula>S267 = FALSE</formula>
    </cfRule>
    <cfRule type="expression" dxfId="3774" priority="592">
      <formula>OR(T267 = TRUE, AND(W267 = TRUE, S267 = FALSE))</formula>
    </cfRule>
  </conditionalFormatting>
  <conditionalFormatting sqref="W269">
    <cfRule type="expression" dxfId="3773" priority="588">
      <formula>OR(T269 = TRUE, AND(W269 = TRUE, S269 = FALSE))</formula>
    </cfRule>
    <cfRule type="expression" dxfId="3772" priority="589">
      <formula>S269 = FALSE</formula>
    </cfRule>
    <cfRule type="expression" dxfId="3771" priority="591">
      <formula>AND(R269,S269)</formula>
    </cfRule>
    <cfRule type="expression" dxfId="3770" priority="590">
      <formula>AND(IF(R269,W269,TRUE),LEN(TRIM(W269))&gt;0)</formula>
    </cfRule>
  </conditionalFormatting>
  <conditionalFormatting sqref="W271">
    <cfRule type="expression" dxfId="3769" priority="587">
      <formula>AND(R271,S271)</formula>
    </cfRule>
    <cfRule type="expression" dxfId="3768" priority="586">
      <formula>AND(IF(R271,W271,TRUE),LEN(TRIM(W271))&gt;0)</formula>
    </cfRule>
    <cfRule type="expression" dxfId="3767" priority="585">
      <formula>S271 = FALSE</formula>
    </cfRule>
    <cfRule type="expression" dxfId="3766" priority="584">
      <formula>OR(T271 = TRUE, AND(W271 = TRUE, S271 = FALSE))</formula>
    </cfRule>
  </conditionalFormatting>
  <conditionalFormatting sqref="W273">
    <cfRule type="expression" dxfId="3765" priority="581">
      <formula>S273 = FALSE</formula>
    </cfRule>
    <cfRule type="expression" dxfId="3764" priority="583">
      <formula>AND(R273,S273)</formula>
    </cfRule>
    <cfRule type="expression" dxfId="3763" priority="582">
      <formula>AND(IF(R273,W273,TRUE),LEN(TRIM(W273))&gt;0)</formula>
    </cfRule>
    <cfRule type="expression" dxfId="3762" priority="580">
      <formula>OR(T273 = TRUE, AND(W273 = TRUE, S273 = FALSE))</formula>
    </cfRule>
  </conditionalFormatting>
  <conditionalFormatting sqref="W278">
    <cfRule type="expression" dxfId="3761" priority="151">
      <formula>OR($T$278 = TRUE, AND($W$278 = TRUE, $S$278 = FALSE))</formula>
    </cfRule>
    <cfRule type="expression" dxfId="3760" priority="154">
      <formula>AND($R$278,$S$278)</formula>
    </cfRule>
    <cfRule type="expression" dxfId="3759" priority="153">
      <formula>AND(IF($R$278,$W$278,TRUE),LEN(TRIM($W$278))&gt;0)</formula>
    </cfRule>
    <cfRule type="expression" dxfId="3758" priority="152">
      <formula>$S$278 = FALSE</formula>
    </cfRule>
  </conditionalFormatting>
  <conditionalFormatting sqref="W291">
    <cfRule type="expression" dxfId="3757" priority="147">
      <formula>OR($T$291 = TRUE, AND($W$291 = TRUE, $S$291 = FALSE))</formula>
    </cfRule>
    <cfRule type="expression" dxfId="3756" priority="149">
      <formula>AND(IF($R$291,$W$291,TRUE),LEN(TRIM($W$291))&gt;0)</formula>
    </cfRule>
    <cfRule type="expression" dxfId="3755" priority="150">
      <formula>AND($R$291,$S$291)</formula>
    </cfRule>
    <cfRule type="expression" dxfId="3754" priority="148">
      <formula>$S$291 = FALSE</formula>
    </cfRule>
  </conditionalFormatting>
  <conditionalFormatting sqref="W293">
    <cfRule type="expression" dxfId="3753" priority="144">
      <formula>$S$293 = FALSE</formula>
    </cfRule>
    <cfRule type="expression" dxfId="3752" priority="145">
      <formula>AND(IF($R$293,$W$293,TRUE),LEN(TRIM($W$293))&gt;0)</formula>
    </cfRule>
    <cfRule type="expression" dxfId="3751" priority="146">
      <formula>AND($R$293,$S$293)</formula>
    </cfRule>
    <cfRule type="expression" dxfId="3750" priority="143">
      <formula>OR($T$293 = TRUE, AND($W$293 = TRUE, $S$293 = FALSE))</formula>
    </cfRule>
  </conditionalFormatting>
  <conditionalFormatting sqref="W306">
    <cfRule type="expression" dxfId="3749" priority="141">
      <formula>AND(IF($R$306,$W$306,TRUE),LEN(TRIM($W$306))&gt;0)</formula>
    </cfRule>
    <cfRule type="expression" dxfId="3748" priority="139">
      <formula>OR($T$306 = TRUE, AND($W$306 = TRUE, $S$306 = FALSE))</formula>
    </cfRule>
    <cfRule type="expression" dxfId="3747" priority="140">
      <formula>$S$306 = FALSE</formula>
    </cfRule>
    <cfRule type="expression" dxfId="3746" priority="142">
      <formula>AND($R$306,$S$306)</formula>
    </cfRule>
  </conditionalFormatting>
  <conditionalFormatting sqref="W307">
    <cfRule type="expression" dxfId="3745" priority="135">
      <formula>OR($T$307 = TRUE, AND($W$307 = TRUE, $S$307 = FALSE))</formula>
    </cfRule>
    <cfRule type="expression" dxfId="3744" priority="136">
      <formula>$S$307 = FALSE</formula>
    </cfRule>
    <cfRule type="expression" dxfId="3743" priority="137">
      <formula>AND(IF($R$307,$W$307,TRUE),LEN(TRIM($W$307))&gt;0)</formula>
    </cfRule>
    <cfRule type="expression" dxfId="3742" priority="138">
      <formula>AND($R$307,$S$307)</formula>
    </cfRule>
  </conditionalFormatting>
  <conditionalFormatting sqref="W308">
    <cfRule type="expression" dxfId="3741" priority="133">
      <formula>AND(IF($R$308,$W$308,TRUE),LEN(TRIM($W$308))&gt;0)</formula>
    </cfRule>
    <cfRule type="expression" dxfId="3740" priority="134">
      <formula>AND($R$308,$S$308)</formula>
    </cfRule>
    <cfRule type="expression" dxfId="3739" priority="131">
      <formula>OR($T$308 = TRUE, AND($W$308 = TRUE, $S$308 = FALSE))</formula>
    </cfRule>
    <cfRule type="expression" dxfId="3738" priority="132">
      <formula>$S$308 = FALSE</formula>
    </cfRule>
  </conditionalFormatting>
  <conditionalFormatting sqref="W309">
    <cfRule type="expression" dxfId="3737" priority="128">
      <formula>$S$309 = FALSE</formula>
    </cfRule>
    <cfRule type="expression" dxfId="3736" priority="129">
      <formula>AND(IF($R$309,$W$309,TRUE),LEN(TRIM($W$309))&gt;0)</formula>
    </cfRule>
    <cfRule type="expression" dxfId="3735" priority="130">
      <formula>AND($R$309,$S$309)</formula>
    </cfRule>
    <cfRule type="expression" dxfId="3734" priority="127">
      <formula>OR($T$309 = TRUE, AND($W$309 = TRUE, $S$309 = FALSE))</formula>
    </cfRule>
  </conditionalFormatting>
  <conditionalFormatting sqref="W310">
    <cfRule type="expression" dxfId="3733" priority="123">
      <formula>OR($T$310 = TRUE, AND($W$310 = TRUE, $S$310 = FALSE))</formula>
    </cfRule>
    <cfRule type="expression" dxfId="3732" priority="124">
      <formula>$S$310 = FALSE</formula>
    </cfRule>
    <cfRule type="expression" dxfId="3731" priority="125">
      <formula>AND(IF($R$310,$W$310,TRUE),LEN(TRIM($W$310))&gt;0)</formula>
    </cfRule>
    <cfRule type="expression" dxfId="3730" priority="126">
      <formula>AND($R$310,$S$310)</formula>
    </cfRule>
  </conditionalFormatting>
  <conditionalFormatting sqref="W311">
    <cfRule type="expression" dxfId="3729" priority="119">
      <formula>OR($T$311 = TRUE, AND($W$311 = TRUE, $S$311 = FALSE))</formula>
    </cfRule>
    <cfRule type="expression" dxfId="3728" priority="120">
      <formula>$S$311 = FALSE</formula>
    </cfRule>
    <cfRule type="expression" dxfId="3727" priority="122">
      <formula>AND($R$311,$S$311)</formula>
    </cfRule>
    <cfRule type="expression" dxfId="3726" priority="121">
      <formula>AND(IF($R$311,$W$311,TRUE),LEN(TRIM($W$311))&gt;0)</formula>
    </cfRule>
  </conditionalFormatting>
  <conditionalFormatting sqref="W312">
    <cfRule type="expression" dxfId="3725" priority="115">
      <formula>OR($T$312 = TRUE, AND($W$312 = TRUE, $S$312 = FALSE))</formula>
    </cfRule>
    <cfRule type="expression" dxfId="3724" priority="116">
      <formula>$S$312 = FALSE</formula>
    </cfRule>
    <cfRule type="expression" dxfId="3723" priority="117">
      <formula>AND(IF($R$312,$W$312,TRUE),LEN(TRIM($W$312))&gt;0)</formula>
    </cfRule>
    <cfRule type="expression" dxfId="3722" priority="118">
      <formula>AND($R$312,$S$312)</formula>
    </cfRule>
  </conditionalFormatting>
  <conditionalFormatting sqref="W313">
    <cfRule type="expression" dxfId="3721" priority="111">
      <formula>OR($T$313 = TRUE, AND($W$313 = TRUE, $S$313 = FALSE))</formula>
    </cfRule>
    <cfRule type="expression" dxfId="3720" priority="112">
      <formula>$S$313 = FALSE</formula>
    </cfRule>
    <cfRule type="expression" dxfId="3719" priority="113">
      <formula>AND(IF($R$313,$W$313,TRUE),LEN(TRIM($W$313))&gt;0)</formula>
    </cfRule>
    <cfRule type="expression" dxfId="3718" priority="114">
      <formula>AND($R$313,$S$313)</formula>
    </cfRule>
  </conditionalFormatting>
  <conditionalFormatting sqref="W314">
    <cfRule type="expression" dxfId="3717" priority="107">
      <formula>OR($T$314 = TRUE, AND($W$314 = TRUE, $S$314 = FALSE))</formula>
    </cfRule>
    <cfRule type="expression" dxfId="3716" priority="108">
      <formula>$S$314 = FALSE</formula>
    </cfRule>
    <cfRule type="expression" dxfId="3715" priority="109">
      <formula>AND(IF($R$314,$W$314,TRUE),LEN(TRIM($W$314))&gt;0)</formula>
    </cfRule>
    <cfRule type="expression" dxfId="3714" priority="110">
      <formula>AND($R$314,$S$314)</formula>
    </cfRule>
  </conditionalFormatting>
  <conditionalFormatting sqref="W319">
    <cfRule type="expression" dxfId="3713" priority="526">
      <formula>$S$319 = FALSE</formula>
    </cfRule>
    <cfRule type="expression" dxfId="3712" priority="527">
      <formula>AND(IF($R$319,$W$319,TRUE),LEN(TRIM($W$319))&gt;0)</formula>
    </cfRule>
    <cfRule type="expression" dxfId="3711" priority="528">
      <formula>AND($R$319,$S$319)</formula>
    </cfRule>
    <cfRule type="expression" dxfId="3710" priority="525">
      <formula>OR($T$319 = TRUE, AND(LEN(TRIM($W$319))&gt;0, $S$319 = FALSE))</formula>
    </cfRule>
  </conditionalFormatting>
  <conditionalFormatting sqref="W320">
    <cfRule type="expression" dxfId="3709" priority="523">
      <formula>AND(IF($R$320,$W$320,TRUE),LEN(TRIM($W$320))&gt;0)</formula>
    </cfRule>
    <cfRule type="expression" dxfId="3708" priority="524">
      <formula>AND($R$320,$S$320)</formula>
    </cfRule>
    <cfRule type="expression" dxfId="3707" priority="522">
      <formula>$S$320 = FALSE</formula>
    </cfRule>
    <cfRule type="expression" dxfId="3706" priority="521">
      <formula>OR($T$320 = TRUE, AND(LEN(TRIM($W$320))&gt;0, $S$320 = FALSE))</formula>
    </cfRule>
  </conditionalFormatting>
  <conditionalFormatting sqref="W321">
    <cfRule type="expression" dxfId="3705" priority="520">
      <formula>AND($R$321,$S$321)</formula>
    </cfRule>
    <cfRule type="expression" dxfId="3704" priority="519">
      <formula>AND(IF($R$321,$W$321,TRUE),LEN(TRIM($W$321))&gt;0)</formula>
    </cfRule>
    <cfRule type="expression" dxfId="3703" priority="518">
      <formula>$S$321 = FALSE</formula>
    </cfRule>
    <cfRule type="expression" dxfId="3702" priority="517">
      <formula>OR($T$321 = TRUE, AND(LEN(TRIM($W$321))&gt;0, $S$321 = FALSE))</formula>
    </cfRule>
  </conditionalFormatting>
  <conditionalFormatting sqref="W322">
    <cfRule type="expression" dxfId="3701" priority="511">
      <formula>AND(IF($R$322,$W$322,TRUE),LEN(TRIM($W$322))&gt;0)</formula>
    </cfRule>
    <cfRule type="expression" dxfId="3700" priority="512">
      <formula>AND($R$322,$S$322)</formula>
    </cfRule>
    <cfRule type="expression" dxfId="3699" priority="510">
      <formula>$S$322 = FALSE</formula>
    </cfRule>
    <cfRule type="expression" dxfId="3698" priority="509">
      <formula>OR($T$322 = TRUE, AND(LEN(TRIM($W$322))&gt;0, $S$322 = FALSE))</formula>
    </cfRule>
  </conditionalFormatting>
  <conditionalFormatting sqref="W323">
    <cfRule type="expression" dxfId="3697" priority="508">
      <formula>AND($R$323,$S$323)</formula>
    </cfRule>
    <cfRule type="expression" dxfId="3696" priority="506">
      <formula>$S$323 = FALSE</formula>
    </cfRule>
    <cfRule type="expression" dxfId="3695" priority="507">
      <formula>AND(IF($R$323,$W$323,TRUE),LEN(TRIM($W$323))&gt;0)</formula>
    </cfRule>
    <cfRule type="expression" dxfId="3694" priority="505">
      <formula>OR($T$323 = TRUE, AND(LEN(TRIM($W$323))&gt;0, $S$323 = FALSE))</formula>
    </cfRule>
  </conditionalFormatting>
  <conditionalFormatting sqref="W324">
    <cfRule type="expression" dxfId="3693" priority="503">
      <formula>AND(IF($R$324,$W$324,TRUE),LEN(TRIM($W$324))&gt;0)</formula>
    </cfRule>
    <cfRule type="expression" dxfId="3692" priority="502">
      <formula>$S$324 = FALSE</formula>
    </cfRule>
    <cfRule type="expression" dxfId="3691" priority="501">
      <formula>OR($T$324 = TRUE, AND(LEN(TRIM($W$324))&gt;0, $S$324 = FALSE))</formula>
    </cfRule>
    <cfRule type="expression" dxfId="3690" priority="504">
      <formula>AND($R$324,$S$324)</formula>
    </cfRule>
  </conditionalFormatting>
  <conditionalFormatting sqref="W325">
    <cfRule type="expression" dxfId="3689" priority="500">
      <formula>AND($R$325,$S$325)</formula>
    </cfRule>
    <cfRule type="expression" dxfId="3688" priority="499">
      <formula>AND(IF($R$325,$W$325,TRUE),LEN(TRIM($W$325))&gt;0)</formula>
    </cfRule>
    <cfRule type="expression" dxfId="3687" priority="498">
      <formula>$S$325 = FALSE</formula>
    </cfRule>
    <cfRule type="expression" dxfId="3686" priority="497">
      <formula>OR($T$325 = TRUE, AND(LEN(TRIM($W$325))&gt;0, $S$325 = FALSE))</formula>
    </cfRule>
  </conditionalFormatting>
  <conditionalFormatting sqref="W326">
    <cfRule type="expression" dxfId="3685" priority="495">
      <formula>AND(IF($R$326,$W$326,TRUE),LEN(TRIM($W$326))&gt;0)</formula>
    </cfRule>
    <cfRule type="expression" dxfId="3684" priority="494">
      <formula>$S$326 = FALSE</formula>
    </cfRule>
    <cfRule type="expression" dxfId="3683" priority="493">
      <formula>OR($T$326 = TRUE, AND(LEN(TRIM($W$326))&gt;0, $S$326 = FALSE))</formula>
    </cfRule>
    <cfRule type="expression" dxfId="3682" priority="496">
      <formula>AND($R$326,$S$326)</formula>
    </cfRule>
  </conditionalFormatting>
  <conditionalFormatting sqref="W346">
    <cfRule type="expression" dxfId="3681" priority="491">
      <formula>AND(IF($R$346,$W$346,TRUE),LEN(TRIM($W$346))&gt;0)</formula>
    </cfRule>
    <cfRule type="expression" dxfId="3680" priority="492">
      <formula>AND($R$346,$S$346)</formula>
    </cfRule>
    <cfRule type="expression" dxfId="3679" priority="490">
      <formula>$S$346 = FALSE</formula>
    </cfRule>
    <cfRule type="expression" dxfId="3678" priority="489">
      <formula>OR($T$346 = TRUE, AND(LEN(TRIM($W$346))&gt;0, $S$346 = FALSE))</formula>
    </cfRule>
  </conditionalFormatting>
  <conditionalFormatting sqref="W347">
    <cfRule type="expression" dxfId="3677" priority="485">
      <formula>OR($T$347 = TRUE, AND(LEN(TRIM($W$347))&gt;0, $S$347 = FALSE))</formula>
    </cfRule>
    <cfRule type="expression" dxfId="3676" priority="486">
      <formula>$S$347 = FALSE</formula>
    </cfRule>
    <cfRule type="expression" dxfId="3675" priority="487">
      <formula>AND(IF($R$347,$W$347,TRUE),LEN(TRIM($W$347))&gt;0)</formula>
    </cfRule>
    <cfRule type="expression" dxfId="3674" priority="488">
      <formula>AND($R$347,$S$347)</formula>
    </cfRule>
  </conditionalFormatting>
  <conditionalFormatting sqref="W349">
    <cfRule type="expression" dxfId="3673" priority="482">
      <formula>$S$349 = FALSE</formula>
    </cfRule>
    <cfRule type="expression" dxfId="3672" priority="484">
      <formula>AND($R$349,$S$349)</formula>
    </cfRule>
    <cfRule type="expression" dxfId="3671" priority="483">
      <formula>AND(IF($R$349,$W$349,TRUE),LEN(TRIM($W$349))&gt;0)</formula>
    </cfRule>
    <cfRule type="expression" dxfId="3670" priority="481">
      <formula>OR($T$349 = TRUE, AND(LEN(TRIM($W$349))&gt;0, $S$349 = FALSE))</formula>
    </cfRule>
  </conditionalFormatting>
  <conditionalFormatting sqref="W350">
    <cfRule type="expression" dxfId="3669" priority="480">
      <formula>AND($R$350,$S$350)</formula>
    </cfRule>
    <cfRule type="expression" dxfId="3668" priority="479">
      <formula>AND(IF($R$350,$W$350,TRUE),LEN(TRIM($W$350))&gt;0)</formula>
    </cfRule>
    <cfRule type="expression" dxfId="3667" priority="478">
      <formula>$S$350 = FALSE</formula>
    </cfRule>
    <cfRule type="expression" dxfId="3666" priority="477">
      <formula>OR($T$350 = TRUE, AND(LEN(TRIM($W$350))&gt;0, $S$350 = FALSE))</formula>
    </cfRule>
  </conditionalFormatting>
  <conditionalFormatting sqref="W352">
    <cfRule type="expression" dxfId="3665" priority="473">
      <formula>$S$352 = FALSE</formula>
    </cfRule>
    <cfRule type="expression" dxfId="3664" priority="475">
      <formula>AND($R$352,$S$352)</formula>
    </cfRule>
    <cfRule type="expression" dxfId="3663" priority="474">
      <formula>AND(IF($R$352,$W$352,TRUE),LEN(TRIM($W$352))&gt;0)</formula>
    </cfRule>
    <cfRule type="expression" dxfId="3662" priority="472">
      <formula>OR($T$352 = TRUE, AND(LEN(TRIM($W$352))&gt;0, $S$352 = FALSE))</formula>
    </cfRule>
  </conditionalFormatting>
  <conditionalFormatting sqref="W361">
    <cfRule type="expression" dxfId="3661" priority="106">
      <formula>AND($R$361,$S$361)</formula>
    </cfRule>
    <cfRule type="expression" dxfId="3660" priority="105">
      <formula>AND(IF($R$361,$W$361,TRUE),LEN(TRIM($W$361))&gt;0)</formula>
    </cfRule>
    <cfRule type="expression" dxfId="3659" priority="103">
      <formula>OR($T$361 = TRUE, AND($W$361 = TRUE, $S$361 = FALSE))</formula>
    </cfRule>
    <cfRule type="expression" dxfId="3658" priority="104">
      <formula>$S$361 = FALSE</formula>
    </cfRule>
  </conditionalFormatting>
  <conditionalFormatting sqref="W363">
    <cfRule type="expression" dxfId="3657" priority="99">
      <formula>OR($T$363 = TRUE, AND($W$363 = TRUE, $S$363 = FALSE))</formula>
    </cfRule>
    <cfRule type="expression" dxfId="3656" priority="100">
      <formula>$S$363 = FALSE</formula>
    </cfRule>
    <cfRule type="expression" dxfId="3655" priority="101">
      <formula>AND(IF($R$363,$W$363,TRUE),LEN(TRIM($W$363))&gt;0)</formula>
    </cfRule>
    <cfRule type="expression" dxfId="3654" priority="102">
      <formula>AND($R$363,$S$363)</formula>
    </cfRule>
  </conditionalFormatting>
  <conditionalFormatting sqref="W364">
    <cfRule type="expression" dxfId="3653" priority="97">
      <formula>AND(IF($R$364,$W$364,TRUE),LEN(TRIM($W$364))&gt;0)</formula>
    </cfRule>
    <cfRule type="expression" dxfId="3652" priority="98">
      <formula>AND($R$364,$S$364)</formula>
    </cfRule>
    <cfRule type="expression" dxfId="3651" priority="95">
      <formula>OR($T$364 = TRUE, AND($W$364 = TRUE, $S$364 = FALSE))</formula>
    </cfRule>
    <cfRule type="expression" dxfId="3650" priority="96">
      <formula>$S$364 = FALSE</formula>
    </cfRule>
  </conditionalFormatting>
  <conditionalFormatting sqref="W367">
    <cfRule type="expression" dxfId="3649" priority="455">
      <formula>OR($T$367 = TRUE, AND(LEN(TRIM($W$367))&gt;0, $S$367 = FALSE))</formula>
    </cfRule>
    <cfRule type="expression" dxfId="3648" priority="456">
      <formula>$S$367 = FALSE</formula>
    </cfRule>
    <cfRule type="expression" dxfId="3647" priority="457">
      <formula>AND(IF($R$367,$W$367,TRUE),LEN(TRIM($W$367))&gt;0)</formula>
    </cfRule>
    <cfRule type="expression" dxfId="3646" priority="458">
      <formula>AND($R$367,$S$367)</formula>
    </cfRule>
  </conditionalFormatting>
  <conditionalFormatting sqref="W377">
    <cfRule type="expression" dxfId="3645" priority="452">
      <formula>AND(IF($R$377,$W$377,TRUE),LEN(TRIM($W$377))&gt;0)</formula>
    </cfRule>
    <cfRule type="expression" dxfId="3644" priority="453">
      <formula>AND($R$377,$S$377)</formula>
    </cfRule>
    <cfRule type="expression" dxfId="3643" priority="450">
      <formula>OR($T$377 = TRUE, AND(LEN(TRIM($W$377))&gt;0, $S$377 = FALSE))</formula>
    </cfRule>
    <cfRule type="expression" dxfId="3642" priority="451">
      <formula>$S$377 = FALSE</formula>
    </cfRule>
  </conditionalFormatting>
  <conditionalFormatting sqref="W380">
    <cfRule type="expression" dxfId="3641" priority="447">
      <formula>$S$380 = FALSE</formula>
    </cfRule>
    <cfRule type="expression" dxfId="3640" priority="448">
      <formula>AND(IF($R$380,$W$380,TRUE),LEN(TRIM($W$380))&gt;0)</formula>
    </cfRule>
    <cfRule type="expression" dxfId="3639" priority="449">
      <formula>AND($R$380,$S$380)</formula>
    </cfRule>
    <cfRule type="expression" dxfId="3638" priority="446">
      <formula>OR($T$380 = TRUE, AND(LEN(TRIM($W$380))&gt;0, $S$380 = FALSE))</formula>
    </cfRule>
  </conditionalFormatting>
  <conditionalFormatting sqref="W392">
    <cfRule type="expression" dxfId="3637" priority="93">
      <formula>AND(IF($R$392,$W$392,TRUE),LEN(TRIM($W$392))&gt;0)</formula>
    </cfRule>
    <cfRule type="expression" dxfId="3636" priority="94">
      <formula>AND($R$392,$S$392)</formula>
    </cfRule>
    <cfRule type="expression" dxfId="3635" priority="92">
      <formula>$S$392 = FALSE</formula>
    </cfRule>
    <cfRule type="expression" dxfId="3634" priority="91">
      <formula>OR($T$392 = TRUE, AND($W$392 = TRUE, $S$392 = FALSE))</formula>
    </cfRule>
  </conditionalFormatting>
  <conditionalFormatting sqref="W401">
    <cfRule type="expression" dxfId="3633" priority="87">
      <formula>OR($T$401 = TRUE, AND($W$401 = TRUE, $S$401 = FALSE))</formula>
    </cfRule>
    <cfRule type="expression" dxfId="3632" priority="89">
      <formula>AND(IF($R$401,$W$401,TRUE),LEN(TRIM($W$401))&gt;0)</formula>
    </cfRule>
    <cfRule type="expression" dxfId="3631" priority="88">
      <formula>$S$401 = FALSE</formula>
    </cfRule>
    <cfRule type="expression" dxfId="3630" priority="90">
      <formula>AND($R$401,$S$401)</formula>
    </cfRule>
  </conditionalFormatting>
  <conditionalFormatting sqref="W408">
    <cfRule type="expression" dxfId="3629" priority="84">
      <formula>$S$408 = FALSE</formula>
    </cfRule>
    <cfRule type="expression" dxfId="3628" priority="83">
      <formula>OR($T$408 = TRUE, AND($W$408 = TRUE, $S$408 = FALSE))</formula>
    </cfRule>
    <cfRule type="expression" dxfId="3627" priority="85">
      <formula>AND(IF($R$408,$W$408,TRUE),LEN(TRIM($W$408))&gt;0)</formula>
    </cfRule>
    <cfRule type="expression" dxfId="3626" priority="86">
      <formula>AND($R$408,$S$408)</formula>
    </cfRule>
  </conditionalFormatting>
  <conditionalFormatting sqref="W416">
    <cfRule type="expression" dxfId="3625" priority="443">
      <formula>AND($R$416,$S$416)</formula>
    </cfRule>
    <cfRule type="expression" dxfId="3624" priority="442">
      <formula>AND(IF($R$416,$W$416,TRUE),LEN(TRIM($W$416))&gt;0)</formula>
    </cfRule>
    <cfRule type="expression" dxfId="3623" priority="441">
      <formula>$S$416 = FALSE</formula>
    </cfRule>
    <cfRule type="expression" dxfId="3622" priority="440">
      <formula>OR($T$416 = TRUE, AND(LEN(TRIM($W$416))&gt;0, $S$416 = FALSE))</formula>
    </cfRule>
  </conditionalFormatting>
  <conditionalFormatting sqref="W423">
    <cfRule type="expression" dxfId="3621" priority="437">
      <formula>$S$423 = FALSE</formula>
    </cfRule>
    <cfRule type="expression" dxfId="3620" priority="436">
      <formula>OR($T$423 = TRUE, AND(LEN(TRIM($W$423))&gt;0, $S$423 = FALSE))</formula>
    </cfRule>
    <cfRule type="expression" dxfId="3619" priority="439">
      <formula>AND($R$423,$S$423)</formula>
    </cfRule>
    <cfRule type="expression" dxfId="3618" priority="438">
      <formula>AND(IF($R$423,$W$423,TRUE),LEN(TRIM($W$423))&gt;0)</formula>
    </cfRule>
  </conditionalFormatting>
  <conditionalFormatting sqref="W429">
    <cfRule type="expression" dxfId="3617" priority="430">
      <formula>OR($T$429 = TRUE, AND(LEN(TRIM($W$429))&gt;0, $S$429 = FALSE))</formula>
    </cfRule>
    <cfRule type="expression" dxfId="3616" priority="431">
      <formula>$S$429 = FALSE</formula>
    </cfRule>
    <cfRule type="expression" dxfId="3615" priority="432">
      <formula>AND(IF($R$429,$W$429,TRUE),LEN(TRIM($W$429))&gt;0)</formula>
    </cfRule>
    <cfRule type="expression" dxfId="3614" priority="433">
      <formula>AND($R$429,$S$429)</formula>
    </cfRule>
  </conditionalFormatting>
  <conditionalFormatting sqref="W435">
    <cfRule type="expression" dxfId="3613" priority="427">
      <formula>$S$435 = FALSE</formula>
    </cfRule>
    <cfRule type="expression" dxfId="3612" priority="426">
      <formula>OR($T$435 = TRUE, AND(LEN(TRIM($W$435))&gt;0, $S$435 = FALSE))</formula>
    </cfRule>
    <cfRule type="expression" dxfId="3611" priority="428">
      <formula>AND(IF($R$435,$W$435,TRUE),LEN(TRIM($W$435))&gt;0)</formula>
    </cfRule>
    <cfRule type="expression" dxfId="3610" priority="429">
      <formula>AND($R$435,$S$435)</formula>
    </cfRule>
  </conditionalFormatting>
  <conditionalFormatting sqref="W441">
    <cfRule type="expression" dxfId="3609" priority="423">
      <formula>$S$441 = FALSE</formula>
    </cfRule>
    <cfRule type="expression" dxfId="3608" priority="424">
      <formula>AND(IF($R$441,$W$441,TRUE),LEN(TRIM($W$441))&gt;0)</formula>
    </cfRule>
    <cfRule type="expression" dxfId="3607" priority="425">
      <formula>AND($R$441,$S$441)</formula>
    </cfRule>
    <cfRule type="expression" dxfId="3606" priority="422">
      <formula>OR($T$441 = TRUE, AND(LEN(TRIM($W$441))&gt;0, $S$441 = FALSE))</formula>
    </cfRule>
  </conditionalFormatting>
  <conditionalFormatting sqref="W447">
    <cfRule type="expression" dxfId="3605" priority="420">
      <formula>AND(IF($R$447,$W$447,TRUE),LEN(TRIM($W$447))&gt;0)</formula>
    </cfRule>
    <cfRule type="expression" dxfId="3604" priority="418">
      <formula>OR($T$447 = TRUE, AND(LEN(TRIM($W$447))&gt;0, $S$447 = FALSE))</formula>
    </cfRule>
    <cfRule type="expression" dxfId="3603" priority="419">
      <formula>$S$447 = FALSE</formula>
    </cfRule>
    <cfRule type="expression" dxfId="3602" priority="421">
      <formula>AND($R$447,$S$447)</formula>
    </cfRule>
  </conditionalFormatting>
  <conditionalFormatting sqref="W453">
    <cfRule type="expression" dxfId="3601" priority="409">
      <formula>AND($R$453,$S$453)</formula>
    </cfRule>
    <cfRule type="expression" dxfId="3600" priority="408">
      <formula>AND(IF($R$453,$W$453,TRUE),LEN(TRIM($W$453))&gt;0)</formula>
    </cfRule>
    <cfRule type="expression" dxfId="3599" priority="407">
      <formula>$S$453 = FALSE</formula>
    </cfRule>
    <cfRule type="expression" dxfId="3598" priority="406">
      <formula>OR($T$453 = TRUE, AND(LEN(TRIM($W$453))&gt;0, $S$453 = FALSE))</formula>
    </cfRule>
  </conditionalFormatting>
  <conditionalFormatting sqref="W464">
    <cfRule type="expression" dxfId="3597" priority="79">
      <formula>OR($T$464 = TRUE, AND($W$464 = TRUE, $S$464 = FALSE))</formula>
    </cfRule>
    <cfRule type="expression" dxfId="3596" priority="81">
      <formula>AND(IF($R$464,$W$464,TRUE),LEN(TRIM($W$464))&gt;0)</formula>
    </cfRule>
    <cfRule type="expression" dxfId="3595" priority="82">
      <formula>AND($R$464,$S$464)</formula>
    </cfRule>
    <cfRule type="expression" dxfId="3594" priority="80">
      <formula>$S$464 = FALSE</formula>
    </cfRule>
  </conditionalFormatting>
  <conditionalFormatting sqref="W465">
    <cfRule type="expression" dxfId="3593" priority="77">
      <formula>AND(IF($R$465,$W$465,TRUE),LEN(TRIM($W$465))&gt;0)</formula>
    </cfRule>
    <cfRule type="expression" dxfId="3592" priority="76">
      <formula>$S$465 = FALSE</formula>
    </cfRule>
    <cfRule type="expression" dxfId="3591" priority="75">
      <formula>OR($T$465 = TRUE, AND($W$465 = TRUE, $S$465 = FALSE))</formula>
    </cfRule>
    <cfRule type="expression" dxfId="3590" priority="78">
      <formula>AND($R$465,$S$465)</formula>
    </cfRule>
  </conditionalFormatting>
  <conditionalFormatting sqref="W466">
    <cfRule type="expression" dxfId="3589" priority="72">
      <formula>$S$466 = FALSE</formula>
    </cfRule>
    <cfRule type="expression" dxfId="3588" priority="71">
      <formula>OR($T$466 = TRUE, AND($W$466 = TRUE, $S$466 = FALSE))</formula>
    </cfRule>
    <cfRule type="expression" dxfId="3587" priority="74">
      <formula>AND($R$466,$S$466)</formula>
    </cfRule>
    <cfRule type="expression" dxfId="3586" priority="73">
      <formula>AND(IF($R$466,$W$466,TRUE),LEN(TRIM($W$466))&gt;0)</formula>
    </cfRule>
  </conditionalFormatting>
  <conditionalFormatting sqref="W467">
    <cfRule type="expression" dxfId="3585" priority="67">
      <formula>OR($T$467 = TRUE, AND($W$467 = TRUE, $S$467 = FALSE))</formula>
    </cfRule>
    <cfRule type="expression" dxfId="3584" priority="68">
      <formula>$S$467 = FALSE</formula>
    </cfRule>
    <cfRule type="expression" dxfId="3583" priority="69">
      <formula>AND(IF($R$467,$W$467,TRUE),LEN(TRIM($W$467))&gt;0)</formula>
    </cfRule>
    <cfRule type="expression" dxfId="3582" priority="70">
      <formula>AND($R$467,$S$467)</formula>
    </cfRule>
  </conditionalFormatting>
  <conditionalFormatting sqref="W468">
    <cfRule type="expression" dxfId="3581" priority="63">
      <formula>OR($T$468 = TRUE, AND($W$468 = TRUE, $S$468 = FALSE))</formula>
    </cfRule>
    <cfRule type="expression" dxfId="3580" priority="64">
      <formula>$S$468 = FALSE</formula>
    </cfRule>
    <cfRule type="expression" dxfId="3579" priority="65">
      <formula>AND(IF($R$468,$W$468,TRUE),LEN(TRIM($W$468))&gt;0)</formula>
    </cfRule>
    <cfRule type="expression" dxfId="3578" priority="66">
      <formula>AND($R$468,$S$468)</formula>
    </cfRule>
  </conditionalFormatting>
  <conditionalFormatting sqref="W469">
    <cfRule type="expression" dxfId="3577" priority="61">
      <formula>AND(IF($R$469,$W$469,TRUE),LEN(TRIM($W$469))&gt;0)</formula>
    </cfRule>
    <cfRule type="expression" dxfId="3576" priority="60">
      <formula>$S$469 = FALSE</formula>
    </cfRule>
    <cfRule type="expression" dxfId="3575" priority="59">
      <formula>OR($T$469 = TRUE, AND($W$469 = TRUE, $S$469 = FALSE))</formula>
    </cfRule>
    <cfRule type="expression" dxfId="3574" priority="62">
      <formula>AND($R$469,$S$469)</formula>
    </cfRule>
  </conditionalFormatting>
  <conditionalFormatting sqref="W470">
    <cfRule type="expression" dxfId="3573" priority="57">
      <formula>AND(IF($R$470,$W$470,TRUE),LEN(TRIM($W$470))&gt;0)</formula>
    </cfRule>
    <cfRule type="expression" dxfId="3572" priority="56">
      <formula>$S$470 = FALSE</formula>
    </cfRule>
    <cfRule type="expression" dxfId="3571" priority="58">
      <formula>AND($R$470,$S$470)</formula>
    </cfRule>
    <cfRule type="expression" dxfId="3570" priority="55">
      <formula>OR($T$470 = TRUE, AND($W$470 = TRUE, $S$470 = FALSE))</formula>
    </cfRule>
  </conditionalFormatting>
  <conditionalFormatting sqref="W474">
    <cfRule type="expression" dxfId="3569" priority="54">
      <formula>AND($R$474,$S$474)</formula>
    </cfRule>
    <cfRule type="expression" dxfId="3568" priority="53">
      <formula>AND(IF($R$474,$W$474,TRUE),LEN(TRIM($W$474))&gt;0)</formula>
    </cfRule>
    <cfRule type="expression" dxfId="3567" priority="51">
      <formula>OR($T$474 = TRUE, AND($W$474 = TRUE, $S$474 = FALSE))</formula>
    </cfRule>
    <cfRule type="expression" dxfId="3566" priority="52">
      <formula>$S$474 = FALSE</formula>
    </cfRule>
  </conditionalFormatting>
  <conditionalFormatting sqref="W479">
    <cfRule type="expression" dxfId="3565" priority="50">
      <formula>AND($R$479,$S$479)</formula>
    </cfRule>
    <cfRule type="expression" dxfId="3564" priority="49">
      <formula>AND(IF($R$479,$W$479,TRUE),LEN(TRIM($W$479))&gt;0)</formula>
    </cfRule>
    <cfRule type="expression" dxfId="3563" priority="48">
      <formula>$S$479 = FALSE</formula>
    </cfRule>
    <cfRule type="expression" dxfId="3562" priority="47">
      <formula>OR($T$479 = TRUE, AND($W$479 = TRUE, $S$479 = FALSE))</formula>
    </cfRule>
  </conditionalFormatting>
  <conditionalFormatting sqref="W483">
    <cfRule type="expression" dxfId="3561" priority="46">
      <formula>AND($R$483,$S$483)</formula>
    </cfRule>
    <cfRule type="expression" dxfId="3560" priority="45">
      <formula>AND(IF($R$483,$W$483,TRUE),LEN(TRIM($W$483))&gt;0)</formula>
    </cfRule>
    <cfRule type="expression" dxfId="3559" priority="44">
      <formula>$S$483 = FALSE</formula>
    </cfRule>
    <cfRule type="expression" dxfId="3558" priority="43">
      <formula>OR($T$483 = TRUE, AND($W$483 = TRUE, $S$483 = FALSE))</formula>
    </cfRule>
  </conditionalFormatting>
  <conditionalFormatting sqref="W485">
    <cfRule type="expression" dxfId="3557" priority="42">
      <formula>AND($R$485,$S$485)</formula>
    </cfRule>
    <cfRule type="expression" dxfId="3556" priority="41">
      <formula>AND(IF($R$485,$W$485,TRUE),LEN(TRIM($W$485))&gt;0)</formula>
    </cfRule>
    <cfRule type="expression" dxfId="3555" priority="40">
      <formula>$S$485 = FALSE</formula>
    </cfRule>
    <cfRule type="expression" dxfId="3554" priority="39">
      <formula>OR($T$485 = TRUE, AND($W$485 = TRUE, $S$485 = FALSE))</formula>
    </cfRule>
  </conditionalFormatting>
  <conditionalFormatting sqref="W487">
    <cfRule type="expression" dxfId="3553" priority="38">
      <formula>AND($R$487,$S$487)</formula>
    </cfRule>
    <cfRule type="expression" dxfId="3552" priority="36">
      <formula>$S$487 = FALSE</formula>
    </cfRule>
    <cfRule type="expression" dxfId="3551" priority="35">
      <formula>OR($T$487 = TRUE, AND($W$487 = TRUE, $S$487 = FALSE))</formula>
    </cfRule>
    <cfRule type="expression" dxfId="3550" priority="37">
      <formula>AND(IF($R$487,$W$487,TRUE),LEN(TRIM($W$487))&gt;0)</formula>
    </cfRule>
  </conditionalFormatting>
  <conditionalFormatting sqref="W488">
    <cfRule type="expression" dxfId="3549" priority="31">
      <formula>OR($T$488 = TRUE, AND($W$488 = TRUE, $S$488 = FALSE))</formula>
    </cfRule>
    <cfRule type="expression" dxfId="3548" priority="33">
      <formula>AND(IF($R$488,$W$488,TRUE),LEN(TRIM($W$488))&gt;0)</formula>
    </cfRule>
    <cfRule type="expression" dxfId="3547" priority="32">
      <formula>$S$488 = FALSE</formula>
    </cfRule>
    <cfRule type="expression" dxfId="3546" priority="34">
      <formula>AND($R$488,$S$488)</formula>
    </cfRule>
  </conditionalFormatting>
  <conditionalFormatting sqref="W489">
    <cfRule type="expression" dxfId="3545" priority="30">
      <formula>AND($R$489,$S$489)</formula>
    </cfRule>
    <cfRule type="expression" dxfId="3544" priority="27">
      <formula>OR($T$489 = TRUE, AND($W$489 = TRUE, $S$489 = FALSE))</formula>
    </cfRule>
    <cfRule type="expression" dxfId="3543" priority="28">
      <formula>$S$489 = FALSE</formula>
    </cfRule>
    <cfRule type="expression" dxfId="3542" priority="29">
      <formula>AND(IF($R$489,$W$489,TRUE),LEN(TRIM($W$489))&gt;0)</formula>
    </cfRule>
  </conditionalFormatting>
  <conditionalFormatting sqref="W493">
    <cfRule type="expression" dxfId="3541" priority="26">
      <formula>AND($R$493,$S$493)</formula>
    </cfRule>
    <cfRule type="expression" dxfId="3540" priority="23">
      <formula>OR($T$493 = TRUE, AND($W$493 = TRUE, $S$493 = FALSE))</formula>
    </cfRule>
    <cfRule type="expression" dxfId="3539" priority="25">
      <formula>AND(IF($R$493,$W$493,TRUE),LEN(TRIM($W$493))&gt;0)</formula>
    </cfRule>
    <cfRule type="expression" dxfId="3538" priority="24">
      <formula>$S$493 = FALSE</formula>
    </cfRule>
  </conditionalFormatting>
  <conditionalFormatting sqref="W495">
    <cfRule type="expression" dxfId="3537" priority="19">
      <formula>OR($T$495 = TRUE, AND($W$495 = TRUE, $S$495 = FALSE))</formula>
    </cfRule>
    <cfRule type="expression" dxfId="3536" priority="20">
      <formula>$S$495 = FALSE</formula>
    </cfRule>
    <cfRule type="expression" dxfId="3535" priority="21">
      <formula>AND(IF($R$495,$W$495,TRUE),LEN(TRIM($W$495))&gt;0)</formula>
    </cfRule>
    <cfRule type="expression" dxfId="3534" priority="22">
      <formula>AND($R$495,$S$495)</formula>
    </cfRule>
  </conditionalFormatting>
  <conditionalFormatting sqref="W503">
    <cfRule type="expression" dxfId="3533" priority="404">
      <formula>AND(R503,S503)</formula>
    </cfRule>
    <cfRule type="expression" dxfId="3532" priority="403">
      <formula>AND(IF(R503,W503,TRUE),LEN(TRIM(W503))&gt;0)</formula>
    </cfRule>
    <cfRule type="expression" dxfId="3531" priority="402">
      <formula>S503 = FALSE</formula>
    </cfRule>
    <cfRule type="expression" dxfId="3530" priority="401">
      <formula>OR(T503 = TRUE, AND(W503 = TRUE, S503 = FALSE))</formula>
    </cfRule>
  </conditionalFormatting>
  <conditionalFormatting sqref="W513">
    <cfRule type="expression" dxfId="3529" priority="391">
      <formula>AND(IF(R513,W513,TRUE),LEN(TRIM(W513))&gt;0)</formula>
    </cfRule>
    <cfRule type="expression" dxfId="3528" priority="389">
      <formula>OR(T513 = TRUE, AND(W513 = TRUE, S513 = FALSE))</formula>
    </cfRule>
    <cfRule type="expression" dxfId="3527" priority="390">
      <formula>S513 = FALSE</formula>
    </cfRule>
    <cfRule type="expression" dxfId="3526" priority="392">
      <formula>AND(R513,S513)</formula>
    </cfRule>
  </conditionalFormatting>
  <conditionalFormatting sqref="X1">
    <cfRule type="expression" dxfId="3525" priority="6">
      <formula>startError</formula>
    </cfRule>
  </conditionalFormatting>
  <conditionalFormatting sqref="X2">
    <cfRule type="expression" dxfId="3524" priority="1068">
      <formula>$AG$3</formula>
    </cfRule>
  </conditionalFormatting>
  <conditionalFormatting sqref="X3">
    <cfRule type="expression" dxfId="3523" priority="1073">
      <formula>$AI$3</formula>
    </cfRule>
  </conditionalFormatting>
  <conditionalFormatting sqref="X78">
    <cfRule type="expression" dxfId="3522" priority="718">
      <formula>W78=TRUE</formula>
    </cfRule>
  </conditionalFormatting>
  <conditionalFormatting sqref="X86">
    <cfRule type="expression" dxfId="3521" priority="713">
      <formula>W86=TRUE</formula>
    </cfRule>
  </conditionalFormatting>
  <conditionalFormatting sqref="X97:X99">
    <cfRule type="expression" dxfId="3520" priority="1">
      <formula>W97="N/A"</formula>
    </cfRule>
  </conditionalFormatting>
  <conditionalFormatting sqref="X150:X152">
    <cfRule type="expression" dxfId="3519" priority="636">
      <formula>W150="N/A"</formula>
    </cfRule>
  </conditionalFormatting>
  <conditionalFormatting sqref="X161">
    <cfRule type="expression" dxfId="3518" priority="635">
      <formula>W161="N/A"</formula>
    </cfRule>
  </conditionalFormatting>
  <conditionalFormatting sqref="X249 X255:X261">
    <cfRule type="expression" dxfId="3517" priority="601">
      <formula>W249&gt;0</formula>
    </cfRule>
  </conditionalFormatting>
  <conditionalFormatting sqref="X262:X264">
    <cfRule type="expression" dxfId="3516" priority="610">
      <formula>W262</formula>
    </cfRule>
  </conditionalFormatting>
  <conditionalFormatting sqref="X266 X268 X270 X272">
    <cfRule type="expression" dxfId="3515" priority="579">
      <formula>W267&gt;0</formula>
    </cfRule>
  </conditionalFormatting>
  <conditionalFormatting sqref="X313:X314">
    <cfRule type="expression" dxfId="3514" priority="529">
      <formula>W313</formula>
    </cfRule>
  </conditionalFormatting>
  <conditionalFormatting sqref="X319:X334">
    <cfRule type="expression" dxfId="3513" priority="839">
      <formula>NOT(ISBLANK(W326))</formula>
    </cfRule>
  </conditionalFormatting>
  <conditionalFormatting sqref="X346:X347 X349:X350">
    <cfRule type="expression" dxfId="3512" priority="476">
      <formula>NOT(ISBLANK(W346))</formula>
    </cfRule>
  </conditionalFormatting>
  <conditionalFormatting sqref="X352:X357">
    <cfRule type="expression" dxfId="3511" priority="471">
      <formula>NOT(ISBLANK(W352))</formula>
    </cfRule>
  </conditionalFormatting>
  <conditionalFormatting sqref="X367:X374">
    <cfRule type="expression" dxfId="3510" priority="454">
      <formula>NOT(ISBLANK(W367))</formula>
    </cfRule>
  </conditionalFormatting>
  <conditionalFormatting sqref="X376:X382">
    <cfRule type="expression" dxfId="3509" priority="444">
      <formula>NOT(ISBLANK(W377))</formula>
    </cfRule>
  </conditionalFormatting>
  <conditionalFormatting sqref="X414:X427">
    <cfRule type="expression" dxfId="3508" priority="434">
      <formula>NOT(ISBLANK(W416))</formula>
    </cfRule>
  </conditionalFormatting>
  <conditionalFormatting sqref="X428:X451">
    <cfRule type="expression" dxfId="3507" priority="414">
      <formula>NOT(ISBLANK(W429))</formula>
    </cfRule>
  </conditionalFormatting>
  <conditionalFormatting sqref="X453:X460">
    <cfRule type="expression" dxfId="3506" priority="405">
      <formula>NOT(ISBLANK(W453))</formula>
    </cfRule>
  </conditionalFormatting>
  <conditionalFormatting sqref="X502:X510">
    <cfRule type="expression" dxfId="3505" priority="388">
      <formula>W503&gt;0</formula>
    </cfRule>
  </conditionalFormatting>
  <conditionalFormatting sqref="X511:X517">
    <cfRule type="expression" dxfId="3504" priority="387">
      <formula>W513&gt;0</formula>
    </cfRule>
  </conditionalFormatting>
  <dataValidations count="44">
    <dataValidation type="list" allowBlank="1" showInputMessage="1" showErrorMessage="1" error="Please use the dropdown." sqref="W56" xr:uid="{00000000-0002-0000-0400-000000000000}">
      <formula1>INDIRECT($U$56)</formula1>
    </dataValidation>
    <dataValidation type="list" allowBlank="1" showInputMessage="1" showErrorMessage="1" error="Please use the dropdown." sqref="W63" xr:uid="{00000000-0002-0000-0400-000001000000}">
      <formula1>INDIRECT($U$63)</formula1>
    </dataValidation>
    <dataValidation type="list" allowBlank="1" showInputMessage="1" showErrorMessage="1" error="Please use the dropdown." sqref="W64" xr:uid="{00000000-0002-0000-0400-000002000000}">
      <formula1>INDIRECT($U$64)</formula1>
    </dataValidation>
    <dataValidation type="list" allowBlank="1" showInputMessage="1" showErrorMessage="1" error="Please use the dropdown." sqref="W65" xr:uid="{00000000-0002-0000-0400-000003000000}">
      <formula1>INDIRECT($U$65)</formula1>
    </dataValidation>
    <dataValidation type="list" allowBlank="1" showInputMessage="1" showErrorMessage="1" error="Please use the dropdown." sqref="W69" xr:uid="{00000000-0002-0000-0400-000004000000}">
      <formula1>INDIRECT($U$69)</formula1>
    </dataValidation>
    <dataValidation type="list" allowBlank="1" showInputMessage="1" showErrorMessage="1" error="Please use the dropdown." sqref="W71" xr:uid="{00000000-0002-0000-0400-000005000000}">
      <formula1>INDIRECT($U$71)</formula1>
    </dataValidation>
    <dataValidation type="list" allowBlank="1" showInputMessage="1" showErrorMessage="1" error="Please use the dropdown." sqref="W126" xr:uid="{00000000-0002-0000-0400-000006000000}">
      <formula1>INDIRECT($U$126)</formula1>
    </dataValidation>
    <dataValidation type="list" allowBlank="1" showInputMessage="1" showErrorMessage="1" error="Please use the dropdown." sqref="W187" xr:uid="{00000000-0002-0000-0400-000007000000}">
      <formula1>INDIRECT($U$187)</formula1>
    </dataValidation>
    <dataValidation type="list" allowBlank="1" showInputMessage="1" showErrorMessage="1" error="Please use the dropdown." sqref="W197" xr:uid="{00000000-0002-0000-0400-000008000000}">
      <formula1>INDIRECT($U$197)</formula1>
    </dataValidation>
    <dataValidation type="whole" allowBlank="1" showDropDown="1" showInputMessage="1" showErrorMessage="1" error="Enter a number" prompt="Enter number of square feet" sqref="W249" xr:uid="{00000000-0002-0000-0400-000009000000}">
      <formula1>0</formula1>
      <formula2>10000</formula2>
    </dataValidation>
    <dataValidation type="decimal" allowBlank="1" showDropDown="1" showInputMessage="1" showErrorMessage="1" error="Enter a percentage" prompt="Enter a percentage" sqref="W255 W267 W269 W271 W273" xr:uid="{00000000-0002-0000-0400-00000A000000}">
      <formula1>0</formula1>
      <formula2>1</formula2>
    </dataValidation>
    <dataValidation type="list" allowBlank="1" showInputMessage="1" showErrorMessage="1" error="Please use the dropdown." sqref="W319" xr:uid="{00000000-0002-0000-0400-00000B000000}">
      <formula1>INDIRECT($U$319)</formula1>
    </dataValidation>
    <dataValidation type="list" allowBlank="1" showInputMessage="1" showErrorMessage="1" error="Please use the dropdown." sqref="W320" xr:uid="{00000000-0002-0000-0400-00000C000000}">
      <formula1>INDIRECT($U$320)</formula1>
    </dataValidation>
    <dataValidation type="list" allowBlank="1" showInputMessage="1" showErrorMessage="1" error="Please use the dropdown." sqref="W321" xr:uid="{00000000-0002-0000-0400-00000D000000}">
      <formula1>INDIRECT($U$321)</formula1>
    </dataValidation>
    <dataValidation type="list" allowBlank="1" showInputMessage="1" showErrorMessage="1" error="Please use the dropdown." sqref="W322" xr:uid="{00000000-0002-0000-0400-00000E000000}">
      <formula1>INDIRECT($U$322)</formula1>
    </dataValidation>
    <dataValidation type="list" allowBlank="1" showInputMessage="1" showErrorMessage="1" error="Please use the dropdown." sqref="W323" xr:uid="{00000000-0002-0000-0400-00000F000000}">
      <formula1>INDIRECT($U$323)</formula1>
    </dataValidation>
    <dataValidation type="list" allowBlank="1" showInputMessage="1" showErrorMessage="1" error="Please use the dropdown." sqref="W324" xr:uid="{00000000-0002-0000-0400-000010000000}">
      <formula1>INDIRECT($U$324)</formula1>
    </dataValidation>
    <dataValidation type="list" allowBlank="1" showInputMessage="1" showErrorMessage="1" error="Please use the dropdown." sqref="W325" xr:uid="{00000000-0002-0000-0400-000011000000}">
      <formula1>INDIRECT($U$325)</formula1>
    </dataValidation>
    <dataValidation type="list" allowBlank="1" showInputMessage="1" showErrorMessage="1" error="Please use the dropdown." sqref="W326" xr:uid="{00000000-0002-0000-0400-000012000000}">
      <formula1>INDIRECT($U$326)</formula1>
    </dataValidation>
    <dataValidation type="list" allowBlank="1" showInputMessage="1" showErrorMessage="1" error="Please use the dropdown." sqref="W346" xr:uid="{00000000-0002-0000-0400-000013000000}">
      <formula1>INDIRECT($U$346)</formula1>
    </dataValidation>
    <dataValidation type="list" allowBlank="1" showInputMessage="1" showErrorMessage="1" error="Please use the dropdown." sqref="W347" xr:uid="{00000000-0002-0000-0400-000014000000}">
      <formula1>INDIRECT($U$347)</formula1>
    </dataValidation>
    <dataValidation type="list" allowBlank="1" showInputMessage="1" showErrorMessage="1" error="Please use the dropdown." sqref="W349" xr:uid="{00000000-0002-0000-0400-000015000000}">
      <formula1>INDIRECT($U$349)</formula1>
    </dataValidation>
    <dataValidation type="list" allowBlank="1" showInputMessage="1" showErrorMessage="1" error="Please use the dropdown." sqref="W350" xr:uid="{00000000-0002-0000-0400-000016000000}">
      <formula1>INDIRECT($U$350)</formula1>
    </dataValidation>
    <dataValidation type="list" allowBlank="1" showInputMessage="1" showErrorMessage="1" error="Please use the dropdown." sqref="W352" xr:uid="{00000000-0002-0000-0400-000017000000}">
      <formula1>INDIRECT($U$352)</formula1>
    </dataValidation>
    <dataValidation type="list" allowBlank="1" showInputMessage="1" showErrorMessage="1" error="Please use the dropdown." sqref="W367" xr:uid="{00000000-0002-0000-0400-000018000000}">
      <formula1>INDIRECT($U$367)</formula1>
    </dataValidation>
    <dataValidation type="list" allowBlank="1" showInputMessage="1" showErrorMessage="1" error="Please use the dropdown." sqref="W377" xr:uid="{00000000-0002-0000-0400-000019000000}">
      <formula1>INDIRECT($U$377)</formula1>
    </dataValidation>
    <dataValidation type="list" allowBlank="1" showInputMessage="1" showErrorMessage="1" error="Please use the dropdown." sqref="W380" xr:uid="{00000000-0002-0000-0400-00001A000000}">
      <formula1>INDIRECT($U$380)</formula1>
    </dataValidation>
    <dataValidation type="list" allowBlank="1" showInputMessage="1" showErrorMessage="1" error="Please use the dropdown." sqref="W416" xr:uid="{00000000-0002-0000-0400-00001B000000}">
      <formula1>INDIRECT($U$416)</formula1>
    </dataValidation>
    <dataValidation type="list" allowBlank="1" showInputMessage="1" showErrorMessage="1" error="Please use the dropdown." sqref="W423" xr:uid="{00000000-0002-0000-0400-00001C000000}">
      <formula1>INDIRECT($U$423)</formula1>
    </dataValidation>
    <dataValidation type="list" allowBlank="1" showInputMessage="1" showErrorMessage="1" error="Please use the dropdown." sqref="W429" xr:uid="{00000000-0002-0000-0400-00001D000000}">
      <formula1>INDIRECT($U$429)</formula1>
    </dataValidation>
    <dataValidation type="list" allowBlank="1" showInputMessage="1" showErrorMessage="1" error="Please use the dropdown." sqref="W435" xr:uid="{00000000-0002-0000-0400-00001E000000}">
      <formula1>INDIRECT($U$435)</formula1>
    </dataValidation>
    <dataValidation type="list" allowBlank="1" showInputMessage="1" showErrorMessage="1" error="Please use the dropdown." sqref="W441" xr:uid="{00000000-0002-0000-0400-00001F000000}">
      <formula1>INDIRECT($U$441)</formula1>
    </dataValidation>
    <dataValidation type="list" allowBlank="1" showInputMessage="1" showErrorMessage="1" error="Please use the dropdown." sqref="W447" xr:uid="{00000000-0002-0000-0400-000020000000}">
      <formula1>INDIRECT($U$447)</formula1>
    </dataValidation>
    <dataValidation type="list" allowBlank="1" showInputMessage="1" showErrorMessage="1" error="Please use the dropdown." sqref="W453" xr:uid="{00000000-0002-0000-0400-000021000000}">
      <formula1>INDIRECT($U$453)</formula1>
    </dataValidation>
    <dataValidation type="whole" allowBlank="1" showDropDown="1" showInputMessage="1" showErrorMessage="1" error="Enter a whole number" prompt="Enter number of products" sqref="W513 W503" xr:uid="{00000000-0002-0000-0400-000022000000}">
      <formula1>0</formula1>
      <formula2>20</formula2>
    </dataValidation>
    <dataValidation type="list" allowBlank="1" showInputMessage="1" showErrorMessage="1" error="Please use the dropdown." sqref="W117" xr:uid="{00000000-0002-0000-0400-000023000000}">
      <formula1>INDIRECT($U$117)</formula1>
    </dataValidation>
    <dataValidation type="list" allowBlank="1" showInputMessage="1" showErrorMessage="1" error="Please use the dropdown." sqref="W123" xr:uid="{00000000-0002-0000-0400-000024000000}">
      <formula1>INDIRECT($U$123)</formula1>
    </dataValidation>
    <dataValidation type="list" allowBlank="1" showInputMessage="1" showErrorMessage="1" error="Please use the dropdown." sqref="W150" xr:uid="{00000000-0002-0000-0400-000025000000}">
      <formula1>INDIRECT($U$150)</formula1>
    </dataValidation>
    <dataValidation type="list" allowBlank="1" showInputMessage="1" showErrorMessage="1" error="Please use the dropdown." sqref="W161" xr:uid="{00000000-0002-0000-0400-000026000000}">
      <formula1>INDIRECT($U$161)</formula1>
    </dataValidation>
    <dataValidation type="list" allowBlank="1" showInputMessage="1" showErrorMessage="1" error="Please use the dropdown." sqref="W209" xr:uid="{00000000-0002-0000-0400-000027000000}">
      <formula1>INDIRECT($U$209)</formula1>
    </dataValidation>
    <dataValidation type="list" allowBlank="1" showInputMessage="1" showErrorMessage="1" error="Please use the dropdown." sqref="W214" xr:uid="{00000000-0002-0000-0400-000028000000}">
      <formula1>INDIRECT($U$214)</formula1>
    </dataValidation>
    <dataValidation type="list" allowBlank="1" showInputMessage="1" showErrorMessage="1" error="Please use the dropdown." sqref="W220" xr:uid="{00000000-0002-0000-0400-000029000000}">
      <formula1>INDIRECT($U$220)</formula1>
    </dataValidation>
    <dataValidation type="list" allowBlank="1" showDropDown="1" showInputMessage="1" showErrorMessage="1" error="Use Checkbox" prompt="Use Checkbox" sqref="W29 W495 W493 W487:W489 W485 W483 W479 W474 W464:W470 W408 W401 W392 W363:W364 W361 W306:W314 W293 W291 W278 W262 W245 W243 W238 W234 W230:W231 W228 W222:W223 W211 W195 W193 W182:W183 W179 W169 W157 W155 W153 W148 W143 W139 W135 W129 W127 W121 W115 W109 W107 W104:W105 W100 W32 W86 W78 W50:W54 W39:W44 W35" xr:uid="{00000000-0002-0000-0400-00002A000000}">
      <formula1>TorF</formula1>
    </dataValidation>
    <dataValidation type="list" allowBlank="1" showInputMessage="1" showErrorMessage="1" error="Please use the dropdown." sqref="W97" xr:uid="{39906C92-D39F-4E12-BAC0-C002712D5BCC}">
      <formula1>INDIRECT($U$97)</formula1>
    </dataValidation>
  </dataValidations>
  <hyperlinks>
    <hyperlink ref="L134" location="'Figure 6(3)'!A1" display="See Figure 6(3)" xr:uid="{00000000-0004-0000-0400-000000000000}"/>
    <hyperlink ref="L126" location="'Figure 6(3)'!A1" display="See Figure 6(3)" xr:uid="{00000000-0004-0000-0400-000001000000}"/>
    <hyperlink ref="L213" location="'Table 602.1.12'!A1" display="See Table 602.1.12" xr:uid="{00000000-0004-0000-0400-000002000000}"/>
    <hyperlink ref="L269" location="'Table 604.1'!A1" display="See Table 604.1" xr:uid="{00000000-0004-0000-0400-000003000000}"/>
    <hyperlink ref="M414:M427" location="'Table 610.1.2.1'!A1" display="per Table 610.1.2.1           10 Max" xr:uid="{00000000-0004-0000-0400-000004000000}"/>
    <hyperlink ref="M428:M451" location="'Table 610.1.2.2'!A1" display="'Table 610.1.2.2'!A1" xr:uid="{00000000-0004-0000-0400-000005000000}"/>
    <hyperlink ref="X518" location="'Ch7'!A1" display="CLICK TO PROCEED TO CHAPTER 7 &gt;&gt;" xr:uid="{00000000-0004-0000-0400-000006000000}"/>
  </hyperlinks>
  <pageMargins left="0.7" right="0.7" top="0.75" bottom="0.75" header="0.3" footer="0.3"/>
  <pageSetup scale="44" fitToHeight="0" orientation="portrait" r:id="rId1"/>
  <rowBreaks count="5" manualBreakCount="5">
    <brk id="91" max="23" man="1"/>
    <brk id="195" max="23" man="1"/>
    <brk id="273" max="23" man="1"/>
    <brk id="374" max="23" man="1"/>
    <brk id="451" max="23" man="1"/>
  </rowBreaks>
  <ignoredErrors>
    <ignoredError sqref="AQ29 AQ32 AQ35 AQ39:AQ44 AQ50:AQ54 AQ56 AQ63:AQ65 AQ69 AQ71 AQ78 AQ86 AQ97 AQ100 AQ197 AQ209 AQ211 AQ214 AQ220 AQ222:AQ223 AQ104:AQ105 AQ107 AQ109 AQ115 AQ117 AQ121 AQ123 AQ126:AQ127 AQ129 AQ135 AQ139 AQ143 AQ148 AQ150 AQ153 AQ155 AQ157 AQ161 AQ169 AQ179 AQ182:AQ183 AQ187 AQ193 AQ195 AQ228 AQ230:AQ231 AQ234 AQ238 AQ243 AQ245 AQ249 AQ255 AQ262 AQ267 AQ269 AQ271 AQ273 AQ278 AQ291 AQ293 AQ306:AQ314 AQ319:AQ326 AQ346:AQ347 AQ349:AQ350 AQ352 AQ361 AQ363:AQ364 AQ367 AQ377 AQ380 AQ392 AQ401 AQ408 AQ416 AQ423 AQ447 AQ429 AQ435 AQ441 AQ453 AQ464:AQ470 AQ474 AQ479 AQ483 AQ485 AQ487:AQ489 AQ493 AQ495 AQ503 AQ513 AS13 AS29 AS32 AS35 AS39:AS44 AS50:AS55 AS60 AS78 AS86 AS97 AS100 AS197 AS209 AS211 AS214 AS220 AS222:AS223 AS102 AS107 AS109 AS115 AS117 AS121 AS123 AS126 AS135 AS148 AS150 AS153 AS155 AS157 AS161 AS169 AS179 AS182:AS183 AS187 AS193 AS195 AS228 AS230:AS231 AS234 AS238 AS243 AS245 AS249 AS255 AS262 AS266 AS268 AS270 AS272 AS278 AS293 AS306 AS313:AS314 AS319 AS346:AS347 AS349:AS350 AS352 AS361 AS363:AS364 AS367 AS376 AS379 AS392 AS401 AS408 AS414 AS421 AS446 AS428 AS434 AS440 AS453 AS464:AS470 AS474 AS479 AS483 AS485 AS487:AS489 AS493 AS495 AS502 AS51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202" r:id="rId4" name="Check Box 106">
              <controlPr locked="0" defaultSize="0" autoFill="0" autoLine="0" autoPict="0">
                <anchor moveWithCells="1" sizeWithCells="1">
                  <from>
                    <xdr:col>22</xdr:col>
                    <xdr:colOff>0</xdr:colOff>
                    <xdr:row>28</xdr:row>
                    <xdr:rowOff>0</xdr:rowOff>
                  </from>
                  <to>
                    <xdr:col>22</xdr:col>
                    <xdr:colOff>184150</xdr:colOff>
                    <xdr:row>28</xdr:row>
                    <xdr:rowOff>184150</xdr:rowOff>
                  </to>
                </anchor>
              </controlPr>
            </control>
          </mc:Choice>
        </mc:AlternateContent>
        <mc:AlternateContent xmlns:mc="http://schemas.openxmlformats.org/markup-compatibility/2006">
          <mc:Choice Requires="x14">
            <control shapeId="4203" r:id="rId5" name="Check Box 107">
              <controlPr locked="0" defaultSize="0" autoFill="0" autoLine="0" autoPict="0">
                <anchor moveWithCells="1" sizeWithCells="1">
                  <from>
                    <xdr:col>22</xdr:col>
                    <xdr:colOff>0</xdr:colOff>
                    <xdr:row>31</xdr:row>
                    <xdr:rowOff>0</xdr:rowOff>
                  </from>
                  <to>
                    <xdr:col>22</xdr:col>
                    <xdr:colOff>184150</xdr:colOff>
                    <xdr:row>31</xdr:row>
                    <xdr:rowOff>184150</xdr:rowOff>
                  </to>
                </anchor>
              </controlPr>
            </control>
          </mc:Choice>
        </mc:AlternateContent>
        <mc:AlternateContent xmlns:mc="http://schemas.openxmlformats.org/markup-compatibility/2006">
          <mc:Choice Requires="x14">
            <control shapeId="4204" r:id="rId6" name="Check Box 108">
              <controlPr locked="0" defaultSize="0" autoFill="0" autoLine="0" autoPict="0">
                <anchor moveWithCells="1" sizeWithCells="1">
                  <from>
                    <xdr:col>22</xdr:col>
                    <xdr:colOff>0</xdr:colOff>
                    <xdr:row>34</xdr:row>
                    <xdr:rowOff>0</xdr:rowOff>
                  </from>
                  <to>
                    <xdr:col>22</xdr:col>
                    <xdr:colOff>184150</xdr:colOff>
                    <xdr:row>34</xdr:row>
                    <xdr:rowOff>184150</xdr:rowOff>
                  </to>
                </anchor>
              </controlPr>
            </control>
          </mc:Choice>
        </mc:AlternateContent>
        <mc:AlternateContent xmlns:mc="http://schemas.openxmlformats.org/markup-compatibility/2006">
          <mc:Choice Requires="x14">
            <control shapeId="4205" r:id="rId7" name="Check Box 109">
              <controlPr locked="0" defaultSize="0" autoFill="0" autoLine="0" autoPict="0">
                <anchor moveWithCells="1" sizeWithCells="1">
                  <from>
                    <xdr:col>22</xdr:col>
                    <xdr:colOff>0</xdr:colOff>
                    <xdr:row>38</xdr:row>
                    <xdr:rowOff>0</xdr:rowOff>
                  </from>
                  <to>
                    <xdr:col>22</xdr:col>
                    <xdr:colOff>184150</xdr:colOff>
                    <xdr:row>38</xdr:row>
                    <xdr:rowOff>184150</xdr:rowOff>
                  </to>
                </anchor>
              </controlPr>
            </control>
          </mc:Choice>
        </mc:AlternateContent>
        <mc:AlternateContent xmlns:mc="http://schemas.openxmlformats.org/markup-compatibility/2006">
          <mc:Choice Requires="x14">
            <control shapeId="4206" r:id="rId8" name="Check Box 110">
              <controlPr locked="0" defaultSize="0" autoFill="0" autoLine="0" autoPict="0">
                <anchor moveWithCells="1" sizeWithCells="1">
                  <from>
                    <xdr:col>22</xdr:col>
                    <xdr:colOff>0</xdr:colOff>
                    <xdr:row>39</xdr:row>
                    <xdr:rowOff>0</xdr:rowOff>
                  </from>
                  <to>
                    <xdr:col>22</xdr:col>
                    <xdr:colOff>184150</xdr:colOff>
                    <xdr:row>39</xdr:row>
                    <xdr:rowOff>184150</xdr:rowOff>
                  </to>
                </anchor>
              </controlPr>
            </control>
          </mc:Choice>
        </mc:AlternateContent>
        <mc:AlternateContent xmlns:mc="http://schemas.openxmlformats.org/markup-compatibility/2006">
          <mc:Choice Requires="x14">
            <control shapeId="4207" r:id="rId9" name="Check Box 111">
              <controlPr locked="0" defaultSize="0" autoFill="0" autoLine="0" autoPict="0">
                <anchor moveWithCells="1" siz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4208" r:id="rId10" name="Check Box 112">
              <controlPr locked="0" defaultSize="0" autoFill="0" autoLine="0" autoPict="0">
                <anchor moveWithCells="1" siz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4209" r:id="rId11" name="Check Box 113">
              <controlPr locked="0" defaultSize="0" autoFill="0" autoLine="0" autoPict="0">
                <anchor moveWithCells="1" sizeWithCells="1">
                  <from>
                    <xdr:col>22</xdr:col>
                    <xdr:colOff>0</xdr:colOff>
                    <xdr:row>42</xdr:row>
                    <xdr:rowOff>0</xdr:rowOff>
                  </from>
                  <to>
                    <xdr:col>22</xdr:col>
                    <xdr:colOff>184150</xdr:colOff>
                    <xdr:row>42</xdr:row>
                    <xdr:rowOff>184150</xdr:rowOff>
                  </to>
                </anchor>
              </controlPr>
            </control>
          </mc:Choice>
        </mc:AlternateContent>
        <mc:AlternateContent xmlns:mc="http://schemas.openxmlformats.org/markup-compatibility/2006">
          <mc:Choice Requires="x14">
            <control shapeId="4210" r:id="rId12" name="Check Box 114">
              <controlPr locked="0" defaultSize="0" autoFill="0" autoLine="0" autoPict="0">
                <anchor moveWithCells="1" sizeWithCells="1">
                  <from>
                    <xdr:col>22</xdr:col>
                    <xdr:colOff>0</xdr:colOff>
                    <xdr:row>43</xdr:row>
                    <xdr:rowOff>0</xdr:rowOff>
                  </from>
                  <to>
                    <xdr:col>22</xdr:col>
                    <xdr:colOff>184150</xdr:colOff>
                    <xdr:row>43</xdr:row>
                    <xdr:rowOff>184150</xdr:rowOff>
                  </to>
                </anchor>
              </controlPr>
            </control>
          </mc:Choice>
        </mc:AlternateContent>
        <mc:AlternateContent xmlns:mc="http://schemas.openxmlformats.org/markup-compatibility/2006">
          <mc:Choice Requires="x14">
            <control shapeId="4211" r:id="rId13" name="Check Box 115">
              <controlPr locked="0" defaultSize="0" autoFill="0" autoLine="0" autoPict="0">
                <anchor moveWithCells="1" sizeWithCells="1">
                  <from>
                    <xdr:col>22</xdr:col>
                    <xdr:colOff>0</xdr:colOff>
                    <xdr:row>49</xdr:row>
                    <xdr:rowOff>0</xdr:rowOff>
                  </from>
                  <to>
                    <xdr:col>22</xdr:col>
                    <xdr:colOff>184150</xdr:colOff>
                    <xdr:row>49</xdr:row>
                    <xdr:rowOff>184150</xdr:rowOff>
                  </to>
                </anchor>
              </controlPr>
            </control>
          </mc:Choice>
        </mc:AlternateContent>
        <mc:AlternateContent xmlns:mc="http://schemas.openxmlformats.org/markup-compatibility/2006">
          <mc:Choice Requires="x14">
            <control shapeId="4212" r:id="rId14" name="Check Box 116">
              <controlPr locked="0" defaultSize="0" autoFill="0" autoLine="0" autoPict="0">
                <anchor moveWithCells="1" sizeWithCells="1">
                  <from>
                    <xdr:col>22</xdr:col>
                    <xdr:colOff>0</xdr:colOff>
                    <xdr:row>50</xdr:row>
                    <xdr:rowOff>0</xdr:rowOff>
                  </from>
                  <to>
                    <xdr:col>22</xdr:col>
                    <xdr:colOff>184150</xdr:colOff>
                    <xdr:row>50</xdr:row>
                    <xdr:rowOff>184150</xdr:rowOff>
                  </to>
                </anchor>
              </controlPr>
            </control>
          </mc:Choice>
        </mc:AlternateContent>
        <mc:AlternateContent xmlns:mc="http://schemas.openxmlformats.org/markup-compatibility/2006">
          <mc:Choice Requires="x14">
            <control shapeId="4213" r:id="rId15" name="Check Box 117">
              <controlPr locked="0" defaultSize="0" autoFill="0" autoLine="0" autoPict="0">
                <anchor moveWithCells="1" sizeWithCells="1">
                  <from>
                    <xdr:col>22</xdr:col>
                    <xdr:colOff>0</xdr:colOff>
                    <xdr:row>51</xdr:row>
                    <xdr:rowOff>0</xdr:rowOff>
                  </from>
                  <to>
                    <xdr:col>22</xdr:col>
                    <xdr:colOff>184150</xdr:colOff>
                    <xdr:row>51</xdr:row>
                    <xdr:rowOff>184150</xdr:rowOff>
                  </to>
                </anchor>
              </controlPr>
            </control>
          </mc:Choice>
        </mc:AlternateContent>
        <mc:AlternateContent xmlns:mc="http://schemas.openxmlformats.org/markup-compatibility/2006">
          <mc:Choice Requires="x14">
            <control shapeId="4214" r:id="rId16" name="Check Box 118">
              <controlPr locked="0" defaultSize="0" autoFill="0" autoLine="0" autoPict="0">
                <anchor moveWithCells="1" sizeWithCells="1">
                  <from>
                    <xdr:col>22</xdr:col>
                    <xdr:colOff>0</xdr:colOff>
                    <xdr:row>52</xdr:row>
                    <xdr:rowOff>0</xdr:rowOff>
                  </from>
                  <to>
                    <xdr:col>22</xdr:col>
                    <xdr:colOff>184150</xdr:colOff>
                    <xdr:row>52</xdr:row>
                    <xdr:rowOff>184150</xdr:rowOff>
                  </to>
                </anchor>
              </controlPr>
            </control>
          </mc:Choice>
        </mc:AlternateContent>
        <mc:AlternateContent xmlns:mc="http://schemas.openxmlformats.org/markup-compatibility/2006">
          <mc:Choice Requires="x14">
            <control shapeId="4215" r:id="rId17" name="Check Box 119">
              <controlPr locked="0" defaultSize="0" autoFill="0" autoLine="0" autoPict="0">
                <anchor moveWithCells="1" siz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4216" r:id="rId18" name="Check Box 120">
              <controlPr locked="0" defaultSize="0" autoFill="0" autoLine="0" autoPict="0">
                <anchor moveWithCells="1" sizeWithCells="1">
                  <from>
                    <xdr:col>22</xdr:col>
                    <xdr:colOff>0</xdr:colOff>
                    <xdr:row>77</xdr:row>
                    <xdr:rowOff>0</xdr:rowOff>
                  </from>
                  <to>
                    <xdr:col>22</xdr:col>
                    <xdr:colOff>184150</xdr:colOff>
                    <xdr:row>77</xdr:row>
                    <xdr:rowOff>184150</xdr:rowOff>
                  </to>
                </anchor>
              </controlPr>
            </control>
          </mc:Choice>
        </mc:AlternateContent>
        <mc:AlternateContent xmlns:mc="http://schemas.openxmlformats.org/markup-compatibility/2006">
          <mc:Choice Requires="x14">
            <control shapeId="4217" r:id="rId19" name="Check Box 121">
              <controlPr locked="0" defaultSize="0" autoFill="0" autoLine="0" autoPict="0">
                <anchor moveWithCells="1" sizeWithCells="1">
                  <from>
                    <xdr:col>22</xdr:col>
                    <xdr:colOff>0</xdr:colOff>
                    <xdr:row>85</xdr:row>
                    <xdr:rowOff>0</xdr:rowOff>
                  </from>
                  <to>
                    <xdr:col>22</xdr:col>
                    <xdr:colOff>184150</xdr:colOff>
                    <xdr:row>85</xdr:row>
                    <xdr:rowOff>184150</xdr:rowOff>
                  </to>
                </anchor>
              </controlPr>
            </control>
          </mc:Choice>
        </mc:AlternateContent>
        <mc:AlternateContent xmlns:mc="http://schemas.openxmlformats.org/markup-compatibility/2006">
          <mc:Choice Requires="x14">
            <control shapeId="4219" r:id="rId20" name="Check Box 123">
              <controlPr locked="0" defaultSize="0" autoFill="0" autoLine="0" autoPict="0">
                <anchor moveWithCells="1" sizeWithCells="1">
                  <from>
                    <xdr:col>22</xdr:col>
                    <xdr:colOff>0</xdr:colOff>
                    <xdr:row>99</xdr:row>
                    <xdr:rowOff>0</xdr:rowOff>
                  </from>
                  <to>
                    <xdr:col>22</xdr:col>
                    <xdr:colOff>184150</xdr:colOff>
                    <xdr:row>99</xdr:row>
                    <xdr:rowOff>184150</xdr:rowOff>
                  </to>
                </anchor>
              </controlPr>
            </control>
          </mc:Choice>
        </mc:AlternateContent>
        <mc:AlternateContent xmlns:mc="http://schemas.openxmlformats.org/markup-compatibility/2006">
          <mc:Choice Requires="x14">
            <control shapeId="4220" r:id="rId21" name="Check Box 124">
              <controlPr locked="0" defaultSize="0" autoFill="0" autoLine="0" autoPict="0">
                <anchor moveWithCells="1" sizeWithCells="1">
                  <from>
                    <xdr:col>22</xdr:col>
                    <xdr:colOff>0</xdr:colOff>
                    <xdr:row>103</xdr:row>
                    <xdr:rowOff>0</xdr:rowOff>
                  </from>
                  <to>
                    <xdr:col>22</xdr:col>
                    <xdr:colOff>184150</xdr:colOff>
                    <xdr:row>103</xdr:row>
                    <xdr:rowOff>184150</xdr:rowOff>
                  </to>
                </anchor>
              </controlPr>
            </control>
          </mc:Choice>
        </mc:AlternateContent>
        <mc:AlternateContent xmlns:mc="http://schemas.openxmlformats.org/markup-compatibility/2006">
          <mc:Choice Requires="x14">
            <control shapeId="4221" r:id="rId22" name="Check Box 125">
              <controlPr locked="0" defaultSize="0" autoFill="0" autoLine="0" autoPict="0">
                <anchor moveWithCells="1" sizeWithCells="1">
                  <from>
                    <xdr:col>22</xdr:col>
                    <xdr:colOff>0</xdr:colOff>
                    <xdr:row>104</xdr:row>
                    <xdr:rowOff>0</xdr:rowOff>
                  </from>
                  <to>
                    <xdr:col>22</xdr:col>
                    <xdr:colOff>184150</xdr:colOff>
                    <xdr:row>104</xdr:row>
                    <xdr:rowOff>184150</xdr:rowOff>
                  </to>
                </anchor>
              </controlPr>
            </control>
          </mc:Choice>
        </mc:AlternateContent>
        <mc:AlternateContent xmlns:mc="http://schemas.openxmlformats.org/markup-compatibility/2006">
          <mc:Choice Requires="x14">
            <control shapeId="4222" r:id="rId23" name="Check Box 126">
              <controlPr locked="0" defaultSize="0" autoFill="0" autoLine="0" autoPict="0">
                <anchor moveWithCells="1" sizeWithCells="1">
                  <from>
                    <xdr:col>22</xdr:col>
                    <xdr:colOff>0</xdr:colOff>
                    <xdr:row>106</xdr:row>
                    <xdr:rowOff>0</xdr:rowOff>
                  </from>
                  <to>
                    <xdr:col>22</xdr:col>
                    <xdr:colOff>184150</xdr:colOff>
                    <xdr:row>106</xdr:row>
                    <xdr:rowOff>184150</xdr:rowOff>
                  </to>
                </anchor>
              </controlPr>
            </control>
          </mc:Choice>
        </mc:AlternateContent>
        <mc:AlternateContent xmlns:mc="http://schemas.openxmlformats.org/markup-compatibility/2006">
          <mc:Choice Requires="x14">
            <control shapeId="4223" r:id="rId24" name="Check Box 127">
              <controlPr locked="0" defaultSize="0" autoFill="0" autoLine="0" autoPict="0">
                <anchor moveWithCells="1" sizeWithCells="1">
                  <from>
                    <xdr:col>22</xdr:col>
                    <xdr:colOff>0</xdr:colOff>
                    <xdr:row>108</xdr:row>
                    <xdr:rowOff>0</xdr:rowOff>
                  </from>
                  <to>
                    <xdr:col>22</xdr:col>
                    <xdr:colOff>184150</xdr:colOff>
                    <xdr:row>108</xdr:row>
                    <xdr:rowOff>184150</xdr:rowOff>
                  </to>
                </anchor>
              </controlPr>
            </control>
          </mc:Choice>
        </mc:AlternateContent>
        <mc:AlternateContent xmlns:mc="http://schemas.openxmlformats.org/markup-compatibility/2006">
          <mc:Choice Requires="x14">
            <control shapeId="4224" r:id="rId25" name="Check Box 128">
              <controlPr locked="0" defaultSize="0" autoFill="0" autoLine="0" autoPict="0">
                <anchor moveWithCells="1" sizeWithCells="1">
                  <from>
                    <xdr:col>22</xdr:col>
                    <xdr:colOff>0</xdr:colOff>
                    <xdr:row>114</xdr:row>
                    <xdr:rowOff>0</xdr:rowOff>
                  </from>
                  <to>
                    <xdr:col>22</xdr:col>
                    <xdr:colOff>184150</xdr:colOff>
                    <xdr:row>114</xdr:row>
                    <xdr:rowOff>184150</xdr:rowOff>
                  </to>
                </anchor>
              </controlPr>
            </control>
          </mc:Choice>
        </mc:AlternateContent>
        <mc:AlternateContent xmlns:mc="http://schemas.openxmlformats.org/markup-compatibility/2006">
          <mc:Choice Requires="x14">
            <control shapeId="4225" r:id="rId26" name="Check Box 129">
              <controlPr locked="0" defaultSize="0" autoFill="0" autoLine="0" autoPict="0">
                <anchor moveWithCells="1" sizeWithCells="1">
                  <from>
                    <xdr:col>22</xdr:col>
                    <xdr:colOff>0</xdr:colOff>
                    <xdr:row>120</xdr:row>
                    <xdr:rowOff>0</xdr:rowOff>
                  </from>
                  <to>
                    <xdr:col>22</xdr:col>
                    <xdr:colOff>184150</xdr:colOff>
                    <xdr:row>120</xdr:row>
                    <xdr:rowOff>184150</xdr:rowOff>
                  </to>
                </anchor>
              </controlPr>
            </control>
          </mc:Choice>
        </mc:AlternateContent>
        <mc:AlternateContent xmlns:mc="http://schemas.openxmlformats.org/markup-compatibility/2006">
          <mc:Choice Requires="x14">
            <control shapeId="4226" r:id="rId27" name="Check Box 130">
              <controlPr locked="0" defaultSize="0" autoFill="0" autoLine="0" autoPict="0">
                <anchor moveWithCells="1" sizeWithCells="1">
                  <from>
                    <xdr:col>22</xdr:col>
                    <xdr:colOff>0</xdr:colOff>
                    <xdr:row>126</xdr:row>
                    <xdr:rowOff>0</xdr:rowOff>
                  </from>
                  <to>
                    <xdr:col>22</xdr:col>
                    <xdr:colOff>184150</xdr:colOff>
                    <xdr:row>126</xdr:row>
                    <xdr:rowOff>184150</xdr:rowOff>
                  </to>
                </anchor>
              </controlPr>
            </control>
          </mc:Choice>
        </mc:AlternateContent>
        <mc:AlternateContent xmlns:mc="http://schemas.openxmlformats.org/markup-compatibility/2006">
          <mc:Choice Requires="x14">
            <control shapeId="4227" r:id="rId28" name="Check Box 131">
              <controlPr locked="0" defaultSize="0" autoFill="0" autoLine="0" autoPict="0">
                <anchor moveWithCells="1" sizeWithCells="1">
                  <from>
                    <xdr:col>22</xdr:col>
                    <xdr:colOff>0</xdr:colOff>
                    <xdr:row>128</xdr:row>
                    <xdr:rowOff>0</xdr:rowOff>
                  </from>
                  <to>
                    <xdr:col>22</xdr:col>
                    <xdr:colOff>184150</xdr:colOff>
                    <xdr:row>128</xdr:row>
                    <xdr:rowOff>184150</xdr:rowOff>
                  </to>
                </anchor>
              </controlPr>
            </control>
          </mc:Choice>
        </mc:AlternateContent>
        <mc:AlternateContent xmlns:mc="http://schemas.openxmlformats.org/markup-compatibility/2006">
          <mc:Choice Requires="x14">
            <control shapeId="4228" r:id="rId29" name="Check Box 132">
              <controlPr locked="0" defaultSize="0" autoFill="0" autoLine="0" autoPict="0">
                <anchor moveWithCells="1" sizeWithCells="1">
                  <from>
                    <xdr:col>22</xdr:col>
                    <xdr:colOff>0</xdr:colOff>
                    <xdr:row>134</xdr:row>
                    <xdr:rowOff>0</xdr:rowOff>
                  </from>
                  <to>
                    <xdr:col>22</xdr:col>
                    <xdr:colOff>184150</xdr:colOff>
                    <xdr:row>134</xdr:row>
                    <xdr:rowOff>184150</xdr:rowOff>
                  </to>
                </anchor>
              </controlPr>
            </control>
          </mc:Choice>
        </mc:AlternateContent>
        <mc:AlternateContent xmlns:mc="http://schemas.openxmlformats.org/markup-compatibility/2006">
          <mc:Choice Requires="x14">
            <control shapeId="4229" r:id="rId30" name="Check Box 133">
              <controlPr locked="0" defaultSize="0" autoFill="0" autoLine="0" autoPict="0">
                <anchor moveWithCells="1" sizeWithCells="1">
                  <from>
                    <xdr:col>22</xdr:col>
                    <xdr:colOff>0</xdr:colOff>
                    <xdr:row>138</xdr:row>
                    <xdr:rowOff>0</xdr:rowOff>
                  </from>
                  <to>
                    <xdr:col>22</xdr:col>
                    <xdr:colOff>184150</xdr:colOff>
                    <xdr:row>138</xdr:row>
                    <xdr:rowOff>184150</xdr:rowOff>
                  </to>
                </anchor>
              </controlPr>
            </control>
          </mc:Choice>
        </mc:AlternateContent>
        <mc:AlternateContent xmlns:mc="http://schemas.openxmlformats.org/markup-compatibility/2006">
          <mc:Choice Requires="x14">
            <control shapeId="4230" r:id="rId31" name="Check Box 134">
              <controlPr locked="0" defaultSize="0" autoFill="0" autoLine="0" autoPict="0">
                <anchor moveWithCells="1" sizeWithCells="1">
                  <from>
                    <xdr:col>22</xdr:col>
                    <xdr:colOff>0</xdr:colOff>
                    <xdr:row>142</xdr:row>
                    <xdr:rowOff>0</xdr:rowOff>
                  </from>
                  <to>
                    <xdr:col>22</xdr:col>
                    <xdr:colOff>184150</xdr:colOff>
                    <xdr:row>142</xdr:row>
                    <xdr:rowOff>184150</xdr:rowOff>
                  </to>
                </anchor>
              </controlPr>
            </control>
          </mc:Choice>
        </mc:AlternateContent>
        <mc:AlternateContent xmlns:mc="http://schemas.openxmlformats.org/markup-compatibility/2006">
          <mc:Choice Requires="x14">
            <control shapeId="4231" r:id="rId32" name="Check Box 135">
              <controlPr locked="0" defaultSize="0" autoFill="0" autoLine="0" autoPict="0">
                <anchor moveWithCells="1" sizeWithCells="1">
                  <from>
                    <xdr:col>22</xdr:col>
                    <xdr:colOff>0</xdr:colOff>
                    <xdr:row>147</xdr:row>
                    <xdr:rowOff>0</xdr:rowOff>
                  </from>
                  <to>
                    <xdr:col>22</xdr:col>
                    <xdr:colOff>184150</xdr:colOff>
                    <xdr:row>147</xdr:row>
                    <xdr:rowOff>184150</xdr:rowOff>
                  </to>
                </anchor>
              </controlPr>
            </control>
          </mc:Choice>
        </mc:AlternateContent>
        <mc:AlternateContent xmlns:mc="http://schemas.openxmlformats.org/markup-compatibility/2006">
          <mc:Choice Requires="x14">
            <control shapeId="4232" r:id="rId33" name="Check Box 136">
              <controlPr locked="0" defaultSize="0" autoFill="0" autoLine="0" autoPict="0">
                <anchor moveWithCells="1" sizeWithCells="1">
                  <from>
                    <xdr:col>22</xdr:col>
                    <xdr:colOff>0</xdr:colOff>
                    <xdr:row>152</xdr:row>
                    <xdr:rowOff>0</xdr:rowOff>
                  </from>
                  <to>
                    <xdr:col>22</xdr:col>
                    <xdr:colOff>184150</xdr:colOff>
                    <xdr:row>152</xdr:row>
                    <xdr:rowOff>184150</xdr:rowOff>
                  </to>
                </anchor>
              </controlPr>
            </control>
          </mc:Choice>
        </mc:AlternateContent>
        <mc:AlternateContent xmlns:mc="http://schemas.openxmlformats.org/markup-compatibility/2006">
          <mc:Choice Requires="x14">
            <control shapeId="4233" r:id="rId34" name="Check Box 137">
              <controlPr locked="0" defaultSize="0" autoFill="0" autoLine="0" autoPict="0">
                <anchor moveWithCells="1" sizeWithCells="1">
                  <from>
                    <xdr:col>22</xdr:col>
                    <xdr:colOff>0</xdr:colOff>
                    <xdr:row>154</xdr:row>
                    <xdr:rowOff>0</xdr:rowOff>
                  </from>
                  <to>
                    <xdr:col>22</xdr:col>
                    <xdr:colOff>184150</xdr:colOff>
                    <xdr:row>154</xdr:row>
                    <xdr:rowOff>184150</xdr:rowOff>
                  </to>
                </anchor>
              </controlPr>
            </control>
          </mc:Choice>
        </mc:AlternateContent>
        <mc:AlternateContent xmlns:mc="http://schemas.openxmlformats.org/markup-compatibility/2006">
          <mc:Choice Requires="x14">
            <control shapeId="4234" r:id="rId35" name="Check Box 138">
              <controlPr locked="0" defaultSize="0" autoFill="0" autoLine="0" autoPict="0">
                <anchor moveWithCells="1" sizeWithCells="1">
                  <from>
                    <xdr:col>22</xdr:col>
                    <xdr:colOff>0</xdr:colOff>
                    <xdr:row>156</xdr:row>
                    <xdr:rowOff>0</xdr:rowOff>
                  </from>
                  <to>
                    <xdr:col>22</xdr:col>
                    <xdr:colOff>184150</xdr:colOff>
                    <xdr:row>156</xdr:row>
                    <xdr:rowOff>184150</xdr:rowOff>
                  </to>
                </anchor>
              </controlPr>
            </control>
          </mc:Choice>
        </mc:AlternateContent>
        <mc:AlternateContent xmlns:mc="http://schemas.openxmlformats.org/markup-compatibility/2006">
          <mc:Choice Requires="x14">
            <control shapeId="4235" r:id="rId36" name="Check Box 139">
              <controlPr locked="0" defaultSize="0" autoFill="0" autoLine="0" autoPict="0">
                <anchor moveWithCells="1" sizeWithCells="1">
                  <from>
                    <xdr:col>22</xdr:col>
                    <xdr:colOff>0</xdr:colOff>
                    <xdr:row>168</xdr:row>
                    <xdr:rowOff>0</xdr:rowOff>
                  </from>
                  <to>
                    <xdr:col>22</xdr:col>
                    <xdr:colOff>184150</xdr:colOff>
                    <xdr:row>168</xdr:row>
                    <xdr:rowOff>184150</xdr:rowOff>
                  </to>
                </anchor>
              </controlPr>
            </control>
          </mc:Choice>
        </mc:AlternateContent>
        <mc:AlternateContent xmlns:mc="http://schemas.openxmlformats.org/markup-compatibility/2006">
          <mc:Choice Requires="x14">
            <control shapeId="4236" r:id="rId37" name="Check Box 140">
              <controlPr locked="0" defaultSize="0" autoFill="0" autoLine="0" autoPict="0">
                <anchor moveWithCells="1" sizeWithCells="1">
                  <from>
                    <xdr:col>22</xdr:col>
                    <xdr:colOff>0</xdr:colOff>
                    <xdr:row>178</xdr:row>
                    <xdr:rowOff>0</xdr:rowOff>
                  </from>
                  <to>
                    <xdr:col>22</xdr:col>
                    <xdr:colOff>184150</xdr:colOff>
                    <xdr:row>178</xdr:row>
                    <xdr:rowOff>184150</xdr:rowOff>
                  </to>
                </anchor>
              </controlPr>
            </control>
          </mc:Choice>
        </mc:AlternateContent>
        <mc:AlternateContent xmlns:mc="http://schemas.openxmlformats.org/markup-compatibility/2006">
          <mc:Choice Requires="x14">
            <control shapeId="4237" r:id="rId38" name="Check Box 141">
              <controlPr locked="0" defaultSize="0" autoFill="0" autoLine="0" autoPict="0">
                <anchor moveWithCells="1" sizeWithCells="1">
                  <from>
                    <xdr:col>22</xdr:col>
                    <xdr:colOff>0</xdr:colOff>
                    <xdr:row>181</xdr:row>
                    <xdr:rowOff>0</xdr:rowOff>
                  </from>
                  <to>
                    <xdr:col>22</xdr:col>
                    <xdr:colOff>184150</xdr:colOff>
                    <xdr:row>181</xdr:row>
                    <xdr:rowOff>184150</xdr:rowOff>
                  </to>
                </anchor>
              </controlPr>
            </control>
          </mc:Choice>
        </mc:AlternateContent>
        <mc:AlternateContent xmlns:mc="http://schemas.openxmlformats.org/markup-compatibility/2006">
          <mc:Choice Requires="x14">
            <control shapeId="4238" r:id="rId39" name="Check Box 142">
              <controlPr locked="0" defaultSize="0" autoFill="0" autoLine="0" autoPict="0">
                <anchor moveWithCells="1" sizeWithCells="1">
                  <from>
                    <xdr:col>22</xdr:col>
                    <xdr:colOff>0</xdr:colOff>
                    <xdr:row>182</xdr:row>
                    <xdr:rowOff>0</xdr:rowOff>
                  </from>
                  <to>
                    <xdr:col>22</xdr:col>
                    <xdr:colOff>184150</xdr:colOff>
                    <xdr:row>182</xdr:row>
                    <xdr:rowOff>184150</xdr:rowOff>
                  </to>
                </anchor>
              </controlPr>
            </control>
          </mc:Choice>
        </mc:AlternateContent>
        <mc:AlternateContent xmlns:mc="http://schemas.openxmlformats.org/markup-compatibility/2006">
          <mc:Choice Requires="x14">
            <control shapeId="4239" r:id="rId40" name="Check Box 143">
              <controlPr locked="0" defaultSize="0" autoFill="0" autoLine="0" autoPict="0">
                <anchor moveWithCells="1" sizeWithCells="1">
                  <from>
                    <xdr:col>22</xdr:col>
                    <xdr:colOff>0</xdr:colOff>
                    <xdr:row>192</xdr:row>
                    <xdr:rowOff>0</xdr:rowOff>
                  </from>
                  <to>
                    <xdr:col>22</xdr:col>
                    <xdr:colOff>184150</xdr:colOff>
                    <xdr:row>192</xdr:row>
                    <xdr:rowOff>184150</xdr:rowOff>
                  </to>
                </anchor>
              </controlPr>
            </control>
          </mc:Choice>
        </mc:AlternateContent>
        <mc:AlternateContent xmlns:mc="http://schemas.openxmlformats.org/markup-compatibility/2006">
          <mc:Choice Requires="x14">
            <control shapeId="4240" r:id="rId41" name="Check Box 144">
              <controlPr locked="0" defaultSize="0" autoFill="0" autoLine="0" autoPict="0">
                <anchor moveWithCells="1" sizeWithCells="1">
                  <from>
                    <xdr:col>22</xdr:col>
                    <xdr:colOff>0</xdr:colOff>
                    <xdr:row>194</xdr:row>
                    <xdr:rowOff>0</xdr:rowOff>
                  </from>
                  <to>
                    <xdr:col>22</xdr:col>
                    <xdr:colOff>184150</xdr:colOff>
                    <xdr:row>194</xdr:row>
                    <xdr:rowOff>184150</xdr:rowOff>
                  </to>
                </anchor>
              </controlPr>
            </control>
          </mc:Choice>
        </mc:AlternateContent>
        <mc:AlternateContent xmlns:mc="http://schemas.openxmlformats.org/markup-compatibility/2006">
          <mc:Choice Requires="x14">
            <control shapeId="4241" r:id="rId42" name="Check Box 145">
              <controlPr locked="0" defaultSize="0" autoFill="0" autoLine="0" autoPict="0">
                <anchor moveWithCells="1" sizeWithCells="1">
                  <from>
                    <xdr:col>22</xdr:col>
                    <xdr:colOff>0</xdr:colOff>
                    <xdr:row>210</xdr:row>
                    <xdr:rowOff>0</xdr:rowOff>
                  </from>
                  <to>
                    <xdr:col>22</xdr:col>
                    <xdr:colOff>184150</xdr:colOff>
                    <xdr:row>210</xdr:row>
                    <xdr:rowOff>184150</xdr:rowOff>
                  </to>
                </anchor>
              </controlPr>
            </control>
          </mc:Choice>
        </mc:AlternateContent>
        <mc:AlternateContent xmlns:mc="http://schemas.openxmlformats.org/markup-compatibility/2006">
          <mc:Choice Requires="x14">
            <control shapeId="4242" r:id="rId43" name="Check Box 146">
              <controlPr locked="0" defaultSize="0" autoFill="0" autoLine="0" autoPict="0">
                <anchor moveWithCells="1" sizeWithCells="1">
                  <from>
                    <xdr:col>22</xdr:col>
                    <xdr:colOff>0</xdr:colOff>
                    <xdr:row>221</xdr:row>
                    <xdr:rowOff>0</xdr:rowOff>
                  </from>
                  <to>
                    <xdr:col>22</xdr:col>
                    <xdr:colOff>184150</xdr:colOff>
                    <xdr:row>221</xdr:row>
                    <xdr:rowOff>184150</xdr:rowOff>
                  </to>
                </anchor>
              </controlPr>
            </control>
          </mc:Choice>
        </mc:AlternateContent>
        <mc:AlternateContent xmlns:mc="http://schemas.openxmlformats.org/markup-compatibility/2006">
          <mc:Choice Requires="x14">
            <control shapeId="4243" r:id="rId44" name="Check Box 147">
              <controlPr locked="0" defaultSize="0" autoFill="0" autoLine="0" autoPict="0">
                <anchor moveWithCells="1" sizeWithCells="1">
                  <from>
                    <xdr:col>22</xdr:col>
                    <xdr:colOff>0</xdr:colOff>
                    <xdr:row>222</xdr:row>
                    <xdr:rowOff>0</xdr:rowOff>
                  </from>
                  <to>
                    <xdr:col>22</xdr:col>
                    <xdr:colOff>184150</xdr:colOff>
                    <xdr:row>222</xdr:row>
                    <xdr:rowOff>184150</xdr:rowOff>
                  </to>
                </anchor>
              </controlPr>
            </control>
          </mc:Choice>
        </mc:AlternateContent>
        <mc:AlternateContent xmlns:mc="http://schemas.openxmlformats.org/markup-compatibility/2006">
          <mc:Choice Requires="x14">
            <control shapeId="4244" r:id="rId45" name="Check Box 148">
              <controlPr locked="0" defaultSize="0" autoFill="0" autoLine="0" autoPict="0">
                <anchor moveWithCells="1" sizeWithCells="1">
                  <from>
                    <xdr:col>22</xdr:col>
                    <xdr:colOff>0</xdr:colOff>
                    <xdr:row>227</xdr:row>
                    <xdr:rowOff>0</xdr:rowOff>
                  </from>
                  <to>
                    <xdr:col>22</xdr:col>
                    <xdr:colOff>184150</xdr:colOff>
                    <xdr:row>227</xdr:row>
                    <xdr:rowOff>184150</xdr:rowOff>
                  </to>
                </anchor>
              </controlPr>
            </control>
          </mc:Choice>
        </mc:AlternateContent>
        <mc:AlternateContent xmlns:mc="http://schemas.openxmlformats.org/markup-compatibility/2006">
          <mc:Choice Requires="x14">
            <control shapeId="4245" r:id="rId46" name="Check Box 149">
              <controlPr locked="0" defaultSize="0" autoFill="0" autoLine="0" autoPict="0">
                <anchor moveWithCells="1" sizeWithCells="1">
                  <from>
                    <xdr:col>22</xdr:col>
                    <xdr:colOff>0</xdr:colOff>
                    <xdr:row>229</xdr:row>
                    <xdr:rowOff>0</xdr:rowOff>
                  </from>
                  <to>
                    <xdr:col>22</xdr:col>
                    <xdr:colOff>184150</xdr:colOff>
                    <xdr:row>229</xdr:row>
                    <xdr:rowOff>184150</xdr:rowOff>
                  </to>
                </anchor>
              </controlPr>
            </control>
          </mc:Choice>
        </mc:AlternateContent>
        <mc:AlternateContent xmlns:mc="http://schemas.openxmlformats.org/markup-compatibility/2006">
          <mc:Choice Requires="x14">
            <control shapeId="4246" r:id="rId47" name="Check Box 150">
              <controlPr locked="0" defaultSize="0" autoFill="0" autoLine="0" autoPict="0">
                <anchor moveWithCells="1" sizeWithCells="1">
                  <from>
                    <xdr:col>22</xdr:col>
                    <xdr:colOff>0</xdr:colOff>
                    <xdr:row>230</xdr:row>
                    <xdr:rowOff>0</xdr:rowOff>
                  </from>
                  <to>
                    <xdr:col>22</xdr:col>
                    <xdr:colOff>184150</xdr:colOff>
                    <xdr:row>230</xdr:row>
                    <xdr:rowOff>184150</xdr:rowOff>
                  </to>
                </anchor>
              </controlPr>
            </control>
          </mc:Choice>
        </mc:AlternateContent>
        <mc:AlternateContent xmlns:mc="http://schemas.openxmlformats.org/markup-compatibility/2006">
          <mc:Choice Requires="x14">
            <control shapeId="4247" r:id="rId48" name="Check Box 151">
              <controlPr locked="0" defaultSize="0" autoFill="0" autoLine="0" autoPict="0">
                <anchor moveWithCells="1" sizeWithCells="1">
                  <from>
                    <xdr:col>22</xdr:col>
                    <xdr:colOff>0</xdr:colOff>
                    <xdr:row>233</xdr:row>
                    <xdr:rowOff>0</xdr:rowOff>
                  </from>
                  <to>
                    <xdr:col>22</xdr:col>
                    <xdr:colOff>184150</xdr:colOff>
                    <xdr:row>233</xdr:row>
                    <xdr:rowOff>184150</xdr:rowOff>
                  </to>
                </anchor>
              </controlPr>
            </control>
          </mc:Choice>
        </mc:AlternateContent>
        <mc:AlternateContent xmlns:mc="http://schemas.openxmlformats.org/markup-compatibility/2006">
          <mc:Choice Requires="x14">
            <control shapeId="4248" r:id="rId49" name="Check Box 152">
              <controlPr locked="0" defaultSize="0" autoFill="0" autoLine="0" autoPict="0">
                <anchor moveWithCells="1" sizeWithCells="1">
                  <from>
                    <xdr:col>22</xdr:col>
                    <xdr:colOff>0</xdr:colOff>
                    <xdr:row>237</xdr:row>
                    <xdr:rowOff>0</xdr:rowOff>
                  </from>
                  <to>
                    <xdr:col>22</xdr:col>
                    <xdr:colOff>184150</xdr:colOff>
                    <xdr:row>237</xdr:row>
                    <xdr:rowOff>184150</xdr:rowOff>
                  </to>
                </anchor>
              </controlPr>
            </control>
          </mc:Choice>
        </mc:AlternateContent>
        <mc:AlternateContent xmlns:mc="http://schemas.openxmlformats.org/markup-compatibility/2006">
          <mc:Choice Requires="x14">
            <control shapeId="4249" r:id="rId50" name="Check Box 153">
              <controlPr locked="0" defaultSize="0" autoFill="0" autoLine="0" autoPict="0">
                <anchor moveWithCells="1" sizeWithCells="1">
                  <from>
                    <xdr:col>22</xdr:col>
                    <xdr:colOff>0</xdr:colOff>
                    <xdr:row>242</xdr:row>
                    <xdr:rowOff>0</xdr:rowOff>
                  </from>
                  <to>
                    <xdr:col>22</xdr:col>
                    <xdr:colOff>184150</xdr:colOff>
                    <xdr:row>242</xdr:row>
                    <xdr:rowOff>184150</xdr:rowOff>
                  </to>
                </anchor>
              </controlPr>
            </control>
          </mc:Choice>
        </mc:AlternateContent>
        <mc:AlternateContent xmlns:mc="http://schemas.openxmlformats.org/markup-compatibility/2006">
          <mc:Choice Requires="x14">
            <control shapeId="4250" r:id="rId51" name="Check Box 154">
              <controlPr locked="0" defaultSize="0" autoFill="0" autoLine="0" autoPict="0">
                <anchor moveWithCells="1" sizeWithCells="1">
                  <from>
                    <xdr:col>22</xdr:col>
                    <xdr:colOff>0</xdr:colOff>
                    <xdr:row>244</xdr:row>
                    <xdr:rowOff>0</xdr:rowOff>
                  </from>
                  <to>
                    <xdr:col>22</xdr:col>
                    <xdr:colOff>184150</xdr:colOff>
                    <xdr:row>244</xdr:row>
                    <xdr:rowOff>184150</xdr:rowOff>
                  </to>
                </anchor>
              </controlPr>
            </control>
          </mc:Choice>
        </mc:AlternateContent>
        <mc:AlternateContent xmlns:mc="http://schemas.openxmlformats.org/markup-compatibility/2006">
          <mc:Choice Requires="x14">
            <control shapeId="4251" r:id="rId52" name="Check Box 155">
              <controlPr locked="0" defaultSize="0" autoFill="0" autoLine="0" autoPict="0">
                <anchor moveWithCells="1" sizeWithCells="1">
                  <from>
                    <xdr:col>22</xdr:col>
                    <xdr:colOff>0</xdr:colOff>
                    <xdr:row>261</xdr:row>
                    <xdr:rowOff>0</xdr:rowOff>
                  </from>
                  <to>
                    <xdr:col>22</xdr:col>
                    <xdr:colOff>184150</xdr:colOff>
                    <xdr:row>261</xdr:row>
                    <xdr:rowOff>184150</xdr:rowOff>
                  </to>
                </anchor>
              </controlPr>
            </control>
          </mc:Choice>
        </mc:AlternateContent>
        <mc:AlternateContent xmlns:mc="http://schemas.openxmlformats.org/markup-compatibility/2006">
          <mc:Choice Requires="x14">
            <control shapeId="4252" r:id="rId53" name="Check Box 156">
              <controlPr locked="0" defaultSize="0" autoFill="0" autoLine="0" autoPict="0">
                <anchor moveWithCells="1" sizeWithCells="1">
                  <from>
                    <xdr:col>22</xdr:col>
                    <xdr:colOff>0</xdr:colOff>
                    <xdr:row>277</xdr:row>
                    <xdr:rowOff>0</xdr:rowOff>
                  </from>
                  <to>
                    <xdr:col>22</xdr:col>
                    <xdr:colOff>184150</xdr:colOff>
                    <xdr:row>277</xdr:row>
                    <xdr:rowOff>184150</xdr:rowOff>
                  </to>
                </anchor>
              </controlPr>
            </control>
          </mc:Choice>
        </mc:AlternateContent>
        <mc:AlternateContent xmlns:mc="http://schemas.openxmlformats.org/markup-compatibility/2006">
          <mc:Choice Requires="x14">
            <control shapeId="4253" r:id="rId54" name="Check Box 157">
              <controlPr locked="0" defaultSize="0" autoFill="0" autoLine="0" autoPict="0">
                <anchor moveWithCells="1" sizeWithCells="1">
                  <from>
                    <xdr:col>22</xdr:col>
                    <xdr:colOff>0</xdr:colOff>
                    <xdr:row>290</xdr:row>
                    <xdr:rowOff>0</xdr:rowOff>
                  </from>
                  <to>
                    <xdr:col>22</xdr:col>
                    <xdr:colOff>184150</xdr:colOff>
                    <xdr:row>290</xdr:row>
                    <xdr:rowOff>184150</xdr:rowOff>
                  </to>
                </anchor>
              </controlPr>
            </control>
          </mc:Choice>
        </mc:AlternateContent>
        <mc:AlternateContent xmlns:mc="http://schemas.openxmlformats.org/markup-compatibility/2006">
          <mc:Choice Requires="x14">
            <control shapeId="4254" r:id="rId55" name="Check Box 158">
              <controlPr locked="0" defaultSize="0" autoFill="0" autoLine="0" autoPict="0">
                <anchor moveWithCells="1" sizeWithCells="1">
                  <from>
                    <xdr:col>22</xdr:col>
                    <xdr:colOff>0</xdr:colOff>
                    <xdr:row>292</xdr:row>
                    <xdr:rowOff>0</xdr:rowOff>
                  </from>
                  <to>
                    <xdr:col>22</xdr:col>
                    <xdr:colOff>184150</xdr:colOff>
                    <xdr:row>292</xdr:row>
                    <xdr:rowOff>184150</xdr:rowOff>
                  </to>
                </anchor>
              </controlPr>
            </control>
          </mc:Choice>
        </mc:AlternateContent>
        <mc:AlternateContent xmlns:mc="http://schemas.openxmlformats.org/markup-compatibility/2006">
          <mc:Choice Requires="x14">
            <control shapeId="4255" r:id="rId56" name="Check Box 159">
              <controlPr locked="0" defaultSize="0" autoFill="0" autoLine="0" autoPict="0">
                <anchor moveWithCells="1" sizeWithCells="1">
                  <from>
                    <xdr:col>22</xdr:col>
                    <xdr:colOff>0</xdr:colOff>
                    <xdr:row>305</xdr:row>
                    <xdr:rowOff>0</xdr:rowOff>
                  </from>
                  <to>
                    <xdr:col>22</xdr:col>
                    <xdr:colOff>184150</xdr:colOff>
                    <xdr:row>305</xdr:row>
                    <xdr:rowOff>184150</xdr:rowOff>
                  </to>
                </anchor>
              </controlPr>
            </control>
          </mc:Choice>
        </mc:AlternateContent>
        <mc:AlternateContent xmlns:mc="http://schemas.openxmlformats.org/markup-compatibility/2006">
          <mc:Choice Requires="x14">
            <control shapeId="4256" r:id="rId57" name="Check Box 160">
              <controlPr locked="0" defaultSize="0" autoFill="0" autoLine="0" autoPict="0">
                <anchor moveWithCells="1" sizeWithCells="1">
                  <from>
                    <xdr:col>22</xdr:col>
                    <xdr:colOff>0</xdr:colOff>
                    <xdr:row>306</xdr:row>
                    <xdr:rowOff>0</xdr:rowOff>
                  </from>
                  <to>
                    <xdr:col>22</xdr:col>
                    <xdr:colOff>184150</xdr:colOff>
                    <xdr:row>306</xdr:row>
                    <xdr:rowOff>184150</xdr:rowOff>
                  </to>
                </anchor>
              </controlPr>
            </control>
          </mc:Choice>
        </mc:AlternateContent>
        <mc:AlternateContent xmlns:mc="http://schemas.openxmlformats.org/markup-compatibility/2006">
          <mc:Choice Requires="x14">
            <control shapeId="4257" r:id="rId58" name="Check Box 161">
              <controlPr locked="0" defaultSize="0" autoFill="0" autoLine="0" autoPict="0">
                <anchor moveWithCells="1" sizeWithCells="1">
                  <from>
                    <xdr:col>22</xdr:col>
                    <xdr:colOff>0</xdr:colOff>
                    <xdr:row>307</xdr:row>
                    <xdr:rowOff>0</xdr:rowOff>
                  </from>
                  <to>
                    <xdr:col>22</xdr:col>
                    <xdr:colOff>184150</xdr:colOff>
                    <xdr:row>307</xdr:row>
                    <xdr:rowOff>184150</xdr:rowOff>
                  </to>
                </anchor>
              </controlPr>
            </control>
          </mc:Choice>
        </mc:AlternateContent>
        <mc:AlternateContent xmlns:mc="http://schemas.openxmlformats.org/markup-compatibility/2006">
          <mc:Choice Requires="x14">
            <control shapeId="4258" r:id="rId59" name="Check Box 162">
              <controlPr locked="0" defaultSize="0" autoFill="0" autoLine="0" autoPict="0">
                <anchor moveWithCells="1" sizeWithCells="1">
                  <from>
                    <xdr:col>22</xdr:col>
                    <xdr:colOff>0</xdr:colOff>
                    <xdr:row>308</xdr:row>
                    <xdr:rowOff>0</xdr:rowOff>
                  </from>
                  <to>
                    <xdr:col>22</xdr:col>
                    <xdr:colOff>184150</xdr:colOff>
                    <xdr:row>308</xdr:row>
                    <xdr:rowOff>184150</xdr:rowOff>
                  </to>
                </anchor>
              </controlPr>
            </control>
          </mc:Choice>
        </mc:AlternateContent>
        <mc:AlternateContent xmlns:mc="http://schemas.openxmlformats.org/markup-compatibility/2006">
          <mc:Choice Requires="x14">
            <control shapeId="4259" r:id="rId60" name="Check Box 163">
              <controlPr locked="0" defaultSize="0" autoFill="0" autoLine="0" autoPict="0">
                <anchor moveWithCells="1" sizeWithCells="1">
                  <from>
                    <xdr:col>22</xdr:col>
                    <xdr:colOff>0</xdr:colOff>
                    <xdr:row>309</xdr:row>
                    <xdr:rowOff>0</xdr:rowOff>
                  </from>
                  <to>
                    <xdr:col>22</xdr:col>
                    <xdr:colOff>184150</xdr:colOff>
                    <xdr:row>309</xdr:row>
                    <xdr:rowOff>184150</xdr:rowOff>
                  </to>
                </anchor>
              </controlPr>
            </control>
          </mc:Choice>
        </mc:AlternateContent>
        <mc:AlternateContent xmlns:mc="http://schemas.openxmlformats.org/markup-compatibility/2006">
          <mc:Choice Requires="x14">
            <control shapeId="4260" r:id="rId61" name="Check Box 164">
              <controlPr locked="0" defaultSize="0" autoFill="0" autoLine="0" autoPict="0">
                <anchor moveWithCells="1" sizeWithCells="1">
                  <from>
                    <xdr:col>22</xdr:col>
                    <xdr:colOff>0</xdr:colOff>
                    <xdr:row>310</xdr:row>
                    <xdr:rowOff>0</xdr:rowOff>
                  </from>
                  <to>
                    <xdr:col>22</xdr:col>
                    <xdr:colOff>184150</xdr:colOff>
                    <xdr:row>310</xdr:row>
                    <xdr:rowOff>184150</xdr:rowOff>
                  </to>
                </anchor>
              </controlPr>
            </control>
          </mc:Choice>
        </mc:AlternateContent>
        <mc:AlternateContent xmlns:mc="http://schemas.openxmlformats.org/markup-compatibility/2006">
          <mc:Choice Requires="x14">
            <control shapeId="4261" r:id="rId62" name="Check Box 165">
              <controlPr locked="0" defaultSize="0" autoFill="0" autoLine="0" autoPict="0">
                <anchor moveWithCells="1" sizeWithCells="1">
                  <from>
                    <xdr:col>22</xdr:col>
                    <xdr:colOff>0</xdr:colOff>
                    <xdr:row>311</xdr:row>
                    <xdr:rowOff>0</xdr:rowOff>
                  </from>
                  <to>
                    <xdr:col>22</xdr:col>
                    <xdr:colOff>184150</xdr:colOff>
                    <xdr:row>311</xdr:row>
                    <xdr:rowOff>184150</xdr:rowOff>
                  </to>
                </anchor>
              </controlPr>
            </control>
          </mc:Choice>
        </mc:AlternateContent>
        <mc:AlternateContent xmlns:mc="http://schemas.openxmlformats.org/markup-compatibility/2006">
          <mc:Choice Requires="x14">
            <control shapeId="4262" r:id="rId63" name="Check Box 166">
              <controlPr locked="0" defaultSize="0" autoFill="0" autoLine="0" autoPict="0">
                <anchor moveWithCells="1" sizeWithCells="1">
                  <from>
                    <xdr:col>22</xdr:col>
                    <xdr:colOff>0</xdr:colOff>
                    <xdr:row>312</xdr:row>
                    <xdr:rowOff>0</xdr:rowOff>
                  </from>
                  <to>
                    <xdr:col>22</xdr:col>
                    <xdr:colOff>184150</xdr:colOff>
                    <xdr:row>312</xdr:row>
                    <xdr:rowOff>184150</xdr:rowOff>
                  </to>
                </anchor>
              </controlPr>
            </control>
          </mc:Choice>
        </mc:AlternateContent>
        <mc:AlternateContent xmlns:mc="http://schemas.openxmlformats.org/markup-compatibility/2006">
          <mc:Choice Requires="x14">
            <control shapeId="4263" r:id="rId64" name="Check Box 167">
              <controlPr locked="0" defaultSize="0" autoFill="0" autoLine="0" autoPict="0">
                <anchor moveWithCells="1" sizeWithCells="1">
                  <from>
                    <xdr:col>22</xdr:col>
                    <xdr:colOff>0</xdr:colOff>
                    <xdr:row>313</xdr:row>
                    <xdr:rowOff>0</xdr:rowOff>
                  </from>
                  <to>
                    <xdr:col>22</xdr:col>
                    <xdr:colOff>184150</xdr:colOff>
                    <xdr:row>313</xdr:row>
                    <xdr:rowOff>184150</xdr:rowOff>
                  </to>
                </anchor>
              </controlPr>
            </control>
          </mc:Choice>
        </mc:AlternateContent>
        <mc:AlternateContent xmlns:mc="http://schemas.openxmlformats.org/markup-compatibility/2006">
          <mc:Choice Requires="x14">
            <control shapeId="4264" r:id="rId65" name="Check Box 168">
              <controlPr locked="0" defaultSize="0" autoFill="0" autoLine="0" autoPict="0">
                <anchor moveWithCells="1" sizeWithCells="1">
                  <from>
                    <xdr:col>22</xdr:col>
                    <xdr:colOff>0</xdr:colOff>
                    <xdr:row>360</xdr:row>
                    <xdr:rowOff>0</xdr:rowOff>
                  </from>
                  <to>
                    <xdr:col>22</xdr:col>
                    <xdr:colOff>184150</xdr:colOff>
                    <xdr:row>360</xdr:row>
                    <xdr:rowOff>184150</xdr:rowOff>
                  </to>
                </anchor>
              </controlPr>
            </control>
          </mc:Choice>
        </mc:AlternateContent>
        <mc:AlternateContent xmlns:mc="http://schemas.openxmlformats.org/markup-compatibility/2006">
          <mc:Choice Requires="x14">
            <control shapeId="4265" r:id="rId66" name="Check Box 169">
              <controlPr locked="0" defaultSize="0" autoFill="0" autoLine="0" autoPict="0">
                <anchor moveWithCells="1" sizeWithCells="1">
                  <from>
                    <xdr:col>22</xdr:col>
                    <xdr:colOff>0</xdr:colOff>
                    <xdr:row>362</xdr:row>
                    <xdr:rowOff>0</xdr:rowOff>
                  </from>
                  <to>
                    <xdr:col>22</xdr:col>
                    <xdr:colOff>184150</xdr:colOff>
                    <xdr:row>362</xdr:row>
                    <xdr:rowOff>184150</xdr:rowOff>
                  </to>
                </anchor>
              </controlPr>
            </control>
          </mc:Choice>
        </mc:AlternateContent>
        <mc:AlternateContent xmlns:mc="http://schemas.openxmlformats.org/markup-compatibility/2006">
          <mc:Choice Requires="x14">
            <control shapeId="4266" r:id="rId67" name="Check Box 170">
              <controlPr locked="0" defaultSize="0" autoFill="0" autoLine="0" autoPict="0">
                <anchor moveWithCells="1" sizeWithCells="1">
                  <from>
                    <xdr:col>22</xdr:col>
                    <xdr:colOff>0</xdr:colOff>
                    <xdr:row>363</xdr:row>
                    <xdr:rowOff>0</xdr:rowOff>
                  </from>
                  <to>
                    <xdr:col>22</xdr:col>
                    <xdr:colOff>184150</xdr:colOff>
                    <xdr:row>363</xdr:row>
                    <xdr:rowOff>184150</xdr:rowOff>
                  </to>
                </anchor>
              </controlPr>
            </control>
          </mc:Choice>
        </mc:AlternateContent>
        <mc:AlternateContent xmlns:mc="http://schemas.openxmlformats.org/markup-compatibility/2006">
          <mc:Choice Requires="x14">
            <control shapeId="4267" r:id="rId68" name="Check Box 171">
              <controlPr locked="0" defaultSize="0" autoFill="0" autoLine="0" autoPict="0">
                <anchor moveWithCells="1" sizeWithCells="1">
                  <from>
                    <xdr:col>22</xdr:col>
                    <xdr:colOff>0</xdr:colOff>
                    <xdr:row>391</xdr:row>
                    <xdr:rowOff>0</xdr:rowOff>
                  </from>
                  <to>
                    <xdr:col>22</xdr:col>
                    <xdr:colOff>184150</xdr:colOff>
                    <xdr:row>391</xdr:row>
                    <xdr:rowOff>184150</xdr:rowOff>
                  </to>
                </anchor>
              </controlPr>
            </control>
          </mc:Choice>
        </mc:AlternateContent>
        <mc:AlternateContent xmlns:mc="http://schemas.openxmlformats.org/markup-compatibility/2006">
          <mc:Choice Requires="x14">
            <control shapeId="4268" r:id="rId69" name="Check Box 172">
              <controlPr locked="0" defaultSize="0" autoFill="0" autoLine="0" autoPict="0">
                <anchor moveWithCells="1" sizeWithCells="1">
                  <from>
                    <xdr:col>22</xdr:col>
                    <xdr:colOff>0</xdr:colOff>
                    <xdr:row>400</xdr:row>
                    <xdr:rowOff>0</xdr:rowOff>
                  </from>
                  <to>
                    <xdr:col>22</xdr:col>
                    <xdr:colOff>184150</xdr:colOff>
                    <xdr:row>400</xdr:row>
                    <xdr:rowOff>184150</xdr:rowOff>
                  </to>
                </anchor>
              </controlPr>
            </control>
          </mc:Choice>
        </mc:AlternateContent>
        <mc:AlternateContent xmlns:mc="http://schemas.openxmlformats.org/markup-compatibility/2006">
          <mc:Choice Requires="x14">
            <control shapeId="4269" r:id="rId70" name="Check Box 173">
              <controlPr locked="0" defaultSize="0" autoFill="0" autoLine="0" autoPict="0">
                <anchor moveWithCells="1" sizeWithCells="1">
                  <from>
                    <xdr:col>22</xdr:col>
                    <xdr:colOff>0</xdr:colOff>
                    <xdr:row>407</xdr:row>
                    <xdr:rowOff>0</xdr:rowOff>
                  </from>
                  <to>
                    <xdr:col>22</xdr:col>
                    <xdr:colOff>184150</xdr:colOff>
                    <xdr:row>407</xdr:row>
                    <xdr:rowOff>184150</xdr:rowOff>
                  </to>
                </anchor>
              </controlPr>
            </control>
          </mc:Choice>
        </mc:AlternateContent>
        <mc:AlternateContent xmlns:mc="http://schemas.openxmlformats.org/markup-compatibility/2006">
          <mc:Choice Requires="x14">
            <control shapeId="4270" r:id="rId71" name="Check Box 174">
              <controlPr locked="0" defaultSize="0" autoFill="0" autoLine="0" autoPict="0">
                <anchor moveWithCells="1" sizeWithCells="1">
                  <from>
                    <xdr:col>22</xdr:col>
                    <xdr:colOff>0</xdr:colOff>
                    <xdr:row>463</xdr:row>
                    <xdr:rowOff>0</xdr:rowOff>
                  </from>
                  <to>
                    <xdr:col>22</xdr:col>
                    <xdr:colOff>184150</xdr:colOff>
                    <xdr:row>463</xdr:row>
                    <xdr:rowOff>184150</xdr:rowOff>
                  </to>
                </anchor>
              </controlPr>
            </control>
          </mc:Choice>
        </mc:AlternateContent>
        <mc:AlternateContent xmlns:mc="http://schemas.openxmlformats.org/markup-compatibility/2006">
          <mc:Choice Requires="x14">
            <control shapeId="4271" r:id="rId72" name="Check Box 175">
              <controlPr locked="0" defaultSize="0" autoFill="0" autoLine="0" autoPict="0">
                <anchor moveWithCells="1" sizeWithCells="1">
                  <from>
                    <xdr:col>22</xdr:col>
                    <xdr:colOff>0</xdr:colOff>
                    <xdr:row>464</xdr:row>
                    <xdr:rowOff>0</xdr:rowOff>
                  </from>
                  <to>
                    <xdr:col>22</xdr:col>
                    <xdr:colOff>184150</xdr:colOff>
                    <xdr:row>464</xdr:row>
                    <xdr:rowOff>184150</xdr:rowOff>
                  </to>
                </anchor>
              </controlPr>
            </control>
          </mc:Choice>
        </mc:AlternateContent>
        <mc:AlternateContent xmlns:mc="http://schemas.openxmlformats.org/markup-compatibility/2006">
          <mc:Choice Requires="x14">
            <control shapeId="4272" r:id="rId73" name="Check Box 176">
              <controlPr locked="0" defaultSize="0" autoFill="0" autoLine="0" autoPict="0">
                <anchor moveWithCells="1" sizeWithCells="1">
                  <from>
                    <xdr:col>22</xdr:col>
                    <xdr:colOff>0</xdr:colOff>
                    <xdr:row>465</xdr:row>
                    <xdr:rowOff>0</xdr:rowOff>
                  </from>
                  <to>
                    <xdr:col>22</xdr:col>
                    <xdr:colOff>184150</xdr:colOff>
                    <xdr:row>465</xdr:row>
                    <xdr:rowOff>184150</xdr:rowOff>
                  </to>
                </anchor>
              </controlPr>
            </control>
          </mc:Choice>
        </mc:AlternateContent>
        <mc:AlternateContent xmlns:mc="http://schemas.openxmlformats.org/markup-compatibility/2006">
          <mc:Choice Requires="x14">
            <control shapeId="4273" r:id="rId74" name="Check Box 177">
              <controlPr locked="0" defaultSize="0" autoFill="0" autoLine="0" autoPict="0">
                <anchor moveWithCells="1" sizeWithCells="1">
                  <from>
                    <xdr:col>22</xdr:col>
                    <xdr:colOff>0</xdr:colOff>
                    <xdr:row>466</xdr:row>
                    <xdr:rowOff>0</xdr:rowOff>
                  </from>
                  <to>
                    <xdr:col>22</xdr:col>
                    <xdr:colOff>184150</xdr:colOff>
                    <xdr:row>466</xdr:row>
                    <xdr:rowOff>184150</xdr:rowOff>
                  </to>
                </anchor>
              </controlPr>
            </control>
          </mc:Choice>
        </mc:AlternateContent>
        <mc:AlternateContent xmlns:mc="http://schemas.openxmlformats.org/markup-compatibility/2006">
          <mc:Choice Requires="x14">
            <control shapeId="4274" r:id="rId75" name="Check Box 178">
              <controlPr locked="0" defaultSize="0" autoFill="0" autoLine="0" autoPict="0">
                <anchor moveWithCells="1" sizeWithCells="1">
                  <from>
                    <xdr:col>22</xdr:col>
                    <xdr:colOff>0</xdr:colOff>
                    <xdr:row>467</xdr:row>
                    <xdr:rowOff>0</xdr:rowOff>
                  </from>
                  <to>
                    <xdr:col>22</xdr:col>
                    <xdr:colOff>184150</xdr:colOff>
                    <xdr:row>467</xdr:row>
                    <xdr:rowOff>184150</xdr:rowOff>
                  </to>
                </anchor>
              </controlPr>
            </control>
          </mc:Choice>
        </mc:AlternateContent>
        <mc:AlternateContent xmlns:mc="http://schemas.openxmlformats.org/markup-compatibility/2006">
          <mc:Choice Requires="x14">
            <control shapeId="4275" r:id="rId76" name="Check Box 179">
              <controlPr locked="0" defaultSize="0" autoFill="0" autoLine="0" autoPict="0">
                <anchor moveWithCells="1" sizeWithCells="1">
                  <from>
                    <xdr:col>22</xdr:col>
                    <xdr:colOff>0</xdr:colOff>
                    <xdr:row>468</xdr:row>
                    <xdr:rowOff>0</xdr:rowOff>
                  </from>
                  <to>
                    <xdr:col>22</xdr:col>
                    <xdr:colOff>184150</xdr:colOff>
                    <xdr:row>468</xdr:row>
                    <xdr:rowOff>184150</xdr:rowOff>
                  </to>
                </anchor>
              </controlPr>
            </control>
          </mc:Choice>
        </mc:AlternateContent>
        <mc:AlternateContent xmlns:mc="http://schemas.openxmlformats.org/markup-compatibility/2006">
          <mc:Choice Requires="x14">
            <control shapeId="4276" r:id="rId77" name="Check Box 180">
              <controlPr locked="0" defaultSize="0" autoFill="0" autoLine="0" autoPict="0">
                <anchor moveWithCells="1" sizeWithCells="1">
                  <from>
                    <xdr:col>22</xdr:col>
                    <xdr:colOff>0</xdr:colOff>
                    <xdr:row>469</xdr:row>
                    <xdr:rowOff>0</xdr:rowOff>
                  </from>
                  <to>
                    <xdr:col>22</xdr:col>
                    <xdr:colOff>184150</xdr:colOff>
                    <xdr:row>469</xdr:row>
                    <xdr:rowOff>184150</xdr:rowOff>
                  </to>
                </anchor>
              </controlPr>
            </control>
          </mc:Choice>
        </mc:AlternateContent>
        <mc:AlternateContent xmlns:mc="http://schemas.openxmlformats.org/markup-compatibility/2006">
          <mc:Choice Requires="x14">
            <control shapeId="4277" r:id="rId78" name="Check Box 181">
              <controlPr locked="0" defaultSize="0" autoFill="0" autoLine="0" autoPict="0">
                <anchor moveWithCells="1" sizeWithCells="1">
                  <from>
                    <xdr:col>22</xdr:col>
                    <xdr:colOff>0</xdr:colOff>
                    <xdr:row>473</xdr:row>
                    <xdr:rowOff>0</xdr:rowOff>
                  </from>
                  <to>
                    <xdr:col>22</xdr:col>
                    <xdr:colOff>184150</xdr:colOff>
                    <xdr:row>473</xdr:row>
                    <xdr:rowOff>184150</xdr:rowOff>
                  </to>
                </anchor>
              </controlPr>
            </control>
          </mc:Choice>
        </mc:AlternateContent>
        <mc:AlternateContent xmlns:mc="http://schemas.openxmlformats.org/markup-compatibility/2006">
          <mc:Choice Requires="x14">
            <control shapeId="4278" r:id="rId79" name="Check Box 182">
              <controlPr locked="0" defaultSize="0" autoFill="0" autoLine="0" autoPict="0">
                <anchor moveWithCells="1" sizeWithCells="1">
                  <from>
                    <xdr:col>22</xdr:col>
                    <xdr:colOff>0</xdr:colOff>
                    <xdr:row>478</xdr:row>
                    <xdr:rowOff>0</xdr:rowOff>
                  </from>
                  <to>
                    <xdr:col>22</xdr:col>
                    <xdr:colOff>184150</xdr:colOff>
                    <xdr:row>478</xdr:row>
                    <xdr:rowOff>184150</xdr:rowOff>
                  </to>
                </anchor>
              </controlPr>
            </control>
          </mc:Choice>
        </mc:AlternateContent>
        <mc:AlternateContent xmlns:mc="http://schemas.openxmlformats.org/markup-compatibility/2006">
          <mc:Choice Requires="x14">
            <control shapeId="4279" r:id="rId80" name="Check Box 183">
              <controlPr locked="0" defaultSize="0" autoFill="0" autoLine="0" autoPict="0">
                <anchor moveWithCells="1" sizeWithCells="1">
                  <from>
                    <xdr:col>22</xdr:col>
                    <xdr:colOff>0</xdr:colOff>
                    <xdr:row>482</xdr:row>
                    <xdr:rowOff>0</xdr:rowOff>
                  </from>
                  <to>
                    <xdr:col>22</xdr:col>
                    <xdr:colOff>184150</xdr:colOff>
                    <xdr:row>482</xdr:row>
                    <xdr:rowOff>184150</xdr:rowOff>
                  </to>
                </anchor>
              </controlPr>
            </control>
          </mc:Choice>
        </mc:AlternateContent>
        <mc:AlternateContent xmlns:mc="http://schemas.openxmlformats.org/markup-compatibility/2006">
          <mc:Choice Requires="x14">
            <control shapeId="4280" r:id="rId81" name="Check Box 184">
              <controlPr locked="0" defaultSize="0" autoFill="0" autoLine="0" autoPict="0">
                <anchor moveWithCells="1" sizeWithCells="1">
                  <from>
                    <xdr:col>22</xdr:col>
                    <xdr:colOff>0</xdr:colOff>
                    <xdr:row>484</xdr:row>
                    <xdr:rowOff>0</xdr:rowOff>
                  </from>
                  <to>
                    <xdr:col>22</xdr:col>
                    <xdr:colOff>184150</xdr:colOff>
                    <xdr:row>484</xdr:row>
                    <xdr:rowOff>184150</xdr:rowOff>
                  </to>
                </anchor>
              </controlPr>
            </control>
          </mc:Choice>
        </mc:AlternateContent>
        <mc:AlternateContent xmlns:mc="http://schemas.openxmlformats.org/markup-compatibility/2006">
          <mc:Choice Requires="x14">
            <control shapeId="4281" r:id="rId82" name="Check Box 185">
              <controlPr locked="0" defaultSize="0" autoFill="0" autoLine="0" autoPict="0">
                <anchor moveWithCells="1" sizeWithCells="1">
                  <from>
                    <xdr:col>22</xdr:col>
                    <xdr:colOff>0</xdr:colOff>
                    <xdr:row>486</xdr:row>
                    <xdr:rowOff>0</xdr:rowOff>
                  </from>
                  <to>
                    <xdr:col>22</xdr:col>
                    <xdr:colOff>184150</xdr:colOff>
                    <xdr:row>486</xdr:row>
                    <xdr:rowOff>184150</xdr:rowOff>
                  </to>
                </anchor>
              </controlPr>
            </control>
          </mc:Choice>
        </mc:AlternateContent>
        <mc:AlternateContent xmlns:mc="http://schemas.openxmlformats.org/markup-compatibility/2006">
          <mc:Choice Requires="x14">
            <control shapeId="4282" r:id="rId83" name="Check Box 186">
              <controlPr locked="0" defaultSize="0" autoFill="0" autoLine="0" autoPict="0">
                <anchor moveWithCells="1" sizeWithCells="1">
                  <from>
                    <xdr:col>22</xdr:col>
                    <xdr:colOff>0</xdr:colOff>
                    <xdr:row>487</xdr:row>
                    <xdr:rowOff>0</xdr:rowOff>
                  </from>
                  <to>
                    <xdr:col>22</xdr:col>
                    <xdr:colOff>184150</xdr:colOff>
                    <xdr:row>487</xdr:row>
                    <xdr:rowOff>184150</xdr:rowOff>
                  </to>
                </anchor>
              </controlPr>
            </control>
          </mc:Choice>
        </mc:AlternateContent>
        <mc:AlternateContent xmlns:mc="http://schemas.openxmlformats.org/markup-compatibility/2006">
          <mc:Choice Requires="x14">
            <control shapeId="4283" r:id="rId84" name="Check Box 187">
              <controlPr locked="0" defaultSize="0" autoFill="0" autoLine="0" autoPict="0">
                <anchor moveWithCells="1" sizeWithCells="1">
                  <from>
                    <xdr:col>22</xdr:col>
                    <xdr:colOff>0</xdr:colOff>
                    <xdr:row>488</xdr:row>
                    <xdr:rowOff>0</xdr:rowOff>
                  </from>
                  <to>
                    <xdr:col>22</xdr:col>
                    <xdr:colOff>184150</xdr:colOff>
                    <xdr:row>488</xdr:row>
                    <xdr:rowOff>184150</xdr:rowOff>
                  </to>
                </anchor>
              </controlPr>
            </control>
          </mc:Choice>
        </mc:AlternateContent>
        <mc:AlternateContent xmlns:mc="http://schemas.openxmlformats.org/markup-compatibility/2006">
          <mc:Choice Requires="x14">
            <control shapeId="4284" r:id="rId85" name="Check Box 188">
              <controlPr locked="0" defaultSize="0" autoFill="0" autoLine="0" autoPict="0">
                <anchor moveWithCells="1" sizeWithCells="1">
                  <from>
                    <xdr:col>22</xdr:col>
                    <xdr:colOff>0</xdr:colOff>
                    <xdr:row>492</xdr:row>
                    <xdr:rowOff>0</xdr:rowOff>
                  </from>
                  <to>
                    <xdr:col>22</xdr:col>
                    <xdr:colOff>184150</xdr:colOff>
                    <xdr:row>492</xdr:row>
                    <xdr:rowOff>184150</xdr:rowOff>
                  </to>
                </anchor>
              </controlPr>
            </control>
          </mc:Choice>
        </mc:AlternateContent>
        <mc:AlternateContent xmlns:mc="http://schemas.openxmlformats.org/markup-compatibility/2006">
          <mc:Choice Requires="x14">
            <control shapeId="4285" r:id="rId86" name="Check Box 189">
              <controlPr locked="0" defaultSize="0" autoFill="0" autoLine="0" autoPict="0">
                <anchor moveWithCells="1" sizeWithCells="1">
                  <from>
                    <xdr:col>22</xdr:col>
                    <xdr:colOff>0</xdr:colOff>
                    <xdr:row>494</xdr:row>
                    <xdr:rowOff>0</xdr:rowOff>
                  </from>
                  <to>
                    <xdr:col>22</xdr:col>
                    <xdr:colOff>184150</xdr:colOff>
                    <xdr:row>494</xdr:row>
                    <xdr:rowOff>184150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BI642"/>
  <sheetViews>
    <sheetView showGridLines="0" topLeftCell="H1" zoomScaleNormal="100" workbookViewId="0">
      <pane ySplit="7" topLeftCell="A594" activePane="bottomLeft" state="frozen"/>
      <selection pane="bottomLeft" activeCell="X607" sqref="X607"/>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44" customWidth="1"/>
    <col min="14" max="14" width="7.7265625" hidden="1" customWidth="1"/>
    <col min="15" max="15" width="7.7265625" style="44" customWidth="1"/>
    <col min="16" max="21" width="8.81640625" hidden="1" customWidth="1"/>
    <col min="22" max="22" width="3" hidden="1" customWidth="1"/>
    <col min="23" max="23" width="21.453125" customWidth="1"/>
    <col min="24" max="24" width="69" customWidth="1"/>
    <col min="25" max="26" width="34.81640625" hidden="1" customWidth="1"/>
    <col min="27" max="37" width="9.1796875" hidden="1" customWidth="1"/>
    <col min="38" max="38" width="19.1796875" hidden="1" customWidth="1"/>
    <col min="39" max="39" width="2.1796875" hidden="1" customWidth="1"/>
    <col min="40" max="40" width="16.26953125" hidden="1" customWidth="1"/>
    <col min="41" max="41" width="2.1796875" hidden="1" customWidth="1"/>
    <col min="42" max="42" width="16.54296875" hidden="1" customWidth="1"/>
    <col min="43" max="43" width="17" hidden="1" customWidth="1"/>
    <col min="44" max="44" width="18.7265625" hidden="1" customWidth="1"/>
    <col min="45" max="45" width="2.1796875" hidden="1" customWidth="1"/>
    <col min="46" max="61" width="9.1796875" hidden="1" customWidth="1"/>
  </cols>
  <sheetData>
    <row r="1" spans="1:61" x14ac:dyDescent="0.35">
      <c r="H1" s="715" t="s">
        <v>4600</v>
      </c>
      <c r="I1" s="726" t="str">
        <f ca="1">IF(OR(AG3,AI3),"Errors on page, no Level reached","Current Chapter level: "&amp;AG1&amp;"                                            Total Points: "&amp;AG2)</f>
        <v>Current Chapter level: Silver                                            Total Points: 50</v>
      </c>
      <c r="J1" s="726"/>
      <c r="K1" s="726"/>
      <c r="L1" s="726"/>
      <c r="M1" s="716"/>
      <c r="N1" s="716"/>
      <c r="O1" s="716"/>
      <c r="P1" s="716"/>
      <c r="Q1" s="716"/>
      <c r="R1" s="716"/>
      <c r="S1" s="716"/>
      <c r="T1" s="716"/>
      <c r="U1" s="716"/>
      <c r="V1" s="716"/>
      <c r="W1" s="716"/>
      <c r="X1" s="593" t="s">
        <v>4563</v>
      </c>
      <c r="AF1" s="6" t="s">
        <v>811</v>
      </c>
      <c r="AG1" t="str">
        <f ca="1">IF(OR(AG3,AI3),"None",Ch7Level)</f>
        <v>Silver</v>
      </c>
    </row>
    <row r="2" spans="1:61" x14ac:dyDescent="0.35">
      <c r="H2" s="715"/>
      <c r="I2" s="727" t="str">
        <f ca="1">"Points away from:  Bronze: "&amp;MAX(Points!C17-Ch7Points,0)&amp;",  Silver: "&amp;IF(Points!N10&lt;2,"N/A",MAX(Points!D17-Ch7Points,0))&amp;",  Gold: "&amp;IF(Points!N10&lt;3,"N/A",MAX(Points!E17-Ch7Points,0))&amp;",  Emerald: "&amp;IF(Points!N10&lt;4,"N/A",MAX(Points!F17-Ch7Points,0))</f>
        <v>Points away from:  Bronze: 0,  Silver: 0,  Gold: 10,  Emerald: N/A</v>
      </c>
      <c r="J2" s="727"/>
      <c r="K2" s="727"/>
      <c r="L2" s="727"/>
      <c r="M2" s="716"/>
      <c r="N2" s="716"/>
      <c r="O2" s="716"/>
      <c r="P2" s="716"/>
      <c r="Q2" s="716"/>
      <c r="R2" s="716"/>
      <c r="S2" s="716"/>
      <c r="T2" s="716"/>
      <c r="U2" s="716"/>
      <c r="V2" s="716"/>
      <c r="W2" s="716"/>
      <c r="X2" s="593" t="s">
        <v>3728</v>
      </c>
      <c r="AF2" s="6" t="s">
        <v>812</v>
      </c>
      <c r="AG2">
        <f ca="1">INDIRECT(AF2)</f>
        <v>50</v>
      </c>
      <c r="AH2" t="s">
        <v>814</v>
      </c>
      <c r="AI2">
        <f ca="1">INDIRECT(AH2)</f>
        <v>10</v>
      </c>
    </row>
    <row r="3" spans="1:61" x14ac:dyDescent="0.35">
      <c r="H3" s="715"/>
      <c r="I3" s="727" t="str">
        <f ca="1">"Add'l pts earned above:  Bronze: "&amp; MAX(0,Ch7Points-Points!C17) &amp;",  Silver: " &amp; IF(Points!N10&lt;2,"N/A",MAX(0,Ch7Points-Points!D17)) &amp;",  Gold: " &amp; IF(Points!N10&lt;3,"N/A",MAX(0,Ch7Points-Points!E17)) &amp;",  Emerald: " &amp; IF(Points!N10&lt;4,"N/A",MAX(0,Ch7Points-Points!F17))</f>
        <v>Add'l pts earned above:  Bronze: 20,  Silver: 5,  Gold: 0,  Emerald: N/A</v>
      </c>
      <c r="J3" s="727"/>
      <c r="K3" s="727"/>
      <c r="L3" s="727"/>
      <c r="M3" s="716"/>
      <c r="N3" s="716"/>
      <c r="O3" s="716"/>
      <c r="P3" s="716"/>
      <c r="Q3" s="716"/>
      <c r="R3" s="716"/>
      <c r="S3" s="716"/>
      <c r="T3" s="716"/>
      <c r="U3" s="716"/>
      <c r="V3" s="716"/>
      <c r="W3" s="716"/>
      <c r="X3" s="593" t="s">
        <v>3727</v>
      </c>
      <c r="AF3" s="6" t="s">
        <v>813</v>
      </c>
      <c r="AG3" t="b">
        <f ca="1">OR(AE:AE)</f>
        <v>0</v>
      </c>
      <c r="AH3" s="6" t="s">
        <v>820</v>
      </c>
      <c r="AI3" t="b">
        <f ca="1">OR(AD:AD)</f>
        <v>0</v>
      </c>
    </row>
    <row r="4" spans="1:61" x14ac:dyDescent="0.35">
      <c r="H4" s="715"/>
      <c r="I4" s="730" t="str">
        <f ca="1">"Total Chapter Points needed for:  Bronze: "&amp;Points!C17&amp;",  Silver: "&amp;IF(Points!N10&lt;2,"N/A",Points!D17)&amp;",  Gold: "&amp;IF(Points!N10&lt;3,"N/A",Points!E17)&amp;",  Emerald: "&amp;IF(Points!N10&lt;4,"N/A",Points!F17)</f>
        <v>Total Chapter Points needed for:  Bronze: 30,  Silver: 45,  Gold: 60,  Emerald: N/A</v>
      </c>
      <c r="J4" s="731"/>
      <c r="K4" s="731"/>
      <c r="L4" s="732"/>
      <c r="M4" s="716"/>
      <c r="N4" s="716"/>
      <c r="O4" s="716"/>
      <c r="P4" s="716"/>
      <c r="Q4" s="716"/>
      <c r="R4" s="716"/>
      <c r="S4" s="716"/>
      <c r="T4" s="716"/>
      <c r="U4" s="716"/>
      <c r="V4" s="716"/>
      <c r="W4" s="716"/>
      <c r="X4" s="639" t="s">
        <v>4629</v>
      </c>
      <c r="AF4" s="6"/>
      <c r="AH4" s="6"/>
    </row>
    <row r="5" spans="1:61" x14ac:dyDescent="0.35">
      <c r="H5" s="715"/>
      <c r="I5" s="733" t="str">
        <f>"Revision Date:  "&amp;TEXT('Info &amp; Intro'!E7,"m/d/yyyy")</f>
        <v>Revision Date:  5/26/2023</v>
      </c>
      <c r="J5" s="734"/>
      <c r="K5" s="734"/>
      <c r="L5" s="735"/>
      <c r="M5" s="716"/>
      <c r="N5" s="716"/>
      <c r="O5" s="716"/>
      <c r="P5" s="716"/>
      <c r="Q5" s="716"/>
      <c r="R5" s="716"/>
      <c r="S5" s="716"/>
      <c r="T5" s="716"/>
      <c r="U5" s="716"/>
      <c r="V5" s="716"/>
      <c r="W5" s="716"/>
      <c r="X5" s="639"/>
      <c r="AF5" s="6"/>
      <c r="AH5" s="6"/>
    </row>
    <row r="6" spans="1:61" x14ac:dyDescent="0.35">
      <c r="H6" s="715"/>
      <c r="I6" s="702" t="s">
        <v>261</v>
      </c>
      <c r="J6" s="703"/>
      <c r="K6" s="704"/>
      <c r="L6" s="705" t="s">
        <v>1308</v>
      </c>
      <c r="M6" s="705" t="s">
        <v>262</v>
      </c>
      <c r="N6" s="705"/>
      <c r="O6" s="23" t="s">
        <v>336</v>
      </c>
      <c r="P6" s="705" t="s">
        <v>4626</v>
      </c>
      <c r="Q6" s="705" t="s">
        <v>327</v>
      </c>
      <c r="R6" s="705" t="s">
        <v>263</v>
      </c>
      <c r="S6" s="705" t="s">
        <v>264</v>
      </c>
      <c r="T6" s="705" t="s">
        <v>0</v>
      </c>
      <c r="U6" s="705" t="s">
        <v>4627</v>
      </c>
      <c r="V6" s="705"/>
      <c r="W6" s="705" t="s">
        <v>265</v>
      </c>
      <c r="X6" s="728" t="s">
        <v>1</v>
      </c>
      <c r="AC6" s="2" t="s">
        <v>325</v>
      </c>
      <c r="AD6" s="2" t="s">
        <v>0</v>
      </c>
      <c r="AE6" s="2" t="s">
        <v>324</v>
      </c>
    </row>
    <row r="7" spans="1:61" x14ac:dyDescent="0.35">
      <c r="H7" s="715"/>
      <c r="I7" s="702"/>
      <c r="J7" s="703"/>
      <c r="K7" s="704"/>
      <c r="L7" s="705"/>
      <c r="M7" s="705"/>
      <c r="N7" s="705"/>
      <c r="O7" s="23" t="s">
        <v>337</v>
      </c>
      <c r="P7" s="705"/>
      <c r="Q7" s="705"/>
      <c r="R7" s="705"/>
      <c r="S7" s="705"/>
      <c r="T7" s="705"/>
      <c r="U7" s="705"/>
      <c r="V7" s="705"/>
      <c r="W7" s="705"/>
      <c r="X7" s="729"/>
      <c r="AC7" s="2" t="s">
        <v>325</v>
      </c>
      <c r="AD7" s="2" t="s">
        <v>0</v>
      </c>
      <c r="AE7" s="2" t="s">
        <v>324</v>
      </c>
    </row>
    <row r="8" spans="1:61" hidden="1" x14ac:dyDescent="0.35">
      <c r="I8" s="548"/>
      <c r="J8" s="548"/>
      <c r="K8" s="548"/>
      <c r="L8" s="22"/>
      <c r="M8" s="549"/>
      <c r="N8" s="22"/>
      <c r="O8" s="23"/>
      <c r="P8" s="22"/>
      <c r="Q8" s="22"/>
      <c r="R8" s="22"/>
      <c r="S8" s="22"/>
      <c r="T8" s="22"/>
      <c r="U8" s="22"/>
      <c r="V8" s="22"/>
      <c r="W8" s="22"/>
      <c r="X8" s="548"/>
      <c r="AC8" s="2"/>
      <c r="AD8" s="2"/>
      <c r="AE8" s="2"/>
    </row>
    <row r="9" spans="1:61" ht="18.5" x14ac:dyDescent="0.45">
      <c r="A9" s="12" t="s">
        <v>260</v>
      </c>
      <c r="B9" s="12" t="s">
        <v>260</v>
      </c>
      <c r="C9" s="12" t="s">
        <v>260</v>
      </c>
      <c r="D9" s="12" t="s">
        <v>260</v>
      </c>
      <c r="E9" s="12" t="s">
        <v>260</v>
      </c>
      <c r="F9" s="12" t="s">
        <v>260</v>
      </c>
      <c r="G9" s="12" t="s">
        <v>260</v>
      </c>
      <c r="H9" s="552"/>
      <c r="I9" s="14" t="s">
        <v>944</v>
      </c>
      <c r="J9" s="14"/>
      <c r="K9" s="14"/>
      <c r="L9" s="15"/>
      <c r="M9" s="16"/>
      <c r="N9" t="s">
        <v>260</v>
      </c>
      <c r="O9" s="16"/>
      <c r="P9" t="s">
        <v>260</v>
      </c>
      <c r="Q9" t="s">
        <v>260</v>
      </c>
      <c r="R9" t="s">
        <v>260</v>
      </c>
      <c r="S9" t="s">
        <v>260</v>
      </c>
      <c r="T9" t="s">
        <v>260</v>
      </c>
      <c r="U9" t="s">
        <v>260</v>
      </c>
      <c r="V9" t="s">
        <v>260</v>
      </c>
      <c r="W9" s="15"/>
      <c r="X9" s="15"/>
      <c r="Y9" s="21" t="s">
        <v>260</v>
      </c>
      <c r="Z9" s="21" t="s">
        <v>260</v>
      </c>
      <c r="AA9" s="21" t="s">
        <v>260</v>
      </c>
      <c r="AB9" s="21" t="s">
        <v>260</v>
      </c>
      <c r="AC9" s="21" t="s">
        <v>260</v>
      </c>
      <c r="AD9" s="21" t="s">
        <v>260</v>
      </c>
      <c r="AE9" s="21" t="s">
        <v>260</v>
      </c>
      <c r="AF9" s="21" t="s">
        <v>260</v>
      </c>
      <c r="AG9" s="21" t="s">
        <v>260</v>
      </c>
      <c r="AH9" s="21" t="s">
        <v>260</v>
      </c>
      <c r="AI9" s="21" t="s">
        <v>260</v>
      </c>
      <c r="AJ9" s="21" t="s">
        <v>260</v>
      </c>
      <c r="AK9" s="21" t="s">
        <v>260</v>
      </c>
      <c r="AL9" s="21" t="s">
        <v>260</v>
      </c>
      <c r="AM9" s="21" t="s">
        <v>260</v>
      </c>
      <c r="AN9" s="21" t="s">
        <v>260</v>
      </c>
      <c r="AO9" s="21" t="s">
        <v>260</v>
      </c>
      <c r="AP9" s="21" t="s">
        <v>260</v>
      </c>
      <c r="AQ9" s="21" t="s">
        <v>260</v>
      </c>
      <c r="AR9" s="21" t="s">
        <v>260</v>
      </c>
      <c r="AS9" s="21" t="s">
        <v>260</v>
      </c>
      <c r="AT9" s="21" t="s">
        <v>260</v>
      </c>
      <c r="AU9" s="21" t="s">
        <v>260</v>
      </c>
      <c r="AV9" s="21" t="s">
        <v>260</v>
      </c>
      <c r="AW9" s="21" t="s">
        <v>260</v>
      </c>
      <c r="AX9" s="21" t="s">
        <v>260</v>
      </c>
      <c r="AY9" s="21" t="s">
        <v>260</v>
      </c>
      <c r="AZ9" s="21" t="s">
        <v>260</v>
      </c>
      <c r="BA9" s="21" t="s">
        <v>260</v>
      </c>
      <c r="BB9" s="21" t="s">
        <v>260</v>
      </c>
      <c r="BC9" s="21" t="s">
        <v>260</v>
      </c>
      <c r="BD9" s="21" t="s">
        <v>260</v>
      </c>
      <c r="BE9" s="21" t="s">
        <v>260</v>
      </c>
      <c r="BF9" s="21" t="s">
        <v>260</v>
      </c>
      <c r="BG9" s="21" t="s">
        <v>260</v>
      </c>
      <c r="BH9" s="21" t="s">
        <v>260</v>
      </c>
      <c r="BI9" s="21" t="s">
        <v>260</v>
      </c>
    </row>
    <row r="10" spans="1:61" x14ac:dyDescent="0.35">
      <c r="B10" s="452" t="s">
        <v>4578</v>
      </c>
      <c r="C10" s="53"/>
      <c r="D10" s="13"/>
      <c r="E10" s="13"/>
      <c r="F10" s="13"/>
      <c r="G10" s="13"/>
      <c r="H10" s="550"/>
      <c r="I10" s="135">
        <v>701.1</v>
      </c>
      <c r="J10" s="378"/>
      <c r="K10" s="320"/>
      <c r="L10" s="753" t="s">
        <v>945</v>
      </c>
      <c r="M10" s="317"/>
      <c r="N10" s="138"/>
      <c r="O10" s="586"/>
      <c r="P10" s="138"/>
      <c r="Q10" s="138"/>
      <c r="R10" s="138"/>
      <c r="S10" s="138"/>
      <c r="T10" s="138"/>
      <c r="U10" s="138"/>
      <c r="V10" s="138"/>
    </row>
    <row r="11" spans="1:61" x14ac:dyDescent="0.35">
      <c r="B11" s="452" t="s">
        <v>4578</v>
      </c>
      <c r="C11" s="53"/>
      <c r="D11" s="13"/>
      <c r="E11" s="13"/>
      <c r="F11" s="13"/>
      <c r="G11" s="13"/>
      <c r="H11" s="550"/>
      <c r="I11" s="32"/>
      <c r="J11" s="175"/>
      <c r="K11" s="104"/>
      <c r="L11" s="706"/>
      <c r="M11" s="43"/>
      <c r="W11" t="s">
        <v>1303</v>
      </c>
      <c r="AX11" s="6" t="str">
        <f>'Overview (Design)'!A10</f>
        <v>Builder Name:</v>
      </c>
      <c r="AY11" t="str">
        <f>'Overview (Design)'!G10</f>
        <v>ABC Builder</v>
      </c>
    </row>
    <row r="12" spans="1:61" x14ac:dyDescent="0.35">
      <c r="B12" s="452" t="s">
        <v>4578</v>
      </c>
      <c r="C12" s="53"/>
      <c r="D12" s="13"/>
      <c r="E12" s="13"/>
      <c r="F12" s="13"/>
      <c r="G12" s="13"/>
      <c r="H12" s="550"/>
      <c r="I12" s="32"/>
      <c r="J12" s="175"/>
      <c r="K12" s="104"/>
      <c r="L12" s="706"/>
      <c r="M12" s="43"/>
      <c r="P12" t="b">
        <v>1</v>
      </c>
      <c r="Q12" t="b">
        <v>0</v>
      </c>
      <c r="R12" t="b">
        <v>1</v>
      </c>
      <c r="S12" t="b">
        <v>1</v>
      </c>
      <c r="T12" t="b">
        <f>AND(NOT(S12),LEN(W12)&gt;0)</f>
        <v>0</v>
      </c>
      <c r="U12" t="str">
        <f>SUBSTITUTE(SUBSTITUTE(SUBSTITUTE("dd"&amp;B12&amp;C12&amp;D12&amp;E12&amp;F12,".","_"),"(","_"),")","")</f>
        <v>dd701_1</v>
      </c>
      <c r="W12" s="9" t="s">
        <v>3190</v>
      </c>
      <c r="AC12" t="b">
        <f>OR(AD12:AE12)</f>
        <v>0</v>
      </c>
      <c r="AD12" t="b">
        <f>T12</f>
        <v>0</v>
      </c>
      <c r="AE12" t="b">
        <f>AND(R12,ISBLANK(W12))</f>
        <v>0</v>
      </c>
      <c r="AP12" t="str">
        <f>SUBSTITUTE(SUBSTITUTE(SUBSTITUTE("dch"&amp;$B12&amp;$C12&amp;$D12&amp;$E12&amp;$F12,".","_"),"(","_"),")","")</f>
        <v>dch701_1</v>
      </c>
      <c r="AQ12" t="str">
        <f>W12</f>
        <v>Prescriptive Path</v>
      </c>
      <c r="AX12" s="6" t="str">
        <f>'Overview (Design)'!A11</f>
        <v>Physical Address of Home:</v>
      </c>
      <c r="AY12" t="str">
        <f>'Overview (Design)'!G11</f>
        <v>123 Example Drive</v>
      </c>
    </row>
    <row r="13" spans="1:61" x14ac:dyDescent="0.35">
      <c r="B13" s="452" t="s">
        <v>4578</v>
      </c>
      <c r="C13" s="53"/>
      <c r="D13" s="13"/>
      <c r="E13" s="13"/>
      <c r="F13" s="13"/>
      <c r="G13" s="13"/>
      <c r="H13" s="550"/>
      <c r="I13" s="32"/>
      <c r="J13" s="175"/>
      <c r="K13" s="104"/>
      <c r="L13" s="706"/>
      <c r="M13" s="43"/>
      <c r="R13" s="1" t="s">
        <v>3596</v>
      </c>
      <c r="S13" s="1">
        <f ca="1">IFERROR(MATCH(W12,INDIRECT(U12),0),0)</f>
        <v>2</v>
      </c>
      <c r="W13" t="s">
        <v>4771</v>
      </c>
      <c r="X13" s="119"/>
      <c r="AX13" s="6" t="str">
        <f>'Overview (Design)'!A12</f>
        <v>Community/Lot #:</v>
      </c>
      <c r="AY13" t="str">
        <f>'Overview (Design)'!G12</f>
        <v>Lot 1A</v>
      </c>
    </row>
    <row r="14" spans="1:61" x14ac:dyDescent="0.35">
      <c r="A14"/>
      <c r="B14" s="452" t="s">
        <v>4578</v>
      </c>
      <c r="C14" s="53" t="s">
        <v>4769</v>
      </c>
      <c r="D14" s="13"/>
      <c r="E14" s="13"/>
      <c r="F14" s="13"/>
      <c r="G14" s="13"/>
      <c r="H14" s="550"/>
      <c r="I14" s="32"/>
      <c r="J14" s="175"/>
      <c r="K14" s="104"/>
      <c r="L14" s="714" t="s">
        <v>4780</v>
      </c>
      <c r="M14" s="43"/>
      <c r="P14" t="b">
        <v>1</v>
      </c>
      <c r="Q14" t="b">
        <v>0</v>
      </c>
      <c r="R14" t="b">
        <f ca="1">S14</f>
        <v>0</v>
      </c>
      <c r="S14" t="b">
        <f ca="1">OR(S13=1,S13=3,S13=4)</f>
        <v>0</v>
      </c>
      <c r="T14" t="b">
        <f ca="1">AND(NOT(S14),LEN(W14)&gt;0)</f>
        <v>0</v>
      </c>
      <c r="U14" t="str">
        <f>SUBSTITUTE(SUBSTITUTE(SUBSTITUTE("dd"&amp;B14&amp;C14&amp;D14&amp;E14&amp;F14,".","_"),"(","_"),")","")</f>
        <v>dd701_1_</v>
      </c>
      <c r="W14" s="9"/>
      <c r="X14" s="688"/>
      <c r="AC14" t="b">
        <f ca="1">OR(AD14:AE14)</f>
        <v>0</v>
      </c>
      <c r="AD14" t="b">
        <f ca="1">T14</f>
        <v>0</v>
      </c>
      <c r="AE14" t="b">
        <f ca="1">AND(R14,OR(LEN(W14)=0,LEN(X14)=0))</f>
        <v>0</v>
      </c>
      <c r="AP14" t="str">
        <f>SUBSTITUTE(SUBSTITUTE(SUBSTITUTE("dch"&amp;$B14&amp;$C14&amp;$D14&amp;$E14&amp;$F14,".","_"),"(","_"),")","")</f>
        <v>dch701_1_</v>
      </c>
      <c r="AQ14">
        <f>W14</f>
        <v>0</v>
      </c>
      <c r="AR14" t="str">
        <f>SUBSTITUTE(SUBSTITUTE(SUBSTITUTE("dnt"&amp;$B14&amp;$C14&amp;$D14&amp;$E14&amp;$F14,".","_"),"(","_"),")","")</f>
        <v>dnt701_1_</v>
      </c>
      <c r="AS14">
        <f>X14</f>
        <v>0</v>
      </c>
      <c r="AX14" s="6" t="str">
        <f>'Overview (Design)'!A13</f>
        <v>City:</v>
      </c>
      <c r="AY14" t="str">
        <f>'Overview (Design)'!G13</f>
        <v>Durham</v>
      </c>
    </row>
    <row r="15" spans="1:61" x14ac:dyDescent="0.35">
      <c r="A15"/>
      <c r="B15" s="452" t="s">
        <v>4578</v>
      </c>
      <c r="C15" s="53"/>
      <c r="D15" s="13"/>
      <c r="E15" s="13"/>
      <c r="F15" s="13"/>
      <c r="G15" s="13"/>
      <c r="H15" s="550"/>
      <c r="I15" s="32"/>
      <c r="J15" s="175"/>
      <c r="K15" s="104"/>
      <c r="L15" s="714"/>
      <c r="M15" s="43"/>
      <c r="X15" s="688"/>
      <c r="AX15" s="6"/>
    </row>
    <row r="16" spans="1:61" x14ac:dyDescent="0.35">
      <c r="A16"/>
      <c r="B16" s="452" t="s">
        <v>4578</v>
      </c>
      <c r="C16" s="53"/>
      <c r="D16" s="13"/>
      <c r="E16" s="13"/>
      <c r="F16" s="13"/>
      <c r="G16" s="13"/>
      <c r="H16" s="550"/>
      <c r="I16" s="161"/>
      <c r="J16" s="359"/>
      <c r="K16" s="214"/>
      <c r="L16" s="714"/>
      <c r="M16" s="198"/>
      <c r="N16" s="119"/>
      <c r="O16" s="191"/>
      <c r="P16" s="119"/>
      <c r="Q16" s="119"/>
      <c r="R16" s="119"/>
      <c r="S16" s="119"/>
      <c r="T16" s="119"/>
      <c r="U16" s="119"/>
      <c r="V16" s="119"/>
      <c r="X16" s="688"/>
      <c r="AX16" s="6" t="str">
        <f>'Overview (Design)'!A14</f>
        <v>State:</v>
      </c>
      <c r="AY16" t="str">
        <f>'Overview (Design)'!G14</f>
        <v>North Carolina</v>
      </c>
      <c r="BC16" t="str">
        <f>'Overview (Design)'!K14</f>
        <v>State</v>
      </c>
      <c r="BD16" t="str">
        <f>'Overview (Design)'!L14</f>
        <v>County</v>
      </c>
      <c r="BE16" t="str">
        <f>'Overview (Design)'!M14</f>
        <v>Radon</v>
      </c>
      <c r="BF16" t="str">
        <f>'Overview (Design)'!N14</f>
        <v>Climate</v>
      </c>
      <c r="BG16" t="str">
        <f>'Overview (Design)'!O14</f>
        <v>Moist</v>
      </c>
      <c r="BH16" t="str">
        <f>'Overview (Design)'!P14</f>
        <v>WarmHumid</v>
      </c>
      <c r="BI16" t="str">
        <f>'Overview (Design)'!Q14</f>
        <v>Tropical</v>
      </c>
    </row>
    <row r="17" spans="2:61" x14ac:dyDescent="0.35">
      <c r="B17" s="452" t="s">
        <v>946</v>
      </c>
      <c r="C17" s="53"/>
      <c r="D17" s="13"/>
      <c r="E17" s="13"/>
      <c r="F17" s="13"/>
      <c r="G17" s="13"/>
      <c r="H17" s="550"/>
      <c r="I17" s="135" t="s">
        <v>946</v>
      </c>
      <c r="J17" s="320"/>
      <c r="K17" s="320"/>
      <c r="L17" s="753" t="s">
        <v>947</v>
      </c>
      <c r="M17" s="775" t="s">
        <v>3598</v>
      </c>
      <c r="N17" s="136"/>
      <c r="O17" s="189"/>
      <c r="P17" s="138" t="b">
        <v>0</v>
      </c>
      <c r="Q17" s="138" t="b">
        <v>1</v>
      </c>
      <c r="R17" s="360" t="s">
        <v>3597</v>
      </c>
      <c r="S17" s="360">
        <f ca="1">COUNTIF(O470:O523,"&gt;0")+MIN(1,O531+O534)+COUNTIF(O537:O570,"&gt;0")</f>
        <v>4</v>
      </c>
      <c r="T17" s="138"/>
      <c r="U17" s="138"/>
      <c r="V17" s="138"/>
      <c r="W17" s="138"/>
      <c r="X17" s="688"/>
      <c r="AC17" t="b">
        <f ca="1">OR(AD17:AE17)</f>
        <v>0</v>
      </c>
      <c r="AD17" t="b">
        <v>0</v>
      </c>
      <c r="AE17" t="b">
        <f ca="1">IF(AND(OR(S13=1,S13=2,S13=3),S17&lt;2),TRUE,FALSE)</f>
        <v>0</v>
      </c>
      <c r="AR17" t="str">
        <f>SUBSTITUTE(SUBSTITUTE(SUBSTITUTE("dnt"&amp;$B17&amp;$C17&amp;$D17&amp;$E17&amp;$F17,".","_"),"(","_"),")","")</f>
        <v>dnt701_1_1</v>
      </c>
      <c r="AS17">
        <f>X17</f>
        <v>0</v>
      </c>
      <c r="AX17" s="6" t="str">
        <f>'Overview (Design)'!A15</f>
        <v>County:</v>
      </c>
      <c r="AY17" t="str">
        <f>'Overview (Design)'!G15</f>
        <v xml:space="preserve">Chatham  </v>
      </c>
      <c r="BC17" t="str">
        <f>'Overview (Design)'!K15</f>
        <v>North Carolina</v>
      </c>
      <c r="BD17" t="str">
        <f>'Overview (Design)'!L15</f>
        <v xml:space="preserve">Chatham  </v>
      </c>
      <c r="BE17">
        <f>'Overview (Design)'!M15</f>
        <v>3</v>
      </c>
      <c r="BF17">
        <f>'Overview (Design)'!N15</f>
        <v>4</v>
      </c>
      <c r="BG17" t="str">
        <f>'Overview (Design)'!O15</f>
        <v>Moist</v>
      </c>
      <c r="BH17" t="str">
        <f>'Overview (Design)'!P15</f>
        <v xml:space="preserve"> </v>
      </c>
      <c r="BI17" t="str">
        <f>'Overview (Design)'!Q15</f>
        <v xml:space="preserve"> </v>
      </c>
    </row>
    <row r="18" spans="2:61" x14ac:dyDescent="0.35">
      <c r="B18" s="452" t="s">
        <v>946</v>
      </c>
      <c r="C18" s="53"/>
      <c r="D18" s="13"/>
      <c r="E18" s="13"/>
      <c r="F18" s="13"/>
      <c r="G18" s="13"/>
      <c r="H18" s="550"/>
      <c r="I18" s="155"/>
      <c r="J18" s="214"/>
      <c r="K18" s="214"/>
      <c r="L18" s="739"/>
      <c r="M18" s="776"/>
      <c r="N18" s="4"/>
      <c r="O18" s="85"/>
      <c r="X18" s="688"/>
      <c r="AX18" s="6" t="str">
        <f>'Overview (Design)'!A16</f>
        <v>Zip:</v>
      </c>
      <c r="AY18" t="str">
        <f>'Overview (Design)'!G16</f>
        <v>27703</v>
      </c>
    </row>
    <row r="19" spans="2:61" ht="15" customHeight="1" x14ac:dyDescent="0.35">
      <c r="B19" s="452" t="s">
        <v>948</v>
      </c>
      <c r="C19" s="53"/>
      <c r="D19" s="13"/>
      <c r="E19" s="13"/>
      <c r="F19" s="13"/>
      <c r="G19" s="13"/>
      <c r="H19" s="550"/>
      <c r="I19" s="135" t="s">
        <v>948</v>
      </c>
      <c r="J19" s="320"/>
      <c r="K19" s="320"/>
      <c r="L19" s="753" t="s">
        <v>949</v>
      </c>
      <c r="M19" s="776"/>
      <c r="N19" s="4"/>
      <c r="O19" s="85"/>
      <c r="X19" s="688"/>
      <c r="AR19" t="str">
        <f>SUBSTITUTE(SUBSTITUTE(SUBSTITUTE("dnt"&amp;$B19&amp;$C19&amp;$D19&amp;$E19&amp;$F19,".","_"),"(","_"),")","")</f>
        <v>dnt701_1_2</v>
      </c>
      <c r="AS19">
        <f>X19</f>
        <v>0</v>
      </c>
      <c r="AX19" s="6"/>
    </row>
    <row r="20" spans="2:61" x14ac:dyDescent="0.35">
      <c r="B20" s="452" t="s">
        <v>948</v>
      </c>
      <c r="C20" s="53"/>
      <c r="D20" s="13"/>
      <c r="E20" s="13"/>
      <c r="F20" s="13"/>
      <c r="G20" s="13"/>
      <c r="H20" s="550"/>
      <c r="I20" s="4"/>
      <c r="J20" s="104"/>
      <c r="K20" s="104"/>
      <c r="L20" s="706"/>
      <c r="M20" s="776"/>
      <c r="N20" s="4"/>
      <c r="O20" s="85"/>
      <c r="X20" s="688"/>
      <c r="AX20" s="6" t="str">
        <f>'Overview (Design)'!A18</f>
        <v>Single-Family or Multifamily:</v>
      </c>
      <c r="AY20" t="str">
        <f>'Overview (Design)'!G18</f>
        <v>Single-Family</v>
      </c>
    </row>
    <row r="21" spans="2:61" x14ac:dyDescent="0.35">
      <c r="B21" s="452" t="s">
        <v>948</v>
      </c>
      <c r="C21" s="53"/>
      <c r="D21" s="13"/>
      <c r="E21" s="13"/>
      <c r="F21" s="13"/>
      <c r="G21" s="13"/>
      <c r="H21" s="550"/>
      <c r="I21" s="155"/>
      <c r="J21" s="214"/>
      <c r="K21" s="214"/>
      <c r="L21" s="739"/>
      <c r="M21" s="776"/>
      <c r="N21" s="4"/>
      <c r="O21" s="85"/>
      <c r="X21" s="688"/>
      <c r="AX21" s="6" t="str">
        <f>'Overview (Design)'!A19</f>
        <v>Number of Units:</v>
      </c>
      <c r="AY21">
        <f>'Overview (Design)'!G19</f>
        <v>0</v>
      </c>
    </row>
    <row r="22" spans="2:61" ht="15" customHeight="1" x14ac:dyDescent="0.35">
      <c r="B22" s="452" t="s">
        <v>950</v>
      </c>
      <c r="C22" s="53"/>
      <c r="D22" s="13"/>
      <c r="E22" s="13"/>
      <c r="F22" s="13"/>
      <c r="G22" s="13"/>
      <c r="H22" s="550"/>
      <c r="I22" s="32" t="s">
        <v>950</v>
      </c>
      <c r="J22" s="104"/>
      <c r="K22" s="104"/>
      <c r="L22" s="706" t="s">
        <v>951</v>
      </c>
      <c r="M22" s="776"/>
      <c r="O22" s="85"/>
      <c r="X22" s="688"/>
      <c r="AR22" t="str">
        <f>SUBSTITUTE(SUBSTITUTE(SUBSTITUTE("dnt"&amp;$B22&amp;$C22&amp;$D22&amp;$E22&amp;$F22,".","_"),"(","_"),")","")</f>
        <v>dnt701_1_3</v>
      </c>
      <c r="AS22">
        <f>X22</f>
        <v>0</v>
      </c>
      <c r="AX22" s="6" t="str">
        <f>'Overview (Design)'!A20</f>
        <v>Project Name:</v>
      </c>
      <c r="AY22">
        <f>'Overview (Design)'!G20</f>
        <v>0</v>
      </c>
    </row>
    <row r="23" spans="2:61" x14ac:dyDescent="0.35">
      <c r="B23" s="452" t="s">
        <v>950</v>
      </c>
      <c r="C23" s="53"/>
      <c r="D23" s="13"/>
      <c r="E23" s="13"/>
      <c r="F23" s="13"/>
      <c r="G23" s="13"/>
      <c r="H23" s="550"/>
      <c r="I23" s="4"/>
      <c r="J23" s="104"/>
      <c r="K23" s="104"/>
      <c r="L23" s="706"/>
      <c r="M23" s="776"/>
      <c r="O23" s="85"/>
      <c r="X23" s="688"/>
      <c r="AX23" s="6"/>
    </row>
    <row r="24" spans="2:61" x14ac:dyDescent="0.35">
      <c r="B24" s="452" t="s">
        <v>950</v>
      </c>
      <c r="C24" s="53"/>
      <c r="D24" s="13"/>
      <c r="E24" s="13"/>
      <c r="F24" s="13"/>
      <c r="G24" s="13"/>
      <c r="H24" s="550"/>
      <c r="I24" s="155"/>
      <c r="J24" s="214"/>
      <c r="K24" s="214"/>
      <c r="L24" s="739"/>
      <c r="M24" s="777"/>
      <c r="N24" s="155"/>
      <c r="O24" s="342"/>
      <c r="P24" s="119"/>
      <c r="Q24" s="119"/>
      <c r="R24" s="119"/>
      <c r="S24" s="119"/>
      <c r="T24" s="119"/>
      <c r="U24" s="119"/>
      <c r="V24" s="119"/>
      <c r="W24" s="119"/>
      <c r="X24" s="688"/>
      <c r="AX24" s="6" t="str">
        <f>'Overview (Design)'!A22</f>
        <v>Above grade plane finished floor area:</v>
      </c>
      <c r="AY24">
        <f>'Overview (Design)'!G22</f>
        <v>2644</v>
      </c>
    </row>
    <row r="25" spans="2:61" x14ac:dyDescent="0.35">
      <c r="B25" s="452" t="s">
        <v>952</v>
      </c>
      <c r="C25" s="53"/>
      <c r="D25" s="13"/>
      <c r="E25" s="13"/>
      <c r="F25" s="13"/>
      <c r="G25" s="13"/>
      <c r="H25" s="550"/>
      <c r="I25" s="34" t="s">
        <v>952</v>
      </c>
      <c r="J25" s="104"/>
      <c r="K25" s="104"/>
      <c r="L25" s="706" t="s">
        <v>953</v>
      </c>
      <c r="M25" s="43"/>
      <c r="N25" s="4"/>
      <c r="O25" s="696">
        <f ca="1">IFERROR(MATCH(W26,INDIRECT(U26),0)*15+15,0)*S26</f>
        <v>0</v>
      </c>
      <c r="W25" t="s">
        <v>3196</v>
      </c>
      <c r="X25" s="700"/>
      <c r="AN25" t="str">
        <f>SUBSTITUTE(SUBSTITUTE(SUBSTITUTE("dpc"&amp;$B25&amp;$C25&amp;$D25&amp;$E25&amp;$F25,".","_"),"(","_"),")","")</f>
        <v>dpc701_1_4</v>
      </c>
      <c r="AO25">
        <f ca="1">O25</f>
        <v>0</v>
      </c>
      <c r="AR25" t="str">
        <f>SUBSTITUTE(SUBSTITUTE(SUBSTITUTE("dnt"&amp;$B25&amp;$C25&amp;$D25&amp;$E25&amp;$F25,".","_"),"(","_"),")","")</f>
        <v>dnt701_1_4</v>
      </c>
      <c r="AS25">
        <f>X25</f>
        <v>0</v>
      </c>
      <c r="AX25" s="6" t="str">
        <f>'Overview (Design)'!A23</f>
        <v>Total conditioned floor area:</v>
      </c>
      <c r="AY25">
        <f>'Overview (Design)'!G23</f>
        <v>2644</v>
      </c>
    </row>
    <row r="26" spans="2:61" x14ac:dyDescent="0.35">
      <c r="B26" s="452" t="s">
        <v>952</v>
      </c>
      <c r="C26" s="53"/>
      <c r="D26" s="13"/>
      <c r="E26" s="13"/>
      <c r="F26" s="13"/>
      <c r="G26" s="13"/>
      <c r="H26" s="550"/>
      <c r="I26" s="4"/>
      <c r="J26" s="104"/>
      <c r="K26" s="104"/>
      <c r="L26" s="706"/>
      <c r="M26" s="43"/>
      <c r="N26" s="4"/>
      <c r="O26" s="696"/>
      <c r="P26" t="b">
        <v>0</v>
      </c>
      <c r="Q26" t="b">
        <v>1</v>
      </c>
      <c r="R26" t="b">
        <f ca="1">S26</f>
        <v>0</v>
      </c>
      <c r="S26" t="b">
        <f ca="1">IFERROR(S13=4,FALSE)</f>
        <v>0</v>
      </c>
      <c r="T26" t="b">
        <f ca="1">AND(NOT(S26),LEN(W26)&gt;0)</f>
        <v>0</v>
      </c>
      <c r="U26" t="str">
        <f>SUBSTITUTE(SUBSTITUTE(SUBSTITUTE("dd"&amp;B25&amp;C25&amp;D25&amp;E25&amp;F25,".","_"),"(","_"),")","")</f>
        <v>dd701_1_4</v>
      </c>
      <c r="W26" s="9"/>
      <c r="X26" s="688"/>
      <c r="AC26" t="b">
        <f ca="1">OR(AD26:AE26)</f>
        <v>0</v>
      </c>
      <c r="AD26" t="b">
        <f ca="1">T26</f>
        <v>0</v>
      </c>
      <c r="AE26" t="b">
        <f ca="1">AND(R26,ISBLANK(W26))</f>
        <v>0</v>
      </c>
      <c r="AP26" t="str">
        <f>SUBSTITUTE(SUBSTITUTE(SUBSTITUTE("dch"&amp;$B26&amp;$C26&amp;$D26&amp;$E26&amp;$F26,".","_"),"(","_"),")","")</f>
        <v>dch701_1_4</v>
      </c>
      <c r="AQ26">
        <f>W26</f>
        <v>0</v>
      </c>
      <c r="AX26" s="6" t="str">
        <f>'Overview (Design)'!A24</f>
        <v>Stories above grade:</v>
      </c>
      <c r="AY26">
        <f>'Overview (Design)'!G24</f>
        <v>2</v>
      </c>
    </row>
    <row r="27" spans="2:61" x14ac:dyDescent="0.35">
      <c r="B27" s="452" t="s">
        <v>952</v>
      </c>
      <c r="C27" s="53"/>
      <c r="D27" s="13"/>
      <c r="E27" s="13"/>
      <c r="F27" s="13"/>
      <c r="G27" s="13"/>
      <c r="H27" s="550"/>
      <c r="I27" s="4"/>
      <c r="J27" s="104"/>
      <c r="K27" s="104"/>
      <c r="L27" s="706"/>
      <c r="M27" s="43"/>
      <c r="N27" s="4"/>
      <c r="O27" s="696"/>
      <c r="X27" s="688"/>
    </row>
    <row r="28" spans="2:61" x14ac:dyDescent="0.35">
      <c r="B28" s="452" t="s">
        <v>952</v>
      </c>
      <c r="C28" s="53"/>
      <c r="D28" s="13"/>
      <c r="E28" s="13"/>
      <c r="F28" s="13"/>
      <c r="G28" s="13"/>
      <c r="H28" s="550"/>
      <c r="I28" s="4"/>
      <c r="J28" s="104"/>
      <c r="K28" s="104"/>
      <c r="L28" s="706"/>
      <c r="M28" s="43"/>
      <c r="N28" s="4"/>
      <c r="O28" s="696"/>
      <c r="X28" s="688"/>
      <c r="AX28" s="6" t="str">
        <f>'Overview (Design)'!A26</f>
        <v xml:space="preserve">Project Description (optional): </v>
      </c>
      <c r="AY28">
        <f>'Overview (Design)'!G26</f>
        <v>0</v>
      </c>
    </row>
    <row r="29" spans="2:61" x14ac:dyDescent="0.35">
      <c r="B29" s="452" t="s">
        <v>952</v>
      </c>
      <c r="C29" s="53"/>
      <c r="D29" s="13"/>
      <c r="E29" s="13"/>
      <c r="F29" s="13"/>
      <c r="G29" s="13"/>
      <c r="H29" s="550"/>
      <c r="I29" s="4"/>
      <c r="J29" s="104"/>
      <c r="K29" s="104"/>
      <c r="L29" s="706"/>
      <c r="M29" s="43"/>
      <c r="N29" s="4"/>
      <c r="O29" s="696"/>
      <c r="X29" s="688"/>
      <c r="AX29" s="6"/>
    </row>
    <row r="30" spans="2:61" x14ac:dyDescent="0.35">
      <c r="B30" s="452" t="s">
        <v>952</v>
      </c>
      <c r="C30" s="53"/>
      <c r="D30" s="13"/>
      <c r="E30" s="13"/>
      <c r="F30" s="13"/>
      <c r="G30" s="13"/>
      <c r="H30" s="550"/>
      <c r="I30" s="4"/>
      <c r="J30" s="104"/>
      <c r="K30" s="104"/>
      <c r="L30" s="706"/>
      <c r="M30" s="43"/>
      <c r="N30" s="4"/>
      <c r="O30" s="696"/>
      <c r="X30" s="688"/>
      <c r="AX30" s="6" t="str">
        <f>'Overview (Design)'!A28</f>
        <v>HERS Index (if available):</v>
      </c>
      <c r="AY30">
        <f>'Overview (Design)'!G28</f>
        <v>0</v>
      </c>
    </row>
    <row r="31" spans="2:61" x14ac:dyDescent="0.35">
      <c r="B31" s="452" t="s">
        <v>952</v>
      </c>
      <c r="C31" s="53"/>
      <c r="D31" s="13"/>
      <c r="E31" s="13"/>
      <c r="F31" s="13"/>
      <c r="G31" s="13"/>
      <c r="H31" s="550"/>
      <c r="I31" s="4"/>
      <c r="J31" s="104"/>
      <c r="K31" s="104"/>
      <c r="L31" s="706"/>
      <c r="M31" s="43"/>
      <c r="N31" s="4"/>
      <c r="O31" s="696"/>
      <c r="X31" s="688"/>
      <c r="AX31" s="6" t="str">
        <f>'Overview (Design)'!A29</f>
        <v>Foundation Type:</v>
      </c>
      <c r="AY31" t="str">
        <f>'Overview (Design)'!G29</f>
        <v>Conditioned crawlspace</v>
      </c>
    </row>
    <row r="32" spans="2:61" ht="15" thickBot="1" x14ac:dyDescent="0.4">
      <c r="B32" s="452" t="s">
        <v>952</v>
      </c>
      <c r="C32" s="53"/>
      <c r="D32" s="13"/>
      <c r="E32" s="13"/>
      <c r="F32" s="13"/>
      <c r="G32" s="13"/>
      <c r="H32" s="550"/>
      <c r="I32" s="183"/>
      <c r="J32" s="223"/>
      <c r="K32" s="223"/>
      <c r="L32" s="710"/>
      <c r="M32" s="270"/>
      <c r="N32" s="183"/>
      <c r="O32" s="695"/>
      <c r="P32" s="58"/>
      <c r="Q32" s="58"/>
      <c r="R32" s="58"/>
      <c r="S32" s="58"/>
      <c r="T32" s="58"/>
      <c r="U32" s="58"/>
      <c r="V32" s="58"/>
      <c r="W32" s="58"/>
      <c r="X32" s="689"/>
      <c r="AX32" s="6"/>
    </row>
    <row r="33" spans="2:51" ht="15" thickTop="1" x14ac:dyDescent="0.35">
      <c r="B33" s="452">
        <v>701.2</v>
      </c>
      <c r="C33" s="53"/>
      <c r="D33" s="13"/>
      <c r="E33" s="13"/>
      <c r="F33" s="13"/>
      <c r="G33" s="13"/>
      <c r="H33" s="550"/>
      <c r="I33" s="123">
        <v>701.2</v>
      </c>
      <c r="J33" s="349"/>
      <c r="K33" s="349"/>
      <c r="L33" s="711" t="s">
        <v>954</v>
      </c>
      <c r="M33" s="773" t="s">
        <v>3193</v>
      </c>
      <c r="N33" s="124"/>
      <c r="O33" s="341"/>
      <c r="P33" s="62"/>
      <c r="Q33" s="62"/>
      <c r="R33" s="62"/>
      <c r="S33" s="62"/>
      <c r="T33" s="62"/>
      <c r="U33" s="62"/>
      <c r="V33" s="62"/>
      <c r="W33" s="62"/>
      <c r="X33" s="62"/>
      <c r="AX33" s="6" t="str">
        <f>'Overview (Design)'!A31</f>
        <v>Type of Heating System (main system):</v>
      </c>
      <c r="AY33" t="str">
        <f>'Overview (Design)'!G31</f>
        <v>Furnace</v>
      </c>
    </row>
    <row r="34" spans="2:51" ht="15" thickBot="1" x14ac:dyDescent="0.4">
      <c r="B34" s="452">
        <v>701.2</v>
      </c>
      <c r="C34" s="53"/>
      <c r="D34" s="13"/>
      <c r="E34" s="13"/>
      <c r="F34" s="13"/>
      <c r="G34" s="13"/>
      <c r="H34" s="550"/>
      <c r="I34" s="183"/>
      <c r="J34" s="223"/>
      <c r="K34" s="223"/>
      <c r="L34" s="710"/>
      <c r="M34" s="774"/>
      <c r="N34" s="183"/>
      <c r="O34" s="184"/>
      <c r="P34" s="58"/>
      <c r="Q34" s="58"/>
      <c r="R34" s="58"/>
      <c r="S34" s="58"/>
      <c r="T34" s="58"/>
      <c r="U34" s="58"/>
      <c r="V34" s="58"/>
      <c r="W34" s="58"/>
      <c r="X34" s="58"/>
      <c r="AX34" s="6" t="str">
        <f>'Overview (Design)'!A32</f>
        <v>Type of Heating System (system 2):</v>
      </c>
      <c r="AY34">
        <f>'Overview (Design)'!G32</f>
        <v>0</v>
      </c>
    </row>
    <row r="35" spans="2:51" ht="15" thickTop="1" x14ac:dyDescent="0.35">
      <c r="B35" s="452">
        <v>701.3</v>
      </c>
      <c r="C35" s="53"/>
      <c r="D35" s="13"/>
      <c r="E35" s="13"/>
      <c r="F35" s="13"/>
      <c r="G35" s="13"/>
      <c r="H35" s="550"/>
      <c r="I35" s="123">
        <v>701.3</v>
      </c>
      <c r="J35" s="349"/>
      <c r="K35" s="349"/>
      <c r="L35" s="711" t="s">
        <v>955</v>
      </c>
      <c r="M35" s="199"/>
      <c r="N35" s="124"/>
      <c r="O35" s="341"/>
      <c r="P35" t="b">
        <v>0</v>
      </c>
      <c r="Q35" t="b">
        <v>1</v>
      </c>
      <c r="R35" s="62" t="b">
        <f ca="1">IF(S13=4,FALSE,TRUE)</f>
        <v>1</v>
      </c>
      <c r="S35" s="62" t="b">
        <f ca="1">IF(S13=4,FALSE,TRUE)</f>
        <v>1</v>
      </c>
      <c r="T35" s="62" t="b">
        <f ca="1">AND(NOT(S35),W35=TRUE)</f>
        <v>0</v>
      </c>
      <c r="U35" s="62"/>
      <c r="V35" s="62"/>
      <c r="W35" s="278" t="b">
        <v>1</v>
      </c>
      <c r="X35" s="687" t="s">
        <v>4817</v>
      </c>
      <c r="AC35" t="b">
        <f ca="1">OR(AD35:AE35)</f>
        <v>0</v>
      </c>
      <c r="AD35" t="b">
        <f ca="1">T35</f>
        <v>0</v>
      </c>
      <c r="AE35" t="b">
        <f ca="1">OR(AND(R35,NOT(W35)),AND(W35=TRUE,LEN(X35)=0))</f>
        <v>0</v>
      </c>
      <c r="AP35" t="str">
        <f>SUBSTITUTE(SUBSTITUTE(SUBSTITUTE("dch"&amp;$B35&amp;$C35&amp;$D35&amp;$E35&amp;$F35,".","_"),"(","_"),")","")</f>
        <v>dch701_3</v>
      </c>
      <c r="AQ35" t="b">
        <f>W35</f>
        <v>1</v>
      </c>
      <c r="AR35" t="str">
        <f>SUBSTITUTE(SUBSTITUTE(SUBSTITUTE("dnt"&amp;$B35&amp;$C35&amp;$D35&amp;$E35&amp;$F35,".","_"),"(","_"),")","")</f>
        <v>dnt701_3</v>
      </c>
      <c r="AS35" t="str">
        <f>X35</f>
        <v>NGBS Green Verifier</v>
      </c>
      <c r="AX35" s="6" t="str">
        <f>'Overview (Design)'!A33</f>
        <v>Type of Heating System (system 3):</v>
      </c>
      <c r="AY35">
        <f>'Overview (Design)'!G33</f>
        <v>0</v>
      </c>
    </row>
    <row r="36" spans="2:51" x14ac:dyDescent="0.35">
      <c r="B36" s="452">
        <v>701.3</v>
      </c>
      <c r="C36" s="53"/>
      <c r="D36" s="13"/>
      <c r="E36" s="13"/>
      <c r="F36" s="13"/>
      <c r="G36" s="13"/>
      <c r="H36" s="550"/>
      <c r="I36" s="4"/>
      <c r="J36" s="104"/>
      <c r="K36" s="104"/>
      <c r="L36" s="706"/>
      <c r="M36" s="43"/>
      <c r="N36" s="4"/>
      <c r="O36" s="85"/>
      <c r="X36" s="688"/>
      <c r="AX36" s="6" t="str">
        <f>'Overview (Design)'!A34</f>
        <v>Heating Fuel:</v>
      </c>
      <c r="AY36">
        <f>'Overview (Design)'!G34</f>
        <v>0</v>
      </c>
    </row>
    <row r="37" spans="2:51" ht="15" thickBot="1" x14ac:dyDescent="0.4">
      <c r="B37" s="452">
        <v>701.3</v>
      </c>
      <c r="C37" s="53"/>
      <c r="D37" s="13"/>
      <c r="E37" s="13"/>
      <c r="F37" s="13"/>
      <c r="G37" s="13"/>
      <c r="H37" s="550"/>
      <c r="I37" s="183"/>
      <c r="J37" s="223"/>
      <c r="K37" s="223"/>
      <c r="L37" s="122" t="s">
        <v>3599</v>
      </c>
      <c r="M37" s="270"/>
      <c r="N37" s="183"/>
      <c r="O37" s="184"/>
      <c r="P37" s="58"/>
      <c r="Q37" s="58"/>
      <c r="R37" s="58"/>
      <c r="S37" s="58"/>
      <c r="T37" s="58"/>
      <c r="U37" s="58"/>
      <c r="V37" s="58"/>
      <c r="W37" s="58"/>
      <c r="X37" s="689"/>
      <c r="AX37" s="6" t="str">
        <f>'Overview (Design)'!A35</f>
        <v>Heating Ducts:</v>
      </c>
      <c r="AY37" t="str">
        <f>'Overview (Design)'!G35</f>
        <v>Ducted</v>
      </c>
    </row>
    <row r="38" spans="2:51" ht="15" thickTop="1" x14ac:dyDescent="0.35">
      <c r="B38" s="452">
        <v>701.4</v>
      </c>
      <c r="C38" s="53"/>
      <c r="D38" s="13"/>
      <c r="E38" s="13"/>
      <c r="F38" s="13"/>
      <c r="G38" s="13"/>
      <c r="H38" s="550"/>
      <c r="I38" s="123">
        <v>701.4</v>
      </c>
      <c r="J38" s="349"/>
      <c r="K38" s="349"/>
      <c r="L38" s="222" t="s">
        <v>956</v>
      </c>
      <c r="M38" s="199"/>
      <c r="N38" s="124"/>
      <c r="O38" s="341"/>
      <c r="P38" s="62"/>
      <c r="Q38" s="62"/>
      <c r="R38" s="62"/>
      <c r="S38" s="62"/>
      <c r="T38" s="62"/>
      <c r="U38" s="62"/>
      <c r="V38" s="62"/>
      <c r="W38" s="62"/>
      <c r="X38" s="62"/>
      <c r="AX38" s="6" t="str">
        <f>'Overview (Design)'!A36</f>
        <v>Type of Cooling System (main system):</v>
      </c>
      <c r="AY38" t="str">
        <f>'Overview (Design)'!G36</f>
        <v>Electric Air Conditiner</v>
      </c>
    </row>
    <row r="39" spans="2:51" x14ac:dyDescent="0.35">
      <c r="B39" s="452" t="s">
        <v>957</v>
      </c>
      <c r="C39" s="53"/>
      <c r="D39" s="13"/>
      <c r="E39" s="13"/>
      <c r="F39" s="13"/>
      <c r="G39" s="13"/>
      <c r="H39" s="550"/>
      <c r="I39" s="161" t="s">
        <v>957</v>
      </c>
      <c r="J39" s="214"/>
      <c r="K39" s="214"/>
      <c r="L39" s="361" t="s">
        <v>958</v>
      </c>
      <c r="M39" s="198"/>
      <c r="N39" s="155"/>
      <c r="O39" s="342"/>
      <c r="P39" s="119"/>
      <c r="Q39" s="119"/>
      <c r="R39" s="119"/>
      <c r="S39" s="119"/>
      <c r="T39" s="119"/>
      <c r="U39" s="119"/>
      <c r="V39" s="119"/>
      <c r="W39" s="119"/>
      <c r="X39" s="119"/>
      <c r="AX39" s="6" t="str">
        <f>'Overview (Design)'!A37</f>
        <v>Type of Cooling System (system 2):</v>
      </c>
      <c r="AY39">
        <f>'Overview (Design)'!G37</f>
        <v>0</v>
      </c>
    </row>
    <row r="40" spans="2:51" x14ac:dyDescent="0.35">
      <c r="B40" s="452" t="s">
        <v>959</v>
      </c>
      <c r="C40" s="452"/>
      <c r="D40" s="13"/>
      <c r="E40" s="13"/>
      <c r="F40" s="13"/>
      <c r="G40" s="13"/>
      <c r="H40" s="550"/>
      <c r="I40" s="135" t="s">
        <v>959</v>
      </c>
      <c r="J40" s="320"/>
      <c r="K40" s="320"/>
      <c r="L40" s="753" t="s">
        <v>960</v>
      </c>
      <c r="M40" s="769" t="str">
        <f ca="1">IF(R40,"Mandatory","N/A")</f>
        <v>Mandatory</v>
      </c>
      <c r="N40" s="136"/>
      <c r="O40" s="189"/>
      <c r="P40" t="b">
        <v>1</v>
      </c>
      <c r="Q40" t="b">
        <v>0</v>
      </c>
      <c r="R40" s="138" t="b">
        <f ca="1">S40</f>
        <v>1</v>
      </c>
      <c r="S40" s="138" t="b">
        <f ca="1">NOT(S13=4)</f>
        <v>1</v>
      </c>
      <c r="T40" s="138" t="b">
        <f ca="1">AND(NOT(S40),W40=TRUE)</f>
        <v>0</v>
      </c>
      <c r="U40" s="138"/>
      <c r="V40" s="138"/>
      <c r="W40" s="17" t="b">
        <v>1</v>
      </c>
      <c r="X40" s="688"/>
      <c r="AC40" t="b">
        <f ca="1">OR(AD40:AE40)</f>
        <v>0</v>
      </c>
      <c r="AD40" t="b">
        <f ca="1">T40</f>
        <v>0</v>
      </c>
      <c r="AE40" t="b">
        <f ca="1">AND(R40,NOT(W40))</f>
        <v>0</v>
      </c>
      <c r="AL40" t="str">
        <f>SUBSTITUTE(SUBSTITUTE(SUBSTITUTE("dpa"&amp;$B40&amp;$C40&amp;$D40&amp;$E40&amp;$F40,".","_"),"(","_"),")","")</f>
        <v>dpa701_4_1_1</v>
      </c>
      <c r="AM40" t="str">
        <f ca="1">M40</f>
        <v>Mandatory</v>
      </c>
      <c r="AP40" t="str">
        <f>SUBSTITUTE(SUBSTITUTE(SUBSTITUTE("dch"&amp;$B40&amp;$C40&amp;$D40&amp;$E40&amp;$F40,".","_"),"(","_"),")","")</f>
        <v>dch701_4_1_1</v>
      </c>
      <c r="AQ40" t="b">
        <f>W40</f>
        <v>1</v>
      </c>
      <c r="AR40" t="str">
        <f>SUBSTITUTE(SUBSTITUTE(SUBSTITUTE("dnt"&amp;$B40&amp;$C40&amp;$D40&amp;$E40&amp;$F40,".","_"),"(","_"),")","")</f>
        <v>dnt701_4_1_1</v>
      </c>
      <c r="AS40">
        <f>X40</f>
        <v>0</v>
      </c>
      <c r="AX40" s="6" t="str">
        <f>'Overview (Design)'!A38</f>
        <v>Type of Cooling System (system 3):</v>
      </c>
      <c r="AY40">
        <f>'Overview (Design)'!G38</f>
        <v>0</v>
      </c>
    </row>
    <row r="41" spans="2:51" x14ac:dyDescent="0.35">
      <c r="B41" s="452" t="s">
        <v>959</v>
      </c>
      <c r="C41" s="452"/>
      <c r="D41" s="13"/>
      <c r="E41" s="13"/>
      <c r="F41" s="13"/>
      <c r="G41" s="13"/>
      <c r="H41" s="550"/>
      <c r="I41" s="4"/>
      <c r="J41" s="104"/>
      <c r="K41" s="104"/>
      <c r="L41" s="706"/>
      <c r="M41" s="740"/>
      <c r="N41" s="4"/>
      <c r="O41" s="85"/>
      <c r="X41" s="688"/>
      <c r="AX41" s="6" t="str">
        <f>'Overview (Design)'!A39</f>
        <v>Cooling Ducts:</v>
      </c>
      <c r="AY41" t="str">
        <f>'Overview (Design)'!G39</f>
        <v>Ducted</v>
      </c>
    </row>
    <row r="42" spans="2:51" x14ac:dyDescent="0.35">
      <c r="B42" s="452" t="s">
        <v>959</v>
      </c>
      <c r="C42" s="452"/>
      <c r="D42" s="13"/>
      <c r="E42" s="13"/>
      <c r="F42" s="13"/>
      <c r="G42" s="13"/>
      <c r="H42" s="550"/>
      <c r="I42" s="155"/>
      <c r="J42" s="214"/>
      <c r="K42" s="214"/>
      <c r="L42" s="739"/>
      <c r="M42" s="741"/>
      <c r="N42" s="155"/>
      <c r="O42" s="342"/>
      <c r="P42" s="119"/>
      <c r="Q42" s="119"/>
      <c r="R42" s="119"/>
      <c r="S42" s="119"/>
      <c r="T42" s="119"/>
      <c r="U42" s="119"/>
      <c r="V42" s="119"/>
      <c r="W42" s="119"/>
      <c r="X42" s="688"/>
      <c r="AX42" s="6"/>
    </row>
    <row r="43" spans="2:51" x14ac:dyDescent="0.35">
      <c r="B43" s="452" t="s">
        <v>961</v>
      </c>
      <c r="C43" s="452"/>
      <c r="D43" s="13"/>
      <c r="E43" s="13"/>
      <c r="F43" s="13"/>
      <c r="G43" s="13"/>
      <c r="H43" s="550"/>
      <c r="I43" s="362" t="s">
        <v>961</v>
      </c>
      <c r="J43" s="320"/>
      <c r="K43" s="320"/>
      <c r="L43" s="753" t="s">
        <v>962</v>
      </c>
      <c r="M43" s="769" t="str">
        <f ca="1">IF(R43,"Mandatory","N/A")</f>
        <v>Mandatory</v>
      </c>
      <c r="N43" s="136"/>
      <c r="O43" s="189"/>
      <c r="P43" t="b">
        <v>1</v>
      </c>
      <c r="Q43" t="b">
        <v>0</v>
      </c>
      <c r="R43" s="138" t="b">
        <f ca="1">S43</f>
        <v>1</v>
      </c>
      <c r="S43" s="138" t="b">
        <f ca="1">NOT(S13=4)</f>
        <v>1</v>
      </c>
      <c r="T43" s="138" t="b">
        <f ca="1">AND(NOT(S43),LEN(W43)&gt;0)</f>
        <v>0</v>
      </c>
      <c r="U43" s="138" t="str">
        <f>SUBSTITUTE(SUBSTITUTE(SUBSTITUTE("dd"&amp;B43&amp;C43&amp;D43&amp;E43&amp;F43,".","_"),"(","_"),")","")</f>
        <v>dd701_4_1_2</v>
      </c>
      <c r="V43" s="138"/>
      <c r="W43" s="9" t="s">
        <v>3601</v>
      </c>
      <c r="X43" s="688"/>
      <c r="AC43" t="b">
        <f ca="1">OR(AD43:AE43)</f>
        <v>0</v>
      </c>
      <c r="AD43" t="b">
        <f ca="1">T43</f>
        <v>0</v>
      </c>
      <c r="AE43" t="b">
        <f ca="1">AND(R43,OR(W43="Not Met",W43=""))</f>
        <v>0</v>
      </c>
      <c r="AL43" t="str">
        <f>SUBSTITUTE(SUBSTITUTE(SUBSTITUTE("dpa"&amp;$B43&amp;$C43&amp;$D43&amp;$E43&amp;$F43,".","_"),"(","_"),")","")</f>
        <v>dpa701_4_1_2</v>
      </c>
      <c r="AM43" t="str">
        <f ca="1">M43</f>
        <v>Mandatory</v>
      </c>
      <c r="AP43" t="str">
        <f>SUBSTITUTE(SUBSTITUTE(SUBSTITUTE("dch"&amp;$B43&amp;$C43&amp;$D43&amp;$E43&amp;$F43,".","_"),"(","_"),")","")</f>
        <v>dch701_4_1_2</v>
      </c>
      <c r="AQ43" t="str">
        <f>W43</f>
        <v>No Radiant or Hydronic</v>
      </c>
      <c r="AR43" t="str">
        <f>SUBSTITUTE(SUBSTITUTE(SUBSTITUTE("dnt"&amp;$B43&amp;$C43&amp;$D43&amp;$E43&amp;$F43,".","_"),"(","_"),")","")</f>
        <v>dnt701_4_1_2</v>
      </c>
      <c r="AS43">
        <f>X43</f>
        <v>0</v>
      </c>
      <c r="AX43" s="6" t="str">
        <f>'Overview (Design)'!A41</f>
        <v>Maximum window and door SHGC:</v>
      </c>
      <c r="AY43">
        <f>'Overview (Design)'!G41</f>
        <v>0.22</v>
      </c>
    </row>
    <row r="44" spans="2:51" x14ac:dyDescent="0.35">
      <c r="B44" s="452" t="s">
        <v>961</v>
      </c>
      <c r="C44" s="452"/>
      <c r="D44" s="13"/>
      <c r="E44" s="13"/>
      <c r="F44" s="13"/>
      <c r="G44" s="13"/>
      <c r="H44" s="550"/>
      <c r="I44" s="4"/>
      <c r="J44" s="104"/>
      <c r="K44" s="104"/>
      <c r="L44" s="706"/>
      <c r="M44" s="740"/>
      <c r="N44" s="4"/>
      <c r="O44" s="85"/>
      <c r="X44" s="688"/>
      <c r="AX44" s="6" t="str">
        <f>'Overview (Design)'!A42</f>
        <v>Maximum skylight SHGC:</v>
      </c>
      <c r="AY44">
        <f>'Overview (Design)'!G42</f>
        <v>0</v>
      </c>
    </row>
    <row r="45" spans="2:51" x14ac:dyDescent="0.35">
      <c r="B45" s="452" t="s">
        <v>961</v>
      </c>
      <c r="C45" s="452"/>
      <c r="D45" s="13"/>
      <c r="E45" s="13"/>
      <c r="F45" s="13"/>
      <c r="G45" s="13"/>
      <c r="H45" s="550"/>
      <c r="I45" s="4"/>
      <c r="J45" s="104"/>
      <c r="K45" s="104"/>
      <c r="L45" s="706"/>
      <c r="M45" s="740"/>
      <c r="N45" s="4"/>
      <c r="O45" s="85"/>
      <c r="X45" s="688"/>
      <c r="AX45" s="6" t="str">
        <f>'Overview (Design)'!A43</f>
        <v>Maximum window and door U-value:</v>
      </c>
      <c r="AY45">
        <f>'Overview (Design)'!G43</f>
        <v>0.32</v>
      </c>
    </row>
    <row r="46" spans="2:51" x14ac:dyDescent="0.35">
      <c r="B46" s="452" t="s">
        <v>961</v>
      </c>
      <c r="C46" s="452"/>
      <c r="D46" s="13"/>
      <c r="E46" s="13"/>
      <c r="F46" s="13"/>
      <c r="G46" s="13"/>
      <c r="H46" s="550"/>
      <c r="I46" s="4"/>
      <c r="J46" s="104"/>
      <c r="K46" s="104"/>
      <c r="L46" s="706"/>
      <c r="M46" s="740"/>
      <c r="N46" s="4"/>
      <c r="O46" s="85"/>
      <c r="X46" s="688"/>
      <c r="AX46" s="6" t="str">
        <f>'Overview (Design)'!A44</f>
        <v>Maximum skylight U-value:</v>
      </c>
      <c r="AY46">
        <f>'Overview (Design)'!G44</f>
        <v>0</v>
      </c>
    </row>
    <row r="47" spans="2:51" x14ac:dyDescent="0.35">
      <c r="B47" s="452" t="s">
        <v>961</v>
      </c>
      <c r="C47" s="452"/>
      <c r="D47" s="13"/>
      <c r="E47" s="13"/>
      <c r="F47" s="13"/>
      <c r="G47" s="13"/>
      <c r="H47" s="550"/>
      <c r="I47" s="155"/>
      <c r="J47" s="214"/>
      <c r="K47" s="214"/>
      <c r="L47" s="739"/>
      <c r="M47" s="741"/>
      <c r="N47" s="155"/>
      <c r="O47" s="342"/>
      <c r="P47" s="119"/>
      <c r="Q47" s="119"/>
      <c r="R47" s="119"/>
      <c r="S47" s="119"/>
      <c r="T47" s="119"/>
      <c r="U47" s="119"/>
      <c r="V47" s="119"/>
      <c r="W47" s="119"/>
      <c r="X47" s="688"/>
      <c r="AX47" s="6" t="str">
        <f>'Overview (Design)'!A45</f>
        <v>Renewable Energy:</v>
      </c>
      <c r="AY47">
        <f>'Overview (Design)'!G45</f>
        <v>0</v>
      </c>
    </row>
    <row r="48" spans="2:51" x14ac:dyDescent="0.35">
      <c r="B48" s="452" t="s">
        <v>963</v>
      </c>
      <c r="C48" s="452"/>
      <c r="D48" s="13"/>
      <c r="E48" s="13"/>
      <c r="F48" s="13"/>
      <c r="G48" s="13"/>
      <c r="H48" s="550"/>
      <c r="I48" s="362" t="s">
        <v>963</v>
      </c>
      <c r="J48" s="320"/>
      <c r="K48" s="320"/>
      <c r="L48" s="358" t="s">
        <v>964</v>
      </c>
      <c r="M48" s="317"/>
      <c r="N48" s="136"/>
      <c r="O48" s="189"/>
      <c r="P48" s="138"/>
      <c r="Q48" s="138"/>
      <c r="R48" s="138"/>
      <c r="S48" s="138"/>
      <c r="T48" s="138"/>
      <c r="U48" s="138"/>
      <c r="V48" s="138"/>
      <c r="W48" s="138"/>
      <c r="X48" s="138"/>
      <c r="AX48" s="6" t="str">
        <f>'Overview (Design)'!A46</f>
        <v>Thermal Envelope Insulation:</v>
      </c>
      <c r="AY48">
        <f>'Overview (Design)'!G46</f>
        <v>0</v>
      </c>
    </row>
    <row r="49" spans="2:51" x14ac:dyDescent="0.35">
      <c r="B49" s="452" t="s">
        <v>957</v>
      </c>
      <c r="C49" s="452"/>
      <c r="D49" s="13"/>
      <c r="E49" s="13"/>
      <c r="F49" s="13"/>
      <c r="G49" s="13"/>
      <c r="H49" s="550"/>
      <c r="I49" s="34" t="s">
        <v>4072</v>
      </c>
      <c r="J49" s="104"/>
      <c r="K49" s="104"/>
      <c r="L49" s="706" t="s">
        <v>965</v>
      </c>
      <c r="M49" s="740" t="str">
        <f ca="1">IF(R49,"Mandatory","N/A")</f>
        <v>Mandatory</v>
      </c>
      <c r="N49" s="4"/>
      <c r="O49" s="85"/>
      <c r="P49" t="b">
        <v>1</v>
      </c>
      <c r="Q49" t="b">
        <v>0</v>
      </c>
      <c r="R49" t="b">
        <f ca="1">S49</f>
        <v>1</v>
      </c>
      <c r="S49" t="b">
        <f ca="1">AND(NOT(S13=4),NOT(AND(OR(AY37=INDEX(INDIRECT('Overview (Design)'!$E$35),2),AY37=INDEX(INDIRECT('Overview (Design)'!$E$35),3)),OR(AY41=INDEX(INDIRECT('Overview (Design)'!$E$39),2),AY41=INDEX(INDIRECT('Overview (Design)'!$E$39),3)))))</f>
        <v>1</v>
      </c>
      <c r="T49" t="b">
        <f ca="1">AND(NOT(S49),W49=TRUE)</f>
        <v>0</v>
      </c>
      <c r="W49" s="17" t="b">
        <v>1</v>
      </c>
      <c r="X49" s="688" t="s">
        <v>4846</v>
      </c>
      <c r="AC49" t="b">
        <f ca="1">OR(AD49:AE49)</f>
        <v>0</v>
      </c>
      <c r="AD49" t="b">
        <f ca="1">T49</f>
        <v>0</v>
      </c>
      <c r="AE49" t="b">
        <f ca="1">AND(R49,NOT(W49))</f>
        <v>0</v>
      </c>
      <c r="AL49" t="str">
        <f>SUBSTITUTE(SUBSTITUTE(SUBSTITUTE("dpa"&amp;$B49&amp;$C49&amp;$D49&amp;$E49&amp;$F49,".","_"),"(","_"),")","")</f>
        <v>dpa701_4_1</v>
      </c>
      <c r="AM49" t="str">
        <f ca="1">M49</f>
        <v>Mandatory</v>
      </c>
      <c r="AP49" t="str">
        <f>SUBSTITUTE(SUBSTITUTE(SUBSTITUTE("dch"&amp;$B49&amp;$C49&amp;$D49&amp;$E49&amp;$F49,".","_"),"(","_"),")","")</f>
        <v>dch701_4_1</v>
      </c>
      <c r="AQ49" t="b">
        <f>W49</f>
        <v>1</v>
      </c>
      <c r="AR49" t="str">
        <f>SUBSTITUTE(SUBSTITUTE(SUBSTITUTE("dnt"&amp;$B49&amp;$C49&amp;$D49&amp;$E49&amp;$F49,".","_"),"(","_"),")","")</f>
        <v>dnt701_4_1</v>
      </c>
      <c r="AS49" t="str">
        <f>X49</f>
        <v>Aeroseal Air Duct Sealing</v>
      </c>
      <c r="AX49" s="6" t="str">
        <f>'Overview (Design)'!A47</f>
        <v>Attic Type:</v>
      </c>
      <c r="AY49" t="str">
        <f>'Overview (Design)'!G47</f>
        <v>Vented</v>
      </c>
    </row>
    <row r="50" spans="2:51" x14ac:dyDescent="0.35">
      <c r="B50" s="452" t="s">
        <v>957</v>
      </c>
      <c r="C50" s="452"/>
      <c r="D50" s="13"/>
      <c r="E50" s="13"/>
      <c r="F50" s="13"/>
      <c r="G50" s="13"/>
      <c r="H50" s="550"/>
      <c r="I50" s="34"/>
      <c r="J50" s="104"/>
      <c r="K50" s="104"/>
      <c r="L50" s="706"/>
      <c r="M50" s="740"/>
      <c r="N50" s="4"/>
      <c r="O50" s="85"/>
      <c r="X50" s="688"/>
      <c r="AX50" s="6" t="str">
        <f>'Overview (Design)'!A48</f>
        <v>Attached Garage:</v>
      </c>
      <c r="AY50" t="str">
        <f>'Overview (Design)'!G48</f>
        <v>Yes</v>
      </c>
    </row>
    <row r="51" spans="2:51" ht="15" customHeight="1" x14ac:dyDescent="0.35">
      <c r="B51" s="452" t="s">
        <v>957</v>
      </c>
      <c r="C51" s="452"/>
      <c r="D51" s="13"/>
      <c r="E51" s="13"/>
      <c r="F51" s="13"/>
      <c r="G51" s="13"/>
      <c r="H51" s="550"/>
      <c r="I51" s="363"/>
      <c r="J51" s="214"/>
      <c r="K51" s="214"/>
      <c r="L51" s="739"/>
      <c r="M51" s="741"/>
      <c r="N51" s="155"/>
      <c r="O51" s="342"/>
      <c r="P51" s="119"/>
      <c r="Q51" s="119"/>
      <c r="R51" s="119"/>
      <c r="S51" s="119"/>
      <c r="T51" s="119"/>
      <c r="U51" s="119"/>
      <c r="V51" s="119"/>
      <c r="W51" s="119"/>
      <c r="X51" s="688"/>
      <c r="AX51" s="6" t="str">
        <f>'Overview (Design)'!A49</f>
        <v>Recessed Lighting:</v>
      </c>
      <c r="AY51">
        <f>'Overview (Design)'!G49</f>
        <v>0</v>
      </c>
    </row>
    <row r="52" spans="2:51" ht="15" customHeight="1" x14ac:dyDescent="0.35">
      <c r="B52" s="452" t="s">
        <v>966</v>
      </c>
      <c r="C52" s="452"/>
      <c r="D52" s="13"/>
      <c r="E52" s="13"/>
      <c r="F52" s="13"/>
      <c r="G52" s="13"/>
      <c r="H52" s="550"/>
      <c r="I52" s="364" t="s">
        <v>966</v>
      </c>
      <c r="J52" s="220"/>
      <c r="K52" s="220"/>
      <c r="L52" s="365" t="s">
        <v>967</v>
      </c>
      <c r="M52" s="557" t="str">
        <f ca="1">IF(R52,"Mandatory","N/A")</f>
        <v>Mandatory</v>
      </c>
      <c r="N52" s="187"/>
      <c r="O52" s="313"/>
      <c r="P52" t="b">
        <v>1</v>
      </c>
      <c r="Q52" t="b">
        <v>0</v>
      </c>
      <c r="R52" s="156" t="b">
        <f ca="1">S52</f>
        <v>1</v>
      </c>
      <c r="S52" s="156" t="b">
        <f ca="1">AND(NOT(S13=4),NOT(AND(OR(AY37=INDEX(INDIRECT('Overview (Design)'!$E$35),2),AY37=INDEX(INDIRECT('Overview (Design)'!$E$35),3)),OR(AY41=INDEX(INDIRECT('Overview (Design)'!$E$39),2),AY41=INDEX(INDIRECT('Overview (Design)'!$E$39),3)))))</f>
        <v>1</v>
      </c>
      <c r="T52" s="156" t="b">
        <f ca="1">AND(NOT(S52),W52=TRUE)</f>
        <v>0</v>
      </c>
      <c r="U52" s="156"/>
      <c r="V52" s="156"/>
      <c r="W52" s="17" t="b">
        <v>1</v>
      </c>
      <c r="X52" s="39"/>
      <c r="AC52" t="b">
        <f ca="1">OR(AD52:AE52)</f>
        <v>0</v>
      </c>
      <c r="AD52" t="b">
        <f ca="1">T52</f>
        <v>0</v>
      </c>
      <c r="AE52" t="b">
        <f ca="1">AND(R52,NOT(W52))</f>
        <v>0</v>
      </c>
      <c r="AL52" t="str">
        <f>SUBSTITUTE(SUBSTITUTE(SUBSTITUTE("dpa"&amp;$B52&amp;$C52&amp;$D52&amp;$E52&amp;$F52,".","_"),"(","_"),")","")</f>
        <v>dpa701_4_2_2</v>
      </c>
      <c r="AM52" t="str">
        <f ca="1">M52</f>
        <v>Mandatory</v>
      </c>
      <c r="AP52" t="str">
        <f>SUBSTITUTE(SUBSTITUTE(SUBSTITUTE("dch"&amp;$B52&amp;$C52&amp;$D52&amp;$E52&amp;$F52,".","_"),"(","_"),")","")</f>
        <v>dch701_4_2_2</v>
      </c>
      <c r="AQ52" t="b">
        <f>W52</f>
        <v>1</v>
      </c>
      <c r="AR52" t="str">
        <f t="shared" ref="AR52:AR53" si="0">SUBSTITUTE(SUBSTITUTE(SUBSTITUTE("dnt"&amp;$B52&amp;$C52&amp;$D52&amp;$E52&amp;$F52,".","_"),"(","_"),")","")</f>
        <v>dnt701_4_2_2</v>
      </c>
      <c r="AS52">
        <f>X52</f>
        <v>0</v>
      </c>
      <c r="AX52" s="6"/>
    </row>
    <row r="53" spans="2:51" x14ac:dyDescent="0.35">
      <c r="B53" s="452" t="s">
        <v>968</v>
      </c>
      <c r="C53" s="452"/>
      <c r="D53" s="13"/>
      <c r="E53" s="13"/>
      <c r="F53" s="13"/>
      <c r="G53" s="13"/>
      <c r="H53" s="550"/>
      <c r="I53" s="362" t="s">
        <v>968</v>
      </c>
      <c r="J53" s="320"/>
      <c r="K53" s="320"/>
      <c r="L53" s="753" t="s">
        <v>969</v>
      </c>
      <c r="M53" s="769" t="str">
        <f ca="1">IF(R53,"Mandatory","N/A")</f>
        <v>Mandatory</v>
      </c>
      <c r="N53" s="136"/>
      <c r="O53" s="189"/>
      <c r="P53" t="b">
        <v>1</v>
      </c>
      <c r="Q53" t="b">
        <v>0</v>
      </c>
      <c r="R53" s="138" t="b">
        <f ca="1">S53</f>
        <v>1</v>
      </c>
      <c r="S53" s="138" t="b">
        <f ca="1">AND(NOT(S13=4),NOT(AND(OR(AY37=INDEX(INDIRECT('Overview (Design)'!$E$35),2),AY37=INDEX(INDIRECT('Overview (Design)'!$E$35),3)),OR(AY41=INDEX(INDIRECT('Overview (Design)'!$E$39),2),AY41=INDEX(INDIRECT('Overview (Design)'!$E$39),3)))))</f>
        <v>1</v>
      </c>
      <c r="T53" s="138" t="b">
        <f ca="1">AND(NOT(S53),W53=TRUE)</f>
        <v>0</v>
      </c>
      <c r="U53" s="138"/>
      <c r="V53" s="138"/>
      <c r="W53" s="17" t="b">
        <v>1</v>
      </c>
      <c r="X53" s="688"/>
      <c r="AC53" t="b">
        <f ca="1">OR(AD53:AE53)</f>
        <v>0</v>
      </c>
      <c r="AD53" t="b">
        <f ca="1">T53</f>
        <v>0</v>
      </c>
      <c r="AE53" t="b">
        <f ca="1">AND(R53,NOT(W53))</f>
        <v>0</v>
      </c>
      <c r="AL53" t="str">
        <f>SUBSTITUTE(SUBSTITUTE(SUBSTITUTE("dpa"&amp;$B53&amp;$C53&amp;$D53&amp;$E53&amp;$F53,".","_"),"(","_"),")","")</f>
        <v>dpa701_4_2_3</v>
      </c>
      <c r="AM53" t="str">
        <f ca="1">M53</f>
        <v>Mandatory</v>
      </c>
      <c r="AP53" t="str">
        <f>SUBSTITUTE(SUBSTITUTE(SUBSTITUTE("dch"&amp;$B53&amp;$C53&amp;$D53&amp;$E53&amp;$F53,".","_"),"(","_"),")","")</f>
        <v>dch701_4_2_3</v>
      </c>
      <c r="AQ53" t="b">
        <f>W53</f>
        <v>1</v>
      </c>
      <c r="AR53" t="str">
        <f t="shared" si="0"/>
        <v>dnt701_4_2_3</v>
      </c>
      <c r="AS53">
        <f>X53</f>
        <v>0</v>
      </c>
      <c r="AX53" s="6" t="str">
        <f>'Overview (Design)'!A51</f>
        <v>Special Design Features:</v>
      </c>
      <c r="AY53">
        <f>'Overview (Design)'!G51</f>
        <v>0</v>
      </c>
    </row>
    <row r="54" spans="2:51" x14ac:dyDescent="0.35">
      <c r="B54" s="452" t="s">
        <v>968</v>
      </c>
      <c r="C54" s="452"/>
      <c r="D54" s="13"/>
      <c r="E54" s="13"/>
      <c r="F54" s="13"/>
      <c r="G54" s="13"/>
      <c r="H54" s="550"/>
      <c r="I54" s="363"/>
      <c r="J54" s="214"/>
      <c r="K54" s="214"/>
      <c r="L54" s="739"/>
      <c r="M54" s="741"/>
      <c r="N54" s="155"/>
      <c r="O54" s="342"/>
      <c r="P54" s="119"/>
      <c r="Q54" s="119"/>
      <c r="R54" s="119"/>
      <c r="S54" s="119"/>
      <c r="T54" s="119"/>
      <c r="U54" s="119"/>
      <c r="V54" s="119"/>
      <c r="W54" s="119"/>
      <c r="X54" s="688"/>
      <c r="AX54" s="6" t="str">
        <f>'Overview (Design)'!A52</f>
        <v>Passive Solar:</v>
      </c>
      <c r="AY54">
        <f>'Overview (Design)'!G52</f>
        <v>0</v>
      </c>
    </row>
    <row r="55" spans="2:51" x14ac:dyDescent="0.35">
      <c r="B55" s="452" t="s">
        <v>970</v>
      </c>
      <c r="C55" s="452"/>
      <c r="D55" s="13"/>
      <c r="E55" s="13"/>
      <c r="F55" s="13"/>
      <c r="G55" s="13"/>
      <c r="H55" s="550"/>
      <c r="I55" s="362" t="s">
        <v>970</v>
      </c>
      <c r="J55" s="320"/>
      <c r="K55" s="320"/>
      <c r="L55" s="358" t="s">
        <v>971</v>
      </c>
      <c r="M55" s="317"/>
      <c r="N55" s="136"/>
      <c r="O55" s="189"/>
      <c r="P55" s="138"/>
      <c r="Q55" s="138"/>
      <c r="R55" s="138"/>
      <c r="S55" s="138"/>
      <c r="T55" s="138"/>
      <c r="U55" s="138"/>
      <c r="V55" s="138"/>
      <c r="W55" s="138"/>
      <c r="X55" s="138"/>
      <c r="AX55" s="6" t="str">
        <f>'Overview (Design)'!A53</f>
        <v>Mass Walls:</v>
      </c>
      <c r="AY55">
        <f>'Overview (Design)'!G53</f>
        <v>0</v>
      </c>
    </row>
    <row r="56" spans="2:51" x14ac:dyDescent="0.35">
      <c r="B56" s="452" t="s">
        <v>972</v>
      </c>
      <c r="C56" s="452"/>
      <c r="D56" s="13"/>
      <c r="E56" s="13"/>
      <c r="F56" s="13"/>
      <c r="G56" s="13"/>
      <c r="H56" s="550"/>
      <c r="I56" s="34" t="s">
        <v>972</v>
      </c>
      <c r="J56" s="104"/>
      <c r="K56" s="104"/>
      <c r="L56" s="706" t="s">
        <v>973</v>
      </c>
      <c r="M56" s="740" t="str">
        <f ca="1">IF(R59,"Mandatory","N/A")</f>
        <v>Mandatory</v>
      </c>
      <c r="N56" s="4"/>
      <c r="O56" s="85"/>
      <c r="W56" t="s">
        <v>3632</v>
      </c>
      <c r="X56" s="688" t="s">
        <v>4844</v>
      </c>
      <c r="AL56" t="str">
        <f>SUBSTITUTE(SUBSTITUTE(SUBSTITUTE("dpa"&amp;$B56&amp;$C56&amp;$D56&amp;$E56&amp;$F56,".","_"),"(","_"),")","")</f>
        <v>dpa701_4_3_1</v>
      </c>
      <c r="AM56" t="str">
        <f ca="1">M56</f>
        <v>Mandatory</v>
      </c>
      <c r="AR56" t="str">
        <f>SUBSTITUTE(SUBSTITUTE(SUBSTITUTE("dnt"&amp;$B56&amp;$C56&amp;$D56&amp;$E56&amp;$F56,".","_"),"(","_"),")","")</f>
        <v>dnt701_4_3_1</v>
      </c>
      <c r="AS56" t="str">
        <f>X56</f>
        <v>Hardie™ Weather Barrier</v>
      </c>
      <c r="AX56" s="6" t="str">
        <f>'Overview (Design)'!A54</f>
        <v>Ductless:</v>
      </c>
      <c r="AY56">
        <f>'Overview (Design)'!G54</f>
        <v>0</v>
      </c>
    </row>
    <row r="57" spans="2:51" x14ac:dyDescent="0.35">
      <c r="B57" s="452" t="s">
        <v>972</v>
      </c>
      <c r="C57" s="452"/>
      <c r="D57" s="13" t="s">
        <v>270</v>
      </c>
      <c r="E57" s="13"/>
      <c r="F57" s="13"/>
      <c r="G57" s="13"/>
      <c r="H57" s="550"/>
      <c r="I57" s="4"/>
      <c r="J57" s="104"/>
      <c r="K57" s="104"/>
      <c r="L57" s="706"/>
      <c r="M57" s="740"/>
      <c r="N57" s="4"/>
      <c r="O57" s="85"/>
      <c r="P57" t="b">
        <v>1</v>
      </c>
      <c r="Q57" t="b">
        <v>1</v>
      </c>
      <c r="R57" t="b">
        <v>0</v>
      </c>
      <c r="S57" t="b">
        <f ca="1">AND(NOT(S13=4),AY26&gt;3,AY20=INDEX(INDIRECT('Overview (Design)'!$E$18),2))</f>
        <v>0</v>
      </c>
      <c r="T57" t="b">
        <f ca="1">AND(NOT(S57),W57=TRUE)</f>
        <v>0</v>
      </c>
      <c r="W57" s="17" t="b">
        <v>0</v>
      </c>
      <c r="X57" s="688"/>
      <c r="AC57" t="b">
        <f ca="1">OR(AD57:AE57)</f>
        <v>0</v>
      </c>
      <c r="AD57" t="b">
        <f ca="1">T57</f>
        <v>0</v>
      </c>
      <c r="AE57" t="b">
        <f>AND(R57,NOT(W57))</f>
        <v>0</v>
      </c>
      <c r="AP57" t="str">
        <f>SUBSTITUTE(SUBSTITUTE(SUBSTITUTE("dch"&amp;$B57&amp;$C57&amp;$D57&amp;$E57&amp;$F57,".","_"),"(","_"),")","")</f>
        <v>dch701_4_3_1_1</v>
      </c>
      <c r="AQ57" t="b">
        <f>W57</f>
        <v>0</v>
      </c>
      <c r="AX57" s="6" t="str">
        <f>'Overview (Design)'!A55</f>
        <v>Radiant/Hydronic:</v>
      </c>
      <c r="AY57">
        <f>'Overview (Design)'!G55</f>
        <v>0</v>
      </c>
    </row>
    <row r="58" spans="2:51" x14ac:dyDescent="0.35">
      <c r="B58" s="452" t="s">
        <v>972</v>
      </c>
      <c r="C58" s="452"/>
      <c r="D58" s="13"/>
      <c r="E58" s="13"/>
      <c r="F58" s="13"/>
      <c r="G58" s="13"/>
      <c r="H58" s="550"/>
      <c r="I58" s="4"/>
      <c r="J58" s="104"/>
      <c r="K58" s="104"/>
      <c r="L58" s="706"/>
      <c r="M58" s="740"/>
      <c r="N58" s="4"/>
      <c r="O58" s="85"/>
      <c r="X58" s="688"/>
      <c r="AX58" s="6" t="str">
        <f>'Overview (Design)'!A56</f>
        <v>Tankless Water Heater:</v>
      </c>
      <c r="AY58">
        <f>'Overview (Design)'!G56</f>
        <v>0</v>
      </c>
    </row>
    <row r="59" spans="2:51" x14ac:dyDescent="0.35">
      <c r="B59" s="452" t="s">
        <v>972</v>
      </c>
      <c r="C59" s="452"/>
      <c r="D59" s="13" t="s">
        <v>272</v>
      </c>
      <c r="E59" s="13"/>
      <c r="F59" s="13"/>
      <c r="G59" s="13"/>
      <c r="H59" s="550"/>
      <c r="I59" s="4"/>
      <c r="J59" s="104"/>
      <c r="K59" s="104"/>
      <c r="L59" s="706"/>
      <c r="M59" s="740"/>
      <c r="N59" s="4"/>
      <c r="O59" s="85"/>
      <c r="P59" t="b">
        <v>1</v>
      </c>
      <c r="Q59" t="b">
        <v>1</v>
      </c>
      <c r="R59" t="b">
        <f ca="1">S59</f>
        <v>1</v>
      </c>
      <c r="S59" t="b">
        <f ca="1">AND(NOT(S13=4),NOT(W57))</f>
        <v>1</v>
      </c>
      <c r="T59" t="b">
        <f ca="1">AND(NOT(S59),W59=TRUE)</f>
        <v>0</v>
      </c>
      <c r="W59" s="17" t="b">
        <v>1</v>
      </c>
      <c r="X59" s="688"/>
      <c r="AC59" t="b">
        <f ca="1">OR(AD59:AE59)</f>
        <v>0</v>
      </c>
      <c r="AD59" t="b">
        <f ca="1">T59</f>
        <v>0</v>
      </c>
      <c r="AE59" t="b">
        <f ca="1">AND(R59,NOT(W59))</f>
        <v>0</v>
      </c>
      <c r="AP59" t="str">
        <f>SUBSTITUTE(SUBSTITUTE(SUBSTITUTE("dch"&amp;$B59&amp;$C59&amp;$D59&amp;$E59&amp;$F59,".","_"),"(","_"),")","")</f>
        <v>dch701_4_3_1_2</v>
      </c>
      <c r="AQ59" t="b">
        <f>W59</f>
        <v>1</v>
      </c>
      <c r="AX59" s="6" t="str">
        <f>'Overview (Design)'!A57</f>
        <v>Composting Toilet:</v>
      </c>
      <c r="AY59">
        <f>'Overview (Design)'!G57</f>
        <v>0</v>
      </c>
    </row>
    <row r="60" spans="2:51" x14ac:dyDescent="0.35">
      <c r="B60" s="452" t="s">
        <v>972</v>
      </c>
      <c r="C60" s="452"/>
      <c r="D60" s="13"/>
      <c r="E60" s="13" t="s">
        <v>121</v>
      </c>
      <c r="F60" s="13"/>
      <c r="G60" s="13"/>
      <c r="H60" s="550"/>
      <c r="I60" s="4"/>
      <c r="J60" s="104"/>
      <c r="K60" s="175" t="s">
        <v>121</v>
      </c>
      <c r="L60" s="104" t="s">
        <v>974</v>
      </c>
      <c r="M60" s="43"/>
      <c r="N60" s="4"/>
      <c r="O60" s="85"/>
      <c r="X60" s="39"/>
      <c r="AR60" t="str">
        <f t="shared" ref="AR60:AR71" si="1">SUBSTITUTE(SUBSTITUTE(SUBSTITUTE("dnt"&amp;$B60&amp;$C60&amp;$D60&amp;$E60&amp;$F60,".","_"),"(","_"),")","")</f>
        <v>dnt701_4_3_1_a</v>
      </c>
      <c r="AS60">
        <f t="shared" ref="AS60:AS71" si="2">X60</f>
        <v>0</v>
      </c>
      <c r="AX60" s="6"/>
    </row>
    <row r="61" spans="2:51" ht="15" customHeight="1" x14ac:dyDescent="0.35">
      <c r="B61" s="452" t="s">
        <v>972</v>
      </c>
      <c r="C61" s="452"/>
      <c r="D61" s="13"/>
      <c r="E61" s="13" t="s">
        <v>122</v>
      </c>
      <c r="F61" s="13"/>
      <c r="G61" s="13"/>
      <c r="H61" s="550"/>
      <c r="I61" s="4"/>
      <c r="J61" s="104"/>
      <c r="K61" s="175" t="s">
        <v>122</v>
      </c>
      <c r="L61" s="104" t="s">
        <v>975</v>
      </c>
      <c r="M61" s="43"/>
      <c r="N61" s="4"/>
      <c r="O61" s="85"/>
      <c r="X61" s="39"/>
      <c r="AR61" t="str">
        <f t="shared" si="1"/>
        <v>dnt701_4_3_1_b</v>
      </c>
      <c r="AS61">
        <f t="shared" si="2"/>
        <v>0</v>
      </c>
      <c r="AX61" s="6" t="str">
        <f>'Overview (Design)'!A59</f>
        <v>Local Energy Code:</v>
      </c>
      <c r="AY61">
        <f>'Overview (Design)'!G59</f>
        <v>0</v>
      </c>
    </row>
    <row r="62" spans="2:51" ht="15" customHeight="1" x14ac:dyDescent="0.35">
      <c r="B62" s="452" t="s">
        <v>972</v>
      </c>
      <c r="C62" s="452"/>
      <c r="D62" s="13"/>
      <c r="E62" s="18" t="s">
        <v>123</v>
      </c>
      <c r="F62" s="18"/>
      <c r="G62" s="18"/>
      <c r="H62" s="551"/>
      <c r="I62" s="4"/>
      <c r="J62" s="104"/>
      <c r="K62" s="176" t="s">
        <v>123</v>
      </c>
      <c r="L62" s="104" t="s">
        <v>976</v>
      </c>
      <c r="M62" s="43"/>
      <c r="N62" s="4"/>
      <c r="O62" s="85"/>
      <c r="X62" s="39"/>
      <c r="AR62" t="str">
        <f t="shared" si="1"/>
        <v>dnt701_4_3_1_c</v>
      </c>
      <c r="AS62">
        <f t="shared" si="2"/>
        <v>0</v>
      </c>
      <c r="AX62" s="6" t="str">
        <f>'Overview (Design)'!A60</f>
        <v>Local Building Code:</v>
      </c>
      <c r="AY62">
        <f>'Overview (Design)'!G60</f>
        <v>0</v>
      </c>
    </row>
    <row r="63" spans="2:51" x14ac:dyDescent="0.35">
      <c r="B63" s="452" t="s">
        <v>972</v>
      </c>
      <c r="C63" s="452"/>
      <c r="D63" s="13"/>
      <c r="E63" s="13" t="s">
        <v>420</v>
      </c>
      <c r="F63" s="13"/>
      <c r="G63" s="13"/>
      <c r="H63" s="550"/>
      <c r="I63" s="4"/>
      <c r="J63" s="104"/>
      <c r="K63" s="110" t="s">
        <v>420</v>
      </c>
      <c r="L63" s="104" t="s">
        <v>977</v>
      </c>
      <c r="M63" s="43"/>
      <c r="N63" s="4"/>
      <c r="O63" s="85"/>
      <c r="X63" s="39"/>
      <c r="AR63" t="str">
        <f t="shared" si="1"/>
        <v>dnt701_4_3_1_d</v>
      </c>
      <c r="AS63">
        <f t="shared" si="2"/>
        <v>0</v>
      </c>
    </row>
    <row r="64" spans="2:51" x14ac:dyDescent="0.35">
      <c r="B64" s="452" t="s">
        <v>972</v>
      </c>
      <c r="C64" s="452"/>
      <c r="D64" s="13"/>
      <c r="E64" s="13" t="s">
        <v>575</v>
      </c>
      <c r="F64" s="13"/>
      <c r="G64" s="13"/>
      <c r="H64" s="550"/>
      <c r="I64" s="4"/>
      <c r="J64" s="104"/>
      <c r="K64" s="110" t="s">
        <v>575</v>
      </c>
      <c r="L64" s="104" t="s">
        <v>978</v>
      </c>
      <c r="M64" s="43"/>
      <c r="N64" s="4"/>
      <c r="O64" s="85"/>
      <c r="X64" s="39"/>
      <c r="AR64" t="str">
        <f t="shared" si="1"/>
        <v>dnt701_4_3_1_e</v>
      </c>
      <c r="AS64">
        <f t="shared" si="2"/>
        <v>0</v>
      </c>
    </row>
    <row r="65" spans="2:45" x14ac:dyDescent="0.35">
      <c r="B65" s="452" t="s">
        <v>972</v>
      </c>
      <c r="C65" s="452"/>
      <c r="D65" s="13"/>
      <c r="E65" s="18" t="s">
        <v>642</v>
      </c>
      <c r="F65" s="18"/>
      <c r="G65" s="18"/>
      <c r="H65" s="551"/>
      <c r="I65" s="4"/>
      <c r="J65" s="104"/>
      <c r="K65" s="176" t="s">
        <v>642</v>
      </c>
      <c r="L65" s="104" t="s">
        <v>979</v>
      </c>
      <c r="M65" s="43"/>
      <c r="N65" s="4"/>
      <c r="O65" s="85"/>
      <c r="X65" s="39"/>
      <c r="AR65" t="str">
        <f t="shared" si="1"/>
        <v>dnt701_4_3_1_f</v>
      </c>
      <c r="AS65">
        <f t="shared" si="2"/>
        <v>0</v>
      </c>
    </row>
    <row r="66" spans="2:45" x14ac:dyDescent="0.35">
      <c r="B66" s="452" t="s">
        <v>972</v>
      </c>
      <c r="C66" s="452"/>
      <c r="D66" s="13"/>
      <c r="E66" s="13" t="s">
        <v>644</v>
      </c>
      <c r="F66" s="13"/>
      <c r="G66" s="13"/>
      <c r="H66" s="550"/>
      <c r="I66" s="4"/>
      <c r="J66" s="104"/>
      <c r="K66" s="110" t="s">
        <v>644</v>
      </c>
      <c r="L66" s="104" t="s">
        <v>980</v>
      </c>
      <c r="M66" s="43"/>
      <c r="N66" s="4"/>
      <c r="O66" s="85"/>
      <c r="X66" s="39"/>
      <c r="AR66" t="str">
        <f t="shared" si="1"/>
        <v>dnt701_4_3_1_g</v>
      </c>
      <c r="AS66">
        <f t="shared" si="2"/>
        <v>0</v>
      </c>
    </row>
    <row r="67" spans="2:45" x14ac:dyDescent="0.35">
      <c r="B67" s="452" t="s">
        <v>972</v>
      </c>
      <c r="C67" s="452"/>
      <c r="D67" s="13"/>
      <c r="E67" s="13" t="s">
        <v>646</v>
      </c>
      <c r="F67" s="13"/>
      <c r="G67" s="13"/>
      <c r="H67" s="550"/>
      <c r="I67" s="4"/>
      <c r="J67" s="104"/>
      <c r="K67" s="110" t="s">
        <v>646</v>
      </c>
      <c r="L67" s="104" t="s">
        <v>981</v>
      </c>
      <c r="M67" s="43"/>
      <c r="N67" s="4"/>
      <c r="O67" s="85"/>
      <c r="X67" s="39"/>
      <c r="AR67" t="str">
        <f t="shared" si="1"/>
        <v>dnt701_4_3_1_h</v>
      </c>
      <c r="AS67">
        <f t="shared" si="2"/>
        <v>0</v>
      </c>
    </row>
    <row r="68" spans="2:45" x14ac:dyDescent="0.35">
      <c r="B68" s="452" t="s">
        <v>972</v>
      </c>
      <c r="C68" s="452"/>
      <c r="D68" s="13"/>
      <c r="E68" s="13" t="s">
        <v>982</v>
      </c>
      <c r="F68" s="13"/>
      <c r="G68" s="13"/>
      <c r="H68" s="550"/>
      <c r="I68" s="4"/>
      <c r="J68" s="104"/>
      <c r="K68" s="110" t="s">
        <v>982</v>
      </c>
      <c r="L68" s="104" t="s">
        <v>983</v>
      </c>
      <c r="M68" s="43"/>
      <c r="N68" s="4"/>
      <c r="O68" s="85"/>
      <c r="X68" s="39"/>
      <c r="AR68" t="str">
        <f t="shared" si="1"/>
        <v>dnt701_4_3_1_i</v>
      </c>
      <c r="AS68">
        <f t="shared" si="2"/>
        <v>0</v>
      </c>
    </row>
    <row r="69" spans="2:45" x14ac:dyDescent="0.35">
      <c r="B69" s="452" t="s">
        <v>972</v>
      </c>
      <c r="C69" s="452"/>
      <c r="D69" s="13"/>
      <c r="E69" s="13" t="s">
        <v>984</v>
      </c>
      <c r="F69" s="13"/>
      <c r="G69" s="13"/>
      <c r="H69" s="550"/>
      <c r="I69" s="4"/>
      <c r="J69" s="104"/>
      <c r="K69" s="110" t="s">
        <v>984</v>
      </c>
      <c r="L69" s="104" t="s">
        <v>985</v>
      </c>
      <c r="M69" s="43"/>
      <c r="N69" s="4"/>
      <c r="O69" s="85"/>
      <c r="X69" s="39"/>
      <c r="AR69" t="str">
        <f t="shared" si="1"/>
        <v>dnt701_4_3_1_j</v>
      </c>
      <c r="AS69">
        <f t="shared" si="2"/>
        <v>0</v>
      </c>
    </row>
    <row r="70" spans="2:45" x14ac:dyDescent="0.35">
      <c r="B70" s="452" t="s">
        <v>972</v>
      </c>
      <c r="C70" s="452"/>
      <c r="D70" s="13"/>
      <c r="E70" s="13" t="s">
        <v>986</v>
      </c>
      <c r="F70" s="13"/>
      <c r="G70" s="13"/>
      <c r="H70" s="550"/>
      <c r="I70" s="4"/>
      <c r="J70" s="104"/>
      <c r="K70" s="110" t="s">
        <v>986</v>
      </c>
      <c r="L70" s="104" t="s">
        <v>987</v>
      </c>
      <c r="M70" s="43"/>
      <c r="N70" s="4"/>
      <c r="O70" s="85"/>
      <c r="X70" s="39"/>
      <c r="AR70" t="str">
        <f t="shared" si="1"/>
        <v>dnt701_4_3_1_k</v>
      </c>
      <c r="AS70">
        <f t="shared" si="2"/>
        <v>0</v>
      </c>
    </row>
    <row r="71" spans="2:45" x14ac:dyDescent="0.35">
      <c r="B71" s="452" t="s">
        <v>972</v>
      </c>
      <c r="C71" s="452"/>
      <c r="D71" s="13"/>
      <c r="E71" s="13" t="s">
        <v>988</v>
      </c>
      <c r="F71" s="13"/>
      <c r="G71" s="13"/>
      <c r="H71" s="550"/>
      <c r="I71" s="155"/>
      <c r="J71" s="214"/>
      <c r="K71" s="361" t="s">
        <v>988</v>
      </c>
      <c r="L71" s="214" t="s">
        <v>989</v>
      </c>
      <c r="M71" s="198"/>
      <c r="N71" s="155"/>
      <c r="O71" s="342"/>
      <c r="P71" s="119"/>
      <c r="Q71" s="119"/>
      <c r="R71" s="119"/>
      <c r="S71" s="119"/>
      <c r="T71" s="119"/>
      <c r="U71" s="119"/>
      <c r="V71" s="119"/>
      <c r="W71" s="119"/>
      <c r="X71" s="39"/>
      <c r="AR71" t="str">
        <f t="shared" si="1"/>
        <v>dnt701_4_3_1_l</v>
      </c>
      <c r="AS71">
        <f t="shared" si="2"/>
        <v>0</v>
      </c>
    </row>
    <row r="72" spans="2:45" x14ac:dyDescent="0.35">
      <c r="B72" s="452" t="s">
        <v>990</v>
      </c>
      <c r="C72" s="452"/>
      <c r="D72" s="13"/>
      <c r="E72" s="13"/>
      <c r="F72" s="13"/>
      <c r="G72" s="13"/>
      <c r="H72" s="550"/>
      <c r="I72" s="34" t="s">
        <v>990</v>
      </c>
      <c r="J72" s="104"/>
      <c r="K72" s="104"/>
      <c r="L72" s="706" t="s">
        <v>991</v>
      </c>
      <c r="M72" s="740" t="str">
        <f ca="1">IF(R75,"Mandatory","N/A")</f>
        <v>Mandatory</v>
      </c>
      <c r="N72" s="4"/>
      <c r="O72" s="85"/>
      <c r="AL72" t="str">
        <f>SUBSTITUTE(SUBSTITUTE(SUBSTITUTE("dpa"&amp;$B72&amp;$C72&amp;$D72&amp;$E72&amp;$F72,".","_"),"(","_"),")","")</f>
        <v>dpa701_4_3_2</v>
      </c>
      <c r="AM72" t="str">
        <f ca="1">M72</f>
        <v>Mandatory</v>
      </c>
    </row>
    <row r="73" spans="2:45" x14ac:dyDescent="0.35">
      <c r="B73" s="452" t="s">
        <v>990</v>
      </c>
      <c r="C73" s="452"/>
      <c r="D73" s="13"/>
      <c r="E73" s="13"/>
      <c r="F73" s="13"/>
      <c r="G73" s="13"/>
      <c r="H73" s="550"/>
      <c r="I73" s="4"/>
      <c r="J73" s="104"/>
      <c r="K73" s="104"/>
      <c r="L73" s="706"/>
      <c r="M73" s="740"/>
      <c r="N73" s="4"/>
      <c r="O73" s="85"/>
    </row>
    <row r="74" spans="2:45" x14ac:dyDescent="0.35">
      <c r="B74" s="452" t="s">
        <v>990</v>
      </c>
      <c r="C74" s="452"/>
      <c r="D74" s="13"/>
      <c r="E74" s="13"/>
      <c r="F74" s="13"/>
      <c r="G74" s="13"/>
      <c r="H74" s="550"/>
      <c r="I74" s="4"/>
      <c r="J74" s="104"/>
      <c r="K74" s="104"/>
      <c r="L74" s="706"/>
      <c r="M74" s="740"/>
      <c r="N74" s="4"/>
      <c r="O74" s="85"/>
      <c r="W74" t="s">
        <v>4691</v>
      </c>
    </row>
    <row r="75" spans="2:45" ht="15" customHeight="1" x14ac:dyDescent="0.35">
      <c r="B75" s="452" t="s">
        <v>990</v>
      </c>
      <c r="C75" s="452"/>
      <c r="D75" s="13" t="s">
        <v>4582</v>
      </c>
      <c r="E75" s="13"/>
      <c r="F75" s="13"/>
      <c r="G75" s="13"/>
      <c r="H75" s="550"/>
      <c r="I75" s="4"/>
      <c r="J75" s="175" t="s">
        <v>270</v>
      </c>
      <c r="K75" s="104"/>
      <c r="L75" s="706" t="s">
        <v>992</v>
      </c>
      <c r="M75" s="789" t="s">
        <v>4688</v>
      </c>
      <c r="N75" s="4"/>
      <c r="O75" s="85"/>
      <c r="P75" t="b">
        <v>1</v>
      </c>
      <c r="Q75" t="b">
        <v>1</v>
      </c>
      <c r="R75" t="b">
        <f ca="1">AND(S75,NOT(OR(AND(BF17=2,BG17="Dry"),BI17="Tropical")))</f>
        <v>1</v>
      </c>
      <c r="S75" t="b">
        <f ca="1">AND(NOT(S13=4),NOT(W57),LEN(W78)&lt;=0)</f>
        <v>1</v>
      </c>
      <c r="T75" t="b">
        <f ca="1">IF(AND(NOT(S75),LEN(W75)&gt;0),TRUE,FALSE)</f>
        <v>0</v>
      </c>
      <c r="W75" s="284">
        <v>3</v>
      </c>
      <c r="X75" s="698"/>
      <c r="AC75" t="b">
        <f ca="1">OR(AD75:AE75)</f>
        <v>0</v>
      </c>
      <c r="AD75" t="b">
        <f ca="1">T75</f>
        <v>0</v>
      </c>
      <c r="AE75" t="b">
        <f ca="1">AND(R75,LEN(W75)=0)</f>
        <v>0</v>
      </c>
      <c r="AP75" t="str">
        <f>SUBSTITUTE(SUBSTITUTE(SUBSTITUTE("dch"&amp;$B75&amp;$C75&amp;$D75&amp;$E75&amp;$F75,".","_"),"(","_"),")","")</f>
        <v>dch701_4_3_2_1_</v>
      </c>
      <c r="AQ75" s="314">
        <f>W75</f>
        <v>3</v>
      </c>
      <c r="AR75" t="str">
        <f>SUBSTITUTE(SUBSTITUTE(SUBSTITUTE("dnt"&amp;$B75&amp;$C75&amp;$D75&amp;$E75&amp;$F75,".","_"),"(","_"),")","")</f>
        <v>dnt701_4_3_2_1_</v>
      </c>
      <c r="AS75">
        <f>X75</f>
        <v>0</v>
      </c>
    </row>
    <row r="76" spans="2:45" x14ac:dyDescent="0.35">
      <c r="B76" s="452" t="s">
        <v>990</v>
      </c>
      <c r="C76" s="452"/>
      <c r="D76" s="13" t="s">
        <v>270</v>
      </c>
      <c r="E76" s="13"/>
      <c r="F76" s="13"/>
      <c r="G76" s="13"/>
      <c r="H76" s="550"/>
      <c r="I76" s="4"/>
      <c r="J76" s="104"/>
      <c r="K76" s="104"/>
      <c r="L76" s="706"/>
      <c r="M76" s="789"/>
      <c r="N76" s="4"/>
      <c r="O76" s="85"/>
      <c r="X76" s="699"/>
    </row>
    <row r="77" spans="2:45" x14ac:dyDescent="0.35">
      <c r="B77" s="452" t="s">
        <v>990</v>
      </c>
      <c r="C77" s="452"/>
      <c r="D77" s="13" t="s">
        <v>270</v>
      </c>
      <c r="E77" s="13"/>
      <c r="F77" s="13"/>
      <c r="G77" s="13"/>
      <c r="H77" s="550"/>
      <c r="I77" s="4"/>
      <c r="J77" s="104"/>
      <c r="K77" s="104"/>
      <c r="L77" s="706"/>
      <c r="M77" s="789"/>
      <c r="N77" s="4"/>
      <c r="O77" s="85"/>
      <c r="W77" t="s">
        <v>4805</v>
      </c>
      <c r="X77" s="700"/>
    </row>
    <row r="78" spans="2:45" x14ac:dyDescent="0.35">
      <c r="B78" s="452" t="s">
        <v>990</v>
      </c>
      <c r="C78" s="452"/>
      <c r="D78" s="13" t="s">
        <v>3174</v>
      </c>
      <c r="E78" s="13"/>
      <c r="F78" s="13"/>
      <c r="G78" s="13"/>
      <c r="H78" s="550"/>
      <c r="I78" s="4"/>
      <c r="J78" s="104"/>
      <c r="K78" s="104"/>
      <c r="L78" s="706"/>
      <c r="M78" s="789"/>
      <c r="N78" s="4"/>
      <c r="O78" s="85"/>
      <c r="P78" t="b">
        <v>1</v>
      </c>
      <c r="Q78" t="b">
        <v>1</v>
      </c>
      <c r="R78" t="b">
        <f ca="1">AND(S78,NOT(OR(AND(BF17=2,BG17="Dry"),BI17="Tropical")))</f>
        <v>0</v>
      </c>
      <c r="S78" t="b">
        <f ca="1">AND(NOT(S13=4),NOT(W57), LEN(W75)&lt;=0)</f>
        <v>0</v>
      </c>
      <c r="T78" t="b">
        <f ca="1">IF(AND(NOT(S78),LEN(W78)&gt;0),TRUE,FALSE)</f>
        <v>0</v>
      </c>
      <c r="W78" s="284"/>
      <c r="X78" s="698"/>
      <c r="AC78" t="b">
        <f ca="1">OR(AD78:AE78)</f>
        <v>0</v>
      </c>
      <c r="AD78" t="b">
        <f ca="1">T78</f>
        <v>0</v>
      </c>
      <c r="AE78" t="b">
        <f ca="1">AND(R78,LEN(W78)=0)</f>
        <v>0</v>
      </c>
      <c r="AP78" t="str">
        <f>SUBSTITUTE(SUBSTITUTE(SUBSTITUTE("dch"&amp;$B78&amp;$C78&amp;$D78&amp;$E78&amp;$F78,".","_"),"(","_"),")","")</f>
        <v>dch701_4_3_2e</v>
      </c>
      <c r="AQ78" s="314">
        <f>W78</f>
        <v>0</v>
      </c>
      <c r="AR78" t="str">
        <f>SUBSTITUTE(SUBSTITUTE(SUBSTITUTE("dnt"&amp;$B78&amp;$C78&amp;$D78&amp;$E78&amp;$F78,".","_"),"(","_"),")","")</f>
        <v>dnt701_4_3_2e</v>
      </c>
      <c r="AS78">
        <f>X78</f>
        <v>0</v>
      </c>
    </row>
    <row r="79" spans="2:45" x14ac:dyDescent="0.35">
      <c r="B79" s="452" t="s">
        <v>990</v>
      </c>
      <c r="C79" s="452"/>
      <c r="D79" s="13" t="s">
        <v>270</v>
      </c>
      <c r="E79" s="13"/>
      <c r="F79" s="13"/>
      <c r="G79" s="13"/>
      <c r="H79" s="550"/>
      <c r="I79" s="4"/>
      <c r="J79" s="104"/>
      <c r="K79" s="104"/>
      <c r="L79" s="706"/>
      <c r="M79" s="789"/>
      <c r="N79" s="4"/>
      <c r="O79" s="85"/>
      <c r="X79" s="700"/>
    </row>
    <row r="80" spans="2:45" x14ac:dyDescent="0.35">
      <c r="B80" s="452" t="s">
        <v>990</v>
      </c>
      <c r="C80" s="452"/>
      <c r="D80" s="13" t="s">
        <v>270</v>
      </c>
      <c r="E80" s="13" t="s">
        <v>121</v>
      </c>
      <c r="F80" s="13"/>
      <c r="G80" s="13"/>
      <c r="H80" s="550"/>
      <c r="I80" s="4"/>
      <c r="J80" s="104"/>
      <c r="K80" s="175" t="s">
        <v>121</v>
      </c>
      <c r="L80" s="104" t="s">
        <v>993</v>
      </c>
      <c r="M80" s="789"/>
      <c r="N80" s="4"/>
      <c r="O80" s="85"/>
      <c r="X80" s="39"/>
      <c r="AR80" t="str">
        <f t="shared" ref="AR80:AR81" si="3">SUBSTITUTE(SUBSTITUTE(SUBSTITUTE("dnt"&amp;$B80&amp;$C80&amp;$D80&amp;$E80&amp;$F80,".","_"),"(","_"),")","")</f>
        <v>dnt701_4_3_2_1_a</v>
      </c>
      <c r="AS80">
        <f>X80</f>
        <v>0</v>
      </c>
    </row>
    <row r="81" spans="2:45" x14ac:dyDescent="0.35">
      <c r="B81" s="452" t="s">
        <v>990</v>
      </c>
      <c r="C81" s="452"/>
      <c r="D81" s="13" t="s">
        <v>270</v>
      </c>
      <c r="E81" s="13" t="s">
        <v>122</v>
      </c>
      <c r="F81" s="13"/>
      <c r="G81" s="13"/>
      <c r="H81" s="550"/>
      <c r="I81" s="4"/>
      <c r="J81" s="104"/>
      <c r="K81" s="175" t="s">
        <v>122</v>
      </c>
      <c r="L81" s="707" t="s">
        <v>994</v>
      </c>
      <c r="M81" s="789"/>
      <c r="N81" s="4"/>
      <c r="O81" s="85"/>
      <c r="X81" s="688"/>
      <c r="AR81" t="str">
        <f t="shared" si="3"/>
        <v>dnt701_4_3_2_1_b</v>
      </c>
      <c r="AS81">
        <f>X81</f>
        <v>0</v>
      </c>
    </row>
    <row r="82" spans="2:45" x14ac:dyDescent="0.35">
      <c r="B82" s="452" t="s">
        <v>990</v>
      </c>
      <c r="C82" s="452"/>
      <c r="D82" s="13" t="s">
        <v>270</v>
      </c>
      <c r="E82" s="13" t="s">
        <v>122</v>
      </c>
      <c r="F82" s="13"/>
      <c r="G82" s="13"/>
      <c r="H82" s="550"/>
      <c r="I82" s="4"/>
      <c r="J82" s="104"/>
      <c r="K82" s="175"/>
      <c r="L82" s="707"/>
      <c r="M82" s="789"/>
      <c r="N82" s="4"/>
      <c r="O82" s="85"/>
      <c r="X82" s="688"/>
    </row>
    <row r="83" spans="2:45" x14ac:dyDescent="0.35">
      <c r="B83" s="452" t="s">
        <v>990</v>
      </c>
      <c r="C83" s="452"/>
      <c r="D83" s="13" t="s">
        <v>270</v>
      </c>
      <c r="E83" s="18" t="s">
        <v>123</v>
      </c>
      <c r="F83" s="18"/>
      <c r="G83" s="18"/>
      <c r="H83" s="551"/>
      <c r="I83" s="4"/>
      <c r="J83" s="104"/>
      <c r="K83" s="176" t="s">
        <v>123</v>
      </c>
      <c r="L83" s="104" t="s">
        <v>995</v>
      </c>
      <c r="M83" s="789"/>
      <c r="N83" s="4"/>
      <c r="O83" s="85"/>
      <c r="X83" s="39"/>
      <c r="AR83" t="str">
        <f t="shared" ref="AR83:AR84" si="4">SUBSTITUTE(SUBSTITUTE(SUBSTITUTE("dnt"&amp;$B83&amp;$C83&amp;$D83&amp;$E83&amp;$F83,".","_"),"(","_"),")","")</f>
        <v>dnt701_4_3_2_1_c</v>
      </c>
      <c r="AS83">
        <f>X83</f>
        <v>0</v>
      </c>
    </row>
    <row r="84" spans="2:45" x14ac:dyDescent="0.35">
      <c r="B84" s="452" t="s">
        <v>990</v>
      </c>
      <c r="C84" s="452"/>
      <c r="D84" s="13" t="s">
        <v>270</v>
      </c>
      <c r="E84" s="13" t="s">
        <v>420</v>
      </c>
      <c r="F84" s="13"/>
      <c r="G84" s="13"/>
      <c r="H84" s="550"/>
      <c r="I84" s="4"/>
      <c r="J84" s="104"/>
      <c r="K84" s="110" t="s">
        <v>420</v>
      </c>
      <c r="L84" s="707" t="s">
        <v>996</v>
      </c>
      <c r="M84" s="789"/>
      <c r="N84" s="4"/>
      <c r="O84" s="85"/>
      <c r="X84" s="688"/>
      <c r="AR84" t="str">
        <f t="shared" si="4"/>
        <v>dnt701_4_3_2_1_d</v>
      </c>
      <c r="AS84">
        <f>X84</f>
        <v>0</v>
      </c>
    </row>
    <row r="85" spans="2:45" x14ac:dyDescent="0.35">
      <c r="B85" s="452" t="s">
        <v>990</v>
      </c>
      <c r="C85" s="452"/>
      <c r="D85" s="13" t="s">
        <v>270</v>
      </c>
      <c r="E85" s="13" t="s">
        <v>420</v>
      </c>
      <c r="F85" s="13"/>
      <c r="G85" s="13"/>
      <c r="H85" s="550"/>
      <c r="I85" s="4"/>
      <c r="J85" s="104"/>
      <c r="K85" s="110"/>
      <c r="L85" s="707"/>
      <c r="M85" s="789"/>
      <c r="N85" s="4"/>
      <c r="O85" s="85"/>
      <c r="X85" s="688"/>
    </row>
    <row r="86" spans="2:45" x14ac:dyDescent="0.35">
      <c r="B86" s="452" t="s">
        <v>990</v>
      </c>
      <c r="C86" s="452"/>
      <c r="D86" s="13" t="s">
        <v>270</v>
      </c>
      <c r="E86" s="13" t="s">
        <v>575</v>
      </c>
      <c r="F86" s="13"/>
      <c r="G86" s="13"/>
      <c r="H86" s="550"/>
      <c r="I86" s="4"/>
      <c r="J86" s="104"/>
      <c r="K86" s="110" t="s">
        <v>575</v>
      </c>
      <c r="L86" s="104" t="s">
        <v>997</v>
      </c>
      <c r="M86" s="789"/>
      <c r="N86" s="4"/>
      <c r="O86" s="85"/>
      <c r="X86" s="39"/>
      <c r="AR86" t="str">
        <f t="shared" ref="AR86:AR89" si="5">SUBSTITUTE(SUBSTITUTE(SUBSTITUTE("dnt"&amp;$B86&amp;$C86&amp;$D86&amp;$E86&amp;$F86,".","_"),"(","_"),")","")</f>
        <v>dnt701_4_3_2_1_e</v>
      </c>
      <c r="AS86">
        <f>X86</f>
        <v>0</v>
      </c>
    </row>
    <row r="87" spans="2:45" x14ac:dyDescent="0.35">
      <c r="B87" s="452" t="s">
        <v>990</v>
      </c>
      <c r="C87" s="452"/>
      <c r="D87" s="13" t="s">
        <v>270</v>
      </c>
      <c r="E87" s="18" t="s">
        <v>642</v>
      </c>
      <c r="F87" s="18"/>
      <c r="G87" s="18"/>
      <c r="H87" s="551"/>
      <c r="I87" s="4"/>
      <c r="J87" s="104"/>
      <c r="K87" s="176" t="s">
        <v>642</v>
      </c>
      <c r="L87" s="104" t="s">
        <v>998</v>
      </c>
      <c r="M87" s="789"/>
      <c r="N87" s="4"/>
      <c r="O87" s="85"/>
      <c r="X87" s="39"/>
      <c r="AR87" t="str">
        <f t="shared" si="5"/>
        <v>dnt701_4_3_2_1_f</v>
      </c>
      <c r="AS87">
        <f>X87</f>
        <v>0</v>
      </c>
    </row>
    <row r="88" spans="2:45" ht="15" customHeight="1" x14ac:dyDescent="0.35">
      <c r="B88" s="452" t="s">
        <v>990</v>
      </c>
      <c r="C88" s="452"/>
      <c r="D88" s="13" t="s">
        <v>270</v>
      </c>
      <c r="E88" s="13" t="s">
        <v>644</v>
      </c>
      <c r="F88" s="13"/>
      <c r="G88" s="13"/>
      <c r="H88" s="550"/>
      <c r="I88" s="4"/>
      <c r="J88" s="104"/>
      <c r="K88" s="110" t="s">
        <v>644</v>
      </c>
      <c r="L88" s="104" t="s">
        <v>999</v>
      </c>
      <c r="M88" s="789"/>
      <c r="N88" s="4"/>
      <c r="O88" s="85"/>
      <c r="X88" s="39"/>
      <c r="AR88" t="str">
        <f t="shared" si="5"/>
        <v>dnt701_4_3_2_1_g</v>
      </c>
      <c r="AS88">
        <f>X88</f>
        <v>0</v>
      </c>
    </row>
    <row r="89" spans="2:45" x14ac:dyDescent="0.35">
      <c r="B89" s="452" t="s">
        <v>990</v>
      </c>
      <c r="C89" s="452"/>
      <c r="D89" s="13" t="s">
        <v>270</v>
      </c>
      <c r="E89" s="13" t="s">
        <v>646</v>
      </c>
      <c r="F89" s="13"/>
      <c r="G89" s="13"/>
      <c r="H89" s="550"/>
      <c r="I89" s="4"/>
      <c r="J89" s="104"/>
      <c r="K89" s="376"/>
      <c r="L89" s="714" t="s">
        <v>4069</v>
      </c>
      <c r="M89" s="789"/>
      <c r="N89" s="4"/>
      <c r="O89" s="85"/>
      <c r="X89" s="688"/>
      <c r="AR89" t="str">
        <f t="shared" si="5"/>
        <v>dnt701_4_3_2_1_h</v>
      </c>
      <c r="AS89">
        <f>X89</f>
        <v>0</v>
      </c>
    </row>
    <row r="90" spans="2:45" x14ac:dyDescent="0.35">
      <c r="B90" s="452" t="s">
        <v>990</v>
      </c>
      <c r="C90" s="452"/>
      <c r="D90" s="13" t="s">
        <v>270</v>
      </c>
      <c r="E90" s="13"/>
      <c r="F90" s="13"/>
      <c r="G90" s="13"/>
      <c r="H90" s="550"/>
      <c r="I90" s="4"/>
      <c r="J90" s="214"/>
      <c r="K90" s="377"/>
      <c r="L90" s="755"/>
      <c r="M90" s="789"/>
      <c r="N90" s="4"/>
      <c r="O90" s="85"/>
      <c r="X90" s="688"/>
    </row>
    <row r="91" spans="2:45" x14ac:dyDescent="0.35">
      <c r="B91" s="452" t="s">
        <v>990</v>
      </c>
      <c r="C91" s="452"/>
      <c r="D91" s="13" t="s">
        <v>272</v>
      </c>
      <c r="E91" s="13"/>
      <c r="F91" s="13"/>
      <c r="G91" s="13"/>
      <c r="H91" s="550"/>
      <c r="I91" s="4"/>
      <c r="J91" s="175" t="s">
        <v>272</v>
      </c>
      <c r="K91" s="104"/>
      <c r="L91" s="706" t="s">
        <v>1000</v>
      </c>
      <c r="M91" s="43"/>
      <c r="N91" s="4"/>
      <c r="O91" s="85"/>
      <c r="P91" t="b">
        <v>1</v>
      </c>
      <c r="Q91" t="b">
        <v>1</v>
      </c>
      <c r="R91" t="b">
        <f ca="1">S91</f>
        <v>1</v>
      </c>
      <c r="S91" t="b">
        <f ca="1">AND(NOT(S13=4))</f>
        <v>1</v>
      </c>
      <c r="T91" t="b">
        <f ca="1">AND(NOT(S91),W91=TRUE)</f>
        <v>0</v>
      </c>
      <c r="W91" s="17" t="b">
        <v>1</v>
      </c>
      <c r="X91" s="688"/>
      <c r="AC91" t="b">
        <f ca="1">OR(AD91:AE91)</f>
        <v>0</v>
      </c>
      <c r="AD91" t="b">
        <f ca="1">T91</f>
        <v>0</v>
      </c>
      <c r="AE91" t="b">
        <f ca="1">AND(R91,NOT(W91))</f>
        <v>0</v>
      </c>
      <c r="AP91" t="str">
        <f>SUBSTITUTE(SUBSTITUTE(SUBSTITUTE("dch"&amp;$B91&amp;$C91&amp;$D91&amp;$E91&amp;$F91,".","_"),"(","_"),")","")</f>
        <v>dch701_4_3_2_2</v>
      </c>
      <c r="AQ91" t="b">
        <f>W91</f>
        <v>1</v>
      </c>
      <c r="AR91" t="str">
        <f>SUBSTITUTE(SUBSTITUTE(SUBSTITUTE("dnt"&amp;$B91&amp;$C91&amp;$D91&amp;$E91&amp;$F91,".","_"),"(","_"),")","")</f>
        <v>dnt701_4_3_2_2</v>
      </c>
      <c r="AS91">
        <f>X91</f>
        <v>0</v>
      </c>
    </row>
    <row r="92" spans="2:45" x14ac:dyDescent="0.35">
      <c r="B92" s="452" t="s">
        <v>990</v>
      </c>
      <c r="C92" s="452"/>
      <c r="D92" s="13" t="s">
        <v>272</v>
      </c>
      <c r="E92" s="13"/>
      <c r="F92" s="13"/>
      <c r="G92" s="13"/>
      <c r="H92" s="550"/>
      <c r="I92" s="4"/>
      <c r="J92" s="104"/>
      <c r="K92" s="104"/>
      <c r="L92" s="706"/>
      <c r="M92" s="43"/>
      <c r="N92" s="4"/>
      <c r="O92" s="85"/>
      <c r="X92" s="688"/>
    </row>
    <row r="93" spans="2:45" x14ac:dyDescent="0.35">
      <c r="B93" s="452" t="s">
        <v>990</v>
      </c>
      <c r="C93" s="452"/>
      <c r="D93" s="13" t="s">
        <v>272</v>
      </c>
      <c r="E93" s="13"/>
      <c r="F93" s="13"/>
      <c r="G93" s="13"/>
      <c r="H93" s="550"/>
      <c r="I93" s="155"/>
      <c r="J93" s="214"/>
      <c r="K93" s="214"/>
      <c r="L93" s="356" t="s">
        <v>3633</v>
      </c>
      <c r="M93" s="198"/>
      <c r="N93" s="155"/>
      <c r="O93" s="342"/>
      <c r="P93" s="119"/>
      <c r="Q93" s="119"/>
      <c r="R93" s="119"/>
      <c r="S93" s="119"/>
      <c r="T93" s="119"/>
      <c r="U93" s="119"/>
      <c r="V93" s="119"/>
      <c r="W93" s="119"/>
      <c r="X93" s="688"/>
    </row>
    <row r="94" spans="2:45" x14ac:dyDescent="0.35">
      <c r="B94" s="452" t="s">
        <v>1001</v>
      </c>
      <c r="C94" s="452"/>
      <c r="D94" s="13"/>
      <c r="E94" s="13"/>
      <c r="F94" s="13"/>
      <c r="G94" s="13"/>
      <c r="H94" s="550"/>
      <c r="I94" s="34" t="s">
        <v>1001</v>
      </c>
      <c r="J94" s="104"/>
      <c r="K94" s="104"/>
      <c r="L94" s="110" t="s">
        <v>1002</v>
      </c>
      <c r="M94" s="556" t="str">
        <f ca="1">IF(R94,"Mandatory","N/A")</f>
        <v>Mandatory</v>
      </c>
      <c r="N94" s="4"/>
      <c r="O94" s="85"/>
      <c r="P94" t="b">
        <v>1</v>
      </c>
      <c r="Q94" t="b">
        <v>0</v>
      </c>
      <c r="R94" t="b">
        <f ca="1">S94</f>
        <v>1</v>
      </c>
      <c r="S94" t="b">
        <f ca="1">AND(NOT(S13=4))</f>
        <v>1</v>
      </c>
      <c r="T94" t="b">
        <f ca="1">AND(NOT(S94),W94=TRUE)</f>
        <v>0</v>
      </c>
      <c r="W94" s="77" t="b">
        <v>1</v>
      </c>
      <c r="AC94" t="b">
        <f ca="1">OR(AD94:AE94)</f>
        <v>0</v>
      </c>
      <c r="AD94" t="b">
        <f ca="1">T94</f>
        <v>0</v>
      </c>
      <c r="AE94" t="b">
        <f ca="1">AND(R94,NOT(W94))</f>
        <v>0</v>
      </c>
      <c r="AL94" t="str">
        <f>SUBSTITUTE(SUBSTITUTE(SUBSTITUTE("dpa"&amp;$B94&amp;$C94&amp;$D94&amp;$E94&amp;$F94,".","_"),"(","_"),")","")</f>
        <v>dpa701_4_3_2_1</v>
      </c>
      <c r="AM94" t="str">
        <f ca="1">M94</f>
        <v>Mandatory</v>
      </c>
      <c r="AP94" t="str">
        <f>SUBSTITUTE(SUBSTITUTE(SUBSTITUTE("dch"&amp;$B94&amp;$C94&amp;$D94&amp;$E94&amp;$F94,".","_"),"(","_"),")","")</f>
        <v>dch701_4_3_2_1</v>
      </c>
      <c r="AQ94" t="b">
        <f>W94</f>
        <v>1</v>
      </c>
    </row>
    <row r="95" spans="2:45" x14ac:dyDescent="0.35">
      <c r="B95" s="452" t="s">
        <v>1001</v>
      </c>
      <c r="C95" s="452"/>
      <c r="D95" s="13" t="s">
        <v>270</v>
      </c>
      <c r="E95" s="13"/>
      <c r="F95" s="13"/>
      <c r="G95" s="13"/>
      <c r="H95" s="550"/>
      <c r="I95" s="4"/>
      <c r="J95" s="359" t="s">
        <v>270</v>
      </c>
      <c r="K95" s="214"/>
      <c r="L95" s="214" t="s">
        <v>1003</v>
      </c>
      <c r="M95" s="43"/>
      <c r="N95" s="4"/>
      <c r="O95" s="85"/>
      <c r="X95" s="39"/>
      <c r="AR95" t="str">
        <f t="shared" ref="AR95:AR96" si="6">SUBSTITUTE(SUBSTITUTE(SUBSTITUTE("dnt"&amp;$B95&amp;$C95&amp;$D95&amp;$E95&amp;$F95,".","_"),"(","_"),")","")</f>
        <v>dnt701_4_3_2_1_1</v>
      </c>
      <c r="AS95">
        <f>X95</f>
        <v>0</v>
      </c>
    </row>
    <row r="96" spans="2:45" x14ac:dyDescent="0.35">
      <c r="B96" s="452" t="s">
        <v>1001</v>
      </c>
      <c r="C96" s="452"/>
      <c r="D96" s="13" t="s">
        <v>272</v>
      </c>
      <c r="E96" s="13"/>
      <c r="F96" s="13"/>
      <c r="G96" s="13"/>
      <c r="H96" s="550"/>
      <c r="I96" s="4"/>
      <c r="J96" s="378" t="s">
        <v>272</v>
      </c>
      <c r="K96" s="320"/>
      <c r="L96" s="742" t="s">
        <v>1004</v>
      </c>
      <c r="M96" s="43"/>
      <c r="N96" s="4"/>
      <c r="O96" s="85"/>
      <c r="X96" s="688"/>
      <c r="AR96" t="str">
        <f t="shared" si="6"/>
        <v>dnt701_4_3_2_1_2</v>
      </c>
      <c r="AS96">
        <f>X96</f>
        <v>0</v>
      </c>
    </row>
    <row r="97" spans="2:45" x14ac:dyDescent="0.35">
      <c r="B97" s="452" t="s">
        <v>1001</v>
      </c>
      <c r="C97" s="452"/>
      <c r="D97" s="13" t="s">
        <v>272</v>
      </c>
      <c r="E97" s="13"/>
      <c r="F97" s="13"/>
      <c r="G97" s="13"/>
      <c r="H97" s="550"/>
      <c r="I97" s="4"/>
      <c r="J97" s="359"/>
      <c r="K97" s="214"/>
      <c r="L97" s="709"/>
      <c r="M97" s="43"/>
      <c r="N97" s="4"/>
      <c r="O97" s="85"/>
      <c r="X97" s="688"/>
    </row>
    <row r="98" spans="2:45" x14ac:dyDescent="0.35">
      <c r="B98" s="452" t="s">
        <v>1001</v>
      </c>
      <c r="C98" s="452"/>
      <c r="D98" s="13" t="s">
        <v>274</v>
      </c>
      <c r="E98" s="13"/>
      <c r="F98" s="13"/>
      <c r="G98" s="13"/>
      <c r="H98" s="550"/>
      <c r="I98" s="4"/>
      <c r="J98" s="379" t="s">
        <v>274</v>
      </c>
      <c r="K98" s="220"/>
      <c r="L98" s="220" t="s">
        <v>1005</v>
      </c>
      <c r="M98" s="43"/>
      <c r="N98" s="4"/>
      <c r="O98" s="85"/>
      <c r="X98" s="39"/>
      <c r="AR98" t="str">
        <f t="shared" ref="AR98:AR99" si="7">SUBSTITUTE(SUBSTITUTE(SUBSTITUTE("dnt"&amp;$B98&amp;$C98&amp;$D98&amp;$E98&amp;$F98,".","_"),"(","_"),")","")</f>
        <v>dnt701_4_3_2_1_3</v>
      </c>
      <c r="AS98">
        <f>X98</f>
        <v>0</v>
      </c>
    </row>
    <row r="99" spans="2:45" x14ac:dyDescent="0.35">
      <c r="B99" s="452" t="s">
        <v>1001</v>
      </c>
      <c r="C99" s="452"/>
      <c r="D99" s="13" t="s">
        <v>283</v>
      </c>
      <c r="E99" s="13"/>
      <c r="F99" s="13"/>
      <c r="G99" s="13"/>
      <c r="H99" s="550"/>
      <c r="I99" s="4"/>
      <c r="J99" s="175" t="s">
        <v>283</v>
      </c>
      <c r="K99" s="104"/>
      <c r="L99" s="707" t="s">
        <v>1006</v>
      </c>
      <c r="M99" s="43"/>
      <c r="N99" s="4"/>
      <c r="O99" s="85"/>
      <c r="X99" s="688"/>
      <c r="AR99" t="str">
        <f t="shared" si="7"/>
        <v>dnt701_4_3_2_1_4</v>
      </c>
      <c r="AS99">
        <f>X99</f>
        <v>0</v>
      </c>
    </row>
    <row r="100" spans="2:45" x14ac:dyDescent="0.35">
      <c r="B100" s="452" t="s">
        <v>1001</v>
      </c>
      <c r="C100" s="452"/>
      <c r="D100" s="13" t="s">
        <v>283</v>
      </c>
      <c r="E100" s="13"/>
      <c r="F100" s="13"/>
      <c r="G100" s="13"/>
      <c r="H100" s="550"/>
      <c r="I100" s="4"/>
      <c r="J100" s="175"/>
      <c r="K100" s="104"/>
      <c r="L100" s="707"/>
      <c r="M100" s="43"/>
      <c r="N100" s="4"/>
      <c r="O100" s="85"/>
      <c r="X100" s="688"/>
    </row>
    <row r="101" spans="2:45" x14ac:dyDescent="0.35">
      <c r="B101" s="452" t="s">
        <v>1001</v>
      </c>
      <c r="C101" s="452"/>
      <c r="D101" s="13" t="s">
        <v>283</v>
      </c>
      <c r="E101" s="13"/>
      <c r="F101" s="13"/>
      <c r="G101" s="13"/>
      <c r="H101" s="550"/>
      <c r="I101" s="4"/>
      <c r="J101" s="175"/>
      <c r="K101" s="104"/>
      <c r="L101" s="707"/>
      <c r="M101" s="43"/>
      <c r="N101" s="4"/>
      <c r="O101" s="85"/>
      <c r="X101" s="688"/>
    </row>
    <row r="102" spans="2:45" x14ac:dyDescent="0.35">
      <c r="B102" s="452" t="s">
        <v>1001</v>
      </c>
      <c r="C102" s="452"/>
      <c r="D102" s="13" t="s">
        <v>283</v>
      </c>
      <c r="E102" s="13"/>
      <c r="F102" s="13"/>
      <c r="G102" s="13"/>
      <c r="H102" s="550"/>
      <c r="I102" s="4"/>
      <c r="J102" s="175"/>
      <c r="K102" s="104"/>
      <c r="L102" s="707"/>
      <c r="M102" s="43"/>
      <c r="N102" s="4"/>
      <c r="O102" s="85"/>
      <c r="X102" s="688"/>
    </row>
    <row r="103" spans="2:45" x14ac:dyDescent="0.35">
      <c r="B103" s="452" t="s">
        <v>1001</v>
      </c>
      <c r="C103" s="452"/>
      <c r="D103" s="13" t="s">
        <v>289</v>
      </c>
      <c r="E103" s="13"/>
      <c r="F103" s="13"/>
      <c r="G103" s="13"/>
      <c r="H103" s="550"/>
      <c r="I103" s="4"/>
      <c r="J103" s="175" t="s">
        <v>289</v>
      </c>
      <c r="K103" s="104"/>
      <c r="L103" s="707" t="s">
        <v>1007</v>
      </c>
      <c r="M103" s="43"/>
      <c r="N103" s="4"/>
      <c r="O103" s="85"/>
      <c r="X103" s="688"/>
      <c r="AR103" t="str">
        <f>SUBSTITUTE(SUBSTITUTE(SUBSTITUTE("dnt"&amp;$B103&amp;$C103&amp;$D103&amp;$E103&amp;$F103,".","_"),"(","_"),")","")</f>
        <v>dnt701_4_3_2_1_5</v>
      </c>
      <c r="AS103">
        <f>X103</f>
        <v>0</v>
      </c>
    </row>
    <row r="104" spans="2:45" x14ac:dyDescent="0.35">
      <c r="B104" s="452" t="s">
        <v>1001</v>
      </c>
      <c r="C104" s="452"/>
      <c r="D104" s="13" t="s">
        <v>289</v>
      </c>
      <c r="E104" s="13"/>
      <c r="F104" s="13"/>
      <c r="G104" s="13"/>
      <c r="H104" s="550"/>
      <c r="I104" s="4"/>
      <c r="J104" s="359"/>
      <c r="K104" s="214"/>
      <c r="L104" s="709"/>
      <c r="M104" s="43"/>
      <c r="N104" s="4"/>
      <c r="O104" s="85"/>
      <c r="X104" s="688"/>
    </row>
    <row r="105" spans="2:45" x14ac:dyDescent="0.35">
      <c r="B105" s="452" t="s">
        <v>1001</v>
      </c>
      <c r="C105" s="452"/>
      <c r="D105" s="13" t="s">
        <v>291</v>
      </c>
      <c r="E105" s="13"/>
      <c r="F105" s="13"/>
      <c r="G105" s="13"/>
      <c r="H105" s="550"/>
      <c r="I105" s="4"/>
      <c r="J105" s="378" t="s">
        <v>291</v>
      </c>
      <c r="K105" s="320"/>
      <c r="L105" s="742" t="s">
        <v>1008</v>
      </c>
      <c r="M105" s="43"/>
      <c r="N105" s="4"/>
      <c r="O105" s="85"/>
      <c r="X105" s="688"/>
      <c r="AR105" t="str">
        <f>SUBSTITUTE(SUBSTITUTE(SUBSTITUTE("dnt"&amp;$B105&amp;$C105&amp;$D105&amp;$E105&amp;$F105,".","_"),"(","_"),")","")</f>
        <v>dnt701_4_3_2_1_6</v>
      </c>
      <c r="AS105">
        <f>X105</f>
        <v>0</v>
      </c>
    </row>
    <row r="106" spans="2:45" x14ac:dyDescent="0.35">
      <c r="B106" s="452" t="s">
        <v>1001</v>
      </c>
      <c r="C106" s="452"/>
      <c r="D106" s="13" t="s">
        <v>291</v>
      </c>
      <c r="E106" s="13"/>
      <c r="F106" s="13"/>
      <c r="G106" s="13"/>
      <c r="H106" s="550"/>
      <c r="I106" s="4"/>
      <c r="J106" s="175"/>
      <c r="K106" s="104"/>
      <c r="L106" s="707"/>
      <c r="M106" s="43"/>
      <c r="N106" s="4"/>
      <c r="O106" s="85"/>
      <c r="X106" s="688"/>
    </row>
    <row r="107" spans="2:45" x14ac:dyDescent="0.35">
      <c r="B107" s="452" t="s">
        <v>1001</v>
      </c>
      <c r="C107" s="452"/>
      <c r="D107" s="13" t="s">
        <v>291</v>
      </c>
      <c r="E107" s="13"/>
      <c r="F107" s="13"/>
      <c r="G107" s="13"/>
      <c r="H107" s="550"/>
      <c r="I107" s="4"/>
      <c r="J107" s="359"/>
      <c r="K107" s="214"/>
      <c r="L107" s="709"/>
      <c r="M107" s="43"/>
      <c r="N107" s="4"/>
      <c r="O107" s="85"/>
      <c r="X107" s="688"/>
    </row>
    <row r="108" spans="2:45" x14ac:dyDescent="0.35">
      <c r="B108" s="452" t="s">
        <v>1001</v>
      </c>
      <c r="C108" s="452"/>
      <c r="D108" s="13" t="s">
        <v>403</v>
      </c>
      <c r="E108" s="13"/>
      <c r="F108" s="13"/>
      <c r="G108" s="13"/>
      <c r="H108" s="550"/>
      <c r="I108" s="4"/>
      <c r="J108" s="378" t="s">
        <v>403</v>
      </c>
      <c r="K108" s="320"/>
      <c r="L108" s="742" t="s">
        <v>1009</v>
      </c>
      <c r="M108" s="43"/>
      <c r="N108" s="4"/>
      <c r="O108" s="85"/>
      <c r="X108" s="688"/>
      <c r="AR108" t="str">
        <f>SUBSTITUTE(SUBSTITUTE(SUBSTITUTE("dnt"&amp;$B108&amp;$C108&amp;$D108&amp;$E108&amp;$F108,".","_"),"(","_"),")","")</f>
        <v>dnt701_4_3_2_1_7</v>
      </c>
      <c r="AS108">
        <f>X108</f>
        <v>0</v>
      </c>
    </row>
    <row r="109" spans="2:45" ht="15" customHeight="1" x14ac:dyDescent="0.35">
      <c r="B109" s="452" t="s">
        <v>1001</v>
      </c>
      <c r="C109" s="452"/>
      <c r="D109" s="13" t="s">
        <v>403</v>
      </c>
      <c r="E109" s="13"/>
      <c r="F109" s="13"/>
      <c r="G109" s="13"/>
      <c r="H109" s="550"/>
      <c r="I109" s="4"/>
      <c r="J109" s="359"/>
      <c r="K109" s="214"/>
      <c r="L109" s="709"/>
      <c r="M109" s="43"/>
      <c r="N109" s="4"/>
      <c r="O109" s="85"/>
      <c r="X109" s="688"/>
    </row>
    <row r="110" spans="2:45" ht="15" customHeight="1" x14ac:dyDescent="0.35">
      <c r="B110" s="452" t="s">
        <v>1001</v>
      </c>
      <c r="C110" s="452"/>
      <c r="D110" s="13" t="s">
        <v>453</v>
      </c>
      <c r="E110" s="13"/>
      <c r="F110" s="13"/>
      <c r="G110" s="13"/>
      <c r="H110" s="550"/>
      <c r="I110" s="4"/>
      <c r="J110" s="379" t="s">
        <v>453</v>
      </c>
      <c r="K110" s="220"/>
      <c r="L110" s="220" t="s">
        <v>1010</v>
      </c>
      <c r="M110" s="43"/>
      <c r="N110" s="4"/>
      <c r="O110" s="85"/>
      <c r="X110" s="39"/>
      <c r="AR110" t="str">
        <f t="shared" ref="AR110:AR112" si="8">SUBSTITUTE(SUBSTITUTE(SUBSTITUTE("dnt"&amp;$B110&amp;$C110&amp;$D110&amp;$E110&amp;$F110,".","_"),"(","_"),")","")</f>
        <v>dnt701_4_3_2_1_8</v>
      </c>
      <c r="AS110">
        <f>X110</f>
        <v>0</v>
      </c>
    </row>
    <row r="111" spans="2:45" ht="15" customHeight="1" x14ac:dyDescent="0.35">
      <c r="B111" s="452" t="s">
        <v>1001</v>
      </c>
      <c r="C111" s="452"/>
      <c r="D111" s="13" t="s">
        <v>455</v>
      </c>
      <c r="E111" s="13"/>
      <c r="F111" s="13"/>
      <c r="G111" s="13"/>
      <c r="H111" s="550"/>
      <c r="I111" s="4"/>
      <c r="J111" s="379" t="s">
        <v>455</v>
      </c>
      <c r="K111" s="220"/>
      <c r="L111" s="220" t="s">
        <v>1011</v>
      </c>
      <c r="M111" s="43"/>
      <c r="N111" s="4"/>
      <c r="O111" s="85"/>
      <c r="X111" s="39"/>
      <c r="AR111" t="str">
        <f t="shared" si="8"/>
        <v>dnt701_4_3_2_1_9</v>
      </c>
      <c r="AS111">
        <f>X111</f>
        <v>0</v>
      </c>
    </row>
    <row r="112" spans="2:45" ht="15" customHeight="1" x14ac:dyDescent="0.35">
      <c r="B112" s="452" t="s">
        <v>1001</v>
      </c>
      <c r="C112" s="452"/>
      <c r="D112" s="13" t="s">
        <v>457</v>
      </c>
      <c r="E112" s="13"/>
      <c r="F112" s="13"/>
      <c r="G112" s="13"/>
      <c r="H112" s="550"/>
      <c r="I112" s="4"/>
      <c r="J112" s="378" t="s">
        <v>457</v>
      </c>
      <c r="K112" s="320"/>
      <c r="L112" s="742" t="s">
        <v>1012</v>
      </c>
      <c r="M112" s="43"/>
      <c r="N112" s="4"/>
      <c r="O112" s="85"/>
      <c r="X112" s="688"/>
      <c r="AR112" t="str">
        <f t="shared" si="8"/>
        <v>dnt701_4_3_2_1_10</v>
      </c>
      <c r="AS112">
        <f>X112</f>
        <v>0</v>
      </c>
    </row>
    <row r="113" spans="2:45" x14ac:dyDescent="0.35">
      <c r="B113" s="452" t="s">
        <v>1001</v>
      </c>
      <c r="C113" s="452"/>
      <c r="D113" s="13" t="s">
        <v>457</v>
      </c>
      <c r="E113" s="13"/>
      <c r="F113" s="13"/>
      <c r="G113" s="13"/>
      <c r="H113" s="550"/>
      <c r="I113" s="4"/>
      <c r="J113" s="175"/>
      <c r="K113" s="104"/>
      <c r="L113" s="707"/>
      <c r="M113" s="43"/>
      <c r="N113" s="4"/>
      <c r="O113" s="85"/>
      <c r="X113" s="688"/>
    </row>
    <row r="114" spans="2:45" ht="15" customHeight="1" x14ac:dyDescent="0.35">
      <c r="B114" s="452" t="s">
        <v>1001</v>
      </c>
      <c r="C114" s="452"/>
      <c r="D114" s="13" t="s">
        <v>457</v>
      </c>
      <c r="E114" s="13"/>
      <c r="F114" s="13"/>
      <c r="G114" s="13"/>
      <c r="H114" s="550"/>
      <c r="I114" s="4"/>
      <c r="J114" s="359"/>
      <c r="K114" s="214"/>
      <c r="L114" s="709"/>
      <c r="M114" s="43"/>
      <c r="N114" s="4"/>
      <c r="O114" s="85"/>
      <c r="X114" s="688"/>
    </row>
    <row r="115" spans="2:45" ht="15" customHeight="1" x14ac:dyDescent="0.35">
      <c r="B115" s="452" t="s">
        <v>1001</v>
      </c>
      <c r="C115" s="452"/>
      <c r="D115" s="13" t="s">
        <v>459</v>
      </c>
      <c r="E115" s="13"/>
      <c r="F115" s="13"/>
      <c r="G115" s="13"/>
      <c r="H115" s="550"/>
      <c r="I115" s="4"/>
      <c r="J115" s="175" t="s">
        <v>459</v>
      </c>
      <c r="K115" s="104"/>
      <c r="L115" s="707" t="s">
        <v>1013</v>
      </c>
      <c r="M115" s="43"/>
      <c r="N115" s="4"/>
      <c r="O115" s="85"/>
      <c r="X115" s="688"/>
      <c r="AR115" t="str">
        <f>SUBSTITUTE(SUBSTITUTE(SUBSTITUTE("dnt"&amp;$B115&amp;$C115&amp;$D115&amp;$E115&amp;$F115,".","_"),"(","_"),")","")</f>
        <v>dnt701_4_3_2_1_11</v>
      </c>
      <c r="AS115">
        <f>X115</f>
        <v>0</v>
      </c>
    </row>
    <row r="116" spans="2:45" x14ac:dyDescent="0.35">
      <c r="B116" s="452" t="s">
        <v>1001</v>
      </c>
      <c r="C116" s="452"/>
      <c r="D116" s="13" t="s">
        <v>459</v>
      </c>
      <c r="E116" s="13"/>
      <c r="F116" s="13"/>
      <c r="G116" s="13"/>
      <c r="H116" s="550"/>
      <c r="I116" s="4"/>
      <c r="J116" s="175"/>
      <c r="K116" s="104"/>
      <c r="L116" s="707"/>
      <c r="M116" s="43"/>
      <c r="N116" s="4"/>
      <c r="O116" s="85"/>
      <c r="X116" s="688"/>
    </row>
    <row r="117" spans="2:45" x14ac:dyDescent="0.35">
      <c r="B117" s="452" t="s">
        <v>1001</v>
      </c>
      <c r="C117" s="452"/>
      <c r="D117" s="13" t="s">
        <v>459</v>
      </c>
      <c r="E117" s="13"/>
      <c r="F117" s="13"/>
      <c r="G117" s="13"/>
      <c r="H117" s="550"/>
      <c r="I117" s="155"/>
      <c r="J117" s="359"/>
      <c r="K117" s="214"/>
      <c r="L117" s="709"/>
      <c r="M117" s="198"/>
      <c r="N117" s="155"/>
      <c r="O117" s="342"/>
      <c r="P117" s="119"/>
      <c r="Q117" s="119"/>
      <c r="R117" s="119"/>
      <c r="S117" s="119"/>
      <c r="T117" s="119"/>
      <c r="U117" s="119"/>
      <c r="V117" s="119"/>
      <c r="W117" s="119"/>
      <c r="X117" s="688"/>
    </row>
    <row r="118" spans="2:45" x14ac:dyDescent="0.35">
      <c r="B118" s="452" t="s">
        <v>1014</v>
      </c>
      <c r="C118" s="452"/>
      <c r="D118" s="13"/>
      <c r="E118" s="13"/>
      <c r="F118" s="13"/>
      <c r="G118" s="13"/>
      <c r="H118" s="550"/>
      <c r="I118" s="135" t="s">
        <v>1015</v>
      </c>
      <c r="J118" s="320"/>
      <c r="K118" s="320"/>
      <c r="L118" s="753" t="s">
        <v>1016</v>
      </c>
      <c r="M118" s="317"/>
      <c r="N118" s="136"/>
      <c r="O118" s="189"/>
      <c r="P118" s="138"/>
      <c r="Q118" s="138"/>
      <c r="R118" s="138"/>
      <c r="S118" s="138"/>
      <c r="T118" s="138"/>
      <c r="U118" s="138"/>
      <c r="V118" s="138"/>
      <c r="W118" s="138" t="s">
        <v>3754</v>
      </c>
      <c r="X118" s="688"/>
      <c r="AR118" t="str">
        <f>SUBSTITUTE(SUBSTITUTE(SUBSTITUTE("dnt"&amp;$B118&amp;$C118&amp;$D118&amp;$E118&amp;$F118,".","_"),"(","_"),")","")</f>
        <v>dnt701_4_3_3_3</v>
      </c>
      <c r="AS118">
        <f>X118</f>
        <v>0</v>
      </c>
    </row>
    <row r="119" spans="2:45" x14ac:dyDescent="0.35">
      <c r="B119" s="452" t="s">
        <v>1014</v>
      </c>
      <c r="C119" s="452"/>
      <c r="D119" s="13"/>
      <c r="E119" s="13"/>
      <c r="F119" s="13"/>
      <c r="G119" s="13"/>
      <c r="H119" s="550"/>
      <c r="I119" s="32"/>
      <c r="J119" s="104"/>
      <c r="K119" s="104"/>
      <c r="L119" s="706"/>
      <c r="M119" s="43"/>
      <c r="N119" s="4"/>
      <c r="O119" s="85"/>
      <c r="X119" s="688"/>
    </row>
    <row r="120" spans="2:45" x14ac:dyDescent="0.35">
      <c r="B120" s="452" t="s">
        <v>1014</v>
      </c>
      <c r="C120" s="452"/>
      <c r="D120" s="13"/>
      <c r="E120" s="13"/>
      <c r="F120" s="13"/>
      <c r="G120" s="13"/>
      <c r="H120" s="550"/>
      <c r="I120" s="161"/>
      <c r="J120" s="214"/>
      <c r="K120" s="214"/>
      <c r="L120" s="739"/>
      <c r="M120" s="198"/>
      <c r="N120" s="155"/>
      <c r="O120" s="342"/>
      <c r="P120" s="119"/>
      <c r="Q120" s="119"/>
      <c r="R120" s="119"/>
      <c r="S120" s="119"/>
      <c r="T120" s="119"/>
      <c r="U120" s="119"/>
      <c r="V120" s="119"/>
      <c r="W120" s="119"/>
      <c r="X120" s="688"/>
    </row>
    <row r="121" spans="2:45" x14ac:dyDescent="0.35">
      <c r="B121" s="452" t="s">
        <v>1017</v>
      </c>
      <c r="C121" s="452"/>
      <c r="D121" s="13"/>
      <c r="E121" s="13"/>
      <c r="F121" s="13"/>
      <c r="G121" s="13"/>
      <c r="H121" s="550"/>
      <c r="I121" s="135" t="s">
        <v>1018</v>
      </c>
      <c r="J121" s="320"/>
      <c r="K121" s="320"/>
      <c r="L121" s="753" t="s">
        <v>1019</v>
      </c>
      <c r="M121" s="769" t="str">
        <f ca="1">IF(R121,"Mandatory","N/A")</f>
        <v>Mandatory</v>
      </c>
      <c r="N121" s="136"/>
      <c r="O121" s="189"/>
      <c r="P121" t="b">
        <v>1</v>
      </c>
      <c r="Q121" t="b">
        <v>1</v>
      </c>
      <c r="R121" s="138" t="b">
        <f ca="1">S121</f>
        <v>1</v>
      </c>
      <c r="S121" s="138" t="b">
        <f ca="1">NOT(S13=4)</f>
        <v>1</v>
      </c>
      <c r="T121" s="138" t="b">
        <f ca="1">AND(NOT(S121),W121=TRUE)</f>
        <v>0</v>
      </c>
      <c r="U121" s="138"/>
      <c r="V121" s="138"/>
      <c r="W121" s="17" t="b">
        <v>1</v>
      </c>
      <c r="X121" s="688"/>
      <c r="AC121" t="b">
        <f ca="1">OR(AD121:AE121)</f>
        <v>0</v>
      </c>
      <c r="AD121" t="b">
        <f ca="1">T121</f>
        <v>0</v>
      </c>
      <c r="AE121" t="b">
        <f ca="1">AND(R121,NOT(W121))</f>
        <v>0</v>
      </c>
      <c r="AL121" t="str">
        <f>SUBSTITUTE(SUBSTITUTE(SUBSTITUTE("dpa"&amp;$B121&amp;$C121&amp;$D121&amp;$E121&amp;$F121,".","_"),"(","_"),")","")</f>
        <v>dpa701_4_3_3_4</v>
      </c>
      <c r="AM121" t="str">
        <f ca="1">M121</f>
        <v>Mandatory</v>
      </c>
      <c r="AP121" t="str">
        <f>SUBSTITUTE(SUBSTITUTE(SUBSTITUTE("dch"&amp;$B121&amp;$C121&amp;$D121&amp;$E121&amp;$F121,".","_"),"(","_"),")","")</f>
        <v>dch701_4_3_3_4</v>
      </c>
      <c r="AQ121" t="b">
        <f>W121</f>
        <v>1</v>
      </c>
      <c r="AR121" t="str">
        <f>SUBSTITUTE(SUBSTITUTE(SUBSTITUTE("dnt"&amp;$B121&amp;$C121&amp;$D121&amp;$E121&amp;$F121,".","_"),"(","_"),")","")</f>
        <v>dnt701_4_3_3_4</v>
      </c>
      <c r="AS121">
        <f>X121</f>
        <v>0</v>
      </c>
    </row>
    <row r="122" spans="2:45" x14ac:dyDescent="0.35">
      <c r="B122" s="452" t="s">
        <v>1017</v>
      </c>
      <c r="C122" s="452"/>
      <c r="D122" s="13"/>
      <c r="E122" s="13"/>
      <c r="F122" s="13"/>
      <c r="G122" s="13"/>
      <c r="H122" s="550"/>
      <c r="I122" s="4"/>
      <c r="J122" s="104"/>
      <c r="K122" s="104"/>
      <c r="L122" s="706"/>
      <c r="M122" s="740"/>
      <c r="N122" s="4"/>
      <c r="O122" s="85"/>
      <c r="X122" s="688"/>
    </row>
    <row r="123" spans="2:45" x14ac:dyDescent="0.35">
      <c r="B123" s="452" t="s">
        <v>1017</v>
      </c>
      <c r="C123" s="452"/>
      <c r="D123" s="13"/>
      <c r="E123" s="13"/>
      <c r="F123" s="13"/>
      <c r="G123" s="13"/>
      <c r="H123" s="550"/>
      <c r="I123" s="4"/>
      <c r="J123" s="104"/>
      <c r="K123" s="104"/>
      <c r="L123" s="706"/>
      <c r="M123" s="740"/>
      <c r="N123" s="4"/>
      <c r="O123" s="85"/>
      <c r="X123" s="688"/>
    </row>
    <row r="124" spans="2:45" x14ac:dyDescent="0.35">
      <c r="B124" s="452" t="s">
        <v>1017</v>
      </c>
      <c r="C124" s="452"/>
      <c r="D124" s="13"/>
      <c r="E124" s="13"/>
      <c r="F124" s="13"/>
      <c r="G124" s="13"/>
      <c r="H124" s="550"/>
      <c r="I124" s="4"/>
      <c r="J124" s="104"/>
      <c r="K124" s="104"/>
      <c r="L124" s="706"/>
      <c r="M124" s="740"/>
      <c r="N124" s="4"/>
      <c r="O124" s="85"/>
      <c r="X124" s="688"/>
    </row>
    <row r="125" spans="2:45" x14ac:dyDescent="0.35">
      <c r="B125" s="452" t="s">
        <v>1017</v>
      </c>
      <c r="C125" s="452"/>
      <c r="D125" s="13"/>
      <c r="E125" s="13"/>
      <c r="F125" s="13"/>
      <c r="G125" s="13"/>
      <c r="H125" s="550"/>
      <c r="I125" s="4"/>
      <c r="J125" s="104"/>
      <c r="K125" s="104"/>
      <c r="L125" s="706"/>
      <c r="M125" s="740"/>
      <c r="N125" s="4"/>
      <c r="O125" s="85"/>
      <c r="X125" s="688"/>
    </row>
    <row r="126" spans="2:45" x14ac:dyDescent="0.35">
      <c r="B126" s="452" t="s">
        <v>1017</v>
      </c>
      <c r="C126" s="452"/>
      <c r="D126" s="13"/>
      <c r="E126" s="13"/>
      <c r="F126" s="13"/>
      <c r="G126" s="13"/>
      <c r="H126" s="550"/>
      <c r="I126" s="155"/>
      <c r="J126" s="214"/>
      <c r="K126" s="214"/>
      <c r="L126" s="739"/>
      <c r="M126" s="741"/>
      <c r="N126" s="155"/>
      <c r="O126" s="342"/>
      <c r="P126" s="119"/>
      <c r="Q126" s="119"/>
      <c r="R126" s="119"/>
      <c r="S126" s="119"/>
      <c r="T126" s="119"/>
      <c r="U126" s="119"/>
      <c r="V126" s="119"/>
      <c r="W126" s="119"/>
      <c r="X126" s="688"/>
    </row>
    <row r="127" spans="2:45" x14ac:dyDescent="0.35">
      <c r="B127" s="452" t="s">
        <v>1020</v>
      </c>
      <c r="C127" s="452"/>
      <c r="D127" s="13"/>
      <c r="E127" s="13"/>
      <c r="F127" s="13"/>
      <c r="G127" s="13"/>
      <c r="H127" s="550"/>
      <c r="I127" s="135" t="s">
        <v>1021</v>
      </c>
      <c r="J127" s="320"/>
      <c r="K127" s="320"/>
      <c r="L127" s="753" t="s">
        <v>1022</v>
      </c>
      <c r="M127" s="769" t="str">
        <f ca="1">IF(R127,"Mandatory","N/A")</f>
        <v>Mandatory</v>
      </c>
      <c r="N127" s="136"/>
      <c r="O127" s="189"/>
      <c r="P127" t="b">
        <v>1</v>
      </c>
      <c r="Q127" t="b">
        <v>1</v>
      </c>
      <c r="R127" s="138" t="b">
        <f ca="1">S127</f>
        <v>1</v>
      </c>
      <c r="S127" s="138" t="b">
        <f ca="1">NOT(S13=4)</f>
        <v>1</v>
      </c>
      <c r="T127" s="138" t="b">
        <f ca="1">AND(NOT(S127),LEN(W127)&gt;0)</f>
        <v>0</v>
      </c>
      <c r="U127" s="138" t="str">
        <f>SUBSTITUTE(SUBSTITUTE(SUBSTITUTE("dd"&amp;B127&amp;C127&amp;D127&amp;E127&amp;F127,".","_"),"(","_"),")","")</f>
        <v>dd701_4_3_3_5</v>
      </c>
      <c r="V127" s="138"/>
      <c r="W127" s="9" t="s">
        <v>3239</v>
      </c>
      <c r="X127" s="688"/>
      <c r="AC127" t="b">
        <f ca="1">OR(AD127:AE127)</f>
        <v>0</v>
      </c>
      <c r="AD127" t="b">
        <f ca="1">T127</f>
        <v>0</v>
      </c>
      <c r="AE127" t="b">
        <f ca="1">AND(R127,OR(W127="Not Met",W127=""))</f>
        <v>0</v>
      </c>
      <c r="AL127" t="str">
        <f>SUBSTITUTE(SUBSTITUTE(SUBSTITUTE("dpa"&amp;$B127&amp;$C127&amp;$D127&amp;$E127&amp;$F127,".","_"),"(","_"),")","")</f>
        <v>dpa701_4_3_3_5</v>
      </c>
      <c r="AM127" t="str">
        <f ca="1">M127</f>
        <v>Mandatory</v>
      </c>
      <c r="AP127" t="str">
        <f>SUBSTITUTE(SUBSTITUTE(SUBSTITUTE("dch"&amp;$B127&amp;$C127&amp;$D127&amp;$E127&amp;$F127,".","_"),"(","_"),")","")</f>
        <v>dch701_4_3_3_5</v>
      </c>
      <c r="AQ127" t="str">
        <f>W127</f>
        <v>Met</v>
      </c>
      <c r="AR127" t="str">
        <f>SUBSTITUTE(SUBSTITUTE(SUBSTITUTE("dnt"&amp;$B127&amp;$C127&amp;$D127&amp;$E127&amp;$F127,".","_"),"(","_"),")","")</f>
        <v>dnt701_4_3_3_5</v>
      </c>
      <c r="AS127">
        <f>X127</f>
        <v>0</v>
      </c>
    </row>
    <row r="128" spans="2:45" x14ac:dyDescent="0.35">
      <c r="B128" s="452" t="s">
        <v>1020</v>
      </c>
      <c r="C128" s="452"/>
      <c r="D128" s="13"/>
      <c r="E128" s="13"/>
      <c r="F128" s="13"/>
      <c r="G128" s="13"/>
      <c r="H128" s="550"/>
      <c r="I128" s="4"/>
      <c r="J128" s="104"/>
      <c r="K128" s="104"/>
      <c r="L128" s="706"/>
      <c r="M128" s="740"/>
      <c r="N128" s="4"/>
      <c r="O128" s="85"/>
      <c r="X128" s="688"/>
    </row>
    <row r="129" spans="2:45" x14ac:dyDescent="0.35">
      <c r="B129" s="452" t="s">
        <v>1020</v>
      </c>
      <c r="C129" s="452"/>
      <c r="D129" s="13"/>
      <c r="E129" s="13"/>
      <c r="F129" s="13"/>
      <c r="G129" s="13"/>
      <c r="H129" s="550"/>
      <c r="I129" s="4"/>
      <c r="J129" s="104"/>
      <c r="K129" s="104"/>
      <c r="L129" s="706"/>
      <c r="M129" s="740"/>
      <c r="N129" s="4"/>
      <c r="O129" s="85"/>
      <c r="X129" s="688"/>
    </row>
    <row r="130" spans="2:45" x14ac:dyDescent="0.35">
      <c r="B130" s="452" t="s">
        <v>1020</v>
      </c>
      <c r="C130" s="452"/>
      <c r="D130" s="13"/>
      <c r="E130" s="13"/>
      <c r="F130" s="13"/>
      <c r="G130" s="13"/>
      <c r="H130" s="550"/>
      <c r="I130" s="4"/>
      <c r="J130" s="104"/>
      <c r="K130" s="104"/>
      <c r="L130" s="706"/>
      <c r="M130" s="740"/>
      <c r="N130" s="4"/>
      <c r="O130" s="85"/>
      <c r="X130" s="688"/>
    </row>
    <row r="131" spans="2:45" x14ac:dyDescent="0.35">
      <c r="B131" s="452" t="s">
        <v>1020</v>
      </c>
      <c r="C131" s="452"/>
      <c r="D131" s="13"/>
      <c r="E131" s="13"/>
      <c r="F131" s="13"/>
      <c r="G131" s="13"/>
      <c r="H131" s="550"/>
      <c r="I131" s="4"/>
      <c r="J131" s="104"/>
      <c r="K131" s="104"/>
      <c r="L131" s="706"/>
      <c r="M131" s="740"/>
      <c r="N131" s="4"/>
      <c r="O131" s="85"/>
      <c r="X131" s="688"/>
    </row>
    <row r="132" spans="2:45" x14ac:dyDescent="0.35">
      <c r="B132" s="452" t="s">
        <v>1020</v>
      </c>
      <c r="C132" s="452"/>
      <c r="D132" s="13"/>
      <c r="E132" s="13"/>
      <c r="F132" s="13"/>
      <c r="G132" s="13"/>
      <c r="H132" s="550"/>
      <c r="I132" s="155"/>
      <c r="J132" s="214"/>
      <c r="K132" s="214"/>
      <c r="L132" s="739"/>
      <c r="M132" s="741"/>
      <c r="N132" s="155"/>
      <c r="O132" s="342"/>
      <c r="P132" s="119"/>
      <c r="Q132" s="119"/>
      <c r="R132" s="119"/>
      <c r="S132" s="119"/>
      <c r="T132" s="119"/>
      <c r="U132" s="119"/>
      <c r="V132" s="119"/>
      <c r="W132" s="119"/>
      <c r="X132" s="688"/>
    </row>
    <row r="133" spans="2:45" x14ac:dyDescent="0.35">
      <c r="B133" s="452" t="s">
        <v>1023</v>
      </c>
      <c r="C133" s="53"/>
      <c r="D133" s="13"/>
      <c r="E133" s="13"/>
      <c r="F133" s="13"/>
      <c r="G133" s="13"/>
      <c r="H133" s="550"/>
      <c r="I133" s="32" t="s">
        <v>1023</v>
      </c>
      <c r="J133" s="104"/>
      <c r="K133" s="104"/>
      <c r="L133" s="706" t="s">
        <v>1024</v>
      </c>
      <c r="M133" s="740" t="str">
        <f ca="1">IF(S135,"Mandatory","N/A")</f>
        <v>Mandatory</v>
      </c>
      <c r="N133" s="4"/>
      <c r="O133" s="85"/>
      <c r="AL133" t="str">
        <f>SUBSTITUTE(SUBSTITUTE(SUBSTITUTE("dpa"&amp;$B133&amp;$C133&amp;$D133&amp;$E133&amp;$F133,".","_"),"(","_"),")","")</f>
        <v>dpa701_4_4</v>
      </c>
      <c r="AM133" t="str">
        <f ca="1">M133</f>
        <v>Mandatory</v>
      </c>
    </row>
    <row r="134" spans="2:45" x14ac:dyDescent="0.35">
      <c r="B134" s="452" t="s">
        <v>1023</v>
      </c>
      <c r="C134" s="53"/>
      <c r="D134" s="13"/>
      <c r="E134" s="13"/>
      <c r="F134" s="13"/>
      <c r="G134" s="13"/>
      <c r="H134" s="550"/>
      <c r="I134" s="4"/>
      <c r="J134" s="104"/>
      <c r="K134" s="104"/>
      <c r="L134" s="706"/>
      <c r="M134" s="740"/>
      <c r="N134" s="4"/>
      <c r="O134" s="85"/>
    </row>
    <row r="135" spans="2:45" x14ac:dyDescent="0.35">
      <c r="B135" s="452" t="s">
        <v>1023</v>
      </c>
      <c r="C135" s="53"/>
      <c r="D135" s="19" t="s">
        <v>270</v>
      </c>
      <c r="E135" s="13"/>
      <c r="F135" s="13"/>
      <c r="G135" s="13"/>
      <c r="H135" s="550"/>
      <c r="I135" s="4"/>
      <c r="J135" s="175" t="s">
        <v>270</v>
      </c>
      <c r="K135" s="104"/>
      <c r="L135" s="707" t="s">
        <v>1025</v>
      </c>
      <c r="M135" s="43"/>
      <c r="N135" s="4"/>
      <c r="O135" s="85"/>
      <c r="P135" t="b">
        <v>1</v>
      </c>
      <c r="Q135" t="b">
        <v>1</v>
      </c>
      <c r="R135" t="b">
        <f ca="1">AND(S135,NOT(W137))</f>
        <v>1</v>
      </c>
      <c r="S135" t="b">
        <f ca="1">NOT(S13=4)</f>
        <v>1</v>
      </c>
      <c r="T135" t="b">
        <f ca="1">AND(NOT(S135),W135=TRUE)</f>
        <v>0</v>
      </c>
      <c r="W135" s="17" t="b">
        <v>1</v>
      </c>
      <c r="X135" s="688"/>
      <c r="AC135" t="b">
        <f ca="1">OR(AD135:AE135)</f>
        <v>0</v>
      </c>
      <c r="AD135" t="b">
        <f ca="1">T135</f>
        <v>0</v>
      </c>
      <c r="AE135" t="b">
        <f ca="1">AND(R135,NOT(W135))</f>
        <v>0</v>
      </c>
      <c r="AP135" t="str">
        <f>SUBSTITUTE(SUBSTITUTE(SUBSTITUTE("dch"&amp;$B135&amp;$C135&amp;$D135&amp;$E135&amp;$F135,".","_"),"(","_"),")","")</f>
        <v>dch701_4_4_1</v>
      </c>
      <c r="AQ135" t="b">
        <f>W135</f>
        <v>1</v>
      </c>
      <c r="AR135" t="str">
        <f>SUBSTITUTE(SUBSTITUTE(SUBSTITUTE("dnt"&amp;$B135&amp;$C135&amp;$D135&amp;$E135&amp;$F135,".","_"),"(","_"),")","")</f>
        <v>dnt701_4_4_1</v>
      </c>
      <c r="AS135">
        <f>X135</f>
        <v>0</v>
      </c>
    </row>
    <row r="136" spans="2:45" x14ac:dyDescent="0.35">
      <c r="B136" s="452" t="s">
        <v>1023</v>
      </c>
      <c r="C136" s="53"/>
      <c r="D136" s="19" t="s">
        <v>270</v>
      </c>
      <c r="E136" s="13"/>
      <c r="F136" s="13"/>
      <c r="G136" s="13"/>
      <c r="H136" s="550"/>
      <c r="I136" s="4"/>
      <c r="J136" s="359"/>
      <c r="K136" s="214"/>
      <c r="L136" s="709"/>
      <c r="M136" s="43"/>
      <c r="N136" s="4"/>
      <c r="O136" s="85"/>
      <c r="X136" s="688"/>
    </row>
    <row r="137" spans="2:45" x14ac:dyDescent="0.35">
      <c r="B137" s="452" t="s">
        <v>1023</v>
      </c>
      <c r="C137" s="53"/>
      <c r="D137" s="19" t="s">
        <v>272</v>
      </c>
      <c r="E137" s="13"/>
      <c r="F137" s="13"/>
      <c r="G137" s="13"/>
      <c r="H137" s="550"/>
      <c r="I137" s="155"/>
      <c r="J137" s="359" t="s">
        <v>272</v>
      </c>
      <c r="K137" s="214"/>
      <c r="L137" s="214" t="s">
        <v>1026</v>
      </c>
      <c r="M137" s="198"/>
      <c r="N137" s="155"/>
      <c r="O137" s="342"/>
      <c r="P137" t="b">
        <v>1</v>
      </c>
      <c r="Q137" t="b">
        <v>1</v>
      </c>
      <c r="R137" s="119" t="b">
        <f ca="1">AND(S137,NOT(W135))</f>
        <v>0</v>
      </c>
      <c r="S137" s="119" t="b">
        <f ca="1">NOT(S13=4)</f>
        <v>1</v>
      </c>
      <c r="T137" s="119" t="b">
        <f ca="1">AND(NOT(S137),W137=TRUE)</f>
        <v>0</v>
      </c>
      <c r="U137" s="119"/>
      <c r="V137" s="119"/>
      <c r="W137" s="17"/>
      <c r="X137" s="39"/>
      <c r="AC137" t="b">
        <f ca="1">OR(AD137:AE137)</f>
        <v>0</v>
      </c>
      <c r="AD137" t="b">
        <f ca="1">T137</f>
        <v>0</v>
      </c>
      <c r="AE137" t="b">
        <f ca="1">AND(R137,NOT(W137))</f>
        <v>0</v>
      </c>
      <c r="AP137" t="str">
        <f>SUBSTITUTE(SUBSTITUTE(SUBSTITUTE("dch"&amp;$B137&amp;$C137&amp;$D137&amp;$E137&amp;$F137,".","_"),"(","_"),")","")</f>
        <v>dch701_4_4_2</v>
      </c>
      <c r="AQ137">
        <f>W137</f>
        <v>0</v>
      </c>
      <c r="AR137" t="str">
        <f>SUBSTITUTE(SUBSTITUTE(SUBSTITUTE("dnt"&amp;$B137&amp;$C137&amp;$D137&amp;$E137&amp;$F137,".","_"),"(","_"),")","")</f>
        <v>dnt701_4_4_2</v>
      </c>
      <c r="AS137">
        <f>X137</f>
        <v>0</v>
      </c>
    </row>
    <row r="138" spans="2:45" x14ac:dyDescent="0.35">
      <c r="B138" s="452" t="s">
        <v>1027</v>
      </c>
      <c r="C138" s="53"/>
      <c r="D138" s="13"/>
      <c r="E138" s="13"/>
      <c r="F138" s="13"/>
      <c r="G138" s="13"/>
      <c r="H138" s="550"/>
      <c r="I138" s="32" t="s">
        <v>1027</v>
      </c>
      <c r="J138" s="104"/>
      <c r="K138" s="104"/>
      <c r="L138" s="110" t="s">
        <v>1028</v>
      </c>
      <c r="M138" s="556" t="str">
        <f ca="1">IF(R138,"Mandatory","N/A")</f>
        <v>N/A</v>
      </c>
      <c r="N138" s="4"/>
      <c r="O138" s="85"/>
      <c r="P138" t="b">
        <v>1</v>
      </c>
      <c r="Q138" t="b">
        <v>0</v>
      </c>
      <c r="R138" t="b">
        <f ca="1">S138</f>
        <v>0</v>
      </c>
      <c r="S138" t="b">
        <f ca="1">AND(NOT(S13=4),OR(AY33=INDEX(INDIRECT('Overview (Design)'!$E$31),2),AY34=INDEX(INDIRECT('Overview (Design)'!$E$31),2),AY35=INDEX(INDIRECT('Overview (Design)'!$E$31),2)))</f>
        <v>0</v>
      </c>
      <c r="T138" t="b">
        <f ca="1">AND(NOT(S138),W138=TRUE)</f>
        <v>0</v>
      </c>
      <c r="W138" s="77"/>
      <c r="X138" s="315"/>
      <c r="AL138" t="str">
        <f>SUBSTITUTE(SUBSTITUTE(SUBSTITUTE("dpa"&amp;$B138&amp;$C138&amp;$D138&amp;$E138&amp;$F138,".","_"),"(","_"),")","")</f>
        <v>dpa701_4_5</v>
      </c>
      <c r="AM138" t="str">
        <f ca="1">M138</f>
        <v>N/A</v>
      </c>
      <c r="AP138" t="str">
        <f>SUBSTITUTE(SUBSTITUTE(SUBSTITUTE("dch"&amp;$B138&amp;$C138&amp;$D138&amp;$E138&amp;$F138,".","_"),"(","_"),")","")</f>
        <v>dch701_4_5</v>
      </c>
      <c r="AQ138">
        <f>W138</f>
        <v>0</v>
      </c>
      <c r="AR138" t="str">
        <f>SUBSTITUTE(SUBSTITUTE(SUBSTITUTE("dnt"&amp;$B138&amp;$C138&amp;$D138&amp;$E138&amp;$F138,".","_"),"(","_"),")","")</f>
        <v>dnt701_4_5</v>
      </c>
      <c r="AS138">
        <f>X138</f>
        <v>0</v>
      </c>
    </row>
    <row r="139" spans="2:45" ht="15" customHeight="1" x14ac:dyDescent="0.45">
      <c r="B139" s="452">
        <v>702</v>
      </c>
      <c r="C139" s="53"/>
      <c r="D139" s="13"/>
      <c r="E139" s="13"/>
      <c r="F139" s="13"/>
      <c r="G139" s="13"/>
      <c r="H139" s="550"/>
      <c r="I139" s="10" t="s">
        <v>1029</v>
      </c>
      <c r="J139" s="47"/>
      <c r="K139" s="47"/>
      <c r="L139" s="47"/>
      <c r="M139" s="286"/>
      <c r="N139" s="344"/>
      <c r="O139" s="340"/>
      <c r="P139" s="15"/>
      <c r="Q139" s="15"/>
      <c r="R139" s="15"/>
      <c r="S139" s="15"/>
      <c r="T139" s="15"/>
      <c r="U139" s="15"/>
      <c r="V139" s="15"/>
      <c r="W139" s="15"/>
      <c r="X139" s="15"/>
    </row>
    <row r="140" spans="2:45" ht="15" customHeight="1" x14ac:dyDescent="0.35">
      <c r="B140" s="452">
        <v>702.1</v>
      </c>
      <c r="C140" s="53"/>
      <c r="D140" s="13"/>
      <c r="E140" s="13"/>
      <c r="F140" s="13"/>
      <c r="G140" s="13"/>
      <c r="H140" s="550"/>
      <c r="I140" s="32">
        <v>702.1</v>
      </c>
      <c r="J140" s="104"/>
      <c r="K140" s="104"/>
      <c r="L140" s="706" t="s">
        <v>1030</v>
      </c>
      <c r="M140" s="309"/>
      <c r="N140" s="4"/>
      <c r="O140" s="85"/>
    </row>
    <row r="141" spans="2:45" ht="15" thickBot="1" x14ac:dyDescent="0.4">
      <c r="B141" s="452">
        <v>702.1</v>
      </c>
      <c r="C141" s="53"/>
      <c r="D141" s="13"/>
      <c r="E141" s="13"/>
      <c r="F141" s="13"/>
      <c r="G141" s="13"/>
      <c r="H141" s="550"/>
      <c r="I141" s="183"/>
      <c r="J141" s="223"/>
      <c r="K141" s="223"/>
      <c r="L141" s="710"/>
      <c r="M141" s="351"/>
      <c r="N141" s="183"/>
      <c r="O141" s="184"/>
      <c r="P141" s="58"/>
      <c r="Q141" s="58"/>
      <c r="R141" s="58"/>
      <c r="S141" s="58"/>
      <c r="T141" s="58"/>
      <c r="U141" s="58"/>
      <c r="V141" s="58"/>
      <c r="W141" s="58"/>
      <c r="X141" s="58"/>
    </row>
    <row r="142" spans="2:45" ht="15" thickTop="1" x14ac:dyDescent="0.35">
      <c r="B142" s="452">
        <v>702.2</v>
      </c>
      <c r="C142" s="53"/>
      <c r="D142" s="13"/>
      <c r="E142" s="13"/>
      <c r="F142" s="13"/>
      <c r="G142" s="13"/>
      <c r="H142" s="550"/>
      <c r="I142" s="123">
        <v>702.2</v>
      </c>
      <c r="J142" s="349"/>
      <c r="K142" s="349"/>
      <c r="L142" s="222" t="s">
        <v>1031</v>
      </c>
      <c r="M142" s="199"/>
      <c r="N142" s="124"/>
      <c r="O142" s="341"/>
      <c r="P142" s="62"/>
      <c r="Q142" s="62"/>
      <c r="R142" s="62"/>
      <c r="S142" s="62"/>
      <c r="T142" s="62"/>
      <c r="U142" s="62"/>
      <c r="V142" s="62"/>
      <c r="W142" s="62"/>
      <c r="X142" s="62"/>
    </row>
    <row r="143" spans="2:45" ht="15" customHeight="1" x14ac:dyDescent="0.35">
      <c r="B143" s="452" t="s">
        <v>1032</v>
      </c>
      <c r="C143" s="53"/>
      <c r="D143" s="13"/>
      <c r="E143" s="13"/>
      <c r="F143" s="13"/>
      <c r="G143" s="13"/>
      <c r="H143" s="550"/>
      <c r="I143" s="34" t="s">
        <v>1032</v>
      </c>
      <c r="J143" s="104"/>
      <c r="K143" s="104"/>
      <c r="L143" s="706" t="s">
        <v>1033</v>
      </c>
      <c r="M143" s="740" t="str">
        <f ca="1">IF(R143,"Mandatory","N/A")</f>
        <v>N/A</v>
      </c>
      <c r="N143" s="4"/>
      <c r="O143" s="85"/>
      <c r="P143" t="b">
        <v>0</v>
      </c>
      <c r="Q143" t="b">
        <v>1</v>
      </c>
      <c r="R143" t="b">
        <f ca="1">S143</f>
        <v>0</v>
      </c>
      <c r="S143" t="b">
        <f ca="1">(S13=1)</f>
        <v>0</v>
      </c>
      <c r="T143" t="b">
        <f ca="1">AND(NOT(S143),W143=TRUE)</f>
        <v>0</v>
      </c>
      <c r="W143" s="17"/>
      <c r="X143" s="688"/>
      <c r="AC143" t="b">
        <f ca="1">OR(AD143:AE143)</f>
        <v>0</v>
      </c>
      <c r="AD143" t="b">
        <f ca="1">T143</f>
        <v>0</v>
      </c>
      <c r="AE143" t="b">
        <f ca="1">AND(R143,NOT(W143))</f>
        <v>0</v>
      </c>
      <c r="AL143" t="str">
        <f>SUBSTITUTE(SUBSTITUTE(SUBSTITUTE("dpa"&amp;$B143&amp;$C143&amp;$D143&amp;$E143&amp;$F143,".","_"),"(","_"),")","")</f>
        <v>dpa702_2_1</v>
      </c>
      <c r="AM143" t="str">
        <f ca="1">M143</f>
        <v>N/A</v>
      </c>
      <c r="AP143" t="str">
        <f>SUBSTITUTE(SUBSTITUTE(SUBSTITUTE("dch"&amp;$B143&amp;$C143&amp;$D143&amp;$E143&amp;$F143,".","_"),"(","_"),")","")</f>
        <v>dch702_2_1</v>
      </c>
      <c r="AQ143">
        <f>W143</f>
        <v>0</v>
      </c>
      <c r="AR143" t="str">
        <f>SUBSTITUTE(SUBSTITUTE(SUBSTITUTE("dnt"&amp;$B143&amp;$C143&amp;$D143&amp;$E143&amp;$F143,".","_"),"(","_"),")","")</f>
        <v>dnt702_2_1</v>
      </c>
      <c r="AS143">
        <f>X143</f>
        <v>0</v>
      </c>
    </row>
    <row r="144" spans="2:45" x14ac:dyDescent="0.35">
      <c r="B144" s="452" t="s">
        <v>1032</v>
      </c>
      <c r="C144" s="53"/>
      <c r="D144" s="13"/>
      <c r="E144" s="13"/>
      <c r="F144" s="13"/>
      <c r="G144" s="13"/>
      <c r="H144" s="550"/>
      <c r="I144" s="4"/>
      <c r="J144" s="104"/>
      <c r="K144" s="104"/>
      <c r="L144" s="706"/>
      <c r="M144" s="740"/>
      <c r="N144" s="4"/>
      <c r="O144" s="85"/>
      <c r="X144" s="688"/>
    </row>
    <row r="145" spans="2:45" x14ac:dyDescent="0.35">
      <c r="B145" s="452" t="s">
        <v>1032</v>
      </c>
      <c r="C145" s="53"/>
      <c r="D145" s="13"/>
      <c r="E145" s="13"/>
      <c r="F145" s="13"/>
      <c r="G145" s="13"/>
      <c r="H145" s="550"/>
      <c r="I145" s="4"/>
      <c r="J145" s="104"/>
      <c r="K145" s="104"/>
      <c r="L145" s="706"/>
      <c r="M145" s="740"/>
      <c r="N145" s="4"/>
      <c r="O145" s="85"/>
      <c r="X145" s="688"/>
    </row>
    <row r="146" spans="2:45" x14ac:dyDescent="0.35">
      <c r="B146" s="452" t="s">
        <v>1032</v>
      </c>
      <c r="C146" s="53"/>
      <c r="D146" s="13"/>
      <c r="E146" s="13"/>
      <c r="F146" s="13"/>
      <c r="G146" s="13"/>
      <c r="H146" s="550"/>
      <c r="I146" s="155"/>
      <c r="J146" s="214"/>
      <c r="K146" s="214"/>
      <c r="L146" s="739"/>
      <c r="M146" s="741"/>
      <c r="N146" s="155"/>
      <c r="O146" s="342"/>
      <c r="P146" s="119"/>
      <c r="Q146" s="119"/>
      <c r="R146" s="119"/>
      <c r="S146" s="119"/>
      <c r="T146" s="119"/>
      <c r="U146" s="119"/>
      <c r="V146" s="119"/>
      <c r="W146" s="119"/>
      <c r="X146" s="688"/>
    </row>
    <row r="147" spans="2:45" x14ac:dyDescent="0.35">
      <c r="B147" s="452" t="s">
        <v>1034</v>
      </c>
      <c r="C147" s="53"/>
      <c r="D147" s="13"/>
      <c r="E147" s="13"/>
      <c r="F147" s="13"/>
      <c r="G147" s="13"/>
      <c r="H147" s="550"/>
      <c r="I147" s="34" t="s">
        <v>1034</v>
      </c>
      <c r="J147" s="104"/>
      <c r="K147" s="104"/>
      <c r="L147" s="706" t="s">
        <v>1035</v>
      </c>
      <c r="M147" s="737" t="s">
        <v>3722</v>
      </c>
      <c r="N147" s="4"/>
      <c r="O147" s="696">
        <f ca="1">ROUNDDOWN(S149*IF(NOT(W149=""),30+(W149*200),0),0)</f>
        <v>0</v>
      </c>
      <c r="W147" s="637" t="s">
        <v>3723</v>
      </c>
      <c r="X147" s="700"/>
      <c r="AL147" t="str">
        <f>SUBSTITUTE(SUBSTITUTE(SUBSTITUTE("dpa"&amp;$B147&amp;$C147&amp;$D147&amp;$E147&amp;$F147,".","_"),"(","_"),")","")</f>
        <v>dpa702_2_2</v>
      </c>
      <c r="AM147" t="str">
        <f>M147</f>
        <v>Points per formula</v>
      </c>
      <c r="AN147" t="str">
        <f>SUBSTITUTE(SUBSTITUTE(SUBSTITUTE("dpc"&amp;$B147&amp;$C147&amp;$D147&amp;$E147&amp;$F147,".","_"),"(","_"),")","")</f>
        <v>dpc702_2_2</v>
      </c>
      <c r="AO147">
        <f ca="1">O147</f>
        <v>0</v>
      </c>
      <c r="AR147" t="str">
        <f>SUBSTITUTE(SUBSTITUTE(SUBSTITUTE("dnt"&amp;$B147&amp;$C147&amp;$D147&amp;$E147&amp;$F147,".","_"),"(","_"),")","")</f>
        <v>dnt702_2_2</v>
      </c>
      <c r="AS147">
        <f>X147</f>
        <v>0</v>
      </c>
    </row>
    <row r="148" spans="2:45" x14ac:dyDescent="0.35">
      <c r="B148" s="452" t="s">
        <v>1034</v>
      </c>
      <c r="C148" s="53"/>
      <c r="D148" s="13"/>
      <c r="E148" s="13"/>
      <c r="F148" s="13"/>
      <c r="G148" s="13"/>
      <c r="H148" s="550"/>
      <c r="I148" s="4"/>
      <c r="J148" s="104"/>
      <c r="K148" s="104"/>
      <c r="L148" s="706"/>
      <c r="M148" s="737"/>
      <c r="N148" s="4"/>
      <c r="O148" s="696"/>
      <c r="W148" s="637"/>
      <c r="X148" s="688"/>
    </row>
    <row r="149" spans="2:45" x14ac:dyDescent="0.35">
      <c r="B149" s="452" t="s">
        <v>1034</v>
      </c>
      <c r="C149" s="53"/>
      <c r="D149" s="13"/>
      <c r="E149" s="13"/>
      <c r="F149" s="13"/>
      <c r="G149" s="13"/>
      <c r="H149" s="550"/>
      <c r="I149" s="4"/>
      <c r="J149" s="104"/>
      <c r="K149" s="104"/>
      <c r="L149" s="706"/>
      <c r="M149" s="737"/>
      <c r="N149" s="4"/>
      <c r="O149" s="696"/>
      <c r="P149" t="b">
        <v>0</v>
      </c>
      <c r="Q149" t="b">
        <v>1</v>
      </c>
      <c r="R149" t="b">
        <f ca="1">S149</f>
        <v>0</v>
      </c>
      <c r="S149" t="b">
        <f ca="1">(S13=1)</f>
        <v>0</v>
      </c>
      <c r="T149" t="b">
        <f ca="1">AND(NOT(S149),LEN(W149)&gt;0)</f>
        <v>0</v>
      </c>
      <c r="W149" s="112"/>
      <c r="X149" s="688"/>
      <c r="AC149" t="b">
        <f ca="1">OR(AD149:AE149)</f>
        <v>0</v>
      </c>
      <c r="AD149" t="b">
        <f ca="1">T149</f>
        <v>0</v>
      </c>
      <c r="AE149" t="b">
        <f ca="1">AND(R149,ISBLANK(W149))</f>
        <v>0</v>
      </c>
      <c r="AP149" t="str">
        <f>SUBSTITUTE(SUBSTITUTE(SUBSTITUTE("dch"&amp;$B149&amp;$C149&amp;$D149&amp;$E149&amp;$F149,".","_"),"(","_"),")","")</f>
        <v>dch702_2_2</v>
      </c>
      <c r="AQ149" s="620">
        <f>W149</f>
        <v>0</v>
      </c>
    </row>
    <row r="150" spans="2:45" x14ac:dyDescent="0.35">
      <c r="B150" s="452" t="s">
        <v>1034</v>
      </c>
      <c r="C150" s="53"/>
      <c r="D150" s="13"/>
      <c r="E150" s="13"/>
      <c r="F150" s="13"/>
      <c r="G150" s="13"/>
      <c r="H150" s="550"/>
      <c r="I150" s="4"/>
      <c r="J150" s="104"/>
      <c r="K150" s="104"/>
      <c r="L150" s="706"/>
      <c r="M150" s="737"/>
      <c r="N150" s="4"/>
      <c r="O150" s="696"/>
      <c r="X150" s="688"/>
    </row>
    <row r="151" spans="2:45" x14ac:dyDescent="0.35">
      <c r="B151" s="452" t="s">
        <v>1034</v>
      </c>
      <c r="C151" s="53"/>
      <c r="D151" s="13"/>
      <c r="E151" s="13"/>
      <c r="F151" s="13"/>
      <c r="G151" s="13"/>
      <c r="H151" s="550"/>
      <c r="I151" s="4"/>
      <c r="J151" s="104"/>
      <c r="K151" s="104"/>
      <c r="L151" s="706"/>
      <c r="M151" s="737"/>
      <c r="N151" s="4"/>
      <c r="O151" s="696"/>
      <c r="X151" s="688"/>
    </row>
    <row r="152" spans="2:45" x14ac:dyDescent="0.35">
      <c r="B152" s="452" t="s">
        <v>1034</v>
      </c>
      <c r="C152" s="53"/>
      <c r="D152" s="13"/>
      <c r="E152" s="13"/>
      <c r="F152" s="13"/>
      <c r="G152" s="13"/>
      <c r="H152" s="550"/>
      <c r="I152" s="4"/>
      <c r="J152" s="104"/>
      <c r="K152" s="104"/>
      <c r="L152" s="110" t="s">
        <v>1036</v>
      </c>
      <c r="M152" s="43"/>
      <c r="N152" s="4"/>
      <c r="O152" s="85"/>
      <c r="X152" s="688"/>
    </row>
    <row r="153" spans="2:45" x14ac:dyDescent="0.35">
      <c r="B153" s="452" t="s">
        <v>1034</v>
      </c>
      <c r="C153" s="53"/>
      <c r="D153" s="13"/>
      <c r="E153" s="13" t="s">
        <v>4321</v>
      </c>
      <c r="F153" s="13"/>
      <c r="G153" s="13"/>
      <c r="H153" s="550"/>
      <c r="I153" s="4"/>
      <c r="J153" s="104"/>
      <c r="K153" s="104"/>
      <c r="L153" s="714" t="s">
        <v>3198</v>
      </c>
      <c r="M153" s="43"/>
      <c r="N153" s="4"/>
      <c r="O153" s="85"/>
      <c r="X153" s="688"/>
      <c r="AR153" t="str">
        <f>SUBSTITUTE(SUBSTITUTE(SUBSTITUTE("dnt"&amp;$B153&amp;$C153&amp;$D153&amp;$E153&amp;$F153,".","_"),"(","_"),")","")</f>
        <v>dnt702_2_2_m</v>
      </c>
      <c r="AS153">
        <f>X153</f>
        <v>0</v>
      </c>
    </row>
    <row r="154" spans="2:45" x14ac:dyDescent="0.35">
      <c r="B154" s="452" t="s">
        <v>1034</v>
      </c>
      <c r="C154" s="53"/>
      <c r="D154" s="13"/>
      <c r="E154" s="13"/>
      <c r="F154" s="13"/>
      <c r="G154" s="13"/>
      <c r="H154" s="550"/>
      <c r="I154" s="4"/>
      <c r="J154" s="104"/>
      <c r="K154" s="104"/>
      <c r="L154" s="714"/>
      <c r="M154" s="43"/>
      <c r="N154" s="4"/>
      <c r="O154" s="85"/>
      <c r="X154" s="688"/>
    </row>
    <row r="155" spans="2:45" x14ac:dyDescent="0.35">
      <c r="B155" s="452" t="s">
        <v>1034</v>
      </c>
      <c r="C155" s="53"/>
      <c r="D155" s="13"/>
      <c r="E155" s="13"/>
      <c r="F155" s="13"/>
      <c r="G155" s="13"/>
      <c r="H155" s="550"/>
      <c r="I155" s="155"/>
      <c r="J155" s="214"/>
      <c r="K155" s="214"/>
      <c r="L155" s="755"/>
      <c r="M155" s="367"/>
      <c r="N155" s="4"/>
      <c r="O155" s="85"/>
      <c r="W155" s="68"/>
      <c r="X155" s="688"/>
    </row>
    <row r="156" spans="2:45" x14ac:dyDescent="0.35">
      <c r="B156" s="452" t="s">
        <v>1037</v>
      </c>
      <c r="C156" s="53"/>
      <c r="D156" s="13"/>
      <c r="E156" s="13"/>
      <c r="F156" s="13"/>
      <c r="G156" s="13"/>
      <c r="H156" s="550"/>
      <c r="I156" s="34" t="s">
        <v>1037</v>
      </c>
      <c r="J156" s="104"/>
      <c r="K156" s="104"/>
      <c r="L156" s="706" t="s">
        <v>1038</v>
      </c>
      <c r="M156" s="43"/>
      <c r="N156" s="4"/>
      <c r="O156" s="85"/>
      <c r="X156" s="700"/>
      <c r="AR156" t="str">
        <f>SUBSTITUTE(SUBSTITUTE(SUBSTITUTE("dnt"&amp;$B156&amp;$C156&amp;$D156&amp;$E156&amp;$F156,".","_"),"(","_"),")","")</f>
        <v>dnt702_2_3</v>
      </c>
      <c r="AS156">
        <f>X156</f>
        <v>0</v>
      </c>
    </row>
    <row r="157" spans="2:45" x14ac:dyDescent="0.35">
      <c r="B157" s="452" t="s">
        <v>1037</v>
      </c>
      <c r="C157" s="53"/>
      <c r="D157" s="13"/>
      <c r="E157" s="13"/>
      <c r="F157" s="13"/>
      <c r="G157" s="13"/>
      <c r="H157" s="550"/>
      <c r="I157" s="4"/>
      <c r="J157" s="104"/>
      <c r="K157" s="104"/>
      <c r="L157" s="706"/>
      <c r="M157" s="43"/>
      <c r="N157" s="4"/>
      <c r="O157" s="85"/>
      <c r="X157" s="688"/>
    </row>
    <row r="158" spans="2:45" ht="18.5" x14ac:dyDescent="0.45">
      <c r="B158" s="452">
        <v>703</v>
      </c>
      <c r="C158" s="53"/>
      <c r="D158" s="13"/>
      <c r="E158" s="13"/>
      <c r="F158" s="13"/>
      <c r="G158" s="13"/>
      <c r="H158" s="550"/>
      <c r="I158" s="10" t="s">
        <v>1039</v>
      </c>
      <c r="J158" s="47"/>
      <c r="K158" s="47"/>
      <c r="L158" s="47"/>
      <c r="M158" s="286"/>
      <c r="N158" s="344"/>
      <c r="O158" s="340"/>
      <c r="P158" s="15"/>
      <c r="Q158" s="15"/>
      <c r="R158" s="15"/>
      <c r="S158" s="15"/>
      <c r="T158" s="15"/>
      <c r="U158" s="15"/>
      <c r="V158" s="15"/>
      <c r="W158" s="15"/>
      <c r="X158" s="15"/>
    </row>
    <row r="159" spans="2:45" ht="15" customHeight="1" x14ac:dyDescent="0.35">
      <c r="B159" s="452">
        <v>703.1</v>
      </c>
      <c r="C159" s="53"/>
      <c r="D159" s="13"/>
      <c r="E159" s="13"/>
      <c r="F159" s="13"/>
      <c r="G159" s="13"/>
      <c r="H159" s="550"/>
      <c r="I159" s="32">
        <v>703.1</v>
      </c>
      <c r="J159" s="104"/>
      <c r="K159" s="104"/>
      <c r="L159" s="110" t="s">
        <v>1040</v>
      </c>
      <c r="M159" s="43">
        <v>30</v>
      </c>
      <c r="N159" s="4"/>
      <c r="O159" s="43">
        <f ca="1">30*AND((W173=TRUE),(W160=TRUE),LEN(W176)&gt;0)*S160</f>
        <v>30</v>
      </c>
      <c r="AL159" t="str">
        <f>SUBSTITUTE(SUBSTITUTE(SUBSTITUTE("dpa"&amp;$B159&amp;$C159&amp;$D159&amp;$E159&amp;$F159,".","_"),"(","_"),")","")</f>
        <v>dpa703_1</v>
      </c>
      <c r="AM159">
        <f>M159</f>
        <v>30</v>
      </c>
      <c r="AN159" t="str">
        <f>SUBSTITUTE(SUBSTITUTE(SUBSTITUTE("dpc"&amp;$B159&amp;$C159&amp;$D159&amp;$E159&amp;$F159,".","_"),"(","_"),")","")</f>
        <v>dpc703_1</v>
      </c>
      <c r="AO159">
        <f ca="1">O159</f>
        <v>30</v>
      </c>
    </row>
    <row r="160" spans="2:45" ht="15" customHeight="1" x14ac:dyDescent="0.35">
      <c r="B160" s="452" t="s">
        <v>1041</v>
      </c>
      <c r="C160" s="53"/>
      <c r="D160" s="13"/>
      <c r="E160" s="13"/>
      <c r="F160" s="13"/>
      <c r="G160" s="13"/>
      <c r="H160" s="550"/>
      <c r="I160" s="34" t="s">
        <v>1041</v>
      </c>
      <c r="J160" s="104"/>
      <c r="K160" s="104"/>
      <c r="L160" s="706" t="s">
        <v>1042</v>
      </c>
      <c r="M160" s="740" t="str">
        <f ca="1">IF(R160,"Mandatory","N/A")</f>
        <v>Mandatory</v>
      </c>
      <c r="N160" s="4"/>
      <c r="O160" s="85"/>
      <c r="P160" t="b">
        <v>0</v>
      </c>
      <c r="Q160" t="b">
        <v>1</v>
      </c>
      <c r="R160" t="b">
        <f ca="1">AND(S160,NOT(BI17="Tropical"))</f>
        <v>1</v>
      </c>
      <c r="S160" t="b">
        <f ca="1">(S13=2)</f>
        <v>1</v>
      </c>
      <c r="T160" t="b">
        <f ca="1">AND(NOT(S160),W160=TRUE)</f>
        <v>0</v>
      </c>
      <c r="W160" s="17" t="b">
        <v>1</v>
      </c>
      <c r="X160" s="688"/>
      <c r="AC160" t="b">
        <f ca="1">OR(AD160:AE160)</f>
        <v>0</v>
      </c>
      <c r="AD160" t="b">
        <f ca="1">T160</f>
        <v>0</v>
      </c>
      <c r="AE160" t="b">
        <f ca="1">AND(R160,NOT(W160))</f>
        <v>0</v>
      </c>
      <c r="AL160" t="str">
        <f>SUBSTITUTE(SUBSTITUTE(SUBSTITUTE("dpa"&amp;$B160&amp;$C160&amp;$D160&amp;$E160&amp;$F160,".","_"),"(","_"),")","")</f>
        <v>dpa703_1_1</v>
      </c>
      <c r="AM160" t="str">
        <f ca="1">M160</f>
        <v>Mandatory</v>
      </c>
      <c r="AP160" t="str">
        <f>SUBSTITUTE(SUBSTITUTE(SUBSTITUTE("dch"&amp;$B160&amp;$C160&amp;$D160&amp;$E160&amp;$F160,".","_"),"(","_"),")","")</f>
        <v>dch703_1_1</v>
      </c>
      <c r="AQ160" t="b">
        <f>W160</f>
        <v>1</v>
      </c>
      <c r="AR160" t="str">
        <f>SUBSTITUTE(SUBSTITUTE(SUBSTITUTE("dnt"&amp;$B160&amp;$C160&amp;$D160&amp;$E160&amp;$F160,".","_"),"(","_"),")","")</f>
        <v>dnt703_1_1</v>
      </c>
      <c r="AS160">
        <f>X160</f>
        <v>0</v>
      </c>
    </row>
    <row r="161" spans="2:45" x14ac:dyDescent="0.35">
      <c r="B161" s="452" t="s">
        <v>1041</v>
      </c>
      <c r="C161" s="53"/>
      <c r="D161" s="13"/>
      <c r="E161" s="13"/>
      <c r="F161" s="13"/>
      <c r="G161" s="13"/>
      <c r="H161" s="550"/>
      <c r="I161" s="4"/>
      <c r="J161" s="104"/>
      <c r="K161" s="104"/>
      <c r="L161" s="706"/>
      <c r="M161" s="740"/>
      <c r="N161" s="4"/>
      <c r="O161" s="85"/>
      <c r="X161" s="688"/>
    </row>
    <row r="162" spans="2:45" x14ac:dyDescent="0.35">
      <c r="B162" s="452" t="s">
        <v>1041</v>
      </c>
      <c r="C162" s="53"/>
      <c r="D162" s="13"/>
      <c r="E162" s="13"/>
      <c r="F162" s="13"/>
      <c r="G162" s="13"/>
      <c r="H162" s="550"/>
      <c r="I162" s="155"/>
      <c r="J162" s="214"/>
      <c r="K162" s="214"/>
      <c r="L162" s="121" t="s">
        <v>3199</v>
      </c>
      <c r="M162" s="43"/>
      <c r="N162" s="4"/>
      <c r="O162" s="85"/>
      <c r="X162" s="688"/>
    </row>
    <row r="163" spans="2:45" x14ac:dyDescent="0.35">
      <c r="B163" s="452" t="s">
        <v>1043</v>
      </c>
      <c r="C163" s="452"/>
      <c r="D163" s="13"/>
      <c r="E163" s="13"/>
      <c r="F163" s="13"/>
      <c r="G163" s="13"/>
      <c r="H163" s="550"/>
      <c r="I163" s="362" t="s">
        <v>1044</v>
      </c>
      <c r="J163" s="320"/>
      <c r="K163" s="320"/>
      <c r="L163" s="753" t="s">
        <v>1045</v>
      </c>
      <c r="M163" s="43"/>
      <c r="N163" s="4"/>
      <c r="O163" s="85"/>
      <c r="X163" s="688"/>
    </row>
    <row r="164" spans="2:45" x14ac:dyDescent="0.35">
      <c r="B164" s="452" t="s">
        <v>1043</v>
      </c>
      <c r="C164" s="452"/>
      <c r="D164" s="13"/>
      <c r="E164" s="13"/>
      <c r="F164" s="13"/>
      <c r="G164" s="13"/>
      <c r="H164" s="550"/>
      <c r="I164" s="4"/>
      <c r="J164" s="104"/>
      <c r="K164" s="104"/>
      <c r="L164" s="706"/>
      <c r="M164" s="43"/>
      <c r="N164" s="4"/>
      <c r="O164" s="85"/>
      <c r="X164" s="688"/>
    </row>
    <row r="165" spans="2:45" x14ac:dyDescent="0.35">
      <c r="B165" s="452" t="s">
        <v>1043</v>
      </c>
      <c r="C165" s="452"/>
      <c r="D165" s="13"/>
      <c r="E165" s="13"/>
      <c r="F165" s="13"/>
      <c r="G165" s="13"/>
      <c r="H165" s="550"/>
      <c r="I165" s="4"/>
      <c r="J165" s="104"/>
      <c r="K165" s="104"/>
      <c r="L165" s="706"/>
      <c r="M165" s="43"/>
      <c r="N165" s="4"/>
      <c r="O165" s="85"/>
      <c r="X165" s="688"/>
    </row>
    <row r="166" spans="2:45" x14ac:dyDescent="0.35">
      <c r="B166" s="452" t="s">
        <v>1043</v>
      </c>
      <c r="C166" s="452"/>
      <c r="D166" s="13"/>
      <c r="E166" s="13"/>
      <c r="F166" s="13"/>
      <c r="G166" s="13"/>
      <c r="H166" s="550"/>
      <c r="I166" s="4"/>
      <c r="J166" s="104"/>
      <c r="K166" s="104"/>
      <c r="L166" s="706"/>
      <c r="M166" s="43"/>
      <c r="N166" s="4"/>
      <c r="O166" s="85"/>
      <c r="X166" s="688"/>
    </row>
    <row r="167" spans="2:45" x14ac:dyDescent="0.35">
      <c r="B167" s="452" t="s">
        <v>1043</v>
      </c>
      <c r="C167" s="452"/>
      <c r="D167" s="13"/>
      <c r="E167" s="13"/>
      <c r="F167" s="13"/>
      <c r="G167" s="13"/>
      <c r="H167" s="550"/>
      <c r="I167" s="4"/>
      <c r="J167" s="104"/>
      <c r="K167" s="104"/>
      <c r="L167" s="706"/>
      <c r="M167" s="43"/>
      <c r="N167" s="4"/>
      <c r="O167" s="85"/>
      <c r="X167" s="688"/>
    </row>
    <row r="168" spans="2:45" x14ac:dyDescent="0.35">
      <c r="B168" s="452" t="s">
        <v>1043</v>
      </c>
      <c r="C168" s="452"/>
      <c r="D168" s="13"/>
      <c r="E168" s="13"/>
      <c r="F168" s="13"/>
      <c r="G168" s="13"/>
      <c r="H168" s="550"/>
      <c r="I168" s="155"/>
      <c r="J168" s="214"/>
      <c r="K168" s="214"/>
      <c r="L168" s="739"/>
      <c r="M168" s="43"/>
      <c r="N168" s="4"/>
      <c r="O168" s="85"/>
      <c r="X168" s="688"/>
    </row>
    <row r="169" spans="2:45" x14ac:dyDescent="0.35">
      <c r="B169" s="452" t="s">
        <v>1046</v>
      </c>
      <c r="C169" s="452"/>
      <c r="D169" s="13"/>
      <c r="E169" s="13"/>
      <c r="F169" s="13"/>
      <c r="G169" s="13"/>
      <c r="H169" s="550"/>
      <c r="I169" s="362" t="s">
        <v>1047</v>
      </c>
      <c r="J169" s="320"/>
      <c r="K169" s="320"/>
      <c r="L169" s="753" t="s">
        <v>1048</v>
      </c>
      <c r="M169" s="43"/>
      <c r="N169" s="4"/>
      <c r="O169" s="85"/>
      <c r="X169" s="688"/>
    </row>
    <row r="170" spans="2:45" x14ac:dyDescent="0.35">
      <c r="B170" s="452" t="s">
        <v>1046</v>
      </c>
      <c r="C170" s="452"/>
      <c r="D170" s="13"/>
      <c r="E170" s="13"/>
      <c r="F170" s="13"/>
      <c r="G170" s="13"/>
      <c r="H170" s="550"/>
      <c r="I170" s="4"/>
      <c r="J170" s="104"/>
      <c r="K170" s="104"/>
      <c r="L170" s="706"/>
      <c r="M170" s="43"/>
      <c r="N170" s="4"/>
      <c r="O170" s="85"/>
      <c r="X170" s="688"/>
    </row>
    <row r="171" spans="2:45" x14ac:dyDescent="0.35">
      <c r="B171" s="452" t="s">
        <v>1046</v>
      </c>
      <c r="C171" s="452"/>
      <c r="D171" s="13"/>
      <c r="E171" s="13"/>
      <c r="F171" s="13"/>
      <c r="G171" s="13"/>
      <c r="H171" s="550"/>
      <c r="I171" s="4"/>
      <c r="J171" s="104"/>
      <c r="K171" s="104"/>
      <c r="L171" s="706"/>
      <c r="M171" s="43"/>
      <c r="N171" s="4"/>
      <c r="O171" s="85"/>
      <c r="X171" s="688"/>
    </row>
    <row r="172" spans="2:45" x14ac:dyDescent="0.35">
      <c r="B172" s="452" t="s">
        <v>1046</v>
      </c>
      <c r="C172" s="452"/>
      <c r="D172" s="13"/>
      <c r="E172" s="13"/>
      <c r="F172" s="13"/>
      <c r="G172" s="13"/>
      <c r="H172" s="550"/>
      <c r="I172" s="155"/>
      <c r="J172" s="214"/>
      <c r="K172" s="214"/>
      <c r="L172" s="739"/>
      <c r="M172" s="198"/>
      <c r="N172" s="4"/>
      <c r="O172" s="85"/>
      <c r="X172" s="688"/>
    </row>
    <row r="173" spans="2:45" ht="15" customHeight="1" x14ac:dyDescent="0.35">
      <c r="B173" s="452" t="s">
        <v>1049</v>
      </c>
      <c r="C173" s="53"/>
      <c r="D173" s="13"/>
      <c r="E173" s="13"/>
      <c r="F173" s="13"/>
      <c r="G173" s="13"/>
      <c r="H173" s="550"/>
      <c r="I173" s="34" t="s">
        <v>1049</v>
      </c>
      <c r="J173" s="104"/>
      <c r="K173" s="104"/>
      <c r="L173" s="706" t="s">
        <v>1050</v>
      </c>
      <c r="M173" s="740" t="str">
        <f ca="1">IF(R173,"Mandatory","N/A")</f>
        <v>Mandatory</v>
      </c>
      <c r="N173" s="4"/>
      <c r="O173" s="85"/>
      <c r="P173" t="b">
        <v>0</v>
      </c>
      <c r="Q173" t="b">
        <v>1</v>
      </c>
      <c r="R173" t="b">
        <f ca="1">AND(S173,NOT(BI17="Tropical"))</f>
        <v>1</v>
      </c>
      <c r="S173" t="b">
        <f ca="1">(S13=2)</f>
        <v>1</v>
      </c>
      <c r="T173" t="b">
        <f ca="1">AND(W173=TRUE, OR(NOT(S173), MAX(W75,W531)&gt;T174, MAX(W78,W533)&gt;T175))</f>
        <v>0</v>
      </c>
      <c r="W173" s="17" t="b">
        <v>1</v>
      </c>
      <c r="X173" s="688"/>
      <c r="AC173" t="b">
        <f ca="1">OR(AD173:AE173)</f>
        <v>0</v>
      </c>
      <c r="AD173" t="b">
        <f ca="1">T173</f>
        <v>0</v>
      </c>
      <c r="AE173" t="b">
        <f ca="1">AND(R173,NOT(W173))</f>
        <v>0</v>
      </c>
      <c r="AL173" t="str">
        <f>SUBSTITUTE(SUBSTITUTE(SUBSTITUTE("dpa"&amp;$B173&amp;$C173&amp;$D173&amp;$E173&amp;$F173,".","_"),"(","_"),")","")</f>
        <v>dpa703_1_2</v>
      </c>
      <c r="AM173" t="str">
        <f ca="1">M173</f>
        <v>Mandatory</v>
      </c>
      <c r="AP173" t="str">
        <f>SUBSTITUTE(SUBSTITUTE(SUBSTITUTE("dch"&amp;$B173&amp;$C173&amp;$D173&amp;$E173&amp;$F173,".","_"),"(","_"),")","")</f>
        <v>dch703_1_2</v>
      </c>
      <c r="AQ173" t="b">
        <f>W173</f>
        <v>1</v>
      </c>
      <c r="AR173" t="str">
        <f>SUBSTITUTE(SUBSTITUTE(SUBSTITUTE("dnt"&amp;$B173&amp;$C173&amp;$D173&amp;$E173&amp;$F173,".","_"),"(","_"),")","")</f>
        <v>dnt703_1_2</v>
      </c>
      <c r="AS173">
        <f>X173</f>
        <v>0</v>
      </c>
    </row>
    <row r="174" spans="2:45" x14ac:dyDescent="0.35">
      <c r="B174" s="452" t="s">
        <v>1049</v>
      </c>
      <c r="C174" s="53"/>
      <c r="D174" s="13"/>
      <c r="E174" s="13"/>
      <c r="F174" s="13"/>
      <c r="G174" s="13"/>
      <c r="H174" s="550"/>
      <c r="I174" s="4"/>
      <c r="J174" s="104"/>
      <c r="K174" s="104"/>
      <c r="L174" s="706"/>
      <c r="M174" s="740"/>
      <c r="N174" s="4"/>
      <c r="O174" s="85"/>
      <c r="S174" s="285" t="s">
        <v>4803</v>
      </c>
      <c r="T174" s="1">
        <f>IF(BF17&lt;=2, 3, 5)</f>
        <v>5</v>
      </c>
      <c r="X174" s="688"/>
    </row>
    <row r="175" spans="2:45" x14ac:dyDescent="0.35">
      <c r="B175" s="452" t="s">
        <v>1049</v>
      </c>
      <c r="C175" s="53"/>
      <c r="D175" s="13"/>
      <c r="E175" s="13"/>
      <c r="F175" s="13"/>
      <c r="G175" s="13"/>
      <c r="H175" s="550"/>
      <c r="I175" s="155"/>
      <c r="J175" s="214"/>
      <c r="K175" s="214"/>
      <c r="L175" s="121" t="s">
        <v>4687</v>
      </c>
      <c r="M175" s="198"/>
      <c r="N175" s="4"/>
      <c r="O175" s="85"/>
      <c r="R175" s="119"/>
      <c r="S175" s="591" t="s">
        <v>4804</v>
      </c>
      <c r="T175" s="592">
        <f>IF(AY26&gt;=5, 0.4, IF(BF17&lt;=2, 0.33, 0.23))</f>
        <v>0.23</v>
      </c>
      <c r="V175" s="119"/>
      <c r="X175" s="688"/>
    </row>
    <row r="176" spans="2:45" ht="15" customHeight="1" x14ac:dyDescent="0.35">
      <c r="B176" s="452" t="s">
        <v>1051</v>
      </c>
      <c r="C176" s="53"/>
      <c r="D176" s="13"/>
      <c r="E176" s="13"/>
      <c r="F176" s="13"/>
      <c r="G176" s="13"/>
      <c r="H176" s="550"/>
      <c r="I176" s="34" t="s">
        <v>1051</v>
      </c>
      <c r="J176" s="104"/>
      <c r="K176" s="104"/>
      <c r="L176" s="706" t="s">
        <v>1052</v>
      </c>
      <c r="M176" s="740" t="str">
        <f ca="1">IF(R176,"Mandatory","N/A")</f>
        <v>Mandatory</v>
      </c>
      <c r="N176" s="4"/>
      <c r="O176" s="189"/>
      <c r="P176" s="138" t="b">
        <v>1</v>
      </c>
      <c r="Q176" s="138" t="b">
        <v>1</v>
      </c>
      <c r="R176" t="b">
        <f ca="1">AND(S176,NOT(AND(AY20="Multifamily",AY26&gt;3)),NOT(BI17="Tropical"))</f>
        <v>1</v>
      </c>
      <c r="S176" t="b">
        <f ca="1">AND(S13=2,NOT(AND(AY37=INDEX(INDIRECT('Overview (Design)'!$E$35),3),AY41=INDEX(INDIRECT('Overview (Design)'!$E$39),3))))</f>
        <v>1</v>
      </c>
      <c r="T176" t="b">
        <f ca="1">AND(NOT(S176),LEN(W176)&gt;0)</f>
        <v>0</v>
      </c>
      <c r="U176" s="138" t="str">
        <f>SUBSTITUTE(SUBSTITUTE(SUBSTITUTE("dd"&amp;B176&amp;C176&amp;D176&amp;E176&amp;F176,".","_"),"(","_"),")","")</f>
        <v>dd703_1_3</v>
      </c>
      <c r="W176" s="9" t="b">
        <v>1</v>
      </c>
      <c r="X176" s="688"/>
      <c r="AC176" t="b">
        <f ca="1">OR(AD176:AE176)</f>
        <v>0</v>
      </c>
      <c r="AD176" t="b">
        <f ca="1">T176</f>
        <v>0</v>
      </c>
      <c r="AE176" t="b">
        <f ca="1">AND(R176,OR(W176="Not Met",W176=""))</f>
        <v>0</v>
      </c>
      <c r="AL176" t="str">
        <f>SUBSTITUTE(SUBSTITUTE(SUBSTITUTE("dpa"&amp;$B176&amp;$C176&amp;$D176&amp;$E176&amp;$F176,".","_"),"(","_"),")","")</f>
        <v>dpa703_1_3</v>
      </c>
      <c r="AM176" t="str">
        <f ca="1">M176</f>
        <v>Mandatory</v>
      </c>
      <c r="AP176" t="str">
        <f>SUBSTITUTE(SUBSTITUTE(SUBSTITUTE("dch"&amp;$B176&amp;$C176&amp;$D176&amp;$E176&amp;$F176,".","_"),"(","_"),")","")</f>
        <v>dch703_1_3</v>
      </c>
      <c r="AQ176" t="b">
        <f>W176</f>
        <v>1</v>
      </c>
      <c r="AR176" t="str">
        <f>SUBSTITUTE(SUBSTITUTE(SUBSTITUTE("dnt"&amp;$B176&amp;$C176&amp;$D176&amp;$E176&amp;$F176,".","_"),"(","_"),")","")</f>
        <v>dnt703_1_3</v>
      </c>
      <c r="AS176">
        <f>X176</f>
        <v>0</v>
      </c>
    </row>
    <row r="177" spans="2:45" ht="15" customHeight="1" x14ac:dyDescent="0.35">
      <c r="B177" s="452" t="s">
        <v>1051</v>
      </c>
      <c r="C177" s="53"/>
      <c r="D177" s="13"/>
      <c r="E177" s="13"/>
      <c r="F177" s="13"/>
      <c r="G177" s="13"/>
      <c r="H177" s="550"/>
      <c r="I177" s="34"/>
      <c r="J177" s="104"/>
      <c r="K177" s="104"/>
      <c r="L177" s="706"/>
      <c r="M177" s="740"/>
      <c r="N177" s="4"/>
      <c r="O177" s="85"/>
      <c r="W177" t="s">
        <v>4784</v>
      </c>
      <c r="X177" s="698"/>
    </row>
    <row r="178" spans="2:45" ht="15" customHeight="1" x14ac:dyDescent="0.35">
      <c r="B178" s="452" t="s">
        <v>1051</v>
      </c>
      <c r="C178" s="53" t="s">
        <v>4692</v>
      </c>
      <c r="D178" s="13"/>
      <c r="E178" s="13"/>
      <c r="F178" s="13"/>
      <c r="G178" s="13"/>
      <c r="H178" s="550"/>
      <c r="I178" s="34"/>
      <c r="J178" s="104"/>
      <c r="K178" s="104"/>
      <c r="L178" s="706"/>
      <c r="M178" s="740"/>
      <c r="N178" s="4"/>
      <c r="O178" s="85"/>
      <c r="P178" t="b">
        <v>1</v>
      </c>
      <c r="Q178" t="b">
        <v>0</v>
      </c>
      <c r="R178" t="b">
        <f ca="1">W176=INDEX(INDIRECT(U176),1)</f>
        <v>0</v>
      </c>
      <c r="S178" t="b">
        <f ca="1">S176</f>
        <v>1</v>
      </c>
      <c r="T178" t="b">
        <f ca="1">AND(NOT(S178),LEN(W178)&gt;0)</f>
        <v>0</v>
      </c>
      <c r="W178" s="333"/>
      <c r="X178" s="698"/>
      <c r="AC178" t="b">
        <f ca="1">OR(AD178:AE178)</f>
        <v>0</v>
      </c>
      <c r="AD178" t="b">
        <f ca="1">T178</f>
        <v>0</v>
      </c>
      <c r="AP178" t="str">
        <f>SUBSTITUTE(SUBSTITUTE(SUBSTITUTE("dch"&amp;$B178&amp;$C178&amp;$D178&amp;$E178&amp;$F178,".","_"),"(","_"),")","")</f>
        <v>dch703_1_3_1</v>
      </c>
      <c r="AQ178">
        <f>W178</f>
        <v>0</v>
      </c>
    </row>
    <row r="179" spans="2:45" ht="15" customHeight="1" x14ac:dyDescent="0.35">
      <c r="B179" s="452" t="s">
        <v>1051</v>
      </c>
      <c r="C179" s="53"/>
      <c r="D179" s="13"/>
      <c r="E179" s="13"/>
      <c r="F179" s="13"/>
      <c r="G179" s="13"/>
      <c r="H179" s="550"/>
      <c r="I179" s="34"/>
      <c r="J179" s="104"/>
      <c r="K179" s="104"/>
      <c r="L179" s="706"/>
      <c r="M179" s="740"/>
      <c r="N179" s="4"/>
      <c r="O179" s="85"/>
      <c r="W179" t="s">
        <v>4785</v>
      </c>
      <c r="X179" s="698"/>
    </row>
    <row r="180" spans="2:45" ht="15" thickBot="1" x14ac:dyDescent="0.4">
      <c r="B180" s="452" t="s">
        <v>1051</v>
      </c>
      <c r="C180" s="53" t="s">
        <v>4693</v>
      </c>
      <c r="D180" s="13"/>
      <c r="E180" s="13"/>
      <c r="F180" s="13"/>
      <c r="G180" s="13"/>
      <c r="H180" s="550"/>
      <c r="I180" s="183"/>
      <c r="J180" s="223"/>
      <c r="K180" s="223"/>
      <c r="L180" s="710"/>
      <c r="M180" s="771"/>
      <c r="N180" s="183"/>
      <c r="O180" s="184"/>
      <c r="P180" s="58" t="b">
        <v>0</v>
      </c>
      <c r="Q180" s="58" t="b">
        <v>1</v>
      </c>
      <c r="R180" s="58" t="b">
        <f ca="1">W176=INDEX(INDIRECT(U176),1)</f>
        <v>0</v>
      </c>
      <c r="S180" s="58" t="b">
        <f ca="1">S176</f>
        <v>1</v>
      </c>
      <c r="T180" s="58" t="b">
        <f ca="1">AND(NOT(S180),LEN(W180)&gt;0)</f>
        <v>0</v>
      </c>
      <c r="U180" s="58"/>
      <c r="V180" s="58"/>
      <c r="W180" s="588"/>
      <c r="X180" s="689"/>
      <c r="AC180" t="b">
        <f ca="1">OR(AD180:AE180)</f>
        <v>0</v>
      </c>
      <c r="AD180" t="b">
        <f ca="1">T180</f>
        <v>0</v>
      </c>
      <c r="AP180" t="str">
        <f>SUBSTITUTE(SUBSTITUTE(SUBSTITUTE("dch"&amp;$B180&amp;$C180&amp;$D180&amp;$E180&amp;$F180,".","_"),"(","_"),")","")</f>
        <v>dch703_1_3_2</v>
      </c>
      <c r="AQ180">
        <f>W180</f>
        <v>0</v>
      </c>
    </row>
    <row r="181" spans="2:45" ht="15" thickTop="1" x14ac:dyDescent="0.35">
      <c r="B181" s="452">
        <v>703.2</v>
      </c>
      <c r="C181" s="53"/>
      <c r="D181" s="13"/>
      <c r="E181" s="13"/>
      <c r="F181" s="13"/>
      <c r="G181" s="13"/>
      <c r="H181" s="550"/>
      <c r="I181" s="32">
        <v>703.2</v>
      </c>
      <c r="J181" s="104"/>
      <c r="K181" s="104"/>
      <c r="L181" s="110" t="s">
        <v>1053</v>
      </c>
      <c r="M181" s="43"/>
      <c r="N181" s="4"/>
      <c r="O181" s="85"/>
    </row>
    <row r="182" spans="2:45" x14ac:dyDescent="0.35">
      <c r="B182" s="452" t="s">
        <v>1054</v>
      </c>
      <c r="C182" s="53"/>
      <c r="D182" s="13"/>
      <c r="E182" s="13"/>
      <c r="F182" s="13"/>
      <c r="G182" s="13"/>
      <c r="H182" s="550"/>
      <c r="I182" s="32" t="s">
        <v>1054</v>
      </c>
      <c r="J182" s="104"/>
      <c r="K182" s="104"/>
      <c r="L182" s="706" t="s">
        <v>1055</v>
      </c>
      <c r="M182" s="770" t="s">
        <v>1056</v>
      </c>
      <c r="N182" s="4"/>
      <c r="O182" s="696">
        <f>W182*IFERROR(Formulas!$C$19,0)</f>
        <v>0</v>
      </c>
      <c r="P182" t="b">
        <v>0</v>
      </c>
      <c r="Q182" t="b">
        <v>1</v>
      </c>
      <c r="R182" t="b">
        <v>0</v>
      </c>
      <c r="S182" t="b">
        <f ca="1">(S13=2)</f>
        <v>1</v>
      </c>
      <c r="T182" t="b">
        <f ca="1">AND(NOT(S182),W182=TRUE)</f>
        <v>0</v>
      </c>
      <c r="W182" s="17"/>
      <c r="X182" s="688"/>
      <c r="AC182" t="b">
        <f ca="1">OR(AD182:AE182)</f>
        <v>0</v>
      </c>
      <c r="AD182" t="b">
        <f ca="1">T182</f>
        <v>0</v>
      </c>
      <c r="AE182" t="b">
        <f>AND(R182,NOT(W182))</f>
        <v>0</v>
      </c>
      <c r="AL182" t="str">
        <f>SUBSTITUTE(SUBSTITUTE(SUBSTITUTE("dpa"&amp;$B182&amp;$C182&amp;$D182&amp;$E182&amp;$F182,".","_"),"(","_"),")","")</f>
        <v>dpa703_2_1</v>
      </c>
      <c r="AM182" t="str">
        <f>M182</f>
        <v>Per Table 703.2.1(b)</v>
      </c>
      <c r="AN182" t="str">
        <f>SUBSTITUTE(SUBSTITUTE(SUBSTITUTE("dpc"&amp;$B182&amp;$C182&amp;$D182&amp;$E182&amp;$F182,".","_"),"(","_"),")","")</f>
        <v>dpc703_2_1</v>
      </c>
      <c r="AO182">
        <f>O182</f>
        <v>0</v>
      </c>
      <c r="AP182" t="str">
        <f>SUBSTITUTE(SUBSTITUTE(SUBSTITUTE("dch"&amp;$B182&amp;$C182&amp;$D182&amp;$E182&amp;$F182,".","_"),"(","_"),")","")</f>
        <v>dch703_2_1</v>
      </c>
      <c r="AQ182">
        <f>W182</f>
        <v>0</v>
      </c>
      <c r="AR182" t="str">
        <f>SUBSTITUTE(SUBSTITUTE(SUBSTITUTE("dnt"&amp;$B182&amp;$C182&amp;$D182&amp;$E182&amp;$F182,".","_"),"(","_"),")","")</f>
        <v>dnt703_2_1</v>
      </c>
      <c r="AS182">
        <f>X182</f>
        <v>0</v>
      </c>
    </row>
    <row r="183" spans="2:45" x14ac:dyDescent="0.35">
      <c r="B183" s="452" t="s">
        <v>1054</v>
      </c>
      <c r="C183" s="53"/>
      <c r="D183" s="13"/>
      <c r="E183" s="13"/>
      <c r="F183" s="13"/>
      <c r="G183" s="13"/>
      <c r="H183" s="550"/>
      <c r="I183" s="4"/>
      <c r="J183" s="104"/>
      <c r="K183" s="104"/>
      <c r="L183" s="706"/>
      <c r="M183" s="770"/>
      <c r="N183" s="4"/>
      <c r="O183" s="696"/>
      <c r="W183" t="s">
        <v>3758</v>
      </c>
      <c r="X183" s="688"/>
    </row>
    <row r="184" spans="2:45" x14ac:dyDescent="0.35">
      <c r="B184" s="452" t="s">
        <v>1054</v>
      </c>
      <c r="C184" s="53"/>
      <c r="D184" s="19" t="s">
        <v>272</v>
      </c>
      <c r="E184" s="13"/>
      <c r="F184" s="13"/>
      <c r="G184" s="13"/>
      <c r="H184" s="550"/>
      <c r="I184" s="4"/>
      <c r="J184" s="104"/>
      <c r="K184" s="104"/>
      <c r="L184" s="706"/>
      <c r="M184" s="770"/>
      <c r="N184" s="4"/>
      <c r="O184" s="696"/>
      <c r="P184" t="b">
        <v>0</v>
      </c>
      <c r="Q184" t="b">
        <v>1</v>
      </c>
      <c r="R184" t="b">
        <v>0</v>
      </c>
      <c r="S184" t="b">
        <f ca="1">(S13=2)</f>
        <v>1</v>
      </c>
      <c r="T184" t="b">
        <f ca="1">AND(NOT(S184),LEN(W184)&gt;0)</f>
        <v>0</v>
      </c>
      <c r="W184" s="112"/>
      <c r="X184" s="688"/>
      <c r="AC184" t="b">
        <f ca="1">OR(AD184:AE184)</f>
        <v>0</v>
      </c>
      <c r="AD184" t="b">
        <f ca="1">T184</f>
        <v>0</v>
      </c>
      <c r="AE184" t="b">
        <f>AND(R184,ISBLANK(W184))</f>
        <v>0</v>
      </c>
      <c r="AP184" t="str">
        <f>SUBSTITUTE(SUBSTITUTE(SUBSTITUTE("dch"&amp;$B184&amp;$C184&amp;$D184&amp;$E184&amp;$F184,".","_"),"(","_"),")","")</f>
        <v>dch703_2_1_2</v>
      </c>
      <c r="AQ184" s="620">
        <f>W184</f>
        <v>0</v>
      </c>
    </row>
    <row r="185" spans="2:45" x14ac:dyDescent="0.35">
      <c r="B185" s="452" t="s">
        <v>1054</v>
      </c>
      <c r="C185" s="53"/>
      <c r="D185" s="13"/>
      <c r="E185" s="13"/>
      <c r="F185" s="13"/>
      <c r="G185" s="13"/>
      <c r="H185" s="550"/>
      <c r="I185" s="4"/>
      <c r="J185" s="104"/>
      <c r="K185" s="104"/>
      <c r="L185" s="706"/>
      <c r="M185" s="770"/>
      <c r="N185" s="4"/>
      <c r="O185" s="696"/>
      <c r="X185" s="688"/>
    </row>
    <row r="186" spans="2:45" x14ac:dyDescent="0.35">
      <c r="B186" s="452" t="s">
        <v>1054</v>
      </c>
      <c r="C186" s="53"/>
      <c r="D186" s="13"/>
      <c r="E186" s="13"/>
      <c r="F186" s="13"/>
      <c r="G186" s="13"/>
      <c r="H186" s="550"/>
      <c r="I186" s="4"/>
      <c r="J186" s="104"/>
      <c r="K186" s="104"/>
      <c r="L186" s="706"/>
      <c r="M186" s="770"/>
      <c r="N186" s="4"/>
      <c r="O186" s="696"/>
      <c r="X186" s="688"/>
    </row>
    <row r="187" spans="2:45" x14ac:dyDescent="0.35">
      <c r="B187" s="452" t="s">
        <v>1054</v>
      </c>
      <c r="C187" s="53"/>
      <c r="D187" s="13"/>
      <c r="E187" s="13"/>
      <c r="F187" s="13"/>
      <c r="G187" s="13"/>
      <c r="H187" s="550"/>
      <c r="I187" s="4"/>
      <c r="J187" s="104"/>
      <c r="K187" s="104"/>
      <c r="L187" s="706"/>
      <c r="M187" s="770"/>
      <c r="N187" s="4"/>
      <c r="O187" s="696"/>
      <c r="X187" s="688"/>
    </row>
    <row r="188" spans="2:45" x14ac:dyDescent="0.35">
      <c r="B188" s="452" t="s">
        <v>1054</v>
      </c>
      <c r="C188" s="53"/>
      <c r="D188" s="13"/>
      <c r="E188" s="13"/>
      <c r="F188" s="13"/>
      <c r="G188" s="13"/>
      <c r="H188" s="550"/>
      <c r="I188" s="155"/>
      <c r="J188" s="214"/>
      <c r="K188" s="214"/>
      <c r="L188" s="356" t="s">
        <v>3756</v>
      </c>
      <c r="M188" s="319"/>
      <c r="N188" s="155"/>
      <c r="O188" s="342"/>
      <c r="P188" s="119"/>
      <c r="Q188" s="119"/>
      <c r="R188" s="119"/>
      <c r="S188" s="119"/>
      <c r="T188" s="119"/>
      <c r="U188" s="119"/>
      <c r="V188" s="119"/>
      <c r="W188" s="368"/>
      <c r="X188" s="688"/>
    </row>
    <row r="189" spans="2:45" x14ac:dyDescent="0.35">
      <c r="B189" s="452" t="s">
        <v>1057</v>
      </c>
      <c r="C189" s="53"/>
      <c r="D189" s="13"/>
      <c r="E189" s="13"/>
      <c r="F189" s="13"/>
      <c r="G189" s="13"/>
      <c r="H189" s="550"/>
      <c r="I189" s="135" t="s">
        <v>1057</v>
      </c>
      <c r="J189" s="320"/>
      <c r="K189" s="320"/>
      <c r="L189" s="753" t="s">
        <v>1058</v>
      </c>
      <c r="M189" s="765" t="s">
        <v>1059</v>
      </c>
      <c r="N189" s="136"/>
      <c r="O189" s="713">
        <f>IF(ROUND(W190,0)&gt;=6,INDEX({3,3,3,3,2,2,0,0},BF17),IF(ROUND(W190,0)&gt;=3,INDEX({1,1,1,1,0,0,0,0},BF17),0))</f>
        <v>0</v>
      </c>
      <c r="P189" s="138"/>
      <c r="Q189" s="138"/>
      <c r="R189" s="138"/>
      <c r="S189" s="138"/>
      <c r="T189" s="138"/>
      <c r="U189" s="138"/>
      <c r="V189" s="138"/>
      <c r="W189" s="369" t="s">
        <v>3765</v>
      </c>
      <c r="X189" s="688"/>
      <c r="AL189" t="str">
        <f>SUBSTITUTE(SUBSTITUTE(SUBSTITUTE("dpa"&amp;$B189&amp;$C189&amp;$D189&amp;$E189&amp;$F189,".","_"),"(","_"),")","")</f>
        <v>dpa703_2_2</v>
      </c>
      <c r="AM189" t="str">
        <f>M189</f>
        <v>Per Table 703.2.2</v>
      </c>
      <c r="AN189" t="str">
        <f>SUBSTITUTE(SUBSTITUTE(SUBSTITUTE("dpc"&amp;$B189&amp;$C189&amp;$D189&amp;$E189&amp;$F189,".","_"),"(","_"),")","")</f>
        <v>dpc703_2_2</v>
      </c>
      <c r="AO189">
        <f>O189</f>
        <v>0</v>
      </c>
      <c r="AR189" t="str">
        <f>SUBSTITUTE(SUBSTITUTE(SUBSTITUTE("dnt"&amp;$B189&amp;$C189&amp;$D189&amp;$E189&amp;$F189,".","_"),"(","_"),")","")</f>
        <v>dnt703_2_2</v>
      </c>
      <c r="AS189">
        <f>X189</f>
        <v>0</v>
      </c>
    </row>
    <row r="190" spans="2:45" x14ac:dyDescent="0.35">
      <c r="B190" s="452" t="s">
        <v>1057</v>
      </c>
      <c r="C190" s="53"/>
      <c r="D190" s="13"/>
      <c r="E190" s="13"/>
      <c r="F190" s="13"/>
      <c r="G190" s="13"/>
      <c r="H190" s="550"/>
      <c r="I190" s="155"/>
      <c r="J190" s="214"/>
      <c r="K190" s="214"/>
      <c r="L190" s="739"/>
      <c r="M190" s="766"/>
      <c r="N190" s="155"/>
      <c r="O190" s="697"/>
      <c r="P190" t="b">
        <v>1</v>
      </c>
      <c r="Q190" t="b">
        <v>1</v>
      </c>
      <c r="R190" s="119" t="b">
        <v>0</v>
      </c>
      <c r="S190" s="119" t="b">
        <f ca="1">(S13=2)</f>
        <v>1</v>
      </c>
      <c r="T190" s="119" t="b">
        <f ca="1">AND(NOT(S190),LEN(W190)&gt;0)</f>
        <v>0</v>
      </c>
      <c r="U190" s="119"/>
      <c r="V190" s="119"/>
      <c r="W190" s="260"/>
      <c r="X190" s="688"/>
      <c r="AC190" t="b">
        <f ca="1">OR(AD190:AE190)</f>
        <v>0</v>
      </c>
      <c r="AD190" t="b">
        <f ca="1">T190</f>
        <v>0</v>
      </c>
      <c r="AE190" t="b">
        <f>AND(R190,ISBLANK(W190))</f>
        <v>0</v>
      </c>
      <c r="AP190" t="str">
        <f>SUBSTITUTE(SUBSTITUTE(SUBSTITUTE("dch"&amp;$B190&amp;$C190&amp;$D190&amp;$E190&amp;$F190,".","_"),"(","_"),")","")</f>
        <v>dch703_2_2</v>
      </c>
      <c r="AQ190" s="622">
        <f>W190</f>
        <v>0</v>
      </c>
    </row>
    <row r="191" spans="2:45" x14ac:dyDescent="0.35">
      <c r="B191" s="452" t="s">
        <v>1060</v>
      </c>
      <c r="C191" s="53"/>
      <c r="D191" s="13"/>
      <c r="E191" s="13"/>
      <c r="F191" s="13"/>
      <c r="G191" s="13"/>
      <c r="H191" s="550"/>
      <c r="I191" s="135" t="s">
        <v>1060</v>
      </c>
      <c r="J191" s="320"/>
      <c r="K191" s="320"/>
      <c r="L191" s="753" t="s">
        <v>1061</v>
      </c>
      <c r="M191" s="767">
        <f>IFERROR(MIN(IF(AND(AY20=INDEX(ddSingleOrMulti,2),AY26&gt;3,BF17&lt;4),1,3),IF(BI17="Tropical",3,INDEX({2,3,3,1,1,0,0},BF17))),0)</f>
        <v>1</v>
      </c>
      <c r="N191" s="136"/>
      <c r="O191" s="713">
        <f ca="1">M191*S191*W191</f>
        <v>0</v>
      </c>
      <c r="P191" t="b">
        <v>1</v>
      </c>
      <c r="Q191" t="b">
        <v>1</v>
      </c>
      <c r="R191" s="138" t="b">
        <v>0</v>
      </c>
      <c r="S191" s="138" t="b">
        <f ca="1">(S13=2)</f>
        <v>1</v>
      </c>
      <c r="T191" s="138" t="b">
        <f ca="1">AND(NOT(S191),W191=TRUE)</f>
        <v>0</v>
      </c>
      <c r="U191" s="138"/>
      <c r="V191" s="138"/>
      <c r="W191" s="17"/>
      <c r="X191" s="688"/>
      <c r="AC191" t="b">
        <f ca="1">OR(AD191:AE191)</f>
        <v>0</v>
      </c>
      <c r="AD191" t="b">
        <f ca="1">T191</f>
        <v>0</v>
      </c>
      <c r="AE191" t="b">
        <f>AND(R191,NOT(W191))</f>
        <v>0</v>
      </c>
      <c r="AL191" t="str">
        <f>SUBSTITUTE(SUBSTITUTE(SUBSTITUTE("dpa"&amp;$B191&amp;$C191&amp;$D191&amp;$E191&amp;$F191,".","_"),"(","_"),")","")</f>
        <v>dpa703_2_3</v>
      </c>
      <c r="AM191">
        <f>M191</f>
        <v>1</v>
      </c>
      <c r="AN191" t="str">
        <f>SUBSTITUTE(SUBSTITUTE(SUBSTITUTE("dpc"&amp;$B191&amp;$C191&amp;$D191&amp;$E191&amp;$F191,".","_"),"(","_"),")","")</f>
        <v>dpc703_2_3</v>
      </c>
      <c r="AO191">
        <f ca="1">O191</f>
        <v>0</v>
      </c>
      <c r="AP191" t="str">
        <f>SUBSTITUTE(SUBSTITUTE(SUBSTITUTE("dch"&amp;$B191&amp;$C191&amp;$D191&amp;$E191&amp;$F191,".","_"),"(","_"),")","")</f>
        <v>dch703_2_3</v>
      </c>
      <c r="AQ191">
        <f>W191</f>
        <v>0</v>
      </c>
      <c r="AR191" t="str">
        <f>SUBSTITUTE(SUBSTITUTE(SUBSTITUTE("dnt"&amp;$B191&amp;$C191&amp;$D191&amp;$E191&amp;$F191,".","_"),"(","_"),")","")</f>
        <v>dnt703_2_3</v>
      </c>
      <c r="AS191">
        <f>X191</f>
        <v>0</v>
      </c>
    </row>
    <row r="192" spans="2:45" x14ac:dyDescent="0.35">
      <c r="B192" s="452" t="s">
        <v>1060</v>
      </c>
      <c r="C192" s="53"/>
      <c r="D192" s="13"/>
      <c r="E192" s="13"/>
      <c r="F192" s="13"/>
      <c r="G192" s="13"/>
      <c r="H192" s="550"/>
      <c r="I192" s="4"/>
      <c r="J192" s="104"/>
      <c r="K192" s="104"/>
      <c r="L192" s="706"/>
      <c r="M192" s="737"/>
      <c r="N192" s="4"/>
      <c r="O192" s="696"/>
      <c r="W192" s="68"/>
      <c r="X192" s="688"/>
    </row>
    <row r="193" spans="2:45" x14ac:dyDescent="0.35">
      <c r="B193" s="452" t="s">
        <v>1060</v>
      </c>
      <c r="C193" s="53"/>
      <c r="D193" s="13"/>
      <c r="E193" s="13"/>
      <c r="F193" s="13"/>
      <c r="G193" s="13"/>
      <c r="H193" s="550"/>
      <c r="I193" s="155"/>
      <c r="J193" s="214"/>
      <c r="K193" s="214"/>
      <c r="L193" s="739"/>
      <c r="M193" s="756"/>
      <c r="N193" s="155"/>
      <c r="O193" s="697"/>
      <c r="P193" s="119"/>
      <c r="Q193" s="119"/>
      <c r="R193" s="119"/>
      <c r="S193" s="119"/>
      <c r="T193" s="119"/>
      <c r="U193" s="119"/>
      <c r="V193" s="119"/>
      <c r="W193" s="368"/>
      <c r="X193" s="688"/>
    </row>
    <row r="194" spans="2:45" x14ac:dyDescent="0.35">
      <c r="B194" s="452" t="s">
        <v>1062</v>
      </c>
      <c r="C194" s="53"/>
      <c r="D194" s="13"/>
      <c r="E194" s="13"/>
      <c r="F194" s="13"/>
      <c r="G194" s="13"/>
      <c r="H194" s="550"/>
      <c r="I194" s="135" t="s">
        <v>1062</v>
      </c>
      <c r="J194" s="320"/>
      <c r="K194" s="320"/>
      <c r="L194" s="753" t="s">
        <v>1063</v>
      </c>
      <c r="M194" s="765" t="s">
        <v>1064</v>
      </c>
      <c r="N194" s="136"/>
      <c r="O194" s="713">
        <f ca="1">MAX(S194:T194)*S195</f>
        <v>0</v>
      </c>
      <c r="R194" s="1" t="s">
        <v>4602</v>
      </c>
      <c r="S194" s="1">
        <f>Formulas!N$19</f>
        <v>0</v>
      </c>
      <c r="T194" s="1">
        <f>Formulas!O$19</f>
        <v>0</v>
      </c>
      <c r="W194" s="661" t="s">
        <v>4696</v>
      </c>
      <c r="X194" s="688"/>
      <c r="AL194" t="str">
        <f>SUBSTITUTE(SUBSTITUTE(SUBSTITUTE("dpa"&amp;$B194&amp;$C194&amp;$D194&amp;$E194&amp;$F194,".","_"),"(","_"),")","")</f>
        <v>dpa703_2_4</v>
      </c>
      <c r="AM194" t="str">
        <f>M194</f>
        <v>Per Table 703.2.4</v>
      </c>
      <c r="AN194" t="str">
        <f>SUBSTITUTE(SUBSTITUTE(SUBSTITUTE("dpc"&amp;$B194&amp;$C194&amp;$D194&amp;$E194&amp;$F194,".","_"),"(","_"),")","")</f>
        <v>dpc703_2_4</v>
      </c>
      <c r="AO194">
        <f ca="1">O194</f>
        <v>0</v>
      </c>
      <c r="AR194" t="str">
        <f>SUBSTITUTE(SUBSTITUTE(SUBSTITUTE("dnt"&amp;$B194&amp;$C194&amp;$D194&amp;$E194&amp;$F194,".","_"),"(","_"),")","")</f>
        <v>dnt703_2_4</v>
      </c>
      <c r="AS194">
        <f>X194</f>
        <v>0</v>
      </c>
    </row>
    <row r="195" spans="2:45" x14ac:dyDescent="0.35">
      <c r="B195" s="452" t="s">
        <v>1062</v>
      </c>
      <c r="C195" s="53"/>
      <c r="D195" s="13"/>
      <c r="E195" s="13"/>
      <c r="F195" s="13"/>
      <c r="G195" s="13"/>
      <c r="H195" s="550"/>
      <c r="I195" s="4"/>
      <c r="J195" s="104"/>
      <c r="K195" s="104"/>
      <c r="L195" s="706"/>
      <c r="M195" s="768"/>
      <c r="N195" s="4"/>
      <c r="O195" s="696"/>
      <c r="R195" t="b">
        <v>0</v>
      </c>
      <c r="S195" t="b">
        <f ca="1">(S13=2)</f>
        <v>1</v>
      </c>
      <c r="T195" t="b">
        <v>0</v>
      </c>
      <c r="W195" s="663"/>
      <c r="X195" s="688"/>
    </row>
    <row r="196" spans="2:45" x14ac:dyDescent="0.35">
      <c r="B196" s="452" t="s">
        <v>1062</v>
      </c>
      <c r="C196" s="53"/>
      <c r="D196" s="13"/>
      <c r="E196" s="13"/>
      <c r="F196" s="13"/>
      <c r="G196" s="13"/>
      <c r="H196" s="550"/>
      <c r="I196" s="155"/>
      <c r="J196" s="214"/>
      <c r="K196" s="214"/>
      <c r="L196" s="739"/>
      <c r="M196" s="766"/>
      <c r="N196" s="155"/>
      <c r="O196" s="697"/>
      <c r="R196" s="1" t="s">
        <v>4695</v>
      </c>
      <c r="S196" s="332">
        <f>Formulas!N6</f>
        <v>3</v>
      </c>
      <c r="T196" s="332">
        <f>Formulas!O6</f>
        <v>0</v>
      </c>
      <c r="W196" s="575">
        <f>MAX(S196,T196)</f>
        <v>3</v>
      </c>
      <c r="X196" s="688"/>
    </row>
    <row r="197" spans="2:45" x14ac:dyDescent="0.35">
      <c r="B197" s="53" t="s">
        <v>1065</v>
      </c>
      <c r="C197" s="53"/>
      <c r="D197" s="13"/>
      <c r="E197" s="13"/>
      <c r="F197" s="13"/>
      <c r="G197" s="13"/>
      <c r="H197" s="550"/>
      <c r="I197" s="34" t="s">
        <v>1065</v>
      </c>
      <c r="J197" s="104"/>
      <c r="K197" s="104"/>
      <c r="L197" s="110" t="s">
        <v>1066</v>
      </c>
      <c r="M197" s="43"/>
      <c r="N197" s="4"/>
      <c r="O197" s="85"/>
    </row>
    <row r="198" spans="2:45" ht="15" customHeight="1" x14ac:dyDescent="0.35">
      <c r="B198" s="452" t="s">
        <v>1067</v>
      </c>
      <c r="C198" s="53"/>
      <c r="D198" s="13"/>
      <c r="E198" s="13"/>
      <c r="F198" s="13"/>
      <c r="G198" s="13"/>
      <c r="H198" s="550"/>
      <c r="I198" s="34" t="s">
        <v>1067</v>
      </c>
      <c r="J198" s="104"/>
      <c r="K198" s="104"/>
      <c r="L198" s="707" t="s">
        <v>1068</v>
      </c>
      <c r="M198" s="740" t="str">
        <f ca="1">IF(R198,"Mandatory","N/A")</f>
        <v>Mandatory</v>
      </c>
      <c r="N198" s="4"/>
      <c r="O198" s="85"/>
      <c r="P198" t="b">
        <v>1</v>
      </c>
      <c r="Q198" t="b">
        <v>1</v>
      </c>
      <c r="R198" t="b">
        <f ca="1">S198</f>
        <v>1</v>
      </c>
      <c r="S198" t="b">
        <f ca="1">(S13=2)</f>
        <v>1</v>
      </c>
      <c r="T198" s="119" t="b">
        <f ca="1">AND(NOT(S198),LEN(W198)&gt;0)</f>
        <v>0</v>
      </c>
      <c r="U198" t="str">
        <f>SUBSTITUTE(SUBSTITUTE(SUBSTITUTE("dd"&amp;B198&amp;C198&amp;D198&amp;E198&amp;F198,".","_"),"(","_"),")","")</f>
        <v>dd703_2_5_1</v>
      </c>
      <c r="W198" s="9" t="b">
        <v>1</v>
      </c>
      <c r="X198" s="688"/>
      <c r="AC198" t="b">
        <f ca="1">OR(AD198:AE198)</f>
        <v>0</v>
      </c>
      <c r="AD198" t="b">
        <f ca="1">T198</f>
        <v>0</v>
      </c>
      <c r="AE198" t="b">
        <f ca="1">AND(R198,OR(W198="Not Met",W198=""))</f>
        <v>0</v>
      </c>
      <c r="AL198" t="str">
        <f>SUBSTITUTE(SUBSTITUTE(SUBSTITUTE("dpa"&amp;$B198&amp;$C198&amp;$D198&amp;$E198&amp;$F198,".","_"),"(","_"),")","")</f>
        <v>dpa703_2_5_1</v>
      </c>
      <c r="AM198" t="str">
        <f ca="1">M198</f>
        <v>Mandatory</v>
      </c>
      <c r="AP198" t="str">
        <f>SUBSTITUTE(SUBSTITUTE(SUBSTITUTE("dch"&amp;$B198&amp;$C198&amp;$D198&amp;$E198&amp;$F198,".","_"),"(","_"),")","")</f>
        <v>dch703_2_5_1</v>
      </c>
      <c r="AQ198" t="b">
        <f>W198</f>
        <v>1</v>
      </c>
      <c r="AR198" t="str">
        <f>SUBSTITUTE(SUBSTITUTE(SUBSTITUTE("dnt"&amp;$B198&amp;$C198&amp;$D198&amp;$E198&amp;$F198,".","_"),"(","_"),")","")</f>
        <v>dnt703_2_5_1</v>
      </c>
      <c r="AS198">
        <f>X198</f>
        <v>0</v>
      </c>
    </row>
    <row r="199" spans="2:45" x14ac:dyDescent="0.35">
      <c r="B199" s="452" t="s">
        <v>1067</v>
      </c>
      <c r="C199" s="53"/>
      <c r="D199" s="13"/>
      <c r="E199" s="13"/>
      <c r="F199" s="13"/>
      <c r="G199" s="13"/>
      <c r="H199" s="550"/>
      <c r="I199" s="4"/>
      <c r="J199" s="104"/>
      <c r="K199" s="104"/>
      <c r="L199" s="707"/>
      <c r="M199" s="740"/>
      <c r="N199" s="4"/>
      <c r="O199" s="85"/>
      <c r="X199" s="688"/>
    </row>
    <row r="200" spans="2:45" x14ac:dyDescent="0.35">
      <c r="B200" s="452" t="s">
        <v>1067</v>
      </c>
      <c r="C200" s="53"/>
      <c r="D200" s="13"/>
      <c r="E200" s="13"/>
      <c r="F200" s="13"/>
      <c r="G200" s="13"/>
      <c r="H200" s="550"/>
      <c r="I200" s="4"/>
      <c r="J200" s="104"/>
      <c r="K200" s="104"/>
      <c r="L200" s="707"/>
      <c r="M200" s="740"/>
      <c r="N200" s="4"/>
      <c r="O200" s="85"/>
      <c r="X200" s="688"/>
    </row>
    <row r="201" spans="2:45" x14ac:dyDescent="0.35">
      <c r="B201" s="452" t="s">
        <v>1067</v>
      </c>
      <c r="C201" s="53"/>
      <c r="D201" s="13"/>
      <c r="E201" s="13"/>
      <c r="F201" s="13"/>
      <c r="G201" s="13"/>
      <c r="H201" s="550"/>
      <c r="I201" s="4"/>
      <c r="J201" s="104"/>
      <c r="K201" s="104"/>
      <c r="L201" s="707"/>
      <c r="M201" s="740"/>
      <c r="N201" s="4"/>
      <c r="O201" s="85"/>
      <c r="X201" s="688"/>
    </row>
    <row r="202" spans="2:45" x14ac:dyDescent="0.35">
      <c r="B202" s="452" t="s">
        <v>1067</v>
      </c>
      <c r="C202" s="53"/>
      <c r="D202" s="13"/>
      <c r="E202" s="13"/>
      <c r="F202" s="13"/>
      <c r="G202" s="13"/>
      <c r="H202" s="550"/>
      <c r="I202" s="4"/>
      <c r="J202" s="104"/>
      <c r="K202" s="104"/>
      <c r="L202" s="707"/>
      <c r="M202" s="740"/>
      <c r="N202" s="4"/>
      <c r="O202" s="85"/>
      <c r="X202" s="688"/>
    </row>
    <row r="203" spans="2:45" x14ac:dyDescent="0.35">
      <c r="B203" s="452" t="s">
        <v>1067</v>
      </c>
      <c r="C203" s="53"/>
      <c r="D203" s="13"/>
      <c r="E203" s="13"/>
      <c r="F203" s="13"/>
      <c r="G203" s="13"/>
      <c r="H203" s="550"/>
      <c r="I203" s="4"/>
      <c r="J203" s="104"/>
      <c r="K203" s="104"/>
      <c r="L203" s="707"/>
      <c r="M203" s="740"/>
      <c r="N203" s="4"/>
      <c r="O203" s="85"/>
      <c r="X203" s="688"/>
    </row>
    <row r="204" spans="2:45" x14ac:dyDescent="0.35">
      <c r="B204" s="452" t="s">
        <v>1067</v>
      </c>
      <c r="C204" s="53"/>
      <c r="D204" s="13"/>
      <c r="E204" s="13"/>
      <c r="F204" s="13"/>
      <c r="G204" s="13"/>
      <c r="H204" s="550"/>
      <c r="I204" s="155"/>
      <c r="J204" s="214"/>
      <c r="K204" s="214"/>
      <c r="L204" s="356" t="s">
        <v>4041</v>
      </c>
      <c r="M204" s="309"/>
      <c r="N204" s="4"/>
      <c r="O204" s="85"/>
      <c r="X204" s="688"/>
    </row>
    <row r="205" spans="2:45" x14ac:dyDescent="0.35">
      <c r="B205" s="452" t="s">
        <v>1069</v>
      </c>
      <c r="C205" s="53"/>
      <c r="D205" s="13"/>
      <c r="E205" s="13"/>
      <c r="F205" s="13"/>
      <c r="G205" s="13"/>
      <c r="H205" s="550"/>
      <c r="I205" s="362" t="s">
        <v>1069</v>
      </c>
      <c r="J205" s="320"/>
      <c r="K205" s="320"/>
      <c r="L205" s="753" t="s">
        <v>1070</v>
      </c>
      <c r="M205" s="43"/>
      <c r="N205" s="4"/>
      <c r="O205" s="85"/>
      <c r="P205" t="b">
        <v>1</v>
      </c>
      <c r="Q205" t="b">
        <v>1</v>
      </c>
      <c r="R205" t="b">
        <f ca="1">S205</f>
        <v>1</v>
      </c>
      <c r="S205" t="b">
        <f ca="1">(S13=2)</f>
        <v>1</v>
      </c>
      <c r="T205" t="b">
        <f ca="1">AND(NOT(S205),LEN(W205)&gt;0)</f>
        <v>0</v>
      </c>
      <c r="U205" t="str">
        <f>SUBSTITUTE(SUBSTITUTE(SUBSTITUTE("dd"&amp;B205&amp;C205&amp;D205&amp;E205&amp;F205,".","_"),"(","_"),")","")</f>
        <v>dd703_2_5_1_1</v>
      </c>
      <c r="W205" s="9" t="s">
        <v>3241</v>
      </c>
      <c r="X205" s="688"/>
      <c r="AC205" t="b">
        <f ca="1">OR(AD205:AE205)</f>
        <v>0</v>
      </c>
      <c r="AD205" t="b">
        <f ca="1">T205</f>
        <v>0</v>
      </c>
      <c r="AE205" t="b">
        <f ca="1">AND(R205,OR(W205="Not Met",W205=""))</f>
        <v>0</v>
      </c>
      <c r="AP205" t="str">
        <f>SUBSTITUTE(SUBSTITUTE(SUBSTITUTE("dch"&amp;$B205&amp;$C205&amp;$D205&amp;$E205&amp;$F205,".","_"),"(","_"),")","")</f>
        <v>dch703_2_5_1_1</v>
      </c>
      <c r="AQ205" t="str">
        <f>W205</f>
        <v>N/A</v>
      </c>
      <c r="AR205" t="str">
        <f>SUBSTITUTE(SUBSTITUTE(SUBSTITUTE("dnt"&amp;$B205&amp;$C205&amp;$D205&amp;$E205&amp;$F205,".","_"),"(","_"),")","")</f>
        <v>dnt703_2_5_1_1</v>
      </c>
      <c r="AS205">
        <f>X205</f>
        <v>0</v>
      </c>
    </row>
    <row r="206" spans="2:45" x14ac:dyDescent="0.35">
      <c r="B206" s="452" t="s">
        <v>1069</v>
      </c>
      <c r="C206" s="53"/>
      <c r="D206" s="13"/>
      <c r="E206" s="13"/>
      <c r="F206" s="13"/>
      <c r="G206" s="13"/>
      <c r="H206" s="550"/>
      <c r="I206" s="4"/>
      <c r="J206" s="104"/>
      <c r="K206" s="104"/>
      <c r="L206" s="706"/>
      <c r="M206" s="43"/>
      <c r="N206" s="4"/>
      <c r="O206" s="85"/>
      <c r="X206" s="688"/>
    </row>
    <row r="207" spans="2:45" x14ac:dyDescent="0.35">
      <c r="B207" s="452" t="s">
        <v>1069</v>
      </c>
      <c r="C207" s="53"/>
      <c r="D207" s="13"/>
      <c r="E207" s="13"/>
      <c r="F207" s="13"/>
      <c r="G207" s="13"/>
      <c r="H207" s="550"/>
      <c r="I207" s="4"/>
      <c r="J207" s="104"/>
      <c r="K207" s="104"/>
      <c r="L207" s="706"/>
      <c r="M207" s="43"/>
      <c r="N207" s="4"/>
      <c r="O207" s="85"/>
      <c r="X207" s="688"/>
    </row>
    <row r="208" spans="2:45" x14ac:dyDescent="0.35">
      <c r="B208" s="452" t="s">
        <v>1069</v>
      </c>
      <c r="C208" s="53"/>
      <c r="D208" s="13"/>
      <c r="E208" s="13"/>
      <c r="F208" s="13"/>
      <c r="G208" s="13"/>
      <c r="H208" s="550"/>
      <c r="I208" s="4"/>
      <c r="J208" s="104"/>
      <c r="K208" s="104"/>
      <c r="L208" s="706"/>
      <c r="M208" s="43"/>
      <c r="N208" s="4"/>
      <c r="O208" s="85"/>
      <c r="X208" s="688"/>
    </row>
    <row r="209" spans="2:45" x14ac:dyDescent="0.35">
      <c r="B209" s="452" t="s">
        <v>1069</v>
      </c>
      <c r="C209" s="53"/>
      <c r="D209" s="13"/>
      <c r="E209" s="13"/>
      <c r="F209" s="13"/>
      <c r="G209" s="13"/>
      <c r="H209" s="550"/>
      <c r="I209" s="4"/>
      <c r="J209" s="104"/>
      <c r="K209" s="104"/>
      <c r="L209" s="706"/>
      <c r="M209" s="43"/>
      <c r="N209" s="4"/>
      <c r="O209" s="85"/>
      <c r="X209" s="688"/>
    </row>
    <row r="210" spans="2:45" x14ac:dyDescent="0.35">
      <c r="B210" s="452" t="s">
        <v>1069</v>
      </c>
      <c r="C210" s="53"/>
      <c r="D210" s="13"/>
      <c r="E210" s="13"/>
      <c r="F210" s="13"/>
      <c r="G210" s="13"/>
      <c r="H210" s="550"/>
      <c r="I210" s="4"/>
      <c r="J210" s="104"/>
      <c r="K210" s="104"/>
      <c r="L210" s="706"/>
      <c r="M210" s="43"/>
      <c r="N210" s="4"/>
      <c r="O210" s="85"/>
      <c r="X210" s="688"/>
    </row>
    <row r="211" spans="2:45" x14ac:dyDescent="0.35">
      <c r="B211" s="452" t="s">
        <v>1069</v>
      </c>
      <c r="C211" s="53"/>
      <c r="D211" s="13"/>
      <c r="E211" s="13"/>
      <c r="F211" s="13"/>
      <c r="G211" s="13"/>
      <c r="H211" s="550"/>
      <c r="I211" s="4"/>
      <c r="J211" s="104"/>
      <c r="K211" s="104"/>
      <c r="L211" s="706"/>
      <c r="M211" s="43"/>
      <c r="N211" s="4"/>
      <c r="O211" s="85"/>
      <c r="X211" s="688"/>
    </row>
    <row r="212" spans="2:45" x14ac:dyDescent="0.35">
      <c r="B212" s="452" t="s">
        <v>1069</v>
      </c>
      <c r="C212" s="53"/>
      <c r="D212" s="13"/>
      <c r="E212" s="13"/>
      <c r="F212" s="13"/>
      <c r="G212" s="13"/>
      <c r="H212" s="550"/>
      <c r="I212" s="155"/>
      <c r="J212" s="214"/>
      <c r="K212" s="214"/>
      <c r="L212" s="739"/>
      <c r="M212" s="198"/>
      <c r="N212" s="4"/>
      <c r="O212" s="85"/>
      <c r="X212" s="688"/>
    </row>
    <row r="213" spans="2:45" ht="15" customHeight="1" x14ac:dyDescent="0.35">
      <c r="B213" s="452" t="s">
        <v>1071</v>
      </c>
      <c r="C213" s="53"/>
      <c r="D213" s="13"/>
      <c r="E213" s="13"/>
      <c r="F213" s="13"/>
      <c r="G213" s="13"/>
      <c r="H213" s="550"/>
      <c r="I213" s="34" t="s">
        <v>1071</v>
      </c>
      <c r="J213" s="104"/>
      <c r="K213" s="104"/>
      <c r="L213" s="706" t="s">
        <v>1072</v>
      </c>
      <c r="M213" s="770" t="s">
        <v>4043</v>
      </c>
      <c r="N213" s="4"/>
      <c r="O213" s="696">
        <f ca="1">IFERROR(INDEX(M218:M220,MATCH(W213,INDIRECT(U213),0)),0)*S213</f>
        <v>0</v>
      </c>
      <c r="P213" t="b">
        <v>1</v>
      </c>
      <c r="Q213" t="b">
        <v>1</v>
      </c>
      <c r="R213" t="b">
        <v>0</v>
      </c>
      <c r="S213" t="b">
        <f ca="1">AND(S13=2,OR(W221="Met",W221="N/A"))</f>
        <v>0</v>
      </c>
      <c r="T213" t="b">
        <f ca="1">AND(NOT(S213),LEN(W213)&gt;0)</f>
        <v>0</v>
      </c>
      <c r="U213" t="str">
        <f>SUBSTITUTE(SUBSTITUTE(SUBSTITUTE("dd"&amp;B213&amp;C213&amp;D213&amp;E213&amp;F213,".","_"),"(","_"),")","")</f>
        <v>dd703_2_5_2</v>
      </c>
      <c r="W213" s="9"/>
      <c r="X213" s="688" t="s">
        <v>4818</v>
      </c>
      <c r="AC213" t="b">
        <f ca="1">OR(AD213:AE213)</f>
        <v>0</v>
      </c>
      <c r="AD213" t="b">
        <f ca="1">T213</f>
        <v>0</v>
      </c>
      <c r="AE213" t="b">
        <f>AND(R213,OR(W213="Not Met",W213=""))</f>
        <v>0</v>
      </c>
      <c r="AL213" t="str">
        <f>SUBSTITUTE(SUBSTITUTE(SUBSTITUTE("dpa"&amp;$B213&amp;$C213&amp;$D213&amp;$E213&amp;$F213,".","_"),"(","_"),")","")</f>
        <v>dpa703_2_5_2</v>
      </c>
      <c r="AM213" t="str">
        <f>M213</f>
        <v>Per Table 703.2.5.2(a) or
703.2.5.2(b) or 
703.2.5.2(c)</v>
      </c>
      <c r="AN213" t="str">
        <f>SUBSTITUTE(SUBSTITUTE(SUBSTITUTE("dpc"&amp;$B213&amp;$C213&amp;$D213&amp;$E213&amp;$F213,".","_"),"(","_"),")","")</f>
        <v>dpc703_2_5_2</v>
      </c>
      <c r="AO213">
        <f ca="1">O213</f>
        <v>0</v>
      </c>
      <c r="AP213" t="str">
        <f>SUBSTITUTE(SUBSTITUTE(SUBSTITUTE("dch"&amp;$B213&amp;$C213&amp;$D213&amp;$E213&amp;$F213,".","_"),"(","_"),")","")</f>
        <v>dch703_2_5_2</v>
      </c>
      <c r="AQ213">
        <f>W213</f>
        <v>0</v>
      </c>
      <c r="AR213" t="str">
        <f>SUBSTITUTE(SUBSTITUTE(SUBSTITUTE("dnt"&amp;$B213&amp;$C213&amp;$D213&amp;$E213&amp;$F213,".","_"),"(","_"),")","")</f>
        <v>dnt703_2_5_2</v>
      </c>
      <c r="AS213" t="str">
        <f>X213</f>
        <v>32/27</v>
      </c>
    </row>
    <row r="214" spans="2:45" x14ac:dyDescent="0.35">
      <c r="B214" s="452" t="s">
        <v>1071</v>
      </c>
      <c r="C214" s="53"/>
      <c r="D214" s="13"/>
      <c r="E214" s="13"/>
      <c r="F214" s="13"/>
      <c r="G214" s="13"/>
      <c r="H214" s="550"/>
      <c r="I214" s="4"/>
      <c r="J214" s="104"/>
      <c r="K214" s="104"/>
      <c r="L214" s="706"/>
      <c r="M214" s="770"/>
      <c r="N214" s="4"/>
      <c r="O214" s="696"/>
      <c r="X214" s="688"/>
    </row>
    <row r="215" spans="2:45" x14ac:dyDescent="0.35">
      <c r="B215" s="452" t="s">
        <v>1071</v>
      </c>
      <c r="C215" s="53"/>
      <c r="D215" s="13"/>
      <c r="E215" s="13"/>
      <c r="F215" s="13"/>
      <c r="G215" s="13"/>
      <c r="H215" s="550"/>
      <c r="I215" s="4"/>
      <c r="J215" s="104"/>
      <c r="K215" s="104"/>
      <c r="L215" s="706"/>
      <c r="M215" s="770"/>
      <c r="N215" s="4"/>
      <c r="O215" s="696"/>
      <c r="X215" s="688"/>
    </row>
    <row r="216" spans="2:45" x14ac:dyDescent="0.35">
      <c r="B216" s="452" t="s">
        <v>1071</v>
      </c>
      <c r="C216" s="53"/>
      <c r="D216" s="13"/>
      <c r="E216" s="13"/>
      <c r="F216" s="13"/>
      <c r="G216" s="13"/>
      <c r="H216" s="550"/>
      <c r="I216" s="4"/>
      <c r="J216" s="104"/>
      <c r="K216" s="104"/>
      <c r="L216" s="706"/>
      <c r="M216" s="770"/>
      <c r="N216" s="4"/>
      <c r="O216" s="696"/>
      <c r="X216" s="688"/>
    </row>
    <row r="217" spans="2:45" ht="15" customHeight="1" x14ac:dyDescent="0.35">
      <c r="B217" s="452" t="s">
        <v>1071</v>
      </c>
      <c r="C217" s="53"/>
      <c r="D217" s="13"/>
      <c r="E217" s="13"/>
      <c r="F217" s="13"/>
      <c r="G217" s="13"/>
      <c r="H217" s="550"/>
      <c r="I217" s="4"/>
      <c r="J217" s="104"/>
      <c r="K217" s="104"/>
      <c r="L217" s="706"/>
      <c r="M217" s="770"/>
      <c r="N217" s="4"/>
      <c r="O217" s="696"/>
      <c r="X217" s="688"/>
    </row>
    <row r="218" spans="2:45" ht="15" customHeight="1" x14ac:dyDescent="0.35">
      <c r="B218" s="452" t="s">
        <v>1071</v>
      </c>
      <c r="C218" s="53"/>
      <c r="D218" s="13"/>
      <c r="E218" s="13" t="s">
        <v>121</v>
      </c>
      <c r="F218" s="13"/>
      <c r="G218" s="13"/>
      <c r="H218" s="550"/>
      <c r="I218" s="4"/>
      <c r="J218" s="104"/>
      <c r="K218" s="359" t="s">
        <v>121</v>
      </c>
      <c r="L218" s="193" t="s">
        <v>3702</v>
      </c>
      <c r="M218" s="324">
        <f>IFERROR(INDEX({1,1,2,3,3,4,4,4},T245),0)</f>
        <v>3</v>
      </c>
      <c r="N218" s="4"/>
      <c r="O218" s="85"/>
      <c r="X218" s="688"/>
      <c r="AL218" t="str">
        <f t="shared" ref="AL218:AL220" si="9">SUBSTITUTE(SUBSTITUTE(SUBSTITUTE("dpa"&amp;$B218&amp;$C218&amp;$D218&amp;$E218&amp;$F218,".","_"),"(","_"),")","")</f>
        <v>dpa703_2_5_2_a</v>
      </c>
      <c r="AM218">
        <f>M218</f>
        <v>3</v>
      </c>
    </row>
    <row r="219" spans="2:45" ht="15" customHeight="1" x14ac:dyDescent="0.35">
      <c r="B219" s="452" t="s">
        <v>1071</v>
      </c>
      <c r="C219" s="53"/>
      <c r="D219" s="13"/>
      <c r="E219" s="13" t="s">
        <v>122</v>
      </c>
      <c r="F219" s="13"/>
      <c r="G219" s="13"/>
      <c r="H219" s="550"/>
      <c r="I219" s="4"/>
      <c r="J219" s="104"/>
      <c r="K219" s="359" t="s">
        <v>122</v>
      </c>
      <c r="L219" s="193" t="s">
        <v>3699</v>
      </c>
      <c r="M219" s="324">
        <f>IFERROR(INDEX({2,3,4,4,4,5,5,4},T245),0)</f>
        <v>4</v>
      </c>
      <c r="N219" s="4"/>
      <c r="O219" s="85"/>
      <c r="X219" s="688"/>
      <c r="AL219" t="str">
        <f t="shared" si="9"/>
        <v>dpa703_2_5_2_b</v>
      </c>
      <c r="AM219">
        <f>M219</f>
        <v>4</v>
      </c>
    </row>
    <row r="220" spans="2:45" ht="15" customHeight="1" x14ac:dyDescent="0.35">
      <c r="B220" s="452" t="s">
        <v>1071</v>
      </c>
      <c r="C220" s="53"/>
      <c r="D220" s="13"/>
      <c r="E220" s="13" t="s">
        <v>123</v>
      </c>
      <c r="F220" s="13"/>
      <c r="G220" s="13"/>
      <c r="H220" s="550"/>
      <c r="I220" s="155"/>
      <c r="J220" s="214"/>
      <c r="K220" s="380" t="s">
        <v>123</v>
      </c>
      <c r="L220" s="219" t="s">
        <v>3698</v>
      </c>
      <c r="M220" s="88">
        <f>IF(T246,3,1)*IFERROR(INDEX({0,0,0,6,6,6,6,6},T245),0)</f>
        <v>6</v>
      </c>
      <c r="N220" s="4"/>
      <c r="O220" s="85"/>
      <c r="X220" s="688"/>
      <c r="AL220" t="str">
        <f t="shared" si="9"/>
        <v>dpa703_2_5_2_c</v>
      </c>
      <c r="AM220">
        <f>M220</f>
        <v>6</v>
      </c>
    </row>
    <row r="221" spans="2:45" x14ac:dyDescent="0.35">
      <c r="B221" s="452" t="s">
        <v>1073</v>
      </c>
      <c r="C221" s="53"/>
      <c r="D221" s="13"/>
      <c r="E221" s="13"/>
      <c r="F221" s="13"/>
      <c r="G221" s="13"/>
      <c r="H221" s="550"/>
      <c r="I221" s="34" t="s">
        <v>1073</v>
      </c>
      <c r="J221" s="104"/>
      <c r="L221" s="706" t="s">
        <v>1074</v>
      </c>
      <c r="M221" s="318"/>
      <c r="N221" s="4"/>
      <c r="O221" s="85"/>
      <c r="P221" t="b">
        <v>1</v>
      </c>
      <c r="Q221" t="b">
        <v>1</v>
      </c>
      <c r="R221" t="b">
        <v>0</v>
      </c>
      <c r="S221" t="b">
        <f ca="1">(S13=2)</f>
        <v>1</v>
      </c>
      <c r="T221" t="b">
        <f ca="1">AND(NOT(S221),LEN(W221)&gt;0)</f>
        <v>0</v>
      </c>
      <c r="U221" t="str">
        <f>SUBSTITUTE(SUBSTITUTE(SUBSTITUTE("dd"&amp;B221&amp;C221&amp;D221&amp;E221&amp;F221,".","_"),"(","_"),")","")</f>
        <v>dd703_2_5_2_1</v>
      </c>
      <c r="W221" s="9"/>
      <c r="X221" s="688"/>
      <c r="AC221" t="b">
        <f ca="1">OR(AD221:AE221)</f>
        <v>0</v>
      </c>
      <c r="AD221" t="b">
        <f ca="1">T221</f>
        <v>0</v>
      </c>
      <c r="AE221" t="b">
        <f>AND(R221,OR(W221="Not Met",W221=""))</f>
        <v>0</v>
      </c>
      <c r="AP221" t="str">
        <f>SUBSTITUTE(SUBSTITUTE(SUBSTITUTE("dch"&amp;$B221&amp;$C221&amp;$D221&amp;$E221&amp;$F221,".","_"),"(","_"),")","")</f>
        <v>dch703_2_5_2_1</v>
      </c>
      <c r="AQ221">
        <f>W221</f>
        <v>0</v>
      </c>
      <c r="AR221" t="str">
        <f>SUBSTITUTE(SUBSTITUTE(SUBSTITUTE("dnt"&amp;$B221&amp;$C221&amp;$D221&amp;$E221&amp;$F221,".","_"),"(","_"),")","")</f>
        <v>dnt703_2_5_2_1</v>
      </c>
      <c r="AS221">
        <f>X221</f>
        <v>0</v>
      </c>
    </row>
    <row r="222" spans="2:45" x14ac:dyDescent="0.35">
      <c r="B222" s="452" t="s">
        <v>1073</v>
      </c>
      <c r="C222" s="53"/>
      <c r="D222" s="13"/>
      <c r="E222" s="13"/>
      <c r="F222" s="13"/>
      <c r="G222" s="13"/>
      <c r="H222" s="550"/>
      <c r="I222" s="4"/>
      <c r="J222" s="104"/>
      <c r="K222" s="104"/>
      <c r="L222" s="706"/>
      <c r="M222" s="318"/>
      <c r="N222" s="4"/>
      <c r="O222" s="85"/>
      <c r="X222" s="688"/>
    </row>
    <row r="223" spans="2:45" x14ac:dyDescent="0.35">
      <c r="B223" s="452" t="s">
        <v>1073</v>
      </c>
      <c r="C223" s="53"/>
      <c r="D223" s="13"/>
      <c r="E223" s="13"/>
      <c r="F223" s="13"/>
      <c r="G223" s="13"/>
      <c r="H223" s="550"/>
      <c r="I223" s="4"/>
      <c r="J223" s="104"/>
      <c r="K223" s="104"/>
      <c r="L223" s="706"/>
      <c r="M223" s="318"/>
      <c r="N223" s="4"/>
      <c r="O223" s="85"/>
      <c r="X223" s="688"/>
    </row>
    <row r="224" spans="2:45" x14ac:dyDescent="0.35">
      <c r="B224" s="452" t="s">
        <v>1073</v>
      </c>
      <c r="C224" s="53"/>
      <c r="D224" s="13"/>
      <c r="E224" s="13"/>
      <c r="F224" s="13"/>
      <c r="G224" s="13"/>
      <c r="H224" s="550"/>
      <c r="I224" s="4"/>
      <c r="J224" s="104"/>
      <c r="K224" s="104"/>
      <c r="L224" s="706"/>
      <c r="M224" s="318"/>
      <c r="N224" s="4"/>
      <c r="O224" s="85"/>
      <c r="X224" s="688"/>
    </row>
    <row r="225" spans="2:45" x14ac:dyDescent="0.35">
      <c r="B225" s="452" t="s">
        <v>1073</v>
      </c>
      <c r="C225" s="53"/>
      <c r="D225" s="13"/>
      <c r="E225" s="13"/>
      <c r="F225" s="13"/>
      <c r="G225" s="13"/>
      <c r="H225" s="550"/>
      <c r="I225" s="4"/>
      <c r="J225" s="104"/>
      <c r="K225" s="104"/>
      <c r="L225" s="706"/>
      <c r="M225" s="318"/>
      <c r="N225" s="4"/>
      <c r="O225" s="85"/>
      <c r="X225" s="688"/>
    </row>
    <row r="226" spans="2:45" x14ac:dyDescent="0.35">
      <c r="B226" s="452" t="s">
        <v>1073</v>
      </c>
      <c r="C226" s="53"/>
      <c r="D226" s="13"/>
      <c r="E226" s="13"/>
      <c r="F226" s="13"/>
      <c r="G226" s="13"/>
      <c r="H226" s="550"/>
      <c r="I226" s="4"/>
      <c r="J226" s="104"/>
      <c r="K226" s="104"/>
      <c r="L226" s="706"/>
      <c r="M226" s="318"/>
      <c r="N226" s="4"/>
      <c r="O226" s="85"/>
      <c r="X226" s="688"/>
    </row>
    <row r="227" spans="2:45" x14ac:dyDescent="0.35">
      <c r="B227" s="452" t="s">
        <v>1073</v>
      </c>
      <c r="C227" s="53"/>
      <c r="D227" s="13"/>
      <c r="E227" s="13"/>
      <c r="F227" s="13"/>
      <c r="G227" s="13"/>
      <c r="H227" s="550"/>
      <c r="I227" s="4"/>
      <c r="J227" s="104"/>
      <c r="K227" s="104"/>
      <c r="L227" s="706"/>
      <c r="M227" s="318"/>
      <c r="N227" s="4"/>
      <c r="O227" s="85"/>
      <c r="X227" s="688"/>
    </row>
    <row r="228" spans="2:45" ht="15" thickBot="1" x14ac:dyDescent="0.4">
      <c r="B228" s="452" t="s">
        <v>1073</v>
      </c>
      <c r="C228" s="53"/>
      <c r="D228" s="13"/>
      <c r="E228" s="13"/>
      <c r="F228" s="13"/>
      <c r="G228" s="13"/>
      <c r="H228" s="550"/>
      <c r="I228" s="183"/>
      <c r="J228" s="223"/>
      <c r="K228" s="223"/>
      <c r="L228" s="710"/>
      <c r="M228" s="351"/>
      <c r="N228" s="183"/>
      <c r="O228" s="184"/>
      <c r="P228" s="58"/>
      <c r="Q228" s="58"/>
      <c r="R228" s="58"/>
      <c r="S228" s="58"/>
      <c r="T228" s="58"/>
      <c r="U228" s="58"/>
      <c r="V228" s="58"/>
      <c r="W228" s="58"/>
      <c r="X228" s="689"/>
    </row>
    <row r="229" spans="2:45" ht="15" thickTop="1" x14ac:dyDescent="0.35">
      <c r="B229" s="452" t="s">
        <v>1075</v>
      </c>
      <c r="C229" s="53"/>
      <c r="D229" s="13"/>
      <c r="E229" s="13"/>
      <c r="F229" s="13"/>
      <c r="G229" s="13"/>
      <c r="H229" s="550"/>
      <c r="I229" s="19">
        <v>703.3</v>
      </c>
      <c r="J229" s="104"/>
      <c r="K229" s="104"/>
      <c r="L229" s="110" t="s">
        <v>1076</v>
      </c>
      <c r="M229" s="43"/>
      <c r="N229" s="4"/>
      <c r="O229" s="85"/>
    </row>
    <row r="230" spans="2:45" x14ac:dyDescent="0.35">
      <c r="B230" s="452" t="s">
        <v>1075</v>
      </c>
      <c r="C230" s="53"/>
      <c r="D230" s="13" t="s">
        <v>270</v>
      </c>
      <c r="E230" s="13"/>
      <c r="F230" s="13"/>
      <c r="G230" s="13"/>
      <c r="H230" s="550"/>
      <c r="I230" s="34" t="s">
        <v>1075</v>
      </c>
      <c r="J230" s="104"/>
      <c r="K230" s="104"/>
      <c r="L230" s="706" t="s">
        <v>1077</v>
      </c>
      <c r="M230" s="43"/>
      <c r="N230" s="4"/>
      <c r="O230" s="85"/>
      <c r="W230" t="s">
        <v>4030</v>
      </c>
      <c r="X230" s="688"/>
      <c r="AR230" t="str">
        <f>SUBSTITUTE(SUBSTITUTE(SUBSTITUTE("dnt"&amp;$B230&amp;$C230&amp;$D230&amp;$E230&amp;$F230,".","_"),"(","_"),")","")</f>
        <v>dnt703_3_0_1</v>
      </c>
      <c r="AS230">
        <f>X230</f>
        <v>0</v>
      </c>
    </row>
    <row r="231" spans="2:45" x14ac:dyDescent="0.35">
      <c r="B231" s="452" t="s">
        <v>1075</v>
      </c>
      <c r="C231" s="53"/>
      <c r="D231" s="13" t="s">
        <v>270</v>
      </c>
      <c r="E231" s="13"/>
      <c r="F231" s="13"/>
      <c r="G231" s="13"/>
      <c r="H231" s="550"/>
      <c r="I231" s="4"/>
      <c r="J231" s="104"/>
      <c r="K231" s="104"/>
      <c r="L231" s="706"/>
      <c r="M231" s="43"/>
      <c r="N231" s="4"/>
      <c r="O231" s="85"/>
      <c r="P231" t="b">
        <v>1</v>
      </c>
      <c r="Q231" t="b">
        <v>1</v>
      </c>
      <c r="R231" t="b">
        <v>0</v>
      </c>
      <c r="S231" t="b">
        <f ca="1">(S13=2)</f>
        <v>1</v>
      </c>
      <c r="T231" t="b">
        <f ca="1">AND(NOT(S231),LEN(W231)&gt;0)</f>
        <v>0</v>
      </c>
      <c r="U231" t="str">
        <f>SUBSTITUTE(SUBSTITUTE(SUBSTITUTE("dd"&amp;B231&amp;C231&amp;D231&amp;E231&amp;F231,".","_"),"(","_"),")","")</f>
        <v>dd703_3_0_1</v>
      </c>
      <c r="W231" s="9" t="s">
        <v>232</v>
      </c>
      <c r="X231" s="688"/>
      <c r="AC231" t="b">
        <f ca="1">OR(AD231:AE231)</f>
        <v>0</v>
      </c>
      <c r="AD231" t="b">
        <f ca="1">T231</f>
        <v>0</v>
      </c>
      <c r="AE231" t="b">
        <f ca="1">AND(W231=INDEX(INDIRECT(U231),1),LEN(X230)=0)</f>
        <v>0</v>
      </c>
      <c r="AP231" t="str">
        <f>SUBSTITUTE(SUBSTITUTE(SUBSTITUTE("dch"&amp;$B231&amp;$C231&amp;$D231&amp;$E231&amp;$F231,".","_"),"(","_"),")","")</f>
        <v>dch703_3_0_1</v>
      </c>
      <c r="AQ231" t="str">
        <f>W231</f>
        <v>No</v>
      </c>
    </row>
    <row r="232" spans="2:45" x14ac:dyDescent="0.35">
      <c r="B232" s="452" t="s">
        <v>1075</v>
      </c>
      <c r="C232" s="53"/>
      <c r="D232" s="13"/>
      <c r="E232" s="13"/>
      <c r="F232" s="13"/>
      <c r="G232" s="13"/>
      <c r="H232" s="550"/>
      <c r="I232" s="4"/>
      <c r="J232" s="104"/>
      <c r="K232" s="104"/>
      <c r="L232" s="706"/>
      <c r="M232" s="43"/>
      <c r="N232" s="4"/>
      <c r="O232" s="85"/>
      <c r="X232" s="688"/>
    </row>
    <row r="233" spans="2:45" x14ac:dyDescent="0.35">
      <c r="B233" s="452" t="s">
        <v>1075</v>
      </c>
      <c r="C233" s="53"/>
      <c r="D233" s="13"/>
      <c r="E233" s="13"/>
      <c r="F233" s="13"/>
      <c r="G233" s="13"/>
      <c r="H233" s="550"/>
      <c r="I233" s="4"/>
      <c r="J233" s="104"/>
      <c r="K233" s="104"/>
      <c r="L233" s="706"/>
      <c r="M233" s="43"/>
      <c r="N233" s="4"/>
      <c r="O233" s="85"/>
      <c r="X233" s="688"/>
    </row>
    <row r="234" spans="2:45" x14ac:dyDescent="0.35">
      <c r="B234" s="452" t="s">
        <v>1075</v>
      </c>
      <c r="C234" s="53"/>
      <c r="D234" s="13"/>
      <c r="E234" s="13"/>
      <c r="F234" s="13"/>
      <c r="G234" s="13"/>
      <c r="H234" s="550"/>
      <c r="I234" s="4"/>
      <c r="J234" s="104"/>
      <c r="K234" s="104"/>
      <c r="L234" s="706"/>
      <c r="M234" s="43"/>
      <c r="N234" s="4"/>
      <c r="O234" s="85"/>
      <c r="X234" s="688"/>
    </row>
    <row r="235" spans="2:45" x14ac:dyDescent="0.35">
      <c r="B235" s="452" t="s">
        <v>1075</v>
      </c>
      <c r="C235" s="53"/>
      <c r="D235" s="13"/>
      <c r="E235" s="13"/>
      <c r="F235" s="13"/>
      <c r="G235" s="13"/>
      <c r="H235" s="550"/>
      <c r="I235" s="4"/>
      <c r="J235" s="104"/>
      <c r="K235" s="104"/>
      <c r="L235" s="706"/>
      <c r="M235" s="43"/>
      <c r="N235" s="4"/>
      <c r="O235" s="85"/>
      <c r="X235" s="688"/>
    </row>
    <row r="236" spans="2:45" x14ac:dyDescent="0.35">
      <c r="B236" s="452" t="s">
        <v>1075</v>
      </c>
      <c r="C236" s="53"/>
      <c r="D236" s="13" t="s">
        <v>272</v>
      </c>
      <c r="E236" s="13"/>
      <c r="F236" s="13"/>
      <c r="G236" s="13"/>
      <c r="H236" s="550"/>
      <c r="I236" s="4"/>
      <c r="J236" s="104"/>
      <c r="K236" s="104"/>
      <c r="L236" s="706"/>
      <c r="M236" s="43"/>
      <c r="N236" s="4"/>
      <c r="O236" s="85"/>
      <c r="W236" t="s">
        <v>4031</v>
      </c>
      <c r="X236" s="688"/>
      <c r="AR236" t="str">
        <f>SUBSTITUTE(SUBSTITUTE(SUBSTITUTE("dnt"&amp;$B236&amp;$C236&amp;$D236&amp;$E236&amp;$F236,".","_"),"(","_"),")","")</f>
        <v>dnt703_3_0_2</v>
      </c>
      <c r="AS236">
        <f>X236</f>
        <v>0</v>
      </c>
    </row>
    <row r="237" spans="2:45" x14ac:dyDescent="0.35">
      <c r="B237" s="452" t="s">
        <v>1075</v>
      </c>
      <c r="C237" s="53"/>
      <c r="D237" s="13" t="s">
        <v>272</v>
      </c>
      <c r="E237" s="13"/>
      <c r="F237" s="13"/>
      <c r="G237" s="13"/>
      <c r="H237" s="550"/>
      <c r="I237" s="4"/>
      <c r="J237" s="104"/>
      <c r="K237" s="104"/>
      <c r="L237" s="706"/>
      <c r="M237" s="43"/>
      <c r="N237" s="4"/>
      <c r="O237" s="85"/>
      <c r="P237" t="b">
        <v>1</v>
      </c>
      <c r="Q237" t="b">
        <v>1</v>
      </c>
      <c r="R237" t="b">
        <v>0</v>
      </c>
      <c r="S237" t="b">
        <f ca="1">(S13=2)</f>
        <v>1</v>
      </c>
      <c r="T237" t="b">
        <f ca="1">AND(NOT(S237),LEN(W237)&gt;0)</f>
        <v>0</v>
      </c>
      <c r="U237" t="str">
        <f>SUBSTITUTE(SUBSTITUTE(SUBSTITUTE("dd"&amp;B237&amp;C237&amp;D237&amp;E237&amp;F237,".","_"),"(","_"),")","")</f>
        <v>dd703_3_0_2</v>
      </c>
      <c r="W237" s="9" t="s">
        <v>232</v>
      </c>
      <c r="X237" s="688"/>
      <c r="AC237" t="b">
        <f ca="1">OR(AD237:AE237)</f>
        <v>0</v>
      </c>
      <c r="AD237" t="b">
        <f ca="1">T237</f>
        <v>0</v>
      </c>
      <c r="AE237" t="b">
        <f ca="1">AND(W237=INDEX(INDIRECT(U237),1),LEN(X236)=0)</f>
        <v>0</v>
      </c>
      <c r="AP237" t="str">
        <f>SUBSTITUTE(SUBSTITUTE(SUBSTITUTE("dch"&amp;$B237&amp;$C237&amp;$D237&amp;$E237&amp;$F237,".","_"),"(","_"),")","")</f>
        <v>dch703_3_0_2</v>
      </c>
      <c r="AQ237" t="str">
        <f>W237</f>
        <v>No</v>
      </c>
    </row>
    <row r="238" spans="2:45" x14ac:dyDescent="0.35">
      <c r="B238" s="452" t="s">
        <v>1075</v>
      </c>
      <c r="C238" s="53"/>
      <c r="D238" s="13"/>
      <c r="E238" s="13"/>
      <c r="F238" s="13"/>
      <c r="G238" s="13"/>
      <c r="H238" s="550"/>
      <c r="I238" s="4"/>
      <c r="J238" s="104"/>
      <c r="K238" s="104"/>
      <c r="L238" s="778" t="s">
        <v>1297</v>
      </c>
      <c r="M238" s="43"/>
      <c r="N238" s="4"/>
      <c r="O238" s="85"/>
      <c r="X238" s="688"/>
    </row>
    <row r="239" spans="2:45" x14ac:dyDescent="0.35">
      <c r="B239" s="452" t="s">
        <v>1075</v>
      </c>
      <c r="C239" s="53"/>
      <c r="D239" s="13"/>
      <c r="E239" s="13"/>
      <c r="F239" s="13"/>
      <c r="G239" s="13"/>
      <c r="H239" s="550"/>
      <c r="I239" s="4"/>
      <c r="J239" s="104"/>
      <c r="K239" s="104"/>
      <c r="L239" s="778"/>
      <c r="M239" s="43"/>
      <c r="N239" s="4"/>
      <c r="O239" s="85"/>
      <c r="X239" s="688"/>
    </row>
    <row r="240" spans="2:45" x14ac:dyDescent="0.35">
      <c r="B240" s="452" t="s">
        <v>1075</v>
      </c>
      <c r="C240" s="53"/>
      <c r="D240" s="13"/>
      <c r="E240" s="13"/>
      <c r="F240" s="13"/>
      <c r="G240" s="13"/>
      <c r="H240" s="550"/>
      <c r="I240" s="4"/>
      <c r="J240" s="104"/>
      <c r="K240" s="104"/>
      <c r="L240" s="177" t="s">
        <v>1078</v>
      </c>
      <c r="M240" s="43"/>
      <c r="N240" s="4"/>
      <c r="O240" s="85"/>
      <c r="X240" s="688"/>
    </row>
    <row r="241" spans="2:45" x14ac:dyDescent="0.35">
      <c r="B241" s="452" t="s">
        <v>1075</v>
      </c>
      <c r="C241" s="53"/>
      <c r="D241" s="13"/>
      <c r="E241" s="13"/>
      <c r="F241" s="13"/>
      <c r="G241" s="13"/>
      <c r="H241" s="550"/>
      <c r="I241" s="4"/>
      <c r="J241" s="104"/>
      <c r="K241" s="104"/>
      <c r="L241" s="177" t="s">
        <v>1079</v>
      </c>
      <c r="M241" s="43"/>
      <c r="N241" s="4"/>
      <c r="O241" s="85"/>
      <c r="X241" s="688"/>
    </row>
    <row r="242" spans="2:45" x14ac:dyDescent="0.35">
      <c r="B242" s="452" t="s">
        <v>1075</v>
      </c>
      <c r="C242" s="53"/>
      <c r="D242" s="13"/>
      <c r="E242" s="13"/>
      <c r="F242" s="13"/>
      <c r="G242" s="13"/>
      <c r="H242" s="550"/>
      <c r="I242" s="155"/>
      <c r="J242" s="214"/>
      <c r="K242" s="214"/>
      <c r="L242" s="370" t="s">
        <v>1080</v>
      </c>
      <c r="M242" s="43"/>
      <c r="N242" s="4"/>
      <c r="O242" s="85"/>
      <c r="X242" s="688"/>
    </row>
    <row r="243" spans="2:45" x14ac:dyDescent="0.35">
      <c r="B243" s="452" t="s">
        <v>1081</v>
      </c>
      <c r="C243" s="53"/>
      <c r="D243" s="13"/>
      <c r="E243" s="13"/>
      <c r="F243" s="13"/>
      <c r="G243" s="13"/>
      <c r="H243" s="550"/>
      <c r="I243" s="34" t="s">
        <v>1081</v>
      </c>
      <c r="J243" s="104"/>
      <c r="K243" s="104"/>
      <c r="L243" s="706" t="s">
        <v>1082</v>
      </c>
      <c r="M243" s="737">
        <v>4</v>
      </c>
      <c r="N243" s="4"/>
      <c r="O243" s="696">
        <f ca="1">M243*S243*W243</f>
        <v>0</v>
      </c>
      <c r="P243" t="b">
        <v>1</v>
      </c>
      <c r="Q243" t="b">
        <v>1</v>
      </c>
      <c r="R243" t="b">
        <v>0</v>
      </c>
      <c r="S243" t="b">
        <f ca="1">(S13=2)</f>
        <v>1</v>
      </c>
      <c r="T243" t="b">
        <f ca="1">AND(NOT(S243),W243=TRUE)</f>
        <v>0</v>
      </c>
      <c r="W243" s="17"/>
      <c r="X243" s="688"/>
      <c r="AC243" t="b">
        <f ca="1">OR(AD243:AE243)</f>
        <v>0</v>
      </c>
      <c r="AD243" t="b">
        <f ca="1">T243</f>
        <v>0</v>
      </c>
      <c r="AE243" t="b">
        <f>AND(R243,NOT(W243))</f>
        <v>0</v>
      </c>
      <c r="AL243" t="str">
        <f>SUBSTITUTE(SUBSTITUTE(SUBSTITUTE("dpa"&amp;$B243&amp;$C243&amp;$D243&amp;$E243&amp;$F243,".","_"),"(","_"),")","")</f>
        <v>dpa703_3_1</v>
      </c>
      <c r="AM243">
        <f>M243</f>
        <v>4</v>
      </c>
      <c r="AN243" t="str">
        <f>SUBSTITUTE(SUBSTITUTE(SUBSTITUTE("dpc"&amp;$B243&amp;$C243&amp;$D243&amp;$E243&amp;$F243,".","_"),"(","_"),")","")</f>
        <v>dpc703_3_1</v>
      </c>
      <c r="AO243">
        <f ca="1">O243</f>
        <v>0</v>
      </c>
      <c r="AP243" t="str">
        <f>SUBSTITUTE(SUBSTITUTE(SUBSTITUTE("dch"&amp;$B243&amp;$C243&amp;$D243&amp;$E243&amp;$F243,".","_"),"(","_"),")","")</f>
        <v>dch703_3_1</v>
      </c>
      <c r="AQ243">
        <f>W243</f>
        <v>0</v>
      </c>
      <c r="AR243" t="str">
        <f>SUBSTITUTE(SUBSTITUTE(SUBSTITUTE("dnt"&amp;$B243&amp;$C243&amp;$D243&amp;$E243&amp;$F243,".","_"),"(","_"),")","")</f>
        <v>dnt703_3_1</v>
      </c>
      <c r="AS243">
        <f>X243</f>
        <v>0</v>
      </c>
    </row>
    <row r="244" spans="2:45" x14ac:dyDescent="0.35">
      <c r="B244" s="452" t="s">
        <v>1081</v>
      </c>
      <c r="C244" s="53"/>
      <c r="D244" s="13"/>
      <c r="E244" s="13"/>
      <c r="F244" s="13"/>
      <c r="G244" s="13"/>
      <c r="H244" s="550"/>
      <c r="I244" s="4"/>
      <c r="J244" s="104"/>
      <c r="K244" s="104"/>
      <c r="L244" s="706"/>
      <c r="M244" s="737"/>
      <c r="N244" s="4"/>
      <c r="O244" s="696"/>
      <c r="X244" s="688"/>
    </row>
    <row r="245" spans="2:45" x14ac:dyDescent="0.35">
      <c r="B245" s="452" t="s">
        <v>1081</v>
      </c>
      <c r="C245" s="53"/>
      <c r="D245" s="13"/>
      <c r="E245" s="13"/>
      <c r="F245" s="13"/>
      <c r="G245" s="13"/>
      <c r="H245" s="550"/>
      <c r="I245" s="4"/>
      <c r="J245" s="104"/>
      <c r="K245" s="104"/>
      <c r="L245" s="706"/>
      <c r="M245" s="737"/>
      <c r="N245" s="4"/>
      <c r="O245" s="696"/>
      <c r="S245" s="285" t="s">
        <v>4038</v>
      </c>
      <c r="T245" s="1">
        <f>BF17</f>
        <v>4</v>
      </c>
      <c r="X245" s="688"/>
    </row>
    <row r="246" spans="2:45" x14ac:dyDescent="0.35">
      <c r="B246" s="452" t="s">
        <v>1081</v>
      </c>
      <c r="C246" s="53"/>
      <c r="D246" s="13"/>
      <c r="E246" s="13"/>
      <c r="F246" s="13"/>
      <c r="G246" s="13"/>
      <c r="H246" s="550"/>
      <c r="I246" s="4"/>
      <c r="J246" s="104"/>
      <c r="K246" s="104"/>
      <c r="L246" s="706"/>
      <c r="M246" s="737"/>
      <c r="N246" s="4"/>
      <c r="O246" s="696"/>
      <c r="R246" s="1"/>
      <c r="S246" s="285" t="s">
        <v>3905</v>
      </c>
      <c r="T246" s="1" t="b">
        <f>AND(AY26&gt;4,AY20=INDEX(ddSingleOrMulti,2))</f>
        <v>0</v>
      </c>
      <c r="X246" s="688"/>
    </row>
    <row r="247" spans="2:45" x14ac:dyDescent="0.35">
      <c r="B247" s="452" t="s">
        <v>1081</v>
      </c>
      <c r="C247" s="53"/>
      <c r="D247" s="13"/>
      <c r="E247" s="13"/>
      <c r="F247" s="13"/>
      <c r="G247" s="13"/>
      <c r="H247" s="550"/>
      <c r="I247" s="155"/>
      <c r="J247" s="214"/>
      <c r="K247" s="214"/>
      <c r="L247" s="739"/>
      <c r="M247" s="756"/>
      <c r="N247" s="155"/>
      <c r="O247" s="697"/>
      <c r="X247" s="688"/>
    </row>
    <row r="248" spans="2:45" x14ac:dyDescent="0.35">
      <c r="B248" s="452" t="s">
        <v>1083</v>
      </c>
      <c r="C248" s="53"/>
      <c r="D248" s="13"/>
      <c r="E248" s="13"/>
      <c r="F248" s="13"/>
      <c r="G248" s="13"/>
      <c r="H248" s="550"/>
      <c r="I248" s="34" t="s">
        <v>1083</v>
      </c>
      <c r="J248" s="104"/>
      <c r="K248" s="104"/>
      <c r="L248" s="110" t="s">
        <v>1084</v>
      </c>
      <c r="M248" s="310"/>
      <c r="N248" s="4"/>
      <c r="O248" s="85"/>
    </row>
    <row r="249" spans="2:45" x14ac:dyDescent="0.35">
      <c r="B249" s="452" t="s">
        <v>1083</v>
      </c>
      <c r="C249" s="53"/>
      <c r="D249" s="13" t="s">
        <v>270</v>
      </c>
      <c r="E249" s="13"/>
      <c r="F249" s="13"/>
      <c r="G249" s="13"/>
      <c r="H249" s="550"/>
      <c r="I249" s="4"/>
      <c r="J249" s="175" t="s">
        <v>270</v>
      </c>
      <c r="K249" s="104"/>
      <c r="L249" s="104" t="s">
        <v>1085</v>
      </c>
      <c r="M249" s="43"/>
      <c r="N249" s="4"/>
      <c r="O249" s="85">
        <f ca="1">IFERROR(INDEX(M250:M254,MATCH(W250,{0.9,0.92,0.94,0.96,0.98},1)),0)*S250</f>
        <v>0</v>
      </c>
      <c r="W249" t="s">
        <v>4047</v>
      </c>
      <c r="X249" s="688"/>
      <c r="AN249" t="str">
        <f>SUBSTITUTE(SUBSTITUTE(SUBSTITUTE("dpc"&amp;$B249&amp;$C249&amp;$D249&amp;$E249&amp;$F249,".","_"),"(","_"),")","")</f>
        <v>dpc703_3_2 _1</v>
      </c>
      <c r="AO249">
        <f ca="1">O249</f>
        <v>0</v>
      </c>
      <c r="AR249" t="str">
        <f>SUBSTITUTE(SUBSTITUTE(SUBSTITUTE("dnt"&amp;$B249&amp;$C249&amp;$D249&amp;$E249&amp;$F249,".","_"),"(","_"),")","")</f>
        <v>dnt703_3_2 _1</v>
      </c>
      <c r="AS249">
        <f>X249</f>
        <v>0</v>
      </c>
    </row>
    <row r="250" spans="2:45" x14ac:dyDescent="0.35">
      <c r="B250" s="452" t="s">
        <v>1083</v>
      </c>
      <c r="C250" s="53"/>
      <c r="D250" s="13" t="s">
        <v>270</v>
      </c>
      <c r="E250" s="13" t="s">
        <v>270</v>
      </c>
      <c r="F250" s="13"/>
      <c r="G250" s="13"/>
      <c r="H250" s="550"/>
      <c r="I250" s="4"/>
      <c r="J250" s="175"/>
      <c r="K250" s="104"/>
      <c r="L250" s="104" t="s">
        <v>4032</v>
      </c>
      <c r="M250" s="43">
        <f>IF(T246,IFERROR(INDEX({0,4,4,8,8,10,11,13},T245),0),IFERROR(INDEX({0,2,3,6,6,9,10,12},T245),0))</f>
        <v>6</v>
      </c>
      <c r="N250" s="4"/>
      <c r="O250" s="85"/>
      <c r="P250" t="b">
        <v>1</v>
      </c>
      <c r="Q250" t="b">
        <v>1</v>
      </c>
      <c r="R250" t="b">
        <v>0</v>
      </c>
      <c r="S250" t="b">
        <f ca="1">AND(S13=2,LEN(W256)=0,LEN(W259)=0,LEN(W264)=0,LEN(W270)=0,LEN(W275)=0,NOT(W287=TRUE),LEN(W292)=0)</f>
        <v>1</v>
      </c>
      <c r="T250" t="b">
        <f ca="1">AND(NOT(S250),LEN(W250)&gt;0)</f>
        <v>0</v>
      </c>
      <c r="W250" s="333"/>
      <c r="X250" s="688"/>
      <c r="AC250" t="b">
        <f ca="1">OR(AD250:AE250)</f>
        <v>0</v>
      </c>
      <c r="AD250" t="b">
        <f ca="1">T250</f>
        <v>0</v>
      </c>
      <c r="AE250" t="b">
        <f>AND(R250,OR(W250="Not Met",W250=""))</f>
        <v>0</v>
      </c>
      <c r="AL250" t="str">
        <f t="shared" ref="AL250:AL254" si="10">SUBSTITUTE(SUBSTITUTE(SUBSTITUTE("dpa"&amp;$B250&amp;$C250&amp;$D250&amp;$E250&amp;$F250,".","_"),"(","_"),")","")</f>
        <v>dpa703_3_2 _1_1</v>
      </c>
      <c r="AM250">
        <f>M250</f>
        <v>6</v>
      </c>
      <c r="AP250" t="str">
        <f>SUBSTITUTE(SUBSTITUTE(SUBSTITUTE("dch"&amp;$B250&amp;$C250&amp;$D250&amp;$E250&amp;$F250,".","_"),"(","_"),")","")</f>
        <v>dch703_3_2 _1_1</v>
      </c>
      <c r="AQ250" s="258">
        <f>W250</f>
        <v>0</v>
      </c>
    </row>
    <row r="251" spans="2:45" x14ac:dyDescent="0.35">
      <c r="B251" s="452" t="s">
        <v>1083</v>
      </c>
      <c r="C251" s="53"/>
      <c r="D251" s="13" t="s">
        <v>270</v>
      </c>
      <c r="E251" s="13" t="s">
        <v>272</v>
      </c>
      <c r="F251" s="13"/>
      <c r="G251" s="13"/>
      <c r="H251" s="550"/>
      <c r="I251" s="4"/>
      <c r="J251" s="175"/>
      <c r="K251" s="104"/>
      <c r="L251" s="104" t="s">
        <v>4033</v>
      </c>
      <c r="M251" s="43">
        <f>IF(T246,IFERROR(INDEX({0,4,4,9,10,11,12,14},T245),0),IFERROR(INDEX({0,2,4,7,8,10,12,14},T245),0))</f>
        <v>7</v>
      </c>
      <c r="N251" s="4"/>
      <c r="O251" s="85"/>
      <c r="X251" s="688"/>
      <c r="AL251" t="str">
        <f t="shared" si="10"/>
        <v>dpa703_3_2 _1_2</v>
      </c>
      <c r="AM251">
        <f>M251</f>
        <v>7</v>
      </c>
    </row>
    <row r="252" spans="2:45" x14ac:dyDescent="0.35">
      <c r="B252" s="452" t="s">
        <v>1083</v>
      </c>
      <c r="C252" s="53"/>
      <c r="D252" s="13" t="s">
        <v>270</v>
      </c>
      <c r="E252" s="13" t="s">
        <v>274</v>
      </c>
      <c r="F252" s="13"/>
      <c r="G252" s="13"/>
      <c r="H252" s="550"/>
      <c r="I252" s="4"/>
      <c r="J252" s="175"/>
      <c r="K252" s="104"/>
      <c r="L252" s="104" t="s">
        <v>4034</v>
      </c>
      <c r="M252" s="43">
        <f>IF(T246,IFERROR(INDEX({0,5,5,10,11,12,14,16},T245),0),IFERROR(INDEX({0,3,4,9,9,12,14,16},T245),0))</f>
        <v>9</v>
      </c>
      <c r="N252" s="4"/>
      <c r="O252" s="85"/>
      <c r="X252" s="688"/>
      <c r="AL252" t="str">
        <f t="shared" si="10"/>
        <v>dpa703_3_2 _1_3</v>
      </c>
      <c r="AM252">
        <f>M252</f>
        <v>9</v>
      </c>
    </row>
    <row r="253" spans="2:45" x14ac:dyDescent="0.35">
      <c r="B253" s="452" t="s">
        <v>1083</v>
      </c>
      <c r="C253" s="53"/>
      <c r="D253" s="13" t="s">
        <v>270</v>
      </c>
      <c r="E253" s="13" t="s">
        <v>283</v>
      </c>
      <c r="F253" s="13"/>
      <c r="G253" s="13"/>
      <c r="H253" s="550"/>
      <c r="I253" s="4"/>
      <c r="J253" s="175"/>
      <c r="K253" s="104"/>
      <c r="L253" s="104" t="s">
        <v>4035</v>
      </c>
      <c r="M253" s="43">
        <f>IF(T246,IFERROR(INDEX({0,5,5,12,12,13,15,17},T245),0),IFERROR(INDEX({1,3,5,10,10,14,16,19},T245),0))</f>
        <v>10</v>
      </c>
      <c r="N253" s="4"/>
      <c r="O253" s="85"/>
      <c r="X253" s="688"/>
      <c r="AL253" t="str">
        <f t="shared" si="10"/>
        <v>dpa703_3_2 _1_4</v>
      </c>
      <c r="AM253">
        <f>M253</f>
        <v>10</v>
      </c>
    </row>
    <row r="254" spans="2:45" x14ac:dyDescent="0.35">
      <c r="B254" s="452" t="s">
        <v>1083</v>
      </c>
      <c r="C254" s="53"/>
      <c r="D254" s="13" t="s">
        <v>270</v>
      </c>
      <c r="E254" s="13" t="s">
        <v>289</v>
      </c>
      <c r="F254" s="13"/>
      <c r="G254" s="13"/>
      <c r="H254" s="550"/>
      <c r="I254" s="4"/>
      <c r="J254" s="214"/>
      <c r="K254" s="214"/>
      <c r="L254" s="214" t="s">
        <v>4036</v>
      </c>
      <c r="M254" s="198">
        <f>IF(T246,IFERROR(INDEX({0,6,6,13,13,14,16,18},T245),0),IFERROR(INDEX({1,3,6,11,12,16,18,21},T245),0))</f>
        <v>11</v>
      </c>
      <c r="N254" s="155"/>
      <c r="O254" s="342"/>
      <c r="X254" s="688"/>
      <c r="AL254" t="str">
        <f t="shared" si="10"/>
        <v>dpa703_3_2 _1_5</v>
      </c>
      <c r="AM254">
        <f>M254</f>
        <v>11</v>
      </c>
    </row>
    <row r="255" spans="2:45" x14ac:dyDescent="0.35">
      <c r="B255" s="452" t="s">
        <v>1083</v>
      </c>
      <c r="C255" s="53"/>
      <c r="D255" s="13" t="s">
        <v>272</v>
      </c>
      <c r="E255" s="13"/>
      <c r="F255" s="13"/>
      <c r="G255" s="13"/>
      <c r="H255" s="550"/>
      <c r="I255" s="4"/>
      <c r="J255" s="175" t="s">
        <v>272</v>
      </c>
      <c r="K255" s="104"/>
      <c r="L255" s="104" t="s">
        <v>1086</v>
      </c>
      <c r="M255" s="43"/>
      <c r="N255" s="4"/>
      <c r="O255" s="85">
        <f ca="1">IFERROR(INDEX(M256:M257,MATCH(W256,{0.85,0.9},1)),0)*S256</f>
        <v>0</v>
      </c>
      <c r="W255" t="s">
        <v>4047</v>
      </c>
      <c r="X255" s="688"/>
      <c r="AN255" t="str">
        <f>SUBSTITUTE(SUBSTITUTE(SUBSTITUTE("dpc"&amp;$B255&amp;$C255&amp;$D255&amp;$E255&amp;$F255,".","_"),"(","_"),")","")</f>
        <v>dpc703_3_2 _2</v>
      </c>
      <c r="AO255">
        <f ca="1">O255</f>
        <v>0</v>
      </c>
      <c r="AR255" t="str">
        <f>SUBSTITUTE(SUBSTITUTE(SUBSTITUTE("dnt"&amp;$B255&amp;$C255&amp;$D255&amp;$E255&amp;$F255,".","_"),"(","_"),")","")</f>
        <v>dnt703_3_2 _2</v>
      </c>
      <c r="AS255">
        <f>X255</f>
        <v>0</v>
      </c>
    </row>
    <row r="256" spans="2:45" x14ac:dyDescent="0.35">
      <c r="B256" s="452" t="s">
        <v>1083</v>
      </c>
      <c r="C256" s="53"/>
      <c r="D256" s="13" t="s">
        <v>272</v>
      </c>
      <c r="E256" s="13" t="s">
        <v>270</v>
      </c>
      <c r="F256" s="13"/>
      <c r="G256" s="13"/>
      <c r="H256" s="550"/>
      <c r="I256" s="4"/>
      <c r="J256" s="175"/>
      <c r="K256" s="104"/>
      <c r="L256" s="104" t="s">
        <v>4037</v>
      </c>
      <c r="M256" s="43">
        <f>IFERROR(INDEX({0,1,2,3,3,4,5,6},T245),0)</f>
        <v>3</v>
      </c>
      <c r="N256" s="4"/>
      <c r="O256" s="85"/>
      <c r="P256" t="b">
        <v>1</v>
      </c>
      <c r="Q256" t="b">
        <v>1</v>
      </c>
      <c r="R256" t="b">
        <v>0</v>
      </c>
      <c r="S256" t="b">
        <f ca="1">AND(S13=2,LEN(W250)=0,LEN(W259)=0,LEN(W264)=0,LEN(W270)=0,LEN(W275)=0,NOT(W287=TRUE),LEN(W292)=0,LEN(W274)=0)</f>
        <v>1</v>
      </c>
      <c r="T256" t="b">
        <f ca="1">AND(NOT(S256),LEN(W256)&gt;0)</f>
        <v>0</v>
      </c>
      <c r="W256" s="333"/>
      <c r="X256" s="688"/>
      <c r="AC256" t="b">
        <f ca="1">OR(AD256:AE256)</f>
        <v>0</v>
      </c>
      <c r="AD256" t="b">
        <f ca="1">T256</f>
        <v>0</v>
      </c>
      <c r="AE256" t="b">
        <f>AND(R256,OR(W256="Not Met",W256=""))</f>
        <v>0</v>
      </c>
      <c r="AL256" t="str">
        <f t="shared" ref="AL256:AL257" si="11">SUBSTITUTE(SUBSTITUTE(SUBSTITUTE("dpa"&amp;$B256&amp;$C256&amp;$D256&amp;$E256&amp;$F256,".","_"),"(","_"),")","")</f>
        <v>dpa703_3_2 _2_1</v>
      </c>
      <c r="AM256">
        <f>M256</f>
        <v>3</v>
      </c>
      <c r="AP256" t="str">
        <f>SUBSTITUTE(SUBSTITUTE(SUBSTITUTE("dch"&amp;$B256&amp;$C256&amp;$D256&amp;$E256&amp;$F256,".","_"),"(","_"),")","")</f>
        <v>dch703_3_2 _2_1</v>
      </c>
      <c r="AQ256" s="258">
        <f>W256</f>
        <v>0</v>
      </c>
    </row>
    <row r="257" spans="2:45" x14ac:dyDescent="0.35">
      <c r="B257" s="452" t="s">
        <v>1083</v>
      </c>
      <c r="C257" s="53"/>
      <c r="D257" s="13" t="s">
        <v>272</v>
      </c>
      <c r="E257" s="13" t="s">
        <v>272</v>
      </c>
      <c r="F257" s="13"/>
      <c r="G257" s="13"/>
      <c r="H257" s="550"/>
      <c r="I257" s="4"/>
      <c r="J257" s="214"/>
      <c r="K257" s="214"/>
      <c r="L257" s="214" t="s">
        <v>4032</v>
      </c>
      <c r="M257" s="198">
        <f>IFERROR(INDEX({0,2,3,6,6,9,10,12},T245),0)</f>
        <v>6</v>
      </c>
      <c r="N257" s="155"/>
      <c r="O257" s="342"/>
      <c r="X257" s="688"/>
      <c r="AL257" t="str">
        <f t="shared" si="11"/>
        <v>dpa703_3_2 _2_2</v>
      </c>
      <c r="AM257">
        <f>M257</f>
        <v>6</v>
      </c>
    </row>
    <row r="258" spans="2:45" x14ac:dyDescent="0.35">
      <c r="B258" s="452" t="s">
        <v>1083</v>
      </c>
      <c r="C258" s="53"/>
      <c r="D258" s="13" t="s">
        <v>274</v>
      </c>
      <c r="E258" s="13"/>
      <c r="F258" s="13"/>
      <c r="G258" s="13"/>
      <c r="H258" s="550"/>
      <c r="I258" s="4"/>
      <c r="J258" s="175" t="s">
        <v>274</v>
      </c>
      <c r="K258" s="104"/>
      <c r="L258" s="104" t="s">
        <v>1087</v>
      </c>
      <c r="M258" s="43"/>
      <c r="N258" s="4"/>
      <c r="O258" s="85">
        <f ca="1">IFERROR(INDEX(M259:M262,MATCH(W259,{0.85,0.9,0.94,0.96},1)),0)*S259</f>
        <v>0</v>
      </c>
      <c r="W258" t="s">
        <v>4047</v>
      </c>
      <c r="X258" s="688"/>
      <c r="AN258" t="str">
        <f>SUBSTITUTE(SUBSTITUTE(SUBSTITUTE("dpc"&amp;$B258&amp;$C258&amp;$D258&amp;$E258&amp;$F258,".","_"),"(","_"),")","")</f>
        <v>dpc703_3_2 _3</v>
      </c>
      <c r="AO258">
        <f ca="1">O258</f>
        <v>0</v>
      </c>
      <c r="AR258" t="str">
        <f>SUBSTITUTE(SUBSTITUTE(SUBSTITUTE("dnt"&amp;$B258&amp;$C258&amp;$D258&amp;$E258&amp;$F258,".","_"),"(","_"),")","")</f>
        <v>dnt703_3_2 _3</v>
      </c>
      <c r="AS258">
        <f>X258</f>
        <v>0</v>
      </c>
    </row>
    <row r="259" spans="2:45" x14ac:dyDescent="0.35">
      <c r="B259" s="452" t="s">
        <v>1083</v>
      </c>
      <c r="C259" s="53"/>
      <c r="D259" s="13" t="s">
        <v>274</v>
      </c>
      <c r="E259" s="13" t="s">
        <v>270</v>
      </c>
      <c r="F259" s="13"/>
      <c r="G259" s="13"/>
      <c r="H259" s="550"/>
      <c r="I259" s="4"/>
      <c r="J259" s="175"/>
      <c r="K259" s="104"/>
      <c r="L259" s="104" t="s">
        <v>4037</v>
      </c>
      <c r="M259" s="43">
        <f>IFERROR(INDEX({0,1,1,2,3,4,4,4},T245),0)</f>
        <v>2</v>
      </c>
      <c r="N259" s="4"/>
      <c r="O259" s="85"/>
      <c r="P259" t="b">
        <v>1</v>
      </c>
      <c r="Q259" t="b">
        <v>1</v>
      </c>
      <c r="R259" t="b">
        <v>0</v>
      </c>
      <c r="S259" t="b">
        <f ca="1">AND(S13=2,LEN(W250)=0,LEN(W256)=0,LEN(W264)=0,LEN(W270)=0,LEN(W275)=0,NOT(W287=TRUE),LEN(W292)=0,LEN(W274)=0)</f>
        <v>1</v>
      </c>
      <c r="T259" t="b">
        <f ca="1">AND(NOT(S259),LEN(W259)&gt;0)</f>
        <v>0</v>
      </c>
      <c r="W259" s="333"/>
      <c r="X259" s="688"/>
      <c r="AC259" t="b">
        <f ca="1">OR(AD259:AE259)</f>
        <v>0</v>
      </c>
      <c r="AD259" t="b">
        <f ca="1">T259</f>
        <v>0</v>
      </c>
      <c r="AE259" t="b">
        <f>AND(R259,OR(W259="Not Met",W259=""))</f>
        <v>0</v>
      </c>
      <c r="AL259" t="str">
        <f t="shared" ref="AL259:AL262" si="12">SUBSTITUTE(SUBSTITUTE(SUBSTITUTE("dpa"&amp;$B259&amp;$C259&amp;$D259&amp;$E259&amp;$F259,".","_"),"(","_"),")","")</f>
        <v>dpa703_3_2 _3_1</v>
      </c>
      <c r="AM259">
        <f t="shared" ref="AM259:AM262" si="13">M259</f>
        <v>2</v>
      </c>
      <c r="AP259" t="str">
        <f>SUBSTITUTE(SUBSTITUTE(SUBSTITUTE("dch"&amp;$B259&amp;$C259&amp;$D259&amp;$E259&amp;$F259,".","_"),"(","_"),")","")</f>
        <v>dch703_3_2 _3_1</v>
      </c>
      <c r="AQ259" s="258">
        <f>W259</f>
        <v>0</v>
      </c>
    </row>
    <row r="260" spans="2:45" x14ac:dyDescent="0.35">
      <c r="B260" s="452" t="s">
        <v>1083</v>
      </c>
      <c r="C260" s="53"/>
      <c r="D260" s="13" t="s">
        <v>274</v>
      </c>
      <c r="E260" s="13" t="s">
        <v>272</v>
      </c>
      <c r="F260" s="13"/>
      <c r="G260" s="13"/>
      <c r="H260" s="550"/>
      <c r="I260" s="4"/>
      <c r="J260" s="175"/>
      <c r="K260" s="104"/>
      <c r="L260" s="104" t="s">
        <v>4032</v>
      </c>
      <c r="M260" s="43">
        <f>IFERROR(INDEX({0,1,2,4,6,7,8,6},T245),0)</f>
        <v>4</v>
      </c>
      <c r="N260" s="4"/>
      <c r="O260" s="85"/>
      <c r="X260" s="688"/>
      <c r="AL260" t="str">
        <f t="shared" si="12"/>
        <v>dpa703_3_2 _3_2</v>
      </c>
      <c r="AM260">
        <f t="shared" si="13"/>
        <v>4</v>
      </c>
    </row>
    <row r="261" spans="2:45" x14ac:dyDescent="0.35">
      <c r="B261" s="452" t="s">
        <v>1083</v>
      </c>
      <c r="C261" s="53"/>
      <c r="D261" s="13" t="s">
        <v>274</v>
      </c>
      <c r="E261" s="13" t="s">
        <v>274</v>
      </c>
      <c r="F261" s="13"/>
      <c r="G261" s="13"/>
      <c r="H261" s="550"/>
      <c r="I261" s="4"/>
      <c r="J261" s="175"/>
      <c r="K261" s="104"/>
      <c r="L261" s="104" t="s">
        <v>4034</v>
      </c>
      <c r="M261" s="43">
        <f>IFERROR(INDEX({0,2,3,5,8,9,10,8},T245),0)</f>
        <v>5</v>
      </c>
      <c r="N261" s="4"/>
      <c r="O261" s="85"/>
      <c r="X261" s="688"/>
      <c r="AL261" t="str">
        <f t="shared" si="12"/>
        <v>dpa703_3_2 _3_3</v>
      </c>
      <c r="AM261">
        <f t="shared" si="13"/>
        <v>5</v>
      </c>
    </row>
    <row r="262" spans="2:45" x14ac:dyDescent="0.35">
      <c r="B262" s="452" t="s">
        <v>1083</v>
      </c>
      <c r="C262" s="53"/>
      <c r="D262" s="13" t="s">
        <v>274</v>
      </c>
      <c r="E262" s="13" t="s">
        <v>283</v>
      </c>
      <c r="F262" s="13"/>
      <c r="G262" s="13"/>
      <c r="H262" s="550"/>
      <c r="I262" s="4"/>
      <c r="J262" s="214"/>
      <c r="K262" s="214"/>
      <c r="L262" s="214" t="s">
        <v>4035</v>
      </c>
      <c r="M262" s="198">
        <f>IFERROR(INDEX({0,2,4,6,9,11,12,10},T245),0)</f>
        <v>6</v>
      </c>
      <c r="N262" s="155"/>
      <c r="O262" s="342"/>
      <c r="X262" s="688"/>
      <c r="AL262" t="str">
        <f t="shared" si="12"/>
        <v>dpa703_3_2 _3_4</v>
      </c>
      <c r="AM262">
        <f t="shared" si="13"/>
        <v>6</v>
      </c>
    </row>
    <row r="263" spans="2:45" x14ac:dyDescent="0.35">
      <c r="B263" s="452" t="s">
        <v>1083</v>
      </c>
      <c r="C263" s="53"/>
      <c r="D263" s="13" t="s">
        <v>283</v>
      </c>
      <c r="E263" s="13"/>
      <c r="F263" s="13"/>
      <c r="G263" s="13"/>
      <c r="H263" s="550"/>
      <c r="I263" s="4"/>
      <c r="J263" s="175" t="s">
        <v>283</v>
      </c>
      <c r="K263" s="104"/>
      <c r="L263" s="104" t="s">
        <v>1088</v>
      </c>
      <c r="M263" s="43"/>
      <c r="N263" s="4"/>
      <c r="O263" s="85">
        <f ca="1">IFERROR(INDEX(M264:M265,MATCH(W264,{0.85,0.9},1)),0)*S264</f>
        <v>0</v>
      </c>
      <c r="W263" t="s">
        <v>4047</v>
      </c>
      <c r="X263" s="688"/>
      <c r="AN263" t="str">
        <f>SUBSTITUTE(SUBSTITUTE(SUBSTITUTE("dpc"&amp;$B263&amp;$C263&amp;$D263&amp;$E263&amp;$F263,".","_"),"(","_"),")","")</f>
        <v>dpc703_3_2 _4</v>
      </c>
      <c r="AO263">
        <f ca="1">O263</f>
        <v>0</v>
      </c>
      <c r="AR263" t="str">
        <f>SUBSTITUTE(SUBSTITUTE(SUBSTITUTE("dnt"&amp;$B263&amp;$C263&amp;$D263&amp;$E263&amp;$F263,".","_"),"(","_"),")","")</f>
        <v>dnt703_3_2 _4</v>
      </c>
      <c r="AS263">
        <f>X263</f>
        <v>0</v>
      </c>
    </row>
    <row r="264" spans="2:45" x14ac:dyDescent="0.35">
      <c r="B264" s="452" t="s">
        <v>1083</v>
      </c>
      <c r="C264" s="53"/>
      <c r="D264" s="13" t="s">
        <v>283</v>
      </c>
      <c r="E264" s="13" t="s">
        <v>270</v>
      </c>
      <c r="F264" s="13"/>
      <c r="G264" s="13"/>
      <c r="H264" s="550"/>
      <c r="I264" s="4"/>
      <c r="J264" s="175"/>
      <c r="K264" s="104"/>
      <c r="L264" s="104" t="s">
        <v>4037</v>
      </c>
      <c r="M264" s="43">
        <f>IFERROR(INDEX({0,1,1,3,3,4,4,5},T245),0)</f>
        <v>3</v>
      </c>
      <c r="N264" s="4"/>
      <c r="O264" s="85"/>
      <c r="P264" t="b">
        <v>1</v>
      </c>
      <c r="Q264" t="b">
        <v>1</v>
      </c>
      <c r="R264" t="b">
        <v>0</v>
      </c>
      <c r="S264" t="b">
        <f ca="1">AND(S13=2,LEN(W250)=0,LEN(W256)=0,LEN(W259)=0,LEN(W270)=0,LEN(W275)=0,NOT(W287=TRUE),LEN(W292)=0,LEN(W274)=0)</f>
        <v>1</v>
      </c>
      <c r="T264" t="b">
        <f ca="1">AND(NOT(S264),LEN(W264)&gt;0)</f>
        <v>0</v>
      </c>
      <c r="W264" s="333"/>
      <c r="X264" s="688"/>
      <c r="AC264" t="b">
        <f ca="1">OR(AD264:AE264)</f>
        <v>0</v>
      </c>
      <c r="AD264" t="b">
        <f ca="1">T264</f>
        <v>0</v>
      </c>
      <c r="AE264" t="b">
        <f>AND(R264,OR(W264="Not Met",W264=""))</f>
        <v>0</v>
      </c>
      <c r="AL264" t="str">
        <f t="shared" ref="AL264:AL265" si="14">SUBSTITUTE(SUBSTITUTE(SUBSTITUTE("dpa"&amp;$B264&amp;$C264&amp;$D264&amp;$E264&amp;$F264,".","_"),"(","_"),")","")</f>
        <v>dpa703_3_2 _4_1</v>
      </c>
      <c r="AM264">
        <f t="shared" ref="AM264:AM265" si="15">M264</f>
        <v>3</v>
      </c>
      <c r="AP264" t="str">
        <f>SUBSTITUTE(SUBSTITUTE(SUBSTITUTE("dch"&amp;$B264&amp;$C264&amp;$D264&amp;$E264&amp;$F264,".","_"),"(","_"),")","")</f>
        <v>dch703_3_2 _4_1</v>
      </c>
      <c r="AQ264" s="258">
        <f>W264</f>
        <v>0</v>
      </c>
    </row>
    <row r="265" spans="2:45" x14ac:dyDescent="0.35">
      <c r="B265" s="452" t="s">
        <v>1083</v>
      </c>
      <c r="C265" s="53"/>
      <c r="D265" s="13" t="s">
        <v>283</v>
      </c>
      <c r="E265" s="13" t="s">
        <v>272</v>
      </c>
      <c r="F265" s="13"/>
      <c r="G265" s="13"/>
      <c r="H265" s="550"/>
      <c r="I265" s="155"/>
      <c r="J265" s="214"/>
      <c r="K265" s="214"/>
      <c r="L265" s="214" t="s">
        <v>4032</v>
      </c>
      <c r="M265" s="198">
        <f>IFERROR(INDEX({1,2,3,5,6,7,9,10},T245),0)</f>
        <v>5</v>
      </c>
      <c r="N265" s="4"/>
      <c r="O265" s="85"/>
      <c r="X265" s="688"/>
      <c r="AL265" t="str">
        <f t="shared" si="14"/>
        <v>dpa703_3_2 _4_2</v>
      </c>
      <c r="AM265">
        <f t="shared" si="15"/>
        <v>5</v>
      </c>
    </row>
    <row r="266" spans="2:45" x14ac:dyDescent="0.35">
      <c r="B266" s="53" t="s">
        <v>1089</v>
      </c>
      <c r="C266" s="53"/>
      <c r="D266" s="13"/>
      <c r="E266" s="13"/>
      <c r="F266" s="13"/>
      <c r="G266" s="13"/>
      <c r="H266" s="550"/>
      <c r="I266" s="34" t="s">
        <v>1089</v>
      </c>
      <c r="J266" s="104"/>
      <c r="K266" s="104"/>
      <c r="L266" s="706" t="s">
        <v>1090</v>
      </c>
      <c r="M266" s="43"/>
      <c r="N266" s="4"/>
      <c r="O266" s="85"/>
    </row>
    <row r="267" spans="2:45" x14ac:dyDescent="0.35">
      <c r="B267" s="53" t="s">
        <v>1089</v>
      </c>
      <c r="C267" s="53"/>
      <c r="D267" s="13"/>
      <c r="E267" s="13"/>
      <c r="F267" s="13"/>
      <c r="G267" s="13"/>
      <c r="H267" s="550"/>
      <c r="I267" s="4"/>
      <c r="J267" s="104"/>
      <c r="K267" s="104"/>
      <c r="L267" s="706"/>
      <c r="M267" s="43"/>
      <c r="N267" s="4"/>
      <c r="O267" s="85"/>
    </row>
    <row r="268" spans="2:45" x14ac:dyDescent="0.35">
      <c r="B268" s="53" t="s">
        <v>1089</v>
      </c>
      <c r="C268" s="53"/>
      <c r="D268" s="13"/>
      <c r="E268" s="13"/>
      <c r="F268" s="13"/>
      <c r="G268" s="13"/>
      <c r="H268" s="550"/>
      <c r="I268" s="4"/>
      <c r="J268" s="104"/>
      <c r="K268" s="104"/>
      <c r="L268" s="706"/>
      <c r="M268" s="43"/>
      <c r="N268" s="4"/>
      <c r="O268" s="85"/>
    </row>
    <row r="269" spans="2:45" x14ac:dyDescent="0.35">
      <c r="B269" s="53" t="s">
        <v>1089</v>
      </c>
      <c r="C269" s="53"/>
      <c r="D269" s="13" t="s">
        <v>270</v>
      </c>
      <c r="E269" s="13"/>
      <c r="F269" s="13"/>
      <c r="G269" s="13"/>
      <c r="H269" s="550"/>
      <c r="I269" s="4"/>
      <c r="J269" s="175" t="s">
        <v>270</v>
      </c>
      <c r="K269" s="104"/>
      <c r="L269" s="103" t="s">
        <v>3703</v>
      </c>
      <c r="M269" s="43"/>
      <c r="N269" s="4"/>
      <c r="O269" s="85">
        <f ca="1">IFERROR(INDEX(M270:M273,MATCH(W270,{8.5,9,9.5,10},1)),0)*S270</f>
        <v>0</v>
      </c>
      <c r="W269" t="s">
        <v>4054</v>
      </c>
      <c r="X269" s="688"/>
      <c r="AN269" t="str">
        <f>SUBSTITUTE(SUBSTITUTE(SUBSTITUTE("dpc"&amp;$B269&amp;$C269&amp;$D269&amp;$E269&amp;$F269,".","_"),"(","_"),")","")</f>
        <v>dpc703_3_3 _1</v>
      </c>
      <c r="AO269">
        <f ca="1">O269</f>
        <v>0</v>
      </c>
      <c r="AR269" t="str">
        <f>SUBSTITUTE(SUBSTITUTE(SUBSTITUTE("dnt"&amp;$B269&amp;$C269&amp;$D269&amp;$E269&amp;$F269,".","_"),"(","_"),")","")</f>
        <v>dnt703_3_3 _1</v>
      </c>
      <c r="AS269">
        <f>X269</f>
        <v>0</v>
      </c>
    </row>
    <row r="270" spans="2:45" x14ac:dyDescent="0.35">
      <c r="B270" s="53" t="s">
        <v>1089</v>
      </c>
      <c r="C270" s="53"/>
      <c r="D270" s="13" t="s">
        <v>270</v>
      </c>
      <c r="E270" s="13" t="s">
        <v>270</v>
      </c>
      <c r="F270" s="13"/>
      <c r="G270" s="13"/>
      <c r="H270" s="550"/>
      <c r="I270" s="4"/>
      <c r="J270" s="175"/>
      <c r="K270" s="104"/>
      <c r="L270" s="104" t="s">
        <v>4048</v>
      </c>
      <c r="M270" s="43">
        <f>IF(T246,IFERROR(INDEX({0,3,4,8,11,13,13,13},T245),0),IFERROR(INDEX({0,1,1,2,2,2,2,2},T245),0))</f>
        <v>2</v>
      </c>
      <c r="N270" s="4"/>
      <c r="O270" s="85"/>
      <c r="P270" t="b">
        <v>1</v>
      </c>
      <c r="Q270" t="b">
        <v>1</v>
      </c>
      <c r="R270" t="b">
        <v>0</v>
      </c>
      <c r="S270" t="b">
        <f ca="1">AND(S13=2,LEN(W250)=0,LEN(W256)=0,LEN(W259)=0,LEN(W264)=0,LEN(W275)=0,NOT(W287=TRUE),LEN(W292)=0,LEN(W274)=0)</f>
        <v>1</v>
      </c>
      <c r="T270" t="b">
        <f ca="1">AND(NOT(S270),LEN(W270)&gt;0)</f>
        <v>0</v>
      </c>
      <c r="W270" s="334"/>
      <c r="X270" s="688"/>
      <c r="AC270" t="b">
        <f ca="1">OR(AD270:AE270)</f>
        <v>0</v>
      </c>
      <c r="AD270" t="b">
        <f ca="1">T270</f>
        <v>0</v>
      </c>
      <c r="AE270" t="b">
        <f>AND(R270,OR(W270="Not Met",W270=""))</f>
        <v>0</v>
      </c>
      <c r="AL270" t="str">
        <f t="shared" ref="AL270:AL275" si="16">SUBSTITUTE(SUBSTITUTE(SUBSTITUTE("dpa"&amp;$B270&amp;$C270&amp;$D270&amp;$E270&amp;$F270,".","_"),"(","_"),")","")</f>
        <v>dpa703_3_3 _1_1</v>
      </c>
      <c r="AM270">
        <f t="shared" ref="AM270:AM274" si="17">M270</f>
        <v>2</v>
      </c>
      <c r="AP270" t="str">
        <f>SUBSTITUTE(SUBSTITUTE(SUBSTITUTE("dch"&amp;$B270&amp;$C270&amp;$D270&amp;$E270&amp;$F270,".","_"),"(","_"),")","")</f>
        <v>dch703_3_3 _1_1</v>
      </c>
      <c r="AQ270" s="623">
        <f>W270</f>
        <v>0</v>
      </c>
    </row>
    <row r="271" spans="2:45" x14ac:dyDescent="0.35">
      <c r="B271" s="53" t="s">
        <v>1089</v>
      </c>
      <c r="C271" s="53"/>
      <c r="D271" s="13" t="s">
        <v>270</v>
      </c>
      <c r="E271" s="13" t="s">
        <v>272</v>
      </c>
      <c r="F271" s="13"/>
      <c r="G271" s="13"/>
      <c r="H271" s="550"/>
      <c r="I271" s="4"/>
      <c r="J271" s="175"/>
      <c r="K271" s="104"/>
      <c r="L271" s="104" t="s">
        <v>4049</v>
      </c>
      <c r="M271" s="43">
        <f>IF(T246,IFERROR(INDEX({0,3,4,8,11,13,13,13},T245),0),IFERROR(INDEX({0,2,4,5,6,10,10,10},T245),0))</f>
        <v>5</v>
      </c>
      <c r="N271" s="4"/>
      <c r="O271" s="85"/>
      <c r="X271" s="688"/>
      <c r="AL271" t="str">
        <f t="shared" si="16"/>
        <v>dpa703_3_3 _1_2</v>
      </c>
      <c r="AM271">
        <f t="shared" si="17"/>
        <v>5</v>
      </c>
    </row>
    <row r="272" spans="2:45" x14ac:dyDescent="0.35">
      <c r="B272" s="53" t="s">
        <v>1089</v>
      </c>
      <c r="C272" s="53"/>
      <c r="D272" s="13" t="s">
        <v>270</v>
      </c>
      <c r="E272" s="13" t="s">
        <v>274</v>
      </c>
      <c r="F272" s="13"/>
      <c r="G272" s="13"/>
      <c r="H272" s="550"/>
      <c r="I272" s="4"/>
      <c r="J272" s="175"/>
      <c r="K272" s="104"/>
      <c r="L272" s="104" t="s">
        <v>4050</v>
      </c>
      <c r="M272" s="43">
        <f>IF(T246,IFERROR(INDEX({0,3,4,8,11,13,13,13},T245),0),IFERROR(INDEX({0,3,7,7,11,18,18,18},T245),0))</f>
        <v>7</v>
      </c>
      <c r="N272" s="4"/>
      <c r="O272" s="85"/>
      <c r="X272" s="688"/>
      <c r="AL272" t="str">
        <f t="shared" si="16"/>
        <v>dpa703_3_3 _1_3</v>
      </c>
      <c r="AM272">
        <f t="shared" si="17"/>
        <v>7</v>
      </c>
    </row>
    <row r="273" spans="2:45" x14ac:dyDescent="0.35">
      <c r="B273" s="53" t="s">
        <v>1089</v>
      </c>
      <c r="C273" s="53"/>
      <c r="D273" s="13" t="s">
        <v>270</v>
      </c>
      <c r="E273" s="13" t="s">
        <v>283</v>
      </c>
      <c r="F273" s="13"/>
      <c r="G273" s="13"/>
      <c r="H273" s="550"/>
      <c r="I273" s="4"/>
      <c r="J273" s="359"/>
      <c r="K273" s="214"/>
      <c r="L273" s="214" t="s">
        <v>4051</v>
      </c>
      <c r="M273" s="198">
        <f>IF(T246,IFERROR(INDEX({0,3,4,8,11,13,13,13},T245),0),IFERROR(INDEX({1,5,10,10,15,26,26,26},T245),0))</f>
        <v>10</v>
      </c>
      <c r="N273" s="155"/>
      <c r="O273" s="342"/>
      <c r="X273" s="688"/>
      <c r="AL273" t="str">
        <f t="shared" si="16"/>
        <v>dpa703_3_3 _1_4</v>
      </c>
      <c r="AM273">
        <f t="shared" si="17"/>
        <v>10</v>
      </c>
    </row>
    <row r="274" spans="2:45" x14ac:dyDescent="0.35">
      <c r="B274" s="53" t="s">
        <v>4683</v>
      </c>
      <c r="C274" s="53"/>
      <c r="D274" s="13" t="s">
        <v>272</v>
      </c>
      <c r="E274" s="13"/>
      <c r="F274" s="13"/>
      <c r="G274" s="13"/>
      <c r="H274" s="550"/>
      <c r="I274" s="4"/>
      <c r="J274" s="359" t="s">
        <v>272</v>
      </c>
      <c r="K274" s="214"/>
      <c r="L274" s="214" t="s">
        <v>4684</v>
      </c>
      <c r="M274" s="198">
        <f>IFERROR(INDEX({0,3,4,8,11,13,13,13},T245),0)</f>
        <v>8</v>
      </c>
      <c r="N274" s="155"/>
      <c r="O274" s="342">
        <f ca="1">IF(AND(S274,W274&gt;=8.5),M274,0)</f>
        <v>0</v>
      </c>
      <c r="P274" t="b">
        <v>1</v>
      </c>
      <c r="Q274" t="b">
        <v>1</v>
      </c>
      <c r="R274" t="b">
        <v>0</v>
      </c>
      <c r="S274" t="b">
        <f ca="1">AND(S13=2,LEN(W250)=0,LEN(W256)=0,LEN(W264)=0,LEN(W270)=0,LEN(W275)=0,NOT(W287=TRUE),LEN(W292)=0,LEN(W259)=0)</f>
        <v>1</v>
      </c>
      <c r="T274" t="b">
        <f ca="1">AND(NOT(S274),LEN(W274)&gt;0)</f>
        <v>0</v>
      </c>
      <c r="W274" s="334"/>
      <c r="X274" s="39"/>
      <c r="AC274" t="b">
        <f ca="1">OR(AD274:AE274)</f>
        <v>0</v>
      </c>
      <c r="AD274" t="b">
        <f ca="1">T274</f>
        <v>0</v>
      </c>
      <c r="AE274" t="b">
        <f>AND(R274,OR(W274="Not Met",W274=""))</f>
        <v>0</v>
      </c>
      <c r="AL274" t="str">
        <f t="shared" si="16"/>
        <v>dpa703_3_3_2</v>
      </c>
      <c r="AM274">
        <f t="shared" si="17"/>
        <v>8</v>
      </c>
      <c r="AN274" t="str">
        <f>SUBSTITUTE(SUBSTITUTE(SUBSTITUTE("dpc"&amp;$B274&amp;$C274&amp;$D274&amp;$E274&amp;$F274,".","_"),"(","_"),")","")</f>
        <v>dpc703_3_3_2</v>
      </c>
      <c r="AO274">
        <f ca="1">O274</f>
        <v>0</v>
      </c>
      <c r="AP274" t="str">
        <f>SUBSTITUTE(SUBSTITUTE(SUBSTITUTE("dch"&amp;$B274&amp;$C274&amp;$D274&amp;$E274&amp;$F274,".","_"),"(","_"),")","")</f>
        <v>dch703_3_3_2</v>
      </c>
      <c r="AQ274">
        <f>W274</f>
        <v>0</v>
      </c>
      <c r="AR274" t="str">
        <f>SUBSTITUTE(SUBSTITUTE(SUBSTITUTE("dnt"&amp;$B274&amp;$C274&amp;$D274&amp;$E274&amp;$F274,".","_"),"(","_"),")","")</f>
        <v>dnt703_3_3_2</v>
      </c>
      <c r="AS274">
        <f>X274</f>
        <v>0</v>
      </c>
    </row>
    <row r="275" spans="2:45" x14ac:dyDescent="0.35">
      <c r="B275" s="53" t="s">
        <v>1089</v>
      </c>
      <c r="C275" s="53"/>
      <c r="D275" s="13" t="s">
        <v>274</v>
      </c>
      <c r="E275" s="13"/>
      <c r="F275" s="13"/>
      <c r="G275" s="13"/>
      <c r="H275" s="550"/>
      <c r="I275" s="155"/>
      <c r="J275" s="359" t="s">
        <v>274</v>
      </c>
      <c r="K275" s="214"/>
      <c r="L275" s="193" t="s">
        <v>4052</v>
      </c>
      <c r="M275" s="198">
        <f>IFERROR(INDEX({2,7,11,14,16,18,18,18},T245),0)</f>
        <v>14</v>
      </c>
      <c r="N275" s="155"/>
      <c r="O275" s="342">
        <f ca="1">IF(AND(S275,W275&gt;=1.3),M275,0)</f>
        <v>0</v>
      </c>
      <c r="P275" t="b">
        <v>1</v>
      </c>
      <c r="Q275" t="b">
        <v>1</v>
      </c>
      <c r="R275" s="119" t="b">
        <v>0</v>
      </c>
      <c r="S275" s="119" t="b">
        <f ca="1">AND(S13=2,LEN(W250)=0,LEN(W256)=0,LEN(W259)=0,LEN(W264)=0,LEN(W270)=0,NOT(W287=TRUE),LEN(W292)=0,LEN(W274)=0)</f>
        <v>1</v>
      </c>
      <c r="T275" s="119" t="b">
        <f ca="1">AND(NOT(S275),LEN(W275)&gt;0)</f>
        <v>0</v>
      </c>
      <c r="U275" s="119"/>
      <c r="V275" s="119"/>
      <c r="W275" s="334"/>
      <c r="X275" s="39"/>
      <c r="AC275" t="b">
        <f ca="1">OR(AD275:AE275)</f>
        <v>0</v>
      </c>
      <c r="AD275" t="b">
        <f ca="1">T275</f>
        <v>0</v>
      </c>
      <c r="AE275" t="b">
        <f>AND(R275,OR(W275="Not Met",W275=""))</f>
        <v>0</v>
      </c>
      <c r="AL275" t="str">
        <f t="shared" si="16"/>
        <v>dpa703_3_3 _3</v>
      </c>
      <c r="AM275">
        <f>M275</f>
        <v>14</v>
      </c>
      <c r="AN275" t="str">
        <f>SUBSTITUTE(SUBSTITUTE(SUBSTITUTE("dpc"&amp;$B275&amp;$C275&amp;$D275&amp;$E275&amp;$F275,".","_"),"(","_"),")","")</f>
        <v>dpc703_3_3 _3</v>
      </c>
      <c r="AO275">
        <f ca="1">O275</f>
        <v>0</v>
      </c>
      <c r="AP275" t="str">
        <f>SUBSTITUTE(SUBSTITUTE(SUBSTITUTE("dch"&amp;$B275&amp;$C275&amp;$D275&amp;$E275&amp;$F275,".","_"),"(","_"),")","")</f>
        <v>dch703_3_3 _3</v>
      </c>
      <c r="AQ275" s="623">
        <f>W275</f>
        <v>0</v>
      </c>
      <c r="AR275" t="str">
        <f>SUBSTITUTE(SUBSTITUTE(SUBSTITUTE("dnt"&amp;$B275&amp;$C275&amp;$D275&amp;$E275&amp;$F275,".","_"),"(","_"),")","")</f>
        <v>dnt703_3_3 _3</v>
      </c>
      <c r="AS275">
        <f>X275</f>
        <v>0</v>
      </c>
    </row>
    <row r="276" spans="2:45" x14ac:dyDescent="0.35">
      <c r="B276" s="53" t="s">
        <v>1091</v>
      </c>
      <c r="C276" s="53"/>
      <c r="D276" s="13"/>
      <c r="E276" s="13"/>
      <c r="F276" s="13"/>
      <c r="G276" s="13"/>
      <c r="H276" s="550"/>
      <c r="I276" s="34" t="s">
        <v>1091</v>
      </c>
      <c r="J276" s="104"/>
      <c r="K276" s="104"/>
      <c r="L276" s="783" t="s">
        <v>1092</v>
      </c>
      <c r="M276" s="43"/>
      <c r="N276" s="4"/>
      <c r="O276" s="85"/>
    </row>
    <row r="277" spans="2:45" x14ac:dyDescent="0.35">
      <c r="B277" s="53" t="s">
        <v>1091</v>
      </c>
      <c r="C277" s="53"/>
      <c r="D277" s="13"/>
      <c r="E277" s="13"/>
      <c r="F277" s="13"/>
      <c r="G277" s="13"/>
      <c r="H277" s="550"/>
      <c r="I277" s="4"/>
      <c r="J277" s="104"/>
      <c r="K277" s="104"/>
      <c r="L277" s="783"/>
      <c r="M277" s="43"/>
      <c r="N277" s="4"/>
      <c r="O277" s="85"/>
    </row>
    <row r="278" spans="2:45" x14ac:dyDescent="0.35">
      <c r="B278" s="53" t="s">
        <v>1091</v>
      </c>
      <c r="C278" s="53"/>
      <c r="D278" s="13"/>
      <c r="E278" s="13"/>
      <c r="F278" s="13"/>
      <c r="G278" s="13"/>
      <c r="H278" s="550"/>
      <c r="I278" s="4"/>
      <c r="J278" s="104"/>
      <c r="K278" s="104"/>
      <c r="L278" s="783"/>
      <c r="M278" s="43"/>
      <c r="N278" s="4"/>
      <c r="O278" s="85"/>
    </row>
    <row r="279" spans="2:45" x14ac:dyDescent="0.35">
      <c r="B279" s="53" t="s">
        <v>1091</v>
      </c>
      <c r="C279" s="53"/>
      <c r="D279" s="13" t="s">
        <v>270</v>
      </c>
      <c r="E279" s="13"/>
      <c r="F279" s="13"/>
      <c r="G279" s="13"/>
      <c r="H279" s="550"/>
      <c r="I279" s="4"/>
      <c r="J279" s="175" t="s">
        <v>270</v>
      </c>
      <c r="K279" s="104"/>
      <c r="L279" s="103" t="s">
        <v>4061</v>
      </c>
      <c r="M279" s="43"/>
      <c r="N279" s="4"/>
      <c r="O279" s="85">
        <f ca="1">IFERROR(INDEX(M280:M283,MATCH(W280,{15,17,19,21},1)),0)*S280</f>
        <v>0</v>
      </c>
      <c r="W279" t="s">
        <v>4063</v>
      </c>
      <c r="X279" s="688"/>
      <c r="AN279" t="str">
        <f>SUBSTITUTE(SUBSTITUTE(SUBSTITUTE("dpc"&amp;$B279&amp;$C279&amp;$D279&amp;$E279&amp;$F279,".","_"),"(","_"),")","")</f>
        <v>dpc703_3_4_1</v>
      </c>
      <c r="AO279">
        <f ca="1">O279</f>
        <v>0</v>
      </c>
      <c r="AR279" t="str">
        <f>SUBSTITUTE(SUBSTITUTE(SUBSTITUTE("dnt"&amp;$B279&amp;$C279&amp;$D279&amp;$E279&amp;$F279,".","_"),"(","_"),")","")</f>
        <v>dnt703_3_4_1</v>
      </c>
      <c r="AS279">
        <f>X279</f>
        <v>0</v>
      </c>
    </row>
    <row r="280" spans="2:45" x14ac:dyDescent="0.35">
      <c r="B280" s="53" t="s">
        <v>1091</v>
      </c>
      <c r="C280" s="53"/>
      <c r="D280" s="13" t="s">
        <v>270</v>
      </c>
      <c r="E280" s="13" t="s">
        <v>270</v>
      </c>
      <c r="F280" s="13"/>
      <c r="G280" s="13"/>
      <c r="H280" s="550"/>
      <c r="I280" s="4"/>
      <c r="J280" s="175"/>
      <c r="K280" s="104"/>
      <c r="L280" s="104" t="s">
        <v>4055</v>
      </c>
      <c r="M280" s="43">
        <f>IFERROR(INDEX({9,6,3,1,1,1,1,0},T245),0)</f>
        <v>1</v>
      </c>
      <c r="N280" s="4"/>
      <c r="O280" s="85"/>
      <c r="P280" t="b">
        <v>1</v>
      </c>
      <c r="Q280" t="b">
        <v>1</v>
      </c>
      <c r="R280" t="b">
        <v>0</v>
      </c>
      <c r="S280" t="b">
        <f ca="1">AND(S13=2,NOT(W284=TRUE),LEN(W286)=0,NOT(W287=TRUE),LEN(W292)=0)</f>
        <v>1</v>
      </c>
      <c r="T280" t="b">
        <f ca="1">AND(NOT(S280),LEN(W280)&gt;0)</f>
        <v>0</v>
      </c>
      <c r="W280" s="334"/>
      <c r="X280" s="688"/>
      <c r="AC280" t="b">
        <f ca="1">OR(AD280:AE280)</f>
        <v>0</v>
      </c>
      <c r="AD280" t="b">
        <f ca="1">T280</f>
        <v>0</v>
      </c>
      <c r="AE280" t="b">
        <f>AND(R280,OR(W280="Not Met",W280=""))</f>
        <v>0</v>
      </c>
      <c r="AL280" t="str">
        <f t="shared" ref="AL280:AL287" si="18">SUBSTITUTE(SUBSTITUTE(SUBSTITUTE("dpa"&amp;$B280&amp;$C280&amp;$D280&amp;$E280&amp;$F280,".","_"),"(","_"),")","")</f>
        <v>dpa703_3_4_1_1</v>
      </c>
      <c r="AM280">
        <f t="shared" ref="AM280:AM286" si="19">M280</f>
        <v>1</v>
      </c>
      <c r="AP280" t="str">
        <f>SUBSTITUTE(SUBSTITUTE(SUBSTITUTE("dch"&amp;$B280&amp;$C280&amp;$D280&amp;$E280&amp;$F280,".","_"),"(","_"),")","")</f>
        <v>dch703_3_4_1_1</v>
      </c>
      <c r="AQ280" s="623">
        <f>W280</f>
        <v>0</v>
      </c>
    </row>
    <row r="281" spans="2:45" x14ac:dyDescent="0.35">
      <c r="B281" s="53" t="s">
        <v>1091</v>
      </c>
      <c r="C281" s="53"/>
      <c r="D281" s="13" t="s">
        <v>270</v>
      </c>
      <c r="E281" s="13" t="s">
        <v>272</v>
      </c>
      <c r="F281" s="13"/>
      <c r="G281" s="13"/>
      <c r="H281" s="550"/>
      <c r="I281" s="4"/>
      <c r="J281" s="175"/>
      <c r="K281" s="104"/>
      <c r="L281" s="104" t="s">
        <v>4056</v>
      </c>
      <c r="M281" s="43">
        <f>IFERROR(INDEX({11,9,7,3,3,2,2,0},T245),0)</f>
        <v>3</v>
      </c>
      <c r="N281" s="4"/>
      <c r="O281" s="85"/>
      <c r="X281" s="688"/>
      <c r="AL281" t="str">
        <f t="shared" si="18"/>
        <v>dpa703_3_4_1_2</v>
      </c>
      <c r="AM281">
        <f t="shared" si="19"/>
        <v>3</v>
      </c>
    </row>
    <row r="282" spans="2:45" x14ac:dyDescent="0.35">
      <c r="B282" s="53" t="s">
        <v>1091</v>
      </c>
      <c r="C282" s="53"/>
      <c r="D282" s="13" t="s">
        <v>270</v>
      </c>
      <c r="E282" s="13" t="s">
        <v>274</v>
      </c>
      <c r="F282" s="13"/>
      <c r="G282" s="13"/>
      <c r="H282" s="550"/>
      <c r="I282" s="4"/>
      <c r="J282" s="175"/>
      <c r="K282" s="104"/>
      <c r="L282" s="104" t="s">
        <v>4057</v>
      </c>
      <c r="M282" s="43">
        <f>IFERROR(INDEX({19,12,10,6,4,4,4,0},T245),0)</f>
        <v>6</v>
      </c>
      <c r="N282" s="4"/>
      <c r="O282" s="85"/>
      <c r="X282" s="688"/>
      <c r="AL282" t="str">
        <f t="shared" si="18"/>
        <v>dpa703_3_4_1_3</v>
      </c>
      <c r="AM282">
        <f t="shared" si="19"/>
        <v>6</v>
      </c>
    </row>
    <row r="283" spans="2:45" x14ac:dyDescent="0.35">
      <c r="B283" s="53" t="s">
        <v>1091</v>
      </c>
      <c r="C283" s="53"/>
      <c r="D283" s="13" t="s">
        <v>270</v>
      </c>
      <c r="E283" s="13" t="s">
        <v>283</v>
      </c>
      <c r="F283" s="13"/>
      <c r="G283" s="13"/>
      <c r="H283" s="550"/>
      <c r="I283" s="4"/>
      <c r="J283" s="175"/>
      <c r="K283" s="104"/>
      <c r="L283" s="104" t="s">
        <v>4058</v>
      </c>
      <c r="M283" s="43">
        <f>IFERROR(INDEX({26,15,14,8,6,6,5,0},T245),0)</f>
        <v>8</v>
      </c>
      <c r="N283" s="4"/>
      <c r="O283" s="85"/>
      <c r="X283" s="688"/>
      <c r="AL283" t="str">
        <f t="shared" si="18"/>
        <v>dpa703_3_4_1_4</v>
      </c>
      <c r="AM283">
        <f t="shared" si="19"/>
        <v>8</v>
      </c>
    </row>
    <row r="284" spans="2:45" x14ac:dyDescent="0.35">
      <c r="B284" s="53" t="s">
        <v>1091</v>
      </c>
      <c r="C284" s="53"/>
      <c r="D284" s="13" t="s">
        <v>270</v>
      </c>
      <c r="E284" s="18" t="s">
        <v>289</v>
      </c>
      <c r="F284" s="13"/>
      <c r="G284" s="13"/>
      <c r="H284" s="550"/>
      <c r="I284" s="4"/>
      <c r="K284" s="175" t="s">
        <v>4060</v>
      </c>
      <c r="L284" s="723" t="s">
        <v>4059</v>
      </c>
      <c r="M284" s="690">
        <v>20</v>
      </c>
      <c r="N284" s="4"/>
      <c r="O284" s="696">
        <f ca="1">M284*S284*W284</f>
        <v>0</v>
      </c>
      <c r="P284" t="b">
        <v>1</v>
      </c>
      <c r="Q284" t="b">
        <v>1</v>
      </c>
      <c r="R284" t="b">
        <v>0</v>
      </c>
      <c r="S284" t="b">
        <f ca="1">AND(S13=2,BI17="Tropical",LEN(W280)=0,LEN(W286)=0,NOT(W287=TRUE),LEN(W292)=0)</f>
        <v>0</v>
      </c>
      <c r="T284" t="b">
        <f ca="1">AND(NOT(S284),W284=TRUE)</f>
        <v>0</v>
      </c>
      <c r="W284" s="17"/>
      <c r="X284" s="688"/>
      <c r="AC284" t="b">
        <f ca="1">OR(AD284:AE284)</f>
        <v>0</v>
      </c>
      <c r="AD284" t="b">
        <f ca="1">T284</f>
        <v>0</v>
      </c>
      <c r="AE284" t="b">
        <f>AND(R284,NOT(W284))</f>
        <v>0</v>
      </c>
      <c r="AL284" t="str">
        <f t="shared" si="18"/>
        <v>dpa703_3_4_1_5</v>
      </c>
      <c r="AM284">
        <f t="shared" si="19"/>
        <v>20</v>
      </c>
      <c r="AN284" t="str">
        <f>SUBSTITUTE(SUBSTITUTE(SUBSTITUTE("dpc"&amp;$B284&amp;$C284&amp;$D284&amp;$E284&amp;$F284,".","_"),"(","_"),")","")</f>
        <v>dpc703_3_4_1_5</v>
      </c>
      <c r="AO284">
        <f ca="1">O284</f>
        <v>0</v>
      </c>
      <c r="AP284" t="str">
        <f>SUBSTITUTE(SUBSTITUTE(SUBSTITUTE("dch"&amp;$B284&amp;$C284&amp;$D284&amp;$E284&amp;$F284,".","_"),"(","_"),")","")</f>
        <v>dch703_3_4_1_5</v>
      </c>
      <c r="AQ284">
        <f>W284</f>
        <v>0</v>
      </c>
      <c r="AR284" t="str">
        <f>SUBSTITUTE(SUBSTITUTE(SUBSTITUTE("dnt"&amp;$B284&amp;$C284&amp;$D284&amp;$E284&amp;$F284,".","_"),"(","_"),")","")</f>
        <v>dnt703_3_4_1_5</v>
      </c>
      <c r="AS284">
        <f>X284</f>
        <v>0</v>
      </c>
    </row>
    <row r="285" spans="2:45" x14ac:dyDescent="0.35">
      <c r="B285" s="53" t="s">
        <v>1091</v>
      </c>
      <c r="C285" s="53"/>
      <c r="D285" s="13" t="s">
        <v>270</v>
      </c>
      <c r="E285" s="13"/>
      <c r="F285" s="13"/>
      <c r="G285" s="13"/>
      <c r="H285" s="550"/>
      <c r="I285" s="4"/>
      <c r="J285" s="359"/>
      <c r="K285" s="214"/>
      <c r="L285" s="724"/>
      <c r="M285" s="691"/>
      <c r="N285" s="155"/>
      <c r="O285" s="697"/>
      <c r="W285" t="s">
        <v>4053</v>
      </c>
      <c r="X285" s="688"/>
      <c r="AL285" t="str">
        <f t="shared" si="18"/>
        <v>dpa703_3_4_1</v>
      </c>
      <c r="AM285">
        <f t="shared" si="19"/>
        <v>0</v>
      </c>
    </row>
    <row r="286" spans="2:45" x14ac:dyDescent="0.35">
      <c r="B286" s="53" t="s">
        <v>1091</v>
      </c>
      <c r="C286" s="53"/>
      <c r="D286" s="13" t="s">
        <v>272</v>
      </c>
      <c r="E286" s="13"/>
      <c r="F286" s="13"/>
      <c r="G286" s="13"/>
      <c r="H286" s="550"/>
      <c r="I286" s="155"/>
      <c r="J286" s="359" t="s">
        <v>272</v>
      </c>
      <c r="K286" s="214"/>
      <c r="L286" s="193" t="s">
        <v>4062</v>
      </c>
      <c r="M286" s="198">
        <f>IFERROR(INDEX({3,6,3,1,1,0,0,0},T245),0)</f>
        <v>1</v>
      </c>
      <c r="N286" s="155"/>
      <c r="O286" s="342">
        <f ca="1">IF(AND(S286,W286&gt;=1.2),M286,0)</f>
        <v>0</v>
      </c>
      <c r="P286" t="b">
        <v>1</v>
      </c>
      <c r="Q286" t="b">
        <v>1</v>
      </c>
      <c r="R286" t="b">
        <v>0</v>
      </c>
      <c r="S286" t="b">
        <f ca="1">AND(S13=2,LEN(W280)=0,NOT(W284=TRUE),NOT(W287=TRUE),LEN(W292)=0)</f>
        <v>1</v>
      </c>
      <c r="T286" t="b">
        <f ca="1">AND(NOT(S286),LEN(W286)&gt;0)</f>
        <v>0</v>
      </c>
      <c r="W286" s="334"/>
      <c r="X286" s="39"/>
      <c r="AC286" t="b">
        <f ca="1">OR(AD286:AE286)</f>
        <v>0</v>
      </c>
      <c r="AD286" t="b">
        <f ca="1">T286</f>
        <v>0</v>
      </c>
      <c r="AE286" t="b">
        <f>AND(R286,OR(W286="Not Met",W286=""))</f>
        <v>0</v>
      </c>
      <c r="AL286" t="str">
        <f t="shared" si="18"/>
        <v>dpa703_3_4_2</v>
      </c>
      <c r="AM286">
        <f t="shared" si="19"/>
        <v>1</v>
      </c>
      <c r="AN286" t="str">
        <f t="shared" ref="AN286:AN287" si="20">SUBSTITUTE(SUBSTITUTE(SUBSTITUTE("dpc"&amp;$B286&amp;$C286&amp;$D286&amp;$E286&amp;$F286,".","_"),"(","_"),")","")</f>
        <v>dpc703_3_4_2</v>
      </c>
      <c r="AO286">
        <f ca="1">O286</f>
        <v>0</v>
      </c>
      <c r="AP286" t="str">
        <f>SUBSTITUTE(SUBSTITUTE(SUBSTITUTE("dch"&amp;$B286&amp;$C286&amp;$D286&amp;$E286&amp;$F286,".","_"),"(","_"),")","")</f>
        <v>dch703_3_4_2</v>
      </c>
      <c r="AQ286" s="623">
        <f>W286</f>
        <v>0</v>
      </c>
      <c r="AR286" t="str">
        <f t="shared" ref="AR286:AR287" si="21">SUBSTITUTE(SUBSTITUTE(SUBSTITUTE("dnt"&amp;$B286&amp;$C286&amp;$D286&amp;$E286&amp;$F286,".","_"),"(","_"),")","")</f>
        <v>dnt703_3_4_2</v>
      </c>
      <c r="AS286">
        <f>X286</f>
        <v>0</v>
      </c>
    </row>
    <row r="287" spans="2:45" x14ac:dyDescent="0.35">
      <c r="B287" s="53" t="s">
        <v>1093</v>
      </c>
      <c r="C287" s="53"/>
      <c r="D287" s="13"/>
      <c r="E287" s="13"/>
      <c r="F287" s="13"/>
      <c r="G287" s="13"/>
      <c r="H287" s="550"/>
      <c r="I287" s="362" t="s">
        <v>1093</v>
      </c>
      <c r="J287" s="320"/>
      <c r="K287" s="320"/>
      <c r="L287" s="753" t="s">
        <v>1094</v>
      </c>
      <c r="M287" s="712">
        <f>IFERROR(INDEX({14,18,22,30,37,37,37,37},T245),0)</f>
        <v>30</v>
      </c>
      <c r="N287" s="136"/>
      <c r="O287" s="713">
        <f ca="1">M287*S287*W287</f>
        <v>0</v>
      </c>
      <c r="P287" t="b">
        <v>1</v>
      </c>
      <c r="Q287" t="b">
        <v>1</v>
      </c>
      <c r="R287" t="b">
        <v>0</v>
      </c>
      <c r="S287" t="b">
        <f ca="1">AND(S13=2,LEN(W250)=0,LEN(W256)=0,LEN(W259)=0,LEN(W264)=0,LEN(W270)=0,LEN(W275)=0,LEN(W280)=0,NOT(W284=TRUE),LEN(W286)=0,LEN(W292)=0)</f>
        <v>1</v>
      </c>
      <c r="T287" t="b">
        <f ca="1">AND(NOT(S287),W287=TRUE)</f>
        <v>0</v>
      </c>
      <c r="W287" s="17"/>
      <c r="X287" s="688"/>
      <c r="AC287" t="b">
        <f ca="1">OR(AD287:AE287)</f>
        <v>0</v>
      </c>
      <c r="AD287" t="b">
        <f ca="1">T287</f>
        <v>0</v>
      </c>
      <c r="AE287" t="b">
        <f>AND(R287,NOT(W287))</f>
        <v>0</v>
      </c>
      <c r="AL287" t="str">
        <f t="shared" si="18"/>
        <v>dpa703_3_5</v>
      </c>
      <c r="AM287">
        <f>M287</f>
        <v>30</v>
      </c>
      <c r="AN287" t="str">
        <f t="shared" si="20"/>
        <v>dpc703_3_5</v>
      </c>
      <c r="AO287">
        <f ca="1">O287</f>
        <v>0</v>
      </c>
      <c r="AP287" t="str">
        <f>SUBSTITUTE(SUBSTITUTE(SUBSTITUTE("dch"&amp;$B287&amp;$C287&amp;$D287&amp;$E287&amp;$F287,".","_"),"(","_"),")","")</f>
        <v>dch703_3_5</v>
      </c>
      <c r="AQ287">
        <f>W287</f>
        <v>0</v>
      </c>
      <c r="AR287" t="str">
        <f t="shared" si="21"/>
        <v>dnt703_3_5</v>
      </c>
      <c r="AS287">
        <f>X287</f>
        <v>0</v>
      </c>
    </row>
    <row r="288" spans="2:45" x14ac:dyDescent="0.35">
      <c r="B288" s="53" t="s">
        <v>1093</v>
      </c>
      <c r="C288" s="53"/>
      <c r="D288" s="13"/>
      <c r="E288" s="13"/>
      <c r="F288" s="13"/>
      <c r="G288" s="13"/>
      <c r="H288" s="550"/>
      <c r="I288" s="4"/>
      <c r="J288" s="104"/>
      <c r="K288" s="104"/>
      <c r="L288" s="706"/>
      <c r="M288" s="690"/>
      <c r="N288" s="4"/>
      <c r="O288" s="696"/>
      <c r="X288" s="688"/>
    </row>
    <row r="289" spans="2:45" x14ac:dyDescent="0.35">
      <c r="B289" s="53" t="s">
        <v>1093</v>
      </c>
      <c r="C289" s="53"/>
      <c r="D289" s="13"/>
      <c r="E289" s="13"/>
      <c r="F289" s="13"/>
      <c r="G289" s="13"/>
      <c r="H289" s="550"/>
      <c r="I289" s="4"/>
      <c r="J289" s="104"/>
      <c r="K289" s="104"/>
      <c r="L289" s="706"/>
      <c r="M289" s="690"/>
      <c r="N289" s="4"/>
      <c r="O289" s="696"/>
      <c r="X289" s="688"/>
    </row>
    <row r="290" spans="2:45" x14ac:dyDescent="0.35">
      <c r="B290" s="53" t="s">
        <v>1093</v>
      </c>
      <c r="C290" s="53"/>
      <c r="D290" s="13"/>
      <c r="E290" s="13"/>
      <c r="F290" s="13"/>
      <c r="G290" s="13"/>
      <c r="H290" s="550"/>
      <c r="I290" s="155"/>
      <c r="J290" s="214"/>
      <c r="K290" s="214"/>
      <c r="L290" s="214" t="s">
        <v>4064</v>
      </c>
      <c r="M290" s="691"/>
      <c r="N290" s="155"/>
      <c r="O290" s="697"/>
      <c r="X290" s="688"/>
    </row>
    <row r="291" spans="2:45" x14ac:dyDescent="0.35">
      <c r="B291" s="53" t="s">
        <v>1095</v>
      </c>
      <c r="C291" s="53"/>
      <c r="D291" s="13"/>
      <c r="E291" s="13"/>
      <c r="F291" s="13"/>
      <c r="G291" s="13"/>
      <c r="H291" s="550"/>
      <c r="I291" s="34" t="s">
        <v>1095</v>
      </c>
      <c r="J291" s="104"/>
      <c r="K291" s="104"/>
      <c r="L291" s="783" t="s">
        <v>4099</v>
      </c>
      <c r="M291" s="43"/>
      <c r="N291" s="4"/>
      <c r="O291" s="696">
        <f ca="1">IFERROR(INDEX(M294:M296,MATCH(W292,{16,24,28},1)),0)*S292</f>
        <v>0</v>
      </c>
      <c r="W291" t="s">
        <v>4068</v>
      </c>
      <c r="X291" s="688"/>
      <c r="AN291" t="str">
        <f>SUBSTITUTE(SUBSTITUTE(SUBSTITUTE("dpc"&amp;$B291&amp;$C291&amp;$D291&amp;$E291&amp;$F291,".","_"),"(","_"),")","")</f>
        <v>dpc703_3_6</v>
      </c>
      <c r="AO291">
        <f ca="1">O291</f>
        <v>0</v>
      </c>
      <c r="AR291" t="str">
        <f>SUBSTITUTE(SUBSTITUTE(SUBSTITUTE("dnt"&amp;$B291&amp;$C291&amp;$D291&amp;$E291&amp;$F291,".","_"),"(","_"),")","")</f>
        <v>dnt703_3_6</v>
      </c>
      <c r="AS291">
        <f>X291</f>
        <v>0</v>
      </c>
    </row>
    <row r="292" spans="2:45" x14ac:dyDescent="0.35">
      <c r="B292" s="53" t="s">
        <v>1095</v>
      </c>
      <c r="C292" s="53"/>
      <c r="D292" s="13"/>
      <c r="E292" s="13"/>
      <c r="F292" s="13"/>
      <c r="G292" s="13"/>
      <c r="H292" s="550"/>
      <c r="I292" s="4"/>
      <c r="J292" s="104"/>
      <c r="K292" s="104"/>
      <c r="L292" s="783"/>
      <c r="M292" s="43"/>
      <c r="N292" s="4"/>
      <c r="O292" s="696"/>
      <c r="P292" t="b">
        <v>1</v>
      </c>
      <c r="Q292" t="b">
        <v>1</v>
      </c>
      <c r="R292" t="b">
        <v>0</v>
      </c>
      <c r="S292" t="b">
        <f ca="1">AND(S13=2,LEN(W250)=0,LEN(W256)=0,LEN(W259)=0,LEN(W264)=0,LEN(W270)=0,LEN(W275)=0,LEN(W280)=0,NOT(W284=TRUE),LEN(W286)=0,NOT(W287=TRUE))</f>
        <v>1</v>
      </c>
      <c r="T292" t="b">
        <f ca="1">AND(NOT(S292),LEN(W292)&gt;0)</f>
        <v>0</v>
      </c>
      <c r="W292" s="334"/>
      <c r="X292" s="688"/>
      <c r="AC292" t="b">
        <f ca="1">OR(AD292:AE292)</f>
        <v>0</v>
      </c>
      <c r="AD292" t="b">
        <f ca="1">T292</f>
        <v>0</v>
      </c>
      <c r="AE292" t="b">
        <f>AND(R292,OR(W292="Not Met",W292=""))</f>
        <v>0</v>
      </c>
      <c r="AP292" t="str">
        <f>SUBSTITUTE(SUBSTITUTE(SUBSTITUTE("dch"&amp;$B292&amp;$C292&amp;$D292&amp;$E292&amp;$F292,".","_"),"(","_"),")","")</f>
        <v>dch703_3_6</v>
      </c>
      <c r="AQ292" s="623">
        <f>W292</f>
        <v>0</v>
      </c>
    </row>
    <row r="293" spans="2:45" x14ac:dyDescent="0.35">
      <c r="B293" s="53" t="s">
        <v>1095</v>
      </c>
      <c r="C293" s="53"/>
      <c r="D293" s="13"/>
      <c r="E293" s="13"/>
      <c r="F293" s="13"/>
      <c r="G293" s="13"/>
      <c r="H293" s="550"/>
      <c r="I293" s="4"/>
      <c r="J293" s="104"/>
      <c r="K293" s="104"/>
      <c r="L293" s="783"/>
      <c r="M293" s="43"/>
      <c r="N293" s="4"/>
      <c r="O293" s="696"/>
      <c r="X293" s="688"/>
    </row>
    <row r="294" spans="2:45" x14ac:dyDescent="0.35">
      <c r="B294" s="53" t="s">
        <v>1095</v>
      </c>
      <c r="C294" s="53"/>
      <c r="D294" s="13"/>
      <c r="E294" s="13" t="s">
        <v>270</v>
      </c>
      <c r="F294" s="13"/>
      <c r="G294" s="13"/>
      <c r="H294" s="550"/>
      <c r="I294" s="4"/>
      <c r="J294" s="104"/>
      <c r="K294" s="104"/>
      <c r="L294" s="104" t="s">
        <v>4065</v>
      </c>
      <c r="M294" s="43">
        <f>IFERROR(INDEX({1,1,2,16,22,22,0,0},T245),0)</f>
        <v>16</v>
      </c>
      <c r="N294" s="4"/>
      <c r="O294" s="85"/>
      <c r="X294" s="688"/>
      <c r="AL294" t="str">
        <f t="shared" ref="AL294:AL297" si="22">SUBSTITUTE(SUBSTITUTE(SUBSTITUTE("dpa"&amp;$B294&amp;$C294&amp;$D294&amp;$E294&amp;$F294,".","_"),"(","_"),")","")</f>
        <v>dpa703_3_6_1</v>
      </c>
      <c r="AM294">
        <f>M294</f>
        <v>16</v>
      </c>
    </row>
    <row r="295" spans="2:45" x14ac:dyDescent="0.35">
      <c r="B295" s="53" t="s">
        <v>1095</v>
      </c>
      <c r="C295" s="53"/>
      <c r="D295" s="13"/>
      <c r="E295" s="13" t="s">
        <v>272</v>
      </c>
      <c r="F295" s="13"/>
      <c r="G295" s="13"/>
      <c r="H295" s="550"/>
      <c r="I295" s="4"/>
      <c r="J295" s="104"/>
      <c r="K295" s="104"/>
      <c r="L295" s="104" t="s">
        <v>4066</v>
      </c>
      <c r="M295" s="43">
        <f>IFERROR(INDEX({24,29,22,31,35,35,0,0},T245),0)</f>
        <v>31</v>
      </c>
      <c r="N295" s="4"/>
      <c r="O295" s="85"/>
      <c r="X295" s="688"/>
      <c r="AL295" t="str">
        <f t="shared" si="22"/>
        <v>dpa703_3_6_2</v>
      </c>
      <c r="AM295">
        <f>M295</f>
        <v>31</v>
      </c>
    </row>
    <row r="296" spans="2:45" x14ac:dyDescent="0.35">
      <c r="B296" s="53" t="s">
        <v>1095</v>
      </c>
      <c r="C296" s="53"/>
      <c r="D296" s="13"/>
      <c r="E296" s="13" t="s">
        <v>274</v>
      </c>
      <c r="F296" s="13"/>
      <c r="G296" s="13"/>
      <c r="H296" s="550"/>
      <c r="I296" s="155"/>
      <c r="J296" s="214"/>
      <c r="K296" s="214"/>
      <c r="L296" s="214" t="s">
        <v>4067</v>
      </c>
      <c r="M296" s="198">
        <f>IFERROR(INDEX({42,46,35,42,44,44,0,0},T245),0)</f>
        <v>42</v>
      </c>
      <c r="N296" s="155"/>
      <c r="O296" s="342"/>
      <c r="X296" s="688"/>
      <c r="AL296" t="str">
        <f t="shared" si="22"/>
        <v>dpa703_3_6_3</v>
      </c>
      <c r="AM296">
        <f>M296</f>
        <v>42</v>
      </c>
    </row>
    <row r="297" spans="2:45" x14ac:dyDescent="0.35">
      <c r="B297" s="53" t="s">
        <v>1096</v>
      </c>
      <c r="C297" s="53"/>
      <c r="D297" s="13"/>
      <c r="E297" s="13" t="s">
        <v>270</v>
      </c>
      <c r="F297" s="13"/>
      <c r="G297" s="13"/>
      <c r="H297" s="550"/>
      <c r="I297" s="34" t="s">
        <v>1096</v>
      </c>
      <c r="J297" s="104"/>
      <c r="K297" s="104"/>
      <c r="L297" s="110" t="s">
        <v>1097</v>
      </c>
      <c r="M297" s="43">
        <v>1</v>
      </c>
      <c r="N297" s="4"/>
      <c r="O297" s="85">
        <f ca="1">IF(AND(S299,W299&gt;0),MIN(8,W299),M297*S297*W297)</f>
        <v>0</v>
      </c>
      <c r="P297" t="b">
        <v>0</v>
      </c>
      <c r="Q297" t="b">
        <v>1</v>
      </c>
      <c r="R297" t="b">
        <v>0</v>
      </c>
      <c r="S297" t="b">
        <f ca="1">AND(S13=2,NOT(W304))</f>
        <v>1</v>
      </c>
      <c r="T297" t="b">
        <f ca="1">AND(NOT(S297),W297=TRUE)</f>
        <v>0</v>
      </c>
      <c r="W297" s="17"/>
      <c r="X297" s="688"/>
      <c r="AC297" t="b">
        <f ca="1">OR(AD297:AE297)</f>
        <v>0</v>
      </c>
      <c r="AD297" t="b">
        <f ca="1">T297</f>
        <v>0</v>
      </c>
      <c r="AE297" t="b">
        <f>AND(R297,NOT(W297))</f>
        <v>0</v>
      </c>
      <c r="AL297" t="str">
        <f t="shared" si="22"/>
        <v>dpa703_3_7_1</v>
      </c>
      <c r="AM297">
        <f>M297</f>
        <v>1</v>
      </c>
      <c r="AN297" t="str">
        <f>SUBSTITUTE(SUBSTITUTE(SUBSTITUTE("dpc"&amp;$B297&amp;$C297&amp;$D297&amp;$E297&amp;$F297,".","_"),"(","_"),")","")</f>
        <v>dpc703_3_7_1</v>
      </c>
      <c r="AO297">
        <f ca="1">O297</f>
        <v>0</v>
      </c>
      <c r="AP297" t="str">
        <f>SUBSTITUTE(SUBSTITUTE(SUBSTITUTE("dch"&amp;$B297&amp;$C297&amp;$D297&amp;$E297&amp;$F297,".","_"),"(","_"),")","")</f>
        <v>dch703_3_7_1</v>
      </c>
      <c r="AQ297">
        <f>W297</f>
        <v>0</v>
      </c>
      <c r="AR297" t="str">
        <f>SUBSTITUTE(SUBSTITUTE(SUBSTITUTE("dnt"&amp;$B297&amp;$C297&amp;$D297&amp;$E297&amp;$F297,".","_"),"(","_"),")","")</f>
        <v>dnt703_3_7_1</v>
      </c>
      <c r="AS297">
        <f>X297</f>
        <v>0</v>
      </c>
    </row>
    <row r="298" spans="2:45" x14ac:dyDescent="0.35">
      <c r="B298" s="53" t="s">
        <v>1096</v>
      </c>
      <c r="C298" s="53"/>
      <c r="D298" s="13"/>
      <c r="E298" s="13"/>
      <c r="F298" s="13"/>
      <c r="G298" s="13"/>
      <c r="H298" s="550"/>
      <c r="I298" s="4"/>
      <c r="J298" s="104"/>
      <c r="K298" s="104"/>
      <c r="L298" s="106" t="s">
        <v>1098</v>
      </c>
      <c r="M298" s="43"/>
      <c r="N298" s="4"/>
      <c r="O298" s="85"/>
      <c r="W298" t="s">
        <v>4023</v>
      </c>
      <c r="X298" s="688"/>
    </row>
    <row r="299" spans="2:45" x14ac:dyDescent="0.35">
      <c r="B299" s="53" t="s">
        <v>1096</v>
      </c>
      <c r="C299" s="53"/>
      <c r="D299" s="13"/>
      <c r="E299" s="13" t="s">
        <v>272</v>
      </c>
      <c r="F299" s="13"/>
      <c r="G299" s="13"/>
      <c r="H299" s="550"/>
      <c r="I299" s="4"/>
      <c r="J299" s="104"/>
      <c r="K299" s="104"/>
      <c r="L299" s="783" t="s">
        <v>1099</v>
      </c>
      <c r="M299" s="43"/>
      <c r="N299" s="4"/>
      <c r="O299" s="85"/>
      <c r="P299" t="b">
        <v>0</v>
      </c>
      <c r="Q299" t="b">
        <v>1</v>
      </c>
      <c r="R299" t="b">
        <v>0</v>
      </c>
      <c r="S299" t="b">
        <f ca="1">AND(S13=2,NOT(W304),W297=TRUE,OR(BI17="Tropical",AND(BG17="Dry",OR(BF17=2,BF17=3,BF17=4))))</f>
        <v>0</v>
      </c>
      <c r="T299" t="b">
        <f ca="1">AND(NOT(S299),LEN(W299)&gt;0)</f>
        <v>0</v>
      </c>
      <c r="W299" s="347"/>
      <c r="X299" s="688"/>
      <c r="AC299" t="b">
        <f ca="1">OR(AD299:AE299)</f>
        <v>0</v>
      </c>
      <c r="AD299" t="b">
        <f ca="1">T299</f>
        <v>0</v>
      </c>
      <c r="AE299" t="b">
        <f>AND(R299,OR(W299="Not Met",W299=""))</f>
        <v>0</v>
      </c>
      <c r="AP299" t="str">
        <f>SUBSTITUTE(SUBSTITUTE(SUBSTITUTE("dch"&amp;$B299&amp;$C299&amp;$D299&amp;$E299&amp;$F299,".","_"),"(","_"),")","")</f>
        <v>dch703_3_7_2</v>
      </c>
      <c r="AQ299" s="624">
        <f>W299</f>
        <v>0</v>
      </c>
    </row>
    <row r="300" spans="2:45" x14ac:dyDescent="0.35">
      <c r="B300" s="53" t="s">
        <v>1096</v>
      </c>
      <c r="C300" s="53"/>
      <c r="D300" s="13"/>
      <c r="E300" s="13"/>
      <c r="F300" s="13"/>
      <c r="G300" s="13"/>
      <c r="H300" s="550"/>
      <c r="I300" s="4"/>
      <c r="J300" s="104"/>
      <c r="K300" s="104"/>
      <c r="L300" s="783"/>
      <c r="M300" s="43"/>
      <c r="N300" s="4"/>
      <c r="O300" s="85"/>
      <c r="X300" s="688"/>
    </row>
    <row r="301" spans="2:45" x14ac:dyDescent="0.35">
      <c r="B301" s="53" t="s">
        <v>1096</v>
      </c>
      <c r="C301" s="53"/>
      <c r="D301" s="13"/>
      <c r="E301" s="13"/>
      <c r="F301" s="13"/>
      <c r="G301" s="13"/>
      <c r="H301" s="550"/>
      <c r="I301" s="4"/>
      <c r="J301" s="104"/>
      <c r="K301" s="104"/>
      <c r="L301" s="783"/>
      <c r="M301" s="43"/>
      <c r="N301" s="4"/>
      <c r="O301" s="85"/>
      <c r="X301" s="688"/>
    </row>
    <row r="302" spans="2:45" x14ac:dyDescent="0.35">
      <c r="B302" s="53" t="s">
        <v>1096</v>
      </c>
      <c r="C302" s="53"/>
      <c r="D302" s="13"/>
      <c r="E302" s="13"/>
      <c r="F302" s="13"/>
      <c r="G302" s="13"/>
      <c r="H302" s="550"/>
      <c r="I302" s="4"/>
      <c r="J302" s="104"/>
      <c r="K302" s="104"/>
      <c r="L302" s="783"/>
      <c r="M302" s="43"/>
      <c r="N302" s="4"/>
      <c r="O302" s="85"/>
      <c r="X302" s="688"/>
    </row>
    <row r="303" spans="2:45" x14ac:dyDescent="0.35">
      <c r="B303" s="53" t="s">
        <v>1096</v>
      </c>
      <c r="C303" s="53"/>
      <c r="D303" s="13"/>
      <c r="E303" s="13"/>
      <c r="F303" s="13"/>
      <c r="G303" s="13"/>
      <c r="H303" s="550"/>
      <c r="I303" s="155"/>
      <c r="J303" s="214"/>
      <c r="K303" s="214"/>
      <c r="L303" s="121" t="s">
        <v>4040</v>
      </c>
      <c r="M303" s="198"/>
      <c r="N303" s="155"/>
      <c r="O303" s="342"/>
      <c r="P303" s="119"/>
      <c r="Q303" s="119"/>
      <c r="R303" s="119"/>
      <c r="S303" s="119"/>
      <c r="T303" s="119"/>
      <c r="U303" s="119"/>
      <c r="V303" s="119"/>
      <c r="W303" s="368"/>
      <c r="X303" s="688"/>
    </row>
    <row r="304" spans="2:45" x14ac:dyDescent="0.35">
      <c r="B304" s="53" t="s">
        <v>1100</v>
      </c>
      <c r="C304" s="53"/>
      <c r="D304" s="13"/>
      <c r="E304" s="13"/>
      <c r="F304" s="13"/>
      <c r="G304" s="13"/>
      <c r="H304" s="550"/>
      <c r="I304" s="362" t="s">
        <v>1100</v>
      </c>
      <c r="J304" s="320"/>
      <c r="K304" s="320"/>
      <c r="L304" s="787" t="s">
        <v>1101</v>
      </c>
      <c r="M304" s="712">
        <f>IFERROR(INDEX({4,4,4,3,3,3,0,0},BF17),0)</f>
        <v>3</v>
      </c>
      <c r="N304" s="136"/>
      <c r="O304" s="713">
        <f ca="1">M304*S304*W304</f>
        <v>0</v>
      </c>
      <c r="P304" t="b">
        <v>1</v>
      </c>
      <c r="Q304" t="b">
        <v>1</v>
      </c>
      <c r="R304" s="138" t="b">
        <v>0</v>
      </c>
      <c r="S304" s="138" t="b">
        <f ca="1">(S13=2)</f>
        <v>1</v>
      </c>
      <c r="T304" s="138" t="b">
        <f ca="1">AND(NOT(S304),W304=TRUE)</f>
        <v>0</v>
      </c>
      <c r="U304" s="138"/>
      <c r="V304" s="138"/>
      <c r="W304" s="17"/>
      <c r="X304" s="688"/>
      <c r="AC304" t="b">
        <f ca="1">OR(AD304:AE304)</f>
        <v>0</v>
      </c>
      <c r="AD304" t="b">
        <f ca="1">T304</f>
        <v>0</v>
      </c>
      <c r="AE304" t="b">
        <f>AND(R304,NOT(W304))</f>
        <v>0</v>
      </c>
      <c r="AL304" t="str">
        <f>SUBSTITUTE(SUBSTITUTE(SUBSTITUTE("dpa"&amp;$B304&amp;$C304&amp;$D304&amp;$E304&amp;$F304,".","_"),"(","_"),")","")</f>
        <v>dpa703_3_8</v>
      </c>
      <c r="AM304">
        <f>M304</f>
        <v>3</v>
      </c>
      <c r="AN304" t="str">
        <f>SUBSTITUTE(SUBSTITUTE(SUBSTITUTE("dpc"&amp;$B304&amp;$C304&amp;$D304&amp;$E304&amp;$F304,".","_"),"(","_"),")","")</f>
        <v>dpc703_3_8</v>
      </c>
      <c r="AO304">
        <f ca="1">O304</f>
        <v>0</v>
      </c>
      <c r="AP304" t="str">
        <f>SUBSTITUTE(SUBSTITUTE(SUBSTITUTE("dch"&amp;$B304&amp;$C304&amp;$D304&amp;$E304&amp;$F304,".","_"),"(","_"),")","")</f>
        <v>dch703_3_8</v>
      </c>
      <c r="AQ304">
        <f>W304</f>
        <v>0</v>
      </c>
      <c r="AR304" t="str">
        <f>SUBSTITUTE(SUBSTITUTE(SUBSTITUTE("dnt"&amp;$B304&amp;$C304&amp;$D304&amp;$E304&amp;$F304,".","_"),"(","_"),")","")</f>
        <v>dnt703_3_8</v>
      </c>
      <c r="AS304">
        <f>X304</f>
        <v>0</v>
      </c>
    </row>
    <row r="305" spans="2:45" x14ac:dyDescent="0.35">
      <c r="B305" s="53" t="s">
        <v>1100</v>
      </c>
      <c r="C305" s="53"/>
      <c r="D305" s="13"/>
      <c r="E305" s="13"/>
      <c r="F305" s="13"/>
      <c r="G305" s="13"/>
      <c r="H305" s="550"/>
      <c r="I305" s="4"/>
      <c r="J305" s="104"/>
      <c r="K305" s="104"/>
      <c r="L305" s="783"/>
      <c r="M305" s="690"/>
      <c r="N305" s="4"/>
      <c r="O305" s="696"/>
      <c r="X305" s="688"/>
    </row>
    <row r="306" spans="2:45" x14ac:dyDescent="0.35">
      <c r="B306" s="53" t="s">
        <v>1100</v>
      </c>
      <c r="C306" s="53"/>
      <c r="D306" s="13"/>
      <c r="E306" s="13"/>
      <c r="F306" s="13"/>
      <c r="G306" s="13"/>
      <c r="H306" s="550"/>
      <c r="I306" s="4"/>
      <c r="J306" s="104"/>
      <c r="K306" s="104"/>
      <c r="L306" s="107" t="s">
        <v>1098</v>
      </c>
      <c r="M306" s="43"/>
      <c r="N306" s="4"/>
      <c r="O306" s="85"/>
      <c r="X306" s="688"/>
    </row>
    <row r="307" spans="2:45" x14ac:dyDescent="0.35">
      <c r="B307" s="53" t="s">
        <v>1100</v>
      </c>
      <c r="C307" s="53"/>
      <c r="D307" s="13"/>
      <c r="E307" s="13"/>
      <c r="F307" s="13"/>
      <c r="G307" s="13"/>
      <c r="H307" s="550"/>
      <c r="I307" s="4"/>
      <c r="J307" s="104"/>
      <c r="K307" s="104"/>
      <c r="L307" s="714" t="s">
        <v>4039</v>
      </c>
      <c r="M307" s="43"/>
      <c r="N307" s="4"/>
      <c r="O307" s="85"/>
      <c r="X307" s="688"/>
    </row>
    <row r="308" spans="2:45" ht="15" thickBot="1" x14ac:dyDescent="0.4">
      <c r="B308" s="53" t="s">
        <v>1100</v>
      </c>
      <c r="C308" s="53"/>
      <c r="D308" s="13"/>
      <c r="E308" s="13"/>
      <c r="F308" s="13"/>
      <c r="G308" s="13"/>
      <c r="H308" s="550"/>
      <c r="I308" s="183"/>
      <c r="J308" s="223"/>
      <c r="K308" s="223"/>
      <c r="L308" s="788"/>
      <c r="M308" s="270"/>
      <c r="N308" s="183"/>
      <c r="O308" s="184"/>
      <c r="P308" s="58"/>
      <c r="Q308" s="58"/>
      <c r="R308" s="58"/>
      <c r="S308" s="58"/>
      <c r="T308" s="58"/>
      <c r="U308" s="58"/>
      <c r="V308" s="58"/>
      <c r="W308" s="58"/>
      <c r="X308" s="689"/>
    </row>
    <row r="309" spans="2:45" ht="15" thickTop="1" x14ac:dyDescent="0.35">
      <c r="B309" s="452">
        <v>703.4</v>
      </c>
      <c r="C309" s="53"/>
      <c r="D309" s="13"/>
      <c r="E309" s="13"/>
      <c r="F309" s="13"/>
      <c r="G309" s="13"/>
      <c r="H309" s="550"/>
      <c r="I309" s="32">
        <v>703.4</v>
      </c>
      <c r="J309" s="104"/>
      <c r="K309" s="104"/>
      <c r="L309" s="110" t="s">
        <v>1102</v>
      </c>
      <c r="M309" s="43"/>
      <c r="N309" s="4"/>
      <c r="O309" s="85"/>
      <c r="R309" s="1"/>
      <c r="S309" s="285" t="s">
        <v>3905</v>
      </c>
      <c r="T309" s="1" t="b">
        <f>AND(AY26&gt;4,AY20=INDEX(ddSingleOrMulti,2))</f>
        <v>0</v>
      </c>
    </row>
    <row r="310" spans="2:45" x14ac:dyDescent="0.35">
      <c r="B310" s="452" t="s">
        <v>1103</v>
      </c>
      <c r="C310" s="53"/>
      <c r="D310" s="13"/>
      <c r="E310" s="13"/>
      <c r="F310" s="13"/>
      <c r="G310" s="13"/>
      <c r="H310" s="550"/>
      <c r="I310" s="32" t="s">
        <v>1103</v>
      </c>
      <c r="J310" s="104"/>
      <c r="K310" s="104"/>
      <c r="L310" s="110" t="s">
        <v>1104</v>
      </c>
      <c r="M310" s="690">
        <f>IFERROR(INDEX({0,2,4,6,8,8,8,8},BF17),0)</f>
        <v>6</v>
      </c>
      <c r="N310" s="4"/>
      <c r="O310" s="696">
        <f ca="1">M310*S310*W310</f>
        <v>0</v>
      </c>
      <c r="P310" t="b">
        <v>1</v>
      </c>
      <c r="Q310" t="b">
        <v>1</v>
      </c>
      <c r="R310" t="b">
        <v>0</v>
      </c>
      <c r="S310" t="b">
        <f ca="1">AND(S13=2,NOT(T309),AY37=INDEX(ddHDucts,2))</f>
        <v>0</v>
      </c>
      <c r="T310" t="b">
        <f ca="1">AND(NOT(S310),W310=TRUE)</f>
        <v>0</v>
      </c>
      <c r="W310" s="17"/>
      <c r="X310" s="688"/>
      <c r="AC310" t="b">
        <f ca="1">OR(AD310:AE310)</f>
        <v>0</v>
      </c>
      <c r="AD310" t="b">
        <f ca="1">T310</f>
        <v>0</v>
      </c>
      <c r="AE310" t="b">
        <f>AND(R310,NOT(W310))</f>
        <v>0</v>
      </c>
      <c r="AL310" t="str">
        <f>SUBSTITUTE(SUBSTITUTE(SUBSTITUTE("dpa"&amp;$B310&amp;$C310&amp;$D310&amp;$E310&amp;$F310,".","_"),"(","_"),")","")</f>
        <v>dpa703_4_1</v>
      </c>
      <c r="AM310">
        <f>M310</f>
        <v>6</v>
      </c>
      <c r="AN310" t="str">
        <f>SUBSTITUTE(SUBSTITUTE(SUBSTITUTE("dpc"&amp;$B310&amp;$C310&amp;$D310&amp;$E310&amp;$F310,".","_"),"(","_"),")","")</f>
        <v>dpc703_4_1</v>
      </c>
      <c r="AO310">
        <f ca="1">O310</f>
        <v>0</v>
      </c>
      <c r="AP310" t="str">
        <f>SUBSTITUTE(SUBSTITUTE(SUBSTITUTE("dch"&amp;$B310&amp;$C310&amp;$D310&amp;$E310&amp;$F310,".","_"),"(","_"),")","")</f>
        <v>dch703_4_1</v>
      </c>
      <c r="AQ310">
        <f>W310</f>
        <v>0</v>
      </c>
      <c r="AR310" t="str">
        <f>SUBSTITUTE(SUBSTITUTE(SUBSTITUTE("dnt"&amp;$B310&amp;$C310&amp;$D310&amp;$E310&amp;$F310,".","_"),"(","_"),")","")</f>
        <v>dnt703_4_1</v>
      </c>
      <c r="AS310">
        <f>X310</f>
        <v>0</v>
      </c>
    </row>
    <row r="311" spans="2:45" x14ac:dyDescent="0.35">
      <c r="B311" s="452" t="s">
        <v>1103</v>
      </c>
      <c r="C311" s="53"/>
      <c r="D311" s="13"/>
      <c r="E311" s="13"/>
      <c r="F311" s="13"/>
      <c r="G311" s="13"/>
      <c r="H311" s="550"/>
      <c r="I311" s="155"/>
      <c r="J311" s="214"/>
      <c r="K311" s="214"/>
      <c r="L311" s="121" t="s">
        <v>1105</v>
      </c>
      <c r="M311" s="691"/>
      <c r="N311" s="155"/>
      <c r="O311" s="697"/>
      <c r="X311" s="688"/>
    </row>
    <row r="312" spans="2:45" x14ac:dyDescent="0.35">
      <c r="B312" s="452" t="s">
        <v>1106</v>
      </c>
      <c r="C312" s="53"/>
      <c r="D312" s="13"/>
      <c r="E312" s="13"/>
      <c r="F312" s="13"/>
      <c r="G312" s="13"/>
      <c r="H312" s="550"/>
      <c r="I312" s="135" t="s">
        <v>1106</v>
      </c>
      <c r="J312" s="320"/>
      <c r="K312" s="320"/>
      <c r="L312" s="358" t="s">
        <v>1107</v>
      </c>
      <c r="M312" s="712">
        <f>IFERROR(INDEX({8,8,4,2,1,0,0,0},BF17),0)</f>
        <v>2</v>
      </c>
      <c r="N312" s="136"/>
      <c r="O312" s="713">
        <f ca="1">M312*S312*W312</f>
        <v>0</v>
      </c>
      <c r="P312" t="b">
        <v>1</v>
      </c>
      <c r="Q312" t="b">
        <v>1</v>
      </c>
      <c r="R312" t="b">
        <v>0</v>
      </c>
      <c r="S312" t="b">
        <f ca="1">AND(S13=2,NOT(T309),AY41=INDEX(ddCDucts,2))</f>
        <v>0</v>
      </c>
      <c r="T312" t="b">
        <f ca="1">AND(NOT(S312),W312=TRUE)</f>
        <v>0</v>
      </c>
      <c r="W312" s="17"/>
      <c r="X312" s="688"/>
      <c r="AC312" t="b">
        <f ca="1">OR(AD312:AE312)</f>
        <v>0</v>
      </c>
      <c r="AD312" t="b">
        <f ca="1">T312</f>
        <v>0</v>
      </c>
      <c r="AE312" t="b">
        <f>AND(R312,NOT(W312))</f>
        <v>0</v>
      </c>
      <c r="AL312" t="str">
        <f>SUBSTITUTE(SUBSTITUTE(SUBSTITUTE("dpa"&amp;$B312&amp;$C312&amp;$D312&amp;$E312&amp;$F312,".","_"),"(","_"),")","")</f>
        <v>dpa703_4_2</v>
      </c>
      <c r="AM312">
        <f>M312</f>
        <v>2</v>
      </c>
      <c r="AN312" t="str">
        <f>SUBSTITUTE(SUBSTITUTE(SUBSTITUTE("dpc"&amp;$B312&amp;$C312&amp;$D312&amp;$E312&amp;$F312,".","_"),"(","_"),")","")</f>
        <v>dpc703_4_2</v>
      </c>
      <c r="AO312">
        <f ca="1">O312</f>
        <v>0</v>
      </c>
      <c r="AP312" t="str">
        <f>SUBSTITUTE(SUBSTITUTE(SUBSTITUTE("dch"&amp;$B312&amp;$C312&amp;$D312&amp;$E312&amp;$F312,".","_"),"(","_"),")","")</f>
        <v>dch703_4_2</v>
      </c>
      <c r="AQ312">
        <f>W312</f>
        <v>0</v>
      </c>
      <c r="AR312" t="str">
        <f>SUBSTITUTE(SUBSTITUTE(SUBSTITUTE("dnt"&amp;$B312&amp;$C312&amp;$D312&amp;$E312&amp;$F312,".","_"),"(","_"),")","")</f>
        <v>dnt703_4_2</v>
      </c>
      <c r="AS312">
        <f>X312</f>
        <v>0</v>
      </c>
    </row>
    <row r="313" spans="2:45" x14ac:dyDescent="0.35">
      <c r="B313" s="452" t="s">
        <v>1106</v>
      </c>
      <c r="C313" s="53"/>
      <c r="D313" s="13"/>
      <c r="E313" s="13"/>
      <c r="F313" s="13"/>
      <c r="G313" s="13"/>
      <c r="H313" s="550"/>
      <c r="I313" s="155"/>
      <c r="J313" s="214"/>
      <c r="K313" s="214"/>
      <c r="L313" s="121" t="s">
        <v>1105</v>
      </c>
      <c r="M313" s="691"/>
      <c r="N313" s="155"/>
      <c r="O313" s="697"/>
      <c r="X313" s="688"/>
    </row>
    <row r="314" spans="2:45" x14ac:dyDescent="0.35">
      <c r="B314" s="452" t="s">
        <v>1108</v>
      </c>
      <c r="C314" s="53"/>
      <c r="D314" s="13"/>
      <c r="E314" s="13"/>
      <c r="F314" s="13"/>
      <c r="G314" s="13"/>
      <c r="H314" s="550"/>
      <c r="I314" s="32" t="s">
        <v>1108</v>
      </c>
      <c r="J314" s="104"/>
      <c r="K314" s="104"/>
      <c r="L314" s="110" t="s">
        <v>1109</v>
      </c>
      <c r="M314" s="43">
        <f>IFERROR(INDEX({8,10,8,8,8,4,4,4},BF17),0)</f>
        <v>8</v>
      </c>
      <c r="N314" s="4"/>
      <c r="O314" s="85">
        <f ca="1">M314*S315*S316*S318*W315*W316*W318</f>
        <v>8</v>
      </c>
      <c r="AL314" t="str">
        <f>SUBSTITUTE(SUBSTITUTE(SUBSTITUTE("dpa"&amp;$B314&amp;$C314&amp;$D314&amp;$E314&amp;$F314,".","_"),"(","_"),")","")</f>
        <v>dpa703_4_3</v>
      </c>
      <c r="AM314">
        <f>M314</f>
        <v>8</v>
      </c>
      <c r="AN314" t="str">
        <f>SUBSTITUTE(SUBSTITUTE(SUBSTITUTE("dpc"&amp;$B314&amp;$C314&amp;$D314&amp;$E314&amp;$F314,".","_"),"(","_"),")","")</f>
        <v>dpc703_4_3</v>
      </c>
      <c r="AO314">
        <f ca="1">O314</f>
        <v>8</v>
      </c>
    </row>
    <row r="315" spans="2:45" x14ac:dyDescent="0.35">
      <c r="B315" s="452" t="s">
        <v>1108</v>
      </c>
      <c r="C315" s="53"/>
      <c r="D315" s="13" t="s">
        <v>270</v>
      </c>
      <c r="E315" s="13"/>
      <c r="F315" s="13"/>
      <c r="G315" s="13"/>
      <c r="H315" s="550"/>
      <c r="I315" s="4"/>
      <c r="J315" s="359" t="s">
        <v>270</v>
      </c>
      <c r="K315" s="214"/>
      <c r="L315" s="214" t="s">
        <v>1110</v>
      </c>
      <c r="M315" s="43"/>
      <c r="N315" s="4"/>
      <c r="O315" s="85"/>
      <c r="P315" t="b">
        <v>1</v>
      </c>
      <c r="Q315" t="b">
        <v>0</v>
      </c>
      <c r="R315" t="b">
        <v>0</v>
      </c>
      <c r="S315" t="b">
        <f ca="1">AND(S13=2,NOT(T309),OR(AY37&lt;&gt;INDEX(ddHDucts,2),AY41&lt;&gt;INDEX(ddCDucts,2)))</f>
        <v>1</v>
      </c>
      <c r="T315" t="b">
        <f ca="1">AND(NOT(S315),W315=TRUE)</f>
        <v>0</v>
      </c>
      <c r="W315" s="17" t="b">
        <v>1</v>
      </c>
      <c r="X315" s="39"/>
      <c r="AC315" t="b">
        <f ca="1">OR(AD315:AE315)</f>
        <v>0</v>
      </c>
      <c r="AD315" t="b">
        <f ca="1">T315</f>
        <v>0</v>
      </c>
      <c r="AE315" t="b">
        <f>AND(R315,NOT(W315))</f>
        <v>0</v>
      </c>
      <c r="AP315" t="str">
        <f t="shared" ref="AP315:AP316" si="23">SUBSTITUTE(SUBSTITUTE(SUBSTITUTE("dch"&amp;$B315&amp;$C315&amp;$D315&amp;$E315&amp;$F315,".","_"),"(","_"),")","")</f>
        <v>dch703_4_3_1</v>
      </c>
      <c r="AQ315" t="b">
        <f>W315</f>
        <v>1</v>
      </c>
      <c r="AR315" t="str">
        <f t="shared" ref="AR315:AR316" si="24">SUBSTITUTE(SUBSTITUTE(SUBSTITUTE("dnt"&amp;$B315&amp;$C315&amp;$D315&amp;$E315&amp;$F315,".","_"),"(","_"),")","")</f>
        <v>dnt703_4_3_1</v>
      </c>
      <c r="AS315">
        <f>X315</f>
        <v>0</v>
      </c>
    </row>
    <row r="316" spans="2:45" x14ac:dyDescent="0.35">
      <c r="B316" s="452" t="s">
        <v>1108</v>
      </c>
      <c r="C316" s="53"/>
      <c r="D316" s="13" t="s">
        <v>272</v>
      </c>
      <c r="E316" s="13"/>
      <c r="F316" s="13"/>
      <c r="G316" s="13"/>
      <c r="H316" s="550"/>
      <c r="I316" s="4"/>
      <c r="J316" s="378" t="s">
        <v>272</v>
      </c>
      <c r="K316" s="320"/>
      <c r="L316" s="742" t="s">
        <v>1111</v>
      </c>
      <c r="M316" s="43"/>
      <c r="N316" s="4"/>
      <c r="O316" s="85"/>
      <c r="P316" t="b">
        <v>1</v>
      </c>
      <c r="Q316" t="b">
        <v>0</v>
      </c>
      <c r="R316" t="b">
        <v>0</v>
      </c>
      <c r="S316" t="b">
        <f ca="1">AND(S13=2,NOT(T309),OR(AY37&lt;&gt;INDEX(ddHDucts,2),AY41&lt;&gt;INDEX(ddCDucts,2)),W320&lt;&gt;INDEX(INDIRECT(U320),1),W320&lt;&gt;INDEX(INDIRECT(U320),3))</f>
        <v>1</v>
      </c>
      <c r="T316" t="b">
        <f ca="1">AND(NOT(S316),W316=TRUE)</f>
        <v>0</v>
      </c>
      <c r="W316" s="17" t="b">
        <v>1</v>
      </c>
      <c r="X316" s="688"/>
      <c r="AC316" t="b">
        <f ca="1">OR(AD316:AE316)</f>
        <v>0</v>
      </c>
      <c r="AD316" t="b">
        <f ca="1">T316</f>
        <v>0</v>
      </c>
      <c r="AE316" t="b">
        <f>AND(R316,NOT(W316))</f>
        <v>0</v>
      </c>
      <c r="AP316" t="str">
        <f t="shared" si="23"/>
        <v>dch703_4_3_2</v>
      </c>
      <c r="AQ316" t="b">
        <f>W316</f>
        <v>1</v>
      </c>
      <c r="AR316" t="str">
        <f t="shared" si="24"/>
        <v>dnt703_4_3_2</v>
      </c>
      <c r="AS316">
        <f>X316</f>
        <v>0</v>
      </c>
    </row>
    <row r="317" spans="2:45" x14ac:dyDescent="0.35">
      <c r="B317" s="452" t="s">
        <v>1108</v>
      </c>
      <c r="C317" s="53"/>
      <c r="D317" s="13" t="s">
        <v>272</v>
      </c>
      <c r="E317" s="13"/>
      <c r="F317" s="13"/>
      <c r="G317" s="13"/>
      <c r="H317" s="550"/>
      <c r="I317" s="4"/>
      <c r="J317" s="214"/>
      <c r="K317" s="214"/>
      <c r="L317" s="709"/>
      <c r="M317" s="43"/>
      <c r="N317" s="4"/>
      <c r="O317" s="85"/>
      <c r="X317" s="688"/>
    </row>
    <row r="318" spans="2:45" x14ac:dyDescent="0.35">
      <c r="B318" s="452" t="s">
        <v>1108</v>
      </c>
      <c r="C318" s="53"/>
      <c r="D318" s="13" t="s">
        <v>274</v>
      </c>
      <c r="E318" s="13"/>
      <c r="F318" s="13"/>
      <c r="G318" s="13"/>
      <c r="H318" s="550"/>
      <c r="I318" s="4"/>
      <c r="J318" s="175" t="s">
        <v>274</v>
      </c>
      <c r="K318" s="104"/>
      <c r="L318" s="104" t="s">
        <v>1112</v>
      </c>
      <c r="M318" s="43"/>
      <c r="N318" s="4"/>
      <c r="O318" s="85"/>
      <c r="P318" t="b">
        <v>1</v>
      </c>
      <c r="Q318" t="b">
        <v>0</v>
      </c>
      <c r="R318" t="b">
        <v>0</v>
      </c>
      <c r="S318" t="b">
        <f ca="1">AND(S13=2,NOT(T309),OR(AY37&lt;&gt;INDEX(ddHDucts,2),AY41&lt;&gt;INDEX(ddCDucts,2)))</f>
        <v>1</v>
      </c>
      <c r="T318" t="b">
        <f ca="1">AND(NOT(S318),W318=TRUE)</f>
        <v>0</v>
      </c>
      <c r="W318" s="17" t="b">
        <v>1</v>
      </c>
      <c r="X318" s="688"/>
      <c r="AC318" t="b">
        <f ca="1">OR(AD318:AE318)</f>
        <v>0</v>
      </c>
      <c r="AD318" t="b">
        <f ca="1">T318</f>
        <v>0</v>
      </c>
      <c r="AE318" t="b">
        <f>AND(R318,NOT(W318))</f>
        <v>0</v>
      </c>
      <c r="AP318" t="str">
        <f>SUBSTITUTE(SUBSTITUTE(SUBSTITUTE("dch"&amp;$B318&amp;$C318&amp;$D318&amp;$E318&amp;$F318,".","_"),"(","_"),")","")</f>
        <v>dch703_4_3_3</v>
      </c>
      <c r="AQ318" t="b">
        <f>W318</f>
        <v>1</v>
      </c>
      <c r="AR318" t="str">
        <f>SUBSTITUTE(SUBSTITUTE(SUBSTITUTE("dnt"&amp;$B318&amp;$C318&amp;$D318&amp;$E318&amp;$F318,".","_"),"(","_"),")","")</f>
        <v>dnt703_4_3_3</v>
      </c>
      <c r="AS318">
        <f>X318</f>
        <v>0</v>
      </c>
    </row>
    <row r="319" spans="2:45" x14ac:dyDescent="0.35">
      <c r="B319" s="452" t="s">
        <v>1108</v>
      </c>
      <c r="C319" s="53"/>
      <c r="D319" s="13" t="s">
        <v>274</v>
      </c>
      <c r="E319" s="13"/>
      <c r="F319" s="13"/>
      <c r="G319" s="13"/>
      <c r="H319" s="550"/>
      <c r="I319" s="155"/>
      <c r="J319" s="214"/>
      <c r="K319" s="214"/>
      <c r="L319" s="121" t="s">
        <v>1105</v>
      </c>
      <c r="M319" s="43"/>
      <c r="N319" s="4"/>
      <c r="O319" s="85"/>
      <c r="X319" s="688"/>
    </row>
    <row r="320" spans="2:45" x14ac:dyDescent="0.35">
      <c r="B320" s="452" t="s">
        <v>1113</v>
      </c>
      <c r="C320" s="53"/>
      <c r="D320" s="13"/>
      <c r="E320" s="13"/>
      <c r="F320" s="13"/>
      <c r="G320" s="13"/>
      <c r="H320" s="550"/>
      <c r="I320" s="32" t="s">
        <v>1113</v>
      </c>
      <c r="J320" s="104"/>
      <c r="K320" s="104"/>
      <c r="L320" s="706" t="s">
        <v>1114</v>
      </c>
      <c r="M320" s="43"/>
      <c r="N320" s="4"/>
      <c r="O320" s="696">
        <f ca="1">IFERROR(INDEX(M326:M328,MATCH(W320,INDIRECT(U320),0)),0)*S320</f>
        <v>0</v>
      </c>
      <c r="P320" t="b">
        <v>0</v>
      </c>
      <c r="Q320" t="b">
        <v>1</v>
      </c>
      <c r="R320" t="b">
        <v>0</v>
      </c>
      <c r="S320" t="b">
        <f ca="1">AND(S13=2,OR(AY37&lt;&gt;INDEX(ddHDucts,2),AY41&lt;&gt;INDEX(ddCDucts,2)),W316&lt;&gt;TRUE,LEN(W545)=0)</f>
        <v>0</v>
      </c>
      <c r="T320" t="b">
        <f ca="1">AND(NOT(S320),LEN(W320)&gt;0)</f>
        <v>0</v>
      </c>
      <c r="U320" t="str">
        <f>SUBSTITUTE(SUBSTITUTE(SUBSTITUTE("dd"&amp;B321&amp;C321&amp;D321&amp;E321&amp;F321,".","_"),"(","_"),")","")</f>
        <v>dd703_4_4</v>
      </c>
      <c r="W320" s="9"/>
      <c r="X320" s="688"/>
      <c r="AC320" t="b">
        <f ca="1">OR(AD320:AE320)</f>
        <v>0</v>
      </c>
      <c r="AD320" t="b">
        <f ca="1">T320</f>
        <v>0</v>
      </c>
      <c r="AE320" t="b">
        <f>AND(R320,OR(W320="Not Met",W320=""))</f>
        <v>0</v>
      </c>
      <c r="AN320" t="str">
        <f>SUBSTITUTE(SUBSTITUTE(SUBSTITUTE("dpc"&amp;$B320&amp;$C320&amp;$D320&amp;$E320&amp;$F320,".","_"),"(","_"),")","")</f>
        <v>dpc703_4_4</v>
      </c>
      <c r="AO320">
        <f ca="1">O320</f>
        <v>0</v>
      </c>
      <c r="AP320" t="str">
        <f>SUBSTITUTE(SUBSTITUTE(SUBSTITUTE("dch"&amp;$B320&amp;$C320&amp;$D320&amp;$E320&amp;$F320,".","_"),"(","_"),")","")</f>
        <v>dch703_4_4</v>
      </c>
      <c r="AQ320">
        <f>W320</f>
        <v>0</v>
      </c>
      <c r="AR320" t="str">
        <f>SUBSTITUTE(SUBSTITUTE(SUBSTITUTE("dnt"&amp;$B320&amp;$C320&amp;$D320&amp;$E320&amp;$F320,".","_"),"(","_"),")","")</f>
        <v>dnt703_4_4</v>
      </c>
      <c r="AS320">
        <f>X320</f>
        <v>0</v>
      </c>
    </row>
    <row r="321" spans="2:45" x14ac:dyDescent="0.35">
      <c r="B321" s="452" t="s">
        <v>1113</v>
      </c>
      <c r="C321" s="53"/>
      <c r="D321" s="13"/>
      <c r="E321" s="13"/>
      <c r="F321" s="13"/>
      <c r="G321" s="13"/>
      <c r="H321" s="550"/>
      <c r="I321" s="4"/>
      <c r="J321" s="104"/>
      <c r="K321" s="104"/>
      <c r="L321" s="706"/>
      <c r="M321" s="43"/>
      <c r="N321" s="4"/>
      <c r="O321" s="696"/>
      <c r="X321" s="688"/>
    </row>
    <row r="322" spans="2:45" x14ac:dyDescent="0.35">
      <c r="B322" s="452" t="s">
        <v>1113</v>
      </c>
      <c r="C322" s="53"/>
      <c r="D322" s="13"/>
      <c r="E322" s="13"/>
      <c r="F322" s="13"/>
      <c r="G322" s="13"/>
      <c r="H322" s="550"/>
      <c r="I322" s="4"/>
      <c r="J322" s="104"/>
      <c r="K322" s="104"/>
      <c r="L322" s="706"/>
      <c r="M322" s="43"/>
      <c r="N322" s="4"/>
      <c r="O322" s="696"/>
      <c r="X322" s="688"/>
    </row>
    <row r="323" spans="2:45" x14ac:dyDescent="0.35">
      <c r="B323" s="452" t="s">
        <v>1113</v>
      </c>
      <c r="C323" s="53"/>
      <c r="D323" s="13"/>
      <c r="E323" s="13"/>
      <c r="F323" s="13"/>
      <c r="G323" s="13"/>
      <c r="H323" s="550"/>
      <c r="I323" s="4"/>
      <c r="J323" s="104"/>
      <c r="K323" s="104"/>
      <c r="L323" s="706"/>
      <c r="M323" s="43"/>
      <c r="N323" s="4"/>
      <c r="O323" s="696"/>
      <c r="X323" s="688"/>
    </row>
    <row r="324" spans="2:45" x14ac:dyDescent="0.35">
      <c r="B324" s="452" t="s">
        <v>1113</v>
      </c>
      <c r="C324" s="53"/>
      <c r="D324" s="13"/>
      <c r="E324" s="13"/>
      <c r="F324" s="13"/>
      <c r="G324" s="13"/>
      <c r="H324" s="550"/>
      <c r="I324" s="4"/>
      <c r="J324" s="104"/>
      <c r="K324" s="104"/>
      <c r="L324" s="706"/>
      <c r="M324" s="43"/>
      <c r="N324" s="4"/>
      <c r="O324" s="696"/>
      <c r="X324" s="688"/>
    </row>
    <row r="325" spans="2:45" x14ac:dyDescent="0.35">
      <c r="B325" s="452" t="s">
        <v>1113</v>
      </c>
      <c r="C325" s="53"/>
      <c r="D325" s="13"/>
      <c r="E325" s="13"/>
      <c r="F325" s="13"/>
      <c r="G325" s="13"/>
      <c r="H325" s="550"/>
      <c r="I325" s="4"/>
      <c r="J325" s="104"/>
      <c r="K325" s="104"/>
      <c r="L325" s="107" t="s">
        <v>1115</v>
      </c>
      <c r="M325" s="43"/>
      <c r="N325" s="4"/>
      <c r="O325" s="85"/>
      <c r="X325" s="688"/>
    </row>
    <row r="326" spans="2:45" x14ac:dyDescent="0.35">
      <c r="B326" s="452" t="s">
        <v>1113</v>
      </c>
      <c r="C326" s="53"/>
      <c r="D326" s="13" t="s">
        <v>270</v>
      </c>
      <c r="E326" s="13"/>
      <c r="F326" s="13"/>
      <c r="G326" s="13"/>
      <c r="H326" s="550"/>
      <c r="I326" s="4"/>
      <c r="J326" s="359" t="s">
        <v>270</v>
      </c>
      <c r="K326" s="214"/>
      <c r="L326" s="214" t="s">
        <v>3902</v>
      </c>
      <c r="M326" s="198">
        <f>IFERROR(INDEX({4,5,4,3,2,1,1,1},BF17),0)</f>
        <v>3</v>
      </c>
      <c r="N326" s="4"/>
      <c r="O326" s="85"/>
      <c r="X326" s="688"/>
      <c r="AL326" t="str">
        <f t="shared" ref="AL326:AL328" si="25">SUBSTITUTE(SUBSTITUTE(SUBSTITUTE("dpa"&amp;$B326&amp;$C326&amp;$D326&amp;$E326&amp;$F326,".","_"),"(","_"),")","")</f>
        <v>dpa703_4_4_1</v>
      </c>
      <c r="AM326">
        <f>M326</f>
        <v>3</v>
      </c>
    </row>
    <row r="327" spans="2:45" x14ac:dyDescent="0.35">
      <c r="B327" s="452" t="s">
        <v>1113</v>
      </c>
      <c r="C327" s="53"/>
      <c r="D327" s="13" t="s">
        <v>272</v>
      </c>
      <c r="E327" s="13"/>
      <c r="F327" s="13"/>
      <c r="G327" s="13"/>
      <c r="H327" s="550"/>
      <c r="I327" s="4"/>
      <c r="J327" s="379" t="s">
        <v>272</v>
      </c>
      <c r="K327" s="220"/>
      <c r="L327" s="220" t="s">
        <v>3903</v>
      </c>
      <c r="M327" s="153">
        <f>IFERROR(INDEX({1,1,1,1,1,1,1,1},BF17),0)</f>
        <v>1</v>
      </c>
      <c r="N327" s="4"/>
      <c r="O327" s="85"/>
      <c r="X327" s="688"/>
      <c r="AL327" t="str">
        <f t="shared" si="25"/>
        <v>dpa703_4_4_2</v>
      </c>
      <c r="AM327">
        <f>M327</f>
        <v>1</v>
      </c>
    </row>
    <row r="328" spans="2:45" ht="15" thickBot="1" x14ac:dyDescent="0.4">
      <c r="B328" s="452" t="s">
        <v>1113</v>
      </c>
      <c r="C328" s="53"/>
      <c r="D328" s="13" t="s">
        <v>274</v>
      </c>
      <c r="E328" s="13"/>
      <c r="F328" s="13"/>
      <c r="G328" s="13"/>
      <c r="H328" s="550"/>
      <c r="I328" s="183"/>
      <c r="J328" s="348" t="s">
        <v>274</v>
      </c>
      <c r="K328" s="223"/>
      <c r="L328" s="223" t="s">
        <v>3904</v>
      </c>
      <c r="M328" s="270">
        <f>IFERROR(INDEX({3,4,3,2,1,1,1,1},BF17),0)</f>
        <v>2</v>
      </c>
      <c r="N328" s="183"/>
      <c r="O328" s="184"/>
      <c r="P328" s="58"/>
      <c r="Q328" s="58"/>
      <c r="R328" s="58"/>
      <c r="S328" s="58"/>
      <c r="T328" s="58"/>
      <c r="U328" s="58"/>
      <c r="V328" s="58"/>
      <c r="W328" s="58"/>
      <c r="X328" s="689"/>
      <c r="AL328" t="str">
        <f t="shared" si="25"/>
        <v>dpa703_4_4_3</v>
      </c>
      <c r="AM328">
        <f>M328</f>
        <v>2</v>
      </c>
    </row>
    <row r="329" spans="2:45" ht="15" thickTop="1" x14ac:dyDescent="0.35">
      <c r="B329" s="452">
        <v>703.5</v>
      </c>
      <c r="C329" s="53"/>
      <c r="D329" s="13"/>
      <c r="E329" s="13"/>
      <c r="F329" s="13"/>
      <c r="G329" s="13"/>
      <c r="H329" s="550"/>
      <c r="I329" s="32">
        <v>703.5</v>
      </c>
      <c r="J329" s="104"/>
      <c r="K329" s="104"/>
      <c r="L329" s="110" t="s">
        <v>1116</v>
      </c>
      <c r="M329" s="43"/>
      <c r="N329" s="4"/>
      <c r="O329" s="85"/>
    </row>
    <row r="330" spans="2:45" x14ac:dyDescent="0.35">
      <c r="B330" s="452" t="s">
        <v>1117</v>
      </c>
      <c r="C330" s="53"/>
      <c r="D330" s="13"/>
      <c r="E330" s="13"/>
      <c r="F330" s="13"/>
      <c r="G330" s="13"/>
      <c r="H330" s="550"/>
      <c r="I330" s="32" t="s">
        <v>1117</v>
      </c>
      <c r="J330" s="104"/>
      <c r="K330" s="104"/>
      <c r="L330" s="110" t="s">
        <v>1118</v>
      </c>
      <c r="M330" s="43"/>
      <c r="N330" s="4"/>
      <c r="O330" s="4"/>
      <c r="W330" t="s">
        <v>3882</v>
      </c>
      <c r="X330" s="688"/>
      <c r="AR330" t="str">
        <f>SUBSTITUTE(SUBSTITUTE(SUBSTITUTE("dnt"&amp;$B330&amp;$C330&amp;$D330&amp;$E330&amp;$F330,".","_"),"(","_"),")","")</f>
        <v>dnt703_5_1</v>
      </c>
      <c r="AS330">
        <f>X330</f>
        <v>0</v>
      </c>
    </row>
    <row r="331" spans="2:45" x14ac:dyDescent="0.35">
      <c r="B331" s="452" t="s">
        <v>1117</v>
      </c>
      <c r="C331" s="53"/>
      <c r="D331" s="13"/>
      <c r="E331" s="13"/>
      <c r="F331" s="13"/>
      <c r="G331" s="13"/>
      <c r="H331" s="550"/>
      <c r="I331" s="4"/>
      <c r="J331" s="104"/>
      <c r="K331" s="104"/>
      <c r="L331" s="105" t="s">
        <v>3901</v>
      </c>
      <c r="M331" s="43"/>
      <c r="N331" s="4"/>
      <c r="O331" s="4"/>
      <c r="P331" t="b">
        <v>1</v>
      </c>
      <c r="Q331" t="b">
        <v>1</v>
      </c>
      <c r="R331" t="b">
        <v>0</v>
      </c>
      <c r="S331" t="b">
        <f ca="1">AND(S13=2,LEN(W354)=0)</f>
        <v>1</v>
      </c>
      <c r="T331" t="b">
        <f ca="1">AND(NOT(S331),LEN(W331)&gt;0)</f>
        <v>0</v>
      </c>
      <c r="U331" t="str">
        <f>SUBSTITUTE(SUBSTITUTE(SUBSTITUTE("dd"&amp;B331&amp;C331&amp;D331&amp;E331&amp;F331,".","_"),"(","_"),")","")</f>
        <v>dd703_5_1</v>
      </c>
      <c r="W331" s="9"/>
      <c r="X331" s="688"/>
      <c r="AC331" t="b">
        <f ca="1">OR(AD331:AE331)</f>
        <v>0</v>
      </c>
      <c r="AD331" t="b">
        <f ca="1">T331</f>
        <v>0</v>
      </c>
      <c r="AE331" t="b">
        <f>AND(R331,OR(W331="Not Met",W331=""))</f>
        <v>0</v>
      </c>
      <c r="AP331" t="str">
        <f>SUBSTITUTE(SUBSTITUTE(SUBSTITUTE("dch"&amp;$B331&amp;$C331&amp;$D331&amp;$E331&amp;$F331,".","_"),"(","_"),")","")</f>
        <v>dch703_5_1</v>
      </c>
      <c r="AQ331">
        <f>W331</f>
        <v>0</v>
      </c>
    </row>
    <row r="332" spans="2:45" x14ac:dyDescent="0.35">
      <c r="B332" s="452" t="s">
        <v>1117</v>
      </c>
      <c r="C332" s="53"/>
      <c r="D332" s="13" t="s">
        <v>270</v>
      </c>
      <c r="E332" s="13"/>
      <c r="F332" s="13"/>
      <c r="G332" s="13"/>
      <c r="H332" s="550"/>
      <c r="I332" s="4"/>
      <c r="J332" s="175" t="s">
        <v>270</v>
      </c>
      <c r="K332" s="104"/>
      <c r="L332" s="104" t="s">
        <v>1119</v>
      </c>
      <c r="M332" s="43"/>
      <c r="N332" s="4"/>
      <c r="O332" s="85"/>
      <c r="W332" t="s">
        <v>3881</v>
      </c>
      <c r="X332" s="688"/>
    </row>
    <row r="333" spans="2:45" x14ac:dyDescent="0.35">
      <c r="B333" s="452" t="s">
        <v>1117</v>
      </c>
      <c r="C333" s="53"/>
      <c r="D333" s="13" t="s">
        <v>270</v>
      </c>
      <c r="E333" s="13" t="s">
        <v>121</v>
      </c>
      <c r="F333" s="13"/>
      <c r="G333" s="13"/>
      <c r="H333" s="550"/>
      <c r="I333" s="4"/>
      <c r="J333" s="175"/>
      <c r="K333" s="175" t="s">
        <v>121</v>
      </c>
      <c r="L333" s="104" t="s">
        <v>1119</v>
      </c>
      <c r="M333" s="43"/>
      <c r="N333" s="4"/>
      <c r="O333" s="85">
        <f ca="1">IFERROR(INDEX(M334:M335,MATCH(W333,{0.67,0.8},1)),0)*S334*S331</f>
        <v>0</v>
      </c>
      <c r="P333" t="b">
        <v>1</v>
      </c>
      <c r="Q333" t="b">
        <v>1</v>
      </c>
      <c r="R333" t="b">
        <v>0</v>
      </c>
      <c r="S333" t="b">
        <f ca="1">AND(S13=2,LEN(W354)=0)</f>
        <v>1</v>
      </c>
      <c r="T333" t="b">
        <f ca="1">AND(NOT(S333),LEN(W333)&gt;0)</f>
        <v>0</v>
      </c>
      <c r="W333" s="284"/>
      <c r="X333" s="688"/>
      <c r="AC333" t="b">
        <f ca="1">OR(AD333:AE333)</f>
        <v>0</v>
      </c>
      <c r="AD333" t="b">
        <f ca="1">T333</f>
        <v>0</v>
      </c>
      <c r="AE333" t="b">
        <f>AND(R333,OR(W333="Not Met",W333=""))</f>
        <v>0</v>
      </c>
      <c r="AN333" t="str">
        <f>SUBSTITUTE(SUBSTITUTE(SUBSTITUTE("dpc"&amp;$B333&amp;$C333&amp;$D333&amp;$E333&amp;$F333,".","_"),"(","_"),")","")</f>
        <v>dpc703_5_1_1_a</v>
      </c>
      <c r="AO333">
        <f ca="1">O333</f>
        <v>0</v>
      </c>
      <c r="AP333" t="str">
        <f>SUBSTITUTE(SUBSTITUTE(SUBSTITUTE("dch"&amp;$B333&amp;$C333&amp;$D333&amp;$E333&amp;$F333,".","_"),"(","_"),")","")</f>
        <v>dch703_5_1_1_a</v>
      </c>
      <c r="AQ333" s="314">
        <f>W333</f>
        <v>0</v>
      </c>
    </row>
    <row r="334" spans="2:45" x14ac:dyDescent="0.35">
      <c r="B334" s="452" t="s">
        <v>1117</v>
      </c>
      <c r="C334" s="53"/>
      <c r="D334" s="13" t="s">
        <v>270</v>
      </c>
      <c r="E334" s="13" t="s">
        <v>121</v>
      </c>
      <c r="F334" s="13" t="s">
        <v>121</v>
      </c>
      <c r="G334" s="13"/>
      <c r="H334" s="550"/>
      <c r="I334" s="4"/>
      <c r="J334" s="175"/>
      <c r="K334" s="175"/>
      <c r="L334" s="104" t="s">
        <v>3889</v>
      </c>
      <c r="M334" s="43">
        <f>IFERROR(INDEX({3,3,2,2,2,2,2,1},BF17),0)*IF(T309,2,1)</f>
        <v>2</v>
      </c>
      <c r="N334" s="4"/>
      <c r="O334" s="85"/>
      <c r="S334" s="1" t="b">
        <f ca="1">W331=INDEX(INDIRECT(U331),1)</f>
        <v>0</v>
      </c>
      <c r="X334" s="688"/>
      <c r="AL334" t="str">
        <f t="shared" ref="AL334:AL335" si="26">SUBSTITUTE(SUBSTITUTE(SUBSTITUTE("dpa"&amp;$B334&amp;$C334&amp;$D334&amp;$E334&amp;$F334,".","_"),"(","_"),")","")</f>
        <v>dpa703_5_1_1_a_a</v>
      </c>
      <c r="AM334">
        <f>M334</f>
        <v>2</v>
      </c>
    </row>
    <row r="335" spans="2:45" x14ac:dyDescent="0.35">
      <c r="B335" s="452" t="s">
        <v>1117</v>
      </c>
      <c r="C335" s="53"/>
      <c r="D335" s="13" t="s">
        <v>270</v>
      </c>
      <c r="E335" s="13" t="s">
        <v>121</v>
      </c>
      <c r="F335" s="13" t="s">
        <v>122</v>
      </c>
      <c r="G335" s="13"/>
      <c r="H335" s="550"/>
      <c r="I335" s="4"/>
      <c r="J335" s="175"/>
      <c r="K335" s="175"/>
      <c r="L335" s="104" t="s">
        <v>3890</v>
      </c>
      <c r="M335" s="43">
        <f>IFERROR(INDEX({4,4,3,3,3,3,3,2},BF17),0)*IF(T309,2,1)</f>
        <v>3</v>
      </c>
      <c r="N335" s="4"/>
      <c r="O335" s="85"/>
      <c r="X335" s="688"/>
      <c r="AL335" t="str">
        <f t="shared" si="26"/>
        <v>dpa703_5_1_1_a_b</v>
      </c>
      <c r="AM335">
        <f>M335</f>
        <v>3</v>
      </c>
    </row>
    <row r="336" spans="2:45" x14ac:dyDescent="0.35">
      <c r="B336" s="452" t="s">
        <v>1117</v>
      </c>
      <c r="C336" s="53"/>
      <c r="D336" s="13" t="s">
        <v>270</v>
      </c>
      <c r="E336" s="13" t="s">
        <v>122</v>
      </c>
      <c r="F336" s="13"/>
      <c r="G336" s="13"/>
      <c r="H336" s="550"/>
      <c r="I336" s="4"/>
      <c r="J336" s="104"/>
      <c r="K336" s="175" t="s">
        <v>122</v>
      </c>
      <c r="L336" s="723" t="s">
        <v>3886</v>
      </c>
      <c r="M336" s="43"/>
      <c r="N336" s="4"/>
      <c r="O336" s="696">
        <f ca="1">IFERROR(INDEX(M338:M339,MATCH(W333,{0.9,0.95},1)),0)*S336*S331</f>
        <v>0</v>
      </c>
      <c r="S336" s="1" t="b">
        <f ca="1">W331=INDEX(INDIRECT(U331),2)</f>
        <v>0</v>
      </c>
      <c r="X336" s="688"/>
      <c r="AN336" t="str">
        <f>SUBSTITUTE(SUBSTITUTE(SUBSTITUTE("dpc"&amp;$B336&amp;$C336&amp;$D336&amp;$E336&amp;$F336,".","_"),"(","_"),")","")</f>
        <v>dpc703_5_1_1_b</v>
      </c>
      <c r="AO336">
        <f ca="1">O336</f>
        <v>0</v>
      </c>
    </row>
    <row r="337" spans="2:45" x14ac:dyDescent="0.35">
      <c r="B337" s="452" t="s">
        <v>1117</v>
      </c>
      <c r="C337" s="53"/>
      <c r="D337" s="13" t="s">
        <v>270</v>
      </c>
      <c r="E337" s="13" t="s">
        <v>122</v>
      </c>
      <c r="F337" s="13"/>
      <c r="G337" s="13"/>
      <c r="H337" s="550"/>
      <c r="I337" s="4"/>
      <c r="J337" s="104"/>
      <c r="K337" s="175"/>
      <c r="L337" s="723"/>
      <c r="M337" s="43"/>
      <c r="N337" s="4"/>
      <c r="O337" s="696"/>
      <c r="X337" s="688"/>
    </row>
    <row r="338" spans="2:45" x14ac:dyDescent="0.35">
      <c r="B338" s="452" t="s">
        <v>1117</v>
      </c>
      <c r="C338" s="53"/>
      <c r="D338" s="13" t="s">
        <v>270</v>
      </c>
      <c r="E338" s="13" t="s">
        <v>122</v>
      </c>
      <c r="F338" s="13" t="s">
        <v>121</v>
      </c>
      <c r="G338" s="13"/>
      <c r="H338" s="550"/>
      <c r="I338" s="4"/>
      <c r="J338" s="104"/>
      <c r="K338" s="175"/>
      <c r="L338" s="104" t="s">
        <v>3891</v>
      </c>
      <c r="M338" s="43">
        <f>IFERROR(INDEX({6,6,5,3,3,3,3,2},BF17),0)</f>
        <v>3</v>
      </c>
      <c r="N338" s="4"/>
      <c r="O338" s="85"/>
      <c r="X338" s="688"/>
      <c r="AL338" t="str">
        <f t="shared" ref="AL338:AL339" si="27">SUBSTITUTE(SUBSTITUTE(SUBSTITUTE("dpa"&amp;$B338&amp;$C338&amp;$D338&amp;$E338&amp;$F338,".","_"),"(","_"),")","")</f>
        <v>dpa703_5_1_1_b_a</v>
      </c>
      <c r="AM338">
        <f>M338</f>
        <v>3</v>
      </c>
    </row>
    <row r="339" spans="2:45" x14ac:dyDescent="0.35">
      <c r="B339" s="452" t="s">
        <v>1117</v>
      </c>
      <c r="C339" s="53"/>
      <c r="D339" s="13" t="s">
        <v>270</v>
      </c>
      <c r="E339" s="13" t="s">
        <v>122</v>
      </c>
      <c r="F339" s="13" t="s">
        <v>122</v>
      </c>
      <c r="G339" s="13"/>
      <c r="H339" s="550"/>
      <c r="I339" s="4"/>
      <c r="J339" s="214"/>
      <c r="K339" s="359"/>
      <c r="L339" s="214" t="s">
        <v>3892</v>
      </c>
      <c r="M339" s="198">
        <f>IFERROR(INDEX({7,7,5,4,4,4,4,2},BF17),0)</f>
        <v>4</v>
      </c>
      <c r="N339" s="4"/>
      <c r="O339" s="85"/>
      <c r="X339" s="688"/>
      <c r="AL339" t="str">
        <f t="shared" si="27"/>
        <v>dpa703_5_1_1_b_b</v>
      </c>
      <c r="AM339">
        <f>M339</f>
        <v>4</v>
      </c>
    </row>
    <row r="340" spans="2:45" x14ac:dyDescent="0.35">
      <c r="B340" s="452" t="s">
        <v>1117</v>
      </c>
      <c r="C340" s="53"/>
      <c r="D340" s="13" t="s">
        <v>272</v>
      </c>
      <c r="E340" s="13"/>
      <c r="F340" s="13"/>
      <c r="G340" s="13"/>
      <c r="H340" s="550"/>
      <c r="I340" s="4"/>
      <c r="J340" s="175" t="s">
        <v>272</v>
      </c>
      <c r="K340" s="104"/>
      <c r="L340" s="104" t="s">
        <v>1120</v>
      </c>
      <c r="M340" s="43"/>
      <c r="N340" s="4"/>
      <c r="O340" s="85"/>
      <c r="X340" s="688"/>
    </row>
    <row r="341" spans="2:45" x14ac:dyDescent="0.35">
      <c r="B341" s="452" t="s">
        <v>1117</v>
      </c>
      <c r="C341" s="53"/>
      <c r="D341" s="13" t="s">
        <v>272</v>
      </c>
      <c r="E341" s="13" t="s">
        <v>121</v>
      </c>
      <c r="F341" s="13"/>
      <c r="G341" s="13"/>
      <c r="H341" s="550"/>
      <c r="I341" s="4"/>
      <c r="J341" s="175"/>
      <c r="K341" s="175" t="s">
        <v>121</v>
      </c>
      <c r="L341" s="104" t="s">
        <v>3884</v>
      </c>
      <c r="M341" s="43">
        <v>1</v>
      </c>
      <c r="N341" s="4"/>
      <c r="O341" s="85">
        <f ca="1">M341*AND(S341,W333&gt;=0.95)*S331</f>
        <v>0</v>
      </c>
      <c r="S341" s="1" t="b">
        <f ca="1">W331=INDEX(INDIRECT(U331),3)</f>
        <v>0</v>
      </c>
      <c r="X341" s="688"/>
      <c r="AL341" t="str">
        <f t="shared" ref="AL341:AL343" si="28">SUBSTITUTE(SUBSTITUTE(SUBSTITUTE("dpa"&amp;$B341&amp;$C341&amp;$D341&amp;$E341&amp;$F341,".","_"),"(","_"),")","")</f>
        <v>dpa703_5_1_2_a</v>
      </c>
      <c r="AM341">
        <f>M341</f>
        <v>1</v>
      </c>
      <c r="AN341" t="str">
        <f t="shared" ref="AN341:AN344" si="29">SUBSTITUTE(SUBSTITUTE(SUBSTITUTE("dpc"&amp;$B341&amp;$C341&amp;$D341&amp;$E341&amp;$F341,".","_"),"(","_"),")","")</f>
        <v>dpc703_5_1_2_a</v>
      </c>
      <c r="AO341">
        <f ca="1">O341</f>
        <v>0</v>
      </c>
    </row>
    <row r="342" spans="2:45" x14ac:dyDescent="0.35">
      <c r="B342" s="452" t="s">
        <v>1117</v>
      </c>
      <c r="C342" s="53"/>
      <c r="D342" s="13" t="s">
        <v>272</v>
      </c>
      <c r="E342" s="13" t="s">
        <v>122</v>
      </c>
      <c r="F342" s="13"/>
      <c r="G342" s="13"/>
      <c r="H342" s="550"/>
      <c r="I342" s="4"/>
      <c r="J342" s="214"/>
      <c r="K342" s="359" t="s">
        <v>122</v>
      </c>
      <c r="L342" s="214" t="s">
        <v>3885</v>
      </c>
      <c r="M342" s="198">
        <v>2</v>
      </c>
      <c r="N342" s="155"/>
      <c r="O342" s="342">
        <f ca="1">M342*AND(S342,W333&gt;=0.97)*S331</f>
        <v>0</v>
      </c>
      <c r="S342" s="1" t="b">
        <f ca="1">W331=INDEX(INDIRECT(U331),4)</f>
        <v>0</v>
      </c>
      <c r="X342" s="688"/>
      <c r="AL342" t="str">
        <f t="shared" si="28"/>
        <v>dpa703_5_1_2_b</v>
      </c>
      <c r="AM342">
        <f>M342</f>
        <v>2</v>
      </c>
      <c r="AN342" t="str">
        <f t="shared" si="29"/>
        <v>dpc703_5_1_2_b</v>
      </c>
      <c r="AO342">
        <f ca="1">O342</f>
        <v>0</v>
      </c>
    </row>
    <row r="343" spans="2:45" x14ac:dyDescent="0.35">
      <c r="B343" s="452" t="s">
        <v>1117</v>
      </c>
      <c r="C343" s="53"/>
      <c r="D343" s="13" t="s">
        <v>274</v>
      </c>
      <c r="E343" s="13"/>
      <c r="F343" s="13"/>
      <c r="G343" s="13"/>
      <c r="H343" s="550"/>
      <c r="I343" s="4"/>
      <c r="J343" s="379" t="s">
        <v>274</v>
      </c>
      <c r="K343" s="220"/>
      <c r="L343" s="220" t="s">
        <v>3883</v>
      </c>
      <c r="M343" s="153">
        <v>1</v>
      </c>
      <c r="N343" s="187"/>
      <c r="O343" s="313">
        <f ca="1">M343*AND(S343,W333&gt;=0.59)*S331</f>
        <v>0</v>
      </c>
      <c r="S343" s="1" t="b">
        <f ca="1">W331=INDEX(INDIRECT(U331),5)</f>
        <v>0</v>
      </c>
      <c r="X343" s="688"/>
      <c r="AL343" t="str">
        <f t="shared" si="28"/>
        <v>dpa703_5_1_3</v>
      </c>
      <c r="AM343">
        <f>M343</f>
        <v>1</v>
      </c>
      <c r="AN343" t="str">
        <f t="shared" si="29"/>
        <v>dpc703_5_1_3</v>
      </c>
      <c r="AO343">
        <f ca="1">O343</f>
        <v>0</v>
      </c>
    </row>
    <row r="344" spans="2:45" x14ac:dyDescent="0.35">
      <c r="B344" s="452" t="s">
        <v>1117</v>
      </c>
      <c r="C344" s="53"/>
      <c r="D344" s="13" t="s">
        <v>283</v>
      </c>
      <c r="E344" s="13"/>
      <c r="F344" s="13"/>
      <c r="G344" s="13"/>
      <c r="H344" s="550"/>
      <c r="I344" s="4"/>
      <c r="J344" s="175" t="s">
        <v>283</v>
      </c>
      <c r="K344" s="104"/>
      <c r="L344" s="104" t="s">
        <v>1121</v>
      </c>
      <c r="M344" s="43"/>
      <c r="N344" s="4"/>
      <c r="O344" s="85">
        <f ca="1">IFERROR(INDEX(M345:M347,MATCH(W333,{1.5,2,2.2},1)),0)*S344*S331</f>
        <v>0</v>
      </c>
      <c r="S344" s="1" t="b">
        <f ca="1">W331=INDEX(INDIRECT(U331),6)</f>
        <v>0</v>
      </c>
      <c r="X344" s="688"/>
      <c r="AN344" t="str">
        <f t="shared" si="29"/>
        <v>dpc703_5_1_4</v>
      </c>
      <c r="AO344">
        <f ca="1">O344</f>
        <v>0</v>
      </c>
    </row>
    <row r="345" spans="2:45" x14ac:dyDescent="0.35">
      <c r="B345" s="452" t="s">
        <v>1117</v>
      </c>
      <c r="C345" s="53"/>
      <c r="D345" s="13" t="s">
        <v>283</v>
      </c>
      <c r="E345" s="13" t="s">
        <v>121</v>
      </c>
      <c r="F345" s="13"/>
      <c r="G345" s="13"/>
      <c r="H345" s="550"/>
      <c r="I345" s="4"/>
      <c r="J345" s="175"/>
      <c r="K345" s="104"/>
      <c r="L345" s="104" t="s">
        <v>3893</v>
      </c>
      <c r="M345" s="43">
        <f>IFERROR(INDEX({8,5,4,3,2,2,1,1},BF17),0)</f>
        <v>3</v>
      </c>
      <c r="N345" s="4"/>
      <c r="O345" s="85"/>
      <c r="X345" s="688"/>
      <c r="AL345" t="str">
        <f t="shared" ref="AL345:AL348" si="30">SUBSTITUTE(SUBSTITUTE(SUBSTITUTE("dpa"&amp;$B345&amp;$C345&amp;$D345&amp;$E345&amp;$F345,".","_"),"(","_"),")","")</f>
        <v>dpa703_5_1_4_a</v>
      </c>
      <c r="AM345">
        <f>M345</f>
        <v>3</v>
      </c>
    </row>
    <row r="346" spans="2:45" x14ac:dyDescent="0.35">
      <c r="B346" s="452" t="s">
        <v>1117</v>
      </c>
      <c r="C346" s="53"/>
      <c r="D346" s="13" t="s">
        <v>283</v>
      </c>
      <c r="E346" s="13" t="s">
        <v>122</v>
      </c>
      <c r="F346" s="13"/>
      <c r="G346" s="13"/>
      <c r="H346" s="550"/>
      <c r="I346" s="4"/>
      <c r="J346" s="175"/>
      <c r="K346" s="104"/>
      <c r="L346" s="104" t="s">
        <v>3894</v>
      </c>
      <c r="M346" s="43">
        <f>IFERROR(INDEX({16,9,8,6,5,4,2,2},BF17),0)</f>
        <v>6</v>
      </c>
      <c r="N346" s="4"/>
      <c r="O346" s="85"/>
      <c r="X346" s="688"/>
      <c r="AL346" t="str">
        <f t="shared" si="30"/>
        <v>dpa703_5_1_4_b</v>
      </c>
      <c r="AM346">
        <f>M346</f>
        <v>6</v>
      </c>
    </row>
    <row r="347" spans="2:45" x14ac:dyDescent="0.35">
      <c r="B347" s="452" t="s">
        <v>1117</v>
      </c>
      <c r="C347" s="53"/>
      <c r="D347" s="13" t="s">
        <v>283</v>
      </c>
      <c r="E347" s="13" t="s">
        <v>123</v>
      </c>
      <c r="F347" s="13"/>
      <c r="G347" s="13"/>
      <c r="H347" s="550"/>
      <c r="I347" s="155"/>
      <c r="J347" s="214"/>
      <c r="K347" s="214"/>
      <c r="L347" s="214" t="s">
        <v>3895</v>
      </c>
      <c r="M347" s="198">
        <f>IFERROR(INDEX({19,10,9,7,6,5,3,3},BF17),0)</f>
        <v>7</v>
      </c>
      <c r="N347" s="4"/>
      <c r="O347" s="85"/>
      <c r="X347" s="688"/>
      <c r="AL347" t="str">
        <f t="shared" si="30"/>
        <v>dpa703_5_1_4_c</v>
      </c>
      <c r="AM347">
        <f>M347</f>
        <v>7</v>
      </c>
    </row>
    <row r="348" spans="2:45" x14ac:dyDescent="0.35">
      <c r="B348" s="452" t="s">
        <v>1122</v>
      </c>
      <c r="C348" s="53"/>
      <c r="D348" s="13"/>
      <c r="E348" s="13"/>
      <c r="F348" s="13"/>
      <c r="G348" s="13"/>
      <c r="H348" s="550"/>
      <c r="I348" s="34" t="s">
        <v>1122</v>
      </c>
      <c r="J348" s="104"/>
      <c r="K348" s="104"/>
      <c r="L348" s="783" t="s">
        <v>1123</v>
      </c>
      <c r="M348" s="719">
        <f>IFERROR(INDEX({23,17,9,7,5,4,2,2},BF17),0)</f>
        <v>7</v>
      </c>
      <c r="N348" s="4"/>
      <c r="O348" s="696">
        <f ca="1">M348*S348*W348</f>
        <v>0</v>
      </c>
      <c r="P348" t="b">
        <v>1</v>
      </c>
      <c r="Q348" t="b">
        <v>1</v>
      </c>
      <c r="R348" t="b">
        <v>0</v>
      </c>
      <c r="S348" t="b">
        <f ca="1">(S13=2)</f>
        <v>1</v>
      </c>
      <c r="T348" t="b">
        <f ca="1">AND(NOT(S348),W348=TRUE)</f>
        <v>0</v>
      </c>
      <c r="W348" s="17"/>
      <c r="X348" s="688"/>
      <c r="AC348" t="b">
        <f ca="1">OR(AD348:AE348)</f>
        <v>0</v>
      </c>
      <c r="AD348" t="b">
        <f ca="1">T348</f>
        <v>0</v>
      </c>
      <c r="AE348" t="b">
        <f>AND(R348,NOT(W348))</f>
        <v>0</v>
      </c>
      <c r="AL348" t="str">
        <f t="shared" si="30"/>
        <v>dpa703_5_2</v>
      </c>
      <c r="AM348">
        <f>M348</f>
        <v>7</v>
      </c>
      <c r="AN348" t="str">
        <f>SUBSTITUTE(SUBSTITUTE(SUBSTITUTE("dpc"&amp;$B348&amp;$C348&amp;$D348&amp;$E348&amp;$F348,".","_"),"(","_"),")","")</f>
        <v>dpc703_5_2</v>
      </c>
      <c r="AO348">
        <f ca="1">O348</f>
        <v>0</v>
      </c>
      <c r="AP348" t="str">
        <f>SUBSTITUTE(SUBSTITUTE(SUBSTITUTE("dch"&amp;$B348&amp;$C348&amp;$D348&amp;$E348&amp;$F348,".","_"),"(","_"),")","")</f>
        <v>dch703_5_2</v>
      </c>
      <c r="AQ348">
        <f>W348</f>
        <v>0</v>
      </c>
      <c r="AR348" t="str">
        <f>SUBSTITUTE(SUBSTITUTE(SUBSTITUTE("dnt"&amp;$B348&amp;$C348&amp;$D348&amp;$E348&amp;$F348,".","_"),"(","_"),")","")</f>
        <v>dnt703_5_2</v>
      </c>
      <c r="AS348">
        <f>X348</f>
        <v>0</v>
      </c>
    </row>
    <row r="349" spans="2:45" x14ac:dyDescent="0.35">
      <c r="B349" s="452" t="s">
        <v>1122</v>
      </c>
      <c r="C349" s="53"/>
      <c r="D349" s="13"/>
      <c r="E349" s="13"/>
      <c r="F349" s="13"/>
      <c r="G349" s="13"/>
      <c r="H349" s="550"/>
      <c r="I349" s="363"/>
      <c r="J349" s="214"/>
      <c r="K349" s="214"/>
      <c r="L349" s="785"/>
      <c r="M349" s="720"/>
      <c r="N349" s="155"/>
      <c r="O349" s="697"/>
      <c r="P349" s="119"/>
      <c r="Q349" s="119"/>
      <c r="R349" s="119"/>
      <c r="S349" s="119"/>
      <c r="T349" s="119"/>
      <c r="U349" s="119"/>
      <c r="V349" s="119"/>
      <c r="W349" s="368"/>
      <c r="X349" s="688"/>
    </row>
    <row r="350" spans="2:45" x14ac:dyDescent="0.35">
      <c r="B350" s="452" t="s">
        <v>1124</v>
      </c>
      <c r="C350" s="53"/>
      <c r="D350" s="13"/>
      <c r="E350" s="13"/>
      <c r="F350" s="13"/>
      <c r="G350" s="13"/>
      <c r="H350" s="550"/>
      <c r="I350" s="34" t="s">
        <v>1124</v>
      </c>
      <c r="J350" s="104"/>
      <c r="K350" s="104"/>
      <c r="L350" s="110" t="s">
        <v>1125</v>
      </c>
      <c r="M350" s="311">
        <v>2</v>
      </c>
      <c r="N350" s="4"/>
      <c r="O350" s="85">
        <f ca="1">M350*S350*W350</f>
        <v>0</v>
      </c>
      <c r="P350" t="b">
        <v>1</v>
      </c>
      <c r="Q350" t="b">
        <v>1</v>
      </c>
      <c r="R350" t="b">
        <v>0</v>
      </c>
      <c r="S350" t="b">
        <f ca="1">(S13=2)</f>
        <v>1</v>
      </c>
      <c r="T350" t="b">
        <f ca="1">AND(NOT(S350),W350=TRUE)</f>
        <v>0</v>
      </c>
      <c r="W350" s="77"/>
      <c r="X350" s="688"/>
      <c r="AC350" t="b">
        <f ca="1">OR(AD350:AE350)</f>
        <v>0</v>
      </c>
      <c r="AD350" t="b">
        <f ca="1">T350</f>
        <v>0</v>
      </c>
      <c r="AE350" t="b">
        <f>AND(R350,NOT(W350))</f>
        <v>0</v>
      </c>
      <c r="AL350" t="str">
        <f>SUBSTITUTE(SUBSTITUTE(SUBSTITUTE("dpa"&amp;$B350&amp;$C350&amp;$D350&amp;$E350&amp;$F350,".","_"),"(","_"),")","")</f>
        <v>dpa703_5_3</v>
      </c>
      <c r="AM350">
        <f>M350</f>
        <v>2</v>
      </c>
      <c r="AN350" t="str">
        <f>SUBSTITUTE(SUBSTITUTE(SUBSTITUTE("dpc"&amp;$B350&amp;$C350&amp;$D350&amp;$E350&amp;$F350,".","_"),"(","_"),")","")</f>
        <v>dpc703_5_3</v>
      </c>
      <c r="AO350">
        <f ca="1">O350</f>
        <v>0</v>
      </c>
      <c r="AP350" t="str">
        <f>SUBSTITUTE(SUBSTITUTE(SUBSTITUTE("dch"&amp;$B350&amp;$C350&amp;$D350&amp;$E350&amp;$F350,".","_"),"(","_"),")","")</f>
        <v>dch703_5_3</v>
      </c>
      <c r="AQ350">
        <f>W350</f>
        <v>0</v>
      </c>
      <c r="AR350" t="str">
        <f>SUBSTITUTE(SUBSTITUTE(SUBSTITUTE("dnt"&amp;$B350&amp;$C350&amp;$D350&amp;$E350&amp;$F350,".","_"),"(","_"),")","")</f>
        <v>dnt703_5_3</v>
      </c>
      <c r="AS350">
        <f>X350</f>
        <v>0</v>
      </c>
    </row>
    <row r="351" spans="2:45" ht="15" customHeight="1" x14ac:dyDescent="0.35">
      <c r="B351" s="452" t="s">
        <v>1124</v>
      </c>
      <c r="C351" s="53"/>
      <c r="D351" s="13"/>
      <c r="E351" s="13"/>
      <c r="F351" s="13"/>
      <c r="G351" s="13"/>
      <c r="H351" s="550"/>
      <c r="I351" s="119"/>
      <c r="J351" s="214"/>
      <c r="K351" s="214"/>
      <c r="L351" s="165" t="s">
        <v>1098</v>
      </c>
      <c r="M351" s="198"/>
      <c r="N351" s="155"/>
      <c r="O351" s="342"/>
      <c r="X351" s="688"/>
    </row>
    <row r="352" spans="2:45" ht="15" customHeight="1" x14ac:dyDescent="0.35">
      <c r="B352" s="452" t="s">
        <v>3880</v>
      </c>
      <c r="C352" s="53"/>
      <c r="D352" s="13"/>
      <c r="E352" s="13"/>
      <c r="F352" s="13"/>
      <c r="G352" s="13"/>
      <c r="H352" s="550"/>
      <c r="I352" s="363" t="s">
        <v>3880</v>
      </c>
      <c r="J352" s="214"/>
      <c r="K352" s="214"/>
      <c r="L352" s="361" t="s">
        <v>1126</v>
      </c>
      <c r="M352" s="371">
        <v>1</v>
      </c>
      <c r="N352" s="155"/>
      <c r="O352" s="342">
        <f ca="1">M352*S352*W352</f>
        <v>0</v>
      </c>
      <c r="P352" t="b">
        <v>1</v>
      </c>
      <c r="Q352" t="b">
        <v>1</v>
      </c>
      <c r="R352" s="119" t="b">
        <v>0</v>
      </c>
      <c r="S352" s="119" t="b">
        <f ca="1">AND(S13=2,OR(AY33=INDEX(ddHeat1,2),AY34=INDEX(ddHeat2,2),AY35=INDEX(ddHeat3,2)))</f>
        <v>0</v>
      </c>
      <c r="T352" s="119" t="b">
        <f ca="1">AND(NOT(S352),W352=TRUE)</f>
        <v>0</v>
      </c>
      <c r="U352" s="119"/>
      <c r="V352" s="119"/>
      <c r="W352" s="17"/>
      <c r="X352" s="39"/>
      <c r="AC352" t="b">
        <f ca="1">OR(AD352:AE352)</f>
        <v>0</v>
      </c>
      <c r="AD352" t="b">
        <f ca="1">T352</f>
        <v>0</v>
      </c>
      <c r="AE352" t="b">
        <f>AND(R352,NOT(W352))</f>
        <v>0</v>
      </c>
      <c r="AL352" t="str">
        <f>SUBSTITUTE(SUBSTITUTE(SUBSTITUTE("dpa"&amp;$B352&amp;$C352&amp;$D352&amp;$E352&amp;$F352,".","_"),"(","_"),")","")</f>
        <v>dpa703_5_4</v>
      </c>
      <c r="AM352">
        <f>M352</f>
        <v>1</v>
      </c>
      <c r="AN352" t="str">
        <f t="shared" ref="AN352:AN353" si="31">SUBSTITUTE(SUBSTITUTE(SUBSTITUTE("dpc"&amp;$B352&amp;$C352&amp;$D352&amp;$E352&amp;$F352,".","_"),"(","_"),")","")</f>
        <v>dpc703_5_4</v>
      </c>
      <c r="AO352">
        <f ca="1">O352</f>
        <v>0</v>
      </c>
      <c r="AP352" t="str">
        <f>SUBSTITUTE(SUBSTITUTE(SUBSTITUTE("dch"&amp;$B352&amp;$C352&amp;$D352&amp;$E352&amp;$F352,".","_"),"(","_"),")","")</f>
        <v>dch703_5_4</v>
      </c>
      <c r="AQ352">
        <f>W352</f>
        <v>0</v>
      </c>
      <c r="AR352" t="str">
        <f t="shared" ref="AR352:AR353" si="32">SUBSTITUTE(SUBSTITUTE(SUBSTITUTE("dnt"&amp;$B352&amp;$C352&amp;$D352&amp;$E352&amp;$F352,".","_"),"(","_"),")","")</f>
        <v>dnt703_5_4</v>
      </c>
      <c r="AS352">
        <f>X352</f>
        <v>0</v>
      </c>
    </row>
    <row r="353" spans="2:45" x14ac:dyDescent="0.35">
      <c r="B353" s="452" t="s">
        <v>1127</v>
      </c>
      <c r="C353" s="53"/>
      <c r="D353" s="13"/>
      <c r="E353" s="13"/>
      <c r="F353" s="13"/>
      <c r="G353" s="13"/>
      <c r="H353" s="550"/>
      <c r="I353" s="362" t="s">
        <v>1127</v>
      </c>
      <c r="J353" s="320"/>
      <c r="K353" s="320"/>
      <c r="L353" s="753" t="s">
        <v>4100</v>
      </c>
      <c r="M353" s="317"/>
      <c r="N353" s="136"/>
      <c r="O353" s="713">
        <f ca="1">IFERROR(INDEX(M356:M360,MATCH(W354,{1.3,1.51,1.81,2.31,3.01},1)),0)*S354</f>
        <v>0</v>
      </c>
      <c r="P353" s="138"/>
      <c r="Q353" s="138"/>
      <c r="R353" s="138"/>
      <c r="S353" s="138"/>
      <c r="T353" s="138"/>
      <c r="U353" s="138"/>
      <c r="V353" s="138"/>
      <c r="W353" s="138" t="s">
        <v>3879</v>
      </c>
      <c r="X353" s="688"/>
      <c r="AN353" t="str">
        <f t="shared" si="31"/>
        <v>dpc703_5_5</v>
      </c>
      <c r="AO353">
        <f ca="1">O353</f>
        <v>0</v>
      </c>
      <c r="AR353" t="str">
        <f t="shared" si="32"/>
        <v>dnt703_5_5</v>
      </c>
      <c r="AS353">
        <f>X353</f>
        <v>0</v>
      </c>
    </row>
    <row r="354" spans="2:45" x14ac:dyDescent="0.35">
      <c r="B354" s="452" t="s">
        <v>1127</v>
      </c>
      <c r="C354" s="53"/>
      <c r="D354" s="13"/>
      <c r="E354" s="13"/>
      <c r="F354" s="13"/>
      <c r="G354" s="13"/>
      <c r="H354" s="550"/>
      <c r="I354" s="4"/>
      <c r="J354" s="104"/>
      <c r="K354" s="104"/>
      <c r="L354" s="706"/>
      <c r="M354" s="43"/>
      <c r="N354" s="4"/>
      <c r="O354" s="696"/>
      <c r="P354" t="b">
        <v>1</v>
      </c>
      <c r="Q354" t="b">
        <v>1</v>
      </c>
      <c r="R354" t="b">
        <v>0</v>
      </c>
      <c r="S354" t="b">
        <f ca="1">AND(S13=2,LEN(W331)=0,LEN(W333)=0)</f>
        <v>1</v>
      </c>
      <c r="T354" t="b">
        <f ca="1">AND(NOT(S354),LEN(W354)&gt;0)</f>
        <v>0</v>
      </c>
      <c r="W354" s="284"/>
      <c r="X354" s="688"/>
      <c r="AC354" t="b">
        <f ca="1">OR(AD354:AE354)</f>
        <v>0</v>
      </c>
      <c r="AD354" t="b">
        <f ca="1">T354</f>
        <v>0</v>
      </c>
      <c r="AE354" t="b">
        <f>AND(R354,OR(W354="Not Met",W354=""))</f>
        <v>0</v>
      </c>
      <c r="AP354" t="str">
        <f>SUBSTITUTE(SUBSTITUTE(SUBSTITUTE("dch"&amp;$B354&amp;$C354&amp;$D354&amp;$E354&amp;$F354,".","_"),"(","_"),")","")</f>
        <v>dch703_5_5</v>
      </c>
      <c r="AQ354" s="314">
        <f>W354</f>
        <v>0</v>
      </c>
    </row>
    <row r="355" spans="2:45" x14ac:dyDescent="0.35">
      <c r="B355" s="452" t="s">
        <v>1127</v>
      </c>
      <c r="C355" s="53"/>
      <c r="D355" s="13"/>
      <c r="E355" s="13"/>
      <c r="F355" s="13"/>
      <c r="G355" s="13"/>
      <c r="H355" s="550"/>
      <c r="I355" s="4"/>
      <c r="J355" s="104"/>
      <c r="K355" s="104"/>
      <c r="L355" s="706"/>
      <c r="M355" s="43"/>
      <c r="N355" s="4"/>
      <c r="O355" s="696"/>
      <c r="X355" s="688"/>
    </row>
    <row r="356" spans="2:45" x14ac:dyDescent="0.35">
      <c r="B356" s="452" t="s">
        <v>1127</v>
      </c>
      <c r="C356" s="53"/>
      <c r="D356" s="13" t="s">
        <v>270</v>
      </c>
      <c r="E356" s="13"/>
      <c r="F356" s="13"/>
      <c r="G356" s="13"/>
      <c r="H356" s="550"/>
      <c r="I356" s="4"/>
      <c r="K356" s="104"/>
      <c r="L356" s="381" t="s">
        <v>3896</v>
      </c>
      <c r="M356" s="371">
        <f>IFERROR(INDEX({1,2,3,5,7,8,7,7},BF17),0)</f>
        <v>5</v>
      </c>
      <c r="N356" s="4"/>
      <c r="O356" s="85"/>
      <c r="X356" s="688"/>
      <c r="AL356" t="str">
        <f t="shared" ref="AL356:AL360" si="33">SUBSTITUTE(SUBSTITUTE(SUBSTITUTE("dpa"&amp;$B356&amp;$C356&amp;$D356&amp;$E356&amp;$F356,".","_"),"(","_"),")","")</f>
        <v>dpa703_5_5_1</v>
      </c>
      <c r="AM356">
        <f t="shared" ref="AM356:AM360" si="34">M356</f>
        <v>5</v>
      </c>
    </row>
    <row r="357" spans="2:45" x14ac:dyDescent="0.35">
      <c r="B357" s="452" t="s">
        <v>1127</v>
      </c>
      <c r="C357" s="53"/>
      <c r="D357" s="13" t="s">
        <v>272</v>
      </c>
      <c r="E357" s="13"/>
      <c r="F357" s="13"/>
      <c r="G357" s="13"/>
      <c r="H357" s="550"/>
      <c r="I357" s="4"/>
      <c r="K357" s="104"/>
      <c r="L357" s="382" t="s">
        <v>3897</v>
      </c>
      <c r="M357" s="383">
        <f>IFERROR(INDEX({2,2,4,7,10,11,11,11},BF17),0)</f>
        <v>7</v>
      </c>
      <c r="N357" s="4"/>
      <c r="O357" s="85"/>
      <c r="X357" s="688"/>
      <c r="AL357" t="str">
        <f t="shared" si="33"/>
        <v>dpa703_5_5_2</v>
      </c>
      <c r="AM357">
        <f t="shared" si="34"/>
        <v>7</v>
      </c>
    </row>
    <row r="358" spans="2:45" x14ac:dyDescent="0.35">
      <c r="B358" s="452" t="s">
        <v>1127</v>
      </c>
      <c r="C358" s="53"/>
      <c r="D358" s="13" t="s">
        <v>274</v>
      </c>
      <c r="E358" s="13"/>
      <c r="F358" s="13"/>
      <c r="G358" s="13"/>
      <c r="H358" s="550"/>
      <c r="I358" s="4"/>
      <c r="K358" s="104"/>
      <c r="L358" s="382" t="s">
        <v>3898</v>
      </c>
      <c r="M358" s="383">
        <f>IFERROR(INDEX({2,3,6,10,14,16,15,15},BF17),0)</f>
        <v>10</v>
      </c>
      <c r="N358" s="4"/>
      <c r="O358" s="85"/>
      <c r="X358" s="688"/>
      <c r="AL358" t="str">
        <f t="shared" si="33"/>
        <v>dpa703_5_5_3</v>
      </c>
      <c r="AM358">
        <f t="shared" si="34"/>
        <v>10</v>
      </c>
    </row>
    <row r="359" spans="2:45" x14ac:dyDescent="0.35">
      <c r="B359" s="452" t="s">
        <v>1127</v>
      </c>
      <c r="C359" s="53"/>
      <c r="D359" s="13" t="s">
        <v>283</v>
      </c>
      <c r="E359" s="13"/>
      <c r="F359" s="13"/>
      <c r="G359" s="13"/>
      <c r="H359" s="550"/>
      <c r="I359" s="4"/>
      <c r="K359" s="104"/>
      <c r="L359" s="382" t="s">
        <v>3899</v>
      </c>
      <c r="M359" s="383">
        <f>IFERROR(INDEX({4,5,9,16,21,23,22,22},BF17),0)</f>
        <v>16</v>
      </c>
      <c r="N359" s="4"/>
      <c r="O359" s="85"/>
      <c r="X359" s="688"/>
      <c r="AL359" t="str">
        <f t="shared" si="33"/>
        <v>dpa703_5_5_4</v>
      </c>
      <c r="AM359">
        <f t="shared" si="34"/>
        <v>16</v>
      </c>
    </row>
    <row r="360" spans="2:45" ht="15" thickBot="1" x14ac:dyDescent="0.4">
      <c r="B360" s="452" t="s">
        <v>1127</v>
      </c>
      <c r="C360" s="53"/>
      <c r="D360" s="13" t="s">
        <v>289</v>
      </c>
      <c r="E360" s="13"/>
      <c r="F360" s="13"/>
      <c r="G360" s="13"/>
      <c r="H360" s="550"/>
      <c r="I360" s="183"/>
      <c r="J360" s="58"/>
      <c r="K360" s="223"/>
      <c r="L360" s="372" t="s">
        <v>3900</v>
      </c>
      <c r="M360" s="337">
        <f>IFERROR(INDEX({6,8,12,23,30,34,33,33},BF17),0)</f>
        <v>23</v>
      </c>
      <c r="N360" s="183"/>
      <c r="O360" s="184"/>
      <c r="P360" s="58"/>
      <c r="Q360" s="58"/>
      <c r="R360" s="58"/>
      <c r="S360" s="58"/>
      <c r="T360" s="58"/>
      <c r="U360" s="58"/>
      <c r="V360" s="58"/>
      <c r="W360" s="58"/>
      <c r="X360" s="689"/>
      <c r="AL360" t="str">
        <f t="shared" si="33"/>
        <v>dpa703_5_5_5</v>
      </c>
      <c r="AM360">
        <f t="shared" si="34"/>
        <v>23</v>
      </c>
    </row>
    <row r="361" spans="2:45" ht="15" thickTop="1" x14ac:dyDescent="0.35">
      <c r="B361" s="452">
        <v>703.6</v>
      </c>
      <c r="C361" s="53"/>
      <c r="D361" s="13"/>
      <c r="E361" s="13"/>
      <c r="F361" s="13"/>
      <c r="G361" s="13"/>
      <c r="H361" s="550"/>
      <c r="I361" s="32">
        <v>703.6</v>
      </c>
      <c r="J361" s="104"/>
      <c r="K361" s="104"/>
      <c r="L361" s="110" t="s">
        <v>1128</v>
      </c>
      <c r="M361" s="43"/>
      <c r="N361" s="4"/>
      <c r="O361" s="85"/>
    </row>
    <row r="362" spans="2:45" x14ac:dyDescent="0.35">
      <c r="B362" s="452" t="s">
        <v>1129</v>
      </c>
      <c r="C362" s="53"/>
      <c r="D362" s="13"/>
      <c r="E362" s="13"/>
      <c r="F362" s="13"/>
      <c r="G362" s="13"/>
      <c r="H362" s="550"/>
      <c r="I362" s="32" t="s">
        <v>1129</v>
      </c>
      <c r="J362" s="104"/>
      <c r="K362" s="104"/>
      <c r="L362" s="783" t="s">
        <v>1130</v>
      </c>
      <c r="M362" s="43"/>
      <c r="N362" s="4"/>
      <c r="O362" s="85"/>
    </row>
    <row r="363" spans="2:45" x14ac:dyDescent="0.35">
      <c r="B363" s="452" t="s">
        <v>1129</v>
      </c>
      <c r="C363" s="53"/>
      <c r="D363" s="13"/>
      <c r="E363" s="13"/>
      <c r="F363" s="13"/>
      <c r="G363" s="13"/>
      <c r="H363" s="550"/>
      <c r="I363" s="32"/>
      <c r="J363" s="104"/>
      <c r="K363" s="104"/>
      <c r="L363" s="783"/>
      <c r="M363" s="43"/>
      <c r="N363" s="4"/>
      <c r="O363" s="85"/>
    </row>
    <row r="364" spans="2:45" x14ac:dyDescent="0.35">
      <c r="B364" s="452" t="s">
        <v>1129</v>
      </c>
      <c r="C364" s="53"/>
      <c r="D364" s="13" t="s">
        <v>270</v>
      </c>
      <c r="E364" s="13"/>
      <c r="F364" s="13"/>
      <c r="G364" s="13"/>
      <c r="H364" s="550"/>
      <c r="I364" s="4"/>
      <c r="J364" s="175" t="s">
        <v>270</v>
      </c>
      <c r="K364" s="104"/>
      <c r="L364" s="747" t="s">
        <v>3877</v>
      </c>
      <c r="M364" s="690">
        <f>IFERROR(INDEX({3,3,3,2,2,2,2,2},BF17),0)</f>
        <v>2</v>
      </c>
      <c r="N364" s="4"/>
      <c r="O364" s="696">
        <f ca="1">M364*S364*W364</f>
        <v>0</v>
      </c>
      <c r="P364" t="b">
        <v>0</v>
      </c>
      <c r="Q364" t="b">
        <v>1</v>
      </c>
      <c r="R364" t="b">
        <v>0</v>
      </c>
      <c r="S364" t="b">
        <f ca="1">AND(S13=2,NOT(W368),NOT(W366))</f>
        <v>1</v>
      </c>
      <c r="T364" t="b">
        <f ca="1">AND(NOT(S364),W364=TRUE)</f>
        <v>0</v>
      </c>
      <c r="W364" s="17"/>
      <c r="X364" s="688"/>
      <c r="AC364" t="b">
        <f ca="1">OR(AD364:AE364)</f>
        <v>0</v>
      </c>
      <c r="AD364" t="b">
        <f ca="1">T364</f>
        <v>0</v>
      </c>
      <c r="AE364" t="b">
        <f>AND(R364,NOT(W364))</f>
        <v>0</v>
      </c>
      <c r="AL364" t="str">
        <f>SUBSTITUTE(SUBSTITUTE(SUBSTITUTE("dpa"&amp;$B364&amp;$C364&amp;$D364&amp;$E364&amp;$F364,".","_"),"(","_"),")","")</f>
        <v>dpa703_6_1_1</v>
      </c>
      <c r="AM364">
        <f>M364</f>
        <v>2</v>
      </c>
      <c r="AN364" t="str">
        <f>SUBSTITUTE(SUBSTITUTE(SUBSTITUTE("dpc"&amp;$B364&amp;$C364&amp;$D364&amp;$E364&amp;$F364,".","_"),"(","_"),")","")</f>
        <v>dpc703_6_1_1</v>
      </c>
      <c r="AO364">
        <f ca="1">O364</f>
        <v>0</v>
      </c>
      <c r="AP364" t="str">
        <f>SUBSTITUTE(SUBSTITUTE(SUBSTITUTE("dch"&amp;$B364&amp;$C364&amp;$D364&amp;$E364&amp;$F364,".","_"),"(","_"),")","")</f>
        <v>dch703_6_1_1</v>
      </c>
      <c r="AQ364">
        <f>W364</f>
        <v>0</v>
      </c>
      <c r="AR364" t="str">
        <f>SUBSTITUTE(SUBSTITUTE(SUBSTITUTE("dnt"&amp;$B364&amp;$C364&amp;$D364&amp;$E364&amp;$F364,".","_"),"(","_"),")","")</f>
        <v>dnt703_6_1_1</v>
      </c>
      <c r="AS364">
        <f>X364</f>
        <v>0</v>
      </c>
    </row>
    <row r="365" spans="2:45" x14ac:dyDescent="0.35">
      <c r="B365" s="452" t="s">
        <v>1129</v>
      </c>
      <c r="C365" s="53"/>
      <c r="D365" s="13" t="s">
        <v>270</v>
      </c>
      <c r="E365" s="13"/>
      <c r="F365" s="13"/>
      <c r="G365" s="13"/>
      <c r="H365" s="550"/>
      <c r="I365" s="4"/>
      <c r="J365" s="359"/>
      <c r="K365" s="214"/>
      <c r="L365" s="786"/>
      <c r="M365" s="691"/>
      <c r="N365" s="155"/>
      <c r="O365" s="697"/>
      <c r="X365" s="688"/>
    </row>
    <row r="366" spans="2:45" x14ac:dyDescent="0.35">
      <c r="B366" s="452" t="s">
        <v>1129</v>
      </c>
      <c r="C366" s="53"/>
      <c r="D366" s="13" t="s">
        <v>272</v>
      </c>
      <c r="E366" s="13"/>
      <c r="F366" s="13"/>
      <c r="G366" s="13"/>
      <c r="H366" s="550"/>
      <c r="I366" s="4"/>
      <c r="J366" s="378" t="s">
        <v>272</v>
      </c>
      <c r="K366" s="320"/>
      <c r="L366" s="742" t="s">
        <v>1131</v>
      </c>
      <c r="M366" s="712">
        <v>1</v>
      </c>
      <c r="N366" s="136"/>
      <c r="O366" s="713">
        <f ca="1">M366*S366*W366</f>
        <v>0</v>
      </c>
      <c r="P366" t="b">
        <v>0</v>
      </c>
      <c r="Q366" t="b">
        <v>1</v>
      </c>
      <c r="R366" t="b">
        <v>0</v>
      </c>
      <c r="S366" t="b">
        <f ca="1">AND(S13=2,NOT(W368),NOT(W364))</f>
        <v>1</v>
      </c>
      <c r="T366" t="b">
        <f ca="1">AND(NOT(S366),W366=TRUE)</f>
        <v>0</v>
      </c>
      <c r="W366" s="17"/>
      <c r="X366" s="688"/>
      <c r="AC366" t="b">
        <f ca="1">OR(AD366:AE366)</f>
        <v>0</v>
      </c>
      <c r="AD366" t="b">
        <f ca="1">T366</f>
        <v>0</v>
      </c>
      <c r="AE366" t="b">
        <f>AND(R366,NOT(W366))</f>
        <v>0</v>
      </c>
      <c r="AL366" t="str">
        <f>SUBSTITUTE(SUBSTITUTE(SUBSTITUTE("dpa"&amp;$B366&amp;$C366&amp;$D366&amp;$E366&amp;$F366,".","_"),"(","_"),")","")</f>
        <v>dpa703_6_1_2</v>
      </c>
      <c r="AM366">
        <f>M366</f>
        <v>1</v>
      </c>
      <c r="AN366" t="str">
        <f>SUBSTITUTE(SUBSTITUTE(SUBSTITUTE("dpc"&amp;$B366&amp;$C366&amp;$D366&amp;$E366&amp;$F366,".","_"),"(","_"),")","")</f>
        <v>dpc703_6_1_2</v>
      </c>
      <c r="AO366">
        <f ca="1">O366</f>
        <v>0</v>
      </c>
      <c r="AP366" t="str">
        <f>SUBSTITUTE(SUBSTITUTE(SUBSTITUTE("dch"&amp;$B366&amp;$C366&amp;$D366&amp;$E366&amp;$F366,".","_"),"(","_"),")","")</f>
        <v>dch703_6_1_2</v>
      </c>
      <c r="AQ366">
        <f>W366</f>
        <v>0</v>
      </c>
      <c r="AR366" t="str">
        <f>SUBSTITUTE(SUBSTITUTE(SUBSTITUTE("dnt"&amp;$B366&amp;$C366&amp;$D366&amp;$E366&amp;$F366,".","_"),"(","_"),")","")</f>
        <v>dnt703_6_1_2</v>
      </c>
      <c r="AS366">
        <f>X366</f>
        <v>0</v>
      </c>
    </row>
    <row r="367" spans="2:45" x14ac:dyDescent="0.35">
      <c r="B367" s="452" t="s">
        <v>1129</v>
      </c>
      <c r="C367" s="53"/>
      <c r="D367" s="13" t="s">
        <v>272</v>
      </c>
      <c r="E367" s="13"/>
      <c r="F367" s="13"/>
      <c r="G367" s="13"/>
      <c r="H367" s="550"/>
      <c r="I367" s="4"/>
      <c r="J367" s="214"/>
      <c r="K367" s="214"/>
      <c r="L367" s="709"/>
      <c r="M367" s="691"/>
      <c r="N367" s="155"/>
      <c r="O367" s="697"/>
      <c r="X367" s="688"/>
    </row>
    <row r="368" spans="2:45" x14ac:dyDescent="0.35">
      <c r="B368" s="452" t="s">
        <v>1129</v>
      </c>
      <c r="C368" s="53"/>
      <c r="D368" s="13" t="s">
        <v>274</v>
      </c>
      <c r="E368" s="13"/>
      <c r="F368" s="13"/>
      <c r="G368" s="13"/>
      <c r="H368" s="550"/>
      <c r="I368" s="4"/>
      <c r="J368" s="175" t="s">
        <v>274</v>
      </c>
      <c r="K368" s="104"/>
      <c r="L368" s="707" t="s">
        <v>1132</v>
      </c>
      <c r="M368" s="690">
        <v>7</v>
      </c>
      <c r="N368" s="4"/>
      <c r="O368" s="696">
        <f ca="1">M368*S368*W368</f>
        <v>0</v>
      </c>
      <c r="P368" t="b">
        <v>0</v>
      </c>
      <c r="Q368" t="b">
        <v>1</v>
      </c>
      <c r="R368" t="b">
        <v>0</v>
      </c>
      <c r="S368" t="b">
        <f ca="1">AND(S13=2,IF($AY$20=INDEX(ddSingleOrMulti,2),TRUE,FALSE),NOT(W366),NOT(W364))</f>
        <v>0</v>
      </c>
      <c r="T368" t="b">
        <f ca="1">AND(NOT(S368),W368=TRUE)</f>
        <v>0</v>
      </c>
      <c r="W368" s="17"/>
      <c r="X368" s="688"/>
      <c r="AC368" t="b">
        <f ca="1">OR(AD368:AE368)</f>
        <v>0</v>
      </c>
      <c r="AD368" t="b">
        <f ca="1">T368</f>
        <v>0</v>
      </c>
      <c r="AE368" t="b">
        <f>AND(R368,NOT(W368))</f>
        <v>0</v>
      </c>
      <c r="AL368" t="str">
        <f>SUBSTITUTE(SUBSTITUTE(SUBSTITUTE("dpa"&amp;$B368&amp;$C368&amp;$D368&amp;$E368&amp;$F368,".","_"),"(","_"),")","")</f>
        <v>dpa703_6_1_3</v>
      </c>
      <c r="AM368">
        <f>M368</f>
        <v>7</v>
      </c>
      <c r="AN368" t="str">
        <f>SUBSTITUTE(SUBSTITUTE(SUBSTITUTE("dpc"&amp;$B368&amp;$C368&amp;$D368&amp;$E368&amp;$F368,".","_"),"(","_"),")","")</f>
        <v>dpc703_6_1_3</v>
      </c>
      <c r="AO368">
        <f ca="1">O368</f>
        <v>0</v>
      </c>
      <c r="AP368" t="str">
        <f>SUBSTITUTE(SUBSTITUTE(SUBSTITUTE("dch"&amp;$B368&amp;$C368&amp;$D368&amp;$E368&amp;$F368,".","_"),"(","_"),")","")</f>
        <v>dch703_6_1_3</v>
      </c>
      <c r="AQ368">
        <f>W368</f>
        <v>0</v>
      </c>
      <c r="AR368" t="str">
        <f>SUBSTITUTE(SUBSTITUTE(SUBSTITUTE("dnt"&amp;$B368&amp;$C368&amp;$D368&amp;$E368&amp;$F368,".","_"),"(","_"),")","")</f>
        <v>dnt703_6_1_3</v>
      </c>
      <c r="AS368">
        <f>X368</f>
        <v>0</v>
      </c>
    </row>
    <row r="369" spans="2:45" x14ac:dyDescent="0.35">
      <c r="B369" s="452" t="s">
        <v>1129</v>
      </c>
      <c r="C369" s="53"/>
      <c r="D369" s="13" t="s">
        <v>274</v>
      </c>
      <c r="E369" s="13"/>
      <c r="F369" s="13"/>
      <c r="G369" s="13"/>
      <c r="H369" s="550"/>
      <c r="I369" s="155"/>
      <c r="J369" s="214"/>
      <c r="K369" s="214"/>
      <c r="L369" s="709"/>
      <c r="M369" s="691"/>
      <c r="N369" s="155"/>
      <c r="O369" s="697"/>
      <c r="P369" s="119"/>
      <c r="Q369" s="119"/>
      <c r="R369" s="119"/>
      <c r="S369" s="119"/>
      <c r="T369" s="119"/>
      <c r="U369" s="119"/>
      <c r="V369" s="119"/>
      <c r="W369" s="119"/>
      <c r="X369" s="688"/>
    </row>
    <row r="370" spans="2:45" x14ac:dyDescent="0.35">
      <c r="B370" s="452" t="s">
        <v>1133</v>
      </c>
      <c r="C370" s="53"/>
      <c r="D370" s="13"/>
      <c r="E370" s="13"/>
      <c r="F370" s="13"/>
      <c r="G370" s="13"/>
      <c r="H370" s="550"/>
      <c r="I370" s="34" t="s">
        <v>1133</v>
      </c>
      <c r="J370" s="104"/>
      <c r="K370" s="104"/>
      <c r="L370" s="110" t="s">
        <v>1134</v>
      </c>
      <c r="M370" s="43"/>
      <c r="N370" s="4"/>
      <c r="O370" s="85"/>
    </row>
    <row r="371" spans="2:45" x14ac:dyDescent="0.35">
      <c r="B371" s="452" t="s">
        <v>1133</v>
      </c>
      <c r="C371" s="53"/>
      <c r="D371" s="13" t="s">
        <v>270</v>
      </c>
      <c r="E371" s="13"/>
      <c r="F371" s="13"/>
      <c r="G371" s="13"/>
      <c r="H371" s="550"/>
      <c r="I371" s="4"/>
      <c r="J371" s="359" t="s">
        <v>270</v>
      </c>
      <c r="K371" s="214"/>
      <c r="L371" s="381" t="s">
        <v>1135</v>
      </c>
      <c r="M371" s="198">
        <v>1</v>
      </c>
      <c r="N371" s="155"/>
      <c r="O371" s="342">
        <f ca="1">M371*S371*W371</f>
        <v>0</v>
      </c>
      <c r="P371" t="b">
        <v>0</v>
      </c>
      <c r="Q371" t="b">
        <v>1</v>
      </c>
      <c r="R371" t="b">
        <v>0</v>
      </c>
      <c r="S371" t="b">
        <f ca="1">(S13=2)</f>
        <v>1</v>
      </c>
      <c r="T371" t="b">
        <f ca="1">AND(NOT(S371),W371=TRUE)</f>
        <v>0</v>
      </c>
      <c r="W371" s="17"/>
      <c r="X371" s="39"/>
      <c r="AC371" t="b">
        <f ca="1">OR(AD371:AE371)</f>
        <v>0</v>
      </c>
      <c r="AD371" t="b">
        <f ca="1">T371</f>
        <v>0</v>
      </c>
      <c r="AE371" t="b">
        <f>AND(R371,NOT(W371))</f>
        <v>0</v>
      </c>
      <c r="AL371" t="str">
        <f t="shared" ref="AL371:AL373" si="35">SUBSTITUTE(SUBSTITUTE(SUBSTITUTE("dpa"&amp;$B371&amp;$C371&amp;$D371&amp;$E371&amp;$F371,".","_"),"(","_"),")","")</f>
        <v>dpa703_6_2 _1</v>
      </c>
      <c r="AM371">
        <f>M371</f>
        <v>1</v>
      </c>
      <c r="AN371" t="str">
        <f>SUBSTITUTE(SUBSTITUTE(SUBSTITUTE("dpc"&amp;$B371&amp;$C371&amp;$D371&amp;$E371&amp;$F371,".","_"),"(","_"),")","")</f>
        <v>dpc703_6_2 _1</v>
      </c>
      <c r="AO371">
        <f ca="1">O371</f>
        <v>0</v>
      </c>
      <c r="AP371" t="str">
        <f t="shared" ref="AP371:AP373" si="36">SUBSTITUTE(SUBSTITUTE(SUBSTITUTE("dch"&amp;$B371&amp;$C371&amp;$D371&amp;$E371&amp;$F371,".","_"),"(","_"),")","")</f>
        <v>dch703_6_2 _1</v>
      </c>
      <c r="AQ371">
        <f>W371</f>
        <v>0</v>
      </c>
      <c r="AR371" t="str">
        <f t="shared" ref="AR371:AR373" si="37">SUBSTITUTE(SUBSTITUTE(SUBSTITUTE("dnt"&amp;$B371&amp;$C371&amp;$D371&amp;$E371&amp;$F371,".","_"),"(","_"),")","")</f>
        <v>dnt703_6_2 _1</v>
      </c>
      <c r="AS371">
        <f>X371</f>
        <v>0</v>
      </c>
    </row>
    <row r="372" spans="2:45" x14ac:dyDescent="0.35">
      <c r="B372" s="452" t="s">
        <v>1133</v>
      </c>
      <c r="C372" s="53"/>
      <c r="D372" s="13" t="s">
        <v>272</v>
      </c>
      <c r="E372" s="13"/>
      <c r="F372" s="13"/>
      <c r="G372" s="13"/>
      <c r="H372" s="550"/>
      <c r="I372" s="4"/>
      <c r="J372" s="379" t="s">
        <v>272</v>
      </c>
      <c r="K372" s="220"/>
      <c r="L372" s="220" t="s">
        <v>1136</v>
      </c>
      <c r="M372" s="153">
        <v>1</v>
      </c>
      <c r="N372" s="187"/>
      <c r="O372" s="313">
        <f ca="1">M372*S372*W372</f>
        <v>0</v>
      </c>
      <c r="P372" t="b">
        <v>0</v>
      </c>
      <c r="Q372" t="b">
        <v>1</v>
      </c>
      <c r="R372" t="b">
        <v>0</v>
      </c>
      <c r="S372" t="b">
        <f ca="1">(S13=2)</f>
        <v>1</v>
      </c>
      <c r="T372" t="b">
        <f ca="1">AND(NOT(S372),W372=TRUE)</f>
        <v>0</v>
      </c>
      <c r="W372" s="17"/>
      <c r="X372" s="39"/>
      <c r="AC372" t="b">
        <f ca="1">OR(AD372:AE372)</f>
        <v>0</v>
      </c>
      <c r="AD372" t="b">
        <f ca="1">T372</f>
        <v>0</v>
      </c>
      <c r="AE372" t="b">
        <f>AND(R372,NOT(W372))</f>
        <v>0</v>
      </c>
      <c r="AL372" t="str">
        <f t="shared" si="35"/>
        <v>dpa703_6_2 _2</v>
      </c>
      <c r="AM372">
        <f>M372</f>
        <v>1</v>
      </c>
      <c r="AN372" t="str">
        <f>SUBSTITUTE(SUBSTITUTE(SUBSTITUTE("dpc"&amp;$B372&amp;$C372&amp;$D372&amp;$E372&amp;$F372,".","_"),"(","_"),")","")</f>
        <v>dpc703_6_2 _2</v>
      </c>
      <c r="AO372">
        <f ca="1">O372</f>
        <v>0</v>
      </c>
      <c r="AP372" t="str">
        <f t="shared" si="36"/>
        <v>dch703_6_2 _2</v>
      </c>
      <c r="AQ372">
        <f>W372</f>
        <v>0</v>
      </c>
      <c r="AR372" t="str">
        <f t="shared" si="37"/>
        <v>dnt703_6_2 _2</v>
      </c>
      <c r="AS372">
        <f>X372</f>
        <v>0</v>
      </c>
    </row>
    <row r="373" spans="2:45" x14ac:dyDescent="0.35">
      <c r="B373" s="452" t="s">
        <v>1133</v>
      </c>
      <c r="C373" s="53"/>
      <c r="D373" s="13" t="s">
        <v>274</v>
      </c>
      <c r="E373" s="13"/>
      <c r="F373" s="13"/>
      <c r="G373" s="13"/>
      <c r="H373" s="550"/>
      <c r="I373" s="4"/>
      <c r="J373" s="175" t="s">
        <v>274</v>
      </c>
      <c r="K373" s="104"/>
      <c r="L373" s="104" t="s">
        <v>1137</v>
      </c>
      <c r="M373" s="43">
        <v>4</v>
      </c>
      <c r="N373" s="4"/>
      <c r="O373" s="85">
        <f ca="1">M373*S373*W373</f>
        <v>0</v>
      </c>
      <c r="P373" t="b">
        <v>0</v>
      </c>
      <c r="Q373" t="b">
        <v>1</v>
      </c>
      <c r="R373" t="b">
        <v>0</v>
      </c>
      <c r="S373" t="b">
        <f ca="1">(S13=2)</f>
        <v>1</v>
      </c>
      <c r="T373" t="b">
        <f ca="1">AND(NOT(S373),W373=TRUE)</f>
        <v>0</v>
      </c>
      <c r="W373" s="17"/>
      <c r="X373" s="688"/>
      <c r="AC373" t="b">
        <f ca="1">OR(AD373:AE373)</f>
        <v>0</v>
      </c>
      <c r="AD373" t="b">
        <f ca="1">T373</f>
        <v>0</v>
      </c>
      <c r="AE373" t="b">
        <f>AND(R373,NOT(W373))</f>
        <v>0</v>
      </c>
      <c r="AL373" t="str">
        <f t="shared" si="35"/>
        <v>dpa703_6_2 _3</v>
      </c>
      <c r="AM373">
        <f>M373</f>
        <v>4</v>
      </c>
      <c r="AN373" t="str">
        <f>SUBSTITUTE(SUBSTITUTE(SUBSTITUTE("dpc"&amp;$B373&amp;$C373&amp;$D373&amp;$E373&amp;$F373,".","_"),"(","_"),")","")</f>
        <v>dpc703_6_2 _3</v>
      </c>
      <c r="AO373">
        <f ca="1">O373</f>
        <v>0</v>
      </c>
      <c r="AP373" t="str">
        <f t="shared" si="36"/>
        <v>dch703_6_2 _3</v>
      </c>
      <c r="AQ373">
        <f>W373</f>
        <v>0</v>
      </c>
      <c r="AR373" t="str">
        <f t="shared" si="37"/>
        <v>dnt703_6_2 _3</v>
      </c>
      <c r="AS373">
        <f>X373</f>
        <v>0</v>
      </c>
    </row>
    <row r="374" spans="2:45" ht="15" thickBot="1" x14ac:dyDescent="0.4">
      <c r="B374" s="452" t="s">
        <v>1133</v>
      </c>
      <c r="C374" s="53"/>
      <c r="D374" s="13" t="s">
        <v>274</v>
      </c>
      <c r="E374" s="13"/>
      <c r="F374" s="13"/>
      <c r="G374" s="13"/>
      <c r="H374" s="550"/>
      <c r="I374" s="183"/>
      <c r="J374" s="348"/>
      <c r="K374" s="223"/>
      <c r="L374" s="122" t="s">
        <v>3872</v>
      </c>
      <c r="M374" s="270"/>
      <c r="N374" s="183"/>
      <c r="O374" s="184"/>
      <c r="P374" s="58"/>
      <c r="Q374" s="58"/>
      <c r="R374" s="58"/>
      <c r="S374" s="58"/>
      <c r="T374" s="58"/>
      <c r="U374" s="58"/>
      <c r="V374" s="58"/>
      <c r="W374" s="58"/>
      <c r="X374" s="689"/>
    </row>
    <row r="375" spans="2:45" ht="15" thickTop="1" x14ac:dyDescent="0.35">
      <c r="B375" s="452">
        <v>703.7</v>
      </c>
      <c r="C375" s="53"/>
      <c r="D375" s="13"/>
      <c r="E375" s="13"/>
      <c r="F375" s="13"/>
      <c r="G375" s="13"/>
      <c r="H375" s="550"/>
      <c r="I375" s="33">
        <v>703.7</v>
      </c>
      <c r="J375" s="104"/>
      <c r="K375" s="104"/>
      <c r="L375" s="110" t="s">
        <v>1138</v>
      </c>
      <c r="M375" s="43"/>
      <c r="N375" s="4"/>
      <c r="O375" s="85"/>
    </row>
    <row r="376" spans="2:45" x14ac:dyDescent="0.35">
      <c r="B376" s="452" t="s">
        <v>1139</v>
      </c>
      <c r="C376" s="53"/>
      <c r="D376" s="13"/>
      <c r="E376" s="13"/>
      <c r="F376" s="13"/>
      <c r="G376" s="13"/>
      <c r="H376" s="550"/>
      <c r="I376" s="33" t="s">
        <v>1139</v>
      </c>
      <c r="J376" s="104"/>
      <c r="K376" s="104"/>
      <c r="L376" s="706" t="s">
        <v>1140</v>
      </c>
      <c r="M376" s="690">
        <v>4</v>
      </c>
      <c r="N376" s="4"/>
      <c r="O376" s="696">
        <f ca="1">M376*S376*W376</f>
        <v>0</v>
      </c>
      <c r="P376" t="b">
        <v>1</v>
      </c>
      <c r="Q376" t="b">
        <v>1</v>
      </c>
      <c r="R376" t="b">
        <v>0</v>
      </c>
      <c r="S376" t="b">
        <f ca="1">(S13=2)</f>
        <v>1</v>
      </c>
      <c r="T376" t="b">
        <f ca="1">AND(NOT(S376),W376=TRUE)</f>
        <v>0</v>
      </c>
      <c r="W376" s="17"/>
      <c r="AC376" t="b">
        <f ca="1">OR(AD376:AE376)</f>
        <v>0</v>
      </c>
      <c r="AD376" t="b">
        <f ca="1">T376</f>
        <v>0</v>
      </c>
      <c r="AE376" t="b">
        <f>AND(R376,NOT(W376))</f>
        <v>0</v>
      </c>
      <c r="AL376" t="str">
        <f>SUBSTITUTE(SUBSTITUTE(SUBSTITUTE("dpa"&amp;$B376&amp;$C376&amp;$D376&amp;$E376&amp;$F376,".","_"),"(","_"),")","")</f>
        <v>dpa703_7_1</v>
      </c>
      <c r="AM376">
        <f>M376</f>
        <v>4</v>
      </c>
      <c r="AN376" t="str">
        <f>SUBSTITUTE(SUBSTITUTE(SUBSTITUTE("dpc"&amp;$B376&amp;$C376&amp;$D376&amp;$E376&amp;$F376,".","_"),"(","_"),")","")</f>
        <v>dpc703_7_1</v>
      </c>
      <c r="AO376">
        <f ca="1">O376</f>
        <v>0</v>
      </c>
      <c r="AP376" t="str">
        <f>SUBSTITUTE(SUBSTITUTE(SUBSTITUTE("dch"&amp;$B376&amp;$C376&amp;$D376&amp;$E376&amp;$F376,".","_"),"(","_"),")","")</f>
        <v>dch703_7_1</v>
      </c>
      <c r="AQ376">
        <f>W376</f>
        <v>0</v>
      </c>
    </row>
    <row r="377" spans="2:45" x14ac:dyDescent="0.35">
      <c r="B377" s="452" t="s">
        <v>1139</v>
      </c>
      <c r="C377" s="53"/>
      <c r="D377" s="13"/>
      <c r="E377" s="13"/>
      <c r="F377" s="13"/>
      <c r="G377" s="13"/>
      <c r="H377" s="550"/>
      <c r="I377" s="4"/>
      <c r="J377" s="104"/>
      <c r="K377" s="104"/>
      <c r="L377" s="706"/>
      <c r="M377" s="690"/>
      <c r="N377" s="4"/>
      <c r="O377" s="696"/>
    </row>
    <row r="378" spans="2:45" x14ac:dyDescent="0.35">
      <c r="B378" s="452" t="s">
        <v>1139</v>
      </c>
      <c r="C378" s="53"/>
      <c r="D378" s="13" t="s">
        <v>270</v>
      </c>
      <c r="E378" s="13"/>
      <c r="F378" s="13"/>
      <c r="G378" s="13"/>
      <c r="H378" s="550"/>
      <c r="I378" s="4"/>
      <c r="J378" s="175" t="s">
        <v>270</v>
      </c>
      <c r="K378" s="104"/>
      <c r="L378" s="707" t="s">
        <v>1141</v>
      </c>
      <c r="M378" s="43"/>
      <c r="N378" s="4"/>
      <c r="O378" s="85"/>
      <c r="X378" s="688"/>
      <c r="AR378" t="str">
        <f>SUBSTITUTE(SUBSTITUTE(SUBSTITUTE("dnt"&amp;$B378&amp;$C378&amp;$D378&amp;$E378&amp;$F378,".","_"),"(","_"),")","")</f>
        <v>dnt703_7_1_1</v>
      </c>
      <c r="AS378">
        <f>X378</f>
        <v>0</v>
      </c>
    </row>
    <row r="379" spans="2:45" x14ac:dyDescent="0.35">
      <c r="B379" s="452" t="s">
        <v>1139</v>
      </c>
      <c r="C379" s="53"/>
      <c r="D379" s="13" t="s">
        <v>270</v>
      </c>
      <c r="E379" s="13"/>
      <c r="F379" s="13"/>
      <c r="G379" s="13"/>
      <c r="H379" s="550"/>
      <c r="I379" s="4"/>
      <c r="J379" s="359"/>
      <c r="K379" s="214"/>
      <c r="L379" s="709"/>
      <c r="M379" s="43"/>
      <c r="N379" s="4"/>
      <c r="O379" s="85"/>
      <c r="X379" s="688"/>
    </row>
    <row r="380" spans="2:45" x14ac:dyDescent="0.35">
      <c r="B380" s="452" t="s">
        <v>1139</v>
      </c>
      <c r="C380" s="53"/>
      <c r="D380" s="13" t="s">
        <v>272</v>
      </c>
      <c r="E380" s="13"/>
      <c r="F380" s="13"/>
      <c r="G380" s="13"/>
      <c r="H380" s="550"/>
      <c r="I380" s="4"/>
      <c r="J380" s="378" t="s">
        <v>272</v>
      </c>
      <c r="K380" s="320"/>
      <c r="L380" s="742" t="s">
        <v>1142</v>
      </c>
      <c r="M380" s="43"/>
      <c r="N380" s="4"/>
      <c r="O380" s="85"/>
      <c r="X380" s="688"/>
      <c r="AR380" t="str">
        <f>SUBSTITUTE(SUBSTITUTE(SUBSTITUTE("dnt"&amp;$B380&amp;$C380&amp;$D380&amp;$E380&amp;$F380,".","_"),"(","_"),")","")</f>
        <v>dnt703_7_1_2</v>
      </c>
      <c r="AS380">
        <f>X380</f>
        <v>0</v>
      </c>
    </row>
    <row r="381" spans="2:45" x14ac:dyDescent="0.35">
      <c r="B381" s="452" t="s">
        <v>1139</v>
      </c>
      <c r="C381" s="53"/>
      <c r="D381" s="13" t="s">
        <v>272</v>
      </c>
      <c r="E381" s="13"/>
      <c r="F381" s="13"/>
      <c r="G381" s="13"/>
      <c r="H381" s="550"/>
      <c r="I381" s="4"/>
      <c r="J381" s="359"/>
      <c r="K381" s="214"/>
      <c r="L381" s="709"/>
      <c r="M381" s="43"/>
      <c r="N381" s="4"/>
      <c r="O381" s="85"/>
      <c r="X381" s="688"/>
    </row>
    <row r="382" spans="2:45" x14ac:dyDescent="0.35">
      <c r="B382" s="452" t="s">
        <v>1139</v>
      </c>
      <c r="C382" s="53"/>
      <c r="D382" s="13" t="s">
        <v>274</v>
      </c>
      <c r="E382" s="13"/>
      <c r="F382" s="13"/>
      <c r="G382" s="13"/>
      <c r="H382" s="550"/>
      <c r="I382" s="4"/>
      <c r="J382" s="378" t="s">
        <v>274</v>
      </c>
      <c r="K382" s="320"/>
      <c r="L382" s="742" t="s">
        <v>1143</v>
      </c>
      <c r="M382" s="43"/>
      <c r="N382" s="4"/>
      <c r="O382" s="85"/>
      <c r="X382" s="688"/>
      <c r="AR382" t="str">
        <f>SUBSTITUTE(SUBSTITUTE(SUBSTITUTE("dnt"&amp;$B382&amp;$C382&amp;$D382&amp;$E382&amp;$F382,".","_"),"(","_"),")","")</f>
        <v>dnt703_7_1_3</v>
      </c>
      <c r="AS382">
        <f>X382</f>
        <v>0</v>
      </c>
    </row>
    <row r="383" spans="2:45" x14ac:dyDescent="0.35">
      <c r="B383" s="452" t="s">
        <v>1139</v>
      </c>
      <c r="C383" s="53"/>
      <c r="D383" s="13" t="s">
        <v>274</v>
      </c>
      <c r="E383" s="13"/>
      <c r="F383" s="13"/>
      <c r="G383" s="13"/>
      <c r="H383" s="550"/>
      <c r="I383" s="4"/>
      <c r="J383" s="214"/>
      <c r="K383" s="214"/>
      <c r="L383" s="709"/>
      <c r="M383" s="43"/>
      <c r="N383" s="4"/>
      <c r="O383" s="85"/>
      <c r="X383" s="688"/>
    </row>
    <row r="384" spans="2:45" x14ac:dyDescent="0.35">
      <c r="B384" s="452" t="s">
        <v>1139</v>
      </c>
      <c r="C384" s="53"/>
      <c r="D384" s="13" t="s">
        <v>283</v>
      </c>
      <c r="E384" s="13"/>
      <c r="F384" s="13"/>
      <c r="G384" s="13"/>
      <c r="H384" s="550"/>
      <c r="I384" s="4"/>
      <c r="J384" s="378" t="s">
        <v>283</v>
      </c>
      <c r="K384" s="320"/>
      <c r="L384" s="742" t="s">
        <v>1144</v>
      </c>
      <c r="M384" s="43"/>
      <c r="N384" s="4"/>
      <c r="O384" s="85"/>
      <c r="X384" s="688"/>
      <c r="AR384" t="str">
        <f>SUBSTITUTE(SUBSTITUTE(SUBSTITUTE("dnt"&amp;$B384&amp;$C384&amp;$D384&amp;$E384&amp;$F384,".","_"),"(","_"),")","")</f>
        <v>dnt703_7_1_4</v>
      </c>
      <c r="AS384">
        <f>X384</f>
        <v>0</v>
      </c>
    </row>
    <row r="385" spans="2:45" x14ac:dyDescent="0.35">
      <c r="B385" s="452" t="s">
        <v>1139</v>
      </c>
      <c r="C385" s="53"/>
      <c r="D385" s="13" t="s">
        <v>283</v>
      </c>
      <c r="E385" s="13"/>
      <c r="F385" s="13"/>
      <c r="G385" s="13"/>
      <c r="H385" s="550"/>
      <c r="I385" s="4"/>
      <c r="J385" s="214"/>
      <c r="K385" s="214"/>
      <c r="L385" s="709"/>
      <c r="M385" s="43"/>
      <c r="N385" s="4"/>
      <c r="O385" s="85"/>
      <c r="X385" s="688"/>
    </row>
    <row r="386" spans="2:45" x14ac:dyDescent="0.35">
      <c r="B386" s="452" t="s">
        <v>1139</v>
      </c>
      <c r="C386" s="53"/>
      <c r="D386" s="13" t="s">
        <v>289</v>
      </c>
      <c r="E386" s="13"/>
      <c r="F386" s="13"/>
      <c r="G386" s="13"/>
      <c r="H386" s="550"/>
      <c r="I386" s="4"/>
      <c r="J386" s="378" t="s">
        <v>289</v>
      </c>
      <c r="K386" s="320"/>
      <c r="L386" s="742" t="s">
        <v>1145</v>
      </c>
      <c r="M386" s="43"/>
      <c r="N386" s="4"/>
      <c r="O386" s="85"/>
      <c r="X386" s="688"/>
      <c r="AR386" t="str">
        <f>SUBSTITUTE(SUBSTITUTE(SUBSTITUTE("dnt"&amp;$B386&amp;$C386&amp;$D386&amp;$E386&amp;$F386,".","_"),"(","_"),")","")</f>
        <v>dnt703_7_1_5</v>
      </c>
      <c r="AS386">
        <f>X386</f>
        <v>0</v>
      </c>
    </row>
    <row r="387" spans="2:45" x14ac:dyDescent="0.35">
      <c r="B387" s="452" t="s">
        <v>1139</v>
      </c>
      <c r="C387" s="53"/>
      <c r="D387" s="13" t="s">
        <v>289</v>
      </c>
      <c r="E387" s="13"/>
      <c r="F387" s="13"/>
      <c r="G387" s="13"/>
      <c r="H387" s="550"/>
      <c r="I387" s="4"/>
      <c r="J387" s="214"/>
      <c r="K387" s="214"/>
      <c r="L387" s="709"/>
      <c r="M387" s="43"/>
      <c r="N387" s="4"/>
      <c r="O387" s="85"/>
      <c r="X387" s="688"/>
    </row>
    <row r="388" spans="2:45" x14ac:dyDescent="0.35">
      <c r="B388" s="452" t="s">
        <v>1139</v>
      </c>
      <c r="C388" s="53"/>
      <c r="D388" s="13" t="s">
        <v>291</v>
      </c>
      <c r="E388" s="13"/>
      <c r="F388" s="13"/>
      <c r="G388" s="13"/>
      <c r="H388" s="550"/>
      <c r="I388" s="4"/>
      <c r="J388" s="175" t="s">
        <v>291</v>
      </c>
      <c r="K388" s="104"/>
      <c r="L388" s="104" t="s">
        <v>1146</v>
      </c>
      <c r="M388" s="43"/>
      <c r="N388" s="4"/>
      <c r="O388" s="85"/>
    </row>
    <row r="389" spans="2:45" x14ac:dyDescent="0.35">
      <c r="B389" s="452" t="s">
        <v>1139</v>
      </c>
      <c r="C389" s="53"/>
      <c r="D389" s="13" t="s">
        <v>291</v>
      </c>
      <c r="E389" s="13" t="s">
        <v>121</v>
      </c>
      <c r="F389" s="13"/>
      <c r="G389" s="13"/>
      <c r="H389" s="550"/>
      <c r="I389" s="4"/>
      <c r="J389" s="104"/>
      <c r="K389" s="175" t="s">
        <v>121</v>
      </c>
      <c r="L389" s="723" t="s">
        <v>1147</v>
      </c>
      <c r="M389" s="43"/>
      <c r="N389" s="4"/>
      <c r="O389" s="85"/>
      <c r="X389" s="688"/>
      <c r="AR389" t="str">
        <f>SUBSTITUTE(SUBSTITUTE(SUBSTITUTE("dnt"&amp;$B389&amp;$C389&amp;$D389&amp;$E389&amp;$F389,".","_"),"(","_"),")","")</f>
        <v>dnt703_7_1_6_a</v>
      </c>
      <c r="AS389">
        <f>X389</f>
        <v>0</v>
      </c>
    </row>
    <row r="390" spans="2:45" x14ac:dyDescent="0.35">
      <c r="B390" s="452" t="s">
        <v>1139</v>
      </c>
      <c r="C390" s="53"/>
      <c r="D390" s="13" t="s">
        <v>291</v>
      </c>
      <c r="E390" s="13" t="s">
        <v>121</v>
      </c>
      <c r="F390" s="13"/>
      <c r="G390" s="13"/>
      <c r="H390" s="550"/>
      <c r="I390" s="4"/>
      <c r="J390" s="104"/>
      <c r="K390" s="175"/>
      <c r="L390" s="723"/>
      <c r="M390" s="43"/>
      <c r="N390" s="4"/>
      <c r="O390" s="85"/>
      <c r="X390" s="688"/>
    </row>
    <row r="391" spans="2:45" x14ac:dyDescent="0.35">
      <c r="B391" s="452" t="s">
        <v>1139</v>
      </c>
      <c r="C391" s="53"/>
      <c r="D391" s="13" t="s">
        <v>291</v>
      </c>
      <c r="E391" s="13" t="s">
        <v>122</v>
      </c>
      <c r="F391" s="13"/>
      <c r="G391" s="13"/>
      <c r="H391" s="550"/>
      <c r="I391" s="4"/>
      <c r="J391" s="104"/>
      <c r="K391" s="175" t="s">
        <v>122</v>
      </c>
      <c r="L391" s="104" t="s">
        <v>1148</v>
      </c>
      <c r="M391" s="43"/>
      <c r="N391" s="4"/>
      <c r="O391" s="85"/>
      <c r="X391" s="39"/>
      <c r="AR391" t="str">
        <f t="shared" ref="AR391:AR392" si="38">SUBSTITUTE(SUBSTITUTE(SUBSTITUTE("dnt"&amp;$B391&amp;$C391&amp;$D391&amp;$E391&amp;$F391,".","_"),"(","_"),")","")</f>
        <v>dnt703_7_1_6_b</v>
      </c>
      <c r="AS391">
        <f>X391</f>
        <v>0</v>
      </c>
    </row>
    <row r="392" spans="2:45" x14ac:dyDescent="0.35">
      <c r="B392" s="452" t="s">
        <v>1139</v>
      </c>
      <c r="C392" s="53"/>
      <c r="D392" s="13" t="s">
        <v>291</v>
      </c>
      <c r="E392" s="18" t="s">
        <v>123</v>
      </c>
      <c r="F392" s="18"/>
      <c r="G392" s="18"/>
      <c r="H392" s="551"/>
      <c r="I392" s="4"/>
      <c r="J392" s="104"/>
      <c r="K392" s="176" t="s">
        <v>123</v>
      </c>
      <c r="L392" s="707" t="s">
        <v>1149</v>
      </c>
      <c r="M392" s="43"/>
      <c r="N392" s="4"/>
      <c r="O392" s="85"/>
      <c r="X392" s="688"/>
      <c r="AR392" t="str">
        <f t="shared" si="38"/>
        <v>dnt703_7_1_6_c</v>
      </c>
      <c r="AS392">
        <f>X392</f>
        <v>0</v>
      </c>
    </row>
    <row r="393" spans="2:45" x14ac:dyDescent="0.35">
      <c r="B393" s="452" t="s">
        <v>1139</v>
      </c>
      <c r="C393" s="53"/>
      <c r="D393" s="13" t="s">
        <v>291</v>
      </c>
      <c r="E393" s="18" t="s">
        <v>123</v>
      </c>
      <c r="F393" s="13"/>
      <c r="G393" s="13"/>
      <c r="H393" s="550"/>
      <c r="I393" s="4"/>
      <c r="J393" s="214"/>
      <c r="K393" s="214"/>
      <c r="L393" s="709"/>
      <c r="M393" s="43"/>
      <c r="N393" s="4"/>
      <c r="O393" s="85"/>
      <c r="X393" s="688"/>
    </row>
    <row r="394" spans="2:45" x14ac:dyDescent="0.35">
      <c r="B394" s="452" t="s">
        <v>1139</v>
      </c>
      <c r="C394" s="53"/>
      <c r="D394" s="13" t="s">
        <v>403</v>
      </c>
      <c r="E394" s="13"/>
      <c r="F394" s="13"/>
      <c r="G394" s="13"/>
      <c r="H394" s="550"/>
      <c r="I394" s="4"/>
      <c r="J394" s="378" t="s">
        <v>403</v>
      </c>
      <c r="K394" s="320"/>
      <c r="L394" s="742" t="s">
        <v>3874</v>
      </c>
      <c r="M394" s="43"/>
      <c r="N394" s="4"/>
      <c r="O394" s="85"/>
      <c r="X394" s="688"/>
      <c r="AR394" t="str">
        <f>SUBSTITUTE(SUBSTITUTE(SUBSTITUTE("dnt"&amp;$B394&amp;$C394&amp;$D394&amp;$E394&amp;$F394,".","_"),"(","_"),")","")</f>
        <v>dnt703_7_1_7</v>
      </c>
      <c r="AS394">
        <f>X394</f>
        <v>0</v>
      </c>
    </row>
    <row r="395" spans="2:45" x14ac:dyDescent="0.35">
      <c r="B395" s="452" t="s">
        <v>1139</v>
      </c>
      <c r="C395" s="53"/>
      <c r="D395" s="13" t="s">
        <v>403</v>
      </c>
      <c r="E395" s="13"/>
      <c r="F395" s="13"/>
      <c r="G395" s="13"/>
      <c r="H395" s="550"/>
      <c r="I395" s="4"/>
      <c r="J395" s="104"/>
      <c r="K395" s="104"/>
      <c r="L395" s="707"/>
      <c r="M395" s="43"/>
      <c r="N395" s="4"/>
      <c r="O395" s="85"/>
      <c r="X395" s="688"/>
    </row>
    <row r="396" spans="2:45" x14ac:dyDescent="0.35">
      <c r="B396" s="452" t="s">
        <v>1139</v>
      </c>
      <c r="C396" s="53"/>
      <c r="D396" s="13" t="s">
        <v>403</v>
      </c>
      <c r="E396" s="13"/>
      <c r="F396" s="13"/>
      <c r="G396" s="13"/>
      <c r="H396" s="550"/>
      <c r="I396" s="4"/>
      <c r="J396" s="214"/>
      <c r="K396" s="214"/>
      <c r="L396" s="356" t="s">
        <v>3875</v>
      </c>
      <c r="M396" s="43"/>
      <c r="N396" s="4"/>
      <c r="O396" s="85"/>
      <c r="X396" s="688"/>
    </row>
    <row r="397" spans="2:45" x14ac:dyDescent="0.35">
      <c r="B397" s="452" t="s">
        <v>1139</v>
      </c>
      <c r="C397" s="53"/>
      <c r="D397" s="13" t="s">
        <v>453</v>
      </c>
      <c r="E397" s="13"/>
      <c r="F397" s="13"/>
      <c r="G397" s="13"/>
      <c r="H397" s="550"/>
      <c r="I397" s="4"/>
      <c r="J397" s="379" t="s">
        <v>453</v>
      </c>
      <c r="K397" s="220"/>
      <c r="L397" s="220" t="s">
        <v>1150</v>
      </c>
      <c r="M397" s="43"/>
      <c r="N397" s="4"/>
      <c r="O397" s="85"/>
      <c r="X397" s="39"/>
      <c r="AR397" t="str">
        <f t="shared" ref="AR397:AR399" si="39">SUBSTITUTE(SUBSTITUTE(SUBSTITUTE("dnt"&amp;$B397&amp;$C397&amp;$D397&amp;$E397&amp;$F397,".","_"),"(","_"),")","")</f>
        <v>dnt703_7_1_8</v>
      </c>
      <c r="AS397">
        <f>X397</f>
        <v>0</v>
      </c>
    </row>
    <row r="398" spans="2:45" ht="15" customHeight="1" x14ac:dyDescent="0.35">
      <c r="B398" s="452" t="s">
        <v>1139</v>
      </c>
      <c r="C398" s="53"/>
      <c r="D398" s="13" t="s">
        <v>455</v>
      </c>
      <c r="E398" s="13"/>
      <c r="F398" s="13"/>
      <c r="G398" s="13"/>
      <c r="H398" s="550"/>
      <c r="I398" s="4"/>
      <c r="J398" s="175" t="s">
        <v>455</v>
      </c>
      <c r="K398" s="104"/>
      <c r="L398" s="104" t="s">
        <v>1151</v>
      </c>
      <c r="M398" s="43"/>
      <c r="N398" s="4"/>
      <c r="O398" s="85"/>
      <c r="X398" s="39"/>
      <c r="AR398" t="str">
        <f t="shared" si="39"/>
        <v>dnt703_7_1_9</v>
      </c>
      <c r="AS398">
        <f>X398</f>
        <v>0</v>
      </c>
    </row>
    <row r="399" spans="2:45" x14ac:dyDescent="0.35">
      <c r="B399" s="452" t="s">
        <v>1139</v>
      </c>
      <c r="C399" s="53"/>
      <c r="D399" s="13"/>
      <c r="E399" s="13"/>
      <c r="F399" s="13"/>
      <c r="G399" s="13"/>
      <c r="H399" s="550"/>
      <c r="I399" s="4"/>
      <c r="J399" s="104"/>
      <c r="K399" s="104"/>
      <c r="L399" s="714" t="s">
        <v>3871</v>
      </c>
      <c r="M399" s="43"/>
      <c r="N399" s="4"/>
      <c r="O399" s="85"/>
      <c r="X399" s="688"/>
      <c r="AR399" t="str">
        <f t="shared" si="39"/>
        <v>dnt703_7_1</v>
      </c>
      <c r="AS399">
        <f>X399</f>
        <v>0</v>
      </c>
    </row>
    <row r="400" spans="2:45" x14ac:dyDescent="0.35">
      <c r="B400" s="452" t="s">
        <v>1139</v>
      </c>
      <c r="C400" s="53"/>
      <c r="D400" s="13"/>
      <c r="E400" s="13"/>
      <c r="F400" s="13"/>
      <c r="G400" s="13"/>
      <c r="H400" s="550"/>
      <c r="I400" s="4"/>
      <c r="J400" s="104"/>
      <c r="K400" s="104"/>
      <c r="L400" s="714"/>
      <c r="M400" s="43"/>
      <c r="N400" s="4"/>
      <c r="O400" s="85"/>
      <c r="X400" s="688"/>
    </row>
    <row r="401" spans="2:45" x14ac:dyDescent="0.35">
      <c r="B401" s="452" t="s">
        <v>1139</v>
      </c>
      <c r="C401" s="53"/>
      <c r="D401" s="13"/>
      <c r="E401" s="13"/>
      <c r="F401" s="13"/>
      <c r="G401" s="13"/>
      <c r="H401" s="550"/>
      <c r="I401" s="4"/>
      <c r="J401" s="104"/>
      <c r="K401" s="104"/>
      <c r="L401" s="714"/>
      <c r="M401" s="43"/>
      <c r="N401" s="4"/>
      <c r="O401" s="85"/>
      <c r="X401" s="688"/>
    </row>
    <row r="402" spans="2:45" x14ac:dyDescent="0.35">
      <c r="B402" s="452" t="s">
        <v>1139</v>
      </c>
      <c r="C402" s="53"/>
      <c r="D402" s="13"/>
      <c r="E402" s="13"/>
      <c r="F402" s="13"/>
      <c r="G402" s="13"/>
      <c r="H402" s="550"/>
      <c r="I402" s="4"/>
      <c r="J402" s="104"/>
      <c r="K402" s="104"/>
      <c r="L402" s="714"/>
      <c r="M402" s="43"/>
      <c r="N402" s="4"/>
      <c r="O402" s="85"/>
      <c r="X402" s="688"/>
    </row>
    <row r="403" spans="2:45" x14ac:dyDescent="0.35">
      <c r="B403" s="452" t="s">
        <v>1139</v>
      </c>
      <c r="C403" s="53"/>
      <c r="D403" s="13"/>
      <c r="E403" s="13"/>
      <c r="F403" s="13"/>
      <c r="G403" s="13"/>
      <c r="H403" s="550"/>
      <c r="I403" s="155"/>
      <c r="J403" s="214"/>
      <c r="K403" s="214"/>
      <c r="L403" s="755"/>
      <c r="M403" s="198"/>
      <c r="N403" s="155"/>
      <c r="O403" s="342"/>
      <c r="P403" s="119"/>
      <c r="Q403" s="119"/>
      <c r="R403" s="119"/>
      <c r="S403" s="119"/>
      <c r="T403" s="119"/>
      <c r="U403" s="119"/>
      <c r="V403" s="119"/>
      <c r="W403" s="119"/>
      <c r="X403" s="688"/>
    </row>
    <row r="404" spans="2:45" x14ac:dyDescent="0.35">
      <c r="B404" s="53" t="s">
        <v>1152</v>
      </c>
      <c r="C404" s="53"/>
      <c r="D404" s="13"/>
      <c r="E404" s="13"/>
      <c r="F404" s="13"/>
      <c r="G404" s="13"/>
      <c r="H404" s="550"/>
      <c r="I404" s="362" t="s">
        <v>1152</v>
      </c>
      <c r="J404" s="320"/>
      <c r="K404" s="320"/>
      <c r="L404" s="753" t="s">
        <v>1153</v>
      </c>
      <c r="M404" s="712">
        <v>1</v>
      </c>
      <c r="N404" s="136"/>
      <c r="O404" s="713">
        <f ca="1">M404*S404*W404</f>
        <v>0</v>
      </c>
      <c r="P404" t="b">
        <v>1</v>
      </c>
      <c r="Q404" t="b">
        <v>1</v>
      </c>
      <c r="R404" t="b">
        <v>0</v>
      </c>
      <c r="S404" t="b">
        <f ca="1">(S13=2)</f>
        <v>1</v>
      </c>
      <c r="T404" t="b">
        <f ca="1">AND(NOT(S404),W404=TRUE)</f>
        <v>0</v>
      </c>
      <c r="W404" s="77"/>
      <c r="X404" s="700"/>
      <c r="AC404" t="b">
        <f ca="1">OR(AD404:AE404)</f>
        <v>0</v>
      </c>
      <c r="AD404" t="b">
        <f ca="1">T404</f>
        <v>0</v>
      </c>
      <c r="AE404" t="b">
        <f>AND(R404,NOT(W404))</f>
        <v>0</v>
      </c>
      <c r="AL404" t="str">
        <f>SUBSTITUTE(SUBSTITUTE(SUBSTITUTE("dpa"&amp;$B404&amp;$C404&amp;$D404&amp;$E404&amp;$F404,".","_"),"(","_"),")","")</f>
        <v xml:space="preserve">dpa703_7_2 </v>
      </c>
      <c r="AM404">
        <f>M404</f>
        <v>1</v>
      </c>
      <c r="AN404" t="str">
        <f>SUBSTITUTE(SUBSTITUTE(SUBSTITUTE("dpc"&amp;$B404&amp;$C404&amp;$D404&amp;$E404&amp;$F404,".","_"),"(","_"),")","")</f>
        <v xml:space="preserve">dpc703_7_2 </v>
      </c>
      <c r="AO404">
        <f ca="1">O404</f>
        <v>0</v>
      </c>
      <c r="AP404" t="str">
        <f>SUBSTITUTE(SUBSTITUTE(SUBSTITUTE("dch"&amp;$B404&amp;$C404&amp;$D404&amp;$E404&amp;$F404,".","_"),"(","_"),")","")</f>
        <v xml:space="preserve">dch703_7_2 </v>
      </c>
      <c r="AQ404">
        <f>W404</f>
        <v>0</v>
      </c>
      <c r="AR404" t="str">
        <f>SUBSTITUTE(SUBSTITUTE(SUBSTITUTE("dnt"&amp;$B404&amp;$C404&amp;$D404&amp;$E404&amp;$F404,".","_"),"(","_"),")","")</f>
        <v xml:space="preserve">dnt703_7_2 </v>
      </c>
      <c r="AS404">
        <f>X404</f>
        <v>0</v>
      </c>
    </row>
    <row r="405" spans="2:45" x14ac:dyDescent="0.35">
      <c r="B405" s="53" t="s">
        <v>1152</v>
      </c>
      <c r="C405" s="53"/>
      <c r="D405" s="13"/>
      <c r="E405" s="13"/>
      <c r="F405" s="13"/>
      <c r="G405" s="13"/>
      <c r="H405" s="550"/>
      <c r="I405" s="155"/>
      <c r="J405" s="214"/>
      <c r="K405" s="214"/>
      <c r="L405" s="739"/>
      <c r="M405" s="691"/>
      <c r="N405" s="155"/>
      <c r="O405" s="697"/>
      <c r="X405" s="688"/>
    </row>
    <row r="406" spans="2:45" x14ac:dyDescent="0.35">
      <c r="B406" s="452" t="s">
        <v>1154</v>
      </c>
      <c r="C406" s="53"/>
      <c r="D406" s="13"/>
      <c r="E406" s="13"/>
      <c r="F406" s="13"/>
      <c r="G406" s="13"/>
      <c r="H406" s="550"/>
      <c r="I406" s="34" t="s">
        <v>1154</v>
      </c>
      <c r="J406" s="104"/>
      <c r="K406" s="104"/>
      <c r="L406" s="706" t="s">
        <v>1155</v>
      </c>
      <c r="M406" s="43"/>
      <c r="N406" s="4"/>
      <c r="O406" s="696">
        <f ca="1">INDEX({0,3,4},MATCH(S408,{0,3,4},1))*S412</f>
        <v>0</v>
      </c>
      <c r="AN406" t="str">
        <f>SUBSTITUTE(SUBSTITUTE(SUBSTITUTE("dpc"&amp;$B406&amp;$C406&amp;$D406&amp;$E406&amp;$F406,".","_"),"(","_"),")","")</f>
        <v>dpc703_7_3</v>
      </c>
      <c r="AO406">
        <f ca="1">O406</f>
        <v>0</v>
      </c>
    </row>
    <row r="407" spans="2:45" x14ac:dyDescent="0.35">
      <c r="B407" s="452" t="s">
        <v>1154</v>
      </c>
      <c r="C407" s="53"/>
      <c r="D407" s="13"/>
      <c r="E407" s="13"/>
      <c r="F407" s="13"/>
      <c r="G407" s="13"/>
      <c r="H407" s="550"/>
      <c r="I407" s="4"/>
      <c r="J407" s="104"/>
      <c r="K407" s="104"/>
      <c r="L407" s="706"/>
      <c r="M407" s="43"/>
      <c r="N407" s="4"/>
      <c r="O407" s="696"/>
    </row>
    <row r="408" spans="2:45" x14ac:dyDescent="0.35">
      <c r="B408" s="452" t="s">
        <v>1154</v>
      </c>
      <c r="C408" s="53"/>
      <c r="D408" s="83" t="s">
        <v>270</v>
      </c>
      <c r="E408" s="13"/>
      <c r="F408" s="13"/>
      <c r="G408" s="13"/>
      <c r="H408" s="550"/>
      <c r="I408" s="4"/>
      <c r="J408" s="104"/>
      <c r="K408" s="104"/>
      <c r="L408" s="107" t="s">
        <v>1156</v>
      </c>
      <c r="M408" s="43">
        <v>3</v>
      </c>
      <c r="N408" s="4"/>
      <c r="O408" s="85"/>
      <c r="R408" t="s">
        <v>3873</v>
      </c>
      <c r="S408" s="1">
        <f ca="1">(1*MIN(1,COUNTIF(W412:W416,TRUE))+1*S418*W418+1*W421+1*S422*W422+1*MIN(1,COUNTIF(W427:W429,TRUE))+1*W431)</f>
        <v>0</v>
      </c>
      <c r="AL408" t="str">
        <f t="shared" ref="AL408:AL409" si="40">SUBSTITUTE(SUBSTITUTE(SUBSTITUTE("dpa"&amp;$B408&amp;$C408&amp;$D408&amp;$E408&amp;$F408,".","_"),"(","_"),")","")</f>
        <v>dpa703_7_3_1</v>
      </c>
      <c r="AM408">
        <f>M408</f>
        <v>3</v>
      </c>
    </row>
    <row r="409" spans="2:45" x14ac:dyDescent="0.35">
      <c r="B409" s="452" t="s">
        <v>1154</v>
      </c>
      <c r="C409" s="53"/>
      <c r="D409" s="13" t="s">
        <v>272</v>
      </c>
      <c r="E409" s="13"/>
      <c r="F409" s="13"/>
      <c r="G409" s="13"/>
      <c r="H409" s="550"/>
      <c r="I409" s="4"/>
      <c r="J409" s="104"/>
      <c r="K409" s="104"/>
      <c r="L409" s="107" t="s">
        <v>1157</v>
      </c>
      <c r="M409" s="43">
        <v>1</v>
      </c>
      <c r="N409" s="4"/>
      <c r="O409" s="85"/>
      <c r="AL409" t="str">
        <f t="shared" si="40"/>
        <v>dpa703_7_3_2</v>
      </c>
      <c r="AM409">
        <f>M409</f>
        <v>1</v>
      </c>
    </row>
    <row r="410" spans="2:45" x14ac:dyDescent="0.35">
      <c r="B410" s="452" t="s">
        <v>1154</v>
      </c>
      <c r="C410" s="53"/>
      <c r="D410" s="83" t="s">
        <v>270</v>
      </c>
      <c r="E410" s="13"/>
      <c r="F410" s="13"/>
      <c r="G410" s="13"/>
      <c r="H410" s="550"/>
      <c r="I410" s="4"/>
      <c r="J410" s="179" t="s">
        <v>270</v>
      </c>
      <c r="K410" s="104"/>
      <c r="L410" s="707" t="s">
        <v>1158</v>
      </c>
      <c r="M410" s="43"/>
      <c r="N410" s="4"/>
      <c r="O410" s="85"/>
    </row>
    <row r="411" spans="2:45" x14ac:dyDescent="0.35">
      <c r="B411" s="452" t="s">
        <v>1154</v>
      </c>
      <c r="C411" s="53"/>
      <c r="D411" s="83" t="s">
        <v>270</v>
      </c>
      <c r="E411" s="13"/>
      <c r="F411" s="13"/>
      <c r="G411" s="13"/>
      <c r="H411" s="550"/>
      <c r="I411" s="4"/>
      <c r="J411" s="104"/>
      <c r="K411" s="104"/>
      <c r="L411" s="707"/>
      <c r="M411" s="43"/>
      <c r="N411" s="4"/>
      <c r="O411" s="85"/>
    </row>
    <row r="412" spans="2:45" x14ac:dyDescent="0.35">
      <c r="B412" s="452" t="s">
        <v>1154</v>
      </c>
      <c r="C412" s="53"/>
      <c r="D412" s="83" t="s">
        <v>270</v>
      </c>
      <c r="E412" s="13" t="s">
        <v>121</v>
      </c>
      <c r="F412" s="13"/>
      <c r="G412" s="13"/>
      <c r="H412" s="550"/>
      <c r="I412" s="4"/>
      <c r="J412" s="104"/>
      <c r="K412" s="175" t="s">
        <v>121</v>
      </c>
      <c r="L412" s="707" t="s">
        <v>1159</v>
      </c>
      <c r="M412" s="43"/>
      <c r="N412" s="4"/>
      <c r="O412" s="85"/>
      <c r="P412" t="b">
        <v>1</v>
      </c>
      <c r="Q412" t="b">
        <v>1</v>
      </c>
      <c r="R412" t="b">
        <v>0</v>
      </c>
      <c r="S412" t="b">
        <f ca="1">(S13=2)</f>
        <v>1</v>
      </c>
      <c r="T412" t="b">
        <f ca="1">AND(NOT(S412),W412=TRUE)</f>
        <v>0</v>
      </c>
      <c r="W412" s="17"/>
      <c r="X412" s="688"/>
      <c r="AC412" t="b">
        <f ca="1">OR(AD412:AE412)</f>
        <v>0</v>
      </c>
      <c r="AD412" t="b">
        <f ca="1">T412</f>
        <v>0</v>
      </c>
      <c r="AE412" t="b">
        <f>AND(R412,NOT(W412))</f>
        <v>0</v>
      </c>
      <c r="AP412" t="str">
        <f>SUBSTITUTE(SUBSTITUTE(SUBSTITUTE("dch"&amp;$B412&amp;$C412&amp;$D412&amp;$E412&amp;$F412,".","_"),"(","_"),")","")</f>
        <v>dch703_7_3_1_a</v>
      </c>
      <c r="AQ412">
        <f>W412</f>
        <v>0</v>
      </c>
      <c r="AR412" t="str">
        <f>SUBSTITUTE(SUBSTITUTE(SUBSTITUTE("dnt"&amp;$B412&amp;$C412&amp;$D412&amp;$E412&amp;$F412,".","_"),"(","_"),")","")</f>
        <v>dnt703_7_3_1_a</v>
      </c>
      <c r="AS412">
        <f>X412</f>
        <v>0</v>
      </c>
    </row>
    <row r="413" spans="2:45" x14ac:dyDescent="0.35">
      <c r="B413" s="452" t="s">
        <v>1154</v>
      </c>
      <c r="C413" s="53"/>
      <c r="D413" s="83" t="s">
        <v>270</v>
      </c>
      <c r="E413" s="13" t="s">
        <v>121</v>
      </c>
      <c r="F413" s="13"/>
      <c r="G413" s="13"/>
      <c r="H413" s="550"/>
      <c r="I413" s="4"/>
      <c r="J413" s="104"/>
      <c r="K413" s="104"/>
      <c r="L413" s="707"/>
      <c r="M413" s="43"/>
      <c r="N413" s="4"/>
      <c r="O413" s="85"/>
      <c r="X413" s="688"/>
    </row>
    <row r="414" spans="2:45" x14ac:dyDescent="0.35">
      <c r="B414" s="452" t="s">
        <v>1154</v>
      </c>
      <c r="C414" s="53"/>
      <c r="D414" s="83" t="s">
        <v>270</v>
      </c>
      <c r="E414" s="13" t="s">
        <v>122</v>
      </c>
      <c r="F414" s="13"/>
      <c r="G414" s="13"/>
      <c r="H414" s="550"/>
      <c r="I414" s="4"/>
      <c r="J414" s="104"/>
      <c r="K414" s="175" t="s">
        <v>122</v>
      </c>
      <c r="L414" s="104" t="s">
        <v>1160</v>
      </c>
      <c r="M414" s="43"/>
      <c r="N414" s="4"/>
      <c r="O414" s="85"/>
      <c r="P414" t="b">
        <v>1</v>
      </c>
      <c r="Q414" t="b">
        <v>1</v>
      </c>
      <c r="R414" t="b">
        <v>0</v>
      </c>
      <c r="S414" t="b">
        <f ca="1">(S13=2)</f>
        <v>1</v>
      </c>
      <c r="T414" t="b">
        <f ca="1">AND(NOT(S414),W414=TRUE)</f>
        <v>0</v>
      </c>
      <c r="W414" s="17"/>
      <c r="X414" s="39"/>
      <c r="AC414" t="b">
        <f ca="1">OR(AD414:AE414)</f>
        <v>0</v>
      </c>
      <c r="AD414" t="b">
        <f ca="1">T414</f>
        <v>0</v>
      </c>
      <c r="AE414" t="b">
        <f>AND(R414,NOT(W414))</f>
        <v>0</v>
      </c>
      <c r="AP414" t="str">
        <f t="shared" ref="AP414:AP416" si="41">SUBSTITUTE(SUBSTITUTE(SUBSTITUTE("dch"&amp;$B414&amp;$C414&amp;$D414&amp;$E414&amp;$F414,".","_"),"(","_"),")","")</f>
        <v>dch703_7_3_1_b</v>
      </c>
      <c r="AQ414">
        <f>W414</f>
        <v>0</v>
      </c>
      <c r="AR414" t="str">
        <f t="shared" ref="AR414:AR416" si="42">SUBSTITUTE(SUBSTITUTE(SUBSTITUTE("dnt"&amp;$B414&amp;$C414&amp;$D414&amp;$E414&amp;$F414,".","_"),"(","_"),")","")</f>
        <v>dnt703_7_3_1_b</v>
      </c>
      <c r="AS414">
        <f>X414</f>
        <v>0</v>
      </c>
    </row>
    <row r="415" spans="2:45" x14ac:dyDescent="0.35">
      <c r="B415" s="452" t="s">
        <v>1154</v>
      </c>
      <c r="C415" s="53"/>
      <c r="D415" s="83" t="s">
        <v>270</v>
      </c>
      <c r="E415" s="18" t="s">
        <v>123</v>
      </c>
      <c r="F415" s="18"/>
      <c r="G415" s="18"/>
      <c r="H415" s="551"/>
      <c r="I415" s="4"/>
      <c r="J415" s="104"/>
      <c r="K415" s="176" t="s">
        <v>123</v>
      </c>
      <c r="L415" s="104" t="s">
        <v>1161</v>
      </c>
      <c r="M415" s="43"/>
      <c r="N415" s="4"/>
      <c r="O415" s="85"/>
      <c r="P415" t="b">
        <v>1</v>
      </c>
      <c r="Q415" t="b">
        <v>1</v>
      </c>
      <c r="R415" t="b">
        <v>0</v>
      </c>
      <c r="S415" t="b">
        <f ca="1">(S13=2)</f>
        <v>1</v>
      </c>
      <c r="T415" t="b">
        <f ca="1">AND(NOT(S415),W415=TRUE)</f>
        <v>0</v>
      </c>
      <c r="W415" s="17"/>
      <c r="X415" s="39"/>
      <c r="AC415" t="b">
        <f ca="1">OR(AD415:AE415)</f>
        <v>0</v>
      </c>
      <c r="AD415" t="b">
        <f ca="1">T415</f>
        <v>0</v>
      </c>
      <c r="AE415" t="b">
        <f>AND(R415,NOT(W415))</f>
        <v>0</v>
      </c>
      <c r="AP415" t="str">
        <f t="shared" si="41"/>
        <v>dch703_7_3_1_c</v>
      </c>
      <c r="AQ415">
        <f>W415</f>
        <v>0</v>
      </c>
      <c r="AR415" t="str">
        <f t="shared" si="42"/>
        <v>dnt703_7_3_1_c</v>
      </c>
      <c r="AS415">
        <f>X415</f>
        <v>0</v>
      </c>
    </row>
    <row r="416" spans="2:45" x14ac:dyDescent="0.35">
      <c r="B416" s="452" t="s">
        <v>1154</v>
      </c>
      <c r="C416" s="53"/>
      <c r="D416" s="83" t="s">
        <v>270</v>
      </c>
      <c r="E416" s="13" t="s">
        <v>420</v>
      </c>
      <c r="F416" s="13"/>
      <c r="G416" s="13"/>
      <c r="H416" s="550"/>
      <c r="I416" s="4"/>
      <c r="J416" s="104"/>
      <c r="K416" s="110" t="s">
        <v>420</v>
      </c>
      <c r="L416" s="707" t="s">
        <v>1162</v>
      </c>
      <c r="M416" s="43"/>
      <c r="N416" s="4"/>
      <c r="O416" s="85"/>
      <c r="P416" t="b">
        <v>1</v>
      </c>
      <c r="Q416" t="b">
        <v>1</v>
      </c>
      <c r="R416" t="b">
        <v>0</v>
      </c>
      <c r="S416" t="b">
        <f ca="1">(S13=2)</f>
        <v>1</v>
      </c>
      <c r="T416" t="b">
        <f ca="1">AND(NOT(S416),W416=TRUE)</f>
        <v>0</v>
      </c>
      <c r="W416" s="17"/>
      <c r="X416" s="688"/>
      <c r="AC416" t="b">
        <f ca="1">OR(AD416:AE416)</f>
        <v>0</v>
      </c>
      <c r="AD416" t="b">
        <f ca="1">T416</f>
        <v>0</v>
      </c>
      <c r="AE416" t="b">
        <f>AND(R416,NOT(W416))</f>
        <v>0</v>
      </c>
      <c r="AP416" t="str">
        <f t="shared" si="41"/>
        <v>dch703_7_3_1_d</v>
      </c>
      <c r="AQ416">
        <f>W416</f>
        <v>0</v>
      </c>
      <c r="AR416" t="str">
        <f t="shared" si="42"/>
        <v>dnt703_7_3_1_d</v>
      </c>
      <c r="AS416">
        <f>X416</f>
        <v>0</v>
      </c>
    </row>
    <row r="417" spans="2:45" x14ac:dyDescent="0.35">
      <c r="B417" s="452" t="s">
        <v>1154</v>
      </c>
      <c r="C417" s="53"/>
      <c r="D417" s="83" t="s">
        <v>270</v>
      </c>
      <c r="E417" s="13" t="s">
        <v>420</v>
      </c>
      <c r="F417" s="13"/>
      <c r="G417" s="13"/>
      <c r="H417" s="550"/>
      <c r="I417" s="4"/>
      <c r="J417" s="214"/>
      <c r="K417" s="214"/>
      <c r="L417" s="709"/>
      <c r="M417" s="43"/>
      <c r="N417" s="4"/>
      <c r="O417" s="85"/>
      <c r="X417" s="688"/>
    </row>
    <row r="418" spans="2:45" x14ac:dyDescent="0.35">
      <c r="B418" s="452" t="s">
        <v>1154</v>
      </c>
      <c r="C418" s="53"/>
      <c r="D418" s="13" t="s">
        <v>272</v>
      </c>
      <c r="E418" s="13"/>
      <c r="F418" s="13"/>
      <c r="G418" s="13"/>
      <c r="H418" s="550"/>
      <c r="I418" s="4"/>
      <c r="J418" s="179" t="s">
        <v>272</v>
      </c>
      <c r="K418" s="104"/>
      <c r="L418" s="707" t="s">
        <v>1163</v>
      </c>
      <c r="M418" s="43"/>
      <c r="N418" s="4"/>
      <c r="O418" s="85"/>
      <c r="P418" t="b">
        <v>1</v>
      </c>
      <c r="Q418" t="b">
        <v>1</v>
      </c>
      <c r="R418" t="b">
        <v>0</v>
      </c>
      <c r="S418" t="b">
        <f ca="1">AND(S13=2,NOT(W376=TRUE))</f>
        <v>1</v>
      </c>
      <c r="T418" t="b">
        <f ca="1">AND(NOT(S418),W418=TRUE)</f>
        <v>0</v>
      </c>
      <c r="W418" s="17"/>
      <c r="X418" s="688"/>
      <c r="AC418" t="b">
        <f ca="1">OR(AD418:AE418)</f>
        <v>0</v>
      </c>
      <c r="AD418" t="b">
        <f ca="1">T418</f>
        <v>0</v>
      </c>
      <c r="AE418" t="b">
        <f>AND(R418,NOT(W418))</f>
        <v>0</v>
      </c>
      <c r="AP418" t="str">
        <f>SUBSTITUTE(SUBSTITUTE(SUBSTITUTE("dch"&amp;$B418&amp;$C418&amp;$D418&amp;$E418&amp;$F418,".","_"),"(","_"),")","")</f>
        <v>dch703_7_3_2</v>
      </c>
      <c r="AQ418">
        <f>W418</f>
        <v>0</v>
      </c>
      <c r="AR418" t="str">
        <f>SUBSTITUTE(SUBSTITUTE(SUBSTITUTE("dnt"&amp;$B418&amp;$C418&amp;$D418&amp;$E418&amp;$F418,".","_"),"(","_"),")","")</f>
        <v>dnt703_7_3_2</v>
      </c>
      <c r="AS418">
        <f>X418</f>
        <v>0</v>
      </c>
    </row>
    <row r="419" spans="2:45" x14ac:dyDescent="0.35">
      <c r="B419" s="452" t="s">
        <v>1154</v>
      </c>
      <c r="C419" s="53"/>
      <c r="D419" s="13" t="s">
        <v>272</v>
      </c>
      <c r="E419" s="13"/>
      <c r="F419" s="13"/>
      <c r="G419" s="13"/>
      <c r="H419" s="550"/>
      <c r="I419" s="4"/>
      <c r="J419" s="104"/>
      <c r="K419" s="104"/>
      <c r="L419" s="707"/>
      <c r="M419" s="43"/>
      <c r="N419" s="4"/>
      <c r="O419" s="85"/>
      <c r="X419" s="688"/>
    </row>
    <row r="420" spans="2:45" x14ac:dyDescent="0.35">
      <c r="B420" s="452" t="s">
        <v>1154</v>
      </c>
      <c r="C420" s="53"/>
      <c r="D420" s="13" t="s">
        <v>272</v>
      </c>
      <c r="E420" s="13"/>
      <c r="F420" s="13"/>
      <c r="G420" s="13"/>
      <c r="H420" s="550"/>
      <c r="I420" s="4"/>
      <c r="J420" s="214"/>
      <c r="K420" s="214"/>
      <c r="L420" s="165" t="s">
        <v>1164</v>
      </c>
      <c r="M420" s="43"/>
      <c r="N420" s="4"/>
      <c r="O420" s="85"/>
      <c r="X420" s="688"/>
    </row>
    <row r="421" spans="2:45" x14ac:dyDescent="0.35">
      <c r="B421" s="452" t="s">
        <v>1154</v>
      </c>
      <c r="C421" s="53"/>
      <c r="D421" s="13" t="s">
        <v>274</v>
      </c>
      <c r="E421" s="13"/>
      <c r="F421" s="13"/>
      <c r="G421" s="13"/>
      <c r="H421" s="550"/>
      <c r="I421" s="4"/>
      <c r="J421" s="384" t="s">
        <v>274</v>
      </c>
      <c r="K421" s="220"/>
      <c r="L421" s="220" t="s">
        <v>1165</v>
      </c>
      <c r="M421" s="43"/>
      <c r="N421" s="4"/>
      <c r="O421" s="85"/>
      <c r="P421" t="b">
        <v>1</v>
      </c>
      <c r="Q421" t="b">
        <v>1</v>
      </c>
      <c r="R421" t="b">
        <v>0</v>
      </c>
      <c r="S421" t="b">
        <f ca="1">(S13=2)</f>
        <v>1</v>
      </c>
      <c r="T421" t="b">
        <f ca="1">AND(NOT(S421),W421=TRUE)</f>
        <v>0</v>
      </c>
      <c r="W421" s="17"/>
      <c r="X421" s="39"/>
      <c r="AC421" t="b">
        <f ca="1">OR(AD421:AE421)</f>
        <v>0</v>
      </c>
      <c r="AD421" t="b">
        <f ca="1">T421</f>
        <v>0</v>
      </c>
      <c r="AE421" t="b">
        <f>AND(R421,NOT(W421))</f>
        <v>0</v>
      </c>
      <c r="AP421" t="str">
        <f t="shared" ref="AP421:AP422" si="43">SUBSTITUTE(SUBSTITUTE(SUBSTITUTE("dch"&amp;$B421&amp;$C421&amp;$D421&amp;$E421&amp;$F421,".","_"),"(","_"),")","")</f>
        <v>dch703_7_3_3</v>
      </c>
      <c r="AQ421">
        <f>W421</f>
        <v>0</v>
      </c>
      <c r="AR421" t="str">
        <f t="shared" ref="AR421:AR422" si="44">SUBSTITUTE(SUBSTITUTE(SUBSTITUTE("dnt"&amp;$B421&amp;$C421&amp;$D421&amp;$E421&amp;$F421,".","_"),"(","_"),")","")</f>
        <v>dnt703_7_3_3</v>
      </c>
      <c r="AS421">
        <f>X421</f>
        <v>0</v>
      </c>
    </row>
    <row r="422" spans="2:45" x14ac:dyDescent="0.35">
      <c r="B422" s="452" t="s">
        <v>1154</v>
      </c>
      <c r="C422" s="53"/>
      <c r="D422" s="13" t="s">
        <v>283</v>
      </c>
      <c r="E422" s="13"/>
      <c r="F422" s="13"/>
      <c r="G422" s="13"/>
      <c r="H422" s="550"/>
      <c r="I422" s="4"/>
      <c r="J422" s="385" t="s">
        <v>283</v>
      </c>
      <c r="K422" s="320"/>
      <c r="L422" s="742" t="s">
        <v>1166</v>
      </c>
      <c r="M422" s="43"/>
      <c r="N422" s="4"/>
      <c r="O422" s="85"/>
      <c r="P422" t="b">
        <v>1</v>
      </c>
      <c r="Q422" t="b">
        <v>1</v>
      </c>
      <c r="R422" t="b">
        <v>0</v>
      </c>
      <c r="S422" t="b">
        <f ca="1">AND(S13=2,OR(BF17=1,BF17=2,BF17=3))</f>
        <v>0</v>
      </c>
      <c r="T422" t="b">
        <f ca="1">AND(NOT(S422),W422=TRUE)</f>
        <v>0</v>
      </c>
      <c r="W422" s="17"/>
      <c r="X422" s="688"/>
      <c r="AC422" t="b">
        <f ca="1">OR(AD422:AE422)</f>
        <v>0</v>
      </c>
      <c r="AD422" t="b">
        <f ca="1">T422</f>
        <v>0</v>
      </c>
      <c r="AE422" t="b">
        <f>AND(R422,NOT(W422))</f>
        <v>0</v>
      </c>
      <c r="AP422" t="str">
        <f t="shared" si="43"/>
        <v>dch703_7_3_4</v>
      </c>
      <c r="AQ422">
        <f>W422</f>
        <v>0</v>
      </c>
      <c r="AR422" t="str">
        <f t="shared" si="44"/>
        <v>dnt703_7_3_4</v>
      </c>
      <c r="AS422">
        <f>X422</f>
        <v>0</v>
      </c>
    </row>
    <row r="423" spans="2:45" x14ac:dyDescent="0.35">
      <c r="B423" s="452" t="s">
        <v>1154</v>
      </c>
      <c r="C423" s="53"/>
      <c r="D423" s="13" t="s">
        <v>283</v>
      </c>
      <c r="E423" s="13"/>
      <c r="F423" s="13"/>
      <c r="G423" s="13"/>
      <c r="H423" s="550"/>
      <c r="I423" s="4"/>
      <c r="J423" s="214"/>
      <c r="K423" s="214"/>
      <c r="L423" s="709"/>
      <c r="M423" s="43"/>
      <c r="N423" s="4"/>
      <c r="O423" s="85"/>
      <c r="X423" s="688"/>
    </row>
    <row r="424" spans="2:45" x14ac:dyDescent="0.35">
      <c r="B424" s="452" t="s">
        <v>1154</v>
      </c>
      <c r="C424" s="53"/>
      <c r="D424" s="13" t="s">
        <v>289</v>
      </c>
      <c r="E424" s="13"/>
      <c r="F424" s="13"/>
      <c r="G424" s="13"/>
      <c r="H424" s="550"/>
      <c r="I424" s="4"/>
      <c r="J424" s="179" t="s">
        <v>289</v>
      </c>
      <c r="K424" s="104"/>
      <c r="L424" s="707" t="s">
        <v>1167</v>
      </c>
      <c r="M424" s="43"/>
      <c r="N424" s="4"/>
      <c r="O424" s="85"/>
    </row>
    <row r="425" spans="2:45" x14ac:dyDescent="0.35">
      <c r="B425" s="452" t="s">
        <v>1154</v>
      </c>
      <c r="C425" s="53"/>
      <c r="D425" s="13" t="s">
        <v>289</v>
      </c>
      <c r="E425" s="13"/>
      <c r="F425" s="13"/>
      <c r="G425" s="13"/>
      <c r="H425" s="550"/>
      <c r="I425" s="4"/>
      <c r="J425" s="104"/>
      <c r="K425" s="104"/>
      <c r="L425" s="707"/>
      <c r="M425" s="43"/>
      <c r="N425" s="4"/>
      <c r="O425" s="85"/>
    </row>
    <row r="426" spans="2:45" x14ac:dyDescent="0.35">
      <c r="B426" s="452" t="s">
        <v>1154</v>
      </c>
      <c r="C426" s="53"/>
      <c r="D426" s="13" t="s">
        <v>289</v>
      </c>
      <c r="E426" s="13"/>
      <c r="F426" s="13"/>
      <c r="G426" s="13"/>
      <c r="H426" s="550"/>
      <c r="I426" s="4"/>
      <c r="J426" s="104"/>
      <c r="K426" s="104"/>
      <c r="L426" s="707"/>
      <c r="M426" s="43"/>
      <c r="N426" s="4"/>
      <c r="O426" s="85"/>
    </row>
    <row r="427" spans="2:45" x14ac:dyDescent="0.35">
      <c r="B427" s="452" t="s">
        <v>1154</v>
      </c>
      <c r="C427" s="53"/>
      <c r="D427" s="83" t="s">
        <v>289</v>
      </c>
      <c r="E427" s="13" t="s">
        <v>121</v>
      </c>
      <c r="F427" s="13"/>
      <c r="G427" s="13"/>
      <c r="H427" s="550"/>
      <c r="I427" s="4"/>
      <c r="J427" s="104"/>
      <c r="K427" s="175" t="s">
        <v>121</v>
      </c>
      <c r="L427" s="707" t="s">
        <v>1168</v>
      </c>
      <c r="M427" s="43"/>
      <c r="N427" s="4"/>
      <c r="O427" s="85"/>
      <c r="P427" t="b">
        <v>1</v>
      </c>
      <c r="Q427" t="b">
        <v>1</v>
      </c>
      <c r="R427" t="b">
        <v>0</v>
      </c>
      <c r="S427" t="b">
        <f ca="1">(S13=2)</f>
        <v>1</v>
      </c>
      <c r="T427" t="b">
        <f ca="1">AND(NOT(S427),W427=TRUE)</f>
        <v>0</v>
      </c>
      <c r="W427" s="17"/>
      <c r="X427" s="688"/>
      <c r="AC427" t="b">
        <f ca="1">OR(AD427:AE427)</f>
        <v>0</v>
      </c>
      <c r="AD427" t="b">
        <f ca="1">T427</f>
        <v>0</v>
      </c>
      <c r="AE427" t="b">
        <f>AND(R427,NOT(W427))</f>
        <v>0</v>
      </c>
      <c r="AP427" t="str">
        <f>SUBSTITUTE(SUBSTITUTE(SUBSTITUTE("dch"&amp;$B427&amp;$C427&amp;$D427&amp;$E427&amp;$F427,".","_"),"(","_"),")","")</f>
        <v>dch703_7_3_5_a</v>
      </c>
      <c r="AQ427">
        <f>W427</f>
        <v>0</v>
      </c>
      <c r="AR427" t="str">
        <f>SUBSTITUTE(SUBSTITUTE(SUBSTITUTE("dnt"&amp;$B427&amp;$C427&amp;$D427&amp;$E427&amp;$F427,".","_"),"(","_"),")","")</f>
        <v>dnt703_7_3_5_a</v>
      </c>
      <c r="AS427">
        <f>X427</f>
        <v>0</v>
      </c>
    </row>
    <row r="428" spans="2:45" x14ac:dyDescent="0.35">
      <c r="B428" s="452" t="s">
        <v>1154</v>
      </c>
      <c r="C428" s="53"/>
      <c r="D428" s="83" t="s">
        <v>289</v>
      </c>
      <c r="E428" s="13" t="s">
        <v>121</v>
      </c>
      <c r="F428" s="13"/>
      <c r="G428" s="13"/>
      <c r="H428" s="550"/>
      <c r="I428" s="4"/>
      <c r="J428" s="104"/>
      <c r="K428" s="104"/>
      <c r="L428" s="707"/>
      <c r="M428" s="43"/>
      <c r="N428" s="4"/>
      <c r="O428" s="85"/>
      <c r="X428" s="688"/>
    </row>
    <row r="429" spans="2:45" x14ac:dyDescent="0.35">
      <c r="B429" s="452" t="s">
        <v>1154</v>
      </c>
      <c r="C429" s="53"/>
      <c r="D429" s="83" t="s">
        <v>289</v>
      </c>
      <c r="E429" s="13" t="s">
        <v>122</v>
      </c>
      <c r="F429" s="13"/>
      <c r="G429" s="13"/>
      <c r="H429" s="550"/>
      <c r="I429" s="4"/>
      <c r="J429" s="104"/>
      <c r="K429" s="175" t="s">
        <v>122</v>
      </c>
      <c r="L429" s="707" t="s">
        <v>1169</v>
      </c>
      <c r="M429" s="43"/>
      <c r="N429" s="4"/>
      <c r="O429" s="85"/>
      <c r="P429" t="b">
        <v>1</v>
      </c>
      <c r="Q429" t="b">
        <v>1</v>
      </c>
      <c r="R429" t="b">
        <v>0</v>
      </c>
      <c r="S429" t="b">
        <f ca="1">(S13=2)</f>
        <v>1</v>
      </c>
      <c r="T429" t="b">
        <f ca="1">AND(NOT(S429),W429=TRUE)</f>
        <v>0</v>
      </c>
      <c r="W429" s="17"/>
      <c r="X429" s="688"/>
      <c r="AC429" t="b">
        <f ca="1">OR(AD429:AE429)</f>
        <v>0</v>
      </c>
      <c r="AD429" t="b">
        <f ca="1">T429</f>
        <v>0</v>
      </c>
      <c r="AE429" t="b">
        <f>AND(R429,NOT(W429))</f>
        <v>0</v>
      </c>
      <c r="AP429" t="str">
        <f>SUBSTITUTE(SUBSTITUTE(SUBSTITUTE("dch"&amp;$B429&amp;$C429&amp;$D429&amp;$E429&amp;$F429,".","_"),"(","_"),")","")</f>
        <v>dch703_7_3_5_b</v>
      </c>
      <c r="AQ429">
        <f>W429</f>
        <v>0</v>
      </c>
      <c r="AR429" t="str">
        <f>SUBSTITUTE(SUBSTITUTE(SUBSTITUTE("dnt"&amp;$B429&amp;$C429&amp;$D429&amp;$E429&amp;$F429,".","_"),"(","_"),")","")</f>
        <v>dnt703_7_3_5_b</v>
      </c>
      <c r="AS429">
        <f>X429</f>
        <v>0</v>
      </c>
    </row>
    <row r="430" spans="2:45" x14ac:dyDescent="0.35">
      <c r="B430" s="452" t="s">
        <v>1154</v>
      </c>
      <c r="C430" s="53"/>
      <c r="D430" s="83" t="s">
        <v>289</v>
      </c>
      <c r="E430" s="13" t="s">
        <v>122</v>
      </c>
      <c r="F430" s="13"/>
      <c r="G430" s="13"/>
      <c r="H430" s="550"/>
      <c r="I430" s="4"/>
      <c r="J430" s="214"/>
      <c r="K430" s="214"/>
      <c r="L430" s="709"/>
      <c r="M430" s="43"/>
      <c r="N430" s="4"/>
      <c r="O430" s="85"/>
      <c r="X430" s="688"/>
    </row>
    <row r="431" spans="2:45" x14ac:dyDescent="0.35">
      <c r="B431" s="452" t="s">
        <v>1154</v>
      </c>
      <c r="C431" s="53"/>
      <c r="D431" s="13" t="s">
        <v>291</v>
      </c>
      <c r="E431" s="13"/>
      <c r="F431" s="13"/>
      <c r="G431" s="13"/>
      <c r="H431" s="550"/>
      <c r="I431" s="4"/>
      <c r="J431" s="179" t="s">
        <v>291</v>
      </c>
      <c r="K431" s="104"/>
      <c r="L431" s="707" t="s">
        <v>1170</v>
      </c>
      <c r="M431" s="43"/>
      <c r="N431" s="4"/>
      <c r="O431" s="85"/>
      <c r="P431" t="b">
        <v>1</v>
      </c>
      <c r="Q431" t="b">
        <v>1</v>
      </c>
      <c r="R431" t="b">
        <v>0</v>
      </c>
      <c r="S431" t="b">
        <f ca="1">(S13=2)</f>
        <v>1</v>
      </c>
      <c r="T431" t="b">
        <f ca="1">AND(NOT(S431),W431=TRUE)</f>
        <v>0</v>
      </c>
      <c r="W431" s="17"/>
      <c r="X431" s="688"/>
      <c r="AC431" t="b">
        <f ca="1">OR(AD431:AE431)</f>
        <v>0</v>
      </c>
      <c r="AD431" t="b">
        <f ca="1">T431</f>
        <v>0</v>
      </c>
      <c r="AE431" t="b">
        <f>AND(R431,NOT(W431))</f>
        <v>0</v>
      </c>
      <c r="AP431" t="str">
        <f>SUBSTITUTE(SUBSTITUTE(SUBSTITUTE("dch"&amp;$B431&amp;$C431&amp;$D431&amp;$E431&amp;$F431,".","_"),"(","_"),")","")</f>
        <v>dch703_7_3_6</v>
      </c>
      <c r="AQ431">
        <f>W431</f>
        <v>0</v>
      </c>
      <c r="AR431" t="str">
        <f>SUBSTITUTE(SUBSTITUTE(SUBSTITUTE("dnt"&amp;$B431&amp;$C431&amp;$D431&amp;$E431&amp;$F431,".","_"),"(","_"),")","")</f>
        <v>dnt703_7_3_6</v>
      </c>
      <c r="AS431">
        <f>X431</f>
        <v>0</v>
      </c>
    </row>
    <row r="432" spans="2:45" x14ac:dyDescent="0.35">
      <c r="B432" s="452" t="s">
        <v>1154</v>
      </c>
      <c r="C432" s="53"/>
      <c r="D432" s="13" t="s">
        <v>291</v>
      </c>
      <c r="E432" s="13"/>
      <c r="F432" s="13"/>
      <c r="G432" s="13"/>
      <c r="H432" s="550"/>
      <c r="I432" s="155"/>
      <c r="J432" s="214"/>
      <c r="K432" s="214"/>
      <c r="L432" s="709"/>
      <c r="M432" s="198"/>
      <c r="N432" s="155"/>
      <c r="O432" s="342"/>
      <c r="X432" s="688"/>
    </row>
    <row r="433" spans="2:45" x14ac:dyDescent="0.35">
      <c r="B433" s="452" t="s">
        <v>1171</v>
      </c>
      <c r="C433" s="53"/>
      <c r="D433" s="13"/>
      <c r="E433" s="13"/>
      <c r="F433" s="13"/>
      <c r="G433" s="13"/>
      <c r="H433" s="550"/>
      <c r="I433" s="34" t="s">
        <v>1171</v>
      </c>
      <c r="J433" s="104"/>
      <c r="K433" s="104"/>
      <c r="L433" s="738" t="s">
        <v>1172</v>
      </c>
      <c r="M433" s="690">
        <v>4</v>
      </c>
      <c r="N433" s="4"/>
      <c r="O433" s="696">
        <f ca="1">M433*S433*W433</f>
        <v>0</v>
      </c>
      <c r="P433" t="b">
        <v>1</v>
      </c>
      <c r="Q433" t="b">
        <v>1</v>
      </c>
      <c r="R433" t="b">
        <v>0</v>
      </c>
      <c r="S433" t="b">
        <f ca="1">AND(S13=2,W376=TRUE,NOT(BI17="Tropical"))</f>
        <v>0</v>
      </c>
      <c r="T433" t="b">
        <f ca="1">AND(NOT(S433),W433=TRUE)</f>
        <v>0</v>
      </c>
      <c r="W433" s="17"/>
      <c r="AC433" t="b">
        <f ca="1">OR(AD433:AE433)</f>
        <v>0</v>
      </c>
      <c r="AD433" t="b">
        <f ca="1">T433</f>
        <v>0</v>
      </c>
      <c r="AE433" t="b">
        <f>AND(R433,NOT(W433))</f>
        <v>0</v>
      </c>
      <c r="AL433" t="str">
        <f>SUBSTITUTE(SUBSTITUTE(SUBSTITUTE("dpa"&amp;$B433&amp;$C433&amp;$D433&amp;$E433&amp;$F433,".","_"),"(","_"),")","")</f>
        <v>dpa703_7_4</v>
      </c>
      <c r="AM433">
        <f>M433</f>
        <v>4</v>
      </c>
      <c r="AN433" t="str">
        <f>SUBSTITUTE(SUBSTITUTE(SUBSTITUTE("dpc"&amp;$B433&amp;$C433&amp;$D433&amp;$E433&amp;$F433,".","_"),"(","_"),")","")</f>
        <v>dpc703_7_4</v>
      </c>
      <c r="AO433">
        <f ca="1">O433</f>
        <v>0</v>
      </c>
      <c r="AP433" t="str">
        <f>SUBSTITUTE(SUBSTITUTE(SUBSTITUTE("dch"&amp;$B433&amp;$C433&amp;$D433&amp;$E433&amp;$F433,".","_"),"(","_"),")","")</f>
        <v>dch703_7_4</v>
      </c>
      <c r="AQ433">
        <f>W433</f>
        <v>0</v>
      </c>
    </row>
    <row r="434" spans="2:45" x14ac:dyDescent="0.35">
      <c r="B434" s="452" t="s">
        <v>1171</v>
      </c>
      <c r="C434" s="53"/>
      <c r="D434" s="13"/>
      <c r="E434" s="13"/>
      <c r="F434" s="13"/>
      <c r="G434" s="13"/>
      <c r="H434" s="550"/>
      <c r="I434" s="4"/>
      <c r="J434" s="104"/>
      <c r="K434" s="104"/>
      <c r="L434" s="738"/>
      <c r="M434" s="690"/>
      <c r="N434" s="4"/>
      <c r="O434" s="696"/>
    </row>
    <row r="435" spans="2:45" x14ac:dyDescent="0.35">
      <c r="B435" s="452" t="s">
        <v>1171</v>
      </c>
      <c r="C435" s="53"/>
      <c r="D435" s="13"/>
      <c r="E435" s="13"/>
      <c r="F435" s="13"/>
      <c r="G435" s="13"/>
      <c r="H435" s="550"/>
      <c r="I435" s="4"/>
      <c r="J435" s="104"/>
      <c r="K435" s="104"/>
      <c r="L435" s="104" t="s">
        <v>1173</v>
      </c>
      <c r="M435" s="43"/>
      <c r="N435" s="4"/>
      <c r="O435" s="85"/>
    </row>
    <row r="436" spans="2:45" x14ac:dyDescent="0.35">
      <c r="B436" s="452" t="s">
        <v>1171</v>
      </c>
      <c r="C436" s="53"/>
      <c r="D436" s="13" t="s">
        <v>270</v>
      </c>
      <c r="E436" s="13"/>
      <c r="F436" s="13"/>
      <c r="G436" s="13"/>
      <c r="H436" s="550"/>
      <c r="I436" s="4"/>
      <c r="J436" s="179" t="s">
        <v>270</v>
      </c>
      <c r="K436" s="104"/>
      <c r="L436" s="707" t="s">
        <v>1174</v>
      </c>
      <c r="M436" s="43"/>
      <c r="N436" s="4"/>
      <c r="O436" s="85"/>
      <c r="X436" s="688"/>
      <c r="AR436" t="str">
        <f>SUBSTITUTE(SUBSTITUTE(SUBSTITUTE("dnt"&amp;$B436&amp;$C436&amp;$D436&amp;$E436&amp;$F436,".","_"),"(","_"),")","")</f>
        <v>dnt703_7_4_1</v>
      </c>
      <c r="AS436">
        <f>X436</f>
        <v>0</v>
      </c>
    </row>
    <row r="437" spans="2:45" x14ac:dyDescent="0.35">
      <c r="B437" s="452" t="s">
        <v>1171</v>
      </c>
      <c r="C437" s="53"/>
      <c r="D437" s="13" t="s">
        <v>270</v>
      </c>
      <c r="E437" s="13"/>
      <c r="F437" s="13"/>
      <c r="G437" s="13"/>
      <c r="H437" s="550"/>
      <c r="I437" s="4"/>
      <c r="J437" s="214"/>
      <c r="K437" s="214"/>
      <c r="L437" s="709"/>
      <c r="M437" s="43"/>
      <c r="N437" s="4"/>
      <c r="O437" s="85"/>
      <c r="X437" s="688"/>
    </row>
    <row r="438" spans="2:45" x14ac:dyDescent="0.35">
      <c r="B438" s="452" t="s">
        <v>1171</v>
      </c>
      <c r="C438" s="53"/>
      <c r="D438" s="13" t="s">
        <v>272</v>
      </c>
      <c r="E438" s="13"/>
      <c r="F438" s="13"/>
      <c r="G438" s="13"/>
      <c r="H438" s="550"/>
      <c r="I438" s="4"/>
      <c r="J438" s="179" t="s">
        <v>272</v>
      </c>
      <c r="K438" s="104"/>
      <c r="L438" s="723" t="s">
        <v>1175</v>
      </c>
      <c r="M438" s="43"/>
      <c r="N438" s="4"/>
      <c r="O438" s="85"/>
    </row>
    <row r="439" spans="2:45" x14ac:dyDescent="0.35">
      <c r="B439" s="452" t="s">
        <v>1171</v>
      </c>
      <c r="C439" s="53"/>
      <c r="D439" s="13" t="s">
        <v>272</v>
      </c>
      <c r="E439" s="13"/>
      <c r="F439" s="13"/>
      <c r="G439" s="13"/>
      <c r="H439" s="550"/>
      <c r="I439" s="4"/>
      <c r="J439" s="104"/>
      <c r="K439" s="104"/>
      <c r="L439" s="723"/>
      <c r="M439" s="43"/>
      <c r="N439" s="4"/>
      <c r="O439" s="85"/>
    </row>
    <row r="440" spans="2:45" x14ac:dyDescent="0.35">
      <c r="B440" s="452" t="s">
        <v>1171</v>
      </c>
      <c r="C440" s="53"/>
      <c r="D440" s="13" t="s">
        <v>272</v>
      </c>
      <c r="E440" s="13" t="s">
        <v>121</v>
      </c>
      <c r="F440" s="13"/>
      <c r="G440" s="13"/>
      <c r="H440" s="550"/>
      <c r="I440" s="4"/>
      <c r="J440" s="104"/>
      <c r="K440" s="175" t="s">
        <v>121</v>
      </c>
      <c r="L440" s="707" t="s">
        <v>1176</v>
      </c>
      <c r="M440" s="43"/>
      <c r="N440" s="4"/>
      <c r="O440" s="85"/>
      <c r="X440" s="688"/>
      <c r="AR440" t="str">
        <f>SUBSTITUTE(SUBSTITUTE(SUBSTITUTE("dnt"&amp;$B440&amp;$C440&amp;$D440&amp;$E440&amp;$F440,".","_"),"(","_"),")","")</f>
        <v>dnt703_7_4_2_a</v>
      </c>
      <c r="AS440">
        <f>X440</f>
        <v>0</v>
      </c>
    </row>
    <row r="441" spans="2:45" x14ac:dyDescent="0.35">
      <c r="B441" s="452" t="s">
        <v>1171</v>
      </c>
      <c r="C441" s="53"/>
      <c r="D441" s="13" t="s">
        <v>272</v>
      </c>
      <c r="E441" s="13" t="s">
        <v>121</v>
      </c>
      <c r="F441" s="13"/>
      <c r="G441" s="13"/>
      <c r="H441" s="550"/>
      <c r="I441" s="4"/>
      <c r="J441" s="104"/>
      <c r="K441" s="104"/>
      <c r="L441" s="707"/>
      <c r="M441" s="43"/>
      <c r="N441" s="4"/>
      <c r="O441" s="85"/>
      <c r="X441" s="688"/>
    </row>
    <row r="442" spans="2:45" x14ac:dyDescent="0.35">
      <c r="B442" s="452" t="s">
        <v>1171</v>
      </c>
      <c r="C442" s="53"/>
      <c r="D442" s="13" t="s">
        <v>272</v>
      </c>
      <c r="E442" s="13" t="s">
        <v>121</v>
      </c>
      <c r="F442" s="13"/>
      <c r="G442" s="13"/>
      <c r="H442" s="550"/>
      <c r="I442" s="4"/>
      <c r="J442" s="104"/>
      <c r="K442" s="214"/>
      <c r="L442" s="709"/>
      <c r="M442" s="43"/>
      <c r="N442" s="4"/>
      <c r="O442" s="85"/>
      <c r="X442" s="688"/>
    </row>
    <row r="443" spans="2:45" x14ac:dyDescent="0.35">
      <c r="B443" s="452" t="s">
        <v>1171</v>
      </c>
      <c r="C443" s="53"/>
      <c r="D443" s="13" t="s">
        <v>272</v>
      </c>
      <c r="E443" s="13" t="s">
        <v>122</v>
      </c>
      <c r="F443" s="13"/>
      <c r="G443" s="13"/>
      <c r="H443" s="550"/>
      <c r="I443" s="4"/>
      <c r="J443" s="104"/>
      <c r="K443" s="175" t="s">
        <v>122</v>
      </c>
      <c r="L443" s="707" t="s">
        <v>1177</v>
      </c>
      <c r="M443" s="43"/>
      <c r="N443" s="4"/>
      <c r="O443" s="85"/>
      <c r="X443" s="688"/>
      <c r="AR443" t="str">
        <f>SUBSTITUTE(SUBSTITUTE(SUBSTITUTE("dnt"&amp;$B443&amp;$C443&amp;$D443&amp;$E443&amp;$F443,".","_"),"(","_"),")","")</f>
        <v>dnt703_7_4_2_b</v>
      </c>
      <c r="AS443">
        <f>X443</f>
        <v>0</v>
      </c>
    </row>
    <row r="444" spans="2:45" x14ac:dyDescent="0.35">
      <c r="B444" s="452" t="s">
        <v>1171</v>
      </c>
      <c r="C444" s="53"/>
      <c r="D444" s="13" t="s">
        <v>272</v>
      </c>
      <c r="E444" s="13" t="s">
        <v>122</v>
      </c>
      <c r="F444" s="13"/>
      <c r="G444" s="13"/>
      <c r="H444" s="550"/>
      <c r="I444" s="4"/>
      <c r="J444" s="104"/>
      <c r="K444" s="104"/>
      <c r="L444" s="707"/>
      <c r="M444" s="43"/>
      <c r="N444" s="4"/>
      <c r="O444" s="85"/>
      <c r="X444" s="688"/>
    </row>
    <row r="445" spans="2:45" x14ac:dyDescent="0.35">
      <c r="B445" s="452" t="s">
        <v>1171</v>
      </c>
      <c r="C445" s="53"/>
      <c r="D445" s="13" t="s">
        <v>272</v>
      </c>
      <c r="E445" s="13" t="s">
        <v>122</v>
      </c>
      <c r="F445" s="13" t="s">
        <v>982</v>
      </c>
      <c r="G445" s="13"/>
      <c r="H445" s="550"/>
      <c r="I445" s="4"/>
      <c r="J445" s="104"/>
      <c r="K445" s="107" t="s">
        <v>982</v>
      </c>
      <c r="L445" s="707" t="s">
        <v>1178</v>
      </c>
      <c r="M445" s="43"/>
      <c r="N445" s="4"/>
      <c r="O445" s="85"/>
      <c r="X445" s="688"/>
    </row>
    <row r="446" spans="2:45" x14ac:dyDescent="0.35">
      <c r="B446" s="452" t="s">
        <v>1171</v>
      </c>
      <c r="C446" s="53"/>
      <c r="D446" s="13" t="s">
        <v>272</v>
      </c>
      <c r="E446" s="13" t="s">
        <v>122</v>
      </c>
      <c r="F446" s="13" t="s">
        <v>982</v>
      </c>
      <c r="G446" s="13"/>
      <c r="H446" s="550"/>
      <c r="I446" s="4"/>
      <c r="J446" s="104"/>
      <c r="K446" s="181"/>
      <c r="L446" s="707"/>
      <c r="M446" s="43"/>
      <c r="N446" s="4"/>
      <c r="O446" s="85"/>
      <c r="X446" s="688"/>
    </row>
    <row r="447" spans="2:45" x14ac:dyDescent="0.35">
      <c r="B447" s="452" t="s">
        <v>1171</v>
      </c>
      <c r="C447" s="53"/>
      <c r="D447" s="13" t="s">
        <v>272</v>
      </c>
      <c r="E447" s="13" t="s">
        <v>122</v>
      </c>
      <c r="F447" s="13" t="s">
        <v>1179</v>
      </c>
      <c r="G447" s="13"/>
      <c r="H447" s="550"/>
      <c r="I447" s="4"/>
      <c r="J447" s="104"/>
      <c r="K447" s="107" t="s">
        <v>1179</v>
      </c>
      <c r="L447" s="707" t="s">
        <v>1180</v>
      </c>
      <c r="M447" s="43"/>
      <c r="N447" s="4"/>
      <c r="O447" s="85"/>
      <c r="X447" s="688"/>
    </row>
    <row r="448" spans="2:45" x14ac:dyDescent="0.35">
      <c r="B448" s="452" t="s">
        <v>1171</v>
      </c>
      <c r="C448" s="53"/>
      <c r="D448" s="13" t="s">
        <v>272</v>
      </c>
      <c r="E448" s="13" t="s">
        <v>122</v>
      </c>
      <c r="F448" s="13" t="s">
        <v>1179</v>
      </c>
      <c r="G448" s="13"/>
      <c r="H448" s="550"/>
      <c r="I448" s="4"/>
      <c r="J448" s="104"/>
      <c r="K448" s="181"/>
      <c r="L448" s="707"/>
      <c r="M448" s="43"/>
      <c r="N448" s="4"/>
      <c r="O448" s="85"/>
      <c r="X448" s="688"/>
    </row>
    <row r="449" spans="2:45" x14ac:dyDescent="0.35">
      <c r="B449" s="452" t="s">
        <v>1171</v>
      </c>
      <c r="C449" s="53"/>
      <c r="D449" s="13" t="s">
        <v>272</v>
      </c>
      <c r="E449" s="13" t="s">
        <v>122</v>
      </c>
      <c r="F449" s="13" t="s">
        <v>1181</v>
      </c>
      <c r="G449" s="13"/>
      <c r="H449" s="550"/>
      <c r="I449" s="4"/>
      <c r="J449" s="104"/>
      <c r="K449" s="107" t="s">
        <v>1181</v>
      </c>
      <c r="L449" s="707" t="s">
        <v>1182</v>
      </c>
      <c r="M449" s="43"/>
      <c r="N449" s="4"/>
      <c r="O449" s="85"/>
      <c r="X449" s="688"/>
    </row>
    <row r="450" spans="2:45" x14ac:dyDescent="0.35">
      <c r="B450" s="452" t="s">
        <v>1171</v>
      </c>
      <c r="C450" s="53"/>
      <c r="D450" s="13" t="s">
        <v>272</v>
      </c>
      <c r="E450" s="13" t="s">
        <v>122</v>
      </c>
      <c r="F450" s="13" t="s">
        <v>1181</v>
      </c>
      <c r="G450" s="13"/>
      <c r="H450" s="550"/>
      <c r="I450" s="4"/>
      <c r="J450" s="104"/>
      <c r="K450" s="214"/>
      <c r="L450" s="709"/>
      <c r="M450" s="43"/>
      <c r="N450" s="4"/>
      <c r="O450" s="85"/>
      <c r="X450" s="688"/>
    </row>
    <row r="451" spans="2:45" x14ac:dyDescent="0.35">
      <c r="B451" s="452" t="s">
        <v>1171</v>
      </c>
      <c r="C451" s="53"/>
      <c r="D451" s="13" t="s">
        <v>272</v>
      </c>
      <c r="E451" s="13" t="s">
        <v>123</v>
      </c>
      <c r="F451" s="13"/>
      <c r="G451" s="13"/>
      <c r="H451" s="550"/>
      <c r="I451" s="4"/>
      <c r="J451" s="104"/>
      <c r="K451" s="175" t="s">
        <v>123</v>
      </c>
      <c r="L451" s="707" t="s">
        <v>1183</v>
      </c>
      <c r="M451" s="43"/>
      <c r="N451" s="4"/>
      <c r="O451" s="85"/>
      <c r="X451" s="688"/>
      <c r="AR451" t="str">
        <f>SUBSTITUTE(SUBSTITUTE(SUBSTITUTE("dnt"&amp;$B451&amp;$C451&amp;$D451&amp;$E451&amp;$F451,".","_"),"(","_"),")","")</f>
        <v>dnt703_7_4_2_c</v>
      </c>
      <c r="AS451">
        <f>X451</f>
        <v>0</v>
      </c>
    </row>
    <row r="452" spans="2:45" x14ac:dyDescent="0.35">
      <c r="B452" s="452" t="s">
        <v>1171</v>
      </c>
      <c r="C452" s="53"/>
      <c r="D452" s="13" t="s">
        <v>272</v>
      </c>
      <c r="E452" s="13" t="s">
        <v>123</v>
      </c>
      <c r="F452" s="13"/>
      <c r="G452" s="13"/>
      <c r="H452" s="550"/>
      <c r="I452" s="4"/>
      <c r="J452" s="104"/>
      <c r="K452" s="104"/>
      <c r="L452" s="707"/>
      <c r="M452" s="43"/>
      <c r="N452" s="4"/>
      <c r="O452" s="85"/>
      <c r="X452" s="688"/>
    </row>
    <row r="453" spans="2:45" x14ac:dyDescent="0.35">
      <c r="B453" s="452" t="s">
        <v>1171</v>
      </c>
      <c r="C453" s="53"/>
      <c r="D453" s="13" t="s">
        <v>272</v>
      </c>
      <c r="E453" s="13" t="s">
        <v>123</v>
      </c>
      <c r="F453" s="13"/>
      <c r="G453" s="13"/>
      <c r="H453" s="550"/>
      <c r="I453" s="4"/>
      <c r="J453" s="214"/>
      <c r="K453" s="214"/>
      <c r="L453" s="709"/>
      <c r="M453" s="43"/>
      <c r="N453" s="4"/>
      <c r="O453" s="85"/>
      <c r="X453" s="688"/>
    </row>
    <row r="454" spans="2:45" x14ac:dyDescent="0.35">
      <c r="B454" s="452" t="s">
        <v>1171</v>
      </c>
      <c r="C454" s="53"/>
      <c r="D454" s="13" t="s">
        <v>274</v>
      </c>
      <c r="E454" s="13"/>
      <c r="F454" s="13"/>
      <c r="G454" s="13"/>
      <c r="H454" s="550"/>
      <c r="I454" s="4"/>
      <c r="J454" s="179" t="s">
        <v>274</v>
      </c>
      <c r="K454" s="104"/>
      <c r="L454" s="707" t="s">
        <v>1184</v>
      </c>
      <c r="M454" s="43"/>
      <c r="N454" s="4"/>
      <c r="O454" s="85"/>
      <c r="X454" s="688"/>
      <c r="AR454" t="str">
        <f>SUBSTITUTE(SUBSTITUTE(SUBSTITUTE("dnt"&amp;$B454&amp;$C454&amp;$D454&amp;$E454&amp;$F454,".","_"),"(","_"),")","")</f>
        <v>dnt703_7_4_3</v>
      </c>
      <c r="AS454">
        <f>X454</f>
        <v>0</v>
      </c>
    </row>
    <row r="455" spans="2:45" x14ac:dyDescent="0.35">
      <c r="B455" s="452" t="s">
        <v>1171</v>
      </c>
      <c r="C455" s="53"/>
      <c r="D455" s="13" t="s">
        <v>274</v>
      </c>
      <c r="E455" s="13"/>
      <c r="F455" s="13"/>
      <c r="G455" s="13"/>
      <c r="H455" s="550"/>
      <c r="I455" s="4"/>
      <c r="J455" s="104"/>
      <c r="K455" s="104"/>
      <c r="L455" s="707"/>
      <c r="M455" s="43"/>
      <c r="N455" s="4"/>
      <c r="O455" s="85"/>
      <c r="X455" s="688"/>
    </row>
    <row r="456" spans="2:45" ht="18.5" x14ac:dyDescent="0.45">
      <c r="B456" s="452">
        <v>704</v>
      </c>
      <c r="C456" s="53"/>
      <c r="D456" s="13"/>
      <c r="E456" s="13"/>
      <c r="F456" s="13"/>
      <c r="G456" s="13"/>
      <c r="H456" s="550"/>
      <c r="I456" s="10" t="s">
        <v>1185</v>
      </c>
      <c r="J456" s="47"/>
      <c r="K456" s="47"/>
      <c r="L456" s="47"/>
      <c r="M456" s="286"/>
      <c r="N456" s="344"/>
      <c r="O456" s="340"/>
      <c r="P456" s="15"/>
      <c r="Q456" s="15"/>
      <c r="R456" s="15"/>
      <c r="S456" s="15"/>
      <c r="T456" s="15"/>
      <c r="U456" s="15"/>
      <c r="V456" s="15"/>
      <c r="W456" s="15"/>
      <c r="X456" s="15"/>
    </row>
    <row r="457" spans="2:45" x14ac:dyDescent="0.35">
      <c r="B457" s="452">
        <v>704.1</v>
      </c>
      <c r="C457" s="53"/>
      <c r="D457" s="13"/>
      <c r="E457" s="13"/>
      <c r="F457" s="13"/>
      <c r="G457" s="13"/>
      <c r="H457" s="550"/>
      <c r="I457" s="32">
        <v>704.1</v>
      </c>
      <c r="J457" s="104"/>
      <c r="K457" s="104"/>
      <c r="L457" s="706" t="s">
        <v>1186</v>
      </c>
      <c r="M457" s="43"/>
      <c r="N457" s="4"/>
      <c r="O457" s="696">
        <f>ROUNDDOWN(IFERROR(IF(AND((W461-W463)&gt;=0,NOT(ISBLANK(W461)),NOT(ISBLANK(W463))),(W461-W463)*2+30,0),0),0)</f>
        <v>0</v>
      </c>
      <c r="X457" s="688"/>
      <c r="AN457" t="str">
        <f>SUBSTITUTE(SUBSTITUTE(SUBSTITUTE("dpc"&amp;$B457&amp;$C457&amp;$D457&amp;$E457&amp;$F457,".","_"),"(","_"),")","")</f>
        <v>dpc704_1</v>
      </c>
      <c r="AO457">
        <f>O457</f>
        <v>0</v>
      </c>
      <c r="AR457" t="str">
        <f>SUBSTITUTE(SUBSTITUTE(SUBSTITUTE("dnt"&amp;$B457&amp;$C457&amp;$D457&amp;$E457&amp;$F457,".","_"),"(","_"),")","")</f>
        <v>dnt704_1</v>
      </c>
      <c r="AS457">
        <f>X457</f>
        <v>0</v>
      </c>
    </row>
    <row r="458" spans="2:45" x14ac:dyDescent="0.35">
      <c r="B458" s="452">
        <v>704.1</v>
      </c>
      <c r="C458" s="53"/>
      <c r="D458" s="13"/>
      <c r="E458" s="13"/>
      <c r="F458" s="13"/>
      <c r="G458" s="13"/>
      <c r="H458" s="550"/>
      <c r="I458" s="4"/>
      <c r="J458" s="104"/>
      <c r="K458" s="104"/>
      <c r="L458" s="706"/>
      <c r="M458" s="43"/>
      <c r="N458" s="4"/>
      <c r="O458" s="696"/>
      <c r="X458" s="688"/>
    </row>
    <row r="459" spans="2:45" x14ac:dyDescent="0.35">
      <c r="B459" s="452">
        <v>704.1</v>
      </c>
      <c r="C459" s="53"/>
      <c r="D459" s="13"/>
      <c r="E459" s="13"/>
      <c r="F459" s="13"/>
      <c r="G459" s="13"/>
      <c r="H459" s="550"/>
      <c r="I459" s="4"/>
      <c r="J459" s="104"/>
      <c r="K459" s="104"/>
      <c r="L459" s="706"/>
      <c r="M459" s="43"/>
      <c r="N459" s="4"/>
      <c r="O459" s="696"/>
      <c r="W459" s="637" t="s">
        <v>4715</v>
      </c>
      <c r="X459" s="688"/>
    </row>
    <row r="460" spans="2:45" x14ac:dyDescent="0.35">
      <c r="B460" s="452">
        <v>704.1</v>
      </c>
      <c r="C460" s="53"/>
      <c r="D460" s="13"/>
      <c r="E460" s="13"/>
      <c r="F460" s="13"/>
      <c r="G460" s="13"/>
      <c r="H460" s="550"/>
      <c r="I460" s="155"/>
      <c r="J460" s="214"/>
      <c r="K460" s="214"/>
      <c r="L460" s="739"/>
      <c r="M460" s="43"/>
      <c r="N460" s="4"/>
      <c r="O460" s="696"/>
      <c r="W460" s="637"/>
      <c r="X460" s="688"/>
    </row>
    <row r="461" spans="2:45" x14ac:dyDescent="0.35">
      <c r="B461" s="452">
        <v>704.2</v>
      </c>
      <c r="C461" s="53" t="s">
        <v>4692</v>
      </c>
      <c r="D461" s="13"/>
      <c r="E461" s="13"/>
      <c r="F461" s="13"/>
      <c r="G461" s="13"/>
      <c r="H461" s="550"/>
      <c r="I461" s="32">
        <v>704.2</v>
      </c>
      <c r="J461" s="104"/>
      <c r="K461" s="104"/>
      <c r="L461" s="706" t="s">
        <v>1187</v>
      </c>
      <c r="M461" s="43"/>
      <c r="N461" s="4"/>
      <c r="O461" s="696"/>
      <c r="P461" t="b">
        <v>0</v>
      </c>
      <c r="Q461" t="b">
        <v>1</v>
      </c>
      <c r="R461" t="b">
        <f ca="1">S461</f>
        <v>0</v>
      </c>
      <c r="S461" t="b">
        <f ca="1">(S13=3)</f>
        <v>0</v>
      </c>
      <c r="T461" t="b">
        <f ca="1">AND(NOT(S461),LEN(W461)&gt;0)</f>
        <v>0</v>
      </c>
      <c r="W461" s="347"/>
      <c r="X461" s="688"/>
      <c r="AC461" t="b">
        <f ca="1">OR(AD461:AE461)</f>
        <v>0</v>
      </c>
      <c r="AD461" t="b">
        <f ca="1">T461</f>
        <v>0</v>
      </c>
      <c r="AE461" t="b">
        <f ca="1">AND(R461,OR(W461="Not Met",W461=""))</f>
        <v>0</v>
      </c>
      <c r="AP461" t="str">
        <f>SUBSTITUTE(SUBSTITUTE(SUBSTITUTE("dch"&amp;$B461&amp;$C461&amp;$D461&amp;$E461&amp;$F461,".","_"),"(","_"),")","")</f>
        <v>dch704_2_1</v>
      </c>
      <c r="AQ461" s="624">
        <f>W461</f>
        <v>0</v>
      </c>
    </row>
    <row r="462" spans="2:45" x14ac:dyDescent="0.35">
      <c r="B462" s="452">
        <v>704.2</v>
      </c>
      <c r="C462" s="53"/>
      <c r="D462" s="13"/>
      <c r="E462" s="13"/>
      <c r="F462" s="13"/>
      <c r="G462" s="13"/>
      <c r="H462" s="550"/>
      <c r="I462" s="4"/>
      <c r="J462" s="104"/>
      <c r="K462" s="104"/>
      <c r="L462" s="706"/>
      <c r="M462" s="43"/>
      <c r="N462" s="4"/>
      <c r="O462" s="696"/>
      <c r="W462" s="21" t="s">
        <v>4716</v>
      </c>
      <c r="X462" s="688"/>
    </row>
    <row r="463" spans="2:45" x14ac:dyDescent="0.35">
      <c r="B463" s="452">
        <v>704.2</v>
      </c>
      <c r="C463" s="53" t="s">
        <v>4693</v>
      </c>
      <c r="D463" s="13"/>
      <c r="E463" s="13"/>
      <c r="F463" s="13"/>
      <c r="G463" s="13"/>
      <c r="H463" s="550"/>
      <c r="I463" s="4"/>
      <c r="J463" s="104"/>
      <c r="K463" s="104"/>
      <c r="L463" s="706"/>
      <c r="M463" s="43"/>
      <c r="N463" s="4"/>
      <c r="O463" s="696"/>
      <c r="P463" t="b">
        <v>0</v>
      </c>
      <c r="Q463" t="b">
        <v>1</v>
      </c>
      <c r="R463" t="b">
        <f ca="1">S463</f>
        <v>0</v>
      </c>
      <c r="S463" t="b">
        <f ca="1">(S13=3)</f>
        <v>0</v>
      </c>
      <c r="T463" t="b">
        <f ca="1">AND(NOT(S463),LEN(W463)&gt;0)</f>
        <v>0</v>
      </c>
      <c r="W463" s="347"/>
      <c r="X463" s="688"/>
      <c r="AC463" t="b">
        <f ca="1">OR(AD463:AE463)</f>
        <v>0</v>
      </c>
      <c r="AD463" t="b">
        <f ca="1">T463</f>
        <v>0</v>
      </c>
      <c r="AE463" t="b">
        <f ca="1">AND(R463,OR(W463="Not Met",W463=""))</f>
        <v>0</v>
      </c>
      <c r="AP463" t="str">
        <f>SUBSTITUTE(SUBSTITUTE(SUBSTITUTE("dch"&amp;$B463&amp;$C463&amp;$D463&amp;$E463&amp;$F463,".","_"),"(","_"),")","")</f>
        <v>dch704_2_2</v>
      </c>
      <c r="AQ463" s="624">
        <f>W463</f>
        <v>0</v>
      </c>
    </row>
    <row r="464" spans="2:45" x14ac:dyDescent="0.35">
      <c r="B464" s="452">
        <v>704.2</v>
      </c>
      <c r="C464" s="53"/>
      <c r="D464" s="13"/>
      <c r="E464" s="13"/>
      <c r="F464" s="13"/>
      <c r="G464" s="13"/>
      <c r="H464" s="550"/>
      <c r="I464" s="4"/>
      <c r="J464" s="104"/>
      <c r="K464" s="104"/>
      <c r="L464" s="281" t="s">
        <v>4714</v>
      </c>
      <c r="M464" s="43"/>
      <c r="N464" s="4"/>
      <c r="O464" s="696"/>
      <c r="X464" s="688"/>
    </row>
    <row r="465" spans="2:45" ht="18.5" x14ac:dyDescent="0.45">
      <c r="B465" s="452">
        <v>705</v>
      </c>
      <c r="C465" s="53"/>
      <c r="D465" s="13"/>
      <c r="E465" s="13"/>
      <c r="F465" s="13"/>
      <c r="G465" s="13"/>
      <c r="H465" s="550"/>
      <c r="I465" s="10" t="s">
        <v>1188</v>
      </c>
      <c r="J465" s="47"/>
      <c r="K465" s="47"/>
      <c r="L465" s="47"/>
      <c r="M465" s="286"/>
      <c r="N465" s="344"/>
      <c r="O465" s="340"/>
      <c r="P465" s="15"/>
      <c r="Q465" s="15"/>
      <c r="R465" s="15"/>
      <c r="S465" s="15"/>
      <c r="T465" s="15"/>
      <c r="U465" s="15"/>
      <c r="V465" s="15"/>
      <c r="W465" s="15"/>
      <c r="X465" s="15"/>
    </row>
    <row r="466" spans="2:45" x14ac:dyDescent="0.35">
      <c r="B466" s="452">
        <v>705.2</v>
      </c>
      <c r="C466" s="53"/>
      <c r="D466" s="13"/>
      <c r="E466" s="13"/>
      <c r="F466" s="13"/>
      <c r="G466" s="13"/>
      <c r="H466" s="550"/>
      <c r="I466" s="32">
        <v>705.2</v>
      </c>
      <c r="J466" s="104"/>
      <c r="K466" s="104"/>
      <c r="L466" s="110" t="s">
        <v>1189</v>
      </c>
      <c r="M466" s="43"/>
      <c r="N466" s="4"/>
      <c r="O466" s="85"/>
    </row>
    <row r="467" spans="2:45" x14ac:dyDescent="0.35">
      <c r="B467" s="452" t="s">
        <v>1190</v>
      </c>
      <c r="C467" s="53"/>
      <c r="D467" s="13"/>
      <c r="E467" s="13"/>
      <c r="F467" s="13"/>
      <c r="G467" s="13"/>
      <c r="H467" s="550"/>
      <c r="I467" s="34" t="s">
        <v>1190</v>
      </c>
      <c r="J467" s="104"/>
      <c r="K467" s="104"/>
      <c r="L467" s="110" t="s">
        <v>1191</v>
      </c>
      <c r="M467" s="43"/>
      <c r="N467" s="4"/>
      <c r="O467" s="85"/>
    </row>
    <row r="468" spans="2:45" x14ac:dyDescent="0.35">
      <c r="B468" s="452" t="s">
        <v>1190</v>
      </c>
      <c r="C468" s="53"/>
      <c r="D468" s="13"/>
      <c r="E468" s="13"/>
      <c r="F468" s="13"/>
      <c r="G468" s="13"/>
      <c r="H468" s="550"/>
      <c r="I468" s="34"/>
      <c r="J468" s="104"/>
      <c r="K468" s="104"/>
      <c r="L468" s="772" t="s">
        <v>1192</v>
      </c>
      <c r="M468" s="43"/>
      <c r="N468" s="4"/>
      <c r="O468" s="85"/>
    </row>
    <row r="469" spans="2:45" x14ac:dyDescent="0.35">
      <c r="B469" s="452" t="s">
        <v>1190</v>
      </c>
      <c r="C469" s="53"/>
      <c r="D469" s="13"/>
      <c r="E469" s="13"/>
      <c r="F469" s="13"/>
      <c r="G469" s="13"/>
      <c r="H469" s="550"/>
      <c r="I469" s="34"/>
      <c r="J469" s="104"/>
      <c r="K469" s="104"/>
      <c r="L469" s="772"/>
      <c r="M469" s="43"/>
      <c r="N469" s="4"/>
      <c r="O469" s="85"/>
    </row>
    <row r="470" spans="2:45" x14ac:dyDescent="0.35">
      <c r="B470" s="452" t="s">
        <v>1193</v>
      </c>
      <c r="C470" s="53"/>
      <c r="D470" s="13"/>
      <c r="E470" s="13"/>
      <c r="F470" s="13"/>
      <c r="G470" s="13"/>
      <c r="H470" s="550"/>
      <c r="I470" s="34" t="s">
        <v>1193</v>
      </c>
      <c r="J470" s="104"/>
      <c r="K470" s="104"/>
      <c r="L470" s="706" t="s">
        <v>1194</v>
      </c>
      <c r="M470" s="43"/>
      <c r="N470" s="4"/>
      <c r="O470" s="696">
        <f ca="1">IFERROR(INDEX({1,2},MATCH(W470,INDIRECT(U470),0)),0)*S470</f>
        <v>0</v>
      </c>
      <c r="P470" t="b">
        <v>0</v>
      </c>
      <c r="Q470" t="b">
        <v>1</v>
      </c>
      <c r="R470" t="b">
        <v>0</v>
      </c>
      <c r="S470" t="b">
        <v>1</v>
      </c>
      <c r="T470" t="b">
        <v>0</v>
      </c>
      <c r="U470" t="str">
        <f>SUBSTITUTE(SUBSTITUTE(SUBSTITUTE("dd"&amp;B470&amp;C470&amp;D470&amp;E470&amp;F470,".","_"),"(","_"),")","")</f>
        <v>dd705_2_1_1</v>
      </c>
      <c r="W470" s="9"/>
      <c r="X470" s="688"/>
      <c r="AC470" t="b">
        <f>OR(AD470:AE470)</f>
        <v>0</v>
      </c>
      <c r="AD470" t="b">
        <f>T470</f>
        <v>0</v>
      </c>
      <c r="AE470" t="b">
        <f>AND(R470,OR(W470="Not Met",W470=""))</f>
        <v>0</v>
      </c>
      <c r="AN470" t="str">
        <f>SUBSTITUTE(SUBSTITUTE(SUBSTITUTE("dpc"&amp;$B470&amp;$C470&amp;$D470&amp;$E470&amp;$F470,".","_"),"(","_"),")","")</f>
        <v>dpc705_2_1_1</v>
      </c>
      <c r="AO470">
        <f ca="1">O470</f>
        <v>0</v>
      </c>
      <c r="AP470" t="str">
        <f>SUBSTITUTE(SUBSTITUTE(SUBSTITUTE("dch"&amp;$B470&amp;$C470&amp;$D470&amp;$E470&amp;$F470,".","_"),"(","_"),")","")</f>
        <v>dch705_2_1_1</v>
      </c>
      <c r="AQ470">
        <f>W470</f>
        <v>0</v>
      </c>
      <c r="AR470" t="str">
        <f>SUBSTITUTE(SUBSTITUTE(SUBSTITUTE("dnt"&amp;$B470&amp;$C470&amp;$D470&amp;$E470&amp;$F470,".","_"),"(","_"),")","")</f>
        <v>dnt705_2_1_1</v>
      </c>
      <c r="AS470">
        <f>X470</f>
        <v>0</v>
      </c>
    </row>
    <row r="471" spans="2:45" x14ac:dyDescent="0.35">
      <c r="B471" s="452" t="s">
        <v>1193</v>
      </c>
      <c r="C471" s="53"/>
      <c r="D471" s="13"/>
      <c r="E471" s="13"/>
      <c r="F471" s="13"/>
      <c r="G471" s="13"/>
      <c r="H471" s="550"/>
      <c r="I471" s="4"/>
      <c r="J471" s="104"/>
      <c r="K471" s="104"/>
      <c r="L471" s="706"/>
      <c r="M471" s="43"/>
      <c r="N471" s="4"/>
      <c r="O471" s="696"/>
      <c r="X471" s="688"/>
    </row>
    <row r="472" spans="2:45" x14ac:dyDescent="0.35">
      <c r="B472" s="452" t="s">
        <v>1193</v>
      </c>
      <c r="C472" s="53"/>
      <c r="D472" s="13" t="s">
        <v>270</v>
      </c>
      <c r="E472" s="13"/>
      <c r="F472" s="13"/>
      <c r="G472" s="13"/>
      <c r="H472" s="550"/>
      <c r="I472" s="4"/>
      <c r="J472" s="373" t="s">
        <v>270</v>
      </c>
      <c r="K472" s="214"/>
      <c r="L472" s="214" t="s">
        <v>1195</v>
      </c>
      <c r="M472" s="198">
        <v>1</v>
      </c>
      <c r="N472" s="4"/>
      <c r="O472" s="85"/>
      <c r="X472" s="688"/>
      <c r="AL472" t="str">
        <f t="shared" ref="AL472:AL474" si="45">SUBSTITUTE(SUBSTITUTE(SUBSTITUTE("dpa"&amp;$B472&amp;$C472&amp;$D472&amp;$E472&amp;$F472,".","_"),"(","_"),")","")</f>
        <v>dpa705_2_1_1_1</v>
      </c>
      <c r="AM472">
        <f>M472</f>
        <v>1</v>
      </c>
    </row>
    <row r="473" spans="2:45" x14ac:dyDescent="0.35">
      <c r="B473" s="452" t="s">
        <v>1193</v>
      </c>
      <c r="C473" s="53"/>
      <c r="D473" s="13" t="s">
        <v>272</v>
      </c>
      <c r="E473" s="13"/>
      <c r="F473" s="13"/>
      <c r="G473" s="13"/>
      <c r="H473" s="550"/>
      <c r="I473" s="155"/>
      <c r="J473" s="373" t="s">
        <v>272</v>
      </c>
      <c r="K473" s="214"/>
      <c r="L473" s="214" t="s">
        <v>1196</v>
      </c>
      <c r="M473" s="198">
        <v>2</v>
      </c>
      <c r="N473" s="4"/>
      <c r="O473" s="85"/>
      <c r="X473" s="688"/>
      <c r="AL473" t="str">
        <f t="shared" si="45"/>
        <v>dpa705_2_1_1_2</v>
      </c>
      <c r="AM473">
        <f>M473</f>
        <v>2</v>
      </c>
    </row>
    <row r="474" spans="2:45" x14ac:dyDescent="0.35">
      <c r="B474" s="452" t="s">
        <v>1197</v>
      </c>
      <c r="C474" s="53"/>
      <c r="D474" s="13"/>
      <c r="E474" s="13"/>
      <c r="F474" s="13"/>
      <c r="G474" s="13"/>
      <c r="H474" s="550"/>
      <c r="I474" s="34" t="s">
        <v>1197</v>
      </c>
      <c r="J474" s="179"/>
      <c r="K474" s="104"/>
      <c r="L474" s="706" t="s">
        <v>1198</v>
      </c>
      <c r="M474" s="690">
        <v>1</v>
      </c>
      <c r="N474" s="4"/>
      <c r="O474" s="696">
        <f>M474*S474*W474</f>
        <v>0</v>
      </c>
      <c r="P474" t="b">
        <v>0</v>
      </c>
      <c r="Q474" t="b">
        <v>1</v>
      </c>
      <c r="R474" t="b">
        <v>0</v>
      </c>
      <c r="S474" t="b">
        <v>1</v>
      </c>
      <c r="T474" t="b">
        <v>0</v>
      </c>
      <c r="W474" s="17"/>
      <c r="X474" s="688"/>
      <c r="AC474" t="b">
        <f>OR(AD474:AE474)</f>
        <v>0</v>
      </c>
      <c r="AD474" t="b">
        <f>T474</f>
        <v>0</v>
      </c>
      <c r="AE474" t="b">
        <f>AND(R474,NOT(W474))</f>
        <v>0</v>
      </c>
      <c r="AL474" t="str">
        <f t="shared" si="45"/>
        <v>dpa705_2_1_2</v>
      </c>
      <c r="AM474">
        <f>M474</f>
        <v>1</v>
      </c>
      <c r="AN474" t="str">
        <f>SUBSTITUTE(SUBSTITUTE(SUBSTITUTE("dpc"&amp;$B474&amp;$C474&amp;$D474&amp;$E474&amp;$F474,".","_"),"(","_"),")","")</f>
        <v>dpc705_2_1_2</v>
      </c>
      <c r="AO474">
        <f>O474</f>
        <v>0</v>
      </c>
      <c r="AP474" t="str">
        <f>SUBSTITUTE(SUBSTITUTE(SUBSTITUTE("dch"&amp;$B474&amp;$C474&amp;$D474&amp;$E474&amp;$F474,".","_"),"(","_"),")","")</f>
        <v>dch705_2_1_2</v>
      </c>
      <c r="AQ474">
        <f>W474</f>
        <v>0</v>
      </c>
      <c r="AR474" t="str">
        <f>SUBSTITUTE(SUBSTITUTE(SUBSTITUTE("dnt"&amp;$B474&amp;$C474&amp;$D474&amp;$E474&amp;$F474,".","_"),"(","_"),")","")</f>
        <v>dnt705_2_1_2</v>
      </c>
      <c r="AS474">
        <f>X474</f>
        <v>0</v>
      </c>
    </row>
    <row r="475" spans="2:45" x14ac:dyDescent="0.35">
      <c r="B475" s="452" t="s">
        <v>1197</v>
      </c>
      <c r="C475" s="53"/>
      <c r="D475" s="13"/>
      <c r="E475" s="13"/>
      <c r="F475" s="13"/>
      <c r="G475" s="13"/>
      <c r="H475" s="550"/>
      <c r="I475" s="155"/>
      <c r="J475" s="214"/>
      <c r="K475" s="214"/>
      <c r="L475" s="739"/>
      <c r="M475" s="691"/>
      <c r="N475" s="155"/>
      <c r="O475" s="697"/>
      <c r="X475" s="688"/>
    </row>
    <row r="476" spans="2:45" x14ac:dyDescent="0.35">
      <c r="B476" s="452" t="s">
        <v>1199</v>
      </c>
      <c r="C476" s="53"/>
      <c r="D476" s="13"/>
      <c r="E476" s="13"/>
      <c r="F476" s="13"/>
      <c r="G476" s="13"/>
      <c r="H476" s="550"/>
      <c r="I476" s="34" t="s">
        <v>1199</v>
      </c>
      <c r="J476" s="104"/>
      <c r="K476" s="104"/>
      <c r="L476" s="110" t="s">
        <v>1200</v>
      </c>
      <c r="M476" s="43"/>
      <c r="N476" s="4"/>
      <c r="O476" s="85"/>
    </row>
    <row r="477" spans="2:45" x14ac:dyDescent="0.35">
      <c r="B477" s="452" t="s">
        <v>1199</v>
      </c>
      <c r="C477" s="53"/>
      <c r="D477" s="83" t="s">
        <v>270</v>
      </c>
      <c r="E477" s="13"/>
      <c r="F477" s="13"/>
      <c r="G477" s="13"/>
      <c r="H477" s="550"/>
      <c r="I477" s="4"/>
      <c r="J477" s="179" t="s">
        <v>270</v>
      </c>
      <c r="K477" s="104"/>
      <c r="L477" s="707" t="s">
        <v>1201</v>
      </c>
      <c r="M477" s="43"/>
      <c r="N477" s="4"/>
      <c r="O477" s="696">
        <f ca="1">IFERROR(INDEX({1,2},MATCH(W477,INDIRECT(U477),0)),0)*S477</f>
        <v>0</v>
      </c>
      <c r="P477" t="b">
        <v>0</v>
      </c>
      <c r="Q477" t="b">
        <v>1</v>
      </c>
      <c r="R477" t="b">
        <v>0</v>
      </c>
      <c r="S477" t="b">
        <f ca="1">IF($AY$20=INDEX(INDIRECT("ddSingleOrMulti"),2),TRUE,FALSE)</f>
        <v>0</v>
      </c>
      <c r="T477" t="b">
        <f ca="1">AND(NOT(S477),LEN(W477)&gt;0)</f>
        <v>0</v>
      </c>
      <c r="U477" t="str">
        <f>SUBSTITUTE(SUBSTITUTE(SUBSTITUTE("dd"&amp;B477&amp;C477&amp;D477&amp;E477&amp;F477,".","_"),"(","_"),")","")</f>
        <v>dd705_2_1_3_1</v>
      </c>
      <c r="W477" s="9"/>
      <c r="X477" s="688"/>
      <c r="AC477" t="b">
        <f ca="1">OR(AD477:AE477)</f>
        <v>0</v>
      </c>
      <c r="AD477" t="b">
        <f ca="1">T477</f>
        <v>0</v>
      </c>
      <c r="AE477" t="b">
        <f>AND(R477,OR(W477="Not Met",W477=""))</f>
        <v>0</v>
      </c>
      <c r="AN477" t="str">
        <f>SUBSTITUTE(SUBSTITUTE(SUBSTITUTE("dpc"&amp;$B477&amp;$C477&amp;$D477&amp;$E477&amp;$F477,".","_"),"(","_"),")","")</f>
        <v>dpc705_2_1_3_1</v>
      </c>
      <c r="AO477">
        <f ca="1">O477</f>
        <v>0</v>
      </c>
      <c r="AP477" t="str">
        <f>SUBSTITUTE(SUBSTITUTE(SUBSTITUTE("dch"&amp;$B477&amp;$C477&amp;$D477&amp;$E477&amp;$F477,".","_"),"(","_"),")","")</f>
        <v>dch705_2_1_3_1</v>
      </c>
      <c r="AQ477">
        <f>W477</f>
        <v>0</v>
      </c>
      <c r="AR477" t="str">
        <f>SUBSTITUTE(SUBSTITUTE(SUBSTITUTE("dnt"&amp;$B477&amp;$C477&amp;$D477&amp;$E477&amp;$F477,".","_"),"(","_"),")","")</f>
        <v>dnt705_2_1_3_1</v>
      </c>
      <c r="AS477">
        <f>X477</f>
        <v>0</v>
      </c>
    </row>
    <row r="478" spans="2:45" x14ac:dyDescent="0.35">
      <c r="B478" s="452" t="s">
        <v>1199</v>
      </c>
      <c r="C478" s="53"/>
      <c r="D478" s="83" t="s">
        <v>270</v>
      </c>
      <c r="E478" s="13"/>
      <c r="F478" s="13"/>
      <c r="G478" s="13"/>
      <c r="H478" s="550"/>
      <c r="I478" s="4"/>
      <c r="J478" s="104"/>
      <c r="K478" s="104"/>
      <c r="L478" s="707"/>
      <c r="M478" s="43"/>
      <c r="N478" s="4"/>
      <c r="O478" s="696"/>
      <c r="X478" s="688"/>
    </row>
    <row r="479" spans="2:45" x14ac:dyDescent="0.35">
      <c r="B479" s="452" t="s">
        <v>1199</v>
      </c>
      <c r="C479" s="53"/>
      <c r="D479" s="83" t="s">
        <v>270</v>
      </c>
      <c r="E479" s="13" t="s">
        <v>121</v>
      </c>
      <c r="F479" s="13"/>
      <c r="G479" s="13"/>
      <c r="H479" s="550"/>
      <c r="I479" s="4"/>
      <c r="J479" s="104"/>
      <c r="K479" s="175" t="s">
        <v>121</v>
      </c>
      <c r="L479" s="104" t="s">
        <v>1195</v>
      </c>
      <c r="M479" s="43">
        <v>1</v>
      </c>
      <c r="N479" s="4"/>
      <c r="O479" s="85"/>
      <c r="X479" s="688"/>
      <c r="AL479" t="str">
        <f t="shared" ref="AL479:AL480" si="46">SUBSTITUTE(SUBSTITUTE(SUBSTITUTE("dpa"&amp;$B479&amp;$C479&amp;$D479&amp;$E479&amp;$F479,".","_"),"(","_"),")","")</f>
        <v>dpa705_2_1_3_1_a</v>
      </c>
      <c r="AM479">
        <f>M479</f>
        <v>1</v>
      </c>
    </row>
    <row r="480" spans="2:45" x14ac:dyDescent="0.35">
      <c r="B480" s="452" t="s">
        <v>1199</v>
      </c>
      <c r="C480" s="53"/>
      <c r="D480" s="83" t="s">
        <v>270</v>
      </c>
      <c r="E480" s="13" t="s">
        <v>122</v>
      </c>
      <c r="F480" s="13"/>
      <c r="G480" s="13"/>
      <c r="H480" s="550"/>
      <c r="I480" s="4"/>
      <c r="J480" s="214"/>
      <c r="K480" s="359" t="s">
        <v>122</v>
      </c>
      <c r="L480" s="214" t="s">
        <v>1196</v>
      </c>
      <c r="M480" s="198">
        <v>2</v>
      </c>
      <c r="N480" s="4"/>
      <c r="O480" s="85"/>
      <c r="X480" s="688"/>
      <c r="AL480" t="str">
        <f t="shared" si="46"/>
        <v>dpa705_2_1_3_1_b</v>
      </c>
      <c r="AM480">
        <f>M480</f>
        <v>2</v>
      </c>
    </row>
    <row r="481" spans="2:45" x14ac:dyDescent="0.35">
      <c r="B481" s="452" t="s">
        <v>1199</v>
      </c>
      <c r="C481" s="53"/>
      <c r="D481" s="83" t="s">
        <v>272</v>
      </c>
      <c r="E481" s="13"/>
      <c r="F481" s="13"/>
      <c r="G481" s="13"/>
      <c r="H481" s="550"/>
      <c r="I481" s="4"/>
      <c r="J481" s="179" t="s">
        <v>272</v>
      </c>
      <c r="K481" s="104"/>
      <c r="L481" s="707" t="s">
        <v>1202</v>
      </c>
      <c r="M481" s="43"/>
      <c r="N481" s="4"/>
      <c r="O481" s="696">
        <f ca="1">IFERROR(INDEX({2,3},MATCH(W481,INDIRECT(U481),0)),0)*S481</f>
        <v>0</v>
      </c>
      <c r="P481" t="b">
        <v>0</v>
      </c>
      <c r="Q481" t="b">
        <v>1</v>
      </c>
      <c r="R481" t="b">
        <v>0</v>
      </c>
      <c r="S481" t="b">
        <f ca="1">IF($AY$20=INDEX(INDIRECT("ddSingleOrMulti"),2),TRUE,FALSE)</f>
        <v>0</v>
      </c>
      <c r="T481" t="b">
        <f ca="1">AND(NOT(S481),LEN(W481)&gt;0)</f>
        <v>0</v>
      </c>
      <c r="U481" t="str">
        <f>SUBSTITUTE(SUBSTITUTE(SUBSTITUTE("dd"&amp;B481&amp;C481&amp;D481&amp;E481&amp;F481,".","_"),"(","_"),")","")</f>
        <v>dd705_2_1_3_2</v>
      </c>
      <c r="W481" s="9"/>
      <c r="X481" s="688"/>
      <c r="AC481" t="b">
        <f ca="1">OR(AD481:AE481)</f>
        <v>0</v>
      </c>
      <c r="AD481" t="b">
        <f ca="1">T481</f>
        <v>0</v>
      </c>
      <c r="AE481" t="b">
        <f>AND(R481,OR(W481="Not Met",W481=""))</f>
        <v>0</v>
      </c>
      <c r="AN481" t="str">
        <f>SUBSTITUTE(SUBSTITUTE(SUBSTITUTE("dpc"&amp;$B481&amp;$C481&amp;$D481&amp;$E481&amp;$F481,".","_"),"(","_"),")","")</f>
        <v>dpc705_2_1_3_2</v>
      </c>
      <c r="AO481">
        <f ca="1">O481</f>
        <v>0</v>
      </c>
      <c r="AP481" t="str">
        <f>SUBSTITUTE(SUBSTITUTE(SUBSTITUTE("dch"&amp;$B481&amp;$C481&amp;$D481&amp;$E481&amp;$F481,".","_"),"(","_"),")","")</f>
        <v>dch705_2_1_3_2</v>
      </c>
      <c r="AQ481">
        <f>W481</f>
        <v>0</v>
      </c>
      <c r="AR481" t="str">
        <f>SUBSTITUTE(SUBSTITUTE(SUBSTITUTE("dnt"&amp;$B481&amp;$C481&amp;$D481&amp;$E481&amp;$F481,".","_"),"(","_"),")","")</f>
        <v>dnt705_2_1_3_2</v>
      </c>
      <c r="AS481">
        <f>X481</f>
        <v>0</v>
      </c>
    </row>
    <row r="482" spans="2:45" x14ac:dyDescent="0.35">
      <c r="B482" s="452" t="s">
        <v>1199</v>
      </c>
      <c r="C482" s="53"/>
      <c r="D482" s="83" t="s">
        <v>272</v>
      </c>
      <c r="E482" s="13"/>
      <c r="F482" s="13"/>
      <c r="G482" s="13"/>
      <c r="H482" s="550"/>
      <c r="I482" s="4"/>
      <c r="J482" s="104"/>
      <c r="K482" s="104"/>
      <c r="L482" s="707"/>
      <c r="M482" s="43"/>
      <c r="N482" s="4"/>
      <c r="O482" s="696"/>
      <c r="X482" s="688"/>
    </row>
    <row r="483" spans="2:45" x14ac:dyDescent="0.35">
      <c r="B483" s="452" t="s">
        <v>1199</v>
      </c>
      <c r="C483" s="53"/>
      <c r="D483" s="83" t="s">
        <v>272</v>
      </c>
      <c r="E483" s="13"/>
      <c r="F483" s="13"/>
      <c r="G483" s="13"/>
      <c r="H483" s="550"/>
      <c r="I483" s="4"/>
      <c r="J483" s="104"/>
      <c r="K483" s="104"/>
      <c r="L483" s="707"/>
      <c r="M483" s="43"/>
      <c r="N483" s="4"/>
      <c r="O483" s="696"/>
      <c r="X483" s="688"/>
    </row>
    <row r="484" spans="2:45" x14ac:dyDescent="0.35">
      <c r="B484" s="452" t="s">
        <v>1199</v>
      </c>
      <c r="C484" s="53"/>
      <c r="D484" s="83" t="s">
        <v>272</v>
      </c>
      <c r="E484" s="13" t="s">
        <v>121</v>
      </c>
      <c r="F484" s="13"/>
      <c r="G484" s="13"/>
      <c r="H484" s="550"/>
      <c r="I484" s="4"/>
      <c r="J484" s="104"/>
      <c r="K484" s="175" t="s">
        <v>121</v>
      </c>
      <c r="L484" s="104" t="s">
        <v>1203</v>
      </c>
      <c r="M484" s="43">
        <v>2</v>
      </c>
      <c r="N484" s="4"/>
      <c r="O484" s="85"/>
      <c r="X484" s="688"/>
      <c r="AL484" t="str">
        <f t="shared" ref="AL484:AL485" si="47">SUBSTITUTE(SUBSTITUTE(SUBSTITUTE("dpa"&amp;$B484&amp;$C484&amp;$D484&amp;$E484&amp;$F484,".","_"),"(","_"),")","")</f>
        <v>dpa705_2_1_3_2_a</v>
      </c>
      <c r="AM484">
        <f>M484</f>
        <v>2</v>
      </c>
    </row>
    <row r="485" spans="2:45" x14ac:dyDescent="0.35">
      <c r="B485" s="452" t="s">
        <v>1199</v>
      </c>
      <c r="C485" s="53"/>
      <c r="D485" s="83" t="s">
        <v>272</v>
      </c>
      <c r="E485" s="13" t="s">
        <v>122</v>
      </c>
      <c r="F485" s="13"/>
      <c r="G485" s="13"/>
      <c r="H485" s="550"/>
      <c r="I485" s="155"/>
      <c r="J485" s="214"/>
      <c r="K485" s="359" t="s">
        <v>122</v>
      </c>
      <c r="L485" s="214" t="s">
        <v>1204</v>
      </c>
      <c r="M485" s="198">
        <v>3</v>
      </c>
      <c r="N485" s="4"/>
      <c r="O485" s="342"/>
      <c r="X485" s="688"/>
      <c r="AL485" t="str">
        <f t="shared" si="47"/>
        <v>dpa705_2_1_3_2_b</v>
      </c>
      <c r="AM485">
        <f>M485</f>
        <v>3</v>
      </c>
    </row>
    <row r="486" spans="2:45" x14ac:dyDescent="0.35">
      <c r="B486" s="452" t="s">
        <v>1205</v>
      </c>
      <c r="C486" s="53"/>
      <c r="D486" s="13"/>
      <c r="E486" s="13"/>
      <c r="F486" s="13"/>
      <c r="G486" s="13"/>
      <c r="H486" s="550"/>
      <c r="I486" s="34" t="s">
        <v>1205</v>
      </c>
      <c r="J486" s="104"/>
      <c r="K486" s="104"/>
      <c r="L486" s="706" t="s">
        <v>1206</v>
      </c>
      <c r="M486" s="43"/>
      <c r="N486" s="4"/>
      <c r="O486" s="696">
        <f ca="1">IFERROR(INDEX({2,3},MATCH(W486,INDIRECT(U486),0)),0)*S486</f>
        <v>0</v>
      </c>
      <c r="P486" t="b">
        <v>0</v>
      </c>
      <c r="Q486" t="b">
        <v>1</v>
      </c>
      <c r="R486" t="b">
        <v>0</v>
      </c>
      <c r="S486" t="b">
        <f ca="1">IF($AY$20=INDEX(INDIRECT("ddSingleOrMulti"),2),TRUE,FALSE)</f>
        <v>0</v>
      </c>
      <c r="T486" t="b">
        <f ca="1">AND(NOT(S486),LEN(W486)&gt;0)</f>
        <v>0</v>
      </c>
      <c r="U486" t="str">
        <f>SUBSTITUTE(SUBSTITUTE(SUBSTITUTE("dd"&amp;B486&amp;C486&amp;D486&amp;E486&amp;F486,".","_"),"(","_"),")","")</f>
        <v>dd705_2_1_4</v>
      </c>
      <c r="W486" s="9"/>
      <c r="X486" s="688"/>
      <c r="AC486" t="b">
        <f ca="1">OR(AD486:AE486)</f>
        <v>0</v>
      </c>
      <c r="AD486" t="b">
        <f ca="1">T486</f>
        <v>0</v>
      </c>
      <c r="AE486" t="b">
        <f>AND(R486,OR(W486="Not Met",W486=""))</f>
        <v>0</v>
      </c>
      <c r="AN486" t="str">
        <f>SUBSTITUTE(SUBSTITUTE(SUBSTITUTE("dpc"&amp;$B486&amp;$C486&amp;$D486&amp;$E486&amp;$F486,".","_"),"(","_"),")","")</f>
        <v>dpc705_2_1_4</v>
      </c>
      <c r="AO486">
        <f ca="1">O486</f>
        <v>0</v>
      </c>
      <c r="AP486" t="str">
        <f>SUBSTITUTE(SUBSTITUTE(SUBSTITUTE("dch"&amp;$B486&amp;$C486&amp;$D486&amp;$E486&amp;$F486,".","_"),"(","_"),")","")</f>
        <v>dch705_2_1_4</v>
      </c>
      <c r="AQ486">
        <f>W486</f>
        <v>0</v>
      </c>
      <c r="AR486" t="str">
        <f>SUBSTITUTE(SUBSTITUTE(SUBSTITUTE("dnt"&amp;$B486&amp;$C486&amp;$D486&amp;$E486&amp;$F486,".","_"),"(","_"),")","")</f>
        <v>dnt705_2_1_4</v>
      </c>
      <c r="AS486">
        <f>X486</f>
        <v>0</v>
      </c>
    </row>
    <row r="487" spans="2:45" x14ac:dyDescent="0.35">
      <c r="B487" s="452" t="s">
        <v>1205</v>
      </c>
      <c r="C487" s="53"/>
      <c r="D487" s="13"/>
      <c r="E487" s="13"/>
      <c r="F487" s="13"/>
      <c r="G487" s="13"/>
      <c r="H487" s="550"/>
      <c r="I487" s="4"/>
      <c r="J487" s="104"/>
      <c r="K487" s="104"/>
      <c r="L487" s="706"/>
      <c r="M487" s="43"/>
      <c r="N487" s="4"/>
      <c r="O487" s="696"/>
      <c r="X487" s="688"/>
    </row>
    <row r="488" spans="2:45" x14ac:dyDescent="0.35">
      <c r="B488" s="452" t="s">
        <v>1205</v>
      </c>
      <c r="C488" s="53"/>
      <c r="D488" s="13"/>
      <c r="E488" s="13"/>
      <c r="F488" s="13"/>
      <c r="G488" s="13"/>
      <c r="H488" s="550"/>
      <c r="I488" s="4"/>
      <c r="J488" s="104"/>
      <c r="K488" s="104"/>
      <c r="L488" s="706"/>
      <c r="M488" s="43"/>
      <c r="N488" s="4"/>
      <c r="O488" s="696"/>
      <c r="X488" s="688"/>
    </row>
    <row r="489" spans="2:45" x14ac:dyDescent="0.35">
      <c r="B489" s="452" t="s">
        <v>1205</v>
      </c>
      <c r="C489" s="53"/>
      <c r="D489" s="83" t="s">
        <v>270</v>
      </c>
      <c r="E489" s="13"/>
      <c r="F489" s="13"/>
      <c r="G489" s="13"/>
      <c r="H489" s="550"/>
      <c r="I489" s="4"/>
      <c r="J489" s="373" t="s">
        <v>270</v>
      </c>
      <c r="K489" s="214"/>
      <c r="L489" s="214" t="s">
        <v>1203</v>
      </c>
      <c r="M489" s="43">
        <v>2</v>
      </c>
      <c r="N489" s="4"/>
      <c r="O489" s="85"/>
      <c r="X489" s="688"/>
      <c r="AL489" t="str">
        <f t="shared" ref="AL489:AL491" si="48">SUBSTITUTE(SUBSTITUTE(SUBSTITUTE("dpa"&amp;$B489&amp;$C489&amp;$D489&amp;$E489&amp;$F489,".","_"),"(","_"),")","")</f>
        <v>dpa705_2_1_4_1</v>
      </c>
      <c r="AM489">
        <f>M489</f>
        <v>2</v>
      </c>
    </row>
    <row r="490" spans="2:45" x14ac:dyDescent="0.35">
      <c r="B490" s="452" t="s">
        <v>1205</v>
      </c>
      <c r="C490" s="53"/>
      <c r="D490" s="83" t="s">
        <v>272</v>
      </c>
      <c r="E490" s="13"/>
      <c r="F490" s="13"/>
      <c r="G490" s="13"/>
      <c r="H490" s="550"/>
      <c r="I490" s="155"/>
      <c r="J490" s="373" t="s">
        <v>272</v>
      </c>
      <c r="K490" s="214"/>
      <c r="L490" s="214" t="s">
        <v>1207</v>
      </c>
      <c r="M490" s="198">
        <v>3</v>
      </c>
      <c r="N490" s="155"/>
      <c r="O490" s="342"/>
      <c r="X490" s="688"/>
      <c r="AL490" t="str">
        <f t="shared" si="48"/>
        <v>dpa705_2_1_4_2</v>
      </c>
      <c r="AM490">
        <f>M490</f>
        <v>3</v>
      </c>
    </row>
    <row r="491" spans="2:45" x14ac:dyDescent="0.35">
      <c r="B491" s="452" t="s">
        <v>1208</v>
      </c>
      <c r="C491" s="53"/>
      <c r="D491" s="13"/>
      <c r="E491" s="13"/>
      <c r="F491" s="13"/>
      <c r="G491" s="13"/>
      <c r="H491" s="550"/>
      <c r="I491" s="362" t="s">
        <v>1208</v>
      </c>
      <c r="J491" s="320"/>
      <c r="K491" s="320"/>
      <c r="L491" s="753" t="s">
        <v>1209</v>
      </c>
      <c r="M491" s="712">
        <v>2</v>
      </c>
      <c r="N491" s="136"/>
      <c r="O491" s="713">
        <f>M491*S491*W491</f>
        <v>0</v>
      </c>
      <c r="P491" t="b">
        <v>1</v>
      </c>
      <c r="Q491" t="b">
        <v>1</v>
      </c>
      <c r="R491" t="b">
        <v>0</v>
      </c>
      <c r="S491" t="b">
        <v>1</v>
      </c>
      <c r="T491" t="b">
        <v>0</v>
      </c>
      <c r="W491" s="17"/>
      <c r="X491" s="688"/>
      <c r="AC491" t="b">
        <f>OR(AD491:AE491)</f>
        <v>0</v>
      </c>
      <c r="AD491" t="b">
        <f>T491</f>
        <v>0</v>
      </c>
      <c r="AE491" t="b">
        <f>AND(R491,NOT(W491))</f>
        <v>0</v>
      </c>
      <c r="AL491" t="str">
        <f t="shared" si="48"/>
        <v>dpa705_2_2</v>
      </c>
      <c r="AM491">
        <f>M491</f>
        <v>2</v>
      </c>
      <c r="AN491" t="str">
        <f>SUBSTITUTE(SUBSTITUTE(SUBSTITUTE("dpc"&amp;$B491&amp;$C491&amp;$D491&amp;$E491&amp;$F491,".","_"),"(","_"),")","")</f>
        <v>dpc705_2_2</v>
      </c>
      <c r="AO491">
        <f>O491</f>
        <v>0</v>
      </c>
      <c r="AP491" t="str">
        <f>SUBSTITUTE(SUBSTITUTE(SUBSTITUTE("dch"&amp;$B491&amp;$C491&amp;$D491&amp;$E491&amp;$F491,".","_"),"(","_"),")","")</f>
        <v>dch705_2_2</v>
      </c>
      <c r="AQ491">
        <f>W491</f>
        <v>0</v>
      </c>
      <c r="AR491" t="str">
        <f>SUBSTITUTE(SUBSTITUTE(SUBSTITUTE("dnt"&amp;$B491&amp;$C491&amp;$D491&amp;$E491&amp;$F491,".","_"),"(","_"),")","")</f>
        <v>dnt705_2_2</v>
      </c>
      <c r="AS491">
        <f>X491</f>
        <v>0</v>
      </c>
    </row>
    <row r="492" spans="2:45" x14ac:dyDescent="0.35">
      <c r="B492" s="452" t="s">
        <v>1208</v>
      </c>
      <c r="C492" s="53"/>
      <c r="D492" s="13"/>
      <c r="E492" s="13"/>
      <c r="F492" s="13"/>
      <c r="G492" s="13"/>
      <c r="H492" s="550"/>
      <c r="I492" s="4"/>
      <c r="J492" s="104"/>
      <c r="K492" s="104"/>
      <c r="L492" s="706"/>
      <c r="M492" s="690"/>
      <c r="N492" s="4"/>
      <c r="O492" s="696"/>
      <c r="X492" s="688"/>
    </row>
    <row r="493" spans="2:45" x14ac:dyDescent="0.35">
      <c r="B493" s="452" t="s">
        <v>1208</v>
      </c>
      <c r="C493" s="53"/>
      <c r="D493" s="13"/>
      <c r="E493" s="13"/>
      <c r="F493" s="13"/>
      <c r="G493" s="13"/>
      <c r="H493" s="550"/>
      <c r="I493" s="155"/>
      <c r="J493" s="214"/>
      <c r="K493" s="214"/>
      <c r="L493" s="165" t="s">
        <v>1098</v>
      </c>
      <c r="M493" s="198"/>
      <c r="N493" s="155"/>
      <c r="O493" s="342"/>
      <c r="X493" s="688"/>
    </row>
    <row r="494" spans="2:45" x14ac:dyDescent="0.35">
      <c r="B494" s="452" t="s">
        <v>1210</v>
      </c>
      <c r="C494" s="53"/>
      <c r="D494" s="13"/>
      <c r="E494" s="13"/>
      <c r="F494" s="13"/>
      <c r="G494" s="13"/>
      <c r="H494" s="550"/>
      <c r="I494" s="362" t="s">
        <v>1210</v>
      </c>
      <c r="J494" s="320"/>
      <c r="K494" s="320"/>
      <c r="L494" s="753" t="s">
        <v>1211</v>
      </c>
      <c r="M494" s="712">
        <v>1</v>
      </c>
      <c r="N494" s="136"/>
      <c r="O494" s="713">
        <f>M494*S494*W494</f>
        <v>0</v>
      </c>
      <c r="P494" t="b">
        <v>0</v>
      </c>
      <c r="Q494" t="b">
        <v>1</v>
      </c>
      <c r="R494" t="b">
        <v>0</v>
      </c>
      <c r="S494" t="b">
        <v>1</v>
      </c>
      <c r="T494" t="b">
        <v>0</v>
      </c>
      <c r="W494" s="17"/>
      <c r="X494" s="688"/>
      <c r="AC494" t="b">
        <f>OR(AD494:AE494)</f>
        <v>0</v>
      </c>
      <c r="AD494" t="b">
        <f>T494</f>
        <v>0</v>
      </c>
      <c r="AE494" t="b">
        <f>AND(R494,NOT(W494))</f>
        <v>0</v>
      </c>
      <c r="AL494" t="str">
        <f>SUBSTITUTE(SUBSTITUTE(SUBSTITUTE("dpa"&amp;$B494&amp;$C494&amp;$D494&amp;$E494&amp;$F494,".","_"),"(","_"),")","")</f>
        <v>dpa705_2_3</v>
      </c>
      <c r="AM494">
        <f>M494</f>
        <v>1</v>
      </c>
      <c r="AN494" t="str">
        <f>SUBSTITUTE(SUBSTITUTE(SUBSTITUTE("dpc"&amp;$B494&amp;$C494&amp;$D494&amp;$E494&amp;$F494,".","_"),"(","_"),")","")</f>
        <v>dpc705_2_3</v>
      </c>
      <c r="AO494">
        <f>O494</f>
        <v>0</v>
      </c>
      <c r="AP494" t="str">
        <f>SUBSTITUTE(SUBSTITUTE(SUBSTITUTE("dch"&amp;$B494&amp;$C494&amp;$D494&amp;$E494&amp;$F494,".","_"),"(","_"),")","")</f>
        <v>dch705_2_3</v>
      </c>
      <c r="AQ494">
        <f>W494</f>
        <v>0</v>
      </c>
      <c r="AR494" t="str">
        <f>SUBSTITUTE(SUBSTITUTE(SUBSTITUTE("dnt"&amp;$B494&amp;$C494&amp;$D494&amp;$E494&amp;$F494,".","_"),"(","_"),")","")</f>
        <v>dnt705_2_3</v>
      </c>
      <c r="AS494">
        <f>X494</f>
        <v>0</v>
      </c>
    </row>
    <row r="495" spans="2:45" x14ac:dyDescent="0.35">
      <c r="B495" s="452" t="s">
        <v>1210</v>
      </c>
      <c r="C495" s="53"/>
      <c r="D495" s="13"/>
      <c r="E495" s="13"/>
      <c r="F495" s="13"/>
      <c r="G495" s="13"/>
      <c r="H495" s="550"/>
      <c r="I495" s="155"/>
      <c r="J495" s="214"/>
      <c r="K495" s="214"/>
      <c r="L495" s="739"/>
      <c r="M495" s="691"/>
      <c r="N495" s="155"/>
      <c r="O495" s="697"/>
      <c r="X495" s="688"/>
    </row>
    <row r="496" spans="2:45" x14ac:dyDescent="0.35">
      <c r="B496" s="452" t="s">
        <v>1212</v>
      </c>
      <c r="C496" s="53"/>
      <c r="D496" s="13"/>
      <c r="E496" s="13"/>
      <c r="F496" s="13"/>
      <c r="G496" s="13"/>
      <c r="H496" s="550"/>
      <c r="I496" s="34" t="s">
        <v>1212</v>
      </c>
      <c r="J496" s="104"/>
      <c r="K496" s="104"/>
      <c r="L496" s="706" t="s">
        <v>1213</v>
      </c>
      <c r="M496" s="690">
        <v>1</v>
      </c>
      <c r="N496" s="4"/>
      <c r="O496" s="696">
        <f>IFERROR(IF(AND(NOT(ISBLANK(W497)),(W497/W498)&lt;(1/400)),1,0),0)</f>
        <v>0</v>
      </c>
      <c r="R496" s="6"/>
      <c r="W496" t="s">
        <v>3878</v>
      </c>
      <c r="X496" s="688"/>
      <c r="AL496" t="str">
        <f>SUBSTITUTE(SUBSTITUTE(SUBSTITUTE("dpa"&amp;$B496&amp;$C496&amp;$D496&amp;$E496&amp;$F496,".","_"),"(","_"),")","")</f>
        <v>dpa705_2_4</v>
      </c>
      <c r="AM496">
        <f>M496</f>
        <v>1</v>
      </c>
      <c r="AN496" t="str">
        <f>SUBSTITUTE(SUBSTITUTE(SUBSTITUTE("dpc"&amp;$B496&amp;$C496&amp;$D496&amp;$E496&amp;$F496,".","_"),"(","_"),")","")</f>
        <v>dpc705_2_4</v>
      </c>
      <c r="AO496">
        <f>O496</f>
        <v>0</v>
      </c>
      <c r="AR496" t="str">
        <f>SUBSTITUTE(SUBSTITUTE(SUBSTITUTE("dnt"&amp;$B496&amp;$C496&amp;$D496&amp;$E496&amp;$F496,".","_"),"(","_"),")","")</f>
        <v>dnt705_2_4</v>
      </c>
      <c r="AS496">
        <f>X496</f>
        <v>0</v>
      </c>
    </row>
    <row r="497" spans="2:45" x14ac:dyDescent="0.35">
      <c r="B497" s="452" t="s">
        <v>1212</v>
      </c>
      <c r="C497" s="53"/>
      <c r="D497" s="13"/>
      <c r="E497" s="13"/>
      <c r="F497" s="13"/>
      <c r="G497" s="13"/>
      <c r="H497" s="550"/>
      <c r="I497" s="4"/>
      <c r="J497" s="104"/>
      <c r="K497" s="104"/>
      <c r="L497" s="706"/>
      <c r="M497" s="690"/>
      <c r="N497" s="4"/>
      <c r="O497" s="696"/>
      <c r="P497" t="b">
        <v>0</v>
      </c>
      <c r="Q497" t="b">
        <v>1</v>
      </c>
      <c r="R497" t="b">
        <v>0</v>
      </c>
      <c r="S497" t="b">
        <f>AND(OR(W127="Met",W127="N/A"),OR(NOT(AY33="None"),NOT(AY38="None")))</f>
        <v>1</v>
      </c>
      <c r="T497" t="b">
        <f>OR(AND(NOT(S497),LEN(W497)&gt;0),AND(W497&gt;0,W127="N/A"))</f>
        <v>0</v>
      </c>
      <c r="W497" s="283"/>
      <c r="X497" s="688"/>
      <c r="AC497" t="b">
        <f>OR(AD497:AE497)</f>
        <v>0</v>
      </c>
      <c r="AD497" t="b">
        <f>T497</f>
        <v>0</v>
      </c>
      <c r="AE497" t="b">
        <f>AND(R497,OR(W497="Not Met",W497=""))</f>
        <v>0</v>
      </c>
      <c r="AP497" t="str">
        <f>SUBSTITUTE(SUBSTITUTE(SUBSTITUTE("dch"&amp;$B497&amp;$C497&amp;$D497&amp;$E497&amp;$F497,".","_"),"(","_"),")","")</f>
        <v>dch705_2_4</v>
      </c>
      <c r="AQ497" s="625">
        <f>W497</f>
        <v>0</v>
      </c>
    </row>
    <row r="498" spans="2:45" ht="15" thickBot="1" x14ac:dyDescent="0.4">
      <c r="B498" s="452" t="s">
        <v>1212</v>
      </c>
      <c r="C498" s="53"/>
      <c r="D498" s="13"/>
      <c r="E498" s="13"/>
      <c r="F498" s="13"/>
      <c r="G498" s="13"/>
      <c r="H498" s="550"/>
      <c r="I498" s="183"/>
      <c r="J498" s="223"/>
      <c r="K498" s="223"/>
      <c r="L498" s="710"/>
      <c r="M498" s="693"/>
      <c r="N498" s="183"/>
      <c r="O498" s="695"/>
      <c r="P498" s="58"/>
      <c r="Q498" s="58"/>
      <c r="R498" s="58"/>
      <c r="S498" s="58"/>
      <c r="T498" s="58"/>
      <c r="U498" s="58"/>
      <c r="V498" s="58"/>
      <c r="W498" s="374">
        <f>AY25</f>
        <v>2644</v>
      </c>
      <c r="X498" s="689"/>
    </row>
    <row r="499" spans="2:45" ht="15.5" thickTop="1" thickBot="1" x14ac:dyDescent="0.4">
      <c r="B499" s="452">
        <v>705.3</v>
      </c>
      <c r="C499" s="53"/>
      <c r="D499" s="13"/>
      <c r="E499" s="13"/>
      <c r="F499" s="13"/>
      <c r="G499" s="13"/>
      <c r="H499" s="550"/>
      <c r="I499" s="274">
        <v>705.3</v>
      </c>
      <c r="J499" s="350"/>
      <c r="K499" s="350"/>
      <c r="L499" s="276" t="s">
        <v>1214</v>
      </c>
      <c r="M499" s="277">
        <v>1</v>
      </c>
      <c r="N499" s="275"/>
      <c r="O499" s="343">
        <f>M499*S499*W499</f>
        <v>0</v>
      </c>
      <c r="P499" t="b">
        <v>0</v>
      </c>
      <c r="Q499" t="b">
        <v>1</v>
      </c>
      <c r="R499" s="75" t="b">
        <v>0</v>
      </c>
      <c r="S499" s="75" t="b">
        <v>1</v>
      </c>
      <c r="T499" s="75" t="b">
        <v>0</v>
      </c>
      <c r="U499" s="75"/>
      <c r="V499" s="75"/>
      <c r="W499" s="78"/>
      <c r="X499" s="82"/>
      <c r="AC499" t="b">
        <f>OR(AD499:AE499)</f>
        <v>0</v>
      </c>
      <c r="AD499" t="b">
        <f>T499</f>
        <v>0</v>
      </c>
      <c r="AE499" t="b">
        <f>AND(R499,NOT(W499))</f>
        <v>0</v>
      </c>
      <c r="AL499" t="str">
        <f t="shared" ref="AL499:AL500" si="49">SUBSTITUTE(SUBSTITUTE(SUBSTITUTE("dpa"&amp;$B499&amp;$C499&amp;$D499&amp;$E499&amp;$F499,".","_"),"(","_"),")","")</f>
        <v>dpa705_3</v>
      </c>
      <c r="AM499">
        <f>M499</f>
        <v>1</v>
      </c>
      <c r="AN499" t="str">
        <f t="shared" ref="AN499:AN500" si="50">SUBSTITUTE(SUBSTITUTE(SUBSTITUTE("dpc"&amp;$B499&amp;$C499&amp;$D499&amp;$E499&amp;$F499,".","_"),"(","_"),")","")</f>
        <v>dpc705_3</v>
      </c>
      <c r="AO499">
        <f>O499</f>
        <v>0</v>
      </c>
      <c r="AP499" t="str">
        <f t="shared" ref="AP499:AP500" si="51">SUBSTITUTE(SUBSTITUTE(SUBSTITUTE("dch"&amp;$B499&amp;$C499&amp;$D499&amp;$E499&amp;$F499,".","_"),"(","_"),")","")</f>
        <v>dch705_3</v>
      </c>
      <c r="AQ499">
        <f>W499</f>
        <v>0</v>
      </c>
      <c r="AR499" t="str">
        <f t="shared" ref="AR499:AR500" si="52">SUBSTITUTE(SUBSTITUTE(SUBSTITUTE("dnt"&amp;$B499&amp;$C499&amp;$D499&amp;$E499&amp;$F499,".","_"),"(","_"),")","")</f>
        <v>dnt705_3</v>
      </c>
      <c r="AS499">
        <f>X499</f>
        <v>0</v>
      </c>
    </row>
    <row r="500" spans="2:45" ht="15" thickTop="1" x14ac:dyDescent="0.35">
      <c r="B500" s="452">
        <v>705.4</v>
      </c>
      <c r="C500" s="53"/>
      <c r="D500" s="13"/>
      <c r="E500" s="13"/>
      <c r="F500" s="13"/>
      <c r="G500" s="13"/>
      <c r="H500" s="550"/>
      <c r="I500" s="123">
        <v>705.4</v>
      </c>
      <c r="J500" s="349"/>
      <c r="K500" s="349"/>
      <c r="L500" s="711" t="s">
        <v>1215</v>
      </c>
      <c r="M500" s="692">
        <v>2</v>
      </c>
      <c r="N500" s="124"/>
      <c r="O500" s="694">
        <f>M500*S500*W500</f>
        <v>0</v>
      </c>
      <c r="P500" t="b">
        <v>1</v>
      </c>
      <c r="Q500" t="b">
        <v>1</v>
      </c>
      <c r="R500" s="62" t="b">
        <v>0</v>
      </c>
      <c r="S500" s="62" t="b">
        <v>1</v>
      </c>
      <c r="T500" s="62" t="b">
        <v>0</v>
      </c>
      <c r="U500" s="62"/>
      <c r="V500" s="62"/>
      <c r="W500" s="278"/>
      <c r="X500" s="687"/>
      <c r="AC500" t="b">
        <f>OR(AD500:AE500)</f>
        <v>0</v>
      </c>
      <c r="AD500" t="b">
        <f>T500</f>
        <v>0</v>
      </c>
      <c r="AE500" t="b">
        <f>AND(R500,NOT(W500))</f>
        <v>0</v>
      </c>
      <c r="AL500" t="str">
        <f t="shared" si="49"/>
        <v>dpa705_4</v>
      </c>
      <c r="AM500">
        <f>M500</f>
        <v>2</v>
      </c>
      <c r="AN500" t="str">
        <f t="shared" si="50"/>
        <v>dpc705_4</v>
      </c>
      <c r="AO500">
        <f>O500</f>
        <v>0</v>
      </c>
      <c r="AP500" t="str">
        <f t="shared" si="51"/>
        <v>dch705_4</v>
      </c>
      <c r="AQ500">
        <f>W500</f>
        <v>0</v>
      </c>
      <c r="AR500" t="str">
        <f t="shared" si="52"/>
        <v>dnt705_4</v>
      </c>
      <c r="AS500">
        <f>X500</f>
        <v>0</v>
      </c>
    </row>
    <row r="501" spans="2:45" x14ac:dyDescent="0.35">
      <c r="B501" s="452">
        <v>705.4</v>
      </c>
      <c r="C501" s="53"/>
      <c r="D501" s="13"/>
      <c r="E501" s="13"/>
      <c r="F501" s="13"/>
      <c r="G501" s="13"/>
      <c r="H501" s="550"/>
      <c r="I501" s="4"/>
      <c r="J501" s="104"/>
      <c r="K501" s="104"/>
      <c r="L501" s="706"/>
      <c r="M501" s="690"/>
      <c r="N501" s="4"/>
      <c r="O501" s="696"/>
      <c r="X501" s="688"/>
    </row>
    <row r="502" spans="2:45" ht="15" thickBot="1" x14ac:dyDescent="0.4">
      <c r="B502" s="452">
        <v>705.4</v>
      </c>
      <c r="C502" s="53"/>
      <c r="D502" s="13"/>
      <c r="E502" s="13"/>
      <c r="F502" s="13"/>
      <c r="G502" s="13"/>
      <c r="H502" s="550"/>
      <c r="I502" s="183"/>
      <c r="J502" s="223"/>
      <c r="K502" s="223"/>
      <c r="L502" s="710"/>
      <c r="M502" s="693"/>
      <c r="N502" s="183"/>
      <c r="O502" s="695"/>
      <c r="P502" s="58"/>
      <c r="Q502" s="58"/>
      <c r="R502" s="58"/>
      <c r="S502" s="58"/>
      <c r="T502" s="58"/>
      <c r="U502" s="58"/>
      <c r="V502" s="58"/>
      <c r="W502" s="58"/>
      <c r="X502" s="689"/>
    </row>
    <row r="503" spans="2:45" ht="15" thickTop="1" x14ac:dyDescent="0.35">
      <c r="B503" s="452">
        <v>705.5</v>
      </c>
      <c r="C503" s="53"/>
      <c r="D503" s="13"/>
      <c r="E503" s="13"/>
      <c r="F503" s="13"/>
      <c r="G503" s="13"/>
      <c r="H503" s="550"/>
      <c r="I503" s="32">
        <v>705.5</v>
      </c>
      <c r="J503" s="104"/>
      <c r="K503" s="104"/>
      <c r="L503" s="110" t="s">
        <v>1216</v>
      </c>
      <c r="M503" s="43"/>
      <c r="N503" s="4"/>
      <c r="O503" s="85"/>
    </row>
    <row r="504" spans="2:45" x14ac:dyDescent="0.35">
      <c r="B504" s="452" t="s">
        <v>1217</v>
      </c>
      <c r="C504" s="53"/>
      <c r="D504" s="13"/>
      <c r="E504" s="13"/>
      <c r="F504" s="13"/>
      <c r="G504" s="13"/>
      <c r="H504" s="550"/>
      <c r="I504" s="34" t="s">
        <v>1217</v>
      </c>
      <c r="J504" s="104"/>
      <c r="K504" s="104"/>
      <c r="L504" s="706" t="s">
        <v>1218</v>
      </c>
      <c r="M504" s="690">
        <v>1</v>
      </c>
      <c r="N504" s="4"/>
      <c r="O504" s="696">
        <f>M504*S504*W504</f>
        <v>1</v>
      </c>
      <c r="P504" t="b">
        <v>1</v>
      </c>
      <c r="Q504" t="b">
        <v>1</v>
      </c>
      <c r="R504" t="b">
        <v>0</v>
      </c>
      <c r="S504" t="b">
        <v>1</v>
      </c>
      <c r="T504" t="b">
        <v>0</v>
      </c>
      <c r="W504" s="17" t="b">
        <v>1</v>
      </c>
      <c r="X504" s="688"/>
      <c r="AC504" t="b">
        <f>OR(AD504:AE504)</f>
        <v>0</v>
      </c>
      <c r="AD504" t="b">
        <f>T504</f>
        <v>0</v>
      </c>
      <c r="AE504" t="b">
        <f>AND(R504,NOT(W504))</f>
        <v>0</v>
      </c>
      <c r="AL504" t="str">
        <f>SUBSTITUTE(SUBSTITUTE(SUBSTITUTE("dpa"&amp;$B504&amp;$C504&amp;$D504&amp;$E504&amp;$F504,".","_"),"(","_"),")","")</f>
        <v>dpa705_5_1</v>
      </c>
      <c r="AM504">
        <f>M504</f>
        <v>1</v>
      </c>
      <c r="AN504" t="str">
        <f>SUBSTITUTE(SUBSTITUTE(SUBSTITUTE("dpc"&amp;$B504&amp;$C504&amp;$D504&amp;$E504&amp;$F504,".","_"),"(","_"),")","")</f>
        <v>dpc705_5_1</v>
      </c>
      <c r="AO504">
        <f>O504</f>
        <v>1</v>
      </c>
      <c r="AP504" t="str">
        <f>SUBSTITUTE(SUBSTITUTE(SUBSTITUTE("dch"&amp;$B504&amp;$C504&amp;$D504&amp;$E504&amp;$F504,".","_"),"(","_"),")","")</f>
        <v>dch705_5_1</v>
      </c>
      <c r="AQ504" t="b">
        <f>W504</f>
        <v>1</v>
      </c>
      <c r="AR504" t="str">
        <f>SUBSTITUTE(SUBSTITUTE(SUBSTITUTE("dnt"&amp;$B504&amp;$C504&amp;$D504&amp;$E504&amp;$F504,".","_"),"(","_"),")","")</f>
        <v>dnt705_5_1</v>
      </c>
      <c r="AS504">
        <f>X504</f>
        <v>0</v>
      </c>
    </row>
    <row r="505" spans="2:45" x14ac:dyDescent="0.35">
      <c r="B505" s="452" t="s">
        <v>1217</v>
      </c>
      <c r="C505" s="53"/>
      <c r="D505" s="13"/>
      <c r="E505" s="13"/>
      <c r="F505" s="13"/>
      <c r="G505" s="13"/>
      <c r="H505" s="550"/>
      <c r="I505" s="4"/>
      <c r="J505" s="104"/>
      <c r="K505" s="104"/>
      <c r="L505" s="706"/>
      <c r="M505" s="690"/>
      <c r="N505" s="4"/>
      <c r="O505" s="696"/>
      <c r="X505" s="688"/>
    </row>
    <row r="506" spans="2:45" x14ac:dyDescent="0.35">
      <c r="B506" s="452" t="s">
        <v>1217</v>
      </c>
      <c r="C506" s="53"/>
      <c r="D506" s="13"/>
      <c r="E506" s="13"/>
      <c r="F506" s="13"/>
      <c r="G506" s="13"/>
      <c r="H506" s="550"/>
      <c r="I506" s="4"/>
      <c r="J506" s="104"/>
      <c r="K506" s="104"/>
      <c r="L506" s="706"/>
      <c r="M506" s="690"/>
      <c r="N506" s="4"/>
      <c r="O506" s="696"/>
      <c r="X506" s="688"/>
    </row>
    <row r="507" spans="2:45" x14ac:dyDescent="0.35">
      <c r="B507" s="452" t="s">
        <v>1217</v>
      </c>
      <c r="C507" s="53"/>
      <c r="D507" s="13"/>
      <c r="E507" s="13"/>
      <c r="F507" s="13"/>
      <c r="G507" s="13"/>
      <c r="H507" s="550"/>
      <c r="I507" s="4"/>
      <c r="J507" s="104"/>
      <c r="K507" s="104"/>
      <c r="L507" s="706"/>
      <c r="M507" s="690"/>
      <c r="N507" s="4"/>
      <c r="O507" s="696"/>
      <c r="X507" s="688"/>
    </row>
    <row r="508" spans="2:45" x14ac:dyDescent="0.35">
      <c r="B508" s="452" t="s">
        <v>1217</v>
      </c>
      <c r="C508" s="53"/>
      <c r="D508" s="13"/>
      <c r="E508" s="13"/>
      <c r="F508" s="13"/>
      <c r="G508" s="13"/>
      <c r="H508" s="550"/>
      <c r="I508" s="155"/>
      <c r="J508" s="214"/>
      <c r="K508" s="214"/>
      <c r="L508" s="739"/>
      <c r="M508" s="691"/>
      <c r="N508" s="155"/>
      <c r="O508" s="697"/>
      <c r="X508" s="688"/>
    </row>
    <row r="509" spans="2:45" x14ac:dyDescent="0.35">
      <c r="B509" s="452" t="s">
        <v>1219</v>
      </c>
      <c r="C509" s="53"/>
      <c r="D509" s="13"/>
      <c r="E509" s="13"/>
      <c r="F509" s="13"/>
      <c r="G509" s="13"/>
      <c r="H509" s="550"/>
      <c r="I509" s="34" t="s">
        <v>1219</v>
      </c>
      <c r="J509" s="104"/>
      <c r="K509" s="104"/>
      <c r="L509" s="706" t="s">
        <v>1220</v>
      </c>
      <c r="M509" s="690">
        <v>3</v>
      </c>
      <c r="N509" s="4"/>
      <c r="O509" s="696">
        <f>M509*S509*W509</f>
        <v>3</v>
      </c>
      <c r="P509" t="b">
        <v>0</v>
      </c>
      <c r="Q509" t="b">
        <v>1</v>
      </c>
      <c r="R509" t="b">
        <v>0</v>
      </c>
      <c r="S509" t="b">
        <v>1</v>
      </c>
      <c r="T509" t="b">
        <v>0</v>
      </c>
      <c r="W509" s="17" t="b">
        <v>1</v>
      </c>
      <c r="X509" s="688"/>
      <c r="AC509" t="b">
        <f>OR(AD509:AE509)</f>
        <v>0</v>
      </c>
      <c r="AD509" t="b">
        <f>T509</f>
        <v>0</v>
      </c>
      <c r="AE509" t="b">
        <f>AND(R509,NOT(W509))</f>
        <v>0</v>
      </c>
      <c r="AL509" t="str">
        <f>SUBSTITUTE(SUBSTITUTE(SUBSTITUTE("dpa"&amp;$B509&amp;$C509&amp;$D509&amp;$E509&amp;$F509,".","_"),"(","_"),")","")</f>
        <v>dpa705_5_2</v>
      </c>
      <c r="AM509">
        <f>M509</f>
        <v>3</v>
      </c>
      <c r="AN509" t="str">
        <f>SUBSTITUTE(SUBSTITUTE(SUBSTITUTE("dpc"&amp;$B509&amp;$C509&amp;$D509&amp;$E509&amp;$F509,".","_"),"(","_"),")","")</f>
        <v>dpc705_5_2</v>
      </c>
      <c r="AO509">
        <f>O509</f>
        <v>3</v>
      </c>
      <c r="AP509" t="str">
        <f>SUBSTITUTE(SUBSTITUTE(SUBSTITUTE("dch"&amp;$B509&amp;$C509&amp;$D509&amp;$E509&amp;$F509,".","_"),"(","_"),")","")</f>
        <v>dch705_5_2</v>
      </c>
      <c r="AQ509" t="b">
        <f>W509</f>
        <v>1</v>
      </c>
      <c r="AR509" t="str">
        <f>SUBSTITUTE(SUBSTITUTE(SUBSTITUTE("dnt"&amp;$B509&amp;$C509&amp;$D509&amp;$E509&amp;$F509,".","_"),"(","_"),")","")</f>
        <v>dnt705_5_2</v>
      </c>
      <c r="AS509">
        <f>X509</f>
        <v>0</v>
      </c>
    </row>
    <row r="510" spans="2:45" x14ac:dyDescent="0.35">
      <c r="B510" s="452" t="s">
        <v>1219</v>
      </c>
      <c r="C510" s="53"/>
      <c r="D510" s="13"/>
      <c r="E510" s="13"/>
      <c r="F510" s="13"/>
      <c r="G510" s="13"/>
      <c r="H510" s="550"/>
      <c r="I510" s="4"/>
      <c r="J510" s="104"/>
      <c r="K510" s="104"/>
      <c r="L510" s="706"/>
      <c r="M510" s="690"/>
      <c r="N510" s="4"/>
      <c r="O510" s="696"/>
      <c r="X510" s="688"/>
    </row>
    <row r="511" spans="2:45" x14ac:dyDescent="0.35">
      <c r="B511" s="452" t="s">
        <v>1219</v>
      </c>
      <c r="C511" s="53"/>
      <c r="D511" s="13" t="s">
        <v>270</v>
      </c>
      <c r="E511" s="13"/>
      <c r="F511" s="13"/>
      <c r="G511" s="13"/>
      <c r="H511" s="550"/>
      <c r="I511" s="4"/>
      <c r="J511" s="179" t="s">
        <v>270</v>
      </c>
      <c r="K511" s="104"/>
      <c r="L511" s="104" t="s">
        <v>1221</v>
      </c>
      <c r="M511" s="43"/>
      <c r="N511" s="4"/>
      <c r="O511" s="85"/>
      <c r="X511" s="39"/>
      <c r="AR511" t="str">
        <f t="shared" ref="AR511:AR516" si="53">SUBSTITUTE(SUBSTITUTE(SUBSTITUTE("dnt"&amp;$B511&amp;$C511&amp;$D511&amp;$E511&amp;$F511,".","_"),"(","_"),")","")</f>
        <v>dnt705_5_2_1</v>
      </c>
      <c r="AS511">
        <f t="shared" ref="AS511:AS516" si="54">X511</f>
        <v>0</v>
      </c>
    </row>
    <row r="512" spans="2:45" x14ac:dyDescent="0.35">
      <c r="B512" s="452" t="s">
        <v>1219</v>
      </c>
      <c r="C512" s="53"/>
      <c r="D512" s="13" t="s">
        <v>272</v>
      </c>
      <c r="E512" s="13"/>
      <c r="F512" s="13"/>
      <c r="G512" s="13"/>
      <c r="H512" s="550"/>
      <c r="I512" s="4"/>
      <c r="J512" s="373" t="s">
        <v>272</v>
      </c>
      <c r="K512" s="214"/>
      <c r="L512" s="214" t="s">
        <v>1222</v>
      </c>
      <c r="M512" s="43"/>
      <c r="N512" s="4"/>
      <c r="O512" s="85"/>
      <c r="X512" s="39"/>
      <c r="AR512" t="str">
        <f t="shared" si="53"/>
        <v>dnt705_5_2_2</v>
      </c>
      <c r="AS512">
        <f t="shared" si="54"/>
        <v>0</v>
      </c>
    </row>
    <row r="513" spans="2:45" x14ac:dyDescent="0.35">
      <c r="B513" s="452" t="s">
        <v>1219</v>
      </c>
      <c r="C513" s="53"/>
      <c r="D513" s="13" t="s">
        <v>274</v>
      </c>
      <c r="E513" s="13"/>
      <c r="F513" s="13"/>
      <c r="G513" s="13"/>
      <c r="H513" s="550"/>
      <c r="I513" s="4"/>
      <c r="J513" s="384" t="s">
        <v>274</v>
      </c>
      <c r="K513" s="220"/>
      <c r="L513" s="220" t="s">
        <v>1223</v>
      </c>
      <c r="M513" s="43"/>
      <c r="N513" s="4"/>
      <c r="O513" s="85"/>
      <c r="X513" s="39"/>
      <c r="AR513" t="str">
        <f t="shared" si="53"/>
        <v>dnt705_5_2_3</v>
      </c>
      <c r="AS513">
        <f t="shared" si="54"/>
        <v>0</v>
      </c>
    </row>
    <row r="514" spans="2:45" x14ac:dyDescent="0.35">
      <c r="B514" s="452" t="s">
        <v>1219</v>
      </c>
      <c r="C514" s="53"/>
      <c r="D514" s="13" t="s">
        <v>283</v>
      </c>
      <c r="E514" s="13"/>
      <c r="F514" s="13"/>
      <c r="G514" s="13"/>
      <c r="H514" s="550"/>
      <c r="I514" s="4"/>
      <c r="J514" s="384" t="s">
        <v>283</v>
      </c>
      <c r="K514" s="220"/>
      <c r="L514" s="220" t="s">
        <v>1224</v>
      </c>
      <c r="M514" s="43"/>
      <c r="N514" s="4"/>
      <c r="O514" s="85"/>
      <c r="X514" s="39"/>
      <c r="AR514" t="str">
        <f t="shared" si="53"/>
        <v>dnt705_5_2_4</v>
      </c>
      <c r="AS514">
        <f t="shared" si="54"/>
        <v>0</v>
      </c>
    </row>
    <row r="515" spans="2:45" x14ac:dyDescent="0.35">
      <c r="B515" s="452" t="s">
        <v>1219</v>
      </c>
      <c r="C515" s="53"/>
      <c r="D515" s="13" t="s">
        <v>289</v>
      </c>
      <c r="E515" s="13"/>
      <c r="F515" s="13"/>
      <c r="G515" s="13"/>
      <c r="H515" s="550"/>
      <c r="I515" s="4"/>
      <c r="J515" s="384" t="s">
        <v>289</v>
      </c>
      <c r="K515" s="220"/>
      <c r="L515" s="220" t="s">
        <v>1225</v>
      </c>
      <c r="M515" s="43"/>
      <c r="N515" s="4"/>
      <c r="O515" s="85"/>
      <c r="X515" s="39"/>
      <c r="AR515" t="str">
        <f t="shared" si="53"/>
        <v>dnt705_5_2_5</v>
      </c>
      <c r="AS515">
        <f t="shared" si="54"/>
        <v>0</v>
      </c>
    </row>
    <row r="516" spans="2:45" ht="15" thickBot="1" x14ac:dyDescent="0.4">
      <c r="B516" s="452" t="s">
        <v>1219</v>
      </c>
      <c r="C516" s="53"/>
      <c r="D516" s="13" t="s">
        <v>291</v>
      </c>
      <c r="E516" s="13"/>
      <c r="F516" s="13"/>
      <c r="G516" s="13"/>
      <c r="H516" s="550"/>
      <c r="I516" s="183"/>
      <c r="J516" s="375" t="s">
        <v>291</v>
      </c>
      <c r="K516" s="223"/>
      <c r="L516" s="223" t="s">
        <v>1226</v>
      </c>
      <c r="M516" s="270"/>
      <c r="N516" s="183"/>
      <c r="O516" s="184"/>
      <c r="P516" s="58"/>
      <c r="Q516" s="58"/>
      <c r="R516" s="58"/>
      <c r="S516" s="58"/>
      <c r="T516" s="58"/>
      <c r="U516" s="58"/>
      <c r="V516" s="58"/>
      <c r="W516" s="58"/>
      <c r="X516" s="113"/>
      <c r="AR516" t="str">
        <f t="shared" si="53"/>
        <v>dnt705_5_2_6</v>
      </c>
      <c r="AS516">
        <f t="shared" si="54"/>
        <v>0</v>
      </c>
    </row>
    <row r="517" spans="2:45" ht="15" thickTop="1" x14ac:dyDescent="0.35">
      <c r="B517" s="452">
        <v>705.6</v>
      </c>
      <c r="C517" s="53"/>
      <c r="D517" s="13"/>
      <c r="E517" s="13"/>
      <c r="F517" s="13"/>
      <c r="G517" s="13"/>
      <c r="H517" s="550"/>
      <c r="I517" s="33">
        <v>705.6</v>
      </c>
      <c r="J517" s="104"/>
      <c r="K517" s="104"/>
      <c r="L517" s="110" t="s">
        <v>1227</v>
      </c>
      <c r="M517" s="43"/>
      <c r="N517" s="4"/>
      <c r="O517" s="85"/>
    </row>
    <row r="518" spans="2:45" x14ac:dyDescent="0.35">
      <c r="B518" s="452" t="s">
        <v>1228</v>
      </c>
      <c r="C518" s="53"/>
      <c r="D518" s="13"/>
      <c r="E518" s="13"/>
      <c r="F518" s="13"/>
      <c r="G518" s="13"/>
      <c r="H518" s="550"/>
      <c r="I518" s="34" t="s">
        <v>1228</v>
      </c>
      <c r="J518" s="104"/>
      <c r="K518" s="104"/>
      <c r="L518" s="706" t="s">
        <v>1229</v>
      </c>
      <c r="M518" s="690">
        <v>3</v>
      </c>
      <c r="N518" s="4"/>
      <c r="O518" s="696">
        <f>M518*S518</f>
        <v>3</v>
      </c>
      <c r="P518" t="b">
        <v>1</v>
      </c>
      <c r="Q518" t="b">
        <v>1</v>
      </c>
      <c r="R518" t="b">
        <v>0</v>
      </c>
      <c r="S518" t="b">
        <f>LEN(W12)&gt;0</f>
        <v>1</v>
      </c>
      <c r="T518" t="b">
        <v>0</v>
      </c>
      <c r="W518" s="763" t="s">
        <v>3865</v>
      </c>
      <c r="X518" s="688"/>
      <c r="AL518" t="str">
        <f>SUBSTITUTE(SUBSTITUTE(SUBSTITUTE("dpa"&amp;$B518&amp;$C518&amp;$D518&amp;$E518&amp;$F518,".","_"),"(","_"),")","")</f>
        <v>dpa705_6_1</v>
      </c>
      <c r="AM518">
        <f>M518</f>
        <v>3</v>
      </c>
      <c r="AN518" t="str">
        <f>SUBSTITUTE(SUBSTITUTE(SUBSTITUTE("dpc"&amp;$B518&amp;$C518&amp;$D518&amp;$E518&amp;$F518,".","_"),"(","_"),")","")</f>
        <v>dpc705_6_1</v>
      </c>
      <c r="AO518">
        <f>O518</f>
        <v>3</v>
      </c>
      <c r="AR518" t="str">
        <f>SUBSTITUTE(SUBSTITUTE(SUBSTITUTE("dnt"&amp;$B518&amp;$C518&amp;$D518&amp;$E518&amp;$F518,".","_"),"(","_"),")","")</f>
        <v>dnt705_6_1</v>
      </c>
      <c r="AS518">
        <f>X518</f>
        <v>0</v>
      </c>
    </row>
    <row r="519" spans="2:45" x14ac:dyDescent="0.35">
      <c r="B519" s="452" t="s">
        <v>1228</v>
      </c>
      <c r="C519" s="53"/>
      <c r="D519" s="13"/>
      <c r="E519" s="13"/>
      <c r="F519" s="13"/>
      <c r="G519" s="13"/>
      <c r="H519" s="550"/>
      <c r="I519" s="4"/>
      <c r="J519" s="104"/>
      <c r="K519" s="104"/>
      <c r="L519" s="706"/>
      <c r="M519" s="690"/>
      <c r="N519" s="4"/>
      <c r="O519" s="696"/>
      <c r="W519" s="763"/>
      <c r="X519" s="688"/>
    </row>
    <row r="520" spans="2:45" x14ac:dyDescent="0.35">
      <c r="B520" s="452" t="s">
        <v>1228</v>
      </c>
      <c r="C520" s="53"/>
      <c r="D520" s="13"/>
      <c r="E520" s="13"/>
      <c r="F520" s="13"/>
      <c r="G520" s="13"/>
      <c r="H520" s="550"/>
      <c r="I520" s="4"/>
      <c r="J520" s="104"/>
      <c r="K520" s="104"/>
      <c r="L520" s="706"/>
      <c r="M520" s="690"/>
      <c r="N520" s="4"/>
      <c r="O520" s="696"/>
      <c r="W520" s="763"/>
      <c r="X520" s="688"/>
    </row>
    <row r="521" spans="2:45" x14ac:dyDescent="0.35">
      <c r="B521" s="452" t="s">
        <v>1228</v>
      </c>
      <c r="C521" s="53"/>
      <c r="D521" s="13"/>
      <c r="E521" s="13"/>
      <c r="F521" s="13"/>
      <c r="G521" s="13"/>
      <c r="H521" s="550"/>
      <c r="I521" s="4"/>
      <c r="J521" s="104"/>
      <c r="K521" s="104"/>
      <c r="L521" s="706"/>
      <c r="M521" s="690"/>
      <c r="N521" s="4"/>
      <c r="O521" s="696"/>
      <c r="W521" s="763"/>
      <c r="X521" s="688"/>
    </row>
    <row r="522" spans="2:45" x14ac:dyDescent="0.35">
      <c r="B522" s="452" t="s">
        <v>1228</v>
      </c>
      <c r="C522" s="53"/>
      <c r="D522" s="13"/>
      <c r="E522" s="13"/>
      <c r="F522" s="13"/>
      <c r="G522" s="13"/>
      <c r="H522" s="550"/>
      <c r="I522" s="4"/>
      <c r="J522" s="104"/>
      <c r="K522" s="104"/>
      <c r="L522" s="706"/>
      <c r="M522" s="690"/>
      <c r="N522" s="4"/>
      <c r="O522" s="696"/>
      <c r="W522" s="763"/>
      <c r="X522" s="688"/>
    </row>
    <row r="523" spans="2:45" x14ac:dyDescent="0.35">
      <c r="B523" s="452" t="s">
        <v>1228</v>
      </c>
      <c r="C523" s="53"/>
      <c r="D523" s="13"/>
      <c r="E523" s="13"/>
      <c r="F523" s="13"/>
      <c r="G523" s="13"/>
      <c r="H523" s="550"/>
      <c r="I523" s="155"/>
      <c r="J523" s="214"/>
      <c r="K523" s="214"/>
      <c r="L523" s="739"/>
      <c r="M523" s="691"/>
      <c r="N523" s="155"/>
      <c r="O523" s="697"/>
      <c r="P523" s="119"/>
      <c r="Q523" s="119"/>
      <c r="R523" s="119"/>
      <c r="S523" s="119"/>
      <c r="T523" s="119"/>
      <c r="U523" s="119"/>
      <c r="V523" s="119"/>
      <c r="W523" s="764"/>
      <c r="X523" s="688"/>
    </row>
    <row r="524" spans="2:45" x14ac:dyDescent="0.35">
      <c r="B524" s="452" t="s">
        <v>3863</v>
      </c>
      <c r="C524" s="53"/>
      <c r="D524" s="13"/>
      <c r="E524" s="13"/>
      <c r="F524" s="13"/>
      <c r="G524" s="13"/>
      <c r="H524" s="550"/>
      <c r="I524" s="34" t="s">
        <v>3863</v>
      </c>
      <c r="J524" s="104"/>
      <c r="K524" s="104"/>
      <c r="L524" s="110" t="s">
        <v>3864</v>
      </c>
      <c r="M524" s="43"/>
      <c r="N524" s="4"/>
      <c r="O524" s="85"/>
    </row>
    <row r="525" spans="2:45" x14ac:dyDescent="0.35">
      <c r="B525" s="53" t="s">
        <v>1231</v>
      </c>
      <c r="C525" s="53"/>
      <c r="D525" s="13"/>
      <c r="E525" s="13"/>
      <c r="F525" s="13"/>
      <c r="G525" s="13"/>
      <c r="H525" s="550"/>
      <c r="I525" s="34" t="s">
        <v>1231</v>
      </c>
      <c r="J525" s="104"/>
      <c r="K525" s="104"/>
      <c r="L525" s="706" t="s">
        <v>1232</v>
      </c>
      <c r="M525" s="43"/>
      <c r="N525" s="4"/>
      <c r="O525" s="85"/>
    </row>
    <row r="526" spans="2:45" x14ac:dyDescent="0.35">
      <c r="B526" s="53" t="s">
        <v>1231</v>
      </c>
      <c r="C526" s="53"/>
      <c r="D526" s="13"/>
      <c r="E526" s="13"/>
      <c r="F526" s="13"/>
      <c r="G526" s="13"/>
      <c r="H526" s="550"/>
      <c r="I526" s="4"/>
      <c r="J526" s="104"/>
      <c r="K526" s="104"/>
      <c r="L526" s="706"/>
      <c r="M526" s="43"/>
      <c r="N526" s="4"/>
      <c r="O526" s="85"/>
    </row>
    <row r="527" spans="2:45" x14ac:dyDescent="0.35">
      <c r="B527" s="53" t="s">
        <v>1231</v>
      </c>
      <c r="C527" s="53"/>
      <c r="D527" s="13"/>
      <c r="E527" s="13"/>
      <c r="F527" s="13"/>
      <c r="G527" s="13"/>
      <c r="H527" s="550"/>
      <c r="I527" s="4"/>
      <c r="J527" s="104"/>
      <c r="K527" s="104"/>
      <c r="L527" s="706"/>
      <c r="M527" s="43"/>
      <c r="N527" s="4"/>
      <c r="O527" s="85"/>
    </row>
    <row r="528" spans="2:45" x14ac:dyDescent="0.35">
      <c r="B528" s="53" t="s">
        <v>1231</v>
      </c>
      <c r="C528" s="53"/>
      <c r="D528" s="13"/>
      <c r="E528" s="13"/>
      <c r="F528" s="13"/>
      <c r="G528" s="13"/>
      <c r="H528" s="550"/>
      <c r="I528" s="4"/>
      <c r="J528" s="104"/>
      <c r="K528" s="104"/>
      <c r="L528" s="752" t="s">
        <v>1230</v>
      </c>
      <c r="M528" s="43"/>
      <c r="N528" s="4"/>
      <c r="O528" s="85"/>
    </row>
    <row r="529" spans="2:45" x14ac:dyDescent="0.35">
      <c r="B529" s="53" t="s">
        <v>1231</v>
      </c>
      <c r="C529" s="53"/>
      <c r="D529" s="13"/>
      <c r="E529" s="13"/>
      <c r="F529" s="13"/>
      <c r="G529" s="13"/>
      <c r="H529" s="550"/>
      <c r="I529" s="4"/>
      <c r="J529" s="104"/>
      <c r="K529" s="104"/>
      <c r="L529" s="752"/>
      <c r="M529" s="43"/>
      <c r="N529" s="4"/>
      <c r="O529" s="85"/>
    </row>
    <row r="530" spans="2:45" x14ac:dyDescent="0.35">
      <c r="B530" s="53" t="s">
        <v>1231</v>
      </c>
      <c r="C530" s="53"/>
      <c r="D530" s="13"/>
      <c r="E530" s="13"/>
      <c r="F530" s="13"/>
      <c r="G530" s="13"/>
      <c r="H530" s="550"/>
      <c r="I530" s="4"/>
      <c r="J530" s="104"/>
      <c r="K530" s="104"/>
      <c r="L530" s="107" t="s">
        <v>3866</v>
      </c>
      <c r="M530" s="43"/>
      <c r="N530" s="4"/>
      <c r="O530" s="85"/>
      <c r="W530" t="s">
        <v>4024</v>
      </c>
    </row>
    <row r="531" spans="2:45" x14ac:dyDescent="0.35">
      <c r="B531" s="53" t="s">
        <v>1231</v>
      </c>
      <c r="C531" s="53"/>
      <c r="D531" s="13" t="s">
        <v>270</v>
      </c>
      <c r="E531" s="13" t="s">
        <v>4692</v>
      </c>
      <c r="F531" s="13"/>
      <c r="G531" s="13"/>
      <c r="H531" s="550"/>
      <c r="I531" s="4"/>
      <c r="J531" s="179" t="s">
        <v>270</v>
      </c>
      <c r="K531" s="104"/>
      <c r="L531" s="104" t="s">
        <v>1233</v>
      </c>
      <c r="M531" s="690">
        <v>3</v>
      </c>
      <c r="N531" s="4"/>
      <c r="O531" s="696">
        <f>IF(LEN(W531)&gt;0,M531,0)</f>
        <v>0</v>
      </c>
      <c r="P531" t="b">
        <v>0</v>
      </c>
      <c r="Q531" t="b">
        <v>1</v>
      </c>
      <c r="R531" t="b">
        <v>0</v>
      </c>
      <c r="S531" t="b">
        <f ca="1">AND(OR(S57,AND(OR(AND(BF17=2,BG17="Dry"),BI17="Tropical"),S57,O194&gt;0)), LEN(W533)&lt;=0)</f>
        <v>0</v>
      </c>
      <c r="T531" t="b">
        <f ca="1">AND(NOT(S531),LEN(W531)&gt;0)</f>
        <v>0</v>
      </c>
      <c r="W531" s="284"/>
      <c r="X531" s="688"/>
      <c r="AC531" t="b">
        <f ca="1">OR(AD531:AE531)</f>
        <v>0</v>
      </c>
      <c r="AD531" t="b">
        <f ca="1">T531</f>
        <v>0</v>
      </c>
      <c r="AL531" t="str">
        <f t="shared" ref="AL531:AL534" si="55">SUBSTITUTE(SUBSTITUTE(SUBSTITUTE("dpa"&amp;$B531&amp;$C531&amp;$D531&amp;$E531&amp;$F531,".","_"),"(","_"),")","")</f>
        <v>dpa705_6_2_1_1_1</v>
      </c>
      <c r="AM531">
        <f>M531</f>
        <v>3</v>
      </c>
      <c r="AN531" t="str">
        <f t="shared" ref="AN531:AN534" si="56">SUBSTITUTE(SUBSTITUTE(SUBSTITUTE("dpc"&amp;$B531&amp;$C531&amp;$D531&amp;$E531&amp;$F531,".","_"),"(","_"),")","")</f>
        <v>dpc705_6_2_1_1_1</v>
      </c>
      <c r="AO531">
        <f>O531</f>
        <v>0</v>
      </c>
      <c r="AP531" t="str">
        <f t="shared" ref="AP531:AP534" si="57">SUBSTITUTE(SUBSTITUTE(SUBSTITUTE("dch"&amp;$B531&amp;$C531&amp;$D531&amp;$E531&amp;$F531,".","_"),"(","_"),")","")</f>
        <v>dch705_6_2_1_1_1</v>
      </c>
      <c r="AQ531" s="314">
        <f>W531</f>
        <v>0</v>
      </c>
      <c r="AR531" t="str">
        <f t="shared" ref="AR531:AR534" si="58">SUBSTITUTE(SUBSTITUTE(SUBSTITUTE("dnt"&amp;$B531&amp;$C531&amp;$D531&amp;$E531&amp;$F531,".","_"),"(","_"),")","")</f>
        <v>dnt705_6_2_1_1_1</v>
      </c>
      <c r="AS531">
        <f>X531</f>
        <v>0</v>
      </c>
    </row>
    <row r="532" spans="2:45" x14ac:dyDescent="0.35">
      <c r="B532" s="53" t="s">
        <v>1231</v>
      </c>
      <c r="C532" s="53"/>
      <c r="D532" s="13" t="s">
        <v>270</v>
      </c>
      <c r="E532" s="13"/>
      <c r="F532" s="13"/>
      <c r="G532" s="13"/>
      <c r="H532" s="550"/>
      <c r="I532" s="4"/>
      <c r="J532" s="179"/>
      <c r="K532" s="104"/>
      <c r="L532" s="104"/>
      <c r="M532" s="690"/>
      <c r="N532" s="4"/>
      <c r="O532" s="696"/>
      <c r="W532" t="s">
        <v>4805</v>
      </c>
      <c r="X532" s="688"/>
    </row>
    <row r="533" spans="2:45" x14ac:dyDescent="0.35">
      <c r="B533" s="53" t="s">
        <v>1231</v>
      </c>
      <c r="C533" s="53"/>
      <c r="D533" s="13" t="s">
        <v>270</v>
      </c>
      <c r="E533" s="13" t="s">
        <v>4693</v>
      </c>
      <c r="F533" s="13"/>
      <c r="G533" s="13"/>
      <c r="H533" s="550"/>
      <c r="I533" s="4"/>
      <c r="J533" s="373"/>
      <c r="K533" s="214"/>
      <c r="L533" s="214"/>
      <c r="M533" s="691"/>
      <c r="N533" s="155"/>
      <c r="O533" s="697"/>
      <c r="P533" t="b">
        <v>0</v>
      </c>
      <c r="Q533" t="b">
        <v>1</v>
      </c>
      <c r="R533" t="b">
        <v>0</v>
      </c>
      <c r="S533" t="b">
        <f ca="1">AND(OR(S57,AND(OR(AND(BF17=2,BG17="Dry"),BI17="Tropical"),S57,O194&gt;0)),LEN(W531)=0)</f>
        <v>0</v>
      </c>
      <c r="T533" t="b">
        <f ca="1">AND(NOT(S533),LEN(W533)&gt;0)</f>
        <v>0</v>
      </c>
      <c r="W533" s="284"/>
      <c r="X533" s="688"/>
      <c r="AC533" t="b">
        <f ca="1">OR(AD533:AE533)</f>
        <v>0</v>
      </c>
      <c r="AD533" t="b">
        <f ca="1">T533</f>
        <v>0</v>
      </c>
      <c r="AP533" t="str">
        <f t="shared" si="57"/>
        <v>dch705_6_2_1_1_2</v>
      </c>
      <c r="AQ533" s="314">
        <f>W533</f>
        <v>0</v>
      </c>
    </row>
    <row r="534" spans="2:45" x14ac:dyDescent="0.35">
      <c r="B534" s="53" t="s">
        <v>1231</v>
      </c>
      <c r="C534" s="53"/>
      <c r="D534" s="13" t="s">
        <v>272</v>
      </c>
      <c r="E534" s="13"/>
      <c r="F534" s="13"/>
      <c r="G534" s="13"/>
      <c r="H534" s="550"/>
      <c r="I534" s="4"/>
      <c r="J534" s="179" t="s">
        <v>272</v>
      </c>
      <c r="K534" s="104"/>
      <c r="L534" s="104" t="s">
        <v>1234</v>
      </c>
      <c r="M534" s="43">
        <v>5</v>
      </c>
      <c r="N534" s="4"/>
      <c r="O534" s="85">
        <f>M534*S534*W534</f>
        <v>0</v>
      </c>
      <c r="P534" t="b">
        <v>0</v>
      </c>
      <c r="Q534" t="b">
        <v>1</v>
      </c>
      <c r="R534" t="b">
        <v>0</v>
      </c>
      <c r="S534" t="b">
        <f>O531&gt;0</f>
        <v>0</v>
      </c>
      <c r="T534" t="b">
        <f>AND(NOT(S534),W534=TRUE)</f>
        <v>0</v>
      </c>
      <c r="W534" s="17"/>
      <c r="X534" s="698"/>
      <c r="AC534" t="b">
        <f>OR(AD534:AE534)</f>
        <v>0</v>
      </c>
      <c r="AD534" t="b">
        <f>T534</f>
        <v>0</v>
      </c>
      <c r="AE534" t="b">
        <f>AND(W534=TRUE,LEN(X534)=0)</f>
        <v>0</v>
      </c>
      <c r="AL534" t="str">
        <f t="shared" si="55"/>
        <v>dpa705_6_2_1_2</v>
      </c>
      <c r="AM534">
        <f>M534</f>
        <v>5</v>
      </c>
      <c r="AN534" t="str">
        <f t="shared" si="56"/>
        <v>dpc705_6_2_1_2</v>
      </c>
      <c r="AO534">
        <f>O534</f>
        <v>0</v>
      </c>
      <c r="AP534" t="str">
        <f t="shared" si="57"/>
        <v>dch705_6_2_1_2</v>
      </c>
      <c r="AQ534">
        <f>W534</f>
        <v>0</v>
      </c>
      <c r="AR534" t="str">
        <f t="shared" si="58"/>
        <v>dnt705_6_2_1_2</v>
      </c>
      <c r="AS534">
        <f>X534</f>
        <v>0</v>
      </c>
    </row>
    <row r="535" spans="2:45" x14ac:dyDescent="0.35">
      <c r="B535" s="53" t="s">
        <v>1231</v>
      </c>
      <c r="C535" s="53"/>
      <c r="D535" s="13" t="s">
        <v>272</v>
      </c>
      <c r="E535" s="13"/>
      <c r="F535" s="13"/>
      <c r="G535" s="13"/>
      <c r="H535" s="550"/>
      <c r="I535" s="4"/>
      <c r="J535" s="179"/>
      <c r="K535" s="104"/>
      <c r="L535" s="714" t="s">
        <v>3867</v>
      </c>
      <c r="M535" s="43"/>
      <c r="N535" s="4"/>
      <c r="O535" s="85"/>
      <c r="X535" s="699"/>
    </row>
    <row r="536" spans="2:45" x14ac:dyDescent="0.35">
      <c r="B536" s="53" t="s">
        <v>1231</v>
      </c>
      <c r="C536" s="53"/>
      <c r="D536" s="13" t="s">
        <v>272</v>
      </c>
      <c r="E536" s="13"/>
      <c r="F536" s="13"/>
      <c r="G536" s="13"/>
      <c r="H536" s="550"/>
      <c r="I536" s="155"/>
      <c r="J536" s="373"/>
      <c r="K536" s="214"/>
      <c r="L536" s="755"/>
      <c r="M536" s="43"/>
      <c r="N536" s="4"/>
      <c r="O536" s="85"/>
      <c r="X536" s="700"/>
    </row>
    <row r="537" spans="2:45" x14ac:dyDescent="0.35">
      <c r="B537" s="452" t="s">
        <v>1235</v>
      </c>
      <c r="C537" s="53"/>
      <c r="D537" s="13"/>
      <c r="E537" s="13"/>
      <c r="F537" s="13"/>
      <c r="G537" s="13"/>
      <c r="H537" s="550"/>
      <c r="I537" s="34" t="s">
        <v>1235</v>
      </c>
      <c r="J537" s="104"/>
      <c r="K537" s="104"/>
      <c r="L537" s="706" t="s">
        <v>1236</v>
      </c>
      <c r="M537" s="690">
        <v>5</v>
      </c>
      <c r="N537" s="4"/>
      <c r="O537" s="696">
        <f>M537*S537*W537</f>
        <v>0</v>
      </c>
      <c r="P537" t="b">
        <v>0</v>
      </c>
      <c r="Q537" t="b">
        <v>1</v>
      </c>
      <c r="R537" t="b">
        <v>0</v>
      </c>
      <c r="S537" t="b">
        <v>1</v>
      </c>
      <c r="T537" t="b">
        <v>0</v>
      </c>
      <c r="W537" s="17"/>
      <c r="X537" s="688"/>
      <c r="AC537" t="b">
        <f>OR(AD537:AE537)</f>
        <v>0</v>
      </c>
      <c r="AD537" t="b">
        <v>0</v>
      </c>
      <c r="AE537" t="b">
        <f>AND(W537=TRUE,LEN(X537)=0)</f>
        <v>0</v>
      </c>
      <c r="AL537" t="str">
        <f>SUBSTITUTE(SUBSTITUTE(SUBSTITUTE("dpa"&amp;$B537&amp;$C537&amp;$D537&amp;$E537&amp;$F537,".","_"),"(","_"),")","")</f>
        <v>dpa705_6_2_2</v>
      </c>
      <c r="AM537">
        <f>M537</f>
        <v>5</v>
      </c>
      <c r="AN537" t="str">
        <f>SUBSTITUTE(SUBSTITUTE(SUBSTITUTE("dpc"&amp;$B537&amp;$C537&amp;$D537&amp;$E537&amp;$F537,".","_"),"(","_"),")","")</f>
        <v>dpc705_6_2_2</v>
      </c>
      <c r="AO537">
        <f>O537</f>
        <v>0</v>
      </c>
      <c r="AP537" t="str">
        <f>SUBSTITUTE(SUBSTITUTE(SUBSTITUTE("dch"&amp;$B537&amp;$C537&amp;$D537&amp;$E537&amp;$F537,".","_"),"(","_"),")","")</f>
        <v>dch705_6_2_2</v>
      </c>
      <c r="AQ537">
        <f>W537</f>
        <v>0</v>
      </c>
      <c r="AR537" t="str">
        <f>SUBSTITUTE(SUBSTITUTE(SUBSTITUTE("dnt"&amp;$B537&amp;$C537&amp;$D537&amp;$E537&amp;$F537,".","_"),"(","_"),")","")</f>
        <v>dnt705_6_2_2</v>
      </c>
      <c r="AS537">
        <f>X537</f>
        <v>0</v>
      </c>
    </row>
    <row r="538" spans="2:45" x14ac:dyDescent="0.35">
      <c r="B538" s="452" t="s">
        <v>1235</v>
      </c>
      <c r="C538" s="53"/>
      <c r="D538" s="13"/>
      <c r="E538" s="13"/>
      <c r="F538" s="13"/>
      <c r="G538" s="13"/>
      <c r="H538" s="550"/>
      <c r="I538" s="4"/>
      <c r="J538" s="104"/>
      <c r="K538" s="104"/>
      <c r="L538" s="706"/>
      <c r="M538" s="690"/>
      <c r="N538" s="4"/>
      <c r="O538" s="696"/>
      <c r="X538" s="688"/>
    </row>
    <row r="539" spans="2:45" x14ac:dyDescent="0.35">
      <c r="B539" s="452" t="s">
        <v>1235</v>
      </c>
      <c r="C539" s="53"/>
      <c r="D539" s="13"/>
      <c r="E539" s="13"/>
      <c r="F539" s="13"/>
      <c r="G539" s="13"/>
      <c r="H539" s="550"/>
      <c r="I539" s="4"/>
      <c r="J539" s="104"/>
      <c r="K539" s="104"/>
      <c r="L539" s="706"/>
      <c r="M539" s="690"/>
      <c r="N539" s="4"/>
      <c r="O539" s="696"/>
      <c r="X539" s="688"/>
    </row>
    <row r="540" spans="2:45" x14ac:dyDescent="0.35">
      <c r="B540" s="452" t="s">
        <v>1235</v>
      </c>
      <c r="C540" s="53"/>
      <c r="D540" s="13" t="s">
        <v>270</v>
      </c>
      <c r="E540" s="13"/>
      <c r="F540" s="13"/>
      <c r="G540" s="13"/>
      <c r="H540" s="550"/>
      <c r="I540" s="4"/>
      <c r="J540" s="179" t="s">
        <v>270</v>
      </c>
      <c r="K540" s="104"/>
      <c r="L540" s="707" t="s">
        <v>1237</v>
      </c>
      <c r="M540" s="43"/>
      <c r="N540" s="4"/>
      <c r="O540" s="85"/>
      <c r="X540" s="688"/>
    </row>
    <row r="541" spans="2:45" x14ac:dyDescent="0.35">
      <c r="B541" s="452" t="s">
        <v>1235</v>
      </c>
      <c r="C541" s="53"/>
      <c r="D541" s="13" t="s">
        <v>270</v>
      </c>
      <c r="E541" s="13"/>
      <c r="F541" s="13"/>
      <c r="G541" s="13"/>
      <c r="H541" s="550"/>
      <c r="I541" s="4"/>
      <c r="J541" s="373"/>
      <c r="K541" s="214"/>
      <c r="L541" s="709"/>
      <c r="M541" s="43"/>
      <c r="N541" s="4"/>
      <c r="O541" s="85"/>
      <c r="X541" s="688"/>
    </row>
    <row r="542" spans="2:45" x14ac:dyDescent="0.35">
      <c r="B542" s="452" t="s">
        <v>1235</v>
      </c>
      <c r="C542" s="53"/>
      <c r="D542" s="13" t="s">
        <v>272</v>
      </c>
      <c r="E542" s="13"/>
      <c r="F542" s="13"/>
      <c r="G542" s="13"/>
      <c r="H542" s="550"/>
      <c r="I542" s="4"/>
      <c r="J542" s="179" t="s">
        <v>272</v>
      </c>
      <c r="K542" s="104"/>
      <c r="L542" s="104" t="s">
        <v>1238</v>
      </c>
      <c r="M542" s="43"/>
      <c r="N542" s="4"/>
      <c r="O542" s="85"/>
      <c r="X542" s="688"/>
    </row>
    <row r="543" spans="2:45" x14ac:dyDescent="0.35">
      <c r="B543" s="452" t="s">
        <v>1235</v>
      </c>
      <c r="C543" s="53"/>
      <c r="D543" s="13"/>
      <c r="E543" s="13"/>
      <c r="F543" s="13"/>
      <c r="G543" s="13"/>
      <c r="H543" s="550"/>
      <c r="I543" s="4"/>
      <c r="J543" s="179"/>
      <c r="K543" s="104"/>
      <c r="L543" s="714" t="s">
        <v>3868</v>
      </c>
      <c r="M543" s="43"/>
      <c r="N543" s="4"/>
      <c r="O543" s="85"/>
      <c r="X543" s="688"/>
    </row>
    <row r="544" spans="2:45" x14ac:dyDescent="0.35">
      <c r="B544" s="452" t="s">
        <v>1235</v>
      </c>
      <c r="C544" s="53"/>
      <c r="D544" s="13"/>
      <c r="E544" s="13"/>
      <c r="F544" s="13"/>
      <c r="G544" s="13"/>
      <c r="H544" s="550"/>
      <c r="I544" s="155"/>
      <c r="J544" s="373"/>
      <c r="K544" s="214"/>
      <c r="L544" s="755"/>
      <c r="M544" s="43"/>
      <c r="N544" s="4"/>
      <c r="O544" s="85"/>
      <c r="X544" s="688"/>
    </row>
    <row r="545" spans="2:45" x14ac:dyDescent="0.35">
      <c r="B545" s="452" t="s">
        <v>1239</v>
      </c>
      <c r="C545" s="53"/>
      <c r="D545" s="13"/>
      <c r="E545" s="13"/>
      <c r="F545" s="13"/>
      <c r="G545" s="13"/>
      <c r="H545" s="550"/>
      <c r="I545" s="34" t="s">
        <v>1239</v>
      </c>
      <c r="J545" s="104"/>
      <c r="K545" s="104"/>
      <c r="L545" s="110" t="s">
        <v>1240</v>
      </c>
      <c r="M545" s="43"/>
      <c r="N545" s="4"/>
      <c r="O545" s="696">
        <f ca="1">IFERROR(INDEX({3,5},MATCH(W545,INDIRECT(U545),0)),0)*S545</f>
        <v>5</v>
      </c>
      <c r="P545" t="b">
        <v>0</v>
      </c>
      <c r="Q545" t="b">
        <v>1</v>
      </c>
      <c r="R545" t="b">
        <v>0</v>
      </c>
      <c r="S545" t="b">
        <f>AND(OR(AY37&lt;&gt;INDEX(ddHDucts,2),AY41&lt;&gt;INDEX(ddCDucts,2)),LEN(W320)=0)</f>
        <v>1</v>
      </c>
      <c r="T545" t="b">
        <f>AND(NOT(S545),LEN(W545)&gt;0)</f>
        <v>0</v>
      </c>
      <c r="U545" t="str">
        <f>SUBSTITUTE(SUBSTITUTE(SUBSTITUTE("dd"&amp;B545&amp;C545&amp;D545&amp;E545&amp;F545,".","_"),"(","_"),")","")</f>
        <v>dd705_6_2_3</v>
      </c>
      <c r="W545" s="488" t="s">
        <v>272</v>
      </c>
      <c r="X545" s="688"/>
      <c r="AC545" t="b">
        <f>OR(AD545:AE545)</f>
        <v>0</v>
      </c>
      <c r="AD545" t="b">
        <f>T545</f>
        <v>0</v>
      </c>
      <c r="AE545" t="b">
        <f>AND(R545,OR(W545="Not Met",W545=""))</f>
        <v>0</v>
      </c>
      <c r="AN545" t="str">
        <f>SUBSTITUTE(SUBSTITUTE(SUBSTITUTE("dpc"&amp;$B545&amp;$C545&amp;$D545&amp;$E545&amp;$F545,".","_"),"(","_"),")","")</f>
        <v>dpc705_6_2_3</v>
      </c>
      <c r="AO545">
        <f ca="1">O545</f>
        <v>5</v>
      </c>
      <c r="AP545" t="str">
        <f>SUBSTITUTE(SUBSTITUTE(SUBSTITUTE("dch"&amp;$B545&amp;$C545&amp;$D545&amp;$E545&amp;$F545,".","_"),"(","_"),")","")</f>
        <v>dch705_6_2_3</v>
      </c>
      <c r="AQ545" t="str">
        <f>W545</f>
        <v>(2)</v>
      </c>
      <c r="AR545" t="str">
        <f>SUBSTITUTE(SUBSTITUTE(SUBSTITUTE("dnt"&amp;$B545&amp;$C545&amp;$D545&amp;$E545&amp;$F545,".","_"),"(","_"),")","")</f>
        <v>dnt705_6_2_3</v>
      </c>
      <c r="AS545">
        <f>X545</f>
        <v>0</v>
      </c>
    </row>
    <row r="546" spans="2:45" x14ac:dyDescent="0.35">
      <c r="B546" s="452" t="s">
        <v>1239</v>
      </c>
      <c r="C546" s="53"/>
      <c r="D546" s="13"/>
      <c r="E546" s="13"/>
      <c r="F546" s="13"/>
      <c r="G546" s="13"/>
      <c r="H546" s="550"/>
      <c r="I546" s="4"/>
      <c r="J546" s="104"/>
      <c r="K546" s="104"/>
      <c r="L546" s="107" t="s">
        <v>1241</v>
      </c>
      <c r="M546" s="43"/>
      <c r="N546" s="4"/>
      <c r="O546" s="696"/>
      <c r="X546" s="688"/>
    </row>
    <row r="547" spans="2:45" x14ac:dyDescent="0.35">
      <c r="B547" s="452" t="s">
        <v>1239</v>
      </c>
      <c r="C547" s="53"/>
      <c r="D547" s="13"/>
      <c r="E547" s="13"/>
      <c r="F547" s="13"/>
      <c r="G547" s="13"/>
      <c r="H547" s="550"/>
      <c r="I547" s="4"/>
      <c r="J547" s="104"/>
      <c r="K547" s="104"/>
      <c r="L547" s="107" t="s">
        <v>3775</v>
      </c>
      <c r="M547" s="43"/>
      <c r="N547" s="4"/>
      <c r="O547" s="696"/>
      <c r="X547" s="688"/>
    </row>
    <row r="548" spans="2:45" x14ac:dyDescent="0.35">
      <c r="B548" s="452" t="s">
        <v>1239</v>
      </c>
      <c r="C548" s="53"/>
      <c r="D548" s="13" t="s">
        <v>270</v>
      </c>
      <c r="E548" s="13"/>
      <c r="F548" s="13"/>
      <c r="G548" s="13"/>
      <c r="H548" s="550"/>
      <c r="I548" s="4"/>
      <c r="J548" s="373" t="s">
        <v>270</v>
      </c>
      <c r="K548" s="214"/>
      <c r="L548" s="214" t="s">
        <v>3776</v>
      </c>
      <c r="M548" s="198">
        <v>3</v>
      </c>
      <c r="N548" s="4"/>
      <c r="O548" s="85"/>
      <c r="X548" s="688"/>
      <c r="AL548" t="str">
        <f t="shared" ref="AL548:AL549" si="59">SUBSTITUTE(SUBSTITUTE(SUBSTITUTE("dpa"&amp;$B548&amp;$C548&amp;$D548&amp;$E548&amp;$F548,".","_"),"(","_"),")","")</f>
        <v>dpa705_6_2_3_1</v>
      </c>
      <c r="AM548">
        <f>M548</f>
        <v>3</v>
      </c>
    </row>
    <row r="549" spans="2:45" x14ac:dyDescent="0.35">
      <c r="B549" s="452" t="s">
        <v>1239</v>
      </c>
      <c r="C549" s="53"/>
      <c r="D549" s="13" t="s">
        <v>272</v>
      </c>
      <c r="E549" s="13"/>
      <c r="F549" s="13"/>
      <c r="G549" s="13"/>
      <c r="H549" s="550"/>
      <c r="I549" s="4"/>
      <c r="J549" s="179" t="s">
        <v>272</v>
      </c>
      <c r="K549" s="104"/>
      <c r="L549" s="707" t="s">
        <v>3777</v>
      </c>
      <c r="M549" s="690">
        <v>5</v>
      </c>
      <c r="N549" s="4"/>
      <c r="O549" s="85"/>
      <c r="X549" s="688"/>
      <c r="AL549" t="str">
        <f t="shared" si="59"/>
        <v>dpa705_6_2_3_2</v>
      </c>
      <c r="AM549">
        <f>M549</f>
        <v>5</v>
      </c>
    </row>
    <row r="550" spans="2:45" x14ac:dyDescent="0.35">
      <c r="B550" s="452" t="s">
        <v>1239</v>
      </c>
      <c r="C550" s="53"/>
      <c r="D550" s="13"/>
      <c r="E550" s="13"/>
      <c r="F550" s="13"/>
      <c r="G550" s="13"/>
      <c r="H550" s="550"/>
      <c r="I550" s="155"/>
      <c r="J550" s="119"/>
      <c r="K550" s="214"/>
      <c r="L550" s="709"/>
      <c r="M550" s="691"/>
      <c r="N550" s="4"/>
      <c r="O550" s="342"/>
      <c r="X550" s="688"/>
    </row>
    <row r="551" spans="2:45" x14ac:dyDescent="0.35">
      <c r="B551" s="452" t="s">
        <v>3774</v>
      </c>
      <c r="C551" s="53"/>
      <c r="D551" s="13"/>
      <c r="E551" s="13"/>
      <c r="F551" s="13"/>
      <c r="G551" s="13"/>
      <c r="H551" s="550"/>
      <c r="I551" s="34" t="s">
        <v>3774</v>
      </c>
      <c r="J551" s="104"/>
      <c r="K551" s="104"/>
      <c r="L551" s="783" t="s">
        <v>3778</v>
      </c>
      <c r="M551" s="690">
        <v>1</v>
      </c>
      <c r="N551" s="4"/>
      <c r="O551" s="696">
        <f>M551*S551*W551*NOT(W553)</f>
        <v>0</v>
      </c>
      <c r="P551" t="b">
        <v>1</v>
      </c>
      <c r="Q551" t="b">
        <v>0</v>
      </c>
      <c r="R551" t="b">
        <v>0</v>
      </c>
      <c r="S551" t="b">
        <v>1</v>
      </c>
      <c r="T551" t="b">
        <v>0</v>
      </c>
      <c r="W551" s="17"/>
      <c r="AC551" t="b">
        <f>OR(AD551:AE551)</f>
        <v>0</v>
      </c>
      <c r="AD551" t="b">
        <f>T551</f>
        <v>0</v>
      </c>
      <c r="AE551" t="b">
        <f>AND(R551,NOT(W551))</f>
        <v>0</v>
      </c>
      <c r="AL551" t="str">
        <f>SUBSTITUTE(SUBSTITUTE(SUBSTITUTE("dpa"&amp;$B551&amp;$C551&amp;$D551&amp;$E551&amp;$F551,".","_"),"(","_"),")","")</f>
        <v>dpa705_6_3</v>
      </c>
      <c r="AM551">
        <f>M551</f>
        <v>1</v>
      </c>
      <c r="AN551" t="str">
        <f>SUBSTITUTE(SUBSTITUTE(SUBSTITUTE("dpc"&amp;$B551&amp;$C551&amp;$D551&amp;$E551&amp;$F551,".","_"),"(","_"),")","")</f>
        <v>dpc705_6_3</v>
      </c>
      <c r="AO551">
        <f>O551</f>
        <v>0</v>
      </c>
      <c r="AP551" t="str">
        <f>SUBSTITUTE(SUBSTITUTE(SUBSTITUTE("dch"&amp;$B551&amp;$C551&amp;$D551&amp;$E551&amp;$F551,".","_"),"(","_"),")","")</f>
        <v>dch705_6_3</v>
      </c>
      <c r="AQ551">
        <f>W551</f>
        <v>0</v>
      </c>
    </row>
    <row r="552" spans="2:45" x14ac:dyDescent="0.35">
      <c r="B552" s="452" t="s">
        <v>3774</v>
      </c>
      <c r="C552" s="53"/>
      <c r="D552" s="13"/>
      <c r="E552" s="13"/>
      <c r="F552" s="13"/>
      <c r="G552" s="13"/>
      <c r="H552" s="550"/>
      <c r="I552" s="4"/>
      <c r="J552" s="104"/>
      <c r="K552" s="104"/>
      <c r="L552" s="783"/>
      <c r="M552" s="690"/>
      <c r="N552" s="4"/>
      <c r="O552" s="696"/>
      <c r="W552" t="s">
        <v>4619</v>
      </c>
    </row>
    <row r="553" spans="2:45" x14ac:dyDescent="0.35">
      <c r="B553" s="452" t="s">
        <v>3774</v>
      </c>
      <c r="C553" s="53"/>
      <c r="D553" s="13" t="s">
        <v>270</v>
      </c>
      <c r="E553" s="13"/>
      <c r="F553" s="13"/>
      <c r="G553" s="13"/>
      <c r="H553" s="550"/>
      <c r="I553" s="4"/>
      <c r="J553" s="104"/>
      <c r="K553" s="104"/>
      <c r="L553" s="107" t="s">
        <v>1241</v>
      </c>
      <c r="M553" s="43"/>
      <c r="N553" s="4"/>
      <c r="O553" s="85"/>
      <c r="P553" t="b">
        <v>1</v>
      </c>
      <c r="Q553" t="b">
        <v>0</v>
      </c>
      <c r="R553" t="b">
        <v>0</v>
      </c>
      <c r="S553" t="b">
        <v>1</v>
      </c>
      <c r="T553" t="b">
        <v>0</v>
      </c>
      <c r="W553" s="17"/>
      <c r="AC553" t="b">
        <f>OR(AD553:AE553)</f>
        <v>0</v>
      </c>
      <c r="AD553" t="b">
        <f>T553</f>
        <v>0</v>
      </c>
      <c r="AE553" t="b">
        <f>AND(R553,NOT(W553))</f>
        <v>0</v>
      </c>
      <c r="AP553" t="str">
        <f>SUBSTITUTE(SUBSTITUTE(SUBSTITUTE("dch"&amp;$B553&amp;$C553&amp;$D553&amp;$E553&amp;$F553,".","_"),"(","_"),")","")</f>
        <v>dch705_6_3_1</v>
      </c>
      <c r="AQ553">
        <f>W553</f>
        <v>0</v>
      </c>
    </row>
    <row r="554" spans="2:45" x14ac:dyDescent="0.35">
      <c r="B554" s="452" t="s">
        <v>3774</v>
      </c>
      <c r="C554" s="53"/>
      <c r="D554" s="13"/>
      <c r="E554" s="13" t="s">
        <v>121</v>
      </c>
      <c r="F554" s="13"/>
      <c r="G554" s="13"/>
      <c r="H554" s="550"/>
      <c r="I554" s="4"/>
      <c r="J554" s="104"/>
      <c r="K554" s="175" t="s">
        <v>121</v>
      </c>
      <c r="L554" s="104" t="s">
        <v>1242</v>
      </c>
      <c r="M554" s="43"/>
      <c r="N554" s="4"/>
      <c r="O554" s="85"/>
      <c r="X554" s="39"/>
      <c r="AR554" t="str">
        <f t="shared" ref="AR554:AR560" si="60">SUBSTITUTE(SUBSTITUTE(SUBSTITUTE("dnt"&amp;$B554&amp;$C554&amp;$D554&amp;$E554&amp;$F554,".","_"),"(","_"),")","")</f>
        <v>dnt705_6_3_a</v>
      </c>
      <c r="AS554">
        <f t="shared" ref="AS554:AS560" si="61">X554</f>
        <v>0</v>
      </c>
    </row>
    <row r="555" spans="2:45" x14ac:dyDescent="0.35">
      <c r="B555" s="452" t="s">
        <v>3774</v>
      </c>
      <c r="C555" s="53"/>
      <c r="D555" s="13"/>
      <c r="E555" s="13" t="s">
        <v>122</v>
      </c>
      <c r="F555" s="13"/>
      <c r="G555" s="13"/>
      <c r="H555" s="550"/>
      <c r="I555" s="4"/>
      <c r="J555" s="104"/>
      <c r="K555" s="175" t="s">
        <v>122</v>
      </c>
      <c r="L555" s="104" t="s">
        <v>1243</v>
      </c>
      <c r="M555" s="43"/>
      <c r="N555" s="4"/>
      <c r="O555" s="85"/>
      <c r="X555" s="39"/>
      <c r="AR555" t="str">
        <f t="shared" si="60"/>
        <v>dnt705_6_3_b</v>
      </c>
      <c r="AS555">
        <f t="shared" si="61"/>
        <v>0</v>
      </c>
    </row>
    <row r="556" spans="2:45" x14ac:dyDescent="0.35">
      <c r="B556" s="452" t="s">
        <v>3774</v>
      </c>
      <c r="C556" s="53"/>
      <c r="D556" s="13"/>
      <c r="E556" s="18" t="s">
        <v>123</v>
      </c>
      <c r="F556" s="18"/>
      <c r="G556" s="18"/>
      <c r="H556" s="551"/>
      <c r="I556" s="4"/>
      <c r="J556" s="104"/>
      <c r="K556" s="176" t="s">
        <v>123</v>
      </c>
      <c r="L556" s="104" t="s">
        <v>1244</v>
      </c>
      <c r="M556" s="43"/>
      <c r="N556" s="4"/>
      <c r="O556" s="85"/>
      <c r="X556" s="39"/>
      <c r="AR556" t="str">
        <f t="shared" si="60"/>
        <v>dnt705_6_3_c</v>
      </c>
      <c r="AS556">
        <f t="shared" si="61"/>
        <v>0</v>
      </c>
    </row>
    <row r="557" spans="2:45" x14ac:dyDescent="0.35">
      <c r="B557" s="452" t="s">
        <v>3774</v>
      </c>
      <c r="C557" s="53"/>
      <c r="D557" s="13"/>
      <c r="E557" s="13" t="s">
        <v>420</v>
      </c>
      <c r="F557" s="13"/>
      <c r="G557" s="13"/>
      <c r="H557" s="550"/>
      <c r="I557" s="4"/>
      <c r="J557" s="104"/>
      <c r="K557" s="110" t="s">
        <v>420</v>
      </c>
      <c r="L557" s="104" t="s">
        <v>1245</v>
      </c>
      <c r="M557" s="43"/>
      <c r="N557" s="4"/>
      <c r="O557" s="85"/>
      <c r="X557" s="39"/>
      <c r="AR557" t="str">
        <f t="shared" si="60"/>
        <v>dnt705_6_3_d</v>
      </c>
      <c r="AS557">
        <f t="shared" si="61"/>
        <v>0</v>
      </c>
    </row>
    <row r="558" spans="2:45" x14ac:dyDescent="0.35">
      <c r="B558" s="452" t="s">
        <v>3774</v>
      </c>
      <c r="C558" s="53"/>
      <c r="D558" s="13"/>
      <c r="E558" s="13" t="s">
        <v>575</v>
      </c>
      <c r="F558" s="13"/>
      <c r="G558" s="13"/>
      <c r="H558" s="550"/>
      <c r="I558" s="4"/>
      <c r="J558" s="104"/>
      <c r="K558" s="110" t="s">
        <v>575</v>
      </c>
      <c r="L558" s="104" t="s">
        <v>1246</v>
      </c>
      <c r="M558" s="43"/>
      <c r="N558" s="4"/>
      <c r="O558" s="85"/>
      <c r="X558" s="39"/>
      <c r="AR558" t="str">
        <f t="shared" si="60"/>
        <v>dnt705_6_3_e</v>
      </c>
      <c r="AS558">
        <f t="shared" si="61"/>
        <v>0</v>
      </c>
    </row>
    <row r="559" spans="2:45" x14ac:dyDescent="0.35">
      <c r="B559" s="452" t="s">
        <v>3774</v>
      </c>
      <c r="C559" s="53"/>
      <c r="D559" s="13"/>
      <c r="E559" s="18" t="s">
        <v>642</v>
      </c>
      <c r="F559" s="18"/>
      <c r="G559" s="18"/>
      <c r="H559" s="551"/>
      <c r="I559" s="4"/>
      <c r="J559" s="104"/>
      <c r="K559" s="176" t="s">
        <v>642</v>
      </c>
      <c r="L559" s="104" t="s">
        <v>1247</v>
      </c>
      <c r="M559" s="43"/>
      <c r="N559" s="4"/>
      <c r="O559" s="85"/>
      <c r="X559" s="39"/>
      <c r="AR559" t="str">
        <f t="shared" si="60"/>
        <v>dnt705_6_3_f</v>
      </c>
      <c r="AS559">
        <f t="shared" si="61"/>
        <v>0</v>
      </c>
    </row>
    <row r="560" spans="2:45" x14ac:dyDescent="0.35">
      <c r="B560" s="452" t="s">
        <v>3774</v>
      </c>
      <c r="C560" s="53"/>
      <c r="D560" s="13"/>
      <c r="E560" s="13" t="s">
        <v>644</v>
      </c>
      <c r="F560" s="13"/>
      <c r="G560" s="13"/>
      <c r="H560" s="550"/>
      <c r="I560" s="4"/>
      <c r="J560" s="104"/>
      <c r="K560" s="110" t="s">
        <v>644</v>
      </c>
      <c r="L560" s="723" t="s">
        <v>1248</v>
      </c>
      <c r="M560" s="43"/>
      <c r="N560" s="4"/>
      <c r="O560" s="85"/>
      <c r="X560" s="688"/>
      <c r="AR560" t="str">
        <f t="shared" si="60"/>
        <v>dnt705_6_3_g</v>
      </c>
      <c r="AS560">
        <f t="shared" si="61"/>
        <v>0</v>
      </c>
    </row>
    <row r="561" spans="2:45" x14ac:dyDescent="0.35">
      <c r="B561" s="452" t="s">
        <v>3774</v>
      </c>
      <c r="C561" s="53"/>
      <c r="D561" s="13"/>
      <c r="E561" s="13" t="s">
        <v>644</v>
      </c>
      <c r="F561" s="13"/>
      <c r="G561" s="13"/>
      <c r="H561" s="550"/>
      <c r="I561" s="155"/>
      <c r="J561" s="214"/>
      <c r="K561" s="361"/>
      <c r="L561" s="724"/>
      <c r="M561" s="43"/>
      <c r="N561" s="4"/>
      <c r="O561" s="85"/>
      <c r="X561" s="688"/>
    </row>
    <row r="562" spans="2:45" x14ac:dyDescent="0.35">
      <c r="B562" s="452" t="s">
        <v>1249</v>
      </c>
      <c r="C562" s="53"/>
      <c r="D562" s="13"/>
      <c r="E562" s="13"/>
      <c r="F562" s="13"/>
      <c r="G562" s="13"/>
      <c r="H562" s="550"/>
      <c r="I562" s="34" t="s">
        <v>1249</v>
      </c>
      <c r="J562" s="104"/>
      <c r="K562" s="104"/>
      <c r="L562" s="180" t="s">
        <v>1250</v>
      </c>
      <c r="M562" s="43"/>
      <c r="N562" s="4"/>
      <c r="O562" s="85"/>
    </row>
    <row r="563" spans="2:45" x14ac:dyDescent="0.35">
      <c r="B563" s="452" t="s">
        <v>1251</v>
      </c>
      <c r="C563" s="53"/>
      <c r="D563" s="13"/>
      <c r="E563" s="13"/>
      <c r="F563" s="13"/>
      <c r="G563" s="13"/>
      <c r="H563" s="550"/>
      <c r="I563" s="34" t="s">
        <v>1251</v>
      </c>
      <c r="J563" s="104"/>
      <c r="K563" s="104"/>
      <c r="L563" s="781" t="s">
        <v>1252</v>
      </c>
      <c r="M563" s="690">
        <v>1</v>
      </c>
      <c r="N563" s="4"/>
      <c r="O563" s="696">
        <f ca="1">M563*S563*W563</f>
        <v>0</v>
      </c>
      <c r="P563" t="b">
        <v>1</v>
      </c>
      <c r="Q563" t="b">
        <v>1</v>
      </c>
      <c r="R563" t="b">
        <v>0</v>
      </c>
      <c r="S563" t="b">
        <f ca="1">IF($AY$20=INDEX(INDIRECT("ddSingleOrMulti"),1),TRUE,FALSE)</f>
        <v>1</v>
      </c>
      <c r="T563" t="b">
        <f ca="1">AND(NOT(S563),W563=TRUE)</f>
        <v>0</v>
      </c>
      <c r="W563" s="17"/>
      <c r="X563" s="688"/>
      <c r="AC563" t="b">
        <f ca="1">OR(AD563:AE563)</f>
        <v>0</v>
      </c>
      <c r="AD563" t="b">
        <f ca="1">T563</f>
        <v>0</v>
      </c>
      <c r="AL563" t="str">
        <f>SUBSTITUTE(SUBSTITUTE(SUBSTITUTE("dpa"&amp;$B563&amp;$C563&amp;$D563&amp;$E563&amp;$F563,".","_"),"(","_"),")","")</f>
        <v>dpa705_6_4_1</v>
      </c>
      <c r="AM563">
        <f>M563</f>
        <v>1</v>
      </c>
      <c r="AN563" t="str">
        <f>SUBSTITUTE(SUBSTITUTE(SUBSTITUTE("dpc"&amp;$B563&amp;$C563&amp;$D563&amp;$E563&amp;$F563,".","_"),"(","_"),")","")</f>
        <v>dpc705_6_4_1</v>
      </c>
      <c r="AO563">
        <f ca="1">O563</f>
        <v>0</v>
      </c>
      <c r="AP563" t="str">
        <f>SUBSTITUTE(SUBSTITUTE(SUBSTITUTE("dch"&amp;$B563&amp;$C563&amp;$D563&amp;$E563&amp;$F563,".","_"),"(","_"),")","")</f>
        <v>dch705_6_4_1</v>
      </c>
      <c r="AQ563">
        <f>W563</f>
        <v>0</v>
      </c>
      <c r="AR563" t="str">
        <f>SUBSTITUTE(SUBSTITUTE(SUBSTITUTE("dnt"&amp;$B563&amp;$C563&amp;$D563&amp;$E563&amp;$F563,".","_"),"(","_"),")","")</f>
        <v>dnt705_6_4_1</v>
      </c>
      <c r="AS563">
        <f>X563</f>
        <v>0</v>
      </c>
    </row>
    <row r="564" spans="2:45" x14ac:dyDescent="0.35">
      <c r="B564" s="452" t="s">
        <v>1251</v>
      </c>
      <c r="C564" s="53"/>
      <c r="D564" s="13"/>
      <c r="E564" s="13"/>
      <c r="F564" s="13"/>
      <c r="G564" s="13"/>
      <c r="H564" s="550"/>
      <c r="I564" s="363"/>
      <c r="J564" s="214"/>
      <c r="K564" s="214"/>
      <c r="L564" s="782"/>
      <c r="M564" s="691"/>
      <c r="N564" s="155"/>
      <c r="O564" s="697"/>
      <c r="P564" s="119"/>
      <c r="Q564" s="119"/>
      <c r="R564" s="119"/>
      <c r="S564" s="119"/>
      <c r="T564" s="119"/>
      <c r="U564" s="119"/>
      <c r="V564" s="119"/>
      <c r="W564" s="368"/>
      <c r="X564" s="688"/>
    </row>
    <row r="565" spans="2:45" x14ac:dyDescent="0.35">
      <c r="B565" s="452" t="s">
        <v>1253</v>
      </c>
      <c r="C565" s="53"/>
      <c r="D565" s="13"/>
      <c r="E565" s="13"/>
      <c r="F565" s="13"/>
      <c r="G565" s="13"/>
      <c r="H565" s="550"/>
      <c r="I565" s="34" t="s">
        <v>1253</v>
      </c>
      <c r="J565" s="104"/>
      <c r="K565" s="104"/>
      <c r="L565" s="780" t="s">
        <v>1254</v>
      </c>
      <c r="M565" s="690">
        <v>2</v>
      </c>
      <c r="N565" s="4"/>
      <c r="O565" s="696">
        <f ca="1">M565*S565*W565</f>
        <v>0</v>
      </c>
      <c r="P565" t="b">
        <v>1</v>
      </c>
      <c r="Q565" t="b">
        <v>1</v>
      </c>
      <c r="R565" t="b">
        <v>0</v>
      </c>
      <c r="S565" t="b">
        <f ca="1">IF($AY$20=INDEX(INDIRECT("ddSingleOrMulti"),2),TRUE,FALSE)</f>
        <v>0</v>
      </c>
      <c r="T565" t="b">
        <f ca="1">AND(NOT(S565),W565=TRUE)</f>
        <v>0</v>
      </c>
      <c r="W565" s="77"/>
      <c r="X565" s="688"/>
      <c r="AC565" t="b">
        <f ca="1">OR(AD565:AE565)</f>
        <v>0</v>
      </c>
      <c r="AD565" t="b">
        <f ca="1">T565</f>
        <v>0</v>
      </c>
      <c r="AL565" t="str">
        <f>SUBSTITUTE(SUBSTITUTE(SUBSTITUTE("dpa"&amp;$B565&amp;$C565&amp;$D565&amp;$E565&amp;$F565,".","_"),"(","_"),")","")</f>
        <v>dpa705_6_4_2</v>
      </c>
      <c r="AM565">
        <f>M565</f>
        <v>2</v>
      </c>
      <c r="AN565" t="str">
        <f>SUBSTITUTE(SUBSTITUTE(SUBSTITUTE("dpc"&amp;$B565&amp;$C565&amp;$D565&amp;$E565&amp;$F565,".","_"),"(","_"),")","")</f>
        <v>dpc705_6_4_2</v>
      </c>
      <c r="AO565">
        <f ca="1">O565</f>
        <v>0</v>
      </c>
      <c r="AP565" t="str">
        <f>SUBSTITUTE(SUBSTITUTE(SUBSTITUTE("dch"&amp;$B565&amp;$C565&amp;$D565&amp;$E565&amp;$F565,".","_"),"(","_"),")","")</f>
        <v>dch705_6_4_2</v>
      </c>
      <c r="AQ565">
        <f>W565</f>
        <v>0</v>
      </c>
      <c r="AR565" t="str">
        <f>SUBSTITUTE(SUBSTITUTE(SUBSTITUTE("dnt"&amp;$B565&amp;$C565&amp;$D565&amp;$E565&amp;$F565,".","_"),"(","_"),")","")</f>
        <v>dnt705_6_4_2</v>
      </c>
      <c r="AS565">
        <f>X565</f>
        <v>0</v>
      </c>
    </row>
    <row r="566" spans="2:45" ht="15" thickBot="1" x14ac:dyDescent="0.4">
      <c r="B566" s="452" t="s">
        <v>1253</v>
      </c>
      <c r="C566" s="53"/>
      <c r="D566" s="13"/>
      <c r="E566" s="13"/>
      <c r="F566" s="13"/>
      <c r="G566" s="13"/>
      <c r="H566" s="550"/>
      <c r="I566" s="183"/>
      <c r="J566" s="223"/>
      <c r="K566" s="223"/>
      <c r="L566" s="784"/>
      <c r="M566" s="693"/>
      <c r="N566" s="183"/>
      <c r="O566" s="695"/>
      <c r="P566" s="58"/>
      <c r="Q566" s="58"/>
      <c r="R566" s="58"/>
      <c r="S566" s="58"/>
      <c r="T566" s="58"/>
      <c r="U566" s="58"/>
      <c r="V566" s="58"/>
      <c r="W566" s="58"/>
      <c r="X566" s="689"/>
    </row>
    <row r="567" spans="2:45" ht="15" thickTop="1" x14ac:dyDescent="0.35">
      <c r="B567" s="452">
        <v>705.7</v>
      </c>
      <c r="C567" s="53"/>
      <c r="D567" s="13"/>
      <c r="E567" s="13"/>
      <c r="F567" s="13"/>
      <c r="G567" s="13"/>
      <c r="H567" s="550"/>
      <c r="I567" s="32">
        <v>705.7</v>
      </c>
      <c r="J567" s="104"/>
      <c r="K567" s="104"/>
      <c r="L567" s="780" t="s">
        <v>1255</v>
      </c>
      <c r="M567" s="690">
        <v>1</v>
      </c>
      <c r="N567" s="4"/>
      <c r="O567" s="696">
        <f ca="1">M567*S567*W567</f>
        <v>0</v>
      </c>
      <c r="P567" t="b">
        <v>0</v>
      </c>
      <c r="Q567" t="b">
        <v>1</v>
      </c>
      <c r="R567" t="b">
        <v>0</v>
      </c>
      <c r="S567" t="b">
        <f ca="1">IF($AY$20=INDEX(INDIRECT("ddSingleOrMulti"),2),TRUE,FALSE)</f>
        <v>0</v>
      </c>
      <c r="T567" t="b">
        <f ca="1">AND(NOT(S567),W567=TRUE)</f>
        <v>0</v>
      </c>
      <c r="W567" s="77"/>
      <c r="X567" s="700"/>
      <c r="AC567" t="b">
        <f ca="1">OR(AD567:AE567)</f>
        <v>0</v>
      </c>
      <c r="AD567" t="b">
        <f ca="1">T567</f>
        <v>0</v>
      </c>
      <c r="AL567" t="str">
        <f>SUBSTITUTE(SUBSTITUTE(SUBSTITUTE("dpa"&amp;$B567&amp;$C567&amp;$D567&amp;$E567&amp;$F567,".","_"),"(","_"),")","")</f>
        <v>dpa705_7</v>
      </c>
      <c r="AM567">
        <f>M567</f>
        <v>1</v>
      </c>
      <c r="AN567" t="str">
        <f>SUBSTITUTE(SUBSTITUTE(SUBSTITUTE("dpc"&amp;$B567&amp;$C567&amp;$D567&amp;$E567&amp;$F567,".","_"),"(","_"),")","")</f>
        <v>dpc705_7</v>
      </c>
      <c r="AO567">
        <f ca="1">O567</f>
        <v>0</v>
      </c>
      <c r="AP567" t="str">
        <f>SUBSTITUTE(SUBSTITUTE(SUBSTITUTE("dch"&amp;$B567&amp;$C567&amp;$D567&amp;$E567&amp;$F567,".","_"),"(","_"),")","")</f>
        <v>dch705_7</v>
      </c>
      <c r="AQ567">
        <f>W567</f>
        <v>0</v>
      </c>
      <c r="AR567" t="str">
        <f>SUBSTITUTE(SUBSTITUTE(SUBSTITUTE("dnt"&amp;$B567&amp;$C567&amp;$D567&amp;$E567&amp;$F567,".","_"),"(","_"),")","")</f>
        <v>dnt705_7</v>
      </c>
      <c r="AS567">
        <f>X567</f>
        <v>0</v>
      </c>
    </row>
    <row r="568" spans="2:45" x14ac:dyDescent="0.35">
      <c r="B568" s="452">
        <v>705.7</v>
      </c>
      <c r="C568" s="53"/>
      <c r="D568" s="13"/>
      <c r="E568" s="13"/>
      <c r="F568" s="13"/>
      <c r="G568" s="13"/>
      <c r="H568" s="550"/>
      <c r="I568" s="4"/>
      <c r="J568" s="104"/>
      <c r="K568" s="104"/>
      <c r="L568" s="780"/>
      <c r="M568" s="690"/>
      <c r="N568" s="4"/>
      <c r="O568" s="696"/>
      <c r="X568" s="688"/>
    </row>
    <row r="569" spans="2:45" x14ac:dyDescent="0.35">
      <c r="B569" s="452">
        <v>705.7</v>
      </c>
      <c r="C569" s="53"/>
      <c r="D569" s="13"/>
      <c r="E569" s="13"/>
      <c r="F569" s="13"/>
      <c r="G569" s="13"/>
      <c r="H569" s="550"/>
      <c r="I569" s="4"/>
      <c r="J569" s="104"/>
      <c r="K569" s="104"/>
      <c r="L569" s="780"/>
      <c r="M569" s="690"/>
      <c r="N569" s="4"/>
      <c r="O569" s="696"/>
      <c r="X569" s="688"/>
    </row>
    <row r="570" spans="2:45" x14ac:dyDescent="0.35">
      <c r="B570" s="452">
        <v>705.7</v>
      </c>
      <c r="C570" s="53"/>
      <c r="D570" s="13"/>
      <c r="E570" s="13"/>
      <c r="F570" s="13"/>
      <c r="G570" s="13"/>
      <c r="H570" s="550"/>
      <c r="I570" s="4"/>
      <c r="J570" s="104"/>
      <c r="K570" s="104"/>
      <c r="L570" s="780"/>
      <c r="M570" s="690"/>
      <c r="N570" s="4"/>
      <c r="O570" s="696"/>
      <c r="X570" s="688"/>
    </row>
    <row r="571" spans="2:45" ht="18.5" x14ac:dyDescent="0.45">
      <c r="B571" s="452">
        <v>706</v>
      </c>
      <c r="C571" s="53"/>
      <c r="D571" s="13"/>
      <c r="E571" s="13"/>
      <c r="F571" s="13"/>
      <c r="G571" s="13"/>
      <c r="H571" s="550"/>
      <c r="I571" s="10" t="s">
        <v>1256</v>
      </c>
      <c r="J571" s="47"/>
      <c r="K571" s="47"/>
      <c r="L571" s="47"/>
      <c r="M571" s="286"/>
      <c r="N571" s="344"/>
      <c r="O571" s="340"/>
      <c r="P571" s="15"/>
      <c r="Q571" s="15"/>
      <c r="R571" s="15"/>
      <c r="S571" s="15"/>
      <c r="T571" s="15"/>
      <c r="U571" s="15"/>
      <c r="V571" s="15"/>
      <c r="W571" s="15"/>
      <c r="X571" s="15"/>
    </row>
    <row r="572" spans="2:45" x14ac:dyDescent="0.35">
      <c r="B572" s="452">
        <v>706.1</v>
      </c>
      <c r="C572" s="53"/>
      <c r="D572" s="13"/>
      <c r="E572" s="13"/>
      <c r="F572" s="13"/>
      <c r="G572" s="13"/>
      <c r="H572" s="550"/>
      <c r="I572" s="32">
        <v>706.1</v>
      </c>
      <c r="J572" s="104"/>
      <c r="K572" s="104"/>
      <c r="L572" s="706" t="s">
        <v>1257</v>
      </c>
      <c r="M572" s="690" t="s">
        <v>875</v>
      </c>
      <c r="N572" s="4"/>
      <c r="O572" s="696">
        <f>MIN(3,(M574*S574*W574+M575*S575*W575+M576*S576*W576+M577*S577*W577+M579*S579*W579))</f>
        <v>0</v>
      </c>
      <c r="AL572" t="str">
        <f>SUBSTITUTE(SUBSTITUTE(SUBSTITUTE("dpa"&amp;$B572&amp;$C572&amp;$D572&amp;$E572&amp;$F572,".","_"),"(","_"),")","")</f>
        <v>dpa706_1</v>
      </c>
      <c r="AM572" t="str">
        <f>M572</f>
        <v>3 Max</v>
      </c>
      <c r="AN572" t="str">
        <f>SUBSTITUTE(SUBSTITUTE(SUBSTITUTE("dpc"&amp;$B572&amp;$C572&amp;$D572&amp;$E572&amp;$F572,".","_"),"(","_"),")","")</f>
        <v>dpc706_1</v>
      </c>
      <c r="AO572">
        <f>O572</f>
        <v>0</v>
      </c>
    </row>
    <row r="573" spans="2:45" x14ac:dyDescent="0.35">
      <c r="B573" s="452">
        <v>706.1</v>
      </c>
      <c r="C573" s="53"/>
      <c r="D573" s="13"/>
      <c r="E573" s="13"/>
      <c r="F573" s="13"/>
      <c r="G573" s="13"/>
      <c r="H573" s="550"/>
      <c r="I573" s="4"/>
      <c r="J573" s="104"/>
      <c r="K573" s="104"/>
      <c r="L573" s="706"/>
      <c r="M573" s="690"/>
      <c r="N573" s="4"/>
      <c r="O573" s="696"/>
    </row>
    <row r="574" spans="2:45" x14ac:dyDescent="0.35">
      <c r="B574" s="452">
        <v>706.1</v>
      </c>
      <c r="C574" s="53"/>
      <c r="D574" s="13" t="s">
        <v>270</v>
      </c>
      <c r="E574" s="13"/>
      <c r="F574" s="13"/>
      <c r="G574" s="13"/>
      <c r="H574" s="550"/>
      <c r="I574" s="4"/>
      <c r="J574" s="373" t="s">
        <v>270</v>
      </c>
      <c r="K574" s="214"/>
      <c r="L574" s="214" t="s">
        <v>1258</v>
      </c>
      <c r="M574" s="198">
        <v>1</v>
      </c>
      <c r="N574" s="4"/>
      <c r="O574" s="85"/>
      <c r="Q574" t="b">
        <v>1</v>
      </c>
      <c r="R574" t="b">
        <v>0</v>
      </c>
      <c r="S574" t="b">
        <v>1</v>
      </c>
      <c r="T574" t="b">
        <v>0</v>
      </c>
      <c r="W574" s="17"/>
      <c r="X574" s="39"/>
      <c r="AC574" t="b">
        <f>OR(AD574:AE574)</f>
        <v>0</v>
      </c>
      <c r="AD574" t="b">
        <f>T574</f>
        <v>0</v>
      </c>
      <c r="AE574" t="b">
        <f>AND(R574,NOT(W574))</f>
        <v>0</v>
      </c>
      <c r="AL574" t="str">
        <f t="shared" ref="AL574:AL577" si="62">SUBSTITUTE(SUBSTITUTE(SUBSTITUTE("dpa"&amp;$B574&amp;$C574&amp;$D574&amp;$E574&amp;$F574,".","_"),"(","_"),")","")</f>
        <v>dpa706_1_1</v>
      </c>
      <c r="AM574">
        <f>M574</f>
        <v>1</v>
      </c>
      <c r="AP574" t="str">
        <f t="shared" ref="AP574:AP577" si="63">SUBSTITUTE(SUBSTITUTE(SUBSTITUTE("dch"&amp;$B574&amp;$C574&amp;$D574&amp;$E574&amp;$F574,".","_"),"(","_"),")","")</f>
        <v>dch706_1_1</v>
      </c>
      <c r="AQ574">
        <f>W574</f>
        <v>0</v>
      </c>
      <c r="AR574" t="str">
        <f t="shared" ref="AR574:AR577" si="64">SUBSTITUTE(SUBSTITUTE(SUBSTITUTE("dnt"&amp;$B574&amp;$C574&amp;$D574&amp;$E574&amp;$F574,".","_"),"(","_"),")","")</f>
        <v>dnt706_1_1</v>
      </c>
      <c r="AS574">
        <f>X574</f>
        <v>0</v>
      </c>
    </row>
    <row r="575" spans="2:45" x14ac:dyDescent="0.35">
      <c r="B575" s="452">
        <v>706.1</v>
      </c>
      <c r="C575" s="53"/>
      <c r="D575" s="13" t="s">
        <v>272</v>
      </c>
      <c r="E575" s="13"/>
      <c r="F575" s="13"/>
      <c r="G575" s="13"/>
      <c r="H575" s="550"/>
      <c r="I575" s="4"/>
      <c r="J575" s="384" t="s">
        <v>272</v>
      </c>
      <c r="K575" s="220"/>
      <c r="L575" s="220" t="s">
        <v>1259</v>
      </c>
      <c r="M575" s="153">
        <v>1</v>
      </c>
      <c r="N575" s="4"/>
      <c r="O575" s="85"/>
      <c r="Q575" t="b">
        <v>1</v>
      </c>
      <c r="R575" t="b">
        <v>0</v>
      </c>
      <c r="S575" t="b">
        <v>1</v>
      </c>
      <c r="T575" t="b">
        <v>0</v>
      </c>
      <c r="W575" s="17"/>
      <c r="X575" s="39"/>
      <c r="AC575" t="b">
        <f>OR(AD575:AE575)</f>
        <v>0</v>
      </c>
      <c r="AD575" t="b">
        <f>T575</f>
        <v>0</v>
      </c>
      <c r="AE575" t="b">
        <f>AND(R575,NOT(W575))</f>
        <v>0</v>
      </c>
      <c r="AL575" t="str">
        <f t="shared" si="62"/>
        <v>dpa706_1_2</v>
      </c>
      <c r="AM575">
        <f>M575</f>
        <v>1</v>
      </c>
      <c r="AP575" t="str">
        <f t="shared" si="63"/>
        <v>dch706_1_2</v>
      </c>
      <c r="AQ575">
        <f>W575</f>
        <v>0</v>
      </c>
      <c r="AR575" t="str">
        <f t="shared" si="64"/>
        <v>dnt706_1_2</v>
      </c>
      <c r="AS575">
        <f>X575</f>
        <v>0</v>
      </c>
    </row>
    <row r="576" spans="2:45" x14ac:dyDescent="0.35">
      <c r="B576" s="452">
        <v>706.1</v>
      </c>
      <c r="C576" s="53"/>
      <c r="D576" s="13" t="s">
        <v>274</v>
      </c>
      <c r="E576" s="13"/>
      <c r="F576" s="13"/>
      <c r="G576" s="13"/>
      <c r="H576" s="550"/>
      <c r="I576" s="4"/>
      <c r="J576" s="384" t="s">
        <v>274</v>
      </c>
      <c r="K576" s="220"/>
      <c r="L576" s="220" t="s">
        <v>1260</v>
      </c>
      <c r="M576" s="153">
        <v>3</v>
      </c>
      <c r="N576" s="4"/>
      <c r="O576" s="85"/>
      <c r="Q576" t="b">
        <v>1</v>
      </c>
      <c r="R576" t="b">
        <v>0</v>
      </c>
      <c r="S576" t="b">
        <v>1</v>
      </c>
      <c r="T576" t="b">
        <v>0</v>
      </c>
      <c r="W576" s="17"/>
      <c r="X576" s="39"/>
      <c r="AC576" t="b">
        <f>OR(AD576:AE576)</f>
        <v>0</v>
      </c>
      <c r="AD576" t="b">
        <f>T576</f>
        <v>0</v>
      </c>
      <c r="AE576" t="b">
        <f>AND(R576,NOT(W576))</f>
        <v>0</v>
      </c>
      <c r="AL576" t="str">
        <f t="shared" si="62"/>
        <v>dpa706_1_3</v>
      </c>
      <c r="AM576">
        <f>M576</f>
        <v>3</v>
      </c>
      <c r="AP576" t="str">
        <f t="shared" si="63"/>
        <v>dch706_1_3</v>
      </c>
      <c r="AQ576">
        <f>W576</f>
        <v>0</v>
      </c>
      <c r="AR576" t="str">
        <f t="shared" si="64"/>
        <v>dnt706_1_3</v>
      </c>
      <c r="AS576">
        <f>X576</f>
        <v>0</v>
      </c>
    </row>
    <row r="577" spans="2:45" x14ac:dyDescent="0.35">
      <c r="B577" s="452">
        <v>706.1</v>
      </c>
      <c r="C577" s="53"/>
      <c r="D577" s="13" t="s">
        <v>283</v>
      </c>
      <c r="E577" s="13"/>
      <c r="F577" s="13"/>
      <c r="G577" s="13"/>
      <c r="H577" s="550"/>
      <c r="I577" s="4"/>
      <c r="J577" s="385" t="s">
        <v>283</v>
      </c>
      <c r="K577" s="320"/>
      <c r="L577" s="757" t="s">
        <v>1261</v>
      </c>
      <c r="M577" s="712">
        <v>1</v>
      </c>
      <c r="N577" s="4"/>
      <c r="O577" s="85"/>
      <c r="Q577" t="b">
        <v>1</v>
      </c>
      <c r="R577" t="b">
        <v>0</v>
      </c>
      <c r="S577" t="b">
        <v>1</v>
      </c>
      <c r="T577" t="b">
        <v>0</v>
      </c>
      <c r="W577" s="17"/>
      <c r="X577" s="688"/>
      <c r="AC577" t="b">
        <f>OR(AD577:AE577)</f>
        <v>0</v>
      </c>
      <c r="AD577" t="b">
        <f>T577</f>
        <v>0</v>
      </c>
      <c r="AE577" t="b">
        <f>AND(R577,NOT(W577))</f>
        <v>0</v>
      </c>
      <c r="AL577" t="str">
        <f t="shared" si="62"/>
        <v>dpa706_1_4</v>
      </c>
      <c r="AM577">
        <f>M577</f>
        <v>1</v>
      </c>
      <c r="AP577" t="str">
        <f t="shared" si="63"/>
        <v>dch706_1_4</v>
      </c>
      <c r="AQ577">
        <f>W577</f>
        <v>0</v>
      </c>
      <c r="AR577" t="str">
        <f t="shared" si="64"/>
        <v>dnt706_1_4</v>
      </c>
      <c r="AS577">
        <f>X577</f>
        <v>0</v>
      </c>
    </row>
    <row r="578" spans="2:45" x14ac:dyDescent="0.35">
      <c r="B578" s="452">
        <v>706.1</v>
      </c>
      <c r="C578" s="53"/>
      <c r="D578" s="13" t="s">
        <v>283</v>
      </c>
      <c r="E578" s="13"/>
      <c r="F578" s="13"/>
      <c r="G578" s="13"/>
      <c r="H578" s="550"/>
      <c r="I578" s="4"/>
      <c r="J578" s="373"/>
      <c r="K578" s="214"/>
      <c r="L578" s="724"/>
      <c r="M578" s="691"/>
      <c r="N578" s="4"/>
      <c r="O578" s="85"/>
      <c r="X578" s="688"/>
    </row>
    <row r="579" spans="2:45" ht="15" thickBot="1" x14ac:dyDescent="0.4">
      <c r="B579" s="452">
        <v>706.1</v>
      </c>
      <c r="C579" s="53"/>
      <c r="D579" s="13" t="s">
        <v>289</v>
      </c>
      <c r="E579" s="13"/>
      <c r="F579" s="13"/>
      <c r="G579" s="13"/>
      <c r="H579" s="550"/>
      <c r="I579" s="183"/>
      <c r="J579" s="375" t="s">
        <v>289</v>
      </c>
      <c r="K579" s="223"/>
      <c r="L579" s="223" t="s">
        <v>1262</v>
      </c>
      <c r="M579" s="270">
        <v>1</v>
      </c>
      <c r="N579" s="183"/>
      <c r="O579" s="184"/>
      <c r="P579" t="b">
        <v>0</v>
      </c>
      <c r="Q579" t="b">
        <v>1</v>
      </c>
      <c r="R579" s="58" t="b">
        <v>0</v>
      </c>
      <c r="S579" s="58" t="b">
        <v>1</v>
      </c>
      <c r="T579" s="58" t="b">
        <v>0</v>
      </c>
      <c r="U579" s="58"/>
      <c r="V579" s="58"/>
      <c r="W579" s="59"/>
      <c r="X579" s="113"/>
      <c r="AC579" t="b">
        <f>OR(AD579:AE579)</f>
        <v>0</v>
      </c>
      <c r="AD579" t="b">
        <f>T579</f>
        <v>0</v>
      </c>
      <c r="AE579" t="b">
        <f>AND(R579,NOT(W579))</f>
        <v>0</v>
      </c>
      <c r="AL579" t="str">
        <f>SUBSTITUTE(SUBSTITUTE(SUBSTITUTE("dpa"&amp;$B579&amp;$C579&amp;$D579&amp;$E579&amp;$F579,".","_"),"(","_"),")","")</f>
        <v>dpa706_1_5</v>
      </c>
      <c r="AM579">
        <f>M579</f>
        <v>1</v>
      </c>
      <c r="AP579" t="str">
        <f>SUBSTITUTE(SUBSTITUTE(SUBSTITUTE("dch"&amp;$B579&amp;$C579&amp;$D579&amp;$E579&amp;$F579,".","_"),"(","_"),")","")</f>
        <v>dch706_1_5</v>
      </c>
      <c r="AQ579">
        <f>W579</f>
        <v>0</v>
      </c>
      <c r="AR579" t="str">
        <f>SUBSTITUTE(SUBSTITUTE(SUBSTITUTE("dnt"&amp;$B579&amp;$C579&amp;$D579&amp;$E579&amp;$F579,".","_"),"(","_"),")","")</f>
        <v>dnt706_1_5</v>
      </c>
      <c r="AS579">
        <f>X579</f>
        <v>0</v>
      </c>
    </row>
    <row r="580" spans="2:45" ht="15" thickTop="1" x14ac:dyDescent="0.35">
      <c r="B580" s="452">
        <v>706.2</v>
      </c>
      <c r="C580" s="53"/>
      <c r="D580" s="13"/>
      <c r="E580" s="13"/>
      <c r="F580" s="13"/>
      <c r="G580" s="13"/>
      <c r="H580" s="550"/>
      <c r="I580" s="32">
        <v>706.2</v>
      </c>
      <c r="J580" s="104"/>
      <c r="K580" s="104"/>
      <c r="L580" s="783" t="s">
        <v>1263</v>
      </c>
      <c r="M580" s="43"/>
      <c r="N580" s="4"/>
      <c r="O580" s="85"/>
    </row>
    <row r="581" spans="2:45" x14ac:dyDescent="0.35">
      <c r="B581" s="452">
        <v>706.2</v>
      </c>
      <c r="C581" s="53"/>
      <c r="D581" s="13"/>
      <c r="E581" s="13"/>
      <c r="F581" s="13"/>
      <c r="G581" s="13"/>
      <c r="H581" s="550"/>
      <c r="I581" s="32"/>
      <c r="J581" s="104"/>
      <c r="K581" s="104"/>
      <c r="L581" s="783"/>
      <c r="M581" s="43"/>
      <c r="N581" s="4"/>
      <c r="O581" s="85"/>
    </row>
    <row r="582" spans="2:45" x14ac:dyDescent="0.35">
      <c r="B582" s="452">
        <v>706.2</v>
      </c>
      <c r="C582" s="53"/>
      <c r="D582" s="13" t="s">
        <v>270</v>
      </c>
      <c r="E582" s="13"/>
      <c r="F582" s="13"/>
      <c r="G582" s="13"/>
      <c r="H582" s="550"/>
      <c r="I582" s="4"/>
      <c r="J582" s="179" t="s">
        <v>270</v>
      </c>
      <c r="K582" s="104"/>
      <c r="L582" s="707" t="s">
        <v>1264</v>
      </c>
      <c r="M582" s="690">
        <v>1</v>
      </c>
      <c r="N582" s="4"/>
      <c r="O582" s="696">
        <f>M582*S582*W582</f>
        <v>0</v>
      </c>
      <c r="P582" t="b">
        <v>0</v>
      </c>
      <c r="Q582" t="b">
        <v>1</v>
      </c>
      <c r="R582" t="b">
        <v>0</v>
      </c>
      <c r="S582" t="b">
        <v>1</v>
      </c>
      <c r="T582" t="b">
        <v>0</v>
      </c>
      <c r="W582" s="17"/>
      <c r="X582" s="688"/>
      <c r="AC582" t="b">
        <f>OR(AD582:AE582)</f>
        <v>0</v>
      </c>
      <c r="AD582" t="b">
        <f>T582</f>
        <v>0</v>
      </c>
      <c r="AE582" t="b">
        <f>AND(R582,NOT(W582))</f>
        <v>0</v>
      </c>
      <c r="AL582" t="str">
        <f>SUBSTITUTE(SUBSTITUTE(SUBSTITUTE("dpa"&amp;$B582&amp;$C582&amp;$D582&amp;$E582&amp;$F582,".","_"),"(","_"),")","")</f>
        <v>dpa706_2_1</v>
      </c>
      <c r="AM582">
        <f>M582</f>
        <v>1</v>
      </c>
      <c r="AN582" t="str">
        <f>SUBSTITUTE(SUBSTITUTE(SUBSTITUTE("dpc"&amp;$B582&amp;$C582&amp;$D582&amp;$E582&amp;$F582,".","_"),"(","_"),")","")</f>
        <v>dpc706_2_1</v>
      </c>
      <c r="AO582">
        <f>O582</f>
        <v>0</v>
      </c>
      <c r="AP582" t="str">
        <f>SUBSTITUTE(SUBSTITUTE(SUBSTITUTE("dch"&amp;$B582&amp;$C582&amp;$D582&amp;$E582&amp;$F582,".","_"),"(","_"),")","")</f>
        <v>dch706_2_1</v>
      </c>
      <c r="AQ582">
        <f>W582</f>
        <v>0</v>
      </c>
      <c r="AR582" t="str">
        <f>SUBSTITUTE(SUBSTITUTE(SUBSTITUTE("dnt"&amp;$B582&amp;$C582&amp;$D582&amp;$E582&amp;$F582,".","_"),"(","_"),")","")</f>
        <v>dnt706_2_1</v>
      </c>
      <c r="AS582">
        <f>X582</f>
        <v>0</v>
      </c>
    </row>
    <row r="583" spans="2:45" x14ac:dyDescent="0.35">
      <c r="B583" s="452">
        <v>706.2</v>
      </c>
      <c r="C583" s="53"/>
      <c r="D583" s="13" t="s">
        <v>270</v>
      </c>
      <c r="E583" s="13"/>
      <c r="F583" s="13"/>
      <c r="G583" s="13"/>
      <c r="H583" s="550"/>
      <c r="I583" s="4"/>
      <c r="J583" s="104"/>
      <c r="K583" s="104"/>
      <c r="L583" s="707"/>
      <c r="M583" s="690"/>
      <c r="N583" s="4"/>
      <c r="O583" s="696"/>
      <c r="X583" s="688"/>
    </row>
    <row r="584" spans="2:45" x14ac:dyDescent="0.35">
      <c r="B584" s="452">
        <v>706.2</v>
      </c>
      <c r="C584" s="53"/>
      <c r="D584" s="13" t="s">
        <v>270</v>
      </c>
      <c r="E584" s="13"/>
      <c r="F584" s="13"/>
      <c r="G584" s="13"/>
      <c r="H584" s="550"/>
      <c r="I584" s="4"/>
      <c r="J584" s="214"/>
      <c r="K584" s="214"/>
      <c r="L584" s="709"/>
      <c r="M584" s="690"/>
      <c r="N584" s="4"/>
      <c r="O584" s="696"/>
      <c r="X584" s="688"/>
    </row>
    <row r="585" spans="2:45" x14ac:dyDescent="0.35">
      <c r="B585" s="452">
        <v>706.2</v>
      </c>
      <c r="C585" s="53"/>
      <c r="D585" s="13" t="s">
        <v>272</v>
      </c>
      <c r="E585" s="13"/>
      <c r="F585" s="13"/>
      <c r="G585" s="13"/>
      <c r="H585" s="550"/>
      <c r="I585" s="4"/>
      <c r="J585" s="179" t="s">
        <v>272</v>
      </c>
      <c r="K585" s="104"/>
      <c r="L585" s="707" t="s">
        <v>1265</v>
      </c>
      <c r="M585" s="43"/>
      <c r="N585" s="4"/>
      <c r="O585" s="696">
        <f ca="1">IFERROR(INDEX({1,2},MATCH(W585,INDIRECT(U585),0)),0)</f>
        <v>0</v>
      </c>
      <c r="P585" t="b">
        <v>0</v>
      </c>
      <c r="Q585" t="b">
        <v>1</v>
      </c>
      <c r="R585" t="b">
        <v>0</v>
      </c>
      <c r="S585" t="b">
        <v>1</v>
      </c>
      <c r="T585" t="b">
        <v>0</v>
      </c>
      <c r="U585" t="str">
        <f>SUBSTITUTE(SUBSTITUTE(SUBSTITUTE("dd"&amp;B585&amp;C585&amp;D585&amp;E585&amp;F585,".","_"),"(","_"),")","")</f>
        <v>dd706_2_2</v>
      </c>
      <c r="W585" s="9"/>
      <c r="X585" s="688"/>
      <c r="AC585" t="b">
        <f>OR(AD585:AE585)</f>
        <v>0</v>
      </c>
      <c r="AD585" t="b">
        <f>T585</f>
        <v>0</v>
      </c>
      <c r="AE585" t="b">
        <f>AND(R585,OR(W585="Not Met",W585=""))</f>
        <v>0</v>
      </c>
      <c r="AN585" t="str">
        <f>SUBSTITUTE(SUBSTITUTE(SUBSTITUTE("dpc"&amp;$B585&amp;$C585&amp;$D585&amp;$E585&amp;$F585,".","_"),"(","_"),")","")</f>
        <v>dpc706_2_2</v>
      </c>
      <c r="AO585">
        <f ca="1">O585</f>
        <v>0</v>
      </c>
      <c r="AP585" t="str">
        <f>SUBSTITUTE(SUBSTITUTE(SUBSTITUTE("dch"&amp;$B585&amp;$C585&amp;$D585&amp;$E585&amp;$F585,".","_"),"(","_"),")","")</f>
        <v>dch706_2_2</v>
      </c>
      <c r="AQ585">
        <f>W585</f>
        <v>0</v>
      </c>
      <c r="AR585" t="str">
        <f>SUBSTITUTE(SUBSTITUTE(SUBSTITUTE("dnt"&amp;$B585&amp;$C585&amp;$D585&amp;$E585&amp;$F585,".","_"),"(","_"),")","")</f>
        <v>dnt706_2_2</v>
      </c>
      <c r="AS585">
        <f>X585</f>
        <v>0</v>
      </c>
    </row>
    <row r="586" spans="2:45" x14ac:dyDescent="0.35">
      <c r="B586" s="452">
        <v>706.2</v>
      </c>
      <c r="C586" s="53"/>
      <c r="D586" s="13" t="s">
        <v>272</v>
      </c>
      <c r="E586" s="13"/>
      <c r="F586" s="13"/>
      <c r="G586" s="13"/>
      <c r="H586" s="550"/>
      <c r="I586" s="4"/>
      <c r="J586" s="104"/>
      <c r="K586" s="104"/>
      <c r="L586" s="707"/>
      <c r="M586" s="43"/>
      <c r="N586" s="4"/>
      <c r="O586" s="696"/>
      <c r="X586" s="688"/>
    </row>
    <row r="587" spans="2:45" x14ac:dyDescent="0.35">
      <c r="B587" s="452">
        <v>706.2</v>
      </c>
      <c r="C587" s="53"/>
      <c r="D587" s="13" t="s">
        <v>272</v>
      </c>
      <c r="E587" s="13"/>
      <c r="F587" s="13"/>
      <c r="G587" s="13"/>
      <c r="H587" s="550"/>
      <c r="I587" s="4"/>
      <c r="J587" s="104"/>
      <c r="K587" s="104"/>
      <c r="L587" s="707"/>
      <c r="M587" s="43"/>
      <c r="N587" s="4"/>
      <c r="O587" s="696"/>
      <c r="X587" s="688"/>
    </row>
    <row r="588" spans="2:45" x14ac:dyDescent="0.35">
      <c r="B588" s="452">
        <v>706.2</v>
      </c>
      <c r="C588" s="53"/>
      <c r="D588" s="13" t="s">
        <v>272</v>
      </c>
      <c r="E588" s="13" t="s">
        <v>121</v>
      </c>
      <c r="F588" s="13"/>
      <c r="G588" s="13"/>
      <c r="H588" s="550"/>
      <c r="I588" s="4"/>
      <c r="J588" s="104"/>
      <c r="K588" s="175" t="s">
        <v>121</v>
      </c>
      <c r="L588" s="707" t="s">
        <v>1266</v>
      </c>
      <c r="M588" s="690">
        <v>1</v>
      </c>
      <c r="N588" s="4"/>
      <c r="O588" s="85"/>
      <c r="X588" s="688"/>
      <c r="AL588" t="str">
        <f>SUBSTITUTE(SUBSTITUTE(SUBSTITUTE("dpa"&amp;$B588&amp;$C588&amp;$D588&amp;$E588&amp;$F588,".","_"),"(","_"),")","")</f>
        <v>dpa706_2_2_a</v>
      </c>
      <c r="AM588">
        <f>M588</f>
        <v>1</v>
      </c>
    </row>
    <row r="589" spans="2:45" x14ac:dyDescent="0.35">
      <c r="B589" s="452">
        <v>706.2</v>
      </c>
      <c r="C589" s="53"/>
      <c r="D589" s="13" t="s">
        <v>272</v>
      </c>
      <c r="E589" s="13" t="s">
        <v>121</v>
      </c>
      <c r="F589" s="13"/>
      <c r="G589" s="13"/>
      <c r="H589" s="550"/>
      <c r="I589" s="4"/>
      <c r="J589" s="104"/>
      <c r="K589" s="359"/>
      <c r="L589" s="709"/>
      <c r="M589" s="691"/>
      <c r="N589" s="4"/>
      <c r="O589" s="85"/>
      <c r="X589" s="688"/>
    </row>
    <row r="590" spans="2:45" x14ac:dyDescent="0.35">
      <c r="B590" s="452">
        <v>706.2</v>
      </c>
      <c r="C590" s="53"/>
      <c r="D590" s="13" t="s">
        <v>272</v>
      </c>
      <c r="E590" s="13" t="s">
        <v>122</v>
      </c>
      <c r="F590" s="13"/>
      <c r="G590" s="13"/>
      <c r="H590" s="550"/>
      <c r="I590" s="4"/>
      <c r="J590" s="104"/>
      <c r="K590" s="175" t="s">
        <v>122</v>
      </c>
      <c r="L590" s="707" t="s">
        <v>1267</v>
      </c>
      <c r="M590" s="690">
        <v>2</v>
      </c>
      <c r="N590" s="4"/>
      <c r="O590" s="85"/>
      <c r="X590" s="688"/>
      <c r="AL590" t="str">
        <f>SUBSTITUTE(SUBSTITUTE(SUBSTITUTE("dpa"&amp;$B590&amp;$C590&amp;$D590&amp;$E590&amp;$F590,".","_"),"(","_"),")","")</f>
        <v>dpa706_2_2_b</v>
      </c>
      <c r="AM590">
        <f>M590</f>
        <v>2</v>
      </c>
    </row>
    <row r="591" spans="2:45" ht="15" thickBot="1" x14ac:dyDescent="0.4">
      <c r="B591" s="452">
        <v>706.2</v>
      </c>
      <c r="C591" s="53"/>
      <c r="D591" s="13" t="s">
        <v>272</v>
      </c>
      <c r="E591" s="13" t="s">
        <v>122</v>
      </c>
      <c r="F591" s="13"/>
      <c r="G591" s="13"/>
      <c r="H591" s="550"/>
      <c r="I591" s="183"/>
      <c r="J591" s="223"/>
      <c r="K591" s="223"/>
      <c r="L591" s="708"/>
      <c r="M591" s="693"/>
      <c r="N591" s="183"/>
      <c r="O591" s="184"/>
      <c r="P591" s="58"/>
      <c r="Q591" s="58"/>
      <c r="R591" s="58"/>
      <c r="S591" s="58"/>
      <c r="T591" s="58"/>
      <c r="U591" s="58"/>
      <c r="V591" s="58"/>
      <c r="W591" s="58"/>
      <c r="X591" s="689"/>
    </row>
    <row r="592" spans="2:45" ht="15" thickTop="1" x14ac:dyDescent="0.35">
      <c r="B592" s="452">
        <v>706.3</v>
      </c>
      <c r="C592" s="53"/>
      <c r="D592" s="13"/>
      <c r="E592" s="13"/>
      <c r="F592" s="13"/>
      <c r="G592" s="13"/>
      <c r="H592" s="550"/>
      <c r="I592" s="32">
        <v>706.3</v>
      </c>
      <c r="J592" s="104"/>
      <c r="K592" s="104"/>
      <c r="L592" s="783" t="s">
        <v>1268</v>
      </c>
      <c r="M592" s="43"/>
      <c r="N592" s="4"/>
      <c r="O592" s="696">
        <f>IFERROR(INDEX({0,1,2},MATCH((1*S600*W600+1*S601*W601+1*S602*W602+1*S603*W603+1*S604*W604+1*S605*W605+2*S606*W606+2*S607*W607),{0,3,6},1)),0)</f>
        <v>0</v>
      </c>
      <c r="X592" s="700"/>
      <c r="AN592" t="str">
        <f>SUBSTITUTE(SUBSTITUTE(SUBSTITUTE("dpc"&amp;$B592&amp;$C592&amp;$D592&amp;$E592&amp;$F592,".","_"),"(","_"),")","")</f>
        <v>dpc706_3</v>
      </c>
      <c r="AO592">
        <f>O592</f>
        <v>0</v>
      </c>
      <c r="AR592" t="str">
        <f>SUBSTITUTE(SUBSTITUTE(SUBSTITUTE("dnt"&amp;$B592&amp;$C592&amp;$D592&amp;$E592&amp;$F592,".","_"),"(","_"),")","")</f>
        <v>dnt706_3</v>
      </c>
      <c r="AS592">
        <f>X592</f>
        <v>0</v>
      </c>
    </row>
    <row r="593" spans="2:45" x14ac:dyDescent="0.35">
      <c r="B593" s="452">
        <v>706.3</v>
      </c>
      <c r="C593" s="53"/>
      <c r="D593" s="13"/>
      <c r="E593" s="13"/>
      <c r="F593" s="13"/>
      <c r="G593" s="13"/>
      <c r="H593" s="550"/>
      <c r="I593" s="32"/>
      <c r="J593" s="104"/>
      <c r="K593" s="104"/>
      <c r="L593" s="783"/>
      <c r="M593" s="43"/>
      <c r="N593" s="4"/>
      <c r="O593" s="696"/>
      <c r="X593" s="688"/>
    </row>
    <row r="594" spans="2:45" x14ac:dyDescent="0.35">
      <c r="B594" s="452">
        <v>706.3</v>
      </c>
      <c r="C594" s="53"/>
      <c r="D594" s="13"/>
      <c r="E594" s="13" t="s">
        <v>121</v>
      </c>
      <c r="F594" s="13"/>
      <c r="G594" s="13"/>
      <c r="H594" s="550"/>
      <c r="I594" s="4"/>
      <c r="J594" s="104"/>
      <c r="K594" s="104"/>
      <c r="L594" s="181" t="s">
        <v>1269</v>
      </c>
      <c r="M594" s="43">
        <v>1</v>
      </c>
      <c r="N594" s="4"/>
      <c r="O594" s="85"/>
      <c r="X594" s="688"/>
      <c r="AL594" t="str">
        <f t="shared" ref="AL594:AL595" si="65">SUBSTITUTE(SUBSTITUTE(SUBSTITUTE("dpa"&amp;$B594&amp;$C594&amp;$D594&amp;$E594&amp;$F594,".","_"),"(","_"),")","")</f>
        <v>dpa706_3_a</v>
      </c>
      <c r="AM594">
        <f>M594</f>
        <v>1</v>
      </c>
    </row>
    <row r="595" spans="2:45" ht="15" customHeight="1" x14ac:dyDescent="0.35">
      <c r="B595" s="452">
        <v>706.3</v>
      </c>
      <c r="C595" s="53"/>
      <c r="D595" s="13"/>
      <c r="E595" s="13" t="s">
        <v>122</v>
      </c>
      <c r="F595" s="13"/>
      <c r="G595" s="13"/>
      <c r="H595" s="550"/>
      <c r="I595" s="4"/>
      <c r="J595" s="104"/>
      <c r="K595" s="104"/>
      <c r="L595" s="181" t="s">
        <v>1270</v>
      </c>
      <c r="M595" s="43">
        <v>2</v>
      </c>
      <c r="N595" s="4"/>
      <c r="O595" s="85"/>
      <c r="X595" s="688"/>
      <c r="AL595" t="str">
        <f t="shared" si="65"/>
        <v>dpa706_3_b</v>
      </c>
      <c r="AM595">
        <f>M595</f>
        <v>2</v>
      </c>
    </row>
    <row r="596" spans="2:45" ht="15" customHeight="1" x14ac:dyDescent="0.35">
      <c r="B596" s="452">
        <v>706.3</v>
      </c>
      <c r="C596" s="53"/>
      <c r="D596" s="13"/>
      <c r="E596" s="13"/>
      <c r="F596" s="13"/>
      <c r="G596" s="13"/>
      <c r="H596" s="550"/>
      <c r="I596" s="4"/>
      <c r="K596" s="182"/>
      <c r="L596" s="752" t="s">
        <v>1271</v>
      </c>
      <c r="M596" s="43"/>
      <c r="N596" s="4"/>
      <c r="O596" s="85"/>
      <c r="X596" s="688"/>
    </row>
    <row r="597" spans="2:45" ht="15" customHeight="1" x14ac:dyDescent="0.35">
      <c r="B597" s="452">
        <v>706.3</v>
      </c>
      <c r="C597" s="53"/>
      <c r="D597" s="13"/>
      <c r="E597" s="13"/>
      <c r="F597" s="13"/>
      <c r="G597" s="13"/>
      <c r="H597" s="550"/>
      <c r="I597" s="4"/>
      <c r="K597" s="182"/>
      <c r="L597" s="752"/>
      <c r="M597" s="43"/>
      <c r="N597" s="4"/>
      <c r="O597" s="85"/>
      <c r="X597" s="688"/>
    </row>
    <row r="598" spans="2:45" ht="15" customHeight="1" x14ac:dyDescent="0.35">
      <c r="B598" s="452">
        <v>706.3</v>
      </c>
      <c r="C598" s="53"/>
      <c r="D598" s="13"/>
      <c r="E598" s="13"/>
      <c r="F598" s="13"/>
      <c r="G598" s="13"/>
      <c r="H598" s="550"/>
      <c r="I598" s="4"/>
      <c r="J598" s="104"/>
      <c r="L598" s="752" t="s">
        <v>1272</v>
      </c>
      <c r="M598" s="43"/>
      <c r="N598" s="4"/>
      <c r="O598" s="85"/>
      <c r="X598" s="688"/>
    </row>
    <row r="599" spans="2:45" x14ac:dyDescent="0.35">
      <c r="B599" s="452">
        <v>706.3</v>
      </c>
      <c r="C599" s="53"/>
      <c r="D599" s="13"/>
      <c r="E599" s="13"/>
      <c r="F599" s="13"/>
      <c r="G599" s="13"/>
      <c r="H599" s="550"/>
      <c r="I599" s="4"/>
      <c r="J599" s="104"/>
      <c r="L599" s="752"/>
      <c r="M599" s="43"/>
      <c r="N599" s="4"/>
      <c r="O599" s="85"/>
      <c r="X599" s="688"/>
    </row>
    <row r="600" spans="2:45" x14ac:dyDescent="0.35">
      <c r="B600" s="452">
        <v>706.3</v>
      </c>
      <c r="C600" s="53"/>
      <c r="D600" s="13" t="s">
        <v>270</v>
      </c>
      <c r="E600" s="13"/>
      <c r="F600" s="13"/>
      <c r="G600" s="13"/>
      <c r="H600" s="550"/>
      <c r="I600" s="4"/>
      <c r="J600" s="373" t="s">
        <v>270</v>
      </c>
      <c r="K600" s="214"/>
      <c r="L600" s="214" t="s">
        <v>1135</v>
      </c>
      <c r="M600" s="43"/>
      <c r="N600" s="4"/>
      <c r="O600" s="85"/>
      <c r="P600" t="b">
        <v>0</v>
      </c>
      <c r="Q600" t="b">
        <v>1</v>
      </c>
      <c r="R600" t="b">
        <v>0</v>
      </c>
      <c r="S600" t="b">
        <f>IFERROR(NOT(OR(W629:W630,W636)),TRUE)</f>
        <v>1</v>
      </c>
      <c r="T600" t="b">
        <f t="shared" ref="T600:T607" si="66">AND(NOT(S600),W600=TRUE)</f>
        <v>0</v>
      </c>
      <c r="W600" s="17"/>
      <c r="X600" s="39"/>
      <c r="AC600" t="b">
        <f t="shared" ref="AC600:AC607" si="67">OR(AD600:AE600)</f>
        <v>0</v>
      </c>
      <c r="AD600" t="b">
        <f t="shared" ref="AD600:AD607" si="68">T600</f>
        <v>0</v>
      </c>
      <c r="AE600" t="b">
        <f t="shared" ref="AE600:AE607" si="69">AND(R600,NOT(W600))</f>
        <v>0</v>
      </c>
      <c r="AP600" t="str">
        <f t="shared" ref="AP600:AP607" si="70">SUBSTITUTE(SUBSTITUTE(SUBSTITUTE("dch"&amp;$B600&amp;$C600&amp;$D600&amp;$E600&amp;$F600,".","_"),"(","_"),")","")</f>
        <v>dch706_3_1</v>
      </c>
      <c r="AQ600">
        <f t="shared" ref="AQ600:AQ607" si="71">W600</f>
        <v>0</v>
      </c>
      <c r="AR600" t="str">
        <f t="shared" ref="AR600:AR607" si="72">SUBSTITUTE(SUBSTITUTE(SUBSTITUTE("dnt"&amp;$B600&amp;$C600&amp;$D600&amp;$E600&amp;$F600,".","_"),"(","_"),")","")</f>
        <v>dnt706_3_1</v>
      </c>
      <c r="AS600">
        <f t="shared" ref="AS600:AS607" si="73">X600</f>
        <v>0</v>
      </c>
    </row>
    <row r="601" spans="2:45" x14ac:dyDescent="0.35">
      <c r="B601" s="452">
        <v>706.3</v>
      </c>
      <c r="C601" s="53"/>
      <c r="D601" s="13" t="s">
        <v>272</v>
      </c>
      <c r="E601" s="13"/>
      <c r="F601" s="13"/>
      <c r="G601" s="13"/>
      <c r="H601" s="550"/>
      <c r="I601" s="4"/>
      <c r="J601" s="384" t="s">
        <v>272</v>
      </c>
      <c r="K601" s="220"/>
      <c r="L601" s="220" t="s">
        <v>1273</v>
      </c>
      <c r="M601" s="43"/>
      <c r="N601" s="4"/>
      <c r="O601" s="85"/>
      <c r="P601" t="b">
        <v>0</v>
      </c>
      <c r="Q601" t="b">
        <v>1</v>
      </c>
      <c r="R601" t="b">
        <v>0</v>
      </c>
      <c r="S601" t="b">
        <f>IFERROR(NOT(OR(W629:W630,W636)),TRUE)</f>
        <v>1</v>
      </c>
      <c r="T601" t="b">
        <f t="shared" si="66"/>
        <v>0</v>
      </c>
      <c r="W601" s="17"/>
      <c r="X601" s="39"/>
      <c r="AC601" t="b">
        <f t="shared" si="67"/>
        <v>0</v>
      </c>
      <c r="AD601" t="b">
        <f t="shared" si="68"/>
        <v>0</v>
      </c>
      <c r="AE601" t="b">
        <f t="shared" si="69"/>
        <v>0</v>
      </c>
      <c r="AP601" t="str">
        <f t="shared" si="70"/>
        <v>dch706_3_2</v>
      </c>
      <c r="AQ601">
        <f t="shared" si="71"/>
        <v>0</v>
      </c>
      <c r="AR601" t="str">
        <f t="shared" si="72"/>
        <v>dnt706_3_2</v>
      </c>
      <c r="AS601">
        <f t="shared" si="73"/>
        <v>0</v>
      </c>
    </row>
    <row r="602" spans="2:45" x14ac:dyDescent="0.35">
      <c r="B602" s="452">
        <v>706.3</v>
      </c>
      <c r="C602" s="53"/>
      <c r="D602" s="13" t="s">
        <v>274</v>
      </c>
      <c r="E602" s="13"/>
      <c r="F602" s="13"/>
      <c r="G602" s="13"/>
      <c r="H602" s="550"/>
      <c r="I602" s="4"/>
      <c r="J602" s="384" t="s">
        <v>274</v>
      </c>
      <c r="K602" s="220"/>
      <c r="L602" s="220" t="s">
        <v>1136</v>
      </c>
      <c r="M602" s="43"/>
      <c r="N602" s="4"/>
      <c r="O602" s="85"/>
      <c r="P602" t="b">
        <v>0</v>
      </c>
      <c r="Q602" t="b">
        <v>1</v>
      </c>
      <c r="R602" t="b">
        <v>0</v>
      </c>
      <c r="S602" t="b">
        <f>IFERROR(NOT(OR(W629:W630,W636)),TRUE)</f>
        <v>1</v>
      </c>
      <c r="T602" t="b">
        <f t="shared" si="66"/>
        <v>0</v>
      </c>
      <c r="W602" s="17"/>
      <c r="X602" s="39"/>
      <c r="AC602" t="b">
        <f t="shared" si="67"/>
        <v>0</v>
      </c>
      <c r="AD602" t="b">
        <f t="shared" si="68"/>
        <v>0</v>
      </c>
      <c r="AE602" t="b">
        <f t="shared" si="69"/>
        <v>0</v>
      </c>
      <c r="AP602" t="str">
        <f t="shared" si="70"/>
        <v>dch706_3_3</v>
      </c>
      <c r="AQ602">
        <f t="shared" si="71"/>
        <v>0</v>
      </c>
      <c r="AR602" t="str">
        <f t="shared" si="72"/>
        <v>dnt706_3_3</v>
      </c>
      <c r="AS602">
        <f t="shared" si="73"/>
        <v>0</v>
      </c>
    </row>
    <row r="603" spans="2:45" x14ac:dyDescent="0.35">
      <c r="B603" s="452">
        <v>706.3</v>
      </c>
      <c r="C603" s="53"/>
      <c r="D603" s="13" t="s">
        <v>283</v>
      </c>
      <c r="E603" s="13"/>
      <c r="F603" s="13"/>
      <c r="G603" s="13"/>
      <c r="H603" s="550"/>
      <c r="I603" s="4"/>
      <c r="J603" s="384" t="s">
        <v>283</v>
      </c>
      <c r="K603" s="220"/>
      <c r="L603" s="220" t="s">
        <v>1274</v>
      </c>
      <c r="M603" s="43"/>
      <c r="N603" s="4"/>
      <c r="O603" s="85"/>
      <c r="P603" t="b">
        <v>0</v>
      </c>
      <c r="Q603" t="b">
        <v>1</v>
      </c>
      <c r="R603" t="b">
        <v>0</v>
      </c>
      <c r="S603" t="b">
        <f>IFERROR(NOT(OR(W629:W630,W636)),TRUE)</f>
        <v>1</v>
      </c>
      <c r="T603" t="b">
        <f t="shared" si="66"/>
        <v>0</v>
      </c>
      <c r="W603" s="17"/>
      <c r="X603" s="39"/>
      <c r="AC603" t="b">
        <f t="shared" si="67"/>
        <v>0</v>
      </c>
      <c r="AD603" t="b">
        <f t="shared" si="68"/>
        <v>0</v>
      </c>
      <c r="AE603" t="b">
        <f t="shared" si="69"/>
        <v>0</v>
      </c>
      <c r="AP603" t="str">
        <f t="shared" si="70"/>
        <v>dch706_3_4</v>
      </c>
      <c r="AQ603">
        <f t="shared" si="71"/>
        <v>0</v>
      </c>
      <c r="AR603" t="str">
        <f t="shared" si="72"/>
        <v>dnt706_3_4</v>
      </c>
      <c r="AS603">
        <f t="shared" si="73"/>
        <v>0</v>
      </c>
    </row>
    <row r="604" spans="2:45" x14ac:dyDescent="0.35">
      <c r="B604" s="452">
        <v>706.3</v>
      </c>
      <c r="C604" s="53"/>
      <c r="D604" s="13" t="s">
        <v>289</v>
      </c>
      <c r="E604" s="13"/>
      <c r="F604" s="13"/>
      <c r="G604" s="13"/>
      <c r="H604" s="550"/>
      <c r="I604" s="4"/>
      <c r="J604" s="384" t="s">
        <v>289</v>
      </c>
      <c r="K604" s="220"/>
      <c r="L604" s="220" t="s">
        <v>1275</v>
      </c>
      <c r="M604" s="43"/>
      <c r="N604" s="4"/>
      <c r="O604" s="85"/>
      <c r="P604" t="b">
        <v>0</v>
      </c>
      <c r="Q604" t="b">
        <v>1</v>
      </c>
      <c r="R604" t="b">
        <v>0</v>
      </c>
      <c r="S604" t="b">
        <f>IFERROR(NOT(OR(W629:W630,W636)),TRUE)</f>
        <v>1</v>
      </c>
      <c r="T604" t="b">
        <f t="shared" si="66"/>
        <v>0</v>
      </c>
      <c r="W604" s="17"/>
      <c r="X604" s="39"/>
      <c r="AC604" t="b">
        <f t="shared" si="67"/>
        <v>0</v>
      </c>
      <c r="AD604" t="b">
        <f t="shared" si="68"/>
        <v>0</v>
      </c>
      <c r="AE604" t="b">
        <f t="shared" si="69"/>
        <v>0</v>
      </c>
      <c r="AP604" t="str">
        <f t="shared" si="70"/>
        <v>dch706_3_5</v>
      </c>
      <c r="AQ604">
        <f t="shared" si="71"/>
        <v>0</v>
      </c>
      <c r="AR604" t="str">
        <f t="shared" si="72"/>
        <v>dnt706_3_5</v>
      </c>
      <c r="AS604">
        <f t="shared" si="73"/>
        <v>0</v>
      </c>
    </row>
    <row r="605" spans="2:45" x14ac:dyDescent="0.35">
      <c r="B605" s="452">
        <v>706.3</v>
      </c>
      <c r="C605" s="53"/>
      <c r="D605" s="13" t="s">
        <v>291</v>
      </c>
      <c r="E605" s="13"/>
      <c r="F605" s="13"/>
      <c r="G605" s="13"/>
      <c r="H605" s="550"/>
      <c r="I605" s="4"/>
      <c r="J605" s="384" t="s">
        <v>291</v>
      </c>
      <c r="K605" s="220"/>
      <c r="L605" s="220" t="s">
        <v>1276</v>
      </c>
      <c r="M605" s="43"/>
      <c r="N605" s="4"/>
      <c r="O605" s="85"/>
      <c r="P605" t="b">
        <v>0</v>
      </c>
      <c r="Q605" t="b">
        <v>1</v>
      </c>
      <c r="R605" t="b">
        <v>0</v>
      </c>
      <c r="S605" t="b">
        <f>IFERROR(NOT(OR(W629:W630,W636)),TRUE)</f>
        <v>1</v>
      </c>
      <c r="T605" t="b">
        <f t="shared" si="66"/>
        <v>0</v>
      </c>
      <c r="W605" s="17"/>
      <c r="X605" s="39"/>
      <c r="AC605" t="b">
        <f t="shared" si="67"/>
        <v>0</v>
      </c>
      <c r="AD605" t="b">
        <f t="shared" si="68"/>
        <v>0</v>
      </c>
      <c r="AE605" t="b">
        <f t="shared" si="69"/>
        <v>0</v>
      </c>
      <c r="AP605" t="str">
        <f t="shared" si="70"/>
        <v>dch706_3_6</v>
      </c>
      <c r="AQ605">
        <f t="shared" si="71"/>
        <v>0</v>
      </c>
      <c r="AR605" t="str">
        <f t="shared" si="72"/>
        <v>dnt706_3_6</v>
      </c>
      <c r="AS605">
        <f t="shared" si="73"/>
        <v>0</v>
      </c>
    </row>
    <row r="606" spans="2:45" x14ac:dyDescent="0.35">
      <c r="B606" s="452">
        <v>706.3</v>
      </c>
      <c r="C606" s="53"/>
      <c r="D606" s="13" t="s">
        <v>403</v>
      </c>
      <c r="E606" s="13"/>
      <c r="F606" s="13"/>
      <c r="G606" s="13"/>
      <c r="H606" s="550"/>
      <c r="I606" s="4"/>
      <c r="J606" s="384" t="s">
        <v>403</v>
      </c>
      <c r="K606" s="220"/>
      <c r="L606" s="220" t="s">
        <v>1277</v>
      </c>
      <c r="M606" s="43"/>
      <c r="N606" s="4"/>
      <c r="O606" s="85"/>
      <c r="P606" t="b">
        <v>0</v>
      </c>
      <c r="Q606" t="b">
        <v>1</v>
      </c>
      <c r="R606" t="b">
        <v>0</v>
      </c>
      <c r="S606" t="b">
        <f>IFERROR(NOT(OR(W629:W630,W636)),TRUE)</f>
        <v>1</v>
      </c>
      <c r="T606" t="b">
        <f t="shared" si="66"/>
        <v>0</v>
      </c>
      <c r="W606" s="17" t="b">
        <v>1</v>
      </c>
      <c r="X606" s="39" t="s">
        <v>4847</v>
      </c>
      <c r="AC606" t="b">
        <f t="shared" si="67"/>
        <v>0</v>
      </c>
      <c r="AD606" t="b">
        <f t="shared" si="68"/>
        <v>0</v>
      </c>
      <c r="AE606" t="b">
        <f t="shared" si="69"/>
        <v>0</v>
      </c>
      <c r="AP606" t="str">
        <f t="shared" si="70"/>
        <v>dch706_3_7</v>
      </c>
      <c r="AQ606" t="b">
        <f t="shared" si="71"/>
        <v>1</v>
      </c>
      <c r="AR606" t="str">
        <f t="shared" si="72"/>
        <v>dnt706_3_7</v>
      </c>
      <c r="AS606" t="str">
        <f t="shared" si="73"/>
        <v>Panasonic Energy-Recovery Ventilator; WhisperComfort FV-04VE1</v>
      </c>
    </row>
    <row r="607" spans="2:45" ht="15" thickBot="1" x14ac:dyDescent="0.4">
      <c r="B607" s="452">
        <v>706.3</v>
      </c>
      <c r="C607" s="53"/>
      <c r="D607" s="13" t="s">
        <v>453</v>
      </c>
      <c r="E607" s="13"/>
      <c r="F607" s="13"/>
      <c r="G607" s="13"/>
      <c r="H607" s="550"/>
      <c r="I607" s="183"/>
      <c r="J607" s="375" t="s">
        <v>453</v>
      </c>
      <c r="K607" s="223"/>
      <c r="L607" s="223" t="s">
        <v>1278</v>
      </c>
      <c r="M607" s="270"/>
      <c r="N607" s="183"/>
      <c r="O607" s="184"/>
      <c r="P607" t="b">
        <v>0</v>
      </c>
      <c r="Q607" t="b">
        <v>1</v>
      </c>
      <c r="R607" s="58" t="b">
        <v>0</v>
      </c>
      <c r="S607" s="58" t="b">
        <f>IFERROR(NOT(OR(W629:W630,W636)),TRUE)</f>
        <v>1</v>
      </c>
      <c r="T607" s="58" t="b">
        <f t="shared" si="66"/>
        <v>0</v>
      </c>
      <c r="U607" s="58"/>
      <c r="V607" s="58"/>
      <c r="W607" s="59"/>
      <c r="X607" s="113"/>
      <c r="AC607" t="b">
        <f t="shared" si="67"/>
        <v>0</v>
      </c>
      <c r="AD607" t="b">
        <f t="shared" si="68"/>
        <v>0</v>
      </c>
      <c r="AE607" t="b">
        <f t="shared" si="69"/>
        <v>0</v>
      </c>
      <c r="AP607" t="str">
        <f t="shared" si="70"/>
        <v>dch706_3_8</v>
      </c>
      <c r="AQ607">
        <f t="shared" si="71"/>
        <v>0</v>
      </c>
      <c r="AR607" t="str">
        <f t="shared" si="72"/>
        <v>dnt706_3_8</v>
      </c>
      <c r="AS607">
        <f t="shared" si="73"/>
        <v>0</v>
      </c>
    </row>
    <row r="608" spans="2:45" ht="15" thickTop="1" x14ac:dyDescent="0.35">
      <c r="B608" s="452">
        <v>706.4</v>
      </c>
      <c r="C608" s="53"/>
      <c r="D608" s="13"/>
      <c r="E608" s="13"/>
      <c r="F608" s="13"/>
      <c r="G608" s="13"/>
      <c r="H608" s="550"/>
      <c r="I608" s="32">
        <v>706.4</v>
      </c>
      <c r="J608" s="104"/>
      <c r="K608" s="104"/>
      <c r="L608" s="110" t="s">
        <v>1279</v>
      </c>
      <c r="M608" s="43"/>
      <c r="N608" s="4"/>
      <c r="O608" s="85"/>
    </row>
    <row r="609" spans="2:45" x14ac:dyDescent="0.35">
      <c r="B609" s="452" t="s">
        <v>1280</v>
      </c>
      <c r="C609" s="53"/>
      <c r="D609" s="13"/>
      <c r="E609" s="13"/>
      <c r="F609" s="13"/>
      <c r="G609" s="13"/>
      <c r="H609" s="550"/>
      <c r="I609" s="32" t="s">
        <v>1280</v>
      </c>
      <c r="J609" s="104"/>
      <c r="K609" s="104"/>
      <c r="L609" s="110" t="s">
        <v>1281</v>
      </c>
      <c r="M609" s="43"/>
      <c r="N609" s="4"/>
      <c r="O609" s="85"/>
    </row>
    <row r="610" spans="2:45" x14ac:dyDescent="0.35">
      <c r="B610" s="452" t="s">
        <v>1280</v>
      </c>
      <c r="C610" s="53"/>
      <c r="D610" s="13" t="s">
        <v>270</v>
      </c>
      <c r="E610" s="13"/>
      <c r="F610" s="13"/>
      <c r="G610" s="13"/>
      <c r="H610" s="550"/>
      <c r="I610" s="4"/>
      <c r="J610" s="179" t="s">
        <v>270</v>
      </c>
      <c r="K610" s="104"/>
      <c r="L610" s="707" t="s">
        <v>1282</v>
      </c>
      <c r="M610" s="690">
        <v>1</v>
      </c>
      <c r="N610" s="4"/>
      <c r="O610" s="696">
        <f>M610*S610*W610</f>
        <v>0</v>
      </c>
      <c r="P610" t="b">
        <v>1</v>
      </c>
      <c r="Q610" t="b">
        <v>1</v>
      </c>
      <c r="R610" t="b">
        <v>0</v>
      </c>
      <c r="S610" t="b">
        <v>1</v>
      </c>
      <c r="T610" t="b">
        <v>0</v>
      </c>
      <c r="W610" s="17"/>
      <c r="X610" s="688"/>
      <c r="AC610" t="b">
        <f>OR(AD610:AE610)</f>
        <v>0</v>
      </c>
      <c r="AD610" t="b">
        <f>T610</f>
        <v>0</v>
      </c>
      <c r="AE610" t="b">
        <f>AND(R610,NOT(W610))</f>
        <v>0</v>
      </c>
      <c r="AL610" t="str">
        <f>SUBSTITUTE(SUBSTITUTE(SUBSTITUTE("dpa"&amp;$B610&amp;$C610&amp;$D610&amp;$E610&amp;$F610,".","_"),"(","_"),")","")</f>
        <v>dpa706_4_1_1</v>
      </c>
      <c r="AM610">
        <f>M610</f>
        <v>1</v>
      </c>
      <c r="AN610" t="str">
        <f>SUBSTITUTE(SUBSTITUTE(SUBSTITUTE("dpc"&amp;$B610&amp;$C610&amp;$D610&amp;$E610&amp;$F610,".","_"),"(","_"),")","")</f>
        <v>dpc706_4_1_1</v>
      </c>
      <c r="AO610">
        <f>O610</f>
        <v>0</v>
      </c>
      <c r="AP610" t="str">
        <f>SUBSTITUTE(SUBSTITUTE(SUBSTITUTE("dch"&amp;$B610&amp;$C610&amp;$D610&amp;$E610&amp;$F610,".","_"),"(","_"),")","")</f>
        <v>dch706_4_1_1</v>
      </c>
      <c r="AQ610">
        <f>W610</f>
        <v>0</v>
      </c>
      <c r="AR610" t="str">
        <f>SUBSTITUTE(SUBSTITUTE(SUBSTITUTE("dnt"&amp;$B610&amp;$C610&amp;$D610&amp;$E610&amp;$F610,".","_"),"(","_"),")","")</f>
        <v>dnt706_4_1_1</v>
      </c>
      <c r="AS610">
        <f>X610</f>
        <v>0</v>
      </c>
    </row>
    <row r="611" spans="2:45" x14ac:dyDescent="0.35">
      <c r="B611" s="452" t="s">
        <v>1280</v>
      </c>
      <c r="C611" s="53"/>
      <c r="D611" s="13" t="s">
        <v>270</v>
      </c>
      <c r="E611" s="13"/>
      <c r="F611" s="13"/>
      <c r="G611" s="13"/>
      <c r="H611" s="550"/>
      <c r="I611" s="4"/>
      <c r="J611" s="373"/>
      <c r="K611" s="214"/>
      <c r="L611" s="709"/>
      <c r="M611" s="691"/>
      <c r="N611" s="155"/>
      <c r="O611" s="697"/>
      <c r="X611" s="688"/>
    </row>
    <row r="612" spans="2:45" x14ac:dyDescent="0.35">
      <c r="B612" s="452" t="s">
        <v>1280</v>
      </c>
      <c r="C612" s="53"/>
      <c r="D612" s="13" t="s">
        <v>272</v>
      </c>
      <c r="E612" s="13"/>
      <c r="F612" s="13"/>
      <c r="G612" s="13"/>
      <c r="H612" s="550"/>
      <c r="I612" s="4"/>
      <c r="J612" s="179" t="s">
        <v>272</v>
      </c>
      <c r="K612" s="104"/>
      <c r="L612" s="707" t="s">
        <v>1283</v>
      </c>
      <c r="M612" s="690">
        <v>3</v>
      </c>
      <c r="N612" s="4"/>
      <c r="O612" s="696">
        <f>M612*S612*W612</f>
        <v>0</v>
      </c>
      <c r="P612" t="b">
        <v>1</v>
      </c>
      <c r="Q612" t="b">
        <v>1</v>
      </c>
      <c r="R612" t="b">
        <v>0</v>
      </c>
      <c r="S612" t="b">
        <v>1</v>
      </c>
      <c r="T612" t="b">
        <v>0</v>
      </c>
      <c r="W612" s="17"/>
      <c r="X612" s="688"/>
      <c r="AC612" t="b">
        <f>OR(AD612:AE612)</f>
        <v>0</v>
      </c>
      <c r="AD612" t="b">
        <f>T612</f>
        <v>0</v>
      </c>
      <c r="AE612" t="b">
        <f>AND(R612,NOT(W612))</f>
        <v>0</v>
      </c>
      <c r="AL612" t="str">
        <f>SUBSTITUTE(SUBSTITUTE(SUBSTITUTE("dpa"&amp;$B612&amp;$C612&amp;$D612&amp;$E612&amp;$F612,".","_"),"(","_"),")","")</f>
        <v>dpa706_4_1_2</v>
      </c>
      <c r="AM612">
        <f>M612</f>
        <v>3</v>
      </c>
      <c r="AN612" t="str">
        <f>SUBSTITUTE(SUBSTITUTE(SUBSTITUTE("dpc"&amp;$B612&amp;$C612&amp;$D612&amp;$E612&amp;$F612,".","_"),"(","_"),")","")</f>
        <v>dpc706_4_1_2</v>
      </c>
      <c r="AO612">
        <f>O612</f>
        <v>0</v>
      </c>
      <c r="AP612" t="str">
        <f>SUBSTITUTE(SUBSTITUTE(SUBSTITUTE("dch"&amp;$B612&amp;$C612&amp;$D612&amp;$E612&amp;$F612,".","_"),"(","_"),")","")</f>
        <v>dch706_4_1_2</v>
      </c>
      <c r="AQ612">
        <f>W612</f>
        <v>0</v>
      </c>
      <c r="AR612" t="str">
        <f>SUBSTITUTE(SUBSTITUTE(SUBSTITUTE("dnt"&amp;$B612&amp;$C612&amp;$D612&amp;$E612&amp;$F612,".","_"),"(","_"),")","")</f>
        <v>dnt706_4_1_2</v>
      </c>
      <c r="AS612">
        <f>X612</f>
        <v>0</v>
      </c>
    </row>
    <row r="613" spans="2:45" x14ac:dyDescent="0.35">
      <c r="B613" s="452" t="s">
        <v>1280</v>
      </c>
      <c r="C613" s="53"/>
      <c r="D613" s="13" t="s">
        <v>272</v>
      </c>
      <c r="E613" s="13"/>
      <c r="F613" s="13"/>
      <c r="G613" s="13"/>
      <c r="H613" s="550"/>
      <c r="I613" s="155"/>
      <c r="J613" s="214"/>
      <c r="K613" s="214"/>
      <c r="L613" s="709"/>
      <c r="M613" s="691"/>
      <c r="N613" s="155"/>
      <c r="O613" s="697"/>
      <c r="P613" s="119"/>
      <c r="Q613" s="119"/>
      <c r="R613" s="119"/>
      <c r="S613" s="119"/>
      <c r="T613" s="119"/>
      <c r="U613" s="119"/>
      <c r="V613" s="119"/>
      <c r="W613" s="119"/>
      <c r="X613" s="688"/>
    </row>
    <row r="614" spans="2:45" x14ac:dyDescent="0.35">
      <c r="B614" s="452" t="s">
        <v>1284</v>
      </c>
      <c r="C614" s="53"/>
      <c r="D614" s="13"/>
      <c r="E614" s="13"/>
      <c r="F614" s="13"/>
      <c r="G614" s="13"/>
      <c r="H614" s="550"/>
      <c r="I614" s="135" t="s">
        <v>1284</v>
      </c>
      <c r="J614" s="320"/>
      <c r="K614" s="320"/>
      <c r="L614" s="753" t="s">
        <v>1285</v>
      </c>
      <c r="M614" s="712">
        <v>1</v>
      </c>
      <c r="N614" s="136"/>
      <c r="O614" s="713">
        <f>M614*S614*W614</f>
        <v>0</v>
      </c>
      <c r="P614" t="b">
        <v>1</v>
      </c>
      <c r="Q614" t="b">
        <v>1</v>
      </c>
      <c r="R614" s="138" t="b">
        <v>0</v>
      </c>
      <c r="S614" s="138" t="b">
        <v>1</v>
      </c>
      <c r="T614" s="138" t="b">
        <v>0</v>
      </c>
      <c r="U614" s="138"/>
      <c r="V614" s="138"/>
      <c r="W614" s="17"/>
      <c r="X614" s="688"/>
      <c r="AC614" t="b">
        <f>OR(AD614:AE614)</f>
        <v>0</v>
      </c>
      <c r="AD614" t="b">
        <f>T614</f>
        <v>0</v>
      </c>
      <c r="AE614" t="b">
        <f>AND(R614,NOT(W614))</f>
        <v>0</v>
      </c>
      <c r="AL614" t="str">
        <f>SUBSTITUTE(SUBSTITUTE(SUBSTITUTE("dpa"&amp;$B614&amp;$C614&amp;$D614&amp;$E614&amp;$F614,".","_"),"(","_"),")","")</f>
        <v>dpa706_4_2</v>
      </c>
      <c r="AM614">
        <f>M614</f>
        <v>1</v>
      </c>
      <c r="AN614" t="str">
        <f>SUBSTITUTE(SUBSTITUTE(SUBSTITUTE("dpc"&amp;$B614&amp;$C614&amp;$D614&amp;$E614&amp;$F614,".","_"),"(","_"),")","")</f>
        <v>dpc706_4_2</v>
      </c>
      <c r="AO614">
        <f>O614</f>
        <v>0</v>
      </c>
      <c r="AP614" t="str">
        <f>SUBSTITUTE(SUBSTITUTE(SUBSTITUTE("dch"&amp;$B614&amp;$C614&amp;$D614&amp;$E614&amp;$F614,".","_"),"(","_"),")","")</f>
        <v>dch706_4_2</v>
      </c>
      <c r="AQ614">
        <f>W614</f>
        <v>0</v>
      </c>
      <c r="AR614" t="str">
        <f>SUBSTITUTE(SUBSTITUTE(SUBSTITUTE("dnt"&amp;$B614&amp;$C614&amp;$D614&amp;$E614&amp;$F614,".","_"),"(","_"),")","")</f>
        <v>dnt706_4_2</v>
      </c>
      <c r="AS614">
        <f>X614</f>
        <v>0</v>
      </c>
    </row>
    <row r="615" spans="2:45" ht="15" thickBot="1" x14ac:dyDescent="0.4">
      <c r="B615" s="452" t="s">
        <v>1284</v>
      </c>
      <c r="C615" s="53"/>
      <c r="D615" s="13"/>
      <c r="E615" s="13"/>
      <c r="F615" s="13"/>
      <c r="G615" s="13"/>
      <c r="H615" s="550"/>
      <c r="I615" s="183"/>
      <c r="J615" s="223"/>
      <c r="K615" s="223"/>
      <c r="L615" s="710"/>
      <c r="M615" s="693"/>
      <c r="N615" s="183"/>
      <c r="O615" s="695"/>
      <c r="P615" s="58"/>
      <c r="Q615" s="58"/>
      <c r="R615" s="58"/>
      <c r="S615" s="58"/>
      <c r="T615" s="58"/>
      <c r="U615" s="58"/>
      <c r="V615" s="58"/>
      <c r="W615" s="58"/>
      <c r="X615" s="689"/>
    </row>
    <row r="616" spans="2:45" ht="15" thickTop="1" x14ac:dyDescent="0.35">
      <c r="B616" s="452">
        <v>706.5</v>
      </c>
      <c r="C616" s="53"/>
      <c r="D616" s="13"/>
      <c r="E616" s="13"/>
      <c r="F616" s="13"/>
      <c r="G616" s="13"/>
      <c r="H616" s="550"/>
      <c r="I616" s="123">
        <v>706.5</v>
      </c>
      <c r="J616" s="349"/>
      <c r="K616" s="349"/>
      <c r="L616" s="711" t="s">
        <v>1286</v>
      </c>
      <c r="M616" s="743" t="s">
        <v>3631</v>
      </c>
      <c r="N616" s="124"/>
      <c r="O616" s="694">
        <f ca="1">IFERROR(ROUNDDOWN(2*W617/S618,0),0)</f>
        <v>0</v>
      </c>
      <c r="P616" s="62"/>
      <c r="Q616" s="62"/>
      <c r="R616" s="62"/>
      <c r="S616" s="62"/>
      <c r="T616" s="62"/>
      <c r="U616" s="62"/>
      <c r="V616" s="62"/>
      <c r="W616" s="62" t="str">
        <f ca="1">"kW per "&amp;IF($AY$20=INDEX(INDIRECT("ddSingleOrMulti"),1),"1 unit:",$AY$21&amp;" units:")</f>
        <v>kW per 1 unit:</v>
      </c>
      <c r="X616" s="687"/>
      <c r="AL616" t="str">
        <f>SUBSTITUTE(SUBSTITUTE(SUBSTITUTE("dpa"&amp;$B616&amp;$C616&amp;$D616&amp;$E616&amp;$F616,".","_"),"(","_"),")","")</f>
        <v>dpa706_5</v>
      </c>
      <c r="AM616" t="str">
        <f>M616</f>
        <v>2 points per kW Divided by number of dwelling units</v>
      </c>
      <c r="AN616" t="str">
        <f>SUBSTITUTE(SUBSTITUTE(SUBSTITUTE("dpc"&amp;$B616&amp;$C616&amp;$D616&amp;$E616&amp;$F616,".","_"),"(","_"),")","")</f>
        <v>dpc706_5</v>
      </c>
      <c r="AO616">
        <f ca="1">O616</f>
        <v>0</v>
      </c>
      <c r="AR616" t="str">
        <f>SUBSTITUTE(SUBSTITUTE(SUBSTITUTE("dnt"&amp;$B616&amp;$C616&amp;$D616&amp;$E616&amp;$F616,".","_"),"(","_"),")","")</f>
        <v>dnt706_5</v>
      </c>
      <c r="AS616">
        <f>X616</f>
        <v>0</v>
      </c>
    </row>
    <row r="617" spans="2:45" x14ac:dyDescent="0.35">
      <c r="B617" s="452">
        <v>706.5</v>
      </c>
      <c r="C617" s="53"/>
      <c r="D617" s="13"/>
      <c r="E617" s="13"/>
      <c r="F617" s="13"/>
      <c r="G617" s="13"/>
      <c r="H617" s="550"/>
      <c r="I617" s="4"/>
      <c r="J617" s="104"/>
      <c r="K617" s="104"/>
      <c r="L617" s="706"/>
      <c r="M617" s="737"/>
      <c r="N617" s="4"/>
      <c r="O617" s="696"/>
      <c r="P617" t="b">
        <v>0</v>
      </c>
      <c r="Q617" t="b">
        <v>1</v>
      </c>
      <c r="R617" t="b">
        <v>0</v>
      </c>
      <c r="S617" t="b">
        <v>1</v>
      </c>
      <c r="T617" t="b">
        <v>0</v>
      </c>
      <c r="W617" s="282"/>
      <c r="X617" s="688"/>
      <c r="AC617" t="b">
        <f>OR(AD617:AE617)</f>
        <v>0</v>
      </c>
      <c r="AD617" t="b">
        <f>T617</f>
        <v>0</v>
      </c>
      <c r="AE617" t="b">
        <f>AND(R617,OR(W617="Not Met",W617=""))</f>
        <v>0</v>
      </c>
      <c r="AP617" t="str">
        <f>SUBSTITUTE(SUBSTITUTE(SUBSTITUTE("dch"&amp;$B617&amp;$C617&amp;$D617&amp;$E617&amp;$F617,".","_"),"(","_"),")","")</f>
        <v>dch706_5</v>
      </c>
      <c r="AQ617" s="626">
        <f>W617</f>
        <v>0</v>
      </c>
    </row>
    <row r="618" spans="2:45" x14ac:dyDescent="0.35">
      <c r="B618" s="452">
        <v>706.5</v>
      </c>
      <c r="C618" s="53"/>
      <c r="D618" s="13"/>
      <c r="E618" s="13"/>
      <c r="F618" s="13"/>
      <c r="G618" s="13"/>
      <c r="H618" s="550"/>
      <c r="I618" s="4"/>
      <c r="J618" s="104"/>
      <c r="K618" s="104"/>
      <c r="L618" s="706"/>
      <c r="M618" s="737"/>
      <c r="N618" s="4"/>
      <c r="O618" s="696"/>
      <c r="S618" s="1">
        <f ca="1">IF($AY$20=INDEX(INDIRECT("ddSingleOrMulti"),1),1,$AY$21)</f>
        <v>1</v>
      </c>
      <c r="X618" s="688"/>
    </row>
    <row r="619" spans="2:45" x14ac:dyDescent="0.35">
      <c r="B619" s="452">
        <v>706.5</v>
      </c>
      <c r="C619" s="53"/>
      <c r="D619" s="13"/>
      <c r="E619" s="13"/>
      <c r="F619" s="13"/>
      <c r="G619" s="13"/>
      <c r="H619" s="550"/>
      <c r="I619" s="4"/>
      <c r="J619" s="104"/>
      <c r="K619" s="104"/>
      <c r="L619" s="706"/>
      <c r="M619" s="737"/>
      <c r="N619" s="4"/>
      <c r="O619" s="696"/>
      <c r="X619" s="688"/>
    </row>
    <row r="620" spans="2:45" x14ac:dyDescent="0.35">
      <c r="B620" s="452">
        <v>706.5</v>
      </c>
      <c r="C620" s="53"/>
      <c r="D620" s="13"/>
      <c r="E620" s="13"/>
      <c r="F620" s="13"/>
      <c r="G620" s="13"/>
      <c r="H620" s="550"/>
      <c r="I620" s="4"/>
      <c r="J620" s="104"/>
      <c r="K620" s="104"/>
      <c r="L620" s="752" t="s">
        <v>1287</v>
      </c>
      <c r="M620" s="43"/>
      <c r="N620" s="4"/>
      <c r="O620" s="85"/>
      <c r="X620" s="688"/>
    </row>
    <row r="621" spans="2:45" x14ac:dyDescent="0.35">
      <c r="B621" s="452">
        <v>706.5</v>
      </c>
      <c r="C621" s="53"/>
      <c r="D621" s="13"/>
      <c r="E621" s="13"/>
      <c r="F621" s="13"/>
      <c r="G621" s="13"/>
      <c r="H621" s="550"/>
      <c r="I621" s="4"/>
      <c r="J621" s="104"/>
      <c r="K621" s="104"/>
      <c r="L621" s="752"/>
      <c r="M621" s="43"/>
      <c r="N621" s="4"/>
      <c r="O621" s="85"/>
      <c r="X621" s="688"/>
    </row>
    <row r="622" spans="2:45" x14ac:dyDescent="0.35">
      <c r="B622" s="452">
        <v>706.5</v>
      </c>
      <c r="C622" s="53"/>
      <c r="D622" s="13"/>
      <c r="E622" s="13"/>
      <c r="F622" s="13"/>
      <c r="G622" s="13"/>
      <c r="H622" s="550"/>
      <c r="I622" s="4"/>
      <c r="J622" s="104"/>
      <c r="K622" s="104"/>
      <c r="L622" s="752"/>
      <c r="M622" s="43"/>
      <c r="N622" s="4"/>
      <c r="O622" s="85"/>
      <c r="X622" s="688"/>
    </row>
    <row r="623" spans="2:45" ht="15" customHeight="1" x14ac:dyDescent="0.35">
      <c r="B623" s="452">
        <v>706.5</v>
      </c>
      <c r="C623" s="53"/>
      <c r="D623" s="13"/>
      <c r="E623" s="13"/>
      <c r="F623" s="13"/>
      <c r="G623" s="13"/>
      <c r="H623" s="550"/>
      <c r="I623" s="4"/>
      <c r="J623" s="104"/>
      <c r="K623" s="104"/>
      <c r="L623" s="752" t="s">
        <v>1288</v>
      </c>
      <c r="M623" s="43"/>
      <c r="N623" s="4"/>
      <c r="O623" s="85"/>
      <c r="X623" s="688"/>
    </row>
    <row r="624" spans="2:45" ht="15" thickBot="1" x14ac:dyDescent="0.4">
      <c r="B624" s="452">
        <v>706.5</v>
      </c>
      <c r="C624" s="53"/>
      <c r="D624" s="13"/>
      <c r="E624" s="13"/>
      <c r="F624" s="13"/>
      <c r="G624" s="13"/>
      <c r="H624" s="550"/>
      <c r="I624" s="183"/>
      <c r="J624" s="223"/>
      <c r="K624" s="223"/>
      <c r="L624" s="779"/>
      <c r="M624" s="270"/>
      <c r="N624" s="183"/>
      <c r="O624" s="184"/>
      <c r="P624" s="58"/>
      <c r="Q624" s="58"/>
      <c r="R624" s="58"/>
      <c r="S624" s="58"/>
      <c r="T624" s="58"/>
      <c r="U624" s="58"/>
      <c r="V624" s="58"/>
      <c r="W624" s="58"/>
      <c r="X624" s="689"/>
    </row>
    <row r="625" spans="2:45" ht="15" thickTop="1" x14ac:dyDescent="0.35">
      <c r="B625" s="452">
        <v>706.6</v>
      </c>
      <c r="C625" s="53"/>
      <c r="D625" s="13"/>
      <c r="E625" s="13"/>
      <c r="F625" s="13"/>
      <c r="G625" s="13"/>
      <c r="H625" s="550"/>
      <c r="I625" s="123">
        <v>706.6</v>
      </c>
      <c r="J625" s="349"/>
      <c r="K625" s="349"/>
      <c r="L625" s="711" t="s">
        <v>1289</v>
      </c>
      <c r="M625" s="692">
        <v>2</v>
      </c>
      <c r="N625" s="124"/>
      <c r="O625" s="694">
        <f ca="1">M625*S625*W625</f>
        <v>0</v>
      </c>
      <c r="P625" t="b">
        <v>1</v>
      </c>
      <c r="Q625" t="b">
        <v>1</v>
      </c>
      <c r="R625" s="62" t="b">
        <v>0</v>
      </c>
      <c r="S625" s="62" t="b">
        <f ca="1">$AY$20=INDEX(INDIRECT("ddSingleOrMulti"),2)</f>
        <v>0</v>
      </c>
      <c r="T625" s="62" t="b">
        <f ca="1">AND(NOT(S625),W625=TRUE)</f>
        <v>0</v>
      </c>
      <c r="U625" s="62"/>
      <c r="V625" s="62"/>
      <c r="W625" s="278"/>
      <c r="X625" s="687"/>
      <c r="AC625" t="b">
        <f ca="1">OR(AD625:AE625)</f>
        <v>0</v>
      </c>
      <c r="AD625" t="b">
        <f ca="1">T625</f>
        <v>0</v>
      </c>
      <c r="AE625" t="b">
        <f>AND(R625,NOT(W625))</f>
        <v>0</v>
      </c>
      <c r="AL625" t="str">
        <f>SUBSTITUTE(SUBSTITUTE(SUBSTITUTE("dpa"&amp;$B625&amp;$C625&amp;$D625&amp;$E625&amp;$F625,".","_"),"(","_"),")","")</f>
        <v>dpa706_6</v>
      </c>
      <c r="AM625">
        <f>M625</f>
        <v>2</v>
      </c>
      <c r="AN625" t="str">
        <f>SUBSTITUTE(SUBSTITUTE(SUBSTITUTE("dpc"&amp;$B625&amp;$C625&amp;$D625&amp;$E625&amp;$F625,".","_"),"(","_"),")","")</f>
        <v>dpc706_6</v>
      </c>
      <c r="AO625">
        <f ca="1">O625</f>
        <v>0</v>
      </c>
      <c r="AP625" t="str">
        <f>SUBSTITUTE(SUBSTITUTE(SUBSTITUTE("dch"&amp;$B625&amp;$C625&amp;$D625&amp;$E625&amp;$F625,".","_"),"(","_"),")","")</f>
        <v>dch706_6</v>
      </c>
      <c r="AQ625">
        <f>W625</f>
        <v>0</v>
      </c>
      <c r="AR625" t="str">
        <f>SUBSTITUTE(SUBSTITUTE(SUBSTITUTE("dnt"&amp;$B625&amp;$C625&amp;$D625&amp;$E625&amp;$F625,".","_"),"(","_"),")","")</f>
        <v>dnt706_6</v>
      </c>
      <c r="AS625">
        <f>X625</f>
        <v>0</v>
      </c>
    </row>
    <row r="626" spans="2:45" ht="15" thickBot="1" x14ac:dyDescent="0.4">
      <c r="B626" s="452">
        <v>706.6</v>
      </c>
      <c r="C626" s="53"/>
      <c r="D626" s="13"/>
      <c r="E626" s="13"/>
      <c r="F626" s="13"/>
      <c r="G626" s="13"/>
      <c r="H626" s="550"/>
      <c r="I626" s="183"/>
      <c r="J626" s="223"/>
      <c r="K626" s="223"/>
      <c r="L626" s="710"/>
      <c r="M626" s="693"/>
      <c r="N626" s="183"/>
      <c r="O626" s="695"/>
      <c r="P626" s="58"/>
      <c r="Q626" s="58"/>
      <c r="R626" s="58"/>
      <c r="S626" s="58"/>
      <c r="T626" s="58"/>
      <c r="U626" s="58"/>
      <c r="V626" s="58"/>
      <c r="W626" s="58"/>
      <c r="X626" s="689"/>
    </row>
    <row r="627" spans="2:45" ht="15" thickTop="1" x14ac:dyDescent="0.35">
      <c r="B627" s="452">
        <v>706.7</v>
      </c>
      <c r="C627" s="53"/>
      <c r="D627" s="13"/>
      <c r="E627" s="13"/>
      <c r="F627" s="13"/>
      <c r="G627" s="13"/>
      <c r="H627" s="550"/>
      <c r="I627" s="32">
        <v>706.7</v>
      </c>
      <c r="J627" s="104"/>
      <c r="K627" s="104"/>
      <c r="L627" s="706" t="s">
        <v>1290</v>
      </c>
      <c r="M627" s="43"/>
      <c r="N627" s="4"/>
      <c r="O627" s="85"/>
    </row>
    <row r="628" spans="2:45" x14ac:dyDescent="0.35">
      <c r="B628" s="452">
        <v>706.7</v>
      </c>
      <c r="C628" s="53"/>
      <c r="D628" s="13"/>
      <c r="E628" s="13"/>
      <c r="F628" s="13"/>
      <c r="G628" s="13"/>
      <c r="H628" s="550"/>
      <c r="I628" s="4"/>
      <c r="J628" s="104"/>
      <c r="K628" s="104"/>
      <c r="L628" s="706"/>
      <c r="M628" s="43"/>
      <c r="N628" s="4"/>
      <c r="O628" s="85"/>
    </row>
    <row r="629" spans="2:45" x14ac:dyDescent="0.35">
      <c r="B629" s="452">
        <v>706.7</v>
      </c>
      <c r="C629" s="53"/>
      <c r="D629" s="13" t="s">
        <v>270</v>
      </c>
      <c r="E629" s="13"/>
      <c r="F629" s="13"/>
      <c r="G629" s="13"/>
      <c r="H629" s="550"/>
      <c r="I629" s="4"/>
      <c r="J629" s="373" t="s">
        <v>270</v>
      </c>
      <c r="K629" s="214"/>
      <c r="L629" s="214" t="s">
        <v>1291</v>
      </c>
      <c r="M629" s="198">
        <v>1</v>
      </c>
      <c r="N629" s="155"/>
      <c r="O629" s="342">
        <f>M629*S629*W629</f>
        <v>0</v>
      </c>
      <c r="P629" t="b">
        <v>0</v>
      </c>
      <c r="Q629" t="b">
        <v>1</v>
      </c>
      <c r="R629" t="b">
        <v>0</v>
      </c>
      <c r="S629" t="b">
        <f>IFERROR(NOT(OR(W600:W607,W636)),TRUE)</f>
        <v>0</v>
      </c>
      <c r="T629" t="b">
        <f>AND(NOT(S629),W629=TRUE)</f>
        <v>0</v>
      </c>
      <c r="W629" s="17"/>
      <c r="X629" s="39"/>
      <c r="AC629" t="b">
        <f>OR(AD629:AE629)</f>
        <v>0</v>
      </c>
      <c r="AD629" t="b">
        <f>T629</f>
        <v>0</v>
      </c>
      <c r="AE629" t="b">
        <f>AND(R629,NOT(W629))</f>
        <v>0</v>
      </c>
      <c r="AL629" t="str">
        <f t="shared" ref="AL629:AL630" si="74">SUBSTITUTE(SUBSTITUTE(SUBSTITUTE("dpa"&amp;$B629&amp;$C629&amp;$D629&amp;$E629&amp;$F629,".","_"),"(","_"),")","")</f>
        <v>dpa706_7_1</v>
      </c>
      <c r="AM629">
        <f>M629</f>
        <v>1</v>
      </c>
      <c r="AN629" t="str">
        <f>SUBSTITUTE(SUBSTITUTE(SUBSTITUTE("dpc"&amp;$B629&amp;$C629&amp;$D629&amp;$E629&amp;$F629,".","_"),"(","_"),")","")</f>
        <v>dpc706_7_1</v>
      </c>
      <c r="AO629">
        <f>O629</f>
        <v>0</v>
      </c>
      <c r="AP629" t="str">
        <f t="shared" ref="AP629:AP630" si="75">SUBSTITUTE(SUBSTITUTE(SUBSTITUTE("dch"&amp;$B629&amp;$C629&amp;$D629&amp;$E629&amp;$F629,".","_"),"(","_"),")","")</f>
        <v>dch706_7_1</v>
      </c>
      <c r="AQ629">
        <f>W629</f>
        <v>0</v>
      </c>
      <c r="AR629" t="str">
        <f t="shared" ref="AR629:AR630" si="76">SUBSTITUTE(SUBSTITUTE(SUBSTITUTE("dnt"&amp;$B629&amp;$C629&amp;$D629&amp;$E629&amp;$F629,".","_"),"(","_"),")","")</f>
        <v>dnt706_7_1</v>
      </c>
      <c r="AS629">
        <f>X629</f>
        <v>0</v>
      </c>
    </row>
    <row r="630" spans="2:45" x14ac:dyDescent="0.35">
      <c r="B630" s="452">
        <v>706.7</v>
      </c>
      <c r="C630" s="53"/>
      <c r="D630" s="13" t="s">
        <v>272</v>
      </c>
      <c r="E630" s="13"/>
      <c r="F630" s="13"/>
      <c r="G630" s="13"/>
      <c r="H630" s="550"/>
      <c r="I630" s="4"/>
      <c r="J630" s="179" t="s">
        <v>272</v>
      </c>
      <c r="K630" s="104"/>
      <c r="L630" s="104" t="s">
        <v>1292</v>
      </c>
      <c r="M630" s="43">
        <v>1</v>
      </c>
      <c r="N630" s="4"/>
      <c r="O630" s="85">
        <f>M630*S630*W630</f>
        <v>0</v>
      </c>
      <c r="P630" t="b">
        <v>0</v>
      </c>
      <c r="Q630" t="b">
        <v>1</v>
      </c>
      <c r="R630" t="b">
        <v>0</v>
      </c>
      <c r="S630" t="b">
        <f>IFERROR(NOT(OR(W600:W607,W636)),TRUE)</f>
        <v>0</v>
      </c>
      <c r="T630" t="b">
        <f>AND(NOT(S630),W630=TRUE)</f>
        <v>0</v>
      </c>
      <c r="W630" s="17"/>
      <c r="X630" s="688"/>
      <c r="AC630" t="b">
        <f>OR(AD630:AE630)</f>
        <v>0</v>
      </c>
      <c r="AD630" t="b">
        <f>T630</f>
        <v>0</v>
      </c>
      <c r="AE630" t="b">
        <f>AND(R630,NOT(W630))</f>
        <v>0</v>
      </c>
      <c r="AL630" t="str">
        <f t="shared" si="74"/>
        <v>dpa706_7_2</v>
      </c>
      <c r="AM630">
        <f>M630</f>
        <v>1</v>
      </c>
      <c r="AN630" t="str">
        <f>SUBSTITUTE(SUBSTITUTE(SUBSTITUTE("dpc"&amp;$B630&amp;$C630&amp;$D630&amp;$E630&amp;$F630,".","_"),"(","_"),")","")</f>
        <v>dpc706_7_2</v>
      </c>
      <c r="AO630">
        <f>O630</f>
        <v>0</v>
      </c>
      <c r="AP630" t="str">
        <f t="shared" si="75"/>
        <v>dch706_7_2</v>
      </c>
      <c r="AQ630">
        <f>W630</f>
        <v>0</v>
      </c>
      <c r="AR630" t="str">
        <f t="shared" si="76"/>
        <v>dnt706_7_2</v>
      </c>
      <c r="AS630">
        <f>X630</f>
        <v>0</v>
      </c>
    </row>
    <row r="631" spans="2:45" x14ac:dyDescent="0.35">
      <c r="B631" s="452">
        <v>706.7</v>
      </c>
      <c r="C631" s="53"/>
      <c r="D631" s="13"/>
      <c r="E631" s="13"/>
      <c r="F631" s="13"/>
      <c r="G631" s="13"/>
      <c r="H631" s="550"/>
      <c r="I631" s="4"/>
      <c r="J631" s="104"/>
      <c r="K631" s="104"/>
      <c r="L631" s="706" t="s">
        <v>1293</v>
      </c>
      <c r="M631" s="43"/>
      <c r="N631" s="4"/>
      <c r="O631" s="85"/>
      <c r="X631" s="688"/>
    </row>
    <row r="632" spans="2:45" ht="15" thickBot="1" x14ac:dyDescent="0.4">
      <c r="B632" s="452">
        <v>706.7</v>
      </c>
      <c r="C632" s="53"/>
      <c r="D632" s="13"/>
      <c r="E632" s="13"/>
      <c r="F632" s="13"/>
      <c r="G632" s="13"/>
      <c r="H632" s="550"/>
      <c r="I632" s="183"/>
      <c r="J632" s="223"/>
      <c r="K632" s="223"/>
      <c r="L632" s="710"/>
      <c r="M632" s="270"/>
      <c r="N632" s="183"/>
      <c r="O632" s="184"/>
      <c r="P632" s="58"/>
      <c r="Q632" s="58"/>
      <c r="R632" s="58"/>
      <c r="S632" s="58"/>
      <c r="T632" s="58"/>
      <c r="U632" s="58"/>
      <c r="V632" s="58"/>
      <c r="W632" s="58"/>
      <c r="X632" s="689"/>
    </row>
    <row r="633" spans="2:45" ht="15" thickTop="1" x14ac:dyDescent="0.35">
      <c r="B633" s="452">
        <v>706.8</v>
      </c>
      <c r="C633" s="53"/>
      <c r="D633" s="13"/>
      <c r="E633" s="13"/>
      <c r="F633" s="13"/>
      <c r="G633" s="13"/>
      <c r="H633" s="550"/>
      <c r="I633" s="123">
        <v>706.8</v>
      </c>
      <c r="J633" s="349"/>
      <c r="K633" s="349"/>
      <c r="L633" s="711" t="s">
        <v>1294</v>
      </c>
      <c r="M633" s="692">
        <v>2</v>
      </c>
      <c r="N633" s="124"/>
      <c r="O633" s="694">
        <f>M633*S633*W633</f>
        <v>0</v>
      </c>
      <c r="P633" t="b">
        <v>1</v>
      </c>
      <c r="Q633" t="b">
        <v>1</v>
      </c>
      <c r="R633" s="62" t="b">
        <v>0</v>
      </c>
      <c r="S633" s="62" t="b">
        <v>1</v>
      </c>
      <c r="T633" s="62" t="b">
        <v>0</v>
      </c>
      <c r="U633" s="62"/>
      <c r="V633" s="62"/>
      <c r="W633" s="278"/>
      <c r="X633" s="687"/>
      <c r="AC633" t="b">
        <f>OR(AD633:AE633)</f>
        <v>0</v>
      </c>
      <c r="AD633" t="b">
        <f>T633</f>
        <v>0</v>
      </c>
      <c r="AE633" t="b">
        <f>AND(R633,NOT(W633))</f>
        <v>0</v>
      </c>
      <c r="AL633" t="str">
        <f>SUBSTITUTE(SUBSTITUTE(SUBSTITUTE("dpa"&amp;$B633&amp;$C633&amp;$D633&amp;$E633&amp;$F633,".","_"),"(","_"),")","")</f>
        <v>dpa706_8</v>
      </c>
      <c r="AM633">
        <f>M633</f>
        <v>2</v>
      </c>
      <c r="AN633" t="str">
        <f>SUBSTITUTE(SUBSTITUTE(SUBSTITUTE("dpc"&amp;$B633&amp;$C633&amp;$D633&amp;$E633&amp;$F633,".","_"),"(","_"),")","")</f>
        <v>dpc706_8</v>
      </c>
      <c r="AO633">
        <f>O633</f>
        <v>0</v>
      </c>
      <c r="AP633" t="str">
        <f>SUBSTITUTE(SUBSTITUTE(SUBSTITUTE("dch"&amp;$B633&amp;$C633&amp;$D633&amp;$E633&amp;$F633,".","_"),"(","_"),")","")</f>
        <v>dch706_8</v>
      </c>
      <c r="AQ633">
        <f>W633</f>
        <v>0</v>
      </c>
      <c r="AR633" t="str">
        <f>SUBSTITUTE(SUBSTITUTE(SUBSTITUTE("dnt"&amp;$B633&amp;$C633&amp;$D633&amp;$E633&amp;$F633,".","_"),"(","_"),")","")</f>
        <v>dnt706_8</v>
      </c>
      <c r="AS633">
        <f>X633</f>
        <v>0</v>
      </c>
    </row>
    <row r="634" spans="2:45" x14ac:dyDescent="0.35">
      <c r="B634" s="452">
        <v>706.8</v>
      </c>
      <c r="C634" s="53"/>
      <c r="D634" s="13"/>
      <c r="E634" s="13"/>
      <c r="F634" s="13"/>
      <c r="G634" s="13"/>
      <c r="H634" s="550"/>
      <c r="I634" s="4"/>
      <c r="J634" s="104"/>
      <c r="K634" s="104"/>
      <c r="L634" s="706"/>
      <c r="M634" s="690"/>
      <c r="N634" s="4"/>
      <c r="O634" s="696"/>
      <c r="X634" s="688"/>
    </row>
    <row r="635" spans="2:45" ht="15" thickBot="1" x14ac:dyDescent="0.4">
      <c r="B635" s="452">
        <v>706.8</v>
      </c>
      <c r="C635" s="53"/>
      <c r="D635" s="13"/>
      <c r="E635" s="13"/>
      <c r="F635" s="13"/>
      <c r="G635" s="13"/>
      <c r="H635" s="550"/>
      <c r="I635" s="183"/>
      <c r="J635" s="223"/>
      <c r="K635" s="223"/>
      <c r="L635" s="710"/>
      <c r="M635" s="693"/>
      <c r="N635" s="183"/>
      <c r="O635" s="695"/>
      <c r="P635" s="58"/>
      <c r="Q635" s="58"/>
      <c r="R635" s="58"/>
      <c r="S635" s="58"/>
      <c r="T635" s="58"/>
      <c r="U635" s="58"/>
      <c r="V635" s="58"/>
      <c r="W635" s="58"/>
      <c r="X635" s="689"/>
    </row>
    <row r="636" spans="2:45" ht="15" thickTop="1" x14ac:dyDescent="0.35">
      <c r="B636" s="452">
        <v>706.9</v>
      </c>
      <c r="C636" s="53"/>
      <c r="D636" s="13"/>
      <c r="E636" s="13"/>
      <c r="F636" s="13"/>
      <c r="G636" s="13"/>
      <c r="H636" s="550"/>
      <c r="I636" s="32">
        <v>706.9</v>
      </c>
      <c r="J636" s="104"/>
      <c r="K636" s="104"/>
      <c r="L636" s="706" t="s">
        <v>1295</v>
      </c>
      <c r="M636" s="690">
        <v>1</v>
      </c>
      <c r="N636" s="4"/>
      <c r="O636" s="696">
        <f>M636*S636*W636</f>
        <v>0</v>
      </c>
      <c r="P636" t="b">
        <v>0</v>
      </c>
      <c r="Q636" t="b">
        <v>1</v>
      </c>
      <c r="R636" t="b">
        <v>0</v>
      </c>
      <c r="S636" t="b">
        <f>IFERROR(NOT(OR(W600:W607,W629:W630)),TRUE)</f>
        <v>0</v>
      </c>
      <c r="T636" t="b">
        <f>AND(NOT(S636),W636=TRUE)</f>
        <v>0</v>
      </c>
      <c r="W636" s="77"/>
      <c r="X636" s="700"/>
      <c r="AC636" t="b">
        <f>OR(AD636:AE636)</f>
        <v>0</v>
      </c>
      <c r="AD636" t="b">
        <f>T636</f>
        <v>0</v>
      </c>
      <c r="AE636" t="b">
        <f>AND(R636,NOT(W636))</f>
        <v>0</v>
      </c>
      <c r="AL636" t="str">
        <f>SUBSTITUTE(SUBSTITUTE(SUBSTITUTE("dpa"&amp;$B636&amp;$C636&amp;$D636&amp;$E636&amp;$F636,".","_"),"(","_"),")","")</f>
        <v>dpa706_9</v>
      </c>
      <c r="AM636">
        <f>M636</f>
        <v>1</v>
      </c>
      <c r="AN636" t="str">
        <f>SUBSTITUTE(SUBSTITUTE(SUBSTITUTE("dpc"&amp;$B636&amp;$C636&amp;$D636&amp;$E636&amp;$F636,".","_"),"(","_"),")","")</f>
        <v>dpc706_9</v>
      </c>
      <c r="AO636">
        <f>O636</f>
        <v>0</v>
      </c>
      <c r="AP636" t="str">
        <f>SUBSTITUTE(SUBSTITUTE(SUBSTITUTE("dch"&amp;$B636&amp;$C636&amp;$D636&amp;$E636&amp;$F636,".","_"),"(","_"),")","")</f>
        <v>dch706_9</v>
      </c>
      <c r="AQ636">
        <f>W636</f>
        <v>0</v>
      </c>
      <c r="AR636" t="str">
        <f>SUBSTITUTE(SUBSTITUTE(SUBSTITUTE("dnt"&amp;$B636&amp;$C636&amp;$D636&amp;$E636&amp;$F636,".","_"),"(","_"),")","")</f>
        <v>dnt706_9</v>
      </c>
      <c r="AS636">
        <f>X636</f>
        <v>0</v>
      </c>
    </row>
    <row r="637" spans="2:45" x14ac:dyDescent="0.35">
      <c r="B637" s="452">
        <v>706.9</v>
      </c>
      <c r="C637" s="53"/>
      <c r="D637" s="13"/>
      <c r="E637" s="13"/>
      <c r="F637" s="13"/>
      <c r="G637" s="13"/>
      <c r="H637" s="550"/>
      <c r="I637" s="4"/>
      <c r="J637" s="104"/>
      <c r="K637" s="104"/>
      <c r="L637" s="706"/>
      <c r="M637" s="690"/>
      <c r="N637" s="4"/>
      <c r="O637" s="696"/>
      <c r="X637" s="688"/>
    </row>
    <row r="638" spans="2:45" x14ac:dyDescent="0.35">
      <c r="B638" s="452">
        <v>706.9</v>
      </c>
      <c r="C638" s="53"/>
      <c r="D638" s="13"/>
      <c r="E638" s="13"/>
      <c r="F638" s="13"/>
      <c r="G638" s="13"/>
      <c r="H638" s="550"/>
      <c r="I638" s="4"/>
      <c r="J638" s="104"/>
      <c r="K638" s="104"/>
      <c r="L638" s="706"/>
      <c r="M638" s="690"/>
      <c r="N638" s="4"/>
      <c r="O638" s="696"/>
      <c r="X638" s="688"/>
    </row>
    <row r="639" spans="2:45" x14ac:dyDescent="0.35">
      <c r="B639" s="452">
        <v>706.9</v>
      </c>
      <c r="C639" s="53"/>
      <c r="D639" s="13"/>
      <c r="E639" s="13"/>
      <c r="F639" s="13"/>
      <c r="G639" s="13"/>
      <c r="H639" s="550"/>
      <c r="I639" s="4"/>
      <c r="J639" s="104"/>
      <c r="K639" s="104"/>
      <c r="L639" s="706" t="s">
        <v>1296</v>
      </c>
      <c r="M639" s="85"/>
      <c r="X639" s="688"/>
    </row>
    <row r="640" spans="2:45" ht="15" thickBot="1" x14ac:dyDescent="0.4">
      <c r="B640" s="452">
        <v>706.9</v>
      </c>
      <c r="C640" s="53"/>
      <c r="D640" s="13"/>
      <c r="E640" s="13"/>
      <c r="F640" s="13"/>
      <c r="G640" s="13"/>
      <c r="H640" s="550"/>
      <c r="I640" s="4"/>
      <c r="J640" s="104"/>
      <c r="K640" s="104"/>
      <c r="L640" s="706"/>
      <c r="M640" s="85"/>
      <c r="X640" s="688"/>
    </row>
    <row r="641" spans="9:24" ht="15.5" thickTop="1" thickBot="1" x14ac:dyDescent="0.4">
      <c r="I641" s="142" t="s">
        <v>3869</v>
      </c>
      <c r="J641" s="143"/>
      <c r="K641" s="143"/>
      <c r="L641" s="143"/>
      <c r="M641" s="144"/>
      <c r="N641" s="143"/>
      <c r="O641" s="145"/>
      <c r="P641" s="143"/>
      <c r="Q641" s="143"/>
      <c r="R641" s="143"/>
      <c r="S641" s="143"/>
      <c r="T641" s="143"/>
      <c r="U641" s="143"/>
      <c r="V641" s="143"/>
      <c r="W641" s="143"/>
      <c r="X641" s="206" t="s">
        <v>3870</v>
      </c>
    </row>
    <row r="642" spans="9:24" ht="15" thickTop="1" x14ac:dyDescent="0.35"/>
  </sheetData>
  <sheetProtection algorithmName="SHA-512" hashValue="aXXDhp0Sy+5mdd6LckGsPg9xbASp8AzpVn/vZOVhODTKFQaqdZnPPGcWI5cyo6m1nXqvbxXliPxaMw0ifpneWg==" saltValue="7WUKWAOSjlRpUgrWMW3QuQ==" spinCount="100000" sheet="1" objects="1" scenarios="1" selectLockedCells="1" autoFilter="0"/>
  <dataConsolidate/>
  <mergeCells count="418">
    <mergeCell ref="W194:W195"/>
    <mergeCell ref="H1:H7"/>
    <mergeCell ref="X625:X626"/>
    <mergeCell ref="X630:X632"/>
    <mergeCell ref="X633:X635"/>
    <mergeCell ref="X636:X640"/>
    <mergeCell ref="X373:X374"/>
    <mergeCell ref="X567:X570"/>
    <mergeCell ref="X577:X578"/>
    <mergeCell ref="X582:X584"/>
    <mergeCell ref="X585:X591"/>
    <mergeCell ref="X592:X599"/>
    <mergeCell ref="X610:X611"/>
    <mergeCell ref="X612:X613"/>
    <mergeCell ref="X614:X615"/>
    <mergeCell ref="X616:X624"/>
    <mergeCell ref="X494:X495"/>
    <mergeCell ref="X496:X498"/>
    <mergeCell ref="X500:X502"/>
    <mergeCell ref="X504:X508"/>
    <mergeCell ref="X509:X510"/>
    <mergeCell ref="X518:X523"/>
    <mergeCell ref="X545:X550"/>
    <mergeCell ref="X560:X561"/>
    <mergeCell ref="X563:X564"/>
    <mergeCell ref="X457:X464"/>
    <mergeCell ref="X470:X473"/>
    <mergeCell ref="X474:X475"/>
    <mergeCell ref="X477:X480"/>
    <mergeCell ref="X481:X485"/>
    <mergeCell ref="X531:X533"/>
    <mergeCell ref="O481:O483"/>
    <mergeCell ref="O486:O488"/>
    <mergeCell ref="X486:X490"/>
    <mergeCell ref="X491:X493"/>
    <mergeCell ref="X422:X423"/>
    <mergeCell ref="X427:X428"/>
    <mergeCell ref="X429:X430"/>
    <mergeCell ref="X431:X432"/>
    <mergeCell ref="X436:X437"/>
    <mergeCell ref="X440:X442"/>
    <mergeCell ref="X443:X450"/>
    <mergeCell ref="X451:X453"/>
    <mergeCell ref="X454:X455"/>
    <mergeCell ref="X386:X387"/>
    <mergeCell ref="X389:X390"/>
    <mergeCell ref="X392:X393"/>
    <mergeCell ref="X394:X396"/>
    <mergeCell ref="X399:X403"/>
    <mergeCell ref="X404:X405"/>
    <mergeCell ref="X412:X413"/>
    <mergeCell ref="X416:X417"/>
    <mergeCell ref="X418:X420"/>
    <mergeCell ref="X350:X351"/>
    <mergeCell ref="X353:X360"/>
    <mergeCell ref="X364:X365"/>
    <mergeCell ref="X366:X367"/>
    <mergeCell ref="X368:X369"/>
    <mergeCell ref="X378:X379"/>
    <mergeCell ref="X380:X381"/>
    <mergeCell ref="X382:X383"/>
    <mergeCell ref="X384:X385"/>
    <mergeCell ref="X297:X303"/>
    <mergeCell ref="X304:X308"/>
    <mergeCell ref="X310:X311"/>
    <mergeCell ref="X312:X313"/>
    <mergeCell ref="X316:X317"/>
    <mergeCell ref="X318:X319"/>
    <mergeCell ref="X320:X328"/>
    <mergeCell ref="X330:X347"/>
    <mergeCell ref="X348:X349"/>
    <mergeCell ref="X249:X254"/>
    <mergeCell ref="X255:X257"/>
    <mergeCell ref="X258:X262"/>
    <mergeCell ref="X263:X265"/>
    <mergeCell ref="X269:X273"/>
    <mergeCell ref="X279:X283"/>
    <mergeCell ref="X284:X285"/>
    <mergeCell ref="X287:X290"/>
    <mergeCell ref="X291:X296"/>
    <mergeCell ref="X194:X196"/>
    <mergeCell ref="X198:X204"/>
    <mergeCell ref="X205:X212"/>
    <mergeCell ref="X213:X220"/>
    <mergeCell ref="X221:X228"/>
    <mergeCell ref="X230:X235"/>
    <mergeCell ref="X236:X242"/>
    <mergeCell ref="X243:X247"/>
    <mergeCell ref="X156:X157"/>
    <mergeCell ref="X173:X175"/>
    <mergeCell ref="X176:X180"/>
    <mergeCell ref="X182:X188"/>
    <mergeCell ref="X189:X190"/>
    <mergeCell ref="X191:X193"/>
    <mergeCell ref="M133:M134"/>
    <mergeCell ref="M127:M132"/>
    <mergeCell ref="M72:M74"/>
    <mergeCell ref="X108:X109"/>
    <mergeCell ref="X112:X114"/>
    <mergeCell ref="X115:X117"/>
    <mergeCell ref="X118:X120"/>
    <mergeCell ref="X121:X126"/>
    <mergeCell ref="X127:X132"/>
    <mergeCell ref="X96:X97"/>
    <mergeCell ref="X99:X102"/>
    <mergeCell ref="X103:X104"/>
    <mergeCell ref="X105:X107"/>
    <mergeCell ref="M75:M90"/>
    <mergeCell ref="X147:X152"/>
    <mergeCell ref="X153:X155"/>
    <mergeCell ref="X160:X172"/>
    <mergeCell ref="X40:X42"/>
    <mergeCell ref="X43:X47"/>
    <mergeCell ref="X49:X51"/>
    <mergeCell ref="X53:X54"/>
    <mergeCell ref="X56:X59"/>
    <mergeCell ref="X91:X93"/>
    <mergeCell ref="X81:X82"/>
    <mergeCell ref="X84:X85"/>
    <mergeCell ref="X89:X90"/>
    <mergeCell ref="X135:X136"/>
    <mergeCell ref="X143:X146"/>
    <mergeCell ref="X75:X77"/>
    <mergeCell ref="X78:X79"/>
    <mergeCell ref="L582:L584"/>
    <mergeCell ref="L588:L589"/>
    <mergeCell ref="L585:L587"/>
    <mergeCell ref="L580:L581"/>
    <mergeCell ref="L592:L593"/>
    <mergeCell ref="L596:L597"/>
    <mergeCell ref="L598:L599"/>
    <mergeCell ref="L577:L578"/>
    <mergeCell ref="M633:M635"/>
    <mergeCell ref="M582:M584"/>
    <mergeCell ref="M636:M638"/>
    <mergeCell ref="O625:O626"/>
    <mergeCell ref="O633:O635"/>
    <mergeCell ref="O636:O638"/>
    <mergeCell ref="M572:M573"/>
    <mergeCell ref="M577:M578"/>
    <mergeCell ref="O572:O573"/>
    <mergeCell ref="M588:M589"/>
    <mergeCell ref="M590:M591"/>
    <mergeCell ref="O585:O587"/>
    <mergeCell ref="O592:O593"/>
    <mergeCell ref="M610:M611"/>
    <mergeCell ref="M612:M613"/>
    <mergeCell ref="M614:M615"/>
    <mergeCell ref="O614:O615"/>
    <mergeCell ref="O612:O613"/>
    <mergeCell ref="O610:O611"/>
    <mergeCell ref="O616:O619"/>
    <mergeCell ref="M625:M626"/>
    <mergeCell ref="O582:O584"/>
    <mergeCell ref="L348:L349"/>
    <mergeCell ref="L362:L363"/>
    <mergeCell ref="L380:L381"/>
    <mergeCell ref="L382:L383"/>
    <mergeCell ref="L384:L385"/>
    <mergeCell ref="L353:L355"/>
    <mergeCell ref="L364:L365"/>
    <mergeCell ref="L366:L367"/>
    <mergeCell ref="L287:L289"/>
    <mergeCell ref="L291:L293"/>
    <mergeCell ref="L299:L302"/>
    <mergeCell ref="L304:L305"/>
    <mergeCell ref="L368:L369"/>
    <mergeCell ref="L307:L308"/>
    <mergeCell ref="L320:L324"/>
    <mergeCell ref="L336:L337"/>
    <mergeCell ref="L378:L379"/>
    <mergeCell ref="L427:L428"/>
    <mergeCell ref="L399:L403"/>
    <mergeCell ref="L163:L168"/>
    <mergeCell ref="L230:L237"/>
    <mergeCell ref="L243:L247"/>
    <mergeCell ref="L266:L268"/>
    <mergeCell ref="L276:L278"/>
    <mergeCell ref="L565:L566"/>
    <mergeCell ref="L496:L498"/>
    <mergeCell ref="L457:L460"/>
    <mergeCell ref="L549:L550"/>
    <mergeCell ref="L551:L552"/>
    <mergeCell ref="L433:L434"/>
    <mergeCell ref="L436:L437"/>
    <mergeCell ref="L560:L561"/>
    <mergeCell ref="L451:L453"/>
    <mergeCell ref="L454:L455"/>
    <mergeCell ref="L540:L541"/>
    <mergeCell ref="L443:L444"/>
    <mergeCell ref="L543:L544"/>
    <mergeCell ref="L528:L529"/>
    <mergeCell ref="L525:L527"/>
    <mergeCell ref="L535:L536"/>
    <mergeCell ref="L477:L478"/>
    <mergeCell ref="L500:L502"/>
    <mergeCell ref="L509:L510"/>
    <mergeCell ref="L518:L523"/>
    <mergeCell ref="L481:L483"/>
    <mergeCell ref="L449:L450"/>
    <mergeCell ref="L470:L471"/>
    <mergeCell ref="L474:L475"/>
    <mergeCell ref="L639:L640"/>
    <mergeCell ref="L238:L239"/>
    <mergeCell ref="L625:L626"/>
    <mergeCell ref="L627:L628"/>
    <mergeCell ref="L631:L632"/>
    <mergeCell ref="L633:L635"/>
    <mergeCell ref="L614:L615"/>
    <mergeCell ref="L616:L619"/>
    <mergeCell ref="L620:L622"/>
    <mergeCell ref="L623:L624"/>
    <mergeCell ref="L590:L591"/>
    <mergeCell ref="L610:L611"/>
    <mergeCell ref="L612:L613"/>
    <mergeCell ref="L567:L570"/>
    <mergeCell ref="L572:L573"/>
    <mergeCell ref="L461:L463"/>
    <mergeCell ref="L563:L564"/>
    <mergeCell ref="L468:L469"/>
    <mergeCell ref="L537:L539"/>
    <mergeCell ref="L438:L439"/>
    <mergeCell ref="L440:L442"/>
    <mergeCell ref="L429:L430"/>
    <mergeCell ref="L431:L432"/>
    <mergeCell ref="L410:L411"/>
    <mergeCell ref="I1:L1"/>
    <mergeCell ref="M1:W5"/>
    <mergeCell ref="I2:L2"/>
    <mergeCell ref="I3:L3"/>
    <mergeCell ref="U6:U7"/>
    <mergeCell ref="V6:V7"/>
    <mergeCell ref="W6:W7"/>
    <mergeCell ref="L33:L34"/>
    <mergeCell ref="M33:M34"/>
    <mergeCell ref="O25:O32"/>
    <mergeCell ref="L10:L13"/>
    <mergeCell ref="L17:L18"/>
    <mergeCell ref="L22:L24"/>
    <mergeCell ref="L25:L32"/>
    <mergeCell ref="L19:L21"/>
    <mergeCell ref="M17:M24"/>
    <mergeCell ref="I6:K7"/>
    <mergeCell ref="I5:L5"/>
    <mergeCell ref="M6:M7"/>
    <mergeCell ref="N6:N7"/>
    <mergeCell ref="P6:P7"/>
    <mergeCell ref="L112:L114"/>
    <mergeCell ref="L115:L117"/>
    <mergeCell ref="L91:L92"/>
    <mergeCell ref="M56:M59"/>
    <mergeCell ref="L6:L7"/>
    <mergeCell ref="M43:M47"/>
    <mergeCell ref="M49:M51"/>
    <mergeCell ref="L14:L16"/>
    <mergeCell ref="L133:L134"/>
    <mergeCell ref="M53:M54"/>
    <mergeCell ref="L108:L109"/>
    <mergeCell ref="L118:L120"/>
    <mergeCell ref="L127:L132"/>
    <mergeCell ref="L636:L638"/>
    <mergeCell ref="X4:X5"/>
    <mergeCell ref="Q6:Q7"/>
    <mergeCell ref="X6:X7"/>
    <mergeCell ref="R6:R7"/>
    <mergeCell ref="S6:S7"/>
    <mergeCell ref="T6:T7"/>
    <mergeCell ref="L176:L180"/>
    <mergeCell ref="M176:M180"/>
    <mergeCell ref="L182:L187"/>
    <mergeCell ref="M182:M187"/>
    <mergeCell ref="L198:L203"/>
    <mergeCell ref="M198:M203"/>
    <mergeCell ref="L205:L212"/>
    <mergeCell ref="L213:L217"/>
    <mergeCell ref="L173:L174"/>
    <mergeCell ref="M173:M174"/>
    <mergeCell ref="L81:L82"/>
    <mergeCell ref="I4:L4"/>
    <mergeCell ref="L392:L393"/>
    <mergeCell ref="L394:L395"/>
    <mergeCell ref="M616:M619"/>
    <mergeCell ref="W147:W148"/>
    <mergeCell ref="W459:W460"/>
    <mergeCell ref="O457:O464"/>
    <mergeCell ref="M474:M475"/>
    <mergeCell ref="M494:M495"/>
    <mergeCell ref="M496:M498"/>
    <mergeCell ref="O470:O471"/>
    <mergeCell ref="O474:O475"/>
    <mergeCell ref="O477:O478"/>
    <mergeCell ref="O491:O492"/>
    <mergeCell ref="O494:O495"/>
    <mergeCell ref="O496:O498"/>
    <mergeCell ref="M491:M492"/>
    <mergeCell ref="M376:M377"/>
    <mergeCell ref="O404:O405"/>
    <mergeCell ref="O406:O407"/>
    <mergeCell ref="O182:O187"/>
    <mergeCell ref="M433:M434"/>
    <mergeCell ref="M404:M405"/>
    <mergeCell ref="O284:O285"/>
    <mergeCell ref="M213:M217"/>
    <mergeCell ref="L121:L126"/>
    <mergeCell ref="M121:M126"/>
    <mergeCell ref="L445:L446"/>
    <mergeCell ref="L447:L448"/>
    <mergeCell ref="L486:L488"/>
    <mergeCell ref="L491:L492"/>
    <mergeCell ref="L494:L495"/>
    <mergeCell ref="L504:L508"/>
    <mergeCell ref="L404:L405"/>
    <mergeCell ref="L412:L413"/>
    <mergeCell ref="L140:L141"/>
    <mergeCell ref="L153:L155"/>
    <mergeCell ref="L156:L157"/>
    <mergeCell ref="L416:L417"/>
    <mergeCell ref="L418:L419"/>
    <mergeCell ref="L389:L390"/>
    <mergeCell ref="L422:L423"/>
    <mergeCell ref="L424:L426"/>
    <mergeCell ref="L284:L285"/>
    <mergeCell ref="L221:L228"/>
    <mergeCell ref="L316:L317"/>
    <mergeCell ref="L406:L407"/>
    <mergeCell ref="L376:L377"/>
    <mergeCell ref="L386:L387"/>
    <mergeCell ref="X17:X18"/>
    <mergeCell ref="X19:X21"/>
    <mergeCell ref="X22:X24"/>
    <mergeCell ref="X25:X32"/>
    <mergeCell ref="X35:X37"/>
    <mergeCell ref="L35:L36"/>
    <mergeCell ref="L89:L90"/>
    <mergeCell ref="L147:L151"/>
    <mergeCell ref="L49:L51"/>
    <mergeCell ref="L43:L47"/>
    <mergeCell ref="L56:L59"/>
    <mergeCell ref="L53:L54"/>
    <mergeCell ref="L75:L79"/>
    <mergeCell ref="L72:L74"/>
    <mergeCell ref="L84:L85"/>
    <mergeCell ref="L135:L136"/>
    <mergeCell ref="M40:M42"/>
    <mergeCell ref="L40:L42"/>
    <mergeCell ref="L103:L104"/>
    <mergeCell ref="L105:L107"/>
    <mergeCell ref="L99:L102"/>
    <mergeCell ref="L143:L146"/>
    <mergeCell ref="L96:L97"/>
    <mergeCell ref="M143:M146"/>
    <mergeCell ref="M243:M247"/>
    <mergeCell ref="O213:O217"/>
    <mergeCell ref="O243:O247"/>
    <mergeCell ref="M284:M285"/>
    <mergeCell ref="M304:M305"/>
    <mergeCell ref="M287:M290"/>
    <mergeCell ref="O287:O290"/>
    <mergeCell ref="O291:O293"/>
    <mergeCell ref="O189:O190"/>
    <mergeCell ref="M147:M151"/>
    <mergeCell ref="O191:O193"/>
    <mergeCell ref="O194:O196"/>
    <mergeCell ref="L191:L193"/>
    <mergeCell ref="L194:L196"/>
    <mergeCell ref="O147:O151"/>
    <mergeCell ref="M160:M161"/>
    <mergeCell ref="L169:L172"/>
    <mergeCell ref="L189:L190"/>
    <mergeCell ref="M189:M190"/>
    <mergeCell ref="M191:M193"/>
    <mergeCell ref="M194:M196"/>
    <mergeCell ref="L160:L161"/>
    <mergeCell ref="O336:O337"/>
    <mergeCell ref="M567:M570"/>
    <mergeCell ref="O500:O502"/>
    <mergeCell ref="O504:O508"/>
    <mergeCell ref="O509:O510"/>
    <mergeCell ref="O518:O523"/>
    <mergeCell ref="M549:M550"/>
    <mergeCell ref="M551:M552"/>
    <mergeCell ref="O551:O552"/>
    <mergeCell ref="O563:O564"/>
    <mergeCell ref="O565:O566"/>
    <mergeCell ref="O567:O570"/>
    <mergeCell ref="M500:M502"/>
    <mergeCell ref="O545:O547"/>
    <mergeCell ref="M537:M539"/>
    <mergeCell ref="O537:O539"/>
    <mergeCell ref="M504:M508"/>
    <mergeCell ref="M509:M510"/>
    <mergeCell ref="M518:M523"/>
    <mergeCell ref="M531:M533"/>
    <mergeCell ref="O531:O533"/>
    <mergeCell ref="X14:X16"/>
    <mergeCell ref="X565:X566"/>
    <mergeCell ref="O376:O377"/>
    <mergeCell ref="W518:W523"/>
    <mergeCell ref="X534:X536"/>
    <mergeCell ref="M563:M564"/>
    <mergeCell ref="M565:M566"/>
    <mergeCell ref="X537:X544"/>
    <mergeCell ref="O304:O305"/>
    <mergeCell ref="O433:O434"/>
    <mergeCell ref="M364:M365"/>
    <mergeCell ref="M366:M367"/>
    <mergeCell ref="M368:M369"/>
    <mergeCell ref="O364:O365"/>
    <mergeCell ref="O366:O367"/>
    <mergeCell ref="O368:O369"/>
    <mergeCell ref="M310:M311"/>
    <mergeCell ref="M312:M313"/>
    <mergeCell ref="O320:O324"/>
    <mergeCell ref="O312:O313"/>
    <mergeCell ref="O310:O311"/>
    <mergeCell ref="O353:O355"/>
    <mergeCell ref="M348:M349"/>
    <mergeCell ref="O348:O349"/>
  </mergeCells>
  <conditionalFormatting sqref="X2">
    <cfRule type="expression" dxfId="3503" priority="613">
      <formula>$AG$3</formula>
    </cfRule>
  </conditionalFormatting>
  <conditionalFormatting sqref="X3">
    <cfRule type="expression" dxfId="3502" priority="614">
      <formula>$AI$3</formula>
    </cfRule>
  </conditionalFormatting>
  <conditionalFormatting sqref="W12">
    <cfRule type="expression" dxfId="3501" priority="604">
      <formula>OR($T$12 = TRUE, AND(LEN(TRIM($W$12))&gt;0, $S$12 = FALSE))</formula>
    </cfRule>
    <cfRule type="expression" dxfId="3500" priority="605">
      <formula>$S$12 = FALSE</formula>
    </cfRule>
    <cfRule type="expression" dxfId="3499" priority="606">
      <formula>AND(IF($R$12,$W$12,TRUE),LEN(TRIM($W$12))&gt;0)</formula>
    </cfRule>
    <cfRule type="expression" dxfId="3498" priority="607">
      <formula>AND($R$12,$S$12)</formula>
    </cfRule>
  </conditionalFormatting>
  <conditionalFormatting sqref="W26">
    <cfRule type="expression" dxfId="3497" priority="599">
      <formula>OR($T$26 = TRUE, AND(LEN(TRIM($W$26))&gt;0, $S$26 = FALSE))</formula>
    </cfRule>
    <cfRule type="expression" dxfId="3496" priority="600">
      <formula>$S$26 = FALSE</formula>
    </cfRule>
    <cfRule type="expression" dxfId="3495" priority="601">
      <formula>AND(IF($R$26,$W$26,TRUE),LEN(TRIM($W$26))&gt;0)</formula>
    </cfRule>
    <cfRule type="expression" dxfId="3494" priority="602">
      <formula>AND($R$26,$S$26)</formula>
    </cfRule>
  </conditionalFormatting>
  <conditionalFormatting sqref="M17">
    <cfRule type="expression" dxfId="3493" priority="3035">
      <formula>NOT(AE17)</formula>
    </cfRule>
  </conditionalFormatting>
  <conditionalFormatting sqref="M33">
    <cfRule type="expression" dxfId="3492" priority="3038">
      <formula>S13=1</formula>
    </cfRule>
  </conditionalFormatting>
  <conditionalFormatting sqref="W35">
    <cfRule type="expression" dxfId="3491" priority="590">
      <formula>OR($T$35 = TRUE, AND($W$35 = TRUE, $S$35 = FALSE))</formula>
    </cfRule>
    <cfRule type="expression" dxfId="3490" priority="591">
      <formula>$S$35 = FALSE</formula>
    </cfRule>
    <cfRule type="expression" dxfId="3489" priority="592">
      <formula>AND(IF($R$35,$W$35,TRUE),LEN(TRIM($W$35))&gt;0)</formula>
    </cfRule>
    <cfRule type="expression" dxfId="3488" priority="593">
      <formula>AND($R$35,$S$35)</formula>
    </cfRule>
  </conditionalFormatting>
  <conditionalFormatting sqref="X35:X37">
    <cfRule type="expression" dxfId="3487" priority="589">
      <formula>W35</formula>
    </cfRule>
  </conditionalFormatting>
  <conditionalFormatting sqref="W40">
    <cfRule type="expression" dxfId="3486" priority="585">
      <formula>OR($T$40 = TRUE, AND($W$40 = TRUE, $S$40 = FALSE))</formula>
    </cfRule>
    <cfRule type="expression" dxfId="3485" priority="586">
      <formula>$S$40 = FALSE</formula>
    </cfRule>
    <cfRule type="expression" dxfId="3484" priority="587">
      <formula>AND(IF($R$40,$W$40,TRUE),LEN(TRIM($W$40))&gt;0)</formula>
    </cfRule>
    <cfRule type="expression" dxfId="3483" priority="588">
      <formula>AND($R$40,$S$40)</formula>
    </cfRule>
  </conditionalFormatting>
  <conditionalFormatting sqref="W43">
    <cfRule type="expression" dxfId="3482" priority="581">
      <formula>OR($T$43 = TRUE, AND(LEN(TRIM($W$43))&gt;0, $S$43 = FALSE))</formula>
    </cfRule>
    <cfRule type="expression" dxfId="3481" priority="582">
      <formula>$S$43 = FALSE</formula>
    </cfRule>
    <cfRule type="expression" dxfId="3480" priority="583">
      <formula>AND($W$43&lt;&gt;"Not Met",LEN(TRIM($W$43))&gt;0)</formula>
    </cfRule>
    <cfRule type="expression" dxfId="3479" priority="584">
      <formula>AND($R$43,$S$43)</formula>
    </cfRule>
  </conditionalFormatting>
  <conditionalFormatting sqref="W57">
    <cfRule type="expression" dxfId="3478" priority="577">
      <formula>OR($T$57 = TRUE, AND($W$57 = TRUE, $S$57 = FALSE))</formula>
    </cfRule>
    <cfRule type="expression" dxfId="3477" priority="578">
      <formula>$S$57 = FALSE</formula>
    </cfRule>
    <cfRule type="expression" dxfId="3476" priority="579">
      <formula>AND(IF($R$57,$W$57,TRUE),LEN(TRIM($W$57))&gt;0)</formula>
    </cfRule>
    <cfRule type="expression" dxfId="3475" priority="580">
      <formula>AND($R$57,$S$57)</formula>
    </cfRule>
  </conditionalFormatting>
  <conditionalFormatting sqref="W59">
    <cfRule type="expression" dxfId="3474" priority="573">
      <formula>OR($T$59 = TRUE, AND($W$59 = TRUE, $S$59 = FALSE))</formula>
    </cfRule>
    <cfRule type="expression" dxfId="3473" priority="574">
      <formula>$S$59 = FALSE</formula>
    </cfRule>
    <cfRule type="expression" dxfId="3472" priority="575">
      <formula>AND(IF($R$59,$W$59,TRUE),LEN(TRIM($W$59))&gt;0)</formula>
    </cfRule>
    <cfRule type="expression" dxfId="3471" priority="576">
      <formula>AND($R$59,$S$59)</formula>
    </cfRule>
  </conditionalFormatting>
  <conditionalFormatting sqref="W121">
    <cfRule type="expression" dxfId="3470" priority="569">
      <formula>OR($T$121 = TRUE, AND($W$121 = TRUE, $S$121 = FALSE))</formula>
    </cfRule>
    <cfRule type="expression" dxfId="3469" priority="570">
      <formula>$S$121 = FALSE</formula>
    </cfRule>
    <cfRule type="expression" dxfId="3468" priority="571">
      <formula>AND(IF($R$121,$W$121,TRUE),LEN(TRIM($W$121))&gt;0)</formula>
    </cfRule>
    <cfRule type="expression" dxfId="3467" priority="572">
      <formula>AND($R$121,$S$121)</formula>
    </cfRule>
  </conditionalFormatting>
  <conditionalFormatting sqref="W135">
    <cfRule type="expression" dxfId="3466" priority="565">
      <formula>OR($T$135 = TRUE, AND($W$135 = TRUE, $S$135 = FALSE))</formula>
    </cfRule>
    <cfRule type="expression" dxfId="3465" priority="566">
      <formula>$S$135 = FALSE</formula>
    </cfRule>
    <cfRule type="expression" dxfId="3464" priority="567">
      <formula>AND(IF($R$135,$W$135,TRUE),LEN(TRIM($W$135))&gt;0)</formula>
    </cfRule>
    <cfRule type="expression" dxfId="3463" priority="568">
      <formula>AND($R$135,$S$135)</formula>
    </cfRule>
  </conditionalFormatting>
  <conditionalFormatting sqref="W137">
    <cfRule type="expression" dxfId="3462" priority="561">
      <formula>OR($T$137 = TRUE, AND($W$137 = TRUE, $S$137 = FALSE))</formula>
    </cfRule>
    <cfRule type="expression" dxfId="3461" priority="562">
      <formula>$S$137 = FALSE</formula>
    </cfRule>
    <cfRule type="expression" dxfId="3460" priority="563">
      <formula>AND(IF($R$137,$W$137,TRUE),LEN(TRIM($W$137))&gt;0)</formula>
    </cfRule>
    <cfRule type="expression" dxfId="3459" priority="564">
      <formula>AND($R$137,$S$137)</formula>
    </cfRule>
  </conditionalFormatting>
  <conditionalFormatting sqref="W143">
    <cfRule type="expression" dxfId="3458" priority="556">
      <formula>AND($R$143,$S$143)</formula>
    </cfRule>
  </conditionalFormatting>
  <conditionalFormatting sqref="W143">
    <cfRule type="expression" dxfId="3457" priority="555">
      <formula>AND(IF($R$143,$W$143,TRUE),LEN(TRIM($W$143))&gt;0)</formula>
    </cfRule>
  </conditionalFormatting>
  <conditionalFormatting sqref="W143">
    <cfRule type="expression" dxfId="3456" priority="554">
      <formula>$S$143 = FALSE</formula>
    </cfRule>
  </conditionalFormatting>
  <conditionalFormatting sqref="W143">
    <cfRule type="expression" dxfId="3455" priority="553">
      <formula>OR($T$143 = TRUE, AND($W$143 = TRUE, $S$143 = FALSE))</formula>
    </cfRule>
  </conditionalFormatting>
  <conditionalFormatting sqref="W149">
    <cfRule type="expression" dxfId="3454" priority="552">
      <formula>AND(R149,S149)</formula>
    </cfRule>
  </conditionalFormatting>
  <conditionalFormatting sqref="W149">
    <cfRule type="expression" dxfId="3453" priority="551">
      <formula>NOT(ISBLANK(W149))</formula>
    </cfRule>
  </conditionalFormatting>
  <conditionalFormatting sqref="W149">
    <cfRule type="expression" dxfId="3452" priority="550">
      <formula>S149 = FALSE</formula>
    </cfRule>
  </conditionalFormatting>
  <conditionalFormatting sqref="W149">
    <cfRule type="expression" dxfId="3451" priority="549">
      <formula>OR(T149 = TRUE, AND(W149 = TRUE, S149 = FALSE))</formula>
    </cfRule>
  </conditionalFormatting>
  <conditionalFormatting sqref="W49">
    <cfRule type="expression" dxfId="3450" priority="548">
      <formula>AND($R$49,$S$49)</formula>
    </cfRule>
  </conditionalFormatting>
  <conditionalFormatting sqref="W49">
    <cfRule type="expression" dxfId="3449" priority="547">
      <formula>AND(IF($R$49,$W$49,TRUE),LEN(TRIM($W$49))&gt;0)</formula>
    </cfRule>
  </conditionalFormatting>
  <conditionalFormatting sqref="W49">
    <cfRule type="expression" dxfId="3448" priority="546">
      <formula>$S$49 = FALSE</formula>
    </cfRule>
  </conditionalFormatting>
  <conditionalFormatting sqref="W49">
    <cfRule type="expression" dxfId="3447" priority="545">
      <formula>OR($T$49 = TRUE, AND($W$49 = TRUE, $S$49 = FALSE))</formula>
    </cfRule>
  </conditionalFormatting>
  <conditionalFormatting sqref="W52">
    <cfRule type="expression" dxfId="3446" priority="544">
      <formula>AND($R$52,$S$52)</formula>
    </cfRule>
  </conditionalFormatting>
  <conditionalFormatting sqref="W52">
    <cfRule type="expression" dxfId="3445" priority="543">
      <formula>AND(IF($R$52,$W$52,TRUE),LEN(TRIM($W$52))&gt;0)</formula>
    </cfRule>
  </conditionalFormatting>
  <conditionalFormatting sqref="W52">
    <cfRule type="expression" dxfId="3444" priority="542">
      <formula>$S$52 = FALSE</formula>
    </cfRule>
  </conditionalFormatting>
  <conditionalFormatting sqref="W52">
    <cfRule type="expression" dxfId="3443" priority="541">
      <formula>OR($T$52 = TRUE, AND($W$52 = TRUE, $S$52 = FALSE))</formula>
    </cfRule>
  </conditionalFormatting>
  <conditionalFormatting sqref="W53">
    <cfRule type="expression" dxfId="3442" priority="540">
      <formula>AND($R$53,$S$53)</formula>
    </cfRule>
  </conditionalFormatting>
  <conditionalFormatting sqref="W53">
    <cfRule type="expression" dxfId="3441" priority="539">
      <formula>AND(IF($R$53,$W$53,TRUE),LEN(TRIM($W$53))&gt;0)</formula>
    </cfRule>
  </conditionalFormatting>
  <conditionalFormatting sqref="W53">
    <cfRule type="expression" dxfId="3440" priority="538">
      <formula>$S$53 = FALSE</formula>
    </cfRule>
  </conditionalFormatting>
  <conditionalFormatting sqref="W53">
    <cfRule type="expression" dxfId="3439" priority="537">
      <formula>OR($T$53 = TRUE, AND($W$53 = TRUE, $S$53 = FALSE))</formula>
    </cfRule>
  </conditionalFormatting>
  <conditionalFormatting sqref="W91">
    <cfRule type="expression" dxfId="3438" priority="528">
      <formula>AND($R$91,$S$91)</formula>
    </cfRule>
  </conditionalFormatting>
  <conditionalFormatting sqref="W91">
    <cfRule type="expression" dxfId="3437" priority="527">
      <formula>AND(IF($R$91,$W$91,TRUE),LEN(TRIM($W$91))&gt;0)</formula>
    </cfRule>
  </conditionalFormatting>
  <conditionalFormatting sqref="W91">
    <cfRule type="expression" dxfId="3436" priority="526">
      <formula>$S$91 = FALSE</formula>
    </cfRule>
  </conditionalFormatting>
  <conditionalFormatting sqref="W91">
    <cfRule type="expression" dxfId="3435" priority="525">
      <formula>OR($T$91 = TRUE, AND($W$91 = TRUE, $S$91 = FALSE))</formula>
    </cfRule>
  </conditionalFormatting>
  <conditionalFormatting sqref="W94">
    <cfRule type="expression" dxfId="3434" priority="524">
      <formula>AND($R$94,$S$94)</formula>
    </cfRule>
  </conditionalFormatting>
  <conditionalFormatting sqref="W94">
    <cfRule type="expression" dxfId="3433" priority="523">
      <formula>AND(IF($R$94,$W$94,TRUE),LEN(TRIM($W$94))&gt;0)</formula>
    </cfRule>
  </conditionalFormatting>
  <conditionalFormatting sqref="W94">
    <cfRule type="expression" dxfId="3432" priority="522">
      <formula>$S$94 = FALSE</formula>
    </cfRule>
  </conditionalFormatting>
  <conditionalFormatting sqref="W94">
    <cfRule type="expression" dxfId="3431" priority="521">
      <formula>OR($T$94 = TRUE, AND($W$94 = TRUE, $S$94 = FALSE))</formula>
    </cfRule>
  </conditionalFormatting>
  <conditionalFormatting sqref="W127">
    <cfRule type="expression" dxfId="3430" priority="520">
      <formula>AND($R$127,$S$127)</formula>
    </cfRule>
  </conditionalFormatting>
  <conditionalFormatting sqref="W127">
    <cfRule type="expression" dxfId="3429" priority="519">
      <formula>AND($W$127&lt;&gt;"Not Met",LEN(TRIM($W$127))&gt;0)</formula>
    </cfRule>
  </conditionalFormatting>
  <conditionalFormatting sqref="W127">
    <cfRule type="expression" dxfId="3428" priority="518">
      <formula>$S$127 = FALSE</formula>
    </cfRule>
  </conditionalFormatting>
  <conditionalFormatting sqref="W127">
    <cfRule type="expression" dxfId="3427" priority="517">
      <formula>OR($T$127 = TRUE, AND(LEN(TRIM($W$127))&gt;0, $S$127 = FALSE))</formula>
    </cfRule>
  </conditionalFormatting>
  <conditionalFormatting sqref="W138">
    <cfRule type="expression" dxfId="3426" priority="516">
      <formula>AND($R$138,$S$138)</formula>
    </cfRule>
  </conditionalFormatting>
  <conditionalFormatting sqref="W138">
    <cfRule type="expression" dxfId="3425" priority="515">
      <formula>AND(IF($R$138,$W$138,TRUE),LEN(TRIM($W$138))&gt;0)</formula>
    </cfRule>
  </conditionalFormatting>
  <conditionalFormatting sqref="W138">
    <cfRule type="expression" dxfId="3424" priority="514">
      <formula>$S$138 = FALSE</formula>
    </cfRule>
  </conditionalFormatting>
  <conditionalFormatting sqref="W138">
    <cfRule type="expression" dxfId="3423" priority="513">
      <formula>OR($T$138 = TRUE, AND($W$138 = TRUE, $S$138 = FALSE))</formula>
    </cfRule>
  </conditionalFormatting>
  <conditionalFormatting sqref="W160">
    <cfRule type="expression" dxfId="3422" priority="512">
      <formula>AND($R$160,$S$160)</formula>
    </cfRule>
  </conditionalFormatting>
  <conditionalFormatting sqref="W160">
    <cfRule type="expression" dxfId="3421" priority="511">
      <formula>AND(IF($R$160,$W$160,TRUE),LEN(TRIM($W$160))&gt;0)</formula>
    </cfRule>
  </conditionalFormatting>
  <conditionalFormatting sqref="W160">
    <cfRule type="expression" dxfId="3420" priority="510">
      <formula>$S$160 = FALSE</formula>
    </cfRule>
  </conditionalFormatting>
  <conditionalFormatting sqref="W160">
    <cfRule type="expression" dxfId="3419" priority="509">
      <formula>OR($T$160 = TRUE, AND($W$160 = TRUE, $S$160 = FALSE))</formula>
    </cfRule>
  </conditionalFormatting>
  <conditionalFormatting sqref="W173">
    <cfRule type="expression" dxfId="3418" priority="508">
      <formula>AND($R$173,$S$173)</formula>
    </cfRule>
  </conditionalFormatting>
  <conditionalFormatting sqref="W173">
    <cfRule type="expression" dxfId="3417" priority="507">
      <formula>AND(IF($R$173,$W$173,TRUE),LEN(TRIM($W$173))&gt;0)</formula>
    </cfRule>
  </conditionalFormatting>
  <conditionalFormatting sqref="W173">
    <cfRule type="expression" dxfId="3416" priority="506">
      <formula>$S$173 = FALSE</formula>
    </cfRule>
  </conditionalFormatting>
  <conditionalFormatting sqref="W173">
    <cfRule type="expression" dxfId="3415" priority="505">
      <formula>OR($T$173 = TRUE, AND($W$173 = TRUE, $S$173 = FALSE))</formula>
    </cfRule>
  </conditionalFormatting>
  <conditionalFormatting sqref="W182">
    <cfRule type="expression" dxfId="3414" priority="500">
      <formula>AND($R$182,$S$182)</formula>
    </cfRule>
  </conditionalFormatting>
  <conditionalFormatting sqref="W182">
    <cfRule type="expression" dxfId="3413" priority="499">
      <formula>AND(IF($R$182,$W$182,TRUE),LEN(TRIM($W$182))&gt;0)</formula>
    </cfRule>
  </conditionalFormatting>
  <conditionalFormatting sqref="W182">
    <cfRule type="expression" dxfId="3412" priority="498">
      <formula>$S$182 = FALSE</formula>
    </cfRule>
  </conditionalFormatting>
  <conditionalFormatting sqref="W182">
    <cfRule type="expression" dxfId="3411" priority="497">
      <formula>OR($T$182 = TRUE, AND($W$182 = TRUE, $S$182 = FALSE))</formula>
    </cfRule>
  </conditionalFormatting>
  <conditionalFormatting sqref="W184">
    <cfRule type="expression" dxfId="3410" priority="496">
      <formula>AND(R184,S184)</formula>
    </cfRule>
  </conditionalFormatting>
  <conditionalFormatting sqref="W184">
    <cfRule type="expression" dxfId="3409" priority="495">
      <formula>NOT(ISBLANK(W184))</formula>
    </cfRule>
  </conditionalFormatting>
  <conditionalFormatting sqref="W184">
    <cfRule type="expression" dxfId="3408" priority="494">
      <formula>S184 = FALSE</formula>
    </cfRule>
  </conditionalFormatting>
  <conditionalFormatting sqref="W184">
    <cfRule type="expression" dxfId="3407" priority="493">
      <formula>OR(T184 = TRUE, AND(W184 = TRUE, S184 = FALSE))</formula>
    </cfRule>
  </conditionalFormatting>
  <conditionalFormatting sqref="W190">
    <cfRule type="expression" dxfId="3406" priority="492">
      <formula>AND(R190,S190)</formula>
    </cfRule>
  </conditionalFormatting>
  <conditionalFormatting sqref="W190">
    <cfRule type="expression" dxfId="3405" priority="491">
      <formula>NOT(ISBLANK(W190))</formula>
    </cfRule>
  </conditionalFormatting>
  <conditionalFormatting sqref="W190">
    <cfRule type="expression" dxfId="3404" priority="490">
      <formula>S190 = FALSE</formula>
    </cfRule>
  </conditionalFormatting>
  <conditionalFormatting sqref="W190">
    <cfRule type="expression" dxfId="3403" priority="489">
      <formula>OR(T190 = TRUE, AND(W190 = TRUE, S190 = FALSE))</formula>
    </cfRule>
  </conditionalFormatting>
  <conditionalFormatting sqref="W191">
    <cfRule type="expression" dxfId="3402" priority="488">
      <formula>AND($R$191,$S$191)</formula>
    </cfRule>
  </conditionalFormatting>
  <conditionalFormatting sqref="W191">
    <cfRule type="expression" dxfId="3401" priority="487">
      <formula>AND(IF($R$191,$W$191,TRUE),LEN(TRIM($W$191))&gt;0)</formula>
    </cfRule>
  </conditionalFormatting>
  <conditionalFormatting sqref="W191">
    <cfRule type="expression" dxfId="3400" priority="486">
      <formula>$S$191 = FALSE</formula>
    </cfRule>
  </conditionalFormatting>
  <conditionalFormatting sqref="W191">
    <cfRule type="expression" dxfId="3399" priority="485">
      <formula>OR($T$191 = TRUE, AND($W$191 = TRUE, $S$191 = FALSE))</formula>
    </cfRule>
  </conditionalFormatting>
  <conditionalFormatting sqref="W574">
    <cfRule type="expression" dxfId="3398" priority="484">
      <formula>AND($R$574,$S$574)</formula>
    </cfRule>
  </conditionalFormatting>
  <conditionalFormatting sqref="W574">
    <cfRule type="expression" dxfId="3397" priority="483">
      <formula>AND(IF($R$574,$W$574,TRUE),LEN(TRIM($W$574))&gt;0)</formula>
    </cfRule>
  </conditionalFormatting>
  <conditionalFormatting sqref="W574">
    <cfRule type="expression" dxfId="3396" priority="482">
      <formula>$S$574 = FALSE</formula>
    </cfRule>
  </conditionalFormatting>
  <conditionalFormatting sqref="W574">
    <cfRule type="expression" dxfId="3395" priority="481">
      <formula>OR($T$574 = TRUE, AND($W$574 = TRUE, $S$574 = FALSE))</formula>
    </cfRule>
  </conditionalFormatting>
  <conditionalFormatting sqref="W575">
    <cfRule type="expression" dxfId="3394" priority="480">
      <formula>AND($R$575,$S$575)</formula>
    </cfRule>
  </conditionalFormatting>
  <conditionalFormatting sqref="W575">
    <cfRule type="expression" dxfId="3393" priority="479">
      <formula>AND(IF($R$575,$W$575,TRUE),LEN(TRIM($W$575))&gt;0)</formula>
    </cfRule>
  </conditionalFormatting>
  <conditionalFormatting sqref="W575">
    <cfRule type="expression" dxfId="3392" priority="478">
      <formula>$S$575 = FALSE</formula>
    </cfRule>
  </conditionalFormatting>
  <conditionalFormatting sqref="W575">
    <cfRule type="expression" dxfId="3391" priority="477">
      <formula>OR($T$575 = TRUE, AND($W$575 = TRUE, $S$575 = FALSE))</formula>
    </cfRule>
  </conditionalFormatting>
  <conditionalFormatting sqref="W576">
    <cfRule type="expression" dxfId="3390" priority="476">
      <formula>AND($R$576,$S$576)</formula>
    </cfRule>
  </conditionalFormatting>
  <conditionalFormatting sqref="W576">
    <cfRule type="expression" dxfId="3389" priority="475">
      <formula>AND(IF($R$576,$W$576,TRUE),LEN(TRIM($W$576))&gt;0)</formula>
    </cfRule>
  </conditionalFormatting>
  <conditionalFormatting sqref="W576">
    <cfRule type="expression" dxfId="3388" priority="474">
      <formula>$S$576 = FALSE</formula>
    </cfRule>
  </conditionalFormatting>
  <conditionalFormatting sqref="W576">
    <cfRule type="expression" dxfId="3387" priority="473">
      <formula>OR($T$576 = TRUE, AND($W$576 = TRUE, $S$576 = FALSE))</formula>
    </cfRule>
  </conditionalFormatting>
  <conditionalFormatting sqref="W577">
    <cfRule type="expression" dxfId="3386" priority="472">
      <formula>AND($R$577,$S$577)</formula>
    </cfRule>
  </conditionalFormatting>
  <conditionalFormatting sqref="W577">
    <cfRule type="expression" dxfId="3385" priority="471">
      <formula>AND(IF($R$577,$W$577,TRUE),LEN(TRIM($W$577))&gt;0)</formula>
    </cfRule>
  </conditionalFormatting>
  <conditionalFormatting sqref="W577">
    <cfRule type="expression" dxfId="3384" priority="470">
      <formula>$S$577 = FALSE</formula>
    </cfRule>
  </conditionalFormatting>
  <conditionalFormatting sqref="W577">
    <cfRule type="expression" dxfId="3383" priority="469">
      <formula>OR($T$577 = TRUE, AND($W$577 = TRUE, $S$577 = FALSE))</formula>
    </cfRule>
  </conditionalFormatting>
  <conditionalFormatting sqref="W579">
    <cfRule type="expression" dxfId="3382" priority="468">
      <formula>AND($R$579,$S$579)</formula>
    </cfRule>
  </conditionalFormatting>
  <conditionalFormatting sqref="W579">
    <cfRule type="expression" dxfId="3381" priority="467">
      <formula>AND(IF($R$579,$W$579,TRUE),LEN(TRIM($W$579))&gt;0)</formula>
    </cfRule>
  </conditionalFormatting>
  <conditionalFormatting sqref="W579">
    <cfRule type="expression" dxfId="3380" priority="466">
      <formula>$S$579 = FALSE</formula>
    </cfRule>
  </conditionalFormatting>
  <conditionalFormatting sqref="W579">
    <cfRule type="expression" dxfId="3379" priority="465">
      <formula>OR($T$579 = TRUE, AND($W$579 = TRUE, $S$579 = FALSE))</formula>
    </cfRule>
  </conditionalFormatting>
  <conditionalFormatting sqref="W582">
    <cfRule type="expression" dxfId="3378" priority="464">
      <formula>AND($R$582,$S$582)</formula>
    </cfRule>
  </conditionalFormatting>
  <conditionalFormatting sqref="W582">
    <cfRule type="expression" dxfId="3377" priority="463">
      <formula>AND(IF($R$582,$W$582,TRUE),LEN(TRIM($W$582))&gt;0)</formula>
    </cfRule>
  </conditionalFormatting>
  <conditionalFormatting sqref="W582">
    <cfRule type="expression" dxfId="3376" priority="462">
      <formula>$S$582 = FALSE</formula>
    </cfRule>
  </conditionalFormatting>
  <conditionalFormatting sqref="W582">
    <cfRule type="expression" dxfId="3375" priority="461">
      <formula>OR($T$582 = TRUE, AND($W$582 = TRUE, $S$582 = FALSE))</formula>
    </cfRule>
  </conditionalFormatting>
  <conditionalFormatting sqref="W585">
    <cfRule type="expression" dxfId="3374" priority="460">
      <formula>AND($R$585,$S$585)</formula>
    </cfRule>
  </conditionalFormatting>
  <conditionalFormatting sqref="W585">
    <cfRule type="expression" dxfId="3373" priority="459">
      <formula>AND($W$585&lt;&gt;"Not Met",LEN(TRIM($W$585))&gt;0)</formula>
    </cfRule>
  </conditionalFormatting>
  <conditionalFormatting sqref="W585">
    <cfRule type="expression" dxfId="3372" priority="458">
      <formula>$S$585 = FALSE</formula>
    </cfRule>
  </conditionalFormatting>
  <conditionalFormatting sqref="W585">
    <cfRule type="expression" dxfId="3371" priority="457">
      <formula>OR($T$585 = TRUE, AND(LEN(TRIM($W$585))&gt;0, $S$585 = FALSE))</formula>
    </cfRule>
  </conditionalFormatting>
  <conditionalFormatting sqref="W600">
    <cfRule type="expression" dxfId="3370" priority="456">
      <formula>AND($R$600,$S$600)</formula>
    </cfRule>
  </conditionalFormatting>
  <conditionalFormatting sqref="W600">
    <cfRule type="expression" dxfId="3369" priority="455">
      <formula>AND(IF($R$600,$W$600,TRUE),LEN(TRIM($W$600))&gt;0)</formula>
    </cfRule>
  </conditionalFormatting>
  <conditionalFormatting sqref="W600">
    <cfRule type="expression" dxfId="3368" priority="454">
      <formula>$S$600 = FALSE</formula>
    </cfRule>
  </conditionalFormatting>
  <conditionalFormatting sqref="W600">
    <cfRule type="expression" dxfId="3367" priority="453">
      <formula>OR($T$600 = TRUE, AND($W$600 = TRUE, $S$600 = FALSE))</formula>
    </cfRule>
  </conditionalFormatting>
  <conditionalFormatting sqref="W601">
    <cfRule type="expression" dxfId="3366" priority="452">
      <formula>AND($R$601,$S$601)</formula>
    </cfRule>
  </conditionalFormatting>
  <conditionalFormatting sqref="W601">
    <cfRule type="expression" dxfId="3365" priority="451">
      <formula>AND(IF($R$601,$W$601,TRUE),LEN(TRIM($W$601))&gt;0)</formula>
    </cfRule>
  </conditionalFormatting>
  <conditionalFormatting sqref="W601">
    <cfRule type="expression" dxfId="3364" priority="450">
      <formula>$S$601 = FALSE</formula>
    </cfRule>
  </conditionalFormatting>
  <conditionalFormatting sqref="W601">
    <cfRule type="expression" dxfId="3363" priority="449">
      <formula>OR($T$601 = TRUE, AND($W$601 = TRUE, $S$601 = FALSE))</formula>
    </cfRule>
  </conditionalFormatting>
  <conditionalFormatting sqref="W602">
    <cfRule type="expression" dxfId="3362" priority="448">
      <formula>AND($R$602,$S$602)</formula>
    </cfRule>
  </conditionalFormatting>
  <conditionalFormatting sqref="W602">
    <cfRule type="expression" dxfId="3361" priority="447">
      <formula>AND(IF($R$602,$W$602,TRUE),LEN(TRIM($W$602))&gt;0)</formula>
    </cfRule>
  </conditionalFormatting>
  <conditionalFormatting sqref="W602">
    <cfRule type="expression" dxfId="3360" priority="446">
      <formula>$S$602 = FALSE</formula>
    </cfRule>
  </conditionalFormatting>
  <conditionalFormatting sqref="W602">
    <cfRule type="expression" dxfId="3359" priority="445">
      <formula>OR($T$602 = TRUE, AND($W$602 = TRUE, $S$602 = FALSE))</formula>
    </cfRule>
  </conditionalFormatting>
  <conditionalFormatting sqref="W603">
    <cfRule type="expression" dxfId="3358" priority="444">
      <formula>AND($R$603,$S$603)</formula>
    </cfRule>
  </conditionalFormatting>
  <conditionalFormatting sqref="W603">
    <cfRule type="expression" dxfId="3357" priority="443">
      <formula>AND(IF($R$603,$W$603,TRUE),LEN(TRIM($W$603))&gt;0)</formula>
    </cfRule>
  </conditionalFormatting>
  <conditionalFormatting sqref="W603">
    <cfRule type="expression" dxfId="3356" priority="442">
      <formula>$S$603 = FALSE</formula>
    </cfRule>
  </conditionalFormatting>
  <conditionalFormatting sqref="W603">
    <cfRule type="expression" dxfId="3355" priority="441">
      <formula>OR($T$603 = TRUE, AND($W$603 = TRUE, $S$603 = FALSE))</formula>
    </cfRule>
  </conditionalFormatting>
  <conditionalFormatting sqref="W604">
    <cfRule type="expression" dxfId="3354" priority="440">
      <formula>AND($R$604,$S$604)</formula>
    </cfRule>
  </conditionalFormatting>
  <conditionalFormatting sqref="W604">
    <cfRule type="expression" dxfId="3353" priority="439">
      <formula>AND(IF($R$604,$W$604,TRUE),LEN(TRIM($W$604))&gt;0)</formula>
    </cfRule>
  </conditionalFormatting>
  <conditionalFormatting sqref="W604">
    <cfRule type="expression" dxfId="3352" priority="438">
      <formula>$S$604 = FALSE</formula>
    </cfRule>
  </conditionalFormatting>
  <conditionalFormatting sqref="W604">
    <cfRule type="expression" dxfId="3351" priority="437">
      <formula>OR($T$604 = TRUE, AND($W$604 = TRUE, $S$604 = FALSE))</formula>
    </cfRule>
  </conditionalFormatting>
  <conditionalFormatting sqref="W605">
    <cfRule type="expression" dxfId="3350" priority="436">
      <formula>AND($R$605,$S$605)</formula>
    </cfRule>
  </conditionalFormatting>
  <conditionalFormatting sqref="W605">
    <cfRule type="expression" dxfId="3349" priority="435">
      <formula>AND(IF($R$605,$W$605,TRUE),LEN(TRIM($W$605))&gt;0)</formula>
    </cfRule>
  </conditionalFormatting>
  <conditionalFormatting sqref="W605">
    <cfRule type="expression" dxfId="3348" priority="434">
      <formula>$S$605 = FALSE</formula>
    </cfRule>
  </conditionalFormatting>
  <conditionalFormatting sqref="W605">
    <cfRule type="expression" dxfId="3347" priority="433">
      <formula>OR($T$605 = TRUE, AND($W$605 = TRUE, $S$605 = FALSE))</formula>
    </cfRule>
  </conditionalFormatting>
  <conditionalFormatting sqref="W606">
    <cfRule type="expression" dxfId="3346" priority="432">
      <formula>AND($R$606,$S$606)</formula>
    </cfRule>
  </conditionalFormatting>
  <conditionalFormatting sqref="W606">
    <cfRule type="expression" dxfId="3345" priority="431">
      <formula>AND(IF($R$606,$W$606,TRUE),LEN(TRIM($W$606))&gt;0)</formula>
    </cfRule>
  </conditionalFormatting>
  <conditionalFormatting sqref="W606">
    <cfRule type="expression" dxfId="3344" priority="430">
      <formula>$S$606 = FALSE</formula>
    </cfRule>
  </conditionalFormatting>
  <conditionalFormatting sqref="W606">
    <cfRule type="expression" dxfId="3343" priority="429">
      <formula>OR($T$606 = TRUE, AND($W$606 = TRUE, $S$606 = FALSE))</formula>
    </cfRule>
  </conditionalFormatting>
  <conditionalFormatting sqref="W607">
    <cfRule type="expression" dxfId="3342" priority="428">
      <formula>AND($R$607,$S$607)</formula>
    </cfRule>
  </conditionalFormatting>
  <conditionalFormatting sqref="W607">
    <cfRule type="expression" dxfId="3341" priority="427">
      <formula>AND(IF($R$607,$W$607,TRUE),LEN(TRIM($W$607))&gt;0)</formula>
    </cfRule>
  </conditionalFormatting>
  <conditionalFormatting sqref="W607">
    <cfRule type="expression" dxfId="3340" priority="426">
      <formula>$S$607 = FALSE</formula>
    </cfRule>
  </conditionalFormatting>
  <conditionalFormatting sqref="W607">
    <cfRule type="expression" dxfId="3339" priority="425">
      <formula>OR($T$607 = TRUE, AND($W$607 = TRUE, $S$607 = FALSE))</formula>
    </cfRule>
  </conditionalFormatting>
  <conditionalFormatting sqref="W610">
    <cfRule type="expression" dxfId="3338" priority="424">
      <formula>AND($R$610,$S$610)</formula>
    </cfRule>
  </conditionalFormatting>
  <conditionalFormatting sqref="W610">
    <cfRule type="expression" dxfId="3337" priority="423">
      <formula>AND(IF($R$610,$W$610,TRUE),LEN(TRIM($W$610))&gt;0)</formula>
    </cfRule>
  </conditionalFormatting>
  <conditionalFormatting sqref="W610">
    <cfRule type="expression" dxfId="3336" priority="422">
      <formula>$S$610 = FALSE</formula>
    </cfRule>
  </conditionalFormatting>
  <conditionalFormatting sqref="W610">
    <cfRule type="expression" dxfId="3335" priority="421">
      <formula>OR($T$610 = TRUE, AND($W$610 = TRUE, $S$610 = FALSE))</formula>
    </cfRule>
  </conditionalFormatting>
  <conditionalFormatting sqref="W612">
    <cfRule type="expression" dxfId="3334" priority="420">
      <formula>AND($R$612,$S$612)</formula>
    </cfRule>
  </conditionalFormatting>
  <conditionalFormatting sqref="W612">
    <cfRule type="expression" dxfId="3333" priority="419">
      <formula>AND(IF($R$612,$W$612,TRUE),LEN(TRIM($W$612))&gt;0)</formula>
    </cfRule>
  </conditionalFormatting>
  <conditionalFormatting sqref="W612">
    <cfRule type="expression" dxfId="3332" priority="418">
      <formula>$S$612 = FALSE</formula>
    </cfRule>
  </conditionalFormatting>
  <conditionalFormatting sqref="W612">
    <cfRule type="expression" dxfId="3331" priority="417">
      <formula>OR($T$612 = TRUE, AND($W$612 = TRUE, $S$612 = FALSE))</formula>
    </cfRule>
  </conditionalFormatting>
  <conditionalFormatting sqref="W614">
    <cfRule type="expression" dxfId="3330" priority="416">
      <formula>AND($R$614,$S$614)</formula>
    </cfRule>
  </conditionalFormatting>
  <conditionalFormatting sqref="W614">
    <cfRule type="expression" dxfId="3329" priority="415">
      <formula>AND(IF($R$614,$W$614,TRUE),LEN(TRIM($W$614))&gt;0)</formula>
    </cfRule>
  </conditionalFormatting>
  <conditionalFormatting sqref="W614">
    <cfRule type="expression" dxfId="3328" priority="414">
      <formula>$S$614 = FALSE</formula>
    </cfRule>
  </conditionalFormatting>
  <conditionalFormatting sqref="W614">
    <cfRule type="expression" dxfId="3327" priority="413">
      <formula>OR($T$614 = TRUE, AND($W$614 = TRUE, $S$614 = FALSE))</formula>
    </cfRule>
  </conditionalFormatting>
  <conditionalFormatting sqref="W617">
    <cfRule type="expression" dxfId="3326" priority="412">
      <formula>AND(R617,S617)</formula>
    </cfRule>
  </conditionalFormatting>
  <conditionalFormatting sqref="W617">
    <cfRule type="expression" dxfId="3325" priority="411">
      <formula>AND(S617,LEN(TRIM(W617))&gt;0)</formula>
    </cfRule>
  </conditionalFormatting>
  <conditionalFormatting sqref="W617">
    <cfRule type="expression" dxfId="3324" priority="410">
      <formula>S617 = FALSE</formula>
    </cfRule>
  </conditionalFormatting>
  <conditionalFormatting sqref="W617">
    <cfRule type="expression" dxfId="3323" priority="409">
      <formula>OR(T617 = TRUE, AND(W617 &gt; 0, S617 = FALSE))</formula>
    </cfRule>
  </conditionalFormatting>
  <conditionalFormatting sqref="W625">
    <cfRule type="expression" dxfId="3322" priority="408">
      <formula>AND($R$625,$S$625)</formula>
    </cfRule>
  </conditionalFormatting>
  <conditionalFormatting sqref="W625">
    <cfRule type="expression" dxfId="3321" priority="407">
      <formula>AND(IF($R$625,$W$625,TRUE),LEN(TRIM($W$625))&gt;0)</formula>
    </cfRule>
  </conditionalFormatting>
  <conditionalFormatting sqref="W625">
    <cfRule type="expression" dxfId="3320" priority="406">
      <formula>$S$625 = FALSE</formula>
    </cfRule>
  </conditionalFormatting>
  <conditionalFormatting sqref="W625">
    <cfRule type="expression" dxfId="3319" priority="405">
      <formula>OR($T$625 = TRUE, AND($W$625 = TRUE, $S$625 = FALSE))</formula>
    </cfRule>
  </conditionalFormatting>
  <conditionalFormatting sqref="W633">
    <cfRule type="expression" dxfId="3318" priority="404">
      <formula>AND($R$633,$S$633)</formula>
    </cfRule>
  </conditionalFormatting>
  <conditionalFormatting sqref="W633">
    <cfRule type="expression" dxfId="3317" priority="403">
      <formula>AND(IF($R$633,$W$633,TRUE),LEN(TRIM($W$633))&gt;0)</formula>
    </cfRule>
  </conditionalFormatting>
  <conditionalFormatting sqref="W633">
    <cfRule type="expression" dxfId="3316" priority="402">
      <formula>$S$633 = FALSE</formula>
    </cfRule>
  </conditionalFormatting>
  <conditionalFormatting sqref="W633">
    <cfRule type="expression" dxfId="3315" priority="401">
      <formula>OR($T$633 = TRUE, AND($W$633 = TRUE, $S$633 = FALSE))</formula>
    </cfRule>
  </conditionalFormatting>
  <conditionalFormatting sqref="W629">
    <cfRule type="expression" dxfId="3314" priority="392">
      <formula>AND($R$629,$S$629)</formula>
    </cfRule>
  </conditionalFormatting>
  <conditionalFormatting sqref="W629">
    <cfRule type="expression" dxfId="3313" priority="391">
      <formula>AND(IF($R$629,$W$629,TRUE),LEN(TRIM($W$629))&gt;0)</formula>
    </cfRule>
  </conditionalFormatting>
  <conditionalFormatting sqref="W629">
    <cfRule type="expression" dxfId="3312" priority="390">
      <formula>$S$629 = FALSE</formula>
    </cfRule>
  </conditionalFormatting>
  <conditionalFormatting sqref="W629">
    <cfRule type="expression" dxfId="3311" priority="389">
      <formula>OR($T$629 = TRUE, AND($W$629 = TRUE, $S$629 = FALSE))</formula>
    </cfRule>
  </conditionalFormatting>
  <conditionalFormatting sqref="W630">
    <cfRule type="expression" dxfId="3310" priority="388">
      <formula>AND($R$630,$S$630)</formula>
    </cfRule>
  </conditionalFormatting>
  <conditionalFormatting sqref="W630">
    <cfRule type="expression" dxfId="3309" priority="387">
      <formula>AND(IF($R$630,$W$630,TRUE),LEN(TRIM($W$630))&gt;0)</formula>
    </cfRule>
  </conditionalFormatting>
  <conditionalFormatting sqref="W630">
    <cfRule type="expression" dxfId="3308" priority="386">
      <formula>$S$630 = FALSE</formula>
    </cfRule>
  </conditionalFormatting>
  <conditionalFormatting sqref="W630">
    <cfRule type="expression" dxfId="3307" priority="385">
      <formula>OR($T$630 = TRUE, AND($W$630 = TRUE, $S$630 = FALSE))</formula>
    </cfRule>
  </conditionalFormatting>
  <conditionalFormatting sqref="W636">
    <cfRule type="expression" dxfId="3306" priority="384">
      <formula>AND($R$636,$S$636)</formula>
    </cfRule>
  </conditionalFormatting>
  <conditionalFormatting sqref="W636">
    <cfRule type="expression" dxfId="3305" priority="383">
      <formula>AND(IF($R$636,$W$636,TRUE),LEN(TRIM($W$636))&gt;0)</formula>
    </cfRule>
  </conditionalFormatting>
  <conditionalFormatting sqref="W636">
    <cfRule type="expression" dxfId="3304" priority="382">
      <formula>$S$636 = FALSE</formula>
    </cfRule>
  </conditionalFormatting>
  <conditionalFormatting sqref="W636">
    <cfRule type="expression" dxfId="3303" priority="381">
      <formula>OR($T$636 = TRUE, AND($W$636 = TRUE, $S$636 = FALSE))</formula>
    </cfRule>
  </conditionalFormatting>
  <conditionalFormatting sqref="W461">
    <cfRule type="expression" dxfId="3302" priority="380">
      <formula>AND(R461,S461)</formula>
    </cfRule>
  </conditionalFormatting>
  <conditionalFormatting sqref="W461">
    <cfRule type="expression" dxfId="3301" priority="379">
      <formula>AND(IF(S461,W461,TRUE),LEN(TRIM(W461))&gt;0)</formula>
    </cfRule>
  </conditionalFormatting>
  <conditionalFormatting sqref="W461">
    <cfRule type="expression" dxfId="3300" priority="378">
      <formula>S461 = FALSE</formula>
    </cfRule>
  </conditionalFormatting>
  <conditionalFormatting sqref="W461">
    <cfRule type="expression" dxfId="3299" priority="377">
      <formula>OR(T461 = TRUE, AND(W461 = TRUE, S461 = FALSE))</formula>
    </cfRule>
  </conditionalFormatting>
  <conditionalFormatting sqref="W474">
    <cfRule type="expression" dxfId="3298" priority="376">
      <formula>AND($R$474,$S$474)</formula>
    </cfRule>
  </conditionalFormatting>
  <conditionalFormatting sqref="W474">
    <cfRule type="expression" dxfId="3297" priority="375">
      <formula>AND(IF($R$474,$W$474,TRUE),LEN(TRIM($W$474))&gt;0)</formula>
    </cfRule>
  </conditionalFormatting>
  <conditionalFormatting sqref="W474">
    <cfRule type="expression" dxfId="3296" priority="374">
      <formula>$S$474 = FALSE</formula>
    </cfRule>
  </conditionalFormatting>
  <conditionalFormatting sqref="W474">
    <cfRule type="expression" dxfId="3295" priority="373">
      <formula>OR($T$474 = TRUE, AND($W$474 = TRUE, $S$474 = FALSE))</formula>
    </cfRule>
  </conditionalFormatting>
  <conditionalFormatting sqref="W470">
    <cfRule type="expression" dxfId="3294" priority="372">
      <formula>AND($R$470,$S$470)</formula>
    </cfRule>
  </conditionalFormatting>
  <conditionalFormatting sqref="W470">
    <cfRule type="expression" dxfId="3293" priority="371">
      <formula>AND($W$470&lt;&gt;"Not Met",LEN(TRIM($W$470))&gt;0)</formula>
    </cfRule>
  </conditionalFormatting>
  <conditionalFormatting sqref="W470">
    <cfRule type="expression" dxfId="3292" priority="370">
      <formula>$S$470 = FALSE</formula>
    </cfRule>
  </conditionalFormatting>
  <conditionalFormatting sqref="W470">
    <cfRule type="expression" dxfId="3291" priority="369">
      <formula>OR($T$470 = TRUE, AND(LEN(TRIM($W$470))&gt;0, $S$470 = FALSE))</formula>
    </cfRule>
  </conditionalFormatting>
  <conditionalFormatting sqref="W477">
    <cfRule type="expression" dxfId="3290" priority="368">
      <formula>AND($R$477,$S$477)</formula>
    </cfRule>
  </conditionalFormatting>
  <conditionalFormatting sqref="W477">
    <cfRule type="expression" dxfId="3289" priority="367">
      <formula>AND($W$477&lt;&gt;"Not Met",LEN(TRIM($W$477))&gt;0)</formula>
    </cfRule>
  </conditionalFormatting>
  <conditionalFormatting sqref="W477">
    <cfRule type="expression" dxfId="3288" priority="366">
      <formula>$S$477 = FALSE</formula>
    </cfRule>
  </conditionalFormatting>
  <conditionalFormatting sqref="W477">
    <cfRule type="expression" dxfId="3287" priority="365">
      <formula>OR($T$477 = TRUE, AND(LEN(TRIM($W$477))&gt;0, $S$477 = FALSE))</formula>
    </cfRule>
  </conditionalFormatting>
  <conditionalFormatting sqref="W481">
    <cfRule type="expression" dxfId="3286" priority="364">
      <formula>AND($R$481,$S$481)</formula>
    </cfRule>
  </conditionalFormatting>
  <conditionalFormatting sqref="W481">
    <cfRule type="expression" dxfId="3285" priority="363">
      <formula>AND($W$481&lt;&gt;"Not Met",LEN(TRIM($W$481))&gt;0)</formula>
    </cfRule>
  </conditionalFormatting>
  <conditionalFormatting sqref="W481">
    <cfRule type="expression" dxfId="3284" priority="362">
      <formula>$S$481 = FALSE</formula>
    </cfRule>
  </conditionalFormatting>
  <conditionalFormatting sqref="W481">
    <cfRule type="expression" dxfId="3283" priority="361">
      <formula>OR($T$481 = TRUE, AND(LEN(TRIM($W$481))&gt;0, $S$481 = FALSE))</formula>
    </cfRule>
  </conditionalFormatting>
  <conditionalFormatting sqref="W486">
    <cfRule type="expression" dxfId="3282" priority="360">
      <formula>AND($R$486,$S$486)</formula>
    </cfRule>
  </conditionalFormatting>
  <conditionalFormatting sqref="W486">
    <cfRule type="expression" dxfId="3281" priority="359">
      <formula>AND($W$486&lt;&gt;"Not Met",LEN(TRIM($W$486))&gt;0)</formula>
    </cfRule>
  </conditionalFormatting>
  <conditionalFormatting sqref="W486">
    <cfRule type="expression" dxfId="3280" priority="358">
      <formula>$S$486 = FALSE</formula>
    </cfRule>
  </conditionalFormatting>
  <conditionalFormatting sqref="W486">
    <cfRule type="expression" dxfId="3279" priority="357">
      <formula>OR($T$486 = TRUE, AND(LEN(TRIM($W$486))&gt;0, $S$486 = FALSE))</formula>
    </cfRule>
  </conditionalFormatting>
  <conditionalFormatting sqref="W491">
    <cfRule type="expression" dxfId="3278" priority="356">
      <formula>AND($R$491,$S$491)</formula>
    </cfRule>
  </conditionalFormatting>
  <conditionalFormatting sqref="W491">
    <cfRule type="expression" dxfId="3277" priority="355">
      <formula>AND(IF($R$491,$W$491,TRUE),LEN(TRIM($W$491))&gt;0)</formula>
    </cfRule>
  </conditionalFormatting>
  <conditionalFormatting sqref="W491">
    <cfRule type="expression" dxfId="3276" priority="354">
      <formula>$S$491 = FALSE</formula>
    </cfRule>
  </conditionalFormatting>
  <conditionalFormatting sqref="W491">
    <cfRule type="expression" dxfId="3275" priority="353">
      <formula>OR($T$491 = TRUE, AND($W$491 = TRUE, $S$491 = FALSE))</formula>
    </cfRule>
  </conditionalFormatting>
  <conditionalFormatting sqref="W494">
    <cfRule type="expression" dxfId="3274" priority="352">
      <formula>AND($R$494,$S$494)</formula>
    </cfRule>
  </conditionalFormatting>
  <conditionalFormatting sqref="W494">
    <cfRule type="expression" dxfId="3273" priority="351">
      <formula>AND(IF($R$494,$W$494,TRUE),LEN(TRIM($W$494))&gt;0)</formula>
    </cfRule>
  </conditionalFormatting>
  <conditionalFormatting sqref="W494">
    <cfRule type="expression" dxfId="3272" priority="350">
      <formula>$S$494 = FALSE</formula>
    </cfRule>
  </conditionalFormatting>
  <conditionalFormatting sqref="W494">
    <cfRule type="expression" dxfId="3271" priority="349">
      <formula>OR($T$494 = TRUE, AND($W$494 = TRUE, $S$494 = FALSE))</formula>
    </cfRule>
  </conditionalFormatting>
  <conditionalFormatting sqref="W499">
    <cfRule type="expression" dxfId="3270" priority="348">
      <formula>AND($R$499,$S$499)</formula>
    </cfRule>
  </conditionalFormatting>
  <conditionalFormatting sqref="W499">
    <cfRule type="expression" dxfId="3269" priority="347">
      <formula>AND(IF($R$499,$W$499,TRUE),LEN(TRIM($W$499))&gt;0)</formula>
    </cfRule>
  </conditionalFormatting>
  <conditionalFormatting sqref="W499">
    <cfRule type="expression" dxfId="3268" priority="346">
      <formula>$S$499 = FALSE</formula>
    </cfRule>
  </conditionalFormatting>
  <conditionalFormatting sqref="W499">
    <cfRule type="expression" dxfId="3267" priority="345">
      <formula>OR($T$499 = TRUE, AND($W$499 = TRUE, $S$499 = FALSE))</formula>
    </cfRule>
  </conditionalFormatting>
  <conditionalFormatting sqref="W500">
    <cfRule type="expression" dxfId="3266" priority="344">
      <formula>AND($R$500,$S$500)</formula>
    </cfRule>
  </conditionalFormatting>
  <conditionalFormatting sqref="W500">
    <cfRule type="expression" dxfId="3265" priority="343">
      <formula>AND(IF($R$500,$W$500,TRUE),LEN(TRIM($W$500))&gt;0)</formula>
    </cfRule>
  </conditionalFormatting>
  <conditionalFormatting sqref="W500">
    <cfRule type="expression" dxfId="3264" priority="342">
      <formula>$S$500 = FALSE</formula>
    </cfRule>
  </conditionalFormatting>
  <conditionalFormatting sqref="W500">
    <cfRule type="expression" dxfId="3263" priority="341">
      <formula>OR($T$500 = TRUE, AND($W$500 = TRUE, $S$500 = FALSE))</formula>
    </cfRule>
  </conditionalFormatting>
  <conditionalFormatting sqref="W504">
    <cfRule type="expression" dxfId="3262" priority="340">
      <formula>AND($R$504,$S$504)</formula>
    </cfRule>
  </conditionalFormatting>
  <conditionalFormatting sqref="W504">
    <cfRule type="expression" dxfId="3261" priority="339">
      <formula>AND(IF($R$504,$W$504,TRUE),LEN(TRIM($W$504))&gt;0)</formula>
    </cfRule>
  </conditionalFormatting>
  <conditionalFormatting sqref="W504">
    <cfRule type="expression" dxfId="3260" priority="338">
      <formula>$S$504 = FALSE</formula>
    </cfRule>
  </conditionalFormatting>
  <conditionalFormatting sqref="W504">
    <cfRule type="expression" dxfId="3259" priority="337">
      <formula>OR($T$504 = TRUE, AND($W$504 = TRUE, $S$504 = FALSE))</formula>
    </cfRule>
  </conditionalFormatting>
  <conditionalFormatting sqref="W509">
    <cfRule type="expression" dxfId="3258" priority="336">
      <formula>AND($R$509,$S$509)</formula>
    </cfRule>
  </conditionalFormatting>
  <conditionalFormatting sqref="W509">
    <cfRule type="expression" dxfId="3257" priority="335">
      <formula>AND(IF($R$509,$W$509,TRUE),LEN(TRIM($W$509))&gt;0)</formula>
    </cfRule>
  </conditionalFormatting>
  <conditionalFormatting sqref="W509">
    <cfRule type="expression" dxfId="3256" priority="334">
      <formula>$S$509 = FALSE</formula>
    </cfRule>
  </conditionalFormatting>
  <conditionalFormatting sqref="W509">
    <cfRule type="expression" dxfId="3255" priority="333">
      <formula>OR($T$509 = TRUE, AND($W$509 = TRUE, $S$509 = FALSE))</formula>
    </cfRule>
  </conditionalFormatting>
  <conditionalFormatting sqref="W534">
    <cfRule type="expression" dxfId="3254" priority="328">
      <formula>AND($R$534,$S$534)</formula>
    </cfRule>
  </conditionalFormatting>
  <conditionalFormatting sqref="W534">
    <cfRule type="expression" dxfId="3253" priority="327">
      <formula>AND(IF($R$534,$W$534,TRUE),LEN(TRIM($W$534))&gt;0)</formula>
    </cfRule>
  </conditionalFormatting>
  <conditionalFormatting sqref="W534">
    <cfRule type="expression" dxfId="3252" priority="326">
      <formula>$S$534 = FALSE</formula>
    </cfRule>
  </conditionalFormatting>
  <conditionalFormatting sqref="W534">
    <cfRule type="expression" dxfId="3251" priority="325">
      <formula>OR($T$534 = TRUE, AND($W$534 = TRUE, $S$534 = FALSE))</formula>
    </cfRule>
  </conditionalFormatting>
  <conditionalFormatting sqref="X534">
    <cfRule type="expression" dxfId="3250" priority="324">
      <formula>W534=TRUE</formula>
    </cfRule>
  </conditionalFormatting>
  <conditionalFormatting sqref="W537">
    <cfRule type="expression" dxfId="3249" priority="323">
      <formula>AND($R$537,$S$537)</formula>
    </cfRule>
  </conditionalFormatting>
  <conditionalFormatting sqref="W537">
    <cfRule type="expression" dxfId="3248" priority="322">
      <formula>AND(IF($R$537,$W$537,TRUE),LEN(TRIM($W$537))&gt;0)</formula>
    </cfRule>
  </conditionalFormatting>
  <conditionalFormatting sqref="W537">
    <cfRule type="expression" dxfId="3247" priority="321">
      <formula>$S$537 = FALSE</formula>
    </cfRule>
  </conditionalFormatting>
  <conditionalFormatting sqref="W537">
    <cfRule type="expression" dxfId="3246" priority="320">
      <formula>OR($T$537 = TRUE, AND($W$537 = TRUE, $S$537 = FALSE))</formula>
    </cfRule>
  </conditionalFormatting>
  <conditionalFormatting sqref="X537">
    <cfRule type="expression" dxfId="3245" priority="319">
      <formula>W537=TRUE</formula>
    </cfRule>
  </conditionalFormatting>
  <conditionalFormatting sqref="W551">
    <cfRule type="expression" dxfId="3244" priority="318">
      <formula>AND($R$551,$S$551)</formula>
    </cfRule>
  </conditionalFormatting>
  <conditionalFormatting sqref="W551">
    <cfRule type="expression" dxfId="3243" priority="317">
      <formula>AND(IF($R$551,$W$551,TRUE),LEN(TRIM($W$551))&gt;0)</formula>
    </cfRule>
  </conditionalFormatting>
  <conditionalFormatting sqref="W551">
    <cfRule type="expression" dxfId="3242" priority="316">
      <formula>$S$551 = FALSE</formula>
    </cfRule>
  </conditionalFormatting>
  <conditionalFormatting sqref="W551">
    <cfRule type="expression" dxfId="3241" priority="315">
      <formula>OR($T$551 = TRUE, AND($W$551 = TRUE, $S$551 = FALSE))</formula>
    </cfRule>
  </conditionalFormatting>
  <conditionalFormatting sqref="W563">
    <cfRule type="expression" dxfId="3240" priority="314">
      <formula>AND($R$563,$S$563)</formula>
    </cfRule>
  </conditionalFormatting>
  <conditionalFormatting sqref="W563">
    <cfRule type="expression" dxfId="3239" priority="313">
      <formula>AND(IF($R$563,$W$563,TRUE),LEN(TRIM($W$563))&gt;0)</formula>
    </cfRule>
  </conditionalFormatting>
  <conditionalFormatting sqref="W563">
    <cfRule type="expression" dxfId="3238" priority="312">
      <formula>$S$563 = FALSE</formula>
    </cfRule>
  </conditionalFormatting>
  <conditionalFormatting sqref="W563">
    <cfRule type="expression" dxfId="3237" priority="311">
      <formula>OR($T$563 = TRUE, AND($W$563 = TRUE, $S$563 = FALSE))</formula>
    </cfRule>
  </conditionalFormatting>
  <conditionalFormatting sqref="W565">
    <cfRule type="expression" dxfId="3236" priority="310">
      <formula>AND($R$565,$S$565)</formula>
    </cfRule>
  </conditionalFormatting>
  <conditionalFormatting sqref="W565">
    <cfRule type="expression" dxfId="3235" priority="309">
      <formula>AND(IF($R$565,$W$565,TRUE),LEN(TRIM($W$565))&gt;0)</formula>
    </cfRule>
  </conditionalFormatting>
  <conditionalFormatting sqref="W565">
    <cfRule type="expression" dxfId="3234" priority="308">
      <formula>$S$565 = FALSE</formula>
    </cfRule>
  </conditionalFormatting>
  <conditionalFormatting sqref="W565">
    <cfRule type="expression" dxfId="3233" priority="307">
      <formula>OR($T$565 = TRUE, AND($W$565 = TRUE, $S$565 = FALSE))</formula>
    </cfRule>
  </conditionalFormatting>
  <conditionalFormatting sqref="W567">
    <cfRule type="expression" dxfId="3232" priority="306">
      <formula>AND($R$567,$S$567)</formula>
    </cfRule>
  </conditionalFormatting>
  <conditionalFormatting sqref="W567">
    <cfRule type="expression" dxfId="3231" priority="305">
      <formula>AND(IF($R$567,$W$567,TRUE),LEN(TRIM($W$567))&gt;0)</formula>
    </cfRule>
  </conditionalFormatting>
  <conditionalFormatting sqref="W567">
    <cfRule type="expression" dxfId="3230" priority="304">
      <formula>$S$567 = FALSE</formula>
    </cfRule>
  </conditionalFormatting>
  <conditionalFormatting sqref="W567">
    <cfRule type="expression" dxfId="3229" priority="303">
      <formula>OR($T$567 = TRUE, AND($W$567 = TRUE, $S$567 = FALSE))</formula>
    </cfRule>
  </conditionalFormatting>
  <conditionalFormatting sqref="W376">
    <cfRule type="expression" dxfId="3228" priority="302">
      <formula>AND($R$376,$S$376)</formula>
    </cfRule>
  </conditionalFormatting>
  <conditionalFormatting sqref="W376">
    <cfRule type="expression" dxfId="3227" priority="301">
      <formula>AND(IF($R$376,$W$376,TRUE),LEN(TRIM($W$376))&gt;0)</formula>
    </cfRule>
  </conditionalFormatting>
  <conditionalFormatting sqref="W376">
    <cfRule type="expression" dxfId="3226" priority="300">
      <formula>$S$376 = FALSE</formula>
    </cfRule>
  </conditionalFormatting>
  <conditionalFormatting sqref="W376">
    <cfRule type="expression" dxfId="3225" priority="299">
      <formula>OR($T$376 = TRUE, AND($W$376 = TRUE, $S$376 = FALSE))</formula>
    </cfRule>
  </conditionalFormatting>
  <conditionalFormatting sqref="W371">
    <cfRule type="expression" dxfId="3224" priority="298">
      <formula>AND($R$371,$S$371)</formula>
    </cfRule>
  </conditionalFormatting>
  <conditionalFormatting sqref="W371">
    <cfRule type="expression" dxfId="3223" priority="297">
      <formula>AND(IF($R$371,$W$371,TRUE),LEN(TRIM($W$371))&gt;0)</formula>
    </cfRule>
  </conditionalFormatting>
  <conditionalFormatting sqref="W371">
    <cfRule type="expression" dxfId="3222" priority="296">
      <formula>$S$371 = FALSE</formula>
    </cfRule>
  </conditionalFormatting>
  <conditionalFormatting sqref="W371">
    <cfRule type="expression" dxfId="3221" priority="295">
      <formula>OR($T$371 = TRUE, AND($W$371 = TRUE, $S$371 = FALSE))</formula>
    </cfRule>
  </conditionalFormatting>
  <conditionalFormatting sqref="W372">
    <cfRule type="expression" dxfId="3220" priority="294">
      <formula>AND($R$372,$S$372)</formula>
    </cfRule>
  </conditionalFormatting>
  <conditionalFormatting sqref="W372">
    <cfRule type="expression" dxfId="3219" priority="293">
      <formula>AND(IF($R$372,$W$372,TRUE),LEN(TRIM($W$372))&gt;0)</formula>
    </cfRule>
  </conditionalFormatting>
  <conditionalFormatting sqref="W372">
    <cfRule type="expression" dxfId="3218" priority="292">
      <formula>$S$372 = FALSE</formula>
    </cfRule>
  </conditionalFormatting>
  <conditionalFormatting sqref="W372">
    <cfRule type="expression" dxfId="3217" priority="291">
      <formula>OR($T$372 = TRUE, AND($W$372 = TRUE, $S$372 = FALSE))</formula>
    </cfRule>
  </conditionalFormatting>
  <conditionalFormatting sqref="W373">
    <cfRule type="expression" dxfId="3216" priority="286">
      <formula>AND($R$373,$S$373)</formula>
    </cfRule>
  </conditionalFormatting>
  <conditionalFormatting sqref="W373">
    <cfRule type="expression" dxfId="3215" priority="285">
      <formula>AND(IF($R$373,$W$373,TRUE),LEN(TRIM($W$373))&gt;0)</formula>
    </cfRule>
  </conditionalFormatting>
  <conditionalFormatting sqref="W373">
    <cfRule type="expression" dxfId="3214" priority="284">
      <formula>$S$373 = FALSE</formula>
    </cfRule>
  </conditionalFormatting>
  <conditionalFormatting sqref="W373">
    <cfRule type="expression" dxfId="3213" priority="283">
      <formula>OR($T$373 = TRUE, AND($W$373 = TRUE, $S$373 = FALSE))</formula>
    </cfRule>
  </conditionalFormatting>
  <conditionalFormatting sqref="W404">
    <cfRule type="expression" dxfId="3212" priority="282">
      <formula>AND($R$404,$S$404)</formula>
    </cfRule>
  </conditionalFormatting>
  <conditionalFormatting sqref="W404">
    <cfRule type="expression" dxfId="3211" priority="281">
      <formula>AND(IF($R$404,$W$404,TRUE),LEN(TRIM($W$404))&gt;0)</formula>
    </cfRule>
  </conditionalFormatting>
  <conditionalFormatting sqref="W404">
    <cfRule type="expression" dxfId="3210" priority="280">
      <formula>$S$404 = FALSE</formula>
    </cfRule>
  </conditionalFormatting>
  <conditionalFormatting sqref="W404">
    <cfRule type="expression" dxfId="3209" priority="279">
      <formula>OR($T$404 = TRUE, AND($W$404 = TRUE, $S$404 = FALSE))</formula>
    </cfRule>
  </conditionalFormatting>
  <conditionalFormatting sqref="W412">
    <cfRule type="expression" dxfId="3208" priority="278">
      <formula>AND($R$412,$S$412)</formula>
    </cfRule>
  </conditionalFormatting>
  <conditionalFormatting sqref="W412">
    <cfRule type="expression" dxfId="3207" priority="277">
      <formula>AND(IF($R$412,$W$412,TRUE),LEN(TRIM($W$412))&gt;0)</formula>
    </cfRule>
  </conditionalFormatting>
  <conditionalFormatting sqref="W412">
    <cfRule type="expression" dxfId="3206" priority="276">
      <formula>$S$412 = FALSE</formula>
    </cfRule>
  </conditionalFormatting>
  <conditionalFormatting sqref="W412">
    <cfRule type="expression" dxfId="3205" priority="275">
      <formula>OR($T$412 = TRUE, AND($W$412 = TRUE, $S$412 = FALSE))</formula>
    </cfRule>
  </conditionalFormatting>
  <conditionalFormatting sqref="W414">
    <cfRule type="expression" dxfId="3204" priority="274">
      <formula>AND($R$414,$S$414)</formula>
    </cfRule>
  </conditionalFormatting>
  <conditionalFormatting sqref="W414">
    <cfRule type="expression" dxfId="3203" priority="273">
      <formula>AND(IF($R$414,$W$414,TRUE),LEN(TRIM($W$414))&gt;0)</formula>
    </cfRule>
  </conditionalFormatting>
  <conditionalFormatting sqref="W414">
    <cfRule type="expression" dxfId="3202" priority="272">
      <formula>$S$414 = FALSE</formula>
    </cfRule>
  </conditionalFormatting>
  <conditionalFormatting sqref="W414">
    <cfRule type="expression" dxfId="3201" priority="271">
      <formula>OR($T$414 = TRUE, AND($W$414 = TRUE, $S$414 = FALSE))</formula>
    </cfRule>
  </conditionalFormatting>
  <conditionalFormatting sqref="W415">
    <cfRule type="expression" dxfId="3200" priority="270">
      <formula>AND($R$415,$S$415)</formula>
    </cfRule>
  </conditionalFormatting>
  <conditionalFormatting sqref="W415">
    <cfRule type="expression" dxfId="3199" priority="269">
      <formula>AND(IF($R$415,$W$415,TRUE),LEN(TRIM($W$415))&gt;0)</formula>
    </cfRule>
  </conditionalFormatting>
  <conditionalFormatting sqref="W415">
    <cfRule type="expression" dxfId="3198" priority="268">
      <formula>$S$415 = FALSE</formula>
    </cfRule>
  </conditionalFormatting>
  <conditionalFormatting sqref="W415">
    <cfRule type="expression" dxfId="3197" priority="267">
      <formula>OR($T$415 = TRUE, AND($W$415 = TRUE, $S$415 = FALSE))</formula>
    </cfRule>
  </conditionalFormatting>
  <conditionalFormatting sqref="W416">
    <cfRule type="expression" dxfId="3196" priority="266">
      <formula>AND($R$416,$S$416)</formula>
    </cfRule>
  </conditionalFormatting>
  <conditionalFormatting sqref="W416">
    <cfRule type="expression" dxfId="3195" priority="265">
      <formula>AND(IF($R$416,$W$416,TRUE),LEN(TRIM($W$416))&gt;0)</formula>
    </cfRule>
  </conditionalFormatting>
  <conditionalFormatting sqref="W416">
    <cfRule type="expression" dxfId="3194" priority="264">
      <formula>$S$416 = FALSE</formula>
    </cfRule>
  </conditionalFormatting>
  <conditionalFormatting sqref="W416">
    <cfRule type="expression" dxfId="3193" priority="263">
      <formula>OR($T$416 = TRUE, AND($W$416 = TRUE, $S$416 = FALSE))</formula>
    </cfRule>
  </conditionalFormatting>
  <conditionalFormatting sqref="W418">
    <cfRule type="expression" dxfId="3192" priority="262">
      <formula>AND($R$418,$S$418)</formula>
    </cfRule>
  </conditionalFormatting>
  <conditionalFormatting sqref="W418">
    <cfRule type="expression" dxfId="3191" priority="261">
      <formula>AND(IF($R$418,$W$418,TRUE),LEN(TRIM($W$418))&gt;0)</formula>
    </cfRule>
  </conditionalFormatting>
  <conditionalFormatting sqref="W418">
    <cfRule type="expression" dxfId="3190" priority="260">
      <formula>$S$418 = FALSE</formula>
    </cfRule>
  </conditionalFormatting>
  <conditionalFormatting sqref="W418">
    <cfRule type="expression" dxfId="3189" priority="259">
      <formula>OR($T$418 = TRUE, AND($W$418 = TRUE, $S$418 = FALSE))</formula>
    </cfRule>
  </conditionalFormatting>
  <conditionalFormatting sqref="W421">
    <cfRule type="expression" dxfId="3188" priority="258">
      <formula>AND($R$421,$S$421)</formula>
    </cfRule>
  </conditionalFormatting>
  <conditionalFormatting sqref="W421">
    <cfRule type="expression" dxfId="3187" priority="257">
      <formula>AND(IF($R$421,$W$421,TRUE),LEN(TRIM($W$421))&gt;0)</formula>
    </cfRule>
  </conditionalFormatting>
  <conditionalFormatting sqref="W421">
    <cfRule type="expression" dxfId="3186" priority="256">
      <formula>$S$421 = FALSE</formula>
    </cfRule>
  </conditionalFormatting>
  <conditionalFormatting sqref="W421">
    <cfRule type="expression" dxfId="3185" priority="255">
      <formula>OR($T$421 = TRUE, AND($W$421 = TRUE, $S$421 = FALSE))</formula>
    </cfRule>
  </conditionalFormatting>
  <conditionalFormatting sqref="W422">
    <cfRule type="expression" dxfId="3184" priority="254">
      <formula>AND($R$422,$S$422)</formula>
    </cfRule>
  </conditionalFormatting>
  <conditionalFormatting sqref="W422">
    <cfRule type="expression" dxfId="3183" priority="253">
      <formula>AND(IF($R$422,$W$422,TRUE),LEN(TRIM($W$422))&gt;0)</formula>
    </cfRule>
  </conditionalFormatting>
  <conditionalFormatting sqref="W422">
    <cfRule type="expression" dxfId="3182" priority="252">
      <formula>$S$422 = FALSE</formula>
    </cfRule>
  </conditionalFormatting>
  <conditionalFormatting sqref="W422">
    <cfRule type="expression" dxfId="3181" priority="251">
      <formula>OR($T$422 = TRUE, AND($W$422 = TRUE, $S$422 = FALSE))</formula>
    </cfRule>
  </conditionalFormatting>
  <conditionalFormatting sqref="W427">
    <cfRule type="expression" dxfId="3180" priority="250">
      <formula>AND($R$427,$S$427)</formula>
    </cfRule>
  </conditionalFormatting>
  <conditionalFormatting sqref="W427">
    <cfRule type="expression" dxfId="3179" priority="249">
      <formula>AND(IF($R$427,$W$427,TRUE),LEN(TRIM($W$427))&gt;0)</formula>
    </cfRule>
  </conditionalFormatting>
  <conditionalFormatting sqref="W427">
    <cfRule type="expression" dxfId="3178" priority="248">
      <formula>$S$427 = FALSE</formula>
    </cfRule>
  </conditionalFormatting>
  <conditionalFormatting sqref="W427">
    <cfRule type="expression" dxfId="3177" priority="247">
      <formula>OR($T$427 = TRUE, AND($W$427 = TRUE, $S$427 = FALSE))</formula>
    </cfRule>
  </conditionalFormatting>
  <conditionalFormatting sqref="W429">
    <cfRule type="expression" dxfId="3176" priority="246">
      <formula>AND($R$429,$S$429)</formula>
    </cfRule>
  </conditionalFormatting>
  <conditionalFormatting sqref="W429">
    <cfRule type="expression" dxfId="3175" priority="245">
      <formula>AND(IF($R$429,$W$429,TRUE),LEN(TRIM($W$429))&gt;0)</formula>
    </cfRule>
  </conditionalFormatting>
  <conditionalFormatting sqref="W429">
    <cfRule type="expression" dxfId="3174" priority="244">
      <formula>$S$429 = FALSE</formula>
    </cfRule>
  </conditionalFormatting>
  <conditionalFormatting sqref="W429">
    <cfRule type="expression" dxfId="3173" priority="243">
      <formula>OR($T$429 = TRUE, AND($W$429 = TRUE, $S$429 = FALSE))</formula>
    </cfRule>
  </conditionalFormatting>
  <conditionalFormatting sqref="W431">
    <cfRule type="expression" dxfId="3172" priority="242">
      <formula>AND($R$431,$S$431)</formula>
    </cfRule>
  </conditionalFormatting>
  <conditionalFormatting sqref="W431">
    <cfRule type="expression" dxfId="3171" priority="241">
      <formula>AND(IF($R$431,$W$431,TRUE),LEN(TRIM($W$431))&gt;0)</formula>
    </cfRule>
  </conditionalFormatting>
  <conditionalFormatting sqref="W431">
    <cfRule type="expression" dxfId="3170" priority="240">
      <formula>$S$431 = FALSE</formula>
    </cfRule>
  </conditionalFormatting>
  <conditionalFormatting sqref="W431">
    <cfRule type="expression" dxfId="3169" priority="239">
      <formula>OR($T$431 = TRUE, AND($W$431 = TRUE, $S$431 = FALSE))</formula>
    </cfRule>
  </conditionalFormatting>
  <conditionalFormatting sqref="W433">
    <cfRule type="expression" dxfId="3168" priority="238">
      <formula>AND($R$433,$S$433)</formula>
    </cfRule>
  </conditionalFormatting>
  <conditionalFormatting sqref="W433">
    <cfRule type="expression" dxfId="3167" priority="237">
      <formula>AND(IF($R$433,$W$433,TRUE),LEN(TRIM($W$433))&gt;0)</formula>
    </cfRule>
  </conditionalFormatting>
  <conditionalFormatting sqref="W433">
    <cfRule type="expression" dxfId="3166" priority="236">
      <formula>$S$433 = FALSE</formula>
    </cfRule>
  </conditionalFormatting>
  <conditionalFormatting sqref="W433">
    <cfRule type="expression" dxfId="3165" priority="235">
      <formula>OR($T$433 = TRUE, AND($W$433 = TRUE, $S$433 = FALSE))</formula>
    </cfRule>
  </conditionalFormatting>
  <conditionalFormatting sqref="W364">
    <cfRule type="expression" dxfId="3164" priority="234">
      <formula>AND($R$364,$S$364)</formula>
    </cfRule>
  </conditionalFormatting>
  <conditionalFormatting sqref="W364">
    <cfRule type="expression" dxfId="3163" priority="233">
      <formula>AND(IF($R$364,$W$364,TRUE),LEN(TRIM($W$364))&gt;0)</formula>
    </cfRule>
  </conditionalFormatting>
  <conditionalFormatting sqref="W364">
    <cfRule type="expression" dxfId="3162" priority="232">
      <formula>$S$364 = FALSE</formula>
    </cfRule>
  </conditionalFormatting>
  <conditionalFormatting sqref="W364">
    <cfRule type="expression" dxfId="3161" priority="231">
      <formula>OR($T$364 = TRUE, AND($W$364 = TRUE, $S$364 = FALSE))</formula>
    </cfRule>
  </conditionalFormatting>
  <conditionalFormatting sqref="W366">
    <cfRule type="expression" dxfId="3160" priority="230">
      <formula>AND($R$366,$S$366)</formula>
    </cfRule>
  </conditionalFormatting>
  <conditionalFormatting sqref="W366">
    <cfRule type="expression" dxfId="3159" priority="229">
      <formula>AND(IF($R$366,$W$366,TRUE),LEN(TRIM($W$366))&gt;0)</formula>
    </cfRule>
  </conditionalFormatting>
  <conditionalFormatting sqref="W366">
    <cfRule type="expression" dxfId="3158" priority="228">
      <formula>$S$366 = FALSE</formula>
    </cfRule>
  </conditionalFormatting>
  <conditionalFormatting sqref="W366">
    <cfRule type="expression" dxfId="3157" priority="227">
      <formula>OR($T$366 = TRUE, AND($W$366 = TRUE, $S$366 = FALSE))</formula>
    </cfRule>
  </conditionalFormatting>
  <conditionalFormatting sqref="W368">
    <cfRule type="expression" dxfId="3156" priority="226">
      <formula>AND($R$368,$S$368)</formula>
    </cfRule>
  </conditionalFormatting>
  <conditionalFormatting sqref="W368">
    <cfRule type="expression" dxfId="3155" priority="225">
      <formula>AND(IF($R$368,$W$368,TRUE),LEN(TRIM($W$368))&gt;0)</formula>
    </cfRule>
  </conditionalFormatting>
  <conditionalFormatting sqref="W368">
    <cfRule type="expression" dxfId="3154" priority="224">
      <formula>$S$368 = FALSE</formula>
    </cfRule>
  </conditionalFormatting>
  <conditionalFormatting sqref="W368">
    <cfRule type="expression" dxfId="3153" priority="223">
      <formula>OR($T$368 = TRUE, AND($W$368 = TRUE, $S$368 = FALSE))</formula>
    </cfRule>
  </conditionalFormatting>
  <conditionalFormatting sqref="W497">
    <cfRule type="expression" dxfId="3152" priority="222">
      <formula>AND(R497,S497)</formula>
    </cfRule>
  </conditionalFormatting>
  <conditionalFormatting sqref="W497">
    <cfRule type="expression" dxfId="3151" priority="221">
      <formula>AND(S497,LEN(TRIM(W497))&gt;0)</formula>
    </cfRule>
  </conditionalFormatting>
  <conditionalFormatting sqref="W497">
    <cfRule type="expression" dxfId="3150" priority="220">
      <formula>S497 = FALSE</formula>
    </cfRule>
  </conditionalFormatting>
  <conditionalFormatting sqref="W497">
    <cfRule type="expression" dxfId="3149" priority="219">
      <formula>OR(T497 = TRUE, AND(W497 &gt; 0, S497 = FALSE))</formula>
    </cfRule>
  </conditionalFormatting>
  <conditionalFormatting sqref="W545">
    <cfRule type="expression" dxfId="3148" priority="218">
      <formula>AND($R$545,$S$545)</formula>
    </cfRule>
  </conditionalFormatting>
  <conditionalFormatting sqref="W545">
    <cfRule type="expression" dxfId="3147" priority="217">
      <formula>AND($W$545&lt;&gt;"Not Met",LEN(TRIM($W$545))&gt;0)</formula>
    </cfRule>
  </conditionalFormatting>
  <conditionalFormatting sqref="W545">
    <cfRule type="expression" dxfId="3146" priority="216">
      <formula>$S$545 = FALSE</formula>
    </cfRule>
  </conditionalFormatting>
  <conditionalFormatting sqref="W545">
    <cfRule type="expression" dxfId="3145" priority="215">
      <formula>OR($T$545 = TRUE, AND(LEN(TRIM($W$545))&gt;0, $S$545 = FALSE))</formula>
    </cfRule>
  </conditionalFormatting>
  <conditionalFormatting sqref="W354">
    <cfRule type="expression" dxfId="3144" priority="214">
      <formula>AND(R354,S354)</formula>
    </cfRule>
  </conditionalFormatting>
  <conditionalFormatting sqref="W354">
    <cfRule type="expression" dxfId="3143" priority="213">
      <formula>AND(R354,LEN(TRIM(W354))&gt;0)</formula>
    </cfRule>
  </conditionalFormatting>
  <conditionalFormatting sqref="W354">
    <cfRule type="expression" dxfId="3142" priority="212">
      <formula>S354 = FALSE</formula>
    </cfRule>
  </conditionalFormatting>
  <conditionalFormatting sqref="W354">
    <cfRule type="expression" dxfId="3141" priority="211">
      <formula>OR(T354 = TRUE, AND(W354 &gt; 0, S354 = FALSE))</formula>
    </cfRule>
  </conditionalFormatting>
  <conditionalFormatting sqref="W350">
    <cfRule type="expression" dxfId="3140" priority="210">
      <formula>AND($R$350,$S$350)</formula>
    </cfRule>
  </conditionalFormatting>
  <conditionalFormatting sqref="W350">
    <cfRule type="expression" dxfId="3139" priority="209">
      <formula>AND(IF($R$350,$W$350,TRUE),LEN(TRIM($W$350))&gt;0)</formula>
    </cfRule>
  </conditionalFormatting>
  <conditionalFormatting sqref="W350">
    <cfRule type="expression" dxfId="3138" priority="208">
      <formula>$S$350 = FALSE</formula>
    </cfRule>
  </conditionalFormatting>
  <conditionalFormatting sqref="W350">
    <cfRule type="expression" dxfId="3137" priority="207">
      <formula>OR($T$350 = TRUE, AND($W$350 = TRUE, $S$350 = FALSE))</formula>
    </cfRule>
  </conditionalFormatting>
  <conditionalFormatting sqref="W352">
    <cfRule type="expression" dxfId="3136" priority="206">
      <formula>AND($R$352,$S$352)</formula>
    </cfRule>
  </conditionalFormatting>
  <conditionalFormatting sqref="W352">
    <cfRule type="expression" dxfId="3135" priority="205">
      <formula>AND(IF($R$352,$W$352,TRUE),LEN(TRIM($W$352))&gt;0)</formula>
    </cfRule>
  </conditionalFormatting>
  <conditionalFormatting sqref="W352">
    <cfRule type="expression" dxfId="3134" priority="204">
      <formula>$S$352 = FALSE</formula>
    </cfRule>
  </conditionalFormatting>
  <conditionalFormatting sqref="W352">
    <cfRule type="expression" dxfId="3133" priority="203">
      <formula>OR($T$352 = TRUE, AND($W$352 = TRUE, $S$352 = FALSE))</formula>
    </cfRule>
  </conditionalFormatting>
  <conditionalFormatting sqref="W348">
    <cfRule type="expression" dxfId="3132" priority="202">
      <formula>AND($R$348,$S$348)</formula>
    </cfRule>
  </conditionalFormatting>
  <conditionalFormatting sqref="W348">
    <cfRule type="expression" dxfId="3131" priority="201">
      <formula>AND(IF($R$348,$W$348,TRUE),LEN(TRIM($W$348))&gt;0)</formula>
    </cfRule>
  </conditionalFormatting>
  <conditionalFormatting sqref="W348">
    <cfRule type="expression" dxfId="3130" priority="200">
      <formula>$S$348 = FALSE</formula>
    </cfRule>
  </conditionalFormatting>
  <conditionalFormatting sqref="W348">
    <cfRule type="expression" dxfId="3129" priority="199">
      <formula>OR($T$348 = TRUE, AND($W$348 = TRUE, $S$348 = FALSE))</formula>
    </cfRule>
  </conditionalFormatting>
  <conditionalFormatting sqref="W331">
    <cfRule type="expression" dxfId="3128" priority="198">
      <formula>AND($R$331,$S$331)</formula>
    </cfRule>
  </conditionalFormatting>
  <conditionalFormatting sqref="W331">
    <cfRule type="expression" dxfId="3127" priority="197">
      <formula>AND($W$331&lt;&gt;"Not Met",LEN(TRIM($W$331))&gt;0)</formula>
    </cfRule>
  </conditionalFormatting>
  <conditionalFormatting sqref="W331">
    <cfRule type="expression" dxfId="3126" priority="196">
      <formula>$S$331 = FALSE</formula>
    </cfRule>
  </conditionalFormatting>
  <conditionalFormatting sqref="W331">
    <cfRule type="expression" dxfId="3125" priority="195">
      <formula>OR($T$331 = TRUE, AND(LEN(TRIM($W$331))&gt;0, $S$331 = FALSE))</formula>
    </cfRule>
  </conditionalFormatting>
  <conditionalFormatting sqref="W333">
    <cfRule type="expression" dxfId="3124" priority="194">
      <formula>AND(R333,S333)</formula>
    </cfRule>
  </conditionalFormatting>
  <conditionalFormatting sqref="W333">
    <cfRule type="expression" dxfId="3123" priority="193">
      <formula>AND(S333,LEN(TRIM(W333))&gt;0)</formula>
    </cfRule>
  </conditionalFormatting>
  <conditionalFormatting sqref="W333">
    <cfRule type="expression" dxfId="3122" priority="192">
      <formula>S333 = FALSE</formula>
    </cfRule>
  </conditionalFormatting>
  <conditionalFormatting sqref="W333">
    <cfRule type="expression" dxfId="3121" priority="191">
      <formula>OR(T333 = TRUE, AND(W333 &gt; 0, S333 = FALSE))</formula>
    </cfRule>
  </conditionalFormatting>
  <conditionalFormatting sqref="W310">
    <cfRule type="expression" dxfId="3120" priority="190">
      <formula>AND($R$310,$S$310)</formula>
    </cfRule>
  </conditionalFormatting>
  <conditionalFormatting sqref="W310">
    <cfRule type="expression" dxfId="3119" priority="189">
      <formula>AND(IF($R$310,$W$310,TRUE),LEN(TRIM($W$310))&gt;0)</formula>
    </cfRule>
  </conditionalFormatting>
  <conditionalFormatting sqref="W310">
    <cfRule type="expression" dxfId="3118" priority="188">
      <formula>$S$310 = FALSE</formula>
    </cfRule>
  </conditionalFormatting>
  <conditionalFormatting sqref="W310">
    <cfRule type="expression" dxfId="3117" priority="187">
      <formula>OR($T$310 = TRUE, AND($W$310 = TRUE, $S$310 = FALSE))</formula>
    </cfRule>
  </conditionalFormatting>
  <conditionalFormatting sqref="W312">
    <cfRule type="expression" dxfId="3116" priority="186">
      <formula>AND($R$312,$S$312)</formula>
    </cfRule>
  </conditionalFormatting>
  <conditionalFormatting sqref="W312">
    <cfRule type="expression" dxfId="3115" priority="185">
      <formula>AND(IF($R$312,$W$312,TRUE),LEN(TRIM($W$312))&gt;0)</formula>
    </cfRule>
  </conditionalFormatting>
  <conditionalFormatting sqref="W312">
    <cfRule type="expression" dxfId="3114" priority="184">
      <formula>$S$312 = FALSE</formula>
    </cfRule>
  </conditionalFormatting>
  <conditionalFormatting sqref="W312">
    <cfRule type="expression" dxfId="3113" priority="183">
      <formula>OR($T$312 = TRUE, AND($W$312 = TRUE, $S$312 = FALSE))</formula>
    </cfRule>
  </conditionalFormatting>
  <conditionalFormatting sqref="W315">
    <cfRule type="expression" dxfId="3112" priority="182">
      <formula>AND($R$315,$S$315)</formula>
    </cfRule>
  </conditionalFormatting>
  <conditionalFormatting sqref="W315">
    <cfRule type="expression" dxfId="3111" priority="181">
      <formula>AND(IF($R$315,$W$315,TRUE),LEN(TRIM($W$315))&gt;0)</formula>
    </cfRule>
  </conditionalFormatting>
  <conditionalFormatting sqref="W315">
    <cfRule type="expression" dxfId="3110" priority="180">
      <formula>$S$315 = FALSE</formula>
    </cfRule>
  </conditionalFormatting>
  <conditionalFormatting sqref="W315">
    <cfRule type="expression" dxfId="3109" priority="179">
      <formula>OR($T$315 = TRUE, AND($W$315 = TRUE, $S$315 = FALSE))</formula>
    </cfRule>
  </conditionalFormatting>
  <conditionalFormatting sqref="W316">
    <cfRule type="expression" dxfId="3108" priority="178">
      <formula>AND($R$316,$S$316)</formula>
    </cfRule>
  </conditionalFormatting>
  <conditionalFormatting sqref="W316">
    <cfRule type="expression" dxfId="3107" priority="177">
      <formula>AND(IF($R$316,$W$316,TRUE),LEN(TRIM($W$316))&gt;0)</formula>
    </cfRule>
  </conditionalFormatting>
  <conditionalFormatting sqref="W316">
    <cfRule type="expression" dxfId="3106" priority="176">
      <formula>$S$316 = FALSE</formula>
    </cfRule>
  </conditionalFormatting>
  <conditionalFormatting sqref="W316">
    <cfRule type="expression" dxfId="3105" priority="175">
      <formula>OR($T$316 = TRUE, AND($W$316 = TRUE, $S$316 = FALSE))</formula>
    </cfRule>
  </conditionalFormatting>
  <conditionalFormatting sqref="W318">
    <cfRule type="expression" dxfId="3104" priority="174">
      <formula>AND($R$318,$S$318)</formula>
    </cfRule>
  </conditionalFormatting>
  <conditionalFormatting sqref="W318">
    <cfRule type="expression" dxfId="3103" priority="173">
      <formula>AND(IF($R$318,$W$318,TRUE),LEN(TRIM($W$318))&gt;0)</formula>
    </cfRule>
  </conditionalFormatting>
  <conditionalFormatting sqref="W318">
    <cfRule type="expression" dxfId="3102" priority="172">
      <formula>$S$318 = FALSE</formula>
    </cfRule>
  </conditionalFormatting>
  <conditionalFormatting sqref="W318">
    <cfRule type="expression" dxfId="3101" priority="171">
      <formula>OR($T$318 = TRUE, AND($W$318 = TRUE, $S$318 = FALSE))</formula>
    </cfRule>
  </conditionalFormatting>
  <conditionalFormatting sqref="W320">
    <cfRule type="expression" dxfId="3100" priority="170">
      <formula>AND($R$320,$S$320)</formula>
    </cfRule>
  </conditionalFormatting>
  <conditionalFormatting sqref="W320">
    <cfRule type="expression" dxfId="3099" priority="169">
      <formula>AND($W$320&lt;&gt;"Not Met",LEN(TRIM($W$320))&gt;0)</formula>
    </cfRule>
  </conditionalFormatting>
  <conditionalFormatting sqref="W320">
    <cfRule type="expression" dxfId="3098" priority="168">
      <formula>$S$320 = FALSE</formula>
    </cfRule>
  </conditionalFormatting>
  <conditionalFormatting sqref="W320">
    <cfRule type="expression" dxfId="3097" priority="167">
      <formula>OR($T$320 = TRUE, AND(LEN(TRIM($W$320))&gt;0, $S$320 = FALSE))</formula>
    </cfRule>
  </conditionalFormatting>
  <conditionalFormatting sqref="W75">
    <cfRule type="expression" dxfId="3096" priority="166">
      <formula>AND(R75,S75)</formula>
    </cfRule>
  </conditionalFormatting>
  <conditionalFormatting sqref="W75">
    <cfRule type="expression" dxfId="3095" priority="165">
      <formula>NOT(ISBLANK(W75))</formula>
    </cfRule>
  </conditionalFormatting>
  <conditionalFormatting sqref="W75">
    <cfRule type="expression" dxfId="3094" priority="164">
      <formula>S75 = FALSE</formula>
    </cfRule>
  </conditionalFormatting>
  <conditionalFormatting sqref="W75">
    <cfRule type="expression" dxfId="3093" priority="163">
      <formula>OR(T75 = TRUE, AND(W75 = TRUE, S75 = FALSE))</formula>
    </cfRule>
  </conditionalFormatting>
  <conditionalFormatting sqref="W531">
    <cfRule type="expression" dxfId="3092" priority="162">
      <formula>AND(R531,S531)</formula>
    </cfRule>
  </conditionalFormatting>
  <conditionalFormatting sqref="W531">
    <cfRule type="expression" dxfId="3091" priority="161">
      <formula>NOT(ISBLANK(W531))</formula>
    </cfRule>
  </conditionalFormatting>
  <conditionalFormatting sqref="W531">
    <cfRule type="expression" dxfId="3090" priority="160">
      <formula>S531 = FALSE</formula>
    </cfRule>
  </conditionalFormatting>
  <conditionalFormatting sqref="W531">
    <cfRule type="expression" dxfId="3089" priority="159">
      <formula>OR(T531 = TRUE, AND(W531 = TRUE, S531 = FALSE))</formula>
    </cfRule>
  </conditionalFormatting>
  <conditionalFormatting sqref="W231">
    <cfRule type="expression" dxfId="3088" priority="158">
      <formula>AND($R$231,$S$231)</formula>
    </cfRule>
  </conditionalFormatting>
  <conditionalFormatting sqref="W231">
    <cfRule type="expression" dxfId="3087" priority="157">
      <formula>AND($W$231&lt;&gt;"Not Met",LEN(TRIM($W$231))&gt;0)</formula>
    </cfRule>
  </conditionalFormatting>
  <conditionalFormatting sqref="W231">
    <cfRule type="expression" dxfId="3086" priority="156">
      <formula>$S$231 = FALSE</formula>
    </cfRule>
  </conditionalFormatting>
  <conditionalFormatting sqref="W231">
    <cfRule type="expression" dxfId="3085" priority="155">
      <formula>OR($T$231 = TRUE, AND(LEN(TRIM($W$231))&gt;0, $S$231 = FALSE))</formula>
    </cfRule>
  </conditionalFormatting>
  <conditionalFormatting sqref="W237">
    <cfRule type="expression" dxfId="3084" priority="153">
      <formula>AND($W$237&lt;&gt;"Not Met",LEN(TRIM($W$237))&gt;0)</formula>
    </cfRule>
  </conditionalFormatting>
  <conditionalFormatting sqref="W304">
    <cfRule type="expression" dxfId="3083" priority="150">
      <formula>AND($R$304,$S$304)</formula>
    </cfRule>
  </conditionalFormatting>
  <conditionalFormatting sqref="W304">
    <cfRule type="expression" dxfId="3082" priority="149">
      <formula>AND(IF($R$304,$W$304,TRUE),LEN(TRIM($W$304))&gt;0)</formula>
    </cfRule>
  </conditionalFormatting>
  <conditionalFormatting sqref="W304">
    <cfRule type="expression" dxfId="3081" priority="148">
      <formula>$S$304 = FALSE</formula>
    </cfRule>
  </conditionalFormatting>
  <conditionalFormatting sqref="W304">
    <cfRule type="expression" dxfId="3080" priority="147">
      <formula>OR($T$304 = TRUE, AND($W$304 = TRUE, $S$304 = FALSE))</formula>
    </cfRule>
  </conditionalFormatting>
  <conditionalFormatting sqref="W205">
    <cfRule type="expression" dxfId="3079" priority="135">
      <formula>OR($T$205 = TRUE, AND(LEN(TRIM($W$205))&gt;0, $S$205 = FALSE))</formula>
    </cfRule>
    <cfRule type="expression" dxfId="3078" priority="136">
      <formula>$S$205 = FALSE</formula>
    </cfRule>
    <cfRule type="expression" dxfId="3077" priority="137">
      <formula>AND($W$205&lt;&gt;"Not Met",LEN(TRIM($W$205))&gt;0)</formula>
    </cfRule>
    <cfRule type="expression" dxfId="3076" priority="138">
      <formula>AND($R$205,$S$205)</formula>
    </cfRule>
  </conditionalFormatting>
  <conditionalFormatting sqref="W213">
    <cfRule type="expression" dxfId="3075" priority="131">
      <formula>OR($T$213 = TRUE, AND(LEN(TRIM($W$213))&gt;0, $S$213 = FALSE))</formula>
    </cfRule>
    <cfRule type="expression" dxfId="3074" priority="132">
      <formula>$S$213 = FALSE</formula>
    </cfRule>
    <cfRule type="expression" dxfId="3073" priority="133">
      <formula>AND($W$213&lt;&gt;"Not Met",LEN(TRIM($W$213))&gt;0)</formula>
    </cfRule>
    <cfRule type="expression" dxfId="3072" priority="134">
      <formula>AND($R$213,$S$213)</formula>
    </cfRule>
  </conditionalFormatting>
  <conditionalFormatting sqref="W221">
    <cfRule type="expression" dxfId="3071" priority="127">
      <formula>OR($T$221 = TRUE, AND(LEN(TRIM($W$221))&gt;0, $S$221 = FALSE))</formula>
    </cfRule>
    <cfRule type="expression" dxfId="3070" priority="128">
      <formula>$S$221 = FALSE</formula>
    </cfRule>
    <cfRule type="expression" dxfId="3069" priority="129">
      <formula>AND($W$221&lt;&gt;"Not Met",LEN(TRIM($W$221))&gt;0)</formula>
    </cfRule>
    <cfRule type="expression" dxfId="3068" priority="130">
      <formula>AND($R$221,$S$221)</formula>
    </cfRule>
  </conditionalFormatting>
  <conditionalFormatting sqref="W243">
    <cfRule type="expression" dxfId="3067" priority="123">
      <formula>OR($T$243 = TRUE, AND($W$243 = TRUE, $S$243 = FALSE))</formula>
    </cfRule>
    <cfRule type="expression" dxfId="3066" priority="124">
      <formula>$S$243 = FALSE</formula>
    </cfRule>
    <cfRule type="expression" dxfId="3065" priority="125">
      <formula>AND(IF($R$243,$W$243,TRUE),LEN(TRIM($W$243))&gt;0)</formula>
    </cfRule>
    <cfRule type="expression" dxfId="3064" priority="126">
      <formula>AND($R$243,$S$243)</formula>
    </cfRule>
  </conditionalFormatting>
  <conditionalFormatting sqref="W250">
    <cfRule type="expression" dxfId="3063" priority="122">
      <formula>AND(R250,S250)</formula>
    </cfRule>
  </conditionalFormatting>
  <conditionalFormatting sqref="W250">
    <cfRule type="expression" dxfId="3062" priority="121">
      <formula>NOT(ISBLANK(W250))</formula>
    </cfRule>
  </conditionalFormatting>
  <conditionalFormatting sqref="W250">
    <cfRule type="expression" dxfId="3061" priority="120">
      <formula>S250 = FALSE</formula>
    </cfRule>
  </conditionalFormatting>
  <conditionalFormatting sqref="W250">
    <cfRule type="expression" dxfId="3060" priority="119">
      <formula>OR(T250 = TRUE, AND(W250 = TRUE, S250 = FALSE))</formula>
    </cfRule>
  </conditionalFormatting>
  <conditionalFormatting sqref="W256">
    <cfRule type="expression" dxfId="3059" priority="106">
      <formula>AND(R256,S256)</formula>
    </cfRule>
  </conditionalFormatting>
  <conditionalFormatting sqref="W256">
    <cfRule type="expression" dxfId="3058" priority="105">
      <formula>NOT(ISBLANK(W256))</formula>
    </cfRule>
  </conditionalFormatting>
  <conditionalFormatting sqref="W256">
    <cfRule type="expression" dxfId="3057" priority="104">
      <formula>S256 = FALSE</formula>
    </cfRule>
  </conditionalFormatting>
  <conditionalFormatting sqref="W256">
    <cfRule type="expression" dxfId="3056" priority="103">
      <formula>OR(T256 = TRUE, AND(W256 = TRUE, S256 = FALSE))</formula>
    </cfRule>
  </conditionalFormatting>
  <conditionalFormatting sqref="W259">
    <cfRule type="expression" dxfId="3055" priority="102">
      <formula>AND(R259,S259)</formula>
    </cfRule>
  </conditionalFormatting>
  <conditionalFormatting sqref="W259">
    <cfRule type="expression" dxfId="3054" priority="101">
      <formula>NOT(ISBLANK(W259))</formula>
    </cfRule>
  </conditionalFormatting>
  <conditionalFormatting sqref="W259">
    <cfRule type="expression" dxfId="3053" priority="100">
      <formula>S259 = FALSE</formula>
    </cfRule>
  </conditionalFormatting>
  <conditionalFormatting sqref="W259">
    <cfRule type="expression" dxfId="3052" priority="99">
      <formula>OR(T259 = TRUE, AND(W259 = TRUE, S259 = FALSE))</formula>
    </cfRule>
  </conditionalFormatting>
  <conditionalFormatting sqref="W264">
    <cfRule type="expression" dxfId="3051" priority="98">
      <formula>AND(R264,S264)</formula>
    </cfRule>
  </conditionalFormatting>
  <conditionalFormatting sqref="W264">
    <cfRule type="expression" dxfId="3050" priority="97">
      <formula>NOT(ISBLANK(W264))</formula>
    </cfRule>
  </conditionalFormatting>
  <conditionalFormatting sqref="W264">
    <cfRule type="expression" dxfId="3049" priority="96">
      <formula>S264 = FALSE</formula>
    </cfRule>
  </conditionalFormatting>
  <conditionalFormatting sqref="W264">
    <cfRule type="expression" dxfId="3048" priority="95">
      <formula>OR(T264 = TRUE, AND(W264 = TRUE, S264 = FALSE))</formula>
    </cfRule>
  </conditionalFormatting>
  <conditionalFormatting sqref="W270">
    <cfRule type="expression" dxfId="3047" priority="94">
      <formula>AND(R270,S270)</formula>
    </cfRule>
  </conditionalFormatting>
  <conditionalFormatting sqref="W270">
    <cfRule type="expression" dxfId="3046" priority="93">
      <formula>NOT(ISBLANK(W270))</formula>
    </cfRule>
  </conditionalFormatting>
  <conditionalFormatting sqref="W270">
    <cfRule type="expression" dxfId="3045" priority="92">
      <formula>S270 = FALSE</formula>
    </cfRule>
  </conditionalFormatting>
  <conditionalFormatting sqref="W270">
    <cfRule type="expression" dxfId="3044" priority="91">
      <formula>OR(T270 = TRUE, AND(W270 = TRUE, S270 = FALSE))</formula>
    </cfRule>
  </conditionalFormatting>
  <conditionalFormatting sqref="W275">
    <cfRule type="expression" dxfId="3043" priority="90">
      <formula>AND(R275,S275)</formula>
    </cfRule>
  </conditionalFormatting>
  <conditionalFormatting sqref="W275">
    <cfRule type="expression" dxfId="3042" priority="89">
      <formula>NOT(ISBLANK(W275))</formula>
    </cfRule>
  </conditionalFormatting>
  <conditionalFormatting sqref="W275">
    <cfRule type="expression" dxfId="3041" priority="88">
      <formula>S275 = FALSE</formula>
    </cfRule>
  </conditionalFormatting>
  <conditionalFormatting sqref="W275">
    <cfRule type="expression" dxfId="3040" priority="87">
      <formula>OR(T275 = TRUE, AND(W275 = TRUE, S275 = FALSE))</formula>
    </cfRule>
  </conditionalFormatting>
  <conditionalFormatting sqref="W280">
    <cfRule type="expression" dxfId="3039" priority="86">
      <formula>AND(R280,S280)</formula>
    </cfRule>
  </conditionalFormatting>
  <conditionalFormatting sqref="W280">
    <cfRule type="expression" dxfId="3038" priority="85">
      <formula>NOT(ISBLANK(W280))</formula>
    </cfRule>
  </conditionalFormatting>
  <conditionalFormatting sqref="W280">
    <cfRule type="expression" dxfId="3037" priority="84">
      <formula>S280 = FALSE</formula>
    </cfRule>
  </conditionalFormatting>
  <conditionalFormatting sqref="W280">
    <cfRule type="expression" dxfId="3036" priority="83">
      <formula>OR(T280 = TRUE, AND(W280 = TRUE, S280 = FALSE))</formula>
    </cfRule>
  </conditionalFormatting>
  <conditionalFormatting sqref="W286">
    <cfRule type="expression" dxfId="3035" priority="82">
      <formula>AND(R286,S286)</formula>
    </cfRule>
  </conditionalFormatting>
  <conditionalFormatting sqref="W286">
    <cfRule type="expression" dxfId="3034" priority="81">
      <formula>NOT(ISBLANK(W286))</formula>
    </cfRule>
  </conditionalFormatting>
  <conditionalFormatting sqref="W286">
    <cfRule type="expression" dxfId="3033" priority="80">
      <formula>S286 = FALSE</formula>
    </cfRule>
  </conditionalFormatting>
  <conditionalFormatting sqref="W286">
    <cfRule type="expression" dxfId="3032" priority="79">
      <formula>OR(T286 = TRUE, AND(W286 = TRUE, S286 = FALSE))</formula>
    </cfRule>
  </conditionalFormatting>
  <conditionalFormatting sqref="W284">
    <cfRule type="expression" dxfId="3031" priority="78">
      <formula>AND($R$284,$S$284)</formula>
    </cfRule>
  </conditionalFormatting>
  <conditionalFormatting sqref="W284">
    <cfRule type="expression" dxfId="3030" priority="77">
      <formula>AND(IF($R$284,$W$284,TRUE),LEN(TRIM($W$284))&gt;0)</formula>
    </cfRule>
  </conditionalFormatting>
  <conditionalFormatting sqref="W284">
    <cfRule type="expression" dxfId="3029" priority="76">
      <formula>$S$284 = FALSE</formula>
    </cfRule>
  </conditionalFormatting>
  <conditionalFormatting sqref="W284">
    <cfRule type="expression" dxfId="3028" priority="75">
      <formula>OR($T$284 = TRUE, AND($W$284 = TRUE, $S$284 = FALSE))</formula>
    </cfRule>
  </conditionalFormatting>
  <conditionalFormatting sqref="W287">
    <cfRule type="expression" dxfId="3027" priority="74">
      <formula>AND($R$287,$S$287)</formula>
    </cfRule>
  </conditionalFormatting>
  <conditionalFormatting sqref="W287">
    <cfRule type="expression" dxfId="3026" priority="73">
      <formula>AND(IF($R$287,$W$287,TRUE),LEN(TRIM($W$287))&gt;0)</formula>
    </cfRule>
  </conditionalFormatting>
  <conditionalFormatting sqref="W287">
    <cfRule type="expression" dxfId="3025" priority="72">
      <formula>$S$287 = FALSE</formula>
    </cfRule>
  </conditionalFormatting>
  <conditionalFormatting sqref="W287">
    <cfRule type="expression" dxfId="3024" priority="71">
      <formula>OR($T$287 = TRUE, AND($W$287 = TRUE, $S$287 = FALSE))</formula>
    </cfRule>
  </conditionalFormatting>
  <conditionalFormatting sqref="W292">
    <cfRule type="expression" dxfId="3023" priority="70">
      <formula>AND(R292,S292)</formula>
    </cfRule>
  </conditionalFormatting>
  <conditionalFormatting sqref="W292">
    <cfRule type="expression" dxfId="3022" priority="69">
      <formula>NOT(ISBLANK(W292))</formula>
    </cfRule>
  </conditionalFormatting>
  <conditionalFormatting sqref="W292">
    <cfRule type="expression" dxfId="3021" priority="68">
      <formula>S292 = FALSE</formula>
    </cfRule>
  </conditionalFormatting>
  <conditionalFormatting sqref="W292">
    <cfRule type="expression" dxfId="3020" priority="67">
      <formula>OR(T292 = TRUE, AND(W292 = TRUE, S292 = FALSE))</formula>
    </cfRule>
  </conditionalFormatting>
  <conditionalFormatting sqref="W297">
    <cfRule type="expression" dxfId="3019" priority="66">
      <formula>AND($R$297,$S$297)</formula>
    </cfRule>
  </conditionalFormatting>
  <conditionalFormatting sqref="W297">
    <cfRule type="expression" dxfId="3018" priority="65">
      <formula>AND(IF($R$297,$W$297,TRUE),LEN(TRIM($W$297))&gt;0)</formula>
    </cfRule>
  </conditionalFormatting>
  <conditionalFormatting sqref="W297">
    <cfRule type="expression" dxfId="3017" priority="64">
      <formula>$S$297 = FALSE</formula>
    </cfRule>
  </conditionalFormatting>
  <conditionalFormatting sqref="W297">
    <cfRule type="expression" dxfId="3016" priority="63">
      <formula>OR($T$297 = TRUE, AND($W$297 = TRUE, $S$297 = FALSE))</formula>
    </cfRule>
  </conditionalFormatting>
  <conditionalFormatting sqref="W299">
    <cfRule type="expression" dxfId="3015" priority="62">
      <formula>AND(R299,S299)</formula>
    </cfRule>
  </conditionalFormatting>
  <conditionalFormatting sqref="W299">
    <cfRule type="expression" dxfId="3014" priority="61">
      <formula>NOT(ISBLANK(W299))</formula>
    </cfRule>
  </conditionalFormatting>
  <conditionalFormatting sqref="W299">
    <cfRule type="expression" dxfId="3013" priority="60">
      <formula>S299 = FALSE</formula>
    </cfRule>
  </conditionalFormatting>
  <conditionalFormatting sqref="W299">
    <cfRule type="expression" dxfId="3012" priority="59">
      <formula>OR(T299 = TRUE, AND(W299 = TRUE, S299 = FALSE))</formula>
    </cfRule>
  </conditionalFormatting>
  <conditionalFormatting sqref="X230:X235">
    <cfRule type="expression" dxfId="3011" priority="58">
      <formula>W231=INDEX(INDIRECT(U231),1)</formula>
    </cfRule>
  </conditionalFormatting>
  <conditionalFormatting sqref="W237">
    <cfRule type="expression" dxfId="3010" priority="3039">
      <formula>AND($R$237,$S$237)</formula>
    </cfRule>
  </conditionalFormatting>
  <conditionalFormatting sqref="W237">
    <cfRule type="expression" dxfId="3009" priority="3040">
      <formula>$S$237 = FALSE</formula>
    </cfRule>
  </conditionalFormatting>
  <conditionalFormatting sqref="W237">
    <cfRule type="expression" dxfId="3008" priority="3041">
      <formula>OR($T$237 = TRUE, AND(LEN(TRIM($W$237))&gt;0, $S$237 = FALSE))</formula>
    </cfRule>
  </conditionalFormatting>
  <conditionalFormatting sqref="X236:X242">
    <cfRule type="expression" dxfId="3007" priority="57">
      <formula>W237=INDEX(INDIRECT(U237),1)</formula>
    </cfRule>
  </conditionalFormatting>
  <conditionalFormatting sqref="I1">
    <cfRule type="expression" dxfId="3006" priority="53">
      <formula>$AG$1="Gold"</formula>
    </cfRule>
    <cfRule type="expression" dxfId="3005" priority="54">
      <formula>$AG$1="Silver"</formula>
    </cfRule>
    <cfRule type="expression" dxfId="3004" priority="55">
      <formula>$AG$1="Bronze"</formula>
    </cfRule>
    <cfRule type="expression" dxfId="3003" priority="56">
      <formula>$AG$1="Emerald"</formula>
    </cfRule>
  </conditionalFormatting>
  <conditionalFormatting sqref="X1">
    <cfRule type="expression" dxfId="3002" priority="52">
      <formula>startError</formula>
    </cfRule>
  </conditionalFormatting>
  <conditionalFormatting sqref="W78">
    <cfRule type="expression" dxfId="3001" priority="51">
      <formula>AND(R78,S78)</formula>
    </cfRule>
  </conditionalFormatting>
  <conditionalFormatting sqref="W78">
    <cfRule type="expression" dxfId="3000" priority="50">
      <formula>NOT(ISBLANK(W78))</formula>
    </cfRule>
  </conditionalFormatting>
  <conditionalFormatting sqref="W78">
    <cfRule type="expression" dxfId="2999" priority="49">
      <formula>S78 = FALSE</formula>
    </cfRule>
  </conditionalFormatting>
  <conditionalFormatting sqref="W78">
    <cfRule type="expression" dxfId="2998" priority="48">
      <formula>OR(T78 = TRUE, AND(W78 = TRUE, S78 = FALSE))</formula>
    </cfRule>
  </conditionalFormatting>
  <conditionalFormatting sqref="W553">
    <cfRule type="expression" dxfId="2997" priority="47">
      <formula>AND($R$553,$S$553)</formula>
    </cfRule>
  </conditionalFormatting>
  <conditionalFormatting sqref="W553">
    <cfRule type="expression" dxfId="2996" priority="46">
      <formula>AND(IF($R$553,$W$553,TRUE),LEN(TRIM($W$553))&gt;0)</formula>
    </cfRule>
  </conditionalFormatting>
  <conditionalFormatting sqref="W553">
    <cfRule type="expression" dxfId="2995" priority="45">
      <formula>$S$553 = FALSE</formula>
    </cfRule>
  </conditionalFormatting>
  <conditionalFormatting sqref="W553">
    <cfRule type="expression" dxfId="2994" priority="44">
      <formula>OR($T$553 = TRUE, AND($W$553 = TRUE, $S$553 = FALSE))</formula>
    </cfRule>
  </conditionalFormatting>
  <conditionalFormatting sqref="W274">
    <cfRule type="expression" dxfId="2993" priority="38">
      <formula>AND(R274,S274)</formula>
    </cfRule>
  </conditionalFormatting>
  <conditionalFormatting sqref="W274">
    <cfRule type="expression" dxfId="2992" priority="37">
      <formula>NOT(ISBLANK(W274))</formula>
    </cfRule>
  </conditionalFormatting>
  <conditionalFormatting sqref="W274">
    <cfRule type="expression" dxfId="2991" priority="36">
      <formula>S274 = FALSE</formula>
    </cfRule>
  </conditionalFormatting>
  <conditionalFormatting sqref="W274">
    <cfRule type="expression" dxfId="2990" priority="35">
      <formula>OR(T274 = TRUE, AND(W274 = TRUE, S274 = FALSE))</formula>
    </cfRule>
  </conditionalFormatting>
  <conditionalFormatting sqref="W533">
    <cfRule type="expression" dxfId="2989" priority="34">
      <formula>AND(R533,S533)</formula>
    </cfRule>
  </conditionalFormatting>
  <conditionalFormatting sqref="W533">
    <cfRule type="expression" dxfId="2988" priority="33">
      <formula>NOT(ISBLANK(W533))</formula>
    </cfRule>
  </conditionalFormatting>
  <conditionalFormatting sqref="W533">
    <cfRule type="expression" dxfId="2987" priority="32">
      <formula>S533 = FALSE</formula>
    </cfRule>
  </conditionalFormatting>
  <conditionalFormatting sqref="W533">
    <cfRule type="expression" dxfId="2986" priority="31">
      <formula>OR(T533 = TRUE, AND(W533 = TRUE, S533 = FALSE))</formula>
    </cfRule>
  </conditionalFormatting>
  <conditionalFormatting sqref="X198:X204">
    <cfRule type="expression" dxfId="2985" priority="30">
      <formula>W198</formula>
    </cfRule>
  </conditionalFormatting>
  <conditionalFormatting sqref="W463">
    <cfRule type="expression" dxfId="2984" priority="25">
      <formula>AND(R463,S463)</formula>
    </cfRule>
  </conditionalFormatting>
  <conditionalFormatting sqref="W463">
    <cfRule type="expression" dxfId="2983" priority="24">
      <formula>AND(IF(S463,W463,TRUE),LEN(TRIM(W463))&gt;0)</formula>
    </cfRule>
  </conditionalFormatting>
  <conditionalFormatting sqref="W463">
    <cfRule type="expression" dxfId="2982" priority="23">
      <formula>S463 = FALSE</formula>
    </cfRule>
  </conditionalFormatting>
  <conditionalFormatting sqref="W463">
    <cfRule type="expression" dxfId="2981" priority="22">
      <formula>OR(T463 = TRUE, AND(W463 = TRUE, S463 = FALSE))</formula>
    </cfRule>
  </conditionalFormatting>
  <conditionalFormatting sqref="W198">
    <cfRule type="expression" dxfId="2980" priority="18">
      <formula>OR($T$198 = TRUE, AND(LEN(TRIM($W$198))&gt;0, $S$198 = FALSE))</formula>
    </cfRule>
    <cfRule type="expression" dxfId="2979" priority="19">
      <formula>$S$198 = FALSE</formula>
    </cfRule>
    <cfRule type="expression" dxfId="2978" priority="20">
      <formula>AND($W$198&lt;&gt;"Not Met",LEN(TRIM($W$198))&gt;0)</formula>
    </cfRule>
    <cfRule type="expression" dxfId="2977" priority="21">
      <formula>AND($R$198,$S$198)</formula>
    </cfRule>
  </conditionalFormatting>
  <conditionalFormatting sqref="X14:X16">
    <cfRule type="expression" dxfId="2976" priority="17">
      <formula>R14</formula>
    </cfRule>
  </conditionalFormatting>
  <conditionalFormatting sqref="W14">
    <cfRule type="expression" dxfId="2975" priority="16">
      <formula>AND($R$14,$S$14)</formula>
    </cfRule>
  </conditionalFormatting>
  <conditionalFormatting sqref="W14">
    <cfRule type="expression" dxfId="2974" priority="15">
      <formula>AND($W$14&lt;&gt;"Not Met",LEN(TRIM($W$14))&gt;0)</formula>
    </cfRule>
  </conditionalFormatting>
  <conditionalFormatting sqref="W14">
    <cfRule type="expression" dxfId="2973" priority="14">
      <formula>$S$14 = FALSE</formula>
    </cfRule>
  </conditionalFormatting>
  <conditionalFormatting sqref="W14">
    <cfRule type="expression" dxfId="2972" priority="13">
      <formula>OR($T$14 = TRUE, AND(LEN(TRIM($W$14))&gt;0, $S$14 = FALSE))</formula>
    </cfRule>
  </conditionalFormatting>
  <conditionalFormatting sqref="W178">
    <cfRule type="expression" dxfId="2971" priority="12">
      <formula>AND(R178,S178)</formula>
    </cfRule>
  </conditionalFormatting>
  <conditionalFormatting sqref="W178">
    <cfRule type="expression" dxfId="2970" priority="11">
      <formula>NOT(ISBLANK(W178))</formula>
    </cfRule>
  </conditionalFormatting>
  <conditionalFormatting sqref="W178">
    <cfRule type="expression" dxfId="2969" priority="10">
      <formula>S178 = FALSE</formula>
    </cfRule>
  </conditionalFormatting>
  <conditionalFormatting sqref="W178">
    <cfRule type="expression" dxfId="2968" priority="9">
      <formula>OR(T178 = TRUE, AND(W178 = TRUE, S178 = FALSE))</formula>
    </cfRule>
  </conditionalFormatting>
  <conditionalFormatting sqref="W180">
    <cfRule type="expression" dxfId="2967" priority="8">
      <formula>AND(R180,S180)</formula>
    </cfRule>
  </conditionalFormatting>
  <conditionalFormatting sqref="W180">
    <cfRule type="expression" dxfId="2966" priority="7">
      <formula>NOT(ISBLANK(W180))</formula>
    </cfRule>
  </conditionalFormatting>
  <conditionalFormatting sqref="W180">
    <cfRule type="expression" dxfId="2965" priority="6">
      <formula>S180 = FALSE</formula>
    </cfRule>
  </conditionalFormatting>
  <conditionalFormatting sqref="W180">
    <cfRule type="expression" dxfId="2964" priority="5">
      <formula>OR(T180 = TRUE, AND(W180 = TRUE, S180 = FALSE))</formula>
    </cfRule>
  </conditionalFormatting>
  <conditionalFormatting sqref="W176">
    <cfRule type="expression" dxfId="2963" priority="4">
      <formula>AND($R$176,$S$176)</formula>
    </cfRule>
  </conditionalFormatting>
  <conditionalFormatting sqref="W176">
    <cfRule type="expression" dxfId="2962" priority="3">
      <formula>AND($W$176&lt;&gt;"Not Met",LEN(TRIM($W$176))&gt;0)</formula>
    </cfRule>
  </conditionalFormatting>
  <conditionalFormatting sqref="W176">
    <cfRule type="expression" dxfId="2961" priority="2">
      <formula>$S$176 = FALSE</formula>
    </cfRule>
  </conditionalFormatting>
  <conditionalFormatting sqref="W176">
    <cfRule type="expression" dxfId="2960" priority="1">
      <formula>OR($T$176 = TRUE, AND(LEN(TRIM($W$176))&gt;0, $S$176 = FALSE))</formula>
    </cfRule>
  </conditionalFormatting>
  <dataValidations xWindow="1548" yWindow="672" count="38">
    <dataValidation type="list" allowBlank="1" showInputMessage="1" showErrorMessage="1" error="Please use the dropdown." sqref="W12" xr:uid="{00000000-0002-0000-0500-000000000000}">
      <formula1>INDIRECT($U$12)</formula1>
    </dataValidation>
    <dataValidation type="list" allowBlank="1" showInputMessage="1" showErrorMessage="1" error="Please use the dropdown." sqref="W26" xr:uid="{00000000-0002-0000-0500-000001000000}">
      <formula1>INDIRECT($U$26)</formula1>
    </dataValidation>
    <dataValidation type="list" allowBlank="1" showDropDown="1" showInputMessage="1" showErrorMessage="1" error="Use Checkbox" prompt="Use Checkbox" sqref="W35 W40 W59 W57 W121 W143 W52:W53 W135 W49 W297 W173 W160 W137:W138 W94 W91 W182 W191 W582 W579 W574:W577 W614 W612 W610 W600:W607 W636 W629:W630 W633 W625 W509 W504 W499:W500 W494 W491 W474 W310 W537 W376 W567 W565 W563 W551 W433 W431 W429 W427 W421:W422 W418 W414:W416 W412 W404 W371:W373 W368 W366 W364 W352 W350 W348 W318 W315:W316 W312 W534 W304 W553 W243 W287 W284" xr:uid="{00000000-0002-0000-0500-000002000000}">
      <formula1>TorF</formula1>
    </dataValidation>
    <dataValidation type="list" allowBlank="1" showInputMessage="1" showErrorMessage="1" error="Please use the dropdown." sqref="W43" xr:uid="{00000000-0002-0000-0500-000003000000}">
      <formula1>INDIRECT($U$43)</formula1>
    </dataValidation>
    <dataValidation type="decimal" allowBlank="1" showDropDown="1" showInputMessage="1" showErrorMessage="1" error="Enter a percentage" prompt="Enter a percentage" sqref="W149 W184" xr:uid="{00000000-0002-0000-0500-000004000000}">
      <formula1>0</formula1>
      <formula2>1</formula2>
    </dataValidation>
    <dataValidation type="list" allowBlank="1" showInputMessage="1" showErrorMessage="1" error="Please use the dropdown." sqref="W127" xr:uid="{00000000-0002-0000-0500-000005000000}">
      <formula1>INDIRECT($U$127)</formula1>
    </dataValidation>
    <dataValidation type="decimal" allowBlank="1" showDropDown="1" showInputMessage="1" showErrorMessage="1" error="Enter a nuber of inches" prompt="Enter a number of inches" sqref="W190" xr:uid="{00000000-0002-0000-0500-000006000000}">
      <formula1>0</formula1>
      <formula2>36</formula2>
    </dataValidation>
    <dataValidation type="list" allowBlank="1" showInputMessage="1" showErrorMessage="1" error="Please use the dropdown." sqref="W585" xr:uid="{00000000-0002-0000-0500-000007000000}">
      <formula1>INDIRECT($U$585)</formula1>
    </dataValidation>
    <dataValidation type="whole" allowBlank="1" showDropDown="1" showInputMessage="1" showErrorMessage="1" error="Enter a whole number" prompt="Enter number of kW" sqref="W617" xr:uid="{00000000-0002-0000-0500-000008000000}">
      <formula1>0</formula1>
      <formula2>10000000000</formula2>
    </dataValidation>
    <dataValidation type="list" allowBlank="1" showInputMessage="1" showErrorMessage="1" error="Please use the dropdown." sqref="W470" xr:uid="{00000000-0002-0000-0500-000009000000}">
      <formula1>INDIRECT($U$470)</formula1>
    </dataValidation>
    <dataValidation type="list" allowBlank="1" showInputMessage="1" showErrorMessage="1" error="Please use the dropdown." sqref="W477" xr:uid="{00000000-0002-0000-0500-00000A000000}">
      <formula1>INDIRECT($U$477)</formula1>
    </dataValidation>
    <dataValidation type="list" allowBlank="1" showInputMessage="1" showErrorMessage="1" error="Please use the dropdown." sqref="W481" xr:uid="{00000000-0002-0000-0500-00000B000000}">
      <formula1>INDIRECT($U$481)</formula1>
    </dataValidation>
    <dataValidation type="list" allowBlank="1" showInputMessage="1" showErrorMessage="1" error="Please use the dropdown." sqref="W486" xr:uid="{00000000-0002-0000-0500-00000C000000}">
      <formula1>INDIRECT($U$486)</formula1>
    </dataValidation>
    <dataValidation type="whole" allowBlank="1" showDropDown="1" showInputMessage="1" showErrorMessage="1" error="Enter a whole number" prompt="Enter number of recessed luminaires penetrating the thermal envelope" sqref="W497" xr:uid="{00000000-0002-0000-0500-00000D000000}">
      <formula1>0</formula1>
      <formula2>100</formula2>
    </dataValidation>
    <dataValidation type="list" allowBlank="1" showInputMessage="1" showErrorMessage="1" error="Please use the dropdown." sqref="W545" xr:uid="{00000000-0002-0000-0500-00000E000000}">
      <formula1>INDIRECT($U$545)</formula1>
    </dataValidation>
    <dataValidation type="decimal" allowBlank="1" showDropDown="1" showInputMessage="1" showErrorMessage="1" error="Enter a number" prompt="Enter SEF" sqref="W354" xr:uid="{00000000-0002-0000-0500-00000F000000}">
      <formula1>0</formula1>
      <formula2>5</formula2>
    </dataValidation>
    <dataValidation type="list" allowBlank="1" showInputMessage="1" showErrorMessage="1" error="Please use the dropdown." sqref="W331" xr:uid="{00000000-0002-0000-0500-000010000000}">
      <formula1>INDIRECT($U$331)</formula1>
    </dataValidation>
    <dataValidation type="decimal" allowBlank="1" showDropDown="1" showInputMessage="1" showErrorMessage="1" error="Enter a number" prompt="Enter Energy Factor or Thermal Efficiency" sqref="W333" xr:uid="{00000000-0002-0000-0500-000011000000}">
      <formula1>0</formula1>
      <formula2>3</formula2>
    </dataValidation>
    <dataValidation type="list" allowBlank="1" showInputMessage="1" showErrorMessage="1" error="Please use the dropdown." sqref="W320" xr:uid="{00000000-0002-0000-0500-000012000000}">
      <formula1>INDIRECT($U$320)</formula1>
    </dataValidation>
    <dataValidation type="decimal" allowBlank="1" showDropDown="1" showInputMessage="1" showErrorMessage="1" prompt="Enter the ACH50" sqref="W75 W531" xr:uid="{00000000-0002-0000-0500-000013000000}">
      <formula1>0</formula1>
      <formula2>50</formula2>
    </dataValidation>
    <dataValidation type="list" allowBlank="1" showInputMessage="1" showErrorMessage="1" error="Please use the dropdown." sqref="W231" xr:uid="{00000000-0002-0000-0500-000014000000}">
      <formula1>INDIRECT($U$231)</formula1>
    </dataValidation>
    <dataValidation type="list" allowBlank="1" showInputMessage="1" showErrorMessage="1" error="Please use the dropdown." sqref="W205" xr:uid="{00000000-0002-0000-0500-000015000000}">
      <formula1>INDIRECT($U$205)</formula1>
    </dataValidation>
    <dataValidation type="list" allowBlank="1" showInputMessage="1" showErrorMessage="1" error="Please use the dropdown." sqref="W213" xr:uid="{00000000-0002-0000-0500-000016000000}">
      <formula1>INDIRECT($U$213)</formula1>
    </dataValidation>
    <dataValidation type="list" allowBlank="1" showInputMessage="1" showErrorMessage="1" error="Please use the dropdown." sqref="W221" xr:uid="{00000000-0002-0000-0500-000017000000}">
      <formula1>INDIRECT($U$221)</formula1>
    </dataValidation>
    <dataValidation type="decimal" allowBlank="1" showDropDown="1" showInputMessage="1" showErrorMessage="1" prompt="Enter the AFUE" sqref="W250 W256 W259 W264" xr:uid="{00000000-0002-0000-0500-000018000000}">
      <formula1>0</formula1>
      <formula2>1</formula2>
    </dataValidation>
    <dataValidation type="decimal" allowBlank="1" showDropDown="1" showInputMessage="1" showErrorMessage="1" prompt="Enter the HSPF" sqref="W270" xr:uid="{00000000-0002-0000-0500-000019000000}">
      <formula1>0</formula1>
      <formula2>100</formula2>
    </dataValidation>
    <dataValidation type="decimal" allowBlank="1" showDropDown="1" showInputMessage="1" showErrorMessage="1" prompt="Enter the COP" sqref="W275 W286" xr:uid="{00000000-0002-0000-0500-00001A000000}">
      <formula1>0</formula1>
      <formula2>100</formula2>
    </dataValidation>
    <dataValidation type="decimal" allowBlank="1" showDropDown="1" showInputMessage="1" showErrorMessage="1" prompt="Enter the SEER" sqref="W280" xr:uid="{00000000-0002-0000-0500-00001B000000}">
      <formula1>0</formula1>
      <formula2>100</formula2>
    </dataValidation>
    <dataValidation type="decimal" allowBlank="1" showDropDown="1" showInputMessage="1" showErrorMessage="1" prompt="Enter the EER" sqref="W292" xr:uid="{00000000-0002-0000-0500-00001C000000}">
      <formula1>0</formula1>
      <formula2>100</formula2>
    </dataValidation>
    <dataValidation type="whole" allowBlank="1" showDropDown="1" showInputMessage="1" showErrorMessage="1" prompt="Enter number of fans" sqref="W299" xr:uid="{00000000-0002-0000-0500-00001D000000}">
      <formula1>0</formula1>
      <formula2>100</formula2>
    </dataValidation>
    <dataValidation type="list" allowBlank="1" showInputMessage="1" showErrorMessage="1" error="Please use the dropdown." sqref="W237" xr:uid="{00000000-0002-0000-0500-00001E000000}">
      <formula1>INDIRECT($U$237)</formula1>
    </dataValidation>
    <dataValidation type="decimal" allowBlank="1" showDropDown="1" showInputMessage="1" showErrorMessage="1" prompt="Enter the ELR50" sqref="W78 W533" xr:uid="{00000000-0002-0000-0500-00001F000000}">
      <formula1>0</formula1>
      <formula2>1</formula2>
    </dataValidation>
    <dataValidation type="decimal" allowBlank="1" showInputMessage="1" showErrorMessage="1" prompt="Enter the HSPF" sqref="W274" xr:uid="{3C347F65-A15E-4151-8DEC-411BCD4230B0}">
      <formula1>1</formula1>
      <formula2>100</formula2>
    </dataValidation>
    <dataValidation type="decimal" allowBlank="1" showDropDown="1" showInputMessage="1" showErrorMessage="1" error="Enter a number" prompt="Enter a number" sqref="W461 W463" xr:uid="{3A4C775A-C1B9-4CDA-B927-BBA8C88B2722}">
      <formula1>0</formula1>
      <formula2>100</formula2>
    </dataValidation>
    <dataValidation type="list" allowBlank="1" showInputMessage="1" showErrorMessage="1" error="Please use the dropdown." sqref="W198" xr:uid="{F177CDD4-34B0-4C1E-955B-3BE75632532C}">
      <formula1>INDIRECT($U$198)</formula1>
    </dataValidation>
    <dataValidation type="list" allowBlank="1" showInputMessage="1" showErrorMessage="1" error="Please use the dropdown." sqref="W14" xr:uid="{8F273C0C-C0D6-4204-8C70-EF38D5EAFE54}">
      <formula1>INDIRECT($U$14)</formula1>
    </dataValidation>
    <dataValidation type="decimal" allowBlank="1" showDropDown="1" showInputMessage="1" showErrorMessage="1" error="Enter a percentage up to 10" prompt="Enter CFM25/CFA in Percent" sqref="W178 W180" xr:uid="{2CDDF93F-6267-415B-9B3C-0FFDCF918EC7}">
      <formula1>0</formula1>
      <formula2>0.1</formula2>
    </dataValidation>
    <dataValidation type="list" allowBlank="1" showInputMessage="1" showErrorMessage="1" error="Please use the dropdown." sqref="W176" xr:uid="{D378F257-2A0F-47C7-BE67-83B4EFBF5E2E}">
      <formula1>INDIRECT($U$176)</formula1>
    </dataValidation>
  </dataValidations>
  <hyperlinks>
    <hyperlink ref="L93" location="'Table 701.4.3.2(2)'!A1" display="See Table 701.4.3.2(2)" xr:uid="{00000000-0004-0000-0500-000000000000}"/>
    <hyperlink ref="L188" location="'Table 703.2.1(a)'!A1" display="See Table 703.2.1(a)" xr:uid="{00000000-0004-0000-0500-000001000000}"/>
    <hyperlink ref="M182:M187" location="'Table 703.2.1(b)'!A1" display="Per Table 703.2.1(b)" xr:uid="{00000000-0004-0000-0500-000002000000}"/>
    <hyperlink ref="X641" location="'Ch8'!A1" display="CLICK TO PROCEED TO CHAPTER 8 &gt;&gt;" xr:uid="{00000000-0004-0000-0500-000003000000}"/>
    <hyperlink ref="L396" location="'Table 703.7.1(7)'!A1" display="See Table 703.7.1(7)" xr:uid="{00000000-0004-0000-0500-000004000000}"/>
    <hyperlink ref="M189:M190" location="'Table 703.2.2'!A1" display="Per Table 703.2.2" xr:uid="{00000000-0004-0000-0500-000005000000}"/>
    <hyperlink ref="M194:M196" location="'Table 703.2.4'!A1" display="Per Table 703.2.4" xr:uid="{00000000-0004-0000-0500-000006000000}"/>
    <hyperlink ref="L204" location="'Table 703.2.5.1'!A1" display="See Table 703.2.5.1" xr:uid="{00000000-0004-0000-0500-000007000000}"/>
    <hyperlink ref="M213:M217" location="'Tables 703.2.5.2(a), (b) &amp; (c)'!A1" display="'Tables 703.2.5.2(a), (b) &amp; (c)'!A1" xr:uid="{00000000-0004-0000-0500-000008000000}"/>
  </hyperlinks>
  <pageMargins left="0.7" right="0.7" top="0.75" bottom="0.75" header="0.3" footer="0.3"/>
  <pageSetup scale="44" fitToHeight="0" orientation="portrait" r:id="rId1"/>
  <rowBreaks count="6" manualBreakCount="6">
    <brk id="71" max="16383" man="1"/>
    <brk id="157" max="16383" man="1"/>
    <brk id="265" max="16383" man="1"/>
    <brk id="360" max="16383" man="1"/>
    <brk id="464" max="16383" man="1"/>
    <brk id="570" max="16383" man="1"/>
  </rowBreaks>
  <ignoredErrors>
    <ignoredError sqref="AQ12 AQ14 AQ26 AQ35 AQ49 AQ40 AQ43 AQ52:AQ53 AQ57 AQ59 AQ94 AQ75 AQ91 AQ78 AQ121 AQ127 AQ135 AQ137:AQ138 AQ143 AQ149 AQ160 AQ173 AQ176 AQ182 AQ184 AQ190:AQ191 AQ198 AQ205 AQ213 AQ221 AQ231 AQ237 AQ243 AQ250 AQ256 AQ259 AQ264 AQ270 AQ275 AQ280 AQ284 AQ286:AQ287 AQ292 AQ297 AQ299 AQ304 AQ310 AQ312 AQ315:AQ316 AQ318 AQ320 AQ331 AQ333 AQ348 AQ350 AQ352 AQ354 AQ364 AQ366 AQ368 AQ371:AQ373 AQ376 AQ404 AQ412 AQ414:AQ416 AQ418 AQ421:AQ422 AQ427 AQ429 AQ431 AQ433 AQ461 AQ463 AQ470 AQ474 AQ477 AQ481 AQ486 AQ491 AQ494 AQ497 AQ499:AQ500 AQ504 AQ509 AQ531 AQ533:AQ534 AQ537 AQ545 AQ551 AQ563 AQ565 AQ567 AQ574:AQ577 AQ579 AQ582 AQ585 AQ600:AQ607 AQ610 AQ612 AQ614 AQ617 AQ625 AQ629:AQ630 AQ633 AQ636 AS14 AS17 AS19 AS22 AS25 AS35 AS49 AS40 AS43 AS52:AS53 AS56 AS60:AS71 AS75 AS95:AS96 AS112 AS115 AS98:AS99 AS103 AS105 AS108 AS110:AS111 AS80:AS81 AS83:AS84 AS86:AS89 AS91 AS78 AS118 AS121 AS127 AS135 AS137:AS138 AS143 AS147 AS153 AS156 AS160 AS173 AS176 AS182 AS189 AS191 AS194 AS198 AS205 AS213 AS221 AS230 AS236 AS243 AS249 AS255 AS258 AS263 AS269 AS275 AS279 AS284 AS286:AS287 AS291 AS297 AS304 AS310 AS312 AS315:AS316 AS318 AS320 AS330 AS348 AS350 AS352:AS353 AS364 AS366 AS368 AS371:AS373 AS399 AS378 AS380 AS382 AS384 AS386 AS389 AS391:AS392 AS394 AS397:AS398 AS404 AS412 AS414:AS416 AS418 AS421:AS422 AS427 AS429 AS431 AS436 AS440 AS443 AS451 AS454 AS457 AS470 AS474 AS477 AS481 AS486 AS491 AS494 AS496 AS499:AS500 AS504 AS509 AS511:AS516 AS518 AS531 AS534 AS537 AS545 AS554:AS560 AS563 AS565 AS567 AS574:AS577 AS579 AS582 AS585 AS592 AS600:AS607 AS610 AS612 AS614 AS616 AS625 AS629:AS630 AS633 AS63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locked="0" defaultSize="0" autoFill="0" autoLine="0" autoPict="0">
                <anchor moveWithCells="1" sizeWithCells="1">
                  <from>
                    <xdr:col>22</xdr:col>
                    <xdr:colOff>0</xdr:colOff>
                    <xdr:row>34</xdr:row>
                    <xdr:rowOff>0</xdr:rowOff>
                  </from>
                  <to>
                    <xdr:col>22</xdr:col>
                    <xdr:colOff>184150</xdr:colOff>
                    <xdr:row>34</xdr:row>
                    <xdr:rowOff>184150</xdr:rowOff>
                  </to>
                </anchor>
              </controlPr>
            </control>
          </mc:Choice>
        </mc:AlternateContent>
        <mc:AlternateContent xmlns:mc="http://schemas.openxmlformats.org/markup-compatibility/2006">
          <mc:Choice Requires="x14">
            <control shapeId="5125" r:id="rId5" name="Check Box 5">
              <controlPr locked="0" defaultSize="0" autoFill="0" autoLine="0" autoPict="0">
                <anchor moveWithCells="1" sizeWithCells="1">
                  <from>
                    <xdr:col>22</xdr:col>
                    <xdr:colOff>0</xdr:colOff>
                    <xdr:row>39</xdr:row>
                    <xdr:rowOff>0</xdr:rowOff>
                  </from>
                  <to>
                    <xdr:col>22</xdr:col>
                    <xdr:colOff>184150</xdr:colOff>
                    <xdr:row>39</xdr:row>
                    <xdr:rowOff>184150</xdr:rowOff>
                  </to>
                </anchor>
              </controlPr>
            </control>
          </mc:Choice>
        </mc:AlternateContent>
        <mc:AlternateContent xmlns:mc="http://schemas.openxmlformats.org/markup-compatibility/2006">
          <mc:Choice Requires="x14">
            <control shapeId="5128" r:id="rId6" name="Check Box 8">
              <controlPr locked="0" defaultSize="0" autoFill="0" autoLine="0" autoPict="0">
                <anchor moveWithCells="1" sizeWithCells="1">
                  <from>
                    <xdr:col>22</xdr:col>
                    <xdr:colOff>0</xdr:colOff>
                    <xdr:row>56</xdr:row>
                    <xdr:rowOff>0</xdr:rowOff>
                  </from>
                  <to>
                    <xdr:col>22</xdr:col>
                    <xdr:colOff>184150</xdr:colOff>
                    <xdr:row>56</xdr:row>
                    <xdr:rowOff>184150</xdr:rowOff>
                  </to>
                </anchor>
              </controlPr>
            </control>
          </mc:Choice>
        </mc:AlternateContent>
        <mc:AlternateContent xmlns:mc="http://schemas.openxmlformats.org/markup-compatibility/2006">
          <mc:Choice Requires="x14">
            <control shapeId="5129" r:id="rId7" name="Check Box 9">
              <controlPr locked="0" defaultSize="0" autoFill="0" autoLine="0" autoPict="0">
                <anchor moveWithCells="1" sizeWithCells="1">
                  <from>
                    <xdr:col>22</xdr:col>
                    <xdr:colOff>0</xdr:colOff>
                    <xdr:row>58</xdr:row>
                    <xdr:rowOff>0</xdr:rowOff>
                  </from>
                  <to>
                    <xdr:col>22</xdr:col>
                    <xdr:colOff>184150</xdr:colOff>
                    <xdr:row>58</xdr:row>
                    <xdr:rowOff>184150</xdr:rowOff>
                  </to>
                </anchor>
              </controlPr>
            </control>
          </mc:Choice>
        </mc:AlternateContent>
        <mc:AlternateContent xmlns:mc="http://schemas.openxmlformats.org/markup-compatibility/2006">
          <mc:Choice Requires="x14">
            <control shapeId="5131" r:id="rId8" name="Check Box 11">
              <controlPr locked="0" defaultSize="0" autoFill="0" autoLine="0" autoPict="0">
                <anchor moveWithCells="1" sizeWithCells="1">
                  <from>
                    <xdr:col>22</xdr:col>
                    <xdr:colOff>0</xdr:colOff>
                    <xdr:row>120</xdr:row>
                    <xdr:rowOff>0</xdr:rowOff>
                  </from>
                  <to>
                    <xdr:col>22</xdr:col>
                    <xdr:colOff>184150</xdr:colOff>
                    <xdr:row>120</xdr:row>
                    <xdr:rowOff>184150</xdr:rowOff>
                  </to>
                </anchor>
              </controlPr>
            </control>
          </mc:Choice>
        </mc:AlternateContent>
        <mc:AlternateContent xmlns:mc="http://schemas.openxmlformats.org/markup-compatibility/2006">
          <mc:Choice Requires="x14">
            <control shapeId="5132" r:id="rId9" name="Check Box 12">
              <controlPr locked="0" defaultSize="0" autoFill="0" autoLine="0" autoPict="0">
                <anchor moveWithCells="1" sizeWithCells="1">
                  <from>
                    <xdr:col>22</xdr:col>
                    <xdr:colOff>0</xdr:colOff>
                    <xdr:row>134</xdr:row>
                    <xdr:rowOff>0</xdr:rowOff>
                  </from>
                  <to>
                    <xdr:col>22</xdr:col>
                    <xdr:colOff>184150</xdr:colOff>
                    <xdr:row>134</xdr:row>
                    <xdr:rowOff>184150</xdr:rowOff>
                  </to>
                </anchor>
              </controlPr>
            </control>
          </mc:Choice>
        </mc:AlternateContent>
        <mc:AlternateContent xmlns:mc="http://schemas.openxmlformats.org/markup-compatibility/2006">
          <mc:Choice Requires="x14">
            <control shapeId="5133" r:id="rId10" name="Check Box 13">
              <controlPr locked="0" defaultSize="0" autoFill="0" autoLine="0" autoPict="0">
                <anchor moveWithCells="1" sizeWithCells="1">
                  <from>
                    <xdr:col>22</xdr:col>
                    <xdr:colOff>0</xdr:colOff>
                    <xdr:row>136</xdr:row>
                    <xdr:rowOff>0</xdr:rowOff>
                  </from>
                  <to>
                    <xdr:col>22</xdr:col>
                    <xdr:colOff>184150</xdr:colOff>
                    <xdr:row>136</xdr:row>
                    <xdr:rowOff>184150</xdr:rowOff>
                  </to>
                </anchor>
              </controlPr>
            </control>
          </mc:Choice>
        </mc:AlternateContent>
        <mc:AlternateContent xmlns:mc="http://schemas.openxmlformats.org/markup-compatibility/2006">
          <mc:Choice Requires="x14">
            <control shapeId="5135" r:id="rId11" name="Check Box 15">
              <controlPr locked="0" defaultSize="0" autoFill="0" autoLine="0" autoPict="0">
                <anchor moveWithCells="1" sizeWithCells="1">
                  <from>
                    <xdr:col>22</xdr:col>
                    <xdr:colOff>0</xdr:colOff>
                    <xdr:row>142</xdr:row>
                    <xdr:rowOff>0</xdr:rowOff>
                  </from>
                  <to>
                    <xdr:col>22</xdr:col>
                    <xdr:colOff>184150</xdr:colOff>
                    <xdr:row>142</xdr:row>
                    <xdr:rowOff>184150</xdr:rowOff>
                  </to>
                </anchor>
              </controlPr>
            </control>
          </mc:Choice>
        </mc:AlternateContent>
        <mc:AlternateContent xmlns:mc="http://schemas.openxmlformats.org/markup-compatibility/2006">
          <mc:Choice Requires="x14">
            <control shapeId="5137" r:id="rId12" name="Check Box 17">
              <controlPr locked="0" defaultSize="0" autoFill="0" autoLine="0" autoPict="0">
                <anchor moveWithCells="1" sizeWithCells="1">
                  <from>
                    <xdr:col>22</xdr:col>
                    <xdr:colOff>0</xdr:colOff>
                    <xdr:row>48</xdr:row>
                    <xdr:rowOff>0</xdr:rowOff>
                  </from>
                  <to>
                    <xdr:col>22</xdr:col>
                    <xdr:colOff>184150</xdr:colOff>
                    <xdr:row>48</xdr:row>
                    <xdr:rowOff>184150</xdr:rowOff>
                  </to>
                </anchor>
              </controlPr>
            </control>
          </mc:Choice>
        </mc:AlternateContent>
        <mc:AlternateContent xmlns:mc="http://schemas.openxmlformats.org/markup-compatibility/2006">
          <mc:Choice Requires="x14">
            <control shapeId="5138" r:id="rId13" name="Check Box 18">
              <controlPr locked="0" defaultSize="0" autoFill="0" autoLine="0" autoPict="0">
                <anchor moveWithCells="1" sizeWithCells="1">
                  <from>
                    <xdr:col>22</xdr:col>
                    <xdr:colOff>0</xdr:colOff>
                    <xdr:row>51</xdr:row>
                    <xdr:rowOff>0</xdr:rowOff>
                  </from>
                  <to>
                    <xdr:col>22</xdr:col>
                    <xdr:colOff>184150</xdr:colOff>
                    <xdr:row>51</xdr:row>
                    <xdr:rowOff>184150</xdr:rowOff>
                  </to>
                </anchor>
              </controlPr>
            </control>
          </mc:Choice>
        </mc:AlternateContent>
        <mc:AlternateContent xmlns:mc="http://schemas.openxmlformats.org/markup-compatibility/2006">
          <mc:Choice Requires="x14">
            <control shapeId="5139" r:id="rId14" name="Check Box 19">
              <controlPr locked="0" defaultSize="0" autoFill="0" autoLine="0" autoPict="0">
                <anchor moveWithCells="1" sizeWithCells="1">
                  <from>
                    <xdr:col>22</xdr:col>
                    <xdr:colOff>0</xdr:colOff>
                    <xdr:row>52</xdr:row>
                    <xdr:rowOff>0</xdr:rowOff>
                  </from>
                  <to>
                    <xdr:col>22</xdr:col>
                    <xdr:colOff>184150</xdr:colOff>
                    <xdr:row>52</xdr:row>
                    <xdr:rowOff>184150</xdr:rowOff>
                  </to>
                </anchor>
              </controlPr>
            </control>
          </mc:Choice>
        </mc:AlternateContent>
        <mc:AlternateContent xmlns:mc="http://schemas.openxmlformats.org/markup-compatibility/2006">
          <mc:Choice Requires="x14">
            <control shapeId="5146" r:id="rId15" name="Check Box 26">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5148" r:id="rId16" name="Check Box 28">
              <controlPr locked="0" defaultSize="0" autoFill="0" autoLine="0" autoPict="0">
                <anchor moveWithCells="1" sizeWithCells="1">
                  <from>
                    <xdr:col>22</xdr:col>
                    <xdr:colOff>0</xdr:colOff>
                    <xdr:row>93</xdr:row>
                    <xdr:rowOff>0</xdr:rowOff>
                  </from>
                  <to>
                    <xdr:col>22</xdr:col>
                    <xdr:colOff>184150</xdr:colOff>
                    <xdr:row>93</xdr:row>
                    <xdr:rowOff>184150</xdr:rowOff>
                  </to>
                </anchor>
              </controlPr>
            </control>
          </mc:Choice>
        </mc:AlternateContent>
        <mc:AlternateContent xmlns:mc="http://schemas.openxmlformats.org/markup-compatibility/2006">
          <mc:Choice Requires="x14">
            <control shapeId="5150" r:id="rId17" name="Check Box 30">
              <controlPr locked="0" defaultSize="0" autoFill="0" autoLine="0" autoPict="0">
                <anchor moveWithCells="1" sizeWithCells="1">
                  <from>
                    <xdr:col>22</xdr:col>
                    <xdr:colOff>0</xdr:colOff>
                    <xdr:row>137</xdr:row>
                    <xdr:rowOff>0</xdr:rowOff>
                  </from>
                  <to>
                    <xdr:col>22</xdr:col>
                    <xdr:colOff>184150</xdr:colOff>
                    <xdr:row>137</xdr:row>
                    <xdr:rowOff>184150</xdr:rowOff>
                  </to>
                </anchor>
              </controlPr>
            </control>
          </mc:Choice>
        </mc:AlternateContent>
        <mc:AlternateContent xmlns:mc="http://schemas.openxmlformats.org/markup-compatibility/2006">
          <mc:Choice Requires="x14">
            <control shapeId="5152" r:id="rId18" name="Check Box 32">
              <controlPr locked="0" defaultSize="0" autoFill="0" autoLine="0" autoPict="0">
                <anchor moveWithCells="1" sizeWithCells="1">
                  <from>
                    <xdr:col>22</xdr:col>
                    <xdr:colOff>0</xdr:colOff>
                    <xdr:row>159</xdr:row>
                    <xdr:rowOff>0</xdr:rowOff>
                  </from>
                  <to>
                    <xdr:col>22</xdr:col>
                    <xdr:colOff>184150</xdr:colOff>
                    <xdr:row>159</xdr:row>
                    <xdr:rowOff>184150</xdr:rowOff>
                  </to>
                </anchor>
              </controlPr>
            </control>
          </mc:Choice>
        </mc:AlternateContent>
        <mc:AlternateContent xmlns:mc="http://schemas.openxmlformats.org/markup-compatibility/2006">
          <mc:Choice Requires="x14">
            <control shapeId="5153" r:id="rId19" name="Check Box 33">
              <controlPr locked="0" defaultSize="0" autoFill="0" autoLine="0" autoPict="0">
                <anchor moveWithCells="1" sizeWithCells="1">
                  <from>
                    <xdr:col>22</xdr:col>
                    <xdr:colOff>0</xdr:colOff>
                    <xdr:row>172</xdr:row>
                    <xdr:rowOff>0</xdr:rowOff>
                  </from>
                  <to>
                    <xdr:col>22</xdr:col>
                    <xdr:colOff>184150</xdr:colOff>
                    <xdr:row>172</xdr:row>
                    <xdr:rowOff>184150</xdr:rowOff>
                  </to>
                </anchor>
              </controlPr>
            </control>
          </mc:Choice>
        </mc:AlternateContent>
        <mc:AlternateContent xmlns:mc="http://schemas.openxmlformats.org/markup-compatibility/2006">
          <mc:Choice Requires="x14">
            <control shapeId="5156" r:id="rId20" name="Check Box 36">
              <controlPr locked="0" defaultSize="0" autoFill="0" autoLine="0" autoPict="0">
                <anchor moveWithCells="1" sizeWithCells="1">
                  <from>
                    <xdr:col>22</xdr:col>
                    <xdr:colOff>0</xdr:colOff>
                    <xdr:row>181</xdr:row>
                    <xdr:rowOff>0</xdr:rowOff>
                  </from>
                  <to>
                    <xdr:col>22</xdr:col>
                    <xdr:colOff>184150</xdr:colOff>
                    <xdr:row>181</xdr:row>
                    <xdr:rowOff>184150</xdr:rowOff>
                  </to>
                </anchor>
              </controlPr>
            </control>
          </mc:Choice>
        </mc:AlternateContent>
        <mc:AlternateContent xmlns:mc="http://schemas.openxmlformats.org/markup-compatibility/2006">
          <mc:Choice Requires="x14">
            <control shapeId="5158" r:id="rId21" name="Check Box 38">
              <controlPr locked="0" defaultSize="0" autoFill="0" autoLine="0" autoPict="0">
                <anchor moveWithCells="1" sizeWithCells="1">
                  <from>
                    <xdr:col>22</xdr:col>
                    <xdr:colOff>0</xdr:colOff>
                    <xdr:row>190</xdr:row>
                    <xdr:rowOff>0</xdr:rowOff>
                  </from>
                  <to>
                    <xdr:col>22</xdr:col>
                    <xdr:colOff>184150</xdr:colOff>
                    <xdr:row>190</xdr:row>
                    <xdr:rowOff>184150</xdr:rowOff>
                  </to>
                </anchor>
              </controlPr>
            </control>
          </mc:Choice>
        </mc:AlternateContent>
        <mc:AlternateContent xmlns:mc="http://schemas.openxmlformats.org/markup-compatibility/2006">
          <mc:Choice Requires="x14">
            <control shapeId="5161" r:id="rId22" name="Check Box 41">
              <controlPr locked="0" defaultSize="0" autoFill="0" autoLine="0" autoPict="0">
                <anchor moveWithCells="1" sizeWithCells="1">
                  <from>
                    <xdr:col>22</xdr:col>
                    <xdr:colOff>0</xdr:colOff>
                    <xdr:row>573</xdr:row>
                    <xdr:rowOff>0</xdr:rowOff>
                  </from>
                  <to>
                    <xdr:col>22</xdr:col>
                    <xdr:colOff>184150</xdr:colOff>
                    <xdr:row>573</xdr:row>
                    <xdr:rowOff>184150</xdr:rowOff>
                  </to>
                </anchor>
              </controlPr>
            </control>
          </mc:Choice>
        </mc:AlternateContent>
        <mc:AlternateContent xmlns:mc="http://schemas.openxmlformats.org/markup-compatibility/2006">
          <mc:Choice Requires="x14">
            <control shapeId="5162" r:id="rId23" name="Check Box 42">
              <controlPr locked="0" defaultSize="0" autoFill="0" autoLine="0" autoPict="0">
                <anchor moveWithCells="1" sizeWithCells="1">
                  <from>
                    <xdr:col>22</xdr:col>
                    <xdr:colOff>0</xdr:colOff>
                    <xdr:row>574</xdr:row>
                    <xdr:rowOff>0</xdr:rowOff>
                  </from>
                  <to>
                    <xdr:col>22</xdr:col>
                    <xdr:colOff>184150</xdr:colOff>
                    <xdr:row>574</xdr:row>
                    <xdr:rowOff>184150</xdr:rowOff>
                  </to>
                </anchor>
              </controlPr>
            </control>
          </mc:Choice>
        </mc:AlternateContent>
        <mc:AlternateContent xmlns:mc="http://schemas.openxmlformats.org/markup-compatibility/2006">
          <mc:Choice Requires="x14">
            <control shapeId="5163" r:id="rId24" name="Check Box 43">
              <controlPr locked="0" defaultSize="0" autoFill="0" autoLine="0" autoPict="0">
                <anchor moveWithCells="1" sizeWithCells="1">
                  <from>
                    <xdr:col>22</xdr:col>
                    <xdr:colOff>0</xdr:colOff>
                    <xdr:row>575</xdr:row>
                    <xdr:rowOff>0</xdr:rowOff>
                  </from>
                  <to>
                    <xdr:col>22</xdr:col>
                    <xdr:colOff>184150</xdr:colOff>
                    <xdr:row>575</xdr:row>
                    <xdr:rowOff>184150</xdr:rowOff>
                  </to>
                </anchor>
              </controlPr>
            </control>
          </mc:Choice>
        </mc:AlternateContent>
        <mc:AlternateContent xmlns:mc="http://schemas.openxmlformats.org/markup-compatibility/2006">
          <mc:Choice Requires="x14">
            <control shapeId="5164" r:id="rId25" name="Check Box 44">
              <controlPr locked="0" defaultSize="0" autoFill="0" autoLine="0" autoPict="0">
                <anchor moveWithCells="1" sizeWithCells="1">
                  <from>
                    <xdr:col>22</xdr:col>
                    <xdr:colOff>0</xdr:colOff>
                    <xdr:row>576</xdr:row>
                    <xdr:rowOff>0</xdr:rowOff>
                  </from>
                  <to>
                    <xdr:col>22</xdr:col>
                    <xdr:colOff>184150</xdr:colOff>
                    <xdr:row>576</xdr:row>
                    <xdr:rowOff>184150</xdr:rowOff>
                  </to>
                </anchor>
              </controlPr>
            </control>
          </mc:Choice>
        </mc:AlternateContent>
        <mc:AlternateContent xmlns:mc="http://schemas.openxmlformats.org/markup-compatibility/2006">
          <mc:Choice Requires="x14">
            <control shapeId="5165" r:id="rId26" name="Check Box 45">
              <controlPr locked="0" defaultSize="0" autoFill="0" autoLine="0" autoPict="0">
                <anchor moveWithCells="1" sizeWithCells="1">
                  <from>
                    <xdr:col>22</xdr:col>
                    <xdr:colOff>0</xdr:colOff>
                    <xdr:row>578</xdr:row>
                    <xdr:rowOff>0</xdr:rowOff>
                  </from>
                  <to>
                    <xdr:col>22</xdr:col>
                    <xdr:colOff>184150</xdr:colOff>
                    <xdr:row>578</xdr:row>
                    <xdr:rowOff>184150</xdr:rowOff>
                  </to>
                </anchor>
              </controlPr>
            </control>
          </mc:Choice>
        </mc:AlternateContent>
        <mc:AlternateContent xmlns:mc="http://schemas.openxmlformats.org/markup-compatibility/2006">
          <mc:Choice Requires="x14">
            <control shapeId="5166" r:id="rId27" name="Check Box 46">
              <controlPr locked="0" defaultSize="0" autoFill="0" autoLine="0" autoPict="0">
                <anchor moveWithCells="1" sizeWithCells="1">
                  <from>
                    <xdr:col>22</xdr:col>
                    <xdr:colOff>0</xdr:colOff>
                    <xdr:row>581</xdr:row>
                    <xdr:rowOff>0</xdr:rowOff>
                  </from>
                  <to>
                    <xdr:col>22</xdr:col>
                    <xdr:colOff>184150</xdr:colOff>
                    <xdr:row>581</xdr:row>
                    <xdr:rowOff>184150</xdr:rowOff>
                  </to>
                </anchor>
              </controlPr>
            </control>
          </mc:Choice>
        </mc:AlternateContent>
        <mc:AlternateContent xmlns:mc="http://schemas.openxmlformats.org/markup-compatibility/2006">
          <mc:Choice Requires="x14">
            <control shapeId="5168" r:id="rId28" name="Check Box 48">
              <controlPr locked="0" defaultSize="0" autoFill="0" autoLine="0" autoPict="0">
                <anchor moveWithCells="1" sizeWithCells="1">
                  <from>
                    <xdr:col>22</xdr:col>
                    <xdr:colOff>0</xdr:colOff>
                    <xdr:row>599</xdr:row>
                    <xdr:rowOff>0</xdr:rowOff>
                  </from>
                  <to>
                    <xdr:col>22</xdr:col>
                    <xdr:colOff>184150</xdr:colOff>
                    <xdr:row>599</xdr:row>
                    <xdr:rowOff>184150</xdr:rowOff>
                  </to>
                </anchor>
              </controlPr>
            </control>
          </mc:Choice>
        </mc:AlternateContent>
        <mc:AlternateContent xmlns:mc="http://schemas.openxmlformats.org/markup-compatibility/2006">
          <mc:Choice Requires="x14">
            <control shapeId="5169" r:id="rId29" name="Check Box 49">
              <controlPr locked="0" defaultSize="0" autoFill="0" autoLine="0" autoPict="0">
                <anchor moveWithCells="1" sizeWithCells="1">
                  <from>
                    <xdr:col>22</xdr:col>
                    <xdr:colOff>0</xdr:colOff>
                    <xdr:row>600</xdr:row>
                    <xdr:rowOff>0</xdr:rowOff>
                  </from>
                  <to>
                    <xdr:col>22</xdr:col>
                    <xdr:colOff>184150</xdr:colOff>
                    <xdr:row>600</xdr:row>
                    <xdr:rowOff>184150</xdr:rowOff>
                  </to>
                </anchor>
              </controlPr>
            </control>
          </mc:Choice>
        </mc:AlternateContent>
        <mc:AlternateContent xmlns:mc="http://schemas.openxmlformats.org/markup-compatibility/2006">
          <mc:Choice Requires="x14">
            <control shapeId="5170" r:id="rId30" name="Check Box 50">
              <controlPr locked="0" defaultSize="0" autoFill="0" autoLine="0" autoPict="0">
                <anchor moveWithCells="1" sizeWithCells="1">
                  <from>
                    <xdr:col>22</xdr:col>
                    <xdr:colOff>0</xdr:colOff>
                    <xdr:row>601</xdr:row>
                    <xdr:rowOff>0</xdr:rowOff>
                  </from>
                  <to>
                    <xdr:col>22</xdr:col>
                    <xdr:colOff>184150</xdr:colOff>
                    <xdr:row>601</xdr:row>
                    <xdr:rowOff>184150</xdr:rowOff>
                  </to>
                </anchor>
              </controlPr>
            </control>
          </mc:Choice>
        </mc:AlternateContent>
        <mc:AlternateContent xmlns:mc="http://schemas.openxmlformats.org/markup-compatibility/2006">
          <mc:Choice Requires="x14">
            <control shapeId="5171" r:id="rId31" name="Check Box 51">
              <controlPr locked="0" defaultSize="0" autoFill="0" autoLine="0" autoPict="0">
                <anchor moveWithCells="1" sizeWithCells="1">
                  <from>
                    <xdr:col>22</xdr:col>
                    <xdr:colOff>0</xdr:colOff>
                    <xdr:row>602</xdr:row>
                    <xdr:rowOff>0</xdr:rowOff>
                  </from>
                  <to>
                    <xdr:col>22</xdr:col>
                    <xdr:colOff>184150</xdr:colOff>
                    <xdr:row>602</xdr:row>
                    <xdr:rowOff>184150</xdr:rowOff>
                  </to>
                </anchor>
              </controlPr>
            </control>
          </mc:Choice>
        </mc:AlternateContent>
        <mc:AlternateContent xmlns:mc="http://schemas.openxmlformats.org/markup-compatibility/2006">
          <mc:Choice Requires="x14">
            <control shapeId="5172" r:id="rId32" name="Check Box 52">
              <controlPr locked="0" defaultSize="0" autoFill="0" autoLine="0" autoPict="0">
                <anchor moveWithCells="1" sizeWithCells="1">
                  <from>
                    <xdr:col>22</xdr:col>
                    <xdr:colOff>0</xdr:colOff>
                    <xdr:row>603</xdr:row>
                    <xdr:rowOff>0</xdr:rowOff>
                  </from>
                  <to>
                    <xdr:col>22</xdr:col>
                    <xdr:colOff>184150</xdr:colOff>
                    <xdr:row>603</xdr:row>
                    <xdr:rowOff>184150</xdr:rowOff>
                  </to>
                </anchor>
              </controlPr>
            </control>
          </mc:Choice>
        </mc:AlternateContent>
        <mc:AlternateContent xmlns:mc="http://schemas.openxmlformats.org/markup-compatibility/2006">
          <mc:Choice Requires="x14">
            <control shapeId="5173" r:id="rId33" name="Check Box 53">
              <controlPr locked="0" defaultSize="0" autoFill="0" autoLine="0" autoPict="0">
                <anchor moveWithCells="1" sizeWithCells="1">
                  <from>
                    <xdr:col>22</xdr:col>
                    <xdr:colOff>0</xdr:colOff>
                    <xdr:row>604</xdr:row>
                    <xdr:rowOff>0</xdr:rowOff>
                  </from>
                  <to>
                    <xdr:col>22</xdr:col>
                    <xdr:colOff>184150</xdr:colOff>
                    <xdr:row>604</xdr:row>
                    <xdr:rowOff>184150</xdr:rowOff>
                  </to>
                </anchor>
              </controlPr>
            </control>
          </mc:Choice>
        </mc:AlternateContent>
        <mc:AlternateContent xmlns:mc="http://schemas.openxmlformats.org/markup-compatibility/2006">
          <mc:Choice Requires="x14">
            <control shapeId="5174" r:id="rId34" name="Check Box 54">
              <controlPr locked="0" defaultSize="0" autoFill="0" autoLine="0" autoPict="0">
                <anchor moveWithCells="1" sizeWithCells="1">
                  <from>
                    <xdr:col>22</xdr:col>
                    <xdr:colOff>0</xdr:colOff>
                    <xdr:row>605</xdr:row>
                    <xdr:rowOff>0</xdr:rowOff>
                  </from>
                  <to>
                    <xdr:col>22</xdr:col>
                    <xdr:colOff>184150</xdr:colOff>
                    <xdr:row>605</xdr:row>
                    <xdr:rowOff>184150</xdr:rowOff>
                  </to>
                </anchor>
              </controlPr>
            </control>
          </mc:Choice>
        </mc:AlternateContent>
        <mc:AlternateContent xmlns:mc="http://schemas.openxmlformats.org/markup-compatibility/2006">
          <mc:Choice Requires="x14">
            <control shapeId="5175" r:id="rId35" name="Check Box 55">
              <controlPr locked="0" defaultSize="0" autoFill="0" autoLine="0" autoPict="0">
                <anchor moveWithCells="1" sizeWithCells="1">
                  <from>
                    <xdr:col>22</xdr:col>
                    <xdr:colOff>0</xdr:colOff>
                    <xdr:row>606</xdr:row>
                    <xdr:rowOff>0</xdr:rowOff>
                  </from>
                  <to>
                    <xdr:col>22</xdr:col>
                    <xdr:colOff>184150</xdr:colOff>
                    <xdr:row>606</xdr:row>
                    <xdr:rowOff>184150</xdr:rowOff>
                  </to>
                </anchor>
              </controlPr>
            </control>
          </mc:Choice>
        </mc:AlternateContent>
        <mc:AlternateContent xmlns:mc="http://schemas.openxmlformats.org/markup-compatibility/2006">
          <mc:Choice Requires="x14">
            <control shapeId="5177" r:id="rId36" name="Check Box 57">
              <controlPr locked="0" defaultSize="0" autoFill="0" autoLine="0" autoPict="0">
                <anchor moveWithCells="1" sizeWithCells="1">
                  <from>
                    <xdr:col>22</xdr:col>
                    <xdr:colOff>0</xdr:colOff>
                    <xdr:row>609</xdr:row>
                    <xdr:rowOff>0</xdr:rowOff>
                  </from>
                  <to>
                    <xdr:col>22</xdr:col>
                    <xdr:colOff>184150</xdr:colOff>
                    <xdr:row>609</xdr:row>
                    <xdr:rowOff>184150</xdr:rowOff>
                  </to>
                </anchor>
              </controlPr>
            </control>
          </mc:Choice>
        </mc:AlternateContent>
        <mc:AlternateContent xmlns:mc="http://schemas.openxmlformats.org/markup-compatibility/2006">
          <mc:Choice Requires="x14">
            <control shapeId="5178" r:id="rId37" name="Check Box 58">
              <controlPr locked="0" defaultSize="0" autoFill="0" autoLine="0" autoPict="0">
                <anchor moveWithCells="1" sizeWithCells="1">
                  <from>
                    <xdr:col>22</xdr:col>
                    <xdr:colOff>0</xdr:colOff>
                    <xdr:row>611</xdr:row>
                    <xdr:rowOff>0</xdr:rowOff>
                  </from>
                  <to>
                    <xdr:col>22</xdr:col>
                    <xdr:colOff>184150</xdr:colOff>
                    <xdr:row>611</xdr:row>
                    <xdr:rowOff>184150</xdr:rowOff>
                  </to>
                </anchor>
              </controlPr>
            </control>
          </mc:Choice>
        </mc:AlternateContent>
        <mc:AlternateContent xmlns:mc="http://schemas.openxmlformats.org/markup-compatibility/2006">
          <mc:Choice Requires="x14">
            <control shapeId="5179" r:id="rId38" name="Check Box 59">
              <controlPr locked="0" defaultSize="0" autoFill="0" autoLine="0" autoPict="0">
                <anchor moveWithCells="1" sizeWithCells="1">
                  <from>
                    <xdr:col>22</xdr:col>
                    <xdr:colOff>0</xdr:colOff>
                    <xdr:row>613</xdr:row>
                    <xdr:rowOff>0</xdr:rowOff>
                  </from>
                  <to>
                    <xdr:col>22</xdr:col>
                    <xdr:colOff>184150</xdr:colOff>
                    <xdr:row>613</xdr:row>
                    <xdr:rowOff>184150</xdr:rowOff>
                  </to>
                </anchor>
              </controlPr>
            </control>
          </mc:Choice>
        </mc:AlternateContent>
        <mc:AlternateContent xmlns:mc="http://schemas.openxmlformats.org/markup-compatibility/2006">
          <mc:Choice Requires="x14">
            <control shapeId="5181" r:id="rId39" name="Check Box 61">
              <controlPr locked="0" defaultSize="0" autoFill="0" autoLine="0" autoPict="0">
                <anchor moveWithCells="1" sizeWithCells="1">
                  <from>
                    <xdr:col>22</xdr:col>
                    <xdr:colOff>0</xdr:colOff>
                    <xdr:row>624</xdr:row>
                    <xdr:rowOff>0</xdr:rowOff>
                  </from>
                  <to>
                    <xdr:col>22</xdr:col>
                    <xdr:colOff>184150</xdr:colOff>
                    <xdr:row>624</xdr:row>
                    <xdr:rowOff>184150</xdr:rowOff>
                  </to>
                </anchor>
              </controlPr>
            </control>
          </mc:Choice>
        </mc:AlternateContent>
        <mc:AlternateContent xmlns:mc="http://schemas.openxmlformats.org/markup-compatibility/2006">
          <mc:Choice Requires="x14">
            <control shapeId="5182" r:id="rId40" name="Check Box 62">
              <controlPr locked="0" defaultSize="0" autoFill="0" autoLine="0" autoPict="0">
                <anchor moveWithCells="1" sizeWithCells="1">
                  <from>
                    <xdr:col>22</xdr:col>
                    <xdr:colOff>0</xdr:colOff>
                    <xdr:row>632</xdr:row>
                    <xdr:rowOff>0</xdr:rowOff>
                  </from>
                  <to>
                    <xdr:col>22</xdr:col>
                    <xdr:colOff>184150</xdr:colOff>
                    <xdr:row>632</xdr:row>
                    <xdr:rowOff>184150</xdr:rowOff>
                  </to>
                </anchor>
              </controlPr>
            </control>
          </mc:Choice>
        </mc:AlternateContent>
        <mc:AlternateContent xmlns:mc="http://schemas.openxmlformats.org/markup-compatibility/2006">
          <mc:Choice Requires="x14">
            <control shapeId="5185" r:id="rId41" name="Check Box 65">
              <controlPr locked="0" defaultSize="0" autoFill="0" autoLine="0" autoPict="0">
                <anchor moveWithCells="1" sizeWithCells="1">
                  <from>
                    <xdr:col>22</xdr:col>
                    <xdr:colOff>0</xdr:colOff>
                    <xdr:row>628</xdr:row>
                    <xdr:rowOff>0</xdr:rowOff>
                  </from>
                  <to>
                    <xdr:col>22</xdr:col>
                    <xdr:colOff>184150</xdr:colOff>
                    <xdr:row>628</xdr:row>
                    <xdr:rowOff>184150</xdr:rowOff>
                  </to>
                </anchor>
              </controlPr>
            </control>
          </mc:Choice>
        </mc:AlternateContent>
        <mc:AlternateContent xmlns:mc="http://schemas.openxmlformats.org/markup-compatibility/2006">
          <mc:Choice Requires="x14">
            <control shapeId="5186" r:id="rId42" name="Check Box 66">
              <controlPr locked="0" defaultSize="0" autoFill="0" autoLine="0" autoPict="0">
                <anchor moveWithCells="1" sizeWithCells="1">
                  <from>
                    <xdr:col>22</xdr:col>
                    <xdr:colOff>0</xdr:colOff>
                    <xdr:row>629</xdr:row>
                    <xdr:rowOff>0</xdr:rowOff>
                  </from>
                  <to>
                    <xdr:col>22</xdr:col>
                    <xdr:colOff>184150</xdr:colOff>
                    <xdr:row>629</xdr:row>
                    <xdr:rowOff>184150</xdr:rowOff>
                  </to>
                </anchor>
              </controlPr>
            </control>
          </mc:Choice>
        </mc:AlternateContent>
        <mc:AlternateContent xmlns:mc="http://schemas.openxmlformats.org/markup-compatibility/2006">
          <mc:Choice Requires="x14">
            <control shapeId="5187" r:id="rId43" name="Check Box 67">
              <controlPr locked="0" defaultSize="0" autoFill="0" autoLine="0" autoPict="0">
                <anchor moveWithCells="1" sizeWithCells="1">
                  <from>
                    <xdr:col>22</xdr:col>
                    <xdr:colOff>0</xdr:colOff>
                    <xdr:row>635</xdr:row>
                    <xdr:rowOff>0</xdr:rowOff>
                  </from>
                  <to>
                    <xdr:col>22</xdr:col>
                    <xdr:colOff>184150</xdr:colOff>
                    <xdr:row>635</xdr:row>
                    <xdr:rowOff>184150</xdr:rowOff>
                  </to>
                </anchor>
              </controlPr>
            </control>
          </mc:Choice>
        </mc:AlternateContent>
        <mc:AlternateContent xmlns:mc="http://schemas.openxmlformats.org/markup-compatibility/2006">
          <mc:Choice Requires="x14">
            <control shapeId="5190" r:id="rId44" name="Check Box 70">
              <controlPr locked="0" defaultSize="0" autoFill="0" autoLine="0" autoPict="0">
                <anchor moveWithCells="1" sizeWithCells="1">
                  <from>
                    <xdr:col>22</xdr:col>
                    <xdr:colOff>0</xdr:colOff>
                    <xdr:row>473</xdr:row>
                    <xdr:rowOff>0</xdr:rowOff>
                  </from>
                  <to>
                    <xdr:col>22</xdr:col>
                    <xdr:colOff>184150</xdr:colOff>
                    <xdr:row>473</xdr:row>
                    <xdr:rowOff>184150</xdr:rowOff>
                  </to>
                </anchor>
              </controlPr>
            </control>
          </mc:Choice>
        </mc:AlternateContent>
        <mc:AlternateContent xmlns:mc="http://schemas.openxmlformats.org/markup-compatibility/2006">
          <mc:Choice Requires="x14">
            <control shapeId="5192" r:id="rId45" name="Check Box 72">
              <controlPr locked="0" defaultSize="0" autoFill="0" autoLine="0" autoPict="0">
                <anchor moveWithCells="1" sizeWithCells="1">
                  <from>
                    <xdr:col>22</xdr:col>
                    <xdr:colOff>0</xdr:colOff>
                    <xdr:row>490</xdr:row>
                    <xdr:rowOff>0</xdr:rowOff>
                  </from>
                  <to>
                    <xdr:col>22</xdr:col>
                    <xdr:colOff>184150</xdr:colOff>
                    <xdr:row>490</xdr:row>
                    <xdr:rowOff>184150</xdr:rowOff>
                  </to>
                </anchor>
              </controlPr>
            </control>
          </mc:Choice>
        </mc:AlternateContent>
        <mc:AlternateContent xmlns:mc="http://schemas.openxmlformats.org/markup-compatibility/2006">
          <mc:Choice Requires="x14">
            <control shapeId="5193" r:id="rId46" name="Check Box 73">
              <controlPr locked="0" defaultSize="0" autoFill="0" autoLine="0" autoPict="0">
                <anchor moveWithCells="1" sizeWithCells="1">
                  <from>
                    <xdr:col>22</xdr:col>
                    <xdr:colOff>0</xdr:colOff>
                    <xdr:row>493</xdr:row>
                    <xdr:rowOff>0</xdr:rowOff>
                  </from>
                  <to>
                    <xdr:col>22</xdr:col>
                    <xdr:colOff>184150</xdr:colOff>
                    <xdr:row>493</xdr:row>
                    <xdr:rowOff>184150</xdr:rowOff>
                  </to>
                </anchor>
              </controlPr>
            </control>
          </mc:Choice>
        </mc:AlternateContent>
        <mc:AlternateContent xmlns:mc="http://schemas.openxmlformats.org/markup-compatibility/2006">
          <mc:Choice Requires="x14">
            <control shapeId="5195" r:id="rId47" name="Check Box 75">
              <controlPr locked="0" defaultSize="0" autoFill="0" autoLine="0" autoPict="0">
                <anchor moveWithCells="1" sizeWithCells="1">
                  <from>
                    <xdr:col>22</xdr:col>
                    <xdr:colOff>0</xdr:colOff>
                    <xdr:row>498</xdr:row>
                    <xdr:rowOff>0</xdr:rowOff>
                  </from>
                  <to>
                    <xdr:col>22</xdr:col>
                    <xdr:colOff>184150</xdr:colOff>
                    <xdr:row>498</xdr:row>
                    <xdr:rowOff>184150</xdr:rowOff>
                  </to>
                </anchor>
              </controlPr>
            </control>
          </mc:Choice>
        </mc:AlternateContent>
        <mc:AlternateContent xmlns:mc="http://schemas.openxmlformats.org/markup-compatibility/2006">
          <mc:Choice Requires="x14">
            <control shapeId="5196" r:id="rId48" name="Check Box 76">
              <controlPr locked="0" defaultSize="0" autoFill="0" autoLine="0" autoPict="0">
                <anchor moveWithCells="1" sizeWithCells="1">
                  <from>
                    <xdr:col>22</xdr:col>
                    <xdr:colOff>0</xdr:colOff>
                    <xdr:row>499</xdr:row>
                    <xdr:rowOff>0</xdr:rowOff>
                  </from>
                  <to>
                    <xdr:col>22</xdr:col>
                    <xdr:colOff>184150</xdr:colOff>
                    <xdr:row>499</xdr:row>
                    <xdr:rowOff>184150</xdr:rowOff>
                  </to>
                </anchor>
              </controlPr>
            </control>
          </mc:Choice>
        </mc:AlternateContent>
        <mc:AlternateContent xmlns:mc="http://schemas.openxmlformats.org/markup-compatibility/2006">
          <mc:Choice Requires="x14">
            <control shapeId="5197" r:id="rId49" name="Check Box 77">
              <controlPr locked="0" defaultSize="0" autoFill="0" autoLine="0" autoPict="0">
                <anchor moveWithCells="1" sizeWithCells="1">
                  <from>
                    <xdr:col>22</xdr:col>
                    <xdr:colOff>0</xdr:colOff>
                    <xdr:row>503</xdr:row>
                    <xdr:rowOff>0</xdr:rowOff>
                  </from>
                  <to>
                    <xdr:col>22</xdr:col>
                    <xdr:colOff>184150</xdr:colOff>
                    <xdr:row>503</xdr:row>
                    <xdr:rowOff>184150</xdr:rowOff>
                  </to>
                </anchor>
              </controlPr>
            </control>
          </mc:Choice>
        </mc:AlternateContent>
        <mc:AlternateContent xmlns:mc="http://schemas.openxmlformats.org/markup-compatibility/2006">
          <mc:Choice Requires="x14">
            <control shapeId="5198" r:id="rId50" name="Check Box 78">
              <controlPr locked="0" defaultSize="0" autoFill="0" autoLine="0" autoPict="0">
                <anchor moveWithCells="1" sizeWithCells="1">
                  <from>
                    <xdr:col>22</xdr:col>
                    <xdr:colOff>0</xdr:colOff>
                    <xdr:row>508</xdr:row>
                    <xdr:rowOff>0</xdr:rowOff>
                  </from>
                  <to>
                    <xdr:col>22</xdr:col>
                    <xdr:colOff>184150</xdr:colOff>
                    <xdr:row>508</xdr:row>
                    <xdr:rowOff>184150</xdr:rowOff>
                  </to>
                </anchor>
              </controlPr>
            </control>
          </mc:Choice>
        </mc:AlternateContent>
        <mc:AlternateContent xmlns:mc="http://schemas.openxmlformats.org/markup-compatibility/2006">
          <mc:Choice Requires="x14">
            <control shapeId="5201" r:id="rId51" name="Check Box 81">
              <controlPr locked="0" defaultSize="0" autoFill="0" autoLine="0" autoPict="0">
                <anchor moveWithCells="1" sizeWithCells="1">
                  <from>
                    <xdr:col>22</xdr:col>
                    <xdr:colOff>0</xdr:colOff>
                    <xdr:row>533</xdr:row>
                    <xdr:rowOff>0</xdr:rowOff>
                  </from>
                  <to>
                    <xdr:col>22</xdr:col>
                    <xdr:colOff>184150</xdr:colOff>
                    <xdr:row>533</xdr:row>
                    <xdr:rowOff>184150</xdr:rowOff>
                  </to>
                </anchor>
              </controlPr>
            </control>
          </mc:Choice>
        </mc:AlternateContent>
        <mc:AlternateContent xmlns:mc="http://schemas.openxmlformats.org/markup-compatibility/2006">
          <mc:Choice Requires="x14">
            <control shapeId="5203" r:id="rId52" name="Check Box 83">
              <controlPr locked="0" defaultSize="0" autoFill="0" autoLine="0" autoPict="0">
                <anchor moveWithCells="1" sizeWithCells="1">
                  <from>
                    <xdr:col>22</xdr:col>
                    <xdr:colOff>0</xdr:colOff>
                    <xdr:row>536</xdr:row>
                    <xdr:rowOff>0</xdr:rowOff>
                  </from>
                  <to>
                    <xdr:col>22</xdr:col>
                    <xdr:colOff>184150</xdr:colOff>
                    <xdr:row>536</xdr:row>
                    <xdr:rowOff>184150</xdr:rowOff>
                  </to>
                </anchor>
              </controlPr>
            </control>
          </mc:Choice>
        </mc:AlternateContent>
        <mc:AlternateContent xmlns:mc="http://schemas.openxmlformats.org/markup-compatibility/2006">
          <mc:Choice Requires="x14">
            <control shapeId="5205" r:id="rId53" name="Check Box 85">
              <controlPr locked="0" defaultSize="0" autoFill="0" autoLine="0" autoPict="0">
                <anchor moveWithCells="1" sizeWithCells="1">
                  <from>
                    <xdr:col>22</xdr:col>
                    <xdr:colOff>0</xdr:colOff>
                    <xdr:row>550</xdr:row>
                    <xdr:rowOff>0</xdr:rowOff>
                  </from>
                  <to>
                    <xdr:col>22</xdr:col>
                    <xdr:colOff>184150</xdr:colOff>
                    <xdr:row>550</xdr:row>
                    <xdr:rowOff>184150</xdr:rowOff>
                  </to>
                </anchor>
              </controlPr>
            </control>
          </mc:Choice>
        </mc:AlternateContent>
        <mc:AlternateContent xmlns:mc="http://schemas.openxmlformats.org/markup-compatibility/2006">
          <mc:Choice Requires="x14">
            <control shapeId="5206" r:id="rId54" name="Check Box 86">
              <controlPr locked="0" defaultSize="0" autoFill="0" autoLine="0" autoPict="0">
                <anchor moveWithCells="1" sizeWithCells="1">
                  <from>
                    <xdr:col>22</xdr:col>
                    <xdr:colOff>0</xdr:colOff>
                    <xdr:row>562</xdr:row>
                    <xdr:rowOff>0</xdr:rowOff>
                  </from>
                  <to>
                    <xdr:col>22</xdr:col>
                    <xdr:colOff>184150</xdr:colOff>
                    <xdr:row>562</xdr:row>
                    <xdr:rowOff>184150</xdr:rowOff>
                  </to>
                </anchor>
              </controlPr>
            </control>
          </mc:Choice>
        </mc:AlternateContent>
        <mc:AlternateContent xmlns:mc="http://schemas.openxmlformats.org/markup-compatibility/2006">
          <mc:Choice Requires="x14">
            <control shapeId="5207" r:id="rId55" name="Check Box 87">
              <controlPr locked="0" defaultSize="0" autoFill="0" autoLine="0" autoPict="0">
                <anchor moveWithCells="1" sizeWithCells="1">
                  <from>
                    <xdr:col>22</xdr:col>
                    <xdr:colOff>0</xdr:colOff>
                    <xdr:row>564</xdr:row>
                    <xdr:rowOff>0</xdr:rowOff>
                  </from>
                  <to>
                    <xdr:col>22</xdr:col>
                    <xdr:colOff>184150</xdr:colOff>
                    <xdr:row>564</xdr:row>
                    <xdr:rowOff>184150</xdr:rowOff>
                  </to>
                </anchor>
              </controlPr>
            </control>
          </mc:Choice>
        </mc:AlternateContent>
        <mc:AlternateContent xmlns:mc="http://schemas.openxmlformats.org/markup-compatibility/2006">
          <mc:Choice Requires="x14">
            <control shapeId="5208" r:id="rId56" name="Check Box 88">
              <controlPr locked="0" defaultSize="0" autoFill="0" autoLine="0" autoPict="0">
                <anchor moveWithCells="1" sizeWithCells="1">
                  <from>
                    <xdr:col>22</xdr:col>
                    <xdr:colOff>0</xdr:colOff>
                    <xdr:row>566</xdr:row>
                    <xdr:rowOff>0</xdr:rowOff>
                  </from>
                  <to>
                    <xdr:col>22</xdr:col>
                    <xdr:colOff>184150</xdr:colOff>
                    <xdr:row>566</xdr:row>
                    <xdr:rowOff>184150</xdr:rowOff>
                  </to>
                </anchor>
              </controlPr>
            </control>
          </mc:Choice>
        </mc:AlternateContent>
        <mc:AlternateContent xmlns:mc="http://schemas.openxmlformats.org/markup-compatibility/2006">
          <mc:Choice Requires="x14">
            <control shapeId="5210" r:id="rId57" name="Check Box 90">
              <controlPr locked="0" defaultSize="0" autoFill="0" autoLine="0" autoPict="0">
                <anchor moveWithCells="1" sizeWithCells="1">
                  <from>
                    <xdr:col>22</xdr:col>
                    <xdr:colOff>0</xdr:colOff>
                    <xdr:row>375</xdr:row>
                    <xdr:rowOff>0</xdr:rowOff>
                  </from>
                  <to>
                    <xdr:col>22</xdr:col>
                    <xdr:colOff>184150</xdr:colOff>
                    <xdr:row>375</xdr:row>
                    <xdr:rowOff>184150</xdr:rowOff>
                  </to>
                </anchor>
              </controlPr>
            </control>
          </mc:Choice>
        </mc:AlternateContent>
        <mc:AlternateContent xmlns:mc="http://schemas.openxmlformats.org/markup-compatibility/2006">
          <mc:Choice Requires="x14">
            <control shapeId="5211" r:id="rId58" name="Check Box 91">
              <controlPr locked="0" defaultSize="0" autoFill="0" autoLine="0" autoPict="0">
                <anchor moveWithCells="1" sizeWithCells="1">
                  <from>
                    <xdr:col>22</xdr:col>
                    <xdr:colOff>0</xdr:colOff>
                    <xdr:row>370</xdr:row>
                    <xdr:rowOff>0</xdr:rowOff>
                  </from>
                  <to>
                    <xdr:col>22</xdr:col>
                    <xdr:colOff>184150</xdr:colOff>
                    <xdr:row>370</xdr:row>
                    <xdr:rowOff>184150</xdr:rowOff>
                  </to>
                </anchor>
              </controlPr>
            </control>
          </mc:Choice>
        </mc:AlternateContent>
        <mc:AlternateContent xmlns:mc="http://schemas.openxmlformats.org/markup-compatibility/2006">
          <mc:Choice Requires="x14">
            <control shapeId="5212" r:id="rId59" name="Check Box 92">
              <controlPr locked="0" defaultSize="0" autoFill="0" autoLine="0" autoPict="0">
                <anchor moveWithCells="1" sizeWithCells="1">
                  <from>
                    <xdr:col>22</xdr:col>
                    <xdr:colOff>0</xdr:colOff>
                    <xdr:row>371</xdr:row>
                    <xdr:rowOff>0</xdr:rowOff>
                  </from>
                  <to>
                    <xdr:col>22</xdr:col>
                    <xdr:colOff>184150</xdr:colOff>
                    <xdr:row>371</xdr:row>
                    <xdr:rowOff>184150</xdr:rowOff>
                  </to>
                </anchor>
              </controlPr>
            </control>
          </mc:Choice>
        </mc:AlternateContent>
        <mc:AlternateContent xmlns:mc="http://schemas.openxmlformats.org/markup-compatibility/2006">
          <mc:Choice Requires="x14">
            <control shapeId="5213" r:id="rId60" name="Check Box 93">
              <controlPr locked="0" defaultSize="0" autoFill="0" autoLine="0" autoPict="0">
                <anchor moveWithCells="1" sizeWithCells="1">
                  <from>
                    <xdr:col>22</xdr:col>
                    <xdr:colOff>0</xdr:colOff>
                    <xdr:row>372</xdr:row>
                    <xdr:rowOff>0</xdr:rowOff>
                  </from>
                  <to>
                    <xdr:col>22</xdr:col>
                    <xdr:colOff>184150</xdr:colOff>
                    <xdr:row>372</xdr:row>
                    <xdr:rowOff>184150</xdr:rowOff>
                  </to>
                </anchor>
              </controlPr>
            </control>
          </mc:Choice>
        </mc:AlternateContent>
        <mc:AlternateContent xmlns:mc="http://schemas.openxmlformats.org/markup-compatibility/2006">
          <mc:Choice Requires="x14">
            <control shapeId="5214" r:id="rId61" name="Check Box 94">
              <controlPr locked="0" defaultSize="0" autoFill="0" autoLine="0" autoPict="0">
                <anchor moveWithCells="1" sizeWithCells="1">
                  <from>
                    <xdr:col>22</xdr:col>
                    <xdr:colOff>0</xdr:colOff>
                    <xdr:row>403</xdr:row>
                    <xdr:rowOff>0</xdr:rowOff>
                  </from>
                  <to>
                    <xdr:col>22</xdr:col>
                    <xdr:colOff>184150</xdr:colOff>
                    <xdr:row>403</xdr:row>
                    <xdr:rowOff>184150</xdr:rowOff>
                  </to>
                </anchor>
              </controlPr>
            </control>
          </mc:Choice>
        </mc:AlternateContent>
        <mc:AlternateContent xmlns:mc="http://schemas.openxmlformats.org/markup-compatibility/2006">
          <mc:Choice Requires="x14">
            <control shapeId="5216" r:id="rId62" name="Check Box 96">
              <controlPr locked="0" defaultSize="0" autoFill="0" autoLine="0" autoPict="0">
                <anchor moveWithCells="1" sizeWithCells="1">
                  <from>
                    <xdr:col>22</xdr:col>
                    <xdr:colOff>0</xdr:colOff>
                    <xdr:row>411</xdr:row>
                    <xdr:rowOff>0</xdr:rowOff>
                  </from>
                  <to>
                    <xdr:col>22</xdr:col>
                    <xdr:colOff>184150</xdr:colOff>
                    <xdr:row>411</xdr:row>
                    <xdr:rowOff>184150</xdr:rowOff>
                  </to>
                </anchor>
              </controlPr>
            </control>
          </mc:Choice>
        </mc:AlternateContent>
        <mc:AlternateContent xmlns:mc="http://schemas.openxmlformats.org/markup-compatibility/2006">
          <mc:Choice Requires="x14">
            <control shapeId="5217" r:id="rId63" name="Check Box 97">
              <controlPr locked="0" defaultSize="0" autoFill="0" autoLine="0" autoPict="0">
                <anchor moveWithCells="1" sizeWithCells="1">
                  <from>
                    <xdr:col>22</xdr:col>
                    <xdr:colOff>0</xdr:colOff>
                    <xdr:row>413</xdr:row>
                    <xdr:rowOff>0</xdr:rowOff>
                  </from>
                  <to>
                    <xdr:col>22</xdr:col>
                    <xdr:colOff>184150</xdr:colOff>
                    <xdr:row>413</xdr:row>
                    <xdr:rowOff>184150</xdr:rowOff>
                  </to>
                </anchor>
              </controlPr>
            </control>
          </mc:Choice>
        </mc:AlternateContent>
        <mc:AlternateContent xmlns:mc="http://schemas.openxmlformats.org/markup-compatibility/2006">
          <mc:Choice Requires="x14">
            <control shapeId="5218" r:id="rId64" name="Check Box 98">
              <controlPr locked="0" defaultSize="0" autoFill="0" autoLine="0" autoPict="0">
                <anchor moveWithCells="1" sizeWithCells="1">
                  <from>
                    <xdr:col>22</xdr:col>
                    <xdr:colOff>0</xdr:colOff>
                    <xdr:row>414</xdr:row>
                    <xdr:rowOff>0</xdr:rowOff>
                  </from>
                  <to>
                    <xdr:col>22</xdr:col>
                    <xdr:colOff>184150</xdr:colOff>
                    <xdr:row>414</xdr:row>
                    <xdr:rowOff>184150</xdr:rowOff>
                  </to>
                </anchor>
              </controlPr>
            </control>
          </mc:Choice>
        </mc:AlternateContent>
        <mc:AlternateContent xmlns:mc="http://schemas.openxmlformats.org/markup-compatibility/2006">
          <mc:Choice Requires="x14">
            <control shapeId="5219" r:id="rId65" name="Check Box 99">
              <controlPr locked="0" defaultSize="0" autoFill="0" autoLine="0" autoPict="0">
                <anchor moveWithCells="1" sizeWithCells="1">
                  <from>
                    <xdr:col>22</xdr:col>
                    <xdr:colOff>0</xdr:colOff>
                    <xdr:row>415</xdr:row>
                    <xdr:rowOff>0</xdr:rowOff>
                  </from>
                  <to>
                    <xdr:col>22</xdr:col>
                    <xdr:colOff>184150</xdr:colOff>
                    <xdr:row>415</xdr:row>
                    <xdr:rowOff>184150</xdr:rowOff>
                  </to>
                </anchor>
              </controlPr>
            </control>
          </mc:Choice>
        </mc:AlternateContent>
        <mc:AlternateContent xmlns:mc="http://schemas.openxmlformats.org/markup-compatibility/2006">
          <mc:Choice Requires="x14">
            <control shapeId="5220" r:id="rId66" name="Check Box 100">
              <controlPr locked="0" defaultSize="0" autoFill="0" autoLine="0" autoPict="0">
                <anchor moveWithCells="1" sizeWithCells="1">
                  <from>
                    <xdr:col>22</xdr:col>
                    <xdr:colOff>0</xdr:colOff>
                    <xdr:row>417</xdr:row>
                    <xdr:rowOff>0</xdr:rowOff>
                  </from>
                  <to>
                    <xdr:col>22</xdr:col>
                    <xdr:colOff>184150</xdr:colOff>
                    <xdr:row>417</xdr:row>
                    <xdr:rowOff>184150</xdr:rowOff>
                  </to>
                </anchor>
              </controlPr>
            </control>
          </mc:Choice>
        </mc:AlternateContent>
        <mc:AlternateContent xmlns:mc="http://schemas.openxmlformats.org/markup-compatibility/2006">
          <mc:Choice Requires="x14">
            <control shapeId="5221" r:id="rId67" name="Check Box 101">
              <controlPr locked="0" defaultSize="0" autoFill="0" autoLine="0" autoPict="0">
                <anchor moveWithCells="1" sizeWithCells="1">
                  <from>
                    <xdr:col>22</xdr:col>
                    <xdr:colOff>0</xdr:colOff>
                    <xdr:row>420</xdr:row>
                    <xdr:rowOff>0</xdr:rowOff>
                  </from>
                  <to>
                    <xdr:col>22</xdr:col>
                    <xdr:colOff>184150</xdr:colOff>
                    <xdr:row>420</xdr:row>
                    <xdr:rowOff>184150</xdr:rowOff>
                  </to>
                </anchor>
              </controlPr>
            </control>
          </mc:Choice>
        </mc:AlternateContent>
        <mc:AlternateContent xmlns:mc="http://schemas.openxmlformats.org/markup-compatibility/2006">
          <mc:Choice Requires="x14">
            <control shapeId="5222" r:id="rId68" name="Check Box 102">
              <controlPr locked="0" defaultSize="0" autoFill="0" autoLine="0" autoPict="0">
                <anchor moveWithCells="1" sizeWithCells="1">
                  <from>
                    <xdr:col>22</xdr:col>
                    <xdr:colOff>0</xdr:colOff>
                    <xdr:row>421</xdr:row>
                    <xdr:rowOff>0</xdr:rowOff>
                  </from>
                  <to>
                    <xdr:col>22</xdr:col>
                    <xdr:colOff>184150</xdr:colOff>
                    <xdr:row>421</xdr:row>
                    <xdr:rowOff>184150</xdr:rowOff>
                  </to>
                </anchor>
              </controlPr>
            </control>
          </mc:Choice>
        </mc:AlternateContent>
        <mc:AlternateContent xmlns:mc="http://schemas.openxmlformats.org/markup-compatibility/2006">
          <mc:Choice Requires="x14">
            <control shapeId="5223" r:id="rId69" name="Check Box 103">
              <controlPr locked="0" defaultSize="0" autoFill="0" autoLine="0" autoPict="0">
                <anchor moveWithCells="1" sizeWithCells="1">
                  <from>
                    <xdr:col>22</xdr:col>
                    <xdr:colOff>0</xdr:colOff>
                    <xdr:row>426</xdr:row>
                    <xdr:rowOff>0</xdr:rowOff>
                  </from>
                  <to>
                    <xdr:col>22</xdr:col>
                    <xdr:colOff>184150</xdr:colOff>
                    <xdr:row>426</xdr:row>
                    <xdr:rowOff>184150</xdr:rowOff>
                  </to>
                </anchor>
              </controlPr>
            </control>
          </mc:Choice>
        </mc:AlternateContent>
        <mc:AlternateContent xmlns:mc="http://schemas.openxmlformats.org/markup-compatibility/2006">
          <mc:Choice Requires="x14">
            <control shapeId="5224" r:id="rId70" name="Check Box 104">
              <controlPr locked="0" defaultSize="0" autoFill="0" autoLine="0" autoPict="0">
                <anchor moveWithCells="1" sizeWithCells="1">
                  <from>
                    <xdr:col>22</xdr:col>
                    <xdr:colOff>0</xdr:colOff>
                    <xdr:row>428</xdr:row>
                    <xdr:rowOff>0</xdr:rowOff>
                  </from>
                  <to>
                    <xdr:col>22</xdr:col>
                    <xdr:colOff>184150</xdr:colOff>
                    <xdr:row>428</xdr:row>
                    <xdr:rowOff>184150</xdr:rowOff>
                  </to>
                </anchor>
              </controlPr>
            </control>
          </mc:Choice>
        </mc:AlternateContent>
        <mc:AlternateContent xmlns:mc="http://schemas.openxmlformats.org/markup-compatibility/2006">
          <mc:Choice Requires="x14">
            <control shapeId="5225" r:id="rId71" name="Check Box 105">
              <controlPr locked="0" defaultSize="0" autoFill="0" autoLine="0" autoPict="0">
                <anchor moveWithCells="1" sizeWithCells="1">
                  <from>
                    <xdr:col>22</xdr:col>
                    <xdr:colOff>0</xdr:colOff>
                    <xdr:row>430</xdr:row>
                    <xdr:rowOff>0</xdr:rowOff>
                  </from>
                  <to>
                    <xdr:col>22</xdr:col>
                    <xdr:colOff>184150</xdr:colOff>
                    <xdr:row>430</xdr:row>
                    <xdr:rowOff>184150</xdr:rowOff>
                  </to>
                </anchor>
              </controlPr>
            </control>
          </mc:Choice>
        </mc:AlternateContent>
        <mc:AlternateContent xmlns:mc="http://schemas.openxmlformats.org/markup-compatibility/2006">
          <mc:Choice Requires="x14">
            <control shapeId="5226" r:id="rId72" name="Check Box 106">
              <controlPr locked="0" defaultSize="0" autoFill="0" autoLine="0" autoPict="0">
                <anchor moveWithCells="1" sizeWithCells="1">
                  <from>
                    <xdr:col>22</xdr:col>
                    <xdr:colOff>0</xdr:colOff>
                    <xdr:row>432</xdr:row>
                    <xdr:rowOff>0</xdr:rowOff>
                  </from>
                  <to>
                    <xdr:col>22</xdr:col>
                    <xdr:colOff>184150</xdr:colOff>
                    <xdr:row>432</xdr:row>
                    <xdr:rowOff>184150</xdr:rowOff>
                  </to>
                </anchor>
              </controlPr>
            </control>
          </mc:Choice>
        </mc:AlternateContent>
        <mc:AlternateContent xmlns:mc="http://schemas.openxmlformats.org/markup-compatibility/2006">
          <mc:Choice Requires="x14">
            <control shapeId="5228" r:id="rId73" name="Check Box 108">
              <controlPr locked="0" defaultSize="0" autoFill="0" autoLine="0" autoPict="0">
                <anchor moveWithCells="1" sizeWithCells="1">
                  <from>
                    <xdr:col>22</xdr:col>
                    <xdr:colOff>0</xdr:colOff>
                    <xdr:row>363</xdr:row>
                    <xdr:rowOff>0</xdr:rowOff>
                  </from>
                  <to>
                    <xdr:col>22</xdr:col>
                    <xdr:colOff>184150</xdr:colOff>
                    <xdr:row>363</xdr:row>
                    <xdr:rowOff>184150</xdr:rowOff>
                  </to>
                </anchor>
              </controlPr>
            </control>
          </mc:Choice>
        </mc:AlternateContent>
        <mc:AlternateContent xmlns:mc="http://schemas.openxmlformats.org/markup-compatibility/2006">
          <mc:Choice Requires="x14">
            <control shapeId="5229" r:id="rId74" name="Check Box 109">
              <controlPr locked="0" defaultSize="0" autoFill="0" autoLine="0" autoPict="0">
                <anchor moveWithCells="1" sizeWithCells="1">
                  <from>
                    <xdr:col>22</xdr:col>
                    <xdr:colOff>0</xdr:colOff>
                    <xdr:row>365</xdr:row>
                    <xdr:rowOff>0</xdr:rowOff>
                  </from>
                  <to>
                    <xdr:col>22</xdr:col>
                    <xdr:colOff>184150</xdr:colOff>
                    <xdr:row>365</xdr:row>
                    <xdr:rowOff>184150</xdr:rowOff>
                  </to>
                </anchor>
              </controlPr>
            </control>
          </mc:Choice>
        </mc:AlternateContent>
        <mc:AlternateContent xmlns:mc="http://schemas.openxmlformats.org/markup-compatibility/2006">
          <mc:Choice Requires="x14">
            <control shapeId="5230" r:id="rId75" name="Check Box 110">
              <controlPr locked="0" defaultSize="0" autoFill="0" autoLine="0" autoPict="0">
                <anchor moveWithCells="1" sizeWithCells="1">
                  <from>
                    <xdr:col>22</xdr:col>
                    <xdr:colOff>0</xdr:colOff>
                    <xdr:row>367</xdr:row>
                    <xdr:rowOff>0</xdr:rowOff>
                  </from>
                  <to>
                    <xdr:col>22</xdr:col>
                    <xdr:colOff>184150</xdr:colOff>
                    <xdr:row>367</xdr:row>
                    <xdr:rowOff>184150</xdr:rowOff>
                  </to>
                </anchor>
              </controlPr>
            </control>
          </mc:Choice>
        </mc:AlternateContent>
        <mc:AlternateContent xmlns:mc="http://schemas.openxmlformats.org/markup-compatibility/2006">
          <mc:Choice Requires="x14">
            <control shapeId="5232" r:id="rId76" name="Check Box 112">
              <controlPr locked="0" defaultSize="0" autoFill="0" autoLine="0" autoPict="0">
                <anchor moveWithCells="1" sizeWithCells="1">
                  <from>
                    <xdr:col>22</xdr:col>
                    <xdr:colOff>0</xdr:colOff>
                    <xdr:row>349</xdr:row>
                    <xdr:rowOff>0</xdr:rowOff>
                  </from>
                  <to>
                    <xdr:col>22</xdr:col>
                    <xdr:colOff>184150</xdr:colOff>
                    <xdr:row>349</xdr:row>
                    <xdr:rowOff>184150</xdr:rowOff>
                  </to>
                </anchor>
              </controlPr>
            </control>
          </mc:Choice>
        </mc:AlternateContent>
        <mc:AlternateContent xmlns:mc="http://schemas.openxmlformats.org/markup-compatibility/2006">
          <mc:Choice Requires="x14">
            <control shapeId="5233" r:id="rId77" name="Check Box 113">
              <controlPr locked="0" defaultSize="0" autoFill="0" autoLine="0" autoPict="0">
                <anchor moveWithCells="1" sizeWithCells="1">
                  <from>
                    <xdr:col>22</xdr:col>
                    <xdr:colOff>0</xdr:colOff>
                    <xdr:row>351</xdr:row>
                    <xdr:rowOff>0</xdr:rowOff>
                  </from>
                  <to>
                    <xdr:col>22</xdr:col>
                    <xdr:colOff>184150</xdr:colOff>
                    <xdr:row>351</xdr:row>
                    <xdr:rowOff>184150</xdr:rowOff>
                  </to>
                </anchor>
              </controlPr>
            </control>
          </mc:Choice>
        </mc:AlternateContent>
        <mc:AlternateContent xmlns:mc="http://schemas.openxmlformats.org/markup-compatibility/2006">
          <mc:Choice Requires="x14">
            <control shapeId="5234" r:id="rId78" name="Check Box 114">
              <controlPr locked="0" defaultSize="0" autoFill="0" autoLine="0" autoPict="0">
                <anchor moveWithCells="1" sizeWithCells="1">
                  <from>
                    <xdr:col>22</xdr:col>
                    <xdr:colOff>0</xdr:colOff>
                    <xdr:row>347</xdr:row>
                    <xdr:rowOff>0</xdr:rowOff>
                  </from>
                  <to>
                    <xdr:col>22</xdr:col>
                    <xdr:colOff>184150</xdr:colOff>
                    <xdr:row>347</xdr:row>
                    <xdr:rowOff>184150</xdr:rowOff>
                  </to>
                </anchor>
              </controlPr>
            </control>
          </mc:Choice>
        </mc:AlternateContent>
        <mc:AlternateContent xmlns:mc="http://schemas.openxmlformats.org/markup-compatibility/2006">
          <mc:Choice Requires="x14">
            <control shapeId="5240" r:id="rId79" name="Check Box 120">
              <controlPr locked="0" defaultSize="0" autoFill="0" autoLine="0" autoPict="0">
                <anchor moveWithCells="1" sizeWithCells="1">
                  <from>
                    <xdr:col>22</xdr:col>
                    <xdr:colOff>0</xdr:colOff>
                    <xdr:row>309</xdr:row>
                    <xdr:rowOff>0</xdr:rowOff>
                  </from>
                  <to>
                    <xdr:col>22</xdr:col>
                    <xdr:colOff>184150</xdr:colOff>
                    <xdr:row>309</xdr:row>
                    <xdr:rowOff>184150</xdr:rowOff>
                  </to>
                </anchor>
              </controlPr>
            </control>
          </mc:Choice>
        </mc:AlternateContent>
        <mc:AlternateContent xmlns:mc="http://schemas.openxmlformats.org/markup-compatibility/2006">
          <mc:Choice Requires="x14">
            <control shapeId="5241" r:id="rId80" name="Check Box 121">
              <controlPr locked="0" defaultSize="0" autoFill="0" autoLine="0" autoPict="0">
                <anchor moveWithCells="1" sizeWithCells="1">
                  <from>
                    <xdr:col>22</xdr:col>
                    <xdr:colOff>0</xdr:colOff>
                    <xdr:row>311</xdr:row>
                    <xdr:rowOff>0</xdr:rowOff>
                  </from>
                  <to>
                    <xdr:col>22</xdr:col>
                    <xdr:colOff>184150</xdr:colOff>
                    <xdr:row>311</xdr:row>
                    <xdr:rowOff>184150</xdr:rowOff>
                  </to>
                </anchor>
              </controlPr>
            </control>
          </mc:Choice>
        </mc:AlternateContent>
        <mc:AlternateContent xmlns:mc="http://schemas.openxmlformats.org/markup-compatibility/2006">
          <mc:Choice Requires="x14">
            <control shapeId="5242" r:id="rId81" name="Check Box 122">
              <controlPr locked="0" defaultSize="0" autoFill="0" autoLine="0" autoPict="0">
                <anchor moveWithCells="1" sizeWithCells="1">
                  <from>
                    <xdr:col>22</xdr:col>
                    <xdr:colOff>0</xdr:colOff>
                    <xdr:row>314</xdr:row>
                    <xdr:rowOff>0</xdr:rowOff>
                  </from>
                  <to>
                    <xdr:col>22</xdr:col>
                    <xdr:colOff>184150</xdr:colOff>
                    <xdr:row>314</xdr:row>
                    <xdr:rowOff>184150</xdr:rowOff>
                  </to>
                </anchor>
              </controlPr>
            </control>
          </mc:Choice>
        </mc:AlternateContent>
        <mc:AlternateContent xmlns:mc="http://schemas.openxmlformats.org/markup-compatibility/2006">
          <mc:Choice Requires="x14">
            <control shapeId="5243" r:id="rId82" name="Check Box 123">
              <controlPr locked="0" defaultSize="0" autoFill="0" autoLine="0" autoPict="0">
                <anchor moveWithCells="1" sizeWithCells="1">
                  <from>
                    <xdr:col>22</xdr:col>
                    <xdr:colOff>0</xdr:colOff>
                    <xdr:row>315</xdr:row>
                    <xdr:rowOff>0</xdr:rowOff>
                  </from>
                  <to>
                    <xdr:col>22</xdr:col>
                    <xdr:colOff>184150</xdr:colOff>
                    <xdr:row>315</xdr:row>
                    <xdr:rowOff>184150</xdr:rowOff>
                  </to>
                </anchor>
              </controlPr>
            </control>
          </mc:Choice>
        </mc:AlternateContent>
        <mc:AlternateContent xmlns:mc="http://schemas.openxmlformats.org/markup-compatibility/2006">
          <mc:Choice Requires="x14">
            <control shapeId="5244" r:id="rId83" name="Check Box 124">
              <controlPr locked="0" defaultSize="0" autoFill="0" autoLine="0" autoPict="0">
                <anchor moveWithCells="1" sizeWithCells="1">
                  <from>
                    <xdr:col>22</xdr:col>
                    <xdr:colOff>0</xdr:colOff>
                    <xdr:row>317</xdr:row>
                    <xdr:rowOff>0</xdr:rowOff>
                  </from>
                  <to>
                    <xdr:col>22</xdr:col>
                    <xdr:colOff>184150</xdr:colOff>
                    <xdr:row>317</xdr:row>
                    <xdr:rowOff>184150</xdr:rowOff>
                  </to>
                </anchor>
              </controlPr>
            </control>
          </mc:Choice>
        </mc:AlternateContent>
        <mc:AlternateContent xmlns:mc="http://schemas.openxmlformats.org/markup-compatibility/2006">
          <mc:Choice Requires="x14">
            <control shapeId="5246" r:id="rId84" name="Check Box 126">
              <controlPr locked="0" defaultSize="0" autoFill="0" autoLine="0" autoPict="0">
                <anchor moveWithCells="1" sizeWithCells="1">
                  <from>
                    <xdr:col>22</xdr:col>
                    <xdr:colOff>0</xdr:colOff>
                    <xdr:row>303</xdr:row>
                    <xdr:rowOff>0</xdr:rowOff>
                  </from>
                  <to>
                    <xdr:col>22</xdr:col>
                    <xdr:colOff>184150</xdr:colOff>
                    <xdr:row>303</xdr:row>
                    <xdr:rowOff>184150</xdr:rowOff>
                  </to>
                </anchor>
              </controlPr>
            </control>
          </mc:Choice>
        </mc:AlternateContent>
        <mc:AlternateContent xmlns:mc="http://schemas.openxmlformats.org/markup-compatibility/2006">
          <mc:Choice Requires="x14">
            <control shapeId="5254" r:id="rId85" name="Check Box 134">
              <controlPr locked="0" defaultSize="0" autoFill="0" autoLine="0" autoPict="0">
                <anchor moveWithCells="1" sizeWithCells="1">
                  <from>
                    <xdr:col>22</xdr:col>
                    <xdr:colOff>0</xdr:colOff>
                    <xdr:row>242</xdr:row>
                    <xdr:rowOff>0</xdr:rowOff>
                  </from>
                  <to>
                    <xdr:col>22</xdr:col>
                    <xdr:colOff>184150</xdr:colOff>
                    <xdr:row>242</xdr:row>
                    <xdr:rowOff>184150</xdr:rowOff>
                  </to>
                </anchor>
              </controlPr>
            </control>
          </mc:Choice>
        </mc:AlternateContent>
        <mc:AlternateContent xmlns:mc="http://schemas.openxmlformats.org/markup-compatibility/2006">
          <mc:Choice Requires="x14">
            <control shapeId="5257" r:id="rId86" name="Check Box 137">
              <controlPr locked="0" defaultSize="0" autoFill="0" autoLine="0" autoPict="0">
                <anchor moveWithCells="1" sizeWithCells="1">
                  <from>
                    <xdr:col>22</xdr:col>
                    <xdr:colOff>0</xdr:colOff>
                    <xdr:row>283</xdr:row>
                    <xdr:rowOff>0</xdr:rowOff>
                  </from>
                  <to>
                    <xdr:col>22</xdr:col>
                    <xdr:colOff>184150</xdr:colOff>
                    <xdr:row>283</xdr:row>
                    <xdr:rowOff>184150</xdr:rowOff>
                  </to>
                </anchor>
              </controlPr>
            </control>
          </mc:Choice>
        </mc:AlternateContent>
        <mc:AlternateContent xmlns:mc="http://schemas.openxmlformats.org/markup-compatibility/2006">
          <mc:Choice Requires="x14">
            <control shapeId="5259" r:id="rId87" name="Check Box 139">
              <controlPr locked="0" defaultSize="0" autoFill="0" autoLine="0" autoPict="0">
                <anchor moveWithCells="1" sizeWithCells="1">
                  <from>
                    <xdr:col>22</xdr:col>
                    <xdr:colOff>0</xdr:colOff>
                    <xdr:row>286</xdr:row>
                    <xdr:rowOff>0</xdr:rowOff>
                  </from>
                  <to>
                    <xdr:col>22</xdr:col>
                    <xdr:colOff>184150</xdr:colOff>
                    <xdr:row>286</xdr:row>
                    <xdr:rowOff>184150</xdr:rowOff>
                  </to>
                </anchor>
              </controlPr>
            </control>
          </mc:Choice>
        </mc:AlternateContent>
        <mc:AlternateContent xmlns:mc="http://schemas.openxmlformats.org/markup-compatibility/2006">
          <mc:Choice Requires="x14">
            <control shapeId="5261" r:id="rId88" name="Check Box 141">
              <controlPr locked="0" defaultSize="0" autoFill="0" autoLine="0" autoPict="0">
                <anchor moveWithCells="1" sizeWithCells="1">
                  <from>
                    <xdr:col>22</xdr:col>
                    <xdr:colOff>0</xdr:colOff>
                    <xdr:row>296</xdr:row>
                    <xdr:rowOff>0</xdr:rowOff>
                  </from>
                  <to>
                    <xdr:col>22</xdr:col>
                    <xdr:colOff>184150</xdr:colOff>
                    <xdr:row>296</xdr:row>
                    <xdr:rowOff>184150</xdr:rowOff>
                  </to>
                </anchor>
              </controlPr>
            </control>
          </mc:Choice>
        </mc:AlternateContent>
        <mc:AlternateContent xmlns:mc="http://schemas.openxmlformats.org/markup-compatibility/2006">
          <mc:Choice Requires="x14">
            <control shapeId="5263" r:id="rId89" name="Check Box 143">
              <controlPr locked="0" defaultSize="0" autoFill="0" autoLine="0" autoPict="0">
                <anchor moveWithCells="1" sizeWithCells="1">
                  <from>
                    <xdr:col>22</xdr:col>
                    <xdr:colOff>0</xdr:colOff>
                    <xdr:row>552</xdr:row>
                    <xdr:rowOff>0</xdr:rowOff>
                  </from>
                  <to>
                    <xdr:col>22</xdr:col>
                    <xdr:colOff>184150</xdr:colOff>
                    <xdr:row>552</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BI171"/>
  <sheetViews>
    <sheetView showGridLines="0" zoomScaleNormal="100" zoomScaleSheetLayoutView="70" workbookViewId="0">
      <pane ySplit="7" topLeftCell="A123" activePane="bottomLeft" state="frozen"/>
      <selection pane="bottomLeft" activeCell="H9" sqref="H9"/>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35" customWidth="1"/>
    <col min="14" max="14" width="7.7265625" hidden="1" customWidth="1"/>
    <col min="15" max="15" width="7.7265625" style="44" customWidth="1"/>
    <col min="16" max="21" width="8.81640625" hidden="1" customWidth="1"/>
    <col min="22" max="22" width="3" hidden="1" customWidth="1"/>
    <col min="23" max="23" width="21.453125" customWidth="1"/>
    <col min="24" max="24" width="69" customWidth="1"/>
    <col min="25" max="26" width="34.81640625" hidden="1" customWidth="1"/>
    <col min="27" max="37" width="9.1796875" hidden="1" customWidth="1"/>
    <col min="38" max="38" width="16.453125" hidden="1" customWidth="1"/>
    <col min="39" max="39" width="4.7265625" hidden="1" customWidth="1"/>
    <col min="40" max="40" width="14.26953125" hidden="1" customWidth="1"/>
    <col min="41" max="41" width="5.54296875" hidden="1" customWidth="1"/>
    <col min="42" max="42" width="14.26953125" hidden="1" customWidth="1"/>
    <col min="43" max="43" width="6.1796875" hidden="1" customWidth="1"/>
    <col min="44" max="44" width="14.1796875" hidden="1" customWidth="1"/>
    <col min="45" max="45" width="4.1796875" hidden="1" customWidth="1"/>
    <col min="46" max="61" width="9.1796875" hidden="1" customWidth="1"/>
  </cols>
  <sheetData>
    <row r="1" spans="1:61" x14ac:dyDescent="0.35">
      <c r="H1" s="715" t="s">
        <v>4600</v>
      </c>
      <c r="I1" s="726" t="str">
        <f ca="1">IF(OR(AG3,AI3),"Errors on page, no Level reached","Current Chapter level: "&amp;AG1&amp;"                                            Total Points: "&amp;AG2)</f>
        <v>Current Chapter level: Bronze                                            Total Points: 36</v>
      </c>
      <c r="J1" s="726"/>
      <c r="K1" s="726"/>
      <c r="L1" s="726"/>
      <c r="M1" s="716"/>
      <c r="N1" s="716"/>
      <c r="O1" s="716"/>
      <c r="P1" s="716"/>
      <c r="Q1" s="716"/>
      <c r="R1" s="716"/>
      <c r="S1" s="716"/>
      <c r="T1" s="716"/>
      <c r="U1" s="716"/>
      <c r="V1" s="716"/>
      <c r="W1" s="716"/>
      <c r="X1" s="593" t="s">
        <v>4563</v>
      </c>
      <c r="AF1" s="6" t="s">
        <v>815</v>
      </c>
      <c r="AG1" t="str">
        <f ca="1">IF(OR(AG3,AI3),"None",Ch8Level)</f>
        <v>Bronze</v>
      </c>
    </row>
    <row r="2" spans="1:61" x14ac:dyDescent="0.35">
      <c r="H2" s="715"/>
      <c r="I2" s="727" t="str">
        <f ca="1">"Points away from:  Bronze: "&amp;MAX(Points!C18-Ch8Points,0)&amp;",  Silver: "&amp;IF(Points!N11&lt;2,"N/A",MAX(Points!D18-Ch8Points,0))&amp;",  Gold: "&amp;IF(Points!N11&lt;3,"N/A",MAX(Points!E18-Ch8Points,0))&amp;",  Emerald: "&amp;IF(Points!N11&lt;4,"N/A",MAX(Points!F18-Ch8Points,0))</f>
        <v>Points away from:  Bronze: 0,  Silver: 3,  Gold: 31,  Emerald: 56</v>
      </c>
      <c r="J2" s="727"/>
      <c r="K2" s="727"/>
      <c r="L2" s="727"/>
      <c r="M2" s="716"/>
      <c r="N2" s="716"/>
      <c r="O2" s="716"/>
      <c r="P2" s="716"/>
      <c r="Q2" s="716"/>
      <c r="R2" s="716"/>
      <c r="S2" s="716"/>
      <c r="T2" s="716"/>
      <c r="U2" s="716"/>
      <c r="V2" s="716"/>
      <c r="W2" s="716"/>
      <c r="X2" s="593" t="s">
        <v>3728</v>
      </c>
      <c r="AF2" s="6" t="s">
        <v>816</v>
      </c>
      <c r="AG2">
        <f ca="1">INDIRECT(AF2)</f>
        <v>36</v>
      </c>
      <c r="AH2" t="s">
        <v>819</v>
      </c>
      <c r="AI2">
        <f ca="1">INDIRECT(AH2)</f>
        <v>3</v>
      </c>
    </row>
    <row r="3" spans="1:61" x14ac:dyDescent="0.35">
      <c r="H3" s="715"/>
      <c r="I3" s="727" t="str">
        <f ca="1">"Add'l pts earned above:  Bronze: "&amp; MAX(0,Ch8Points-Points!C18) &amp;",  Silver: " &amp;IF(Points!N11&lt;2,"N/A",MAX(0,Ch8Points-Points!D18)) &amp;",  Gold: " &amp; IF(Points!N11&lt;3,"N/A",MAX(0,Ch8Points-Points!E18)) &amp;",  Emerald: " &amp; IF(Points!N11&lt;4,"N/A",MAX(0,Ch8Points-Points!F18))</f>
        <v>Add'l pts earned above:  Bronze: 11,  Silver: 0,  Gold: 0,  Emerald: 0</v>
      </c>
      <c r="J3" s="727"/>
      <c r="K3" s="727"/>
      <c r="L3" s="727"/>
      <c r="M3" s="716"/>
      <c r="N3" s="716"/>
      <c r="O3" s="716"/>
      <c r="P3" s="716"/>
      <c r="Q3" s="716"/>
      <c r="R3" s="716"/>
      <c r="S3" s="716"/>
      <c r="T3" s="716"/>
      <c r="U3" s="716"/>
      <c r="V3" s="716"/>
      <c r="W3" s="716"/>
      <c r="X3" s="593" t="s">
        <v>3727</v>
      </c>
      <c r="AF3" s="6" t="s">
        <v>817</v>
      </c>
      <c r="AG3" t="b">
        <f>OR(AE:AE)</f>
        <v>0</v>
      </c>
      <c r="AH3" s="6" t="s">
        <v>818</v>
      </c>
      <c r="AI3" t="b">
        <f ca="1">OR(AD:AD)</f>
        <v>0</v>
      </c>
    </row>
    <row r="4" spans="1:61" x14ac:dyDescent="0.35">
      <c r="H4" s="715"/>
      <c r="I4" s="730" t="str">
        <f ca="1">"Total Chapter Points needed for:  Bronze: "&amp;Points!C18&amp;",  Silver: "&amp;IF(Points!N11&lt;2,"N/A",Points!D18)&amp;",  Gold: "&amp;IF(Points!N11&lt;3,"N/A",Points!E18)&amp;",  Emerald: "&amp;IF(Points!N11&lt;4,"N/A",Points!F18)</f>
        <v>Total Chapter Points needed for:  Bronze: 25,  Silver: 39,  Gold: 67,  Emerald: 92</v>
      </c>
      <c r="J4" s="731"/>
      <c r="K4" s="731"/>
      <c r="L4" s="732"/>
      <c r="M4" s="716"/>
      <c r="N4" s="716"/>
      <c r="O4" s="716"/>
      <c r="P4" s="716"/>
      <c r="Q4" s="716"/>
      <c r="R4" s="716"/>
      <c r="S4" s="716"/>
      <c r="T4" s="716"/>
      <c r="U4" s="716"/>
      <c r="V4" s="716"/>
      <c r="W4" s="716"/>
      <c r="X4" s="639" t="s">
        <v>4629</v>
      </c>
      <c r="AF4" s="6"/>
      <c r="AH4" s="6"/>
    </row>
    <row r="5" spans="1:61" x14ac:dyDescent="0.35">
      <c r="H5" s="715"/>
      <c r="I5" s="733" t="str">
        <f>"Revision Date:  "&amp;TEXT('Info &amp; Intro'!E7,"m/d/yyyy")</f>
        <v>Revision Date:  5/26/2023</v>
      </c>
      <c r="J5" s="734"/>
      <c r="K5" s="734"/>
      <c r="L5" s="735"/>
      <c r="M5" s="716"/>
      <c r="N5" s="716"/>
      <c r="O5" s="716"/>
      <c r="P5" s="716"/>
      <c r="Q5" s="716"/>
      <c r="R5" s="716"/>
      <c r="S5" s="716"/>
      <c r="T5" s="716"/>
      <c r="U5" s="716"/>
      <c r="V5" s="716"/>
      <c r="W5" s="716"/>
      <c r="X5" s="639"/>
      <c r="AF5" s="6"/>
      <c r="AH5" s="6"/>
    </row>
    <row r="6" spans="1:61" x14ac:dyDescent="0.35">
      <c r="H6" s="715"/>
      <c r="I6" s="702" t="s">
        <v>261</v>
      </c>
      <c r="J6" s="703"/>
      <c r="K6" s="704"/>
      <c r="L6" s="705" t="s">
        <v>1309</v>
      </c>
      <c r="M6" s="705" t="s">
        <v>262</v>
      </c>
      <c r="N6" s="705"/>
      <c r="O6" s="23" t="s">
        <v>336</v>
      </c>
      <c r="P6" s="705" t="s">
        <v>4626</v>
      </c>
      <c r="Q6" s="705" t="s">
        <v>327</v>
      </c>
      <c r="R6" s="705" t="s">
        <v>263</v>
      </c>
      <c r="S6" s="705" t="s">
        <v>264</v>
      </c>
      <c r="T6" s="705" t="s">
        <v>0</v>
      </c>
      <c r="U6" s="705" t="s">
        <v>4627</v>
      </c>
      <c r="V6" s="705"/>
      <c r="W6" s="705" t="s">
        <v>265</v>
      </c>
      <c r="X6" s="728" t="s">
        <v>1</v>
      </c>
      <c r="AC6" s="2" t="s">
        <v>325</v>
      </c>
      <c r="AD6" s="2" t="s">
        <v>0</v>
      </c>
      <c r="AE6" s="2" t="s">
        <v>324</v>
      </c>
    </row>
    <row r="7" spans="1:61" x14ac:dyDescent="0.35">
      <c r="H7" s="715"/>
      <c r="I7" s="702"/>
      <c r="J7" s="703"/>
      <c r="K7" s="704"/>
      <c r="L7" s="705"/>
      <c r="M7" s="705"/>
      <c r="N7" s="705"/>
      <c r="O7" s="23" t="s">
        <v>337</v>
      </c>
      <c r="P7" s="705"/>
      <c r="Q7" s="705"/>
      <c r="R7" s="705"/>
      <c r="S7" s="705"/>
      <c r="T7" s="705"/>
      <c r="U7" s="705"/>
      <c r="V7" s="705"/>
      <c r="W7" s="705"/>
      <c r="X7" s="729"/>
      <c r="AC7" s="2" t="s">
        <v>325</v>
      </c>
      <c r="AD7" s="2" t="s">
        <v>0</v>
      </c>
      <c r="AE7" s="2" t="s">
        <v>324</v>
      </c>
    </row>
    <row r="8" spans="1:61" hidden="1" x14ac:dyDescent="0.35">
      <c r="I8" s="548"/>
      <c r="J8" s="548"/>
      <c r="K8" s="548"/>
      <c r="L8" s="22"/>
      <c r="M8" s="22"/>
      <c r="N8" s="22"/>
      <c r="O8" s="23"/>
      <c r="P8" s="22"/>
      <c r="Q8" s="22"/>
      <c r="R8" s="22"/>
      <c r="S8" s="22"/>
      <c r="T8" s="22"/>
      <c r="U8" s="22"/>
      <c r="V8" s="22"/>
      <c r="W8" s="22"/>
      <c r="X8" s="548"/>
      <c r="AC8" s="2"/>
      <c r="AD8" s="2"/>
      <c r="AE8" s="2"/>
    </row>
    <row r="9" spans="1:61" ht="18.5" x14ac:dyDescent="0.45">
      <c r="A9" s="12" t="s">
        <v>260</v>
      </c>
      <c r="B9" s="12" t="s">
        <v>260</v>
      </c>
      <c r="C9" s="12" t="s">
        <v>260</v>
      </c>
      <c r="D9" s="12" t="s">
        <v>260</v>
      </c>
      <c r="E9" s="12" t="s">
        <v>260</v>
      </c>
      <c r="F9" s="12" t="s">
        <v>260</v>
      </c>
      <c r="G9" s="12" t="s">
        <v>260</v>
      </c>
      <c r="H9" s="552"/>
      <c r="I9" s="14" t="s">
        <v>841</v>
      </c>
      <c r="J9" s="14"/>
      <c r="K9" s="14"/>
      <c r="L9" s="15"/>
      <c r="M9" s="16"/>
      <c r="N9" t="s">
        <v>260</v>
      </c>
      <c r="O9" s="16"/>
      <c r="P9" t="s">
        <v>260</v>
      </c>
      <c r="Q9" t="s">
        <v>260</v>
      </c>
      <c r="R9" t="s">
        <v>260</v>
      </c>
      <c r="S9" t="s">
        <v>260</v>
      </c>
      <c r="T9" t="s">
        <v>260</v>
      </c>
      <c r="U9" t="s">
        <v>260</v>
      </c>
      <c r="V9" t="s">
        <v>260</v>
      </c>
      <c r="W9" s="15"/>
      <c r="X9" s="15"/>
      <c r="Y9" s="21" t="s">
        <v>260</v>
      </c>
      <c r="Z9" s="21" t="s">
        <v>260</v>
      </c>
      <c r="AA9" s="21" t="s">
        <v>260</v>
      </c>
      <c r="AB9" s="21" t="s">
        <v>260</v>
      </c>
      <c r="AC9" s="21" t="s">
        <v>260</v>
      </c>
      <c r="AD9" s="21" t="s">
        <v>260</v>
      </c>
      <c r="AE9" s="21" t="s">
        <v>260</v>
      </c>
      <c r="AF9" s="21" t="s">
        <v>260</v>
      </c>
      <c r="AG9" s="21" t="s">
        <v>260</v>
      </c>
      <c r="AH9" s="21" t="s">
        <v>260</v>
      </c>
      <c r="AI9" s="21" t="s">
        <v>260</v>
      </c>
      <c r="AJ9" s="21" t="s">
        <v>260</v>
      </c>
      <c r="AK9" s="21" t="s">
        <v>260</v>
      </c>
      <c r="AL9" s="21" t="s">
        <v>260</v>
      </c>
      <c r="AM9" s="21" t="s">
        <v>260</v>
      </c>
      <c r="AN9" s="21" t="s">
        <v>260</v>
      </c>
      <c r="AO9" s="21" t="s">
        <v>260</v>
      </c>
      <c r="AP9" s="21" t="s">
        <v>260</v>
      </c>
      <c r="AQ9" s="21" t="s">
        <v>260</v>
      </c>
      <c r="AR9" s="21" t="s">
        <v>260</v>
      </c>
      <c r="AS9" s="21" t="s">
        <v>260</v>
      </c>
      <c r="AT9" s="21" t="s">
        <v>260</v>
      </c>
      <c r="AU9" s="21" t="s">
        <v>260</v>
      </c>
      <c r="AV9" s="21" t="s">
        <v>260</v>
      </c>
      <c r="AW9" s="21" t="s">
        <v>260</v>
      </c>
      <c r="AX9" s="21" t="s">
        <v>260</v>
      </c>
      <c r="AY9" s="21" t="s">
        <v>260</v>
      </c>
      <c r="AZ9" s="21" t="s">
        <v>260</v>
      </c>
      <c r="BA9" s="21" t="s">
        <v>260</v>
      </c>
      <c r="BB9" s="21" t="s">
        <v>260</v>
      </c>
      <c r="BC9" s="21" t="s">
        <v>260</v>
      </c>
      <c r="BD9" s="21" t="s">
        <v>260</v>
      </c>
      <c r="BE9" s="21" t="s">
        <v>260</v>
      </c>
      <c r="BF9" s="21" t="s">
        <v>260</v>
      </c>
      <c r="BG9" s="21" t="s">
        <v>260</v>
      </c>
      <c r="BH9" s="21" t="s">
        <v>260</v>
      </c>
      <c r="BI9" s="21" t="s">
        <v>260</v>
      </c>
    </row>
    <row r="10" spans="1:61" ht="15" thickBot="1" x14ac:dyDescent="0.4">
      <c r="B10" s="452">
        <v>801</v>
      </c>
      <c r="C10" s="13"/>
      <c r="D10" s="13"/>
      <c r="E10" s="13"/>
      <c r="F10" s="13"/>
      <c r="G10" s="13"/>
      <c r="H10" s="550"/>
      <c r="I10" s="271" t="s">
        <v>842</v>
      </c>
      <c r="J10" s="183"/>
      <c r="K10" s="183"/>
      <c r="L10" s="272" t="s">
        <v>843</v>
      </c>
      <c r="M10" s="270"/>
      <c r="N10" s="58"/>
      <c r="O10" s="80"/>
      <c r="P10" s="58"/>
      <c r="Q10" s="58"/>
      <c r="R10" s="58"/>
      <c r="S10" s="58"/>
      <c r="T10" s="58"/>
      <c r="U10" s="58"/>
      <c r="V10" s="58"/>
      <c r="W10" s="58"/>
      <c r="X10" s="58"/>
    </row>
    <row r="11" spans="1:61" ht="15" thickTop="1" x14ac:dyDescent="0.35">
      <c r="B11" s="452">
        <v>801.1</v>
      </c>
      <c r="C11" s="13"/>
      <c r="D11" s="13"/>
      <c r="E11" s="13"/>
      <c r="F11" s="13"/>
      <c r="G11" s="13"/>
      <c r="H11" s="550"/>
      <c r="I11" s="32">
        <v>801.1</v>
      </c>
      <c r="J11" s="4"/>
      <c r="K11" s="4"/>
      <c r="L11" s="706" t="s">
        <v>844</v>
      </c>
      <c r="M11" s="43"/>
      <c r="N11" s="4"/>
      <c r="O11" s="696">
        <f ca="1">IFERROR(INDEX({11,17,29,35,39,9},MATCH(W12,INDIRECT(U12),0)),0)*S12*NOT(T12)</f>
        <v>0</v>
      </c>
      <c r="AN11" t="str">
        <f>SUBSTITUTE(SUBSTITUTE(SUBSTITUTE("dpc"&amp;$B11&amp;$C11&amp;$D11&amp;$E11&amp;$F11,".","_"),"(","_"),")","")</f>
        <v>dpc801_1</v>
      </c>
      <c r="AO11">
        <f ca="1">O11</f>
        <v>0</v>
      </c>
      <c r="AX11" s="6" t="str">
        <f>'Overview (Design)'!A10</f>
        <v>Builder Name:</v>
      </c>
      <c r="AY11" t="str">
        <f>'Overview (Design)'!G10</f>
        <v>ABC Builder</v>
      </c>
    </row>
    <row r="12" spans="1:61" x14ac:dyDescent="0.35">
      <c r="B12" s="452">
        <v>801.1</v>
      </c>
      <c r="C12" s="13"/>
      <c r="D12" s="13"/>
      <c r="E12" s="13"/>
      <c r="F12" s="13"/>
      <c r="G12" s="13"/>
      <c r="H12" s="550"/>
      <c r="I12" s="32"/>
      <c r="J12" s="4"/>
      <c r="K12" s="4"/>
      <c r="L12" s="706"/>
      <c r="M12" s="43"/>
      <c r="N12" s="4"/>
      <c r="O12" s="696"/>
      <c r="P12" t="b">
        <v>1</v>
      </c>
      <c r="Q12" t="b">
        <v>1</v>
      </c>
      <c r="R12" t="b">
        <v>0</v>
      </c>
      <c r="S12" t="b">
        <f>AND(S14,S15=TRUE)</f>
        <v>0</v>
      </c>
      <c r="T12" t="b">
        <f ca="1">OR(IF(AND(NOT(S12),LEN(W12)&gt;0),TRUE,FALSE),AND(W12=INDEX(INDIRECT(U12),6),NOT(AY19=INDEX(ddSingleOrMulti,2))))</f>
        <v>0</v>
      </c>
      <c r="U12" t="str">
        <f>SUBSTITUTE(SUBSTITUTE(SUBSTITUTE("dd"&amp;B12&amp;C12&amp;D12&amp;E12&amp;F12,".","_"),"(","_"),")","")</f>
        <v>dd801_1</v>
      </c>
      <c r="W12" s="9"/>
      <c r="AC12" t="b">
        <f ca="1">OR(AD12:AE12)</f>
        <v>0</v>
      </c>
      <c r="AD12" t="b">
        <f ca="1">T12</f>
        <v>0</v>
      </c>
      <c r="AE12" t="b">
        <f>AND(R12,OR(W12="Not Met",W12=""))</f>
        <v>0</v>
      </c>
      <c r="AP12" t="str">
        <f>SUBSTITUTE(SUBSTITUTE(SUBSTITUTE("dch"&amp;$B12&amp;$C12&amp;$D12&amp;$E12&amp;$F12,".","_"),"(","_"),")","")</f>
        <v>dch801_1</v>
      </c>
      <c r="AQ12">
        <f>W12</f>
        <v>0</v>
      </c>
      <c r="AX12" s="6" t="str">
        <f>'Overview (Design)'!A11</f>
        <v>Physical Address of Home:</v>
      </c>
      <c r="AY12" t="str">
        <f>'Overview (Design)'!G11</f>
        <v>123 Example Drive</v>
      </c>
    </row>
    <row r="13" spans="1:61" x14ac:dyDescent="0.35">
      <c r="B13" s="452">
        <v>801.1</v>
      </c>
      <c r="C13" s="13"/>
      <c r="D13" s="13"/>
      <c r="E13" s="13"/>
      <c r="F13" s="13"/>
      <c r="G13" s="13"/>
      <c r="H13" s="550"/>
      <c r="I13" s="32"/>
      <c r="J13" s="4"/>
      <c r="K13" s="4"/>
      <c r="L13" s="706"/>
      <c r="M13" s="43"/>
      <c r="N13" s="4"/>
      <c r="O13" s="696"/>
      <c r="AX13" s="6" t="str">
        <f>'Overview (Design)'!A12</f>
        <v>Community/Lot #:</v>
      </c>
      <c r="AY13" t="str">
        <f>'Overview (Design)'!G12</f>
        <v>Lot 1A</v>
      </c>
    </row>
    <row r="14" spans="1:61" x14ac:dyDescent="0.35">
      <c r="B14" s="452">
        <v>801.1</v>
      </c>
      <c r="C14" s="13"/>
      <c r="D14" s="13"/>
      <c r="E14" s="13"/>
      <c r="F14" s="13"/>
      <c r="G14" s="13"/>
      <c r="H14" s="550"/>
      <c r="I14" s="32"/>
      <c r="J14" s="4"/>
      <c r="K14" s="4"/>
      <c r="L14" s="706"/>
      <c r="M14" s="43"/>
      <c r="N14" s="4"/>
      <c r="O14" s="696"/>
      <c r="S14" s="1" t="b">
        <f>'Ch7'!S551</f>
        <v>1</v>
      </c>
      <c r="AX14" s="6" t="str">
        <f>'Overview (Design)'!A13</f>
        <v>City:</v>
      </c>
      <c r="AY14" t="str">
        <f>'Overview (Design)'!G13</f>
        <v>Durham</v>
      </c>
    </row>
    <row r="15" spans="1:61" x14ac:dyDescent="0.35">
      <c r="B15" s="452">
        <v>801.1</v>
      </c>
      <c r="C15" s="13"/>
      <c r="D15" s="13"/>
      <c r="E15" s="13"/>
      <c r="F15" s="13"/>
      <c r="G15" s="13"/>
      <c r="H15" s="550"/>
      <c r="I15" s="32"/>
      <c r="J15" s="4"/>
      <c r="K15" s="4"/>
      <c r="L15" s="706"/>
      <c r="M15" s="43"/>
      <c r="N15" s="4"/>
      <c r="O15" s="696"/>
      <c r="S15" s="1">
        <f>'Ch7'!W551</f>
        <v>0</v>
      </c>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452">
        <v>801.1</v>
      </c>
      <c r="C16" s="13"/>
      <c r="D16" s="13"/>
      <c r="E16" s="13"/>
      <c r="F16" s="13"/>
      <c r="G16" s="13"/>
      <c r="H16" s="550"/>
      <c r="I16" s="32"/>
      <c r="J16" s="4"/>
      <c r="K16" s="4"/>
      <c r="L16" s="791" t="s">
        <v>845</v>
      </c>
      <c r="M16" s="43"/>
      <c r="N16" s="4"/>
      <c r="O16" s="85"/>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452">
        <v>801.1</v>
      </c>
      <c r="C17" s="13"/>
      <c r="D17" s="13"/>
      <c r="E17" s="13"/>
      <c r="F17" s="13"/>
      <c r="G17" s="13"/>
      <c r="H17" s="550"/>
      <c r="I17" s="32"/>
      <c r="J17" s="4"/>
      <c r="K17" s="4"/>
      <c r="L17" s="791"/>
      <c r="M17" s="43"/>
      <c r="N17" s="4"/>
      <c r="O17" s="85"/>
      <c r="AX17" s="6" t="str">
        <f>'Overview (Design)'!A16</f>
        <v>Zip:</v>
      </c>
      <c r="AY17" t="str">
        <f>'Overview (Design)'!G16</f>
        <v>27703</v>
      </c>
    </row>
    <row r="18" spans="2:51" x14ac:dyDescent="0.35">
      <c r="B18" s="452">
        <v>801.1</v>
      </c>
      <c r="C18" s="13"/>
      <c r="D18" s="13"/>
      <c r="E18" s="13"/>
      <c r="F18" s="13"/>
      <c r="G18" s="13"/>
      <c r="H18" s="550"/>
      <c r="I18" s="32"/>
      <c r="J18" s="4"/>
      <c r="K18" s="4"/>
      <c r="L18" s="791"/>
      <c r="M18" s="43"/>
      <c r="N18" s="4"/>
      <c r="O18" s="85"/>
      <c r="AX18" s="6"/>
    </row>
    <row r="19" spans="2:51" ht="15" customHeight="1" x14ac:dyDescent="0.35">
      <c r="B19" s="452">
        <v>801.1</v>
      </c>
      <c r="C19" s="13"/>
      <c r="D19" s="13"/>
      <c r="E19" s="13"/>
      <c r="F19" s="13"/>
      <c r="G19" s="13"/>
      <c r="H19" s="550"/>
      <c r="I19" s="32"/>
      <c r="J19" s="4"/>
      <c r="K19" s="4"/>
      <c r="L19" s="791" t="s">
        <v>846</v>
      </c>
      <c r="M19" s="43"/>
      <c r="N19" s="4"/>
      <c r="O19" s="85"/>
      <c r="AX19" s="6" t="str">
        <f>'Overview (Design)'!A18</f>
        <v>Single-Family or Multifamily:</v>
      </c>
      <c r="AY19" t="str">
        <f>'Overview (Design)'!G18</f>
        <v>Single-Family</v>
      </c>
    </row>
    <row r="20" spans="2:51" x14ac:dyDescent="0.35">
      <c r="B20" s="452">
        <v>801.1</v>
      </c>
      <c r="C20" s="13"/>
      <c r="D20" s="13"/>
      <c r="E20" s="13"/>
      <c r="F20" s="13"/>
      <c r="G20" s="13"/>
      <c r="H20" s="550"/>
      <c r="I20" s="32"/>
      <c r="J20" s="4"/>
      <c r="K20" s="4"/>
      <c r="L20" s="791"/>
      <c r="M20" s="43"/>
      <c r="N20" s="4"/>
      <c r="O20" s="85"/>
      <c r="AX20" s="6" t="str">
        <f>'Overview (Design)'!A19</f>
        <v>Number of Units:</v>
      </c>
      <c r="AY20">
        <f>'Overview (Design)'!G19</f>
        <v>0</v>
      </c>
    </row>
    <row r="21" spans="2:51" x14ac:dyDescent="0.35">
      <c r="B21" s="452">
        <v>801.1</v>
      </c>
      <c r="C21" s="13"/>
      <c r="D21" s="13"/>
      <c r="E21" s="13"/>
      <c r="F21" s="13"/>
      <c r="G21" s="13"/>
      <c r="H21" s="550"/>
      <c r="I21" s="32"/>
      <c r="J21" s="4"/>
      <c r="K21" s="4"/>
      <c r="L21" s="791"/>
      <c r="M21" s="43"/>
      <c r="N21" s="4"/>
      <c r="O21" s="85"/>
      <c r="AX21" s="6" t="str">
        <f>'Overview (Design)'!A20</f>
        <v>Project Name:</v>
      </c>
      <c r="AY21">
        <f>'Overview (Design)'!G20</f>
        <v>0</v>
      </c>
    </row>
    <row r="22" spans="2:51" x14ac:dyDescent="0.35">
      <c r="B22" s="452">
        <v>801.1</v>
      </c>
      <c r="C22" s="13"/>
      <c r="D22" s="13"/>
      <c r="E22" s="13"/>
      <c r="F22" s="13"/>
      <c r="G22" s="13"/>
      <c r="H22" s="550"/>
      <c r="I22" s="32"/>
      <c r="J22" s="4"/>
      <c r="K22" s="4"/>
      <c r="L22" s="105" t="s">
        <v>847</v>
      </c>
      <c r="M22" s="43"/>
      <c r="N22" s="4"/>
      <c r="O22" s="85"/>
      <c r="AX22" s="6"/>
    </row>
    <row r="23" spans="2:51" x14ac:dyDescent="0.35">
      <c r="B23" s="452">
        <v>801.1</v>
      </c>
      <c r="C23" s="13"/>
      <c r="D23" s="13"/>
      <c r="E23" s="13"/>
      <c r="F23" s="13"/>
      <c r="G23" s="13"/>
      <c r="H23" s="550"/>
      <c r="I23" s="32"/>
      <c r="J23" s="4"/>
      <c r="K23" s="4"/>
      <c r="L23" s="207" t="s">
        <v>3779</v>
      </c>
      <c r="M23" s="43"/>
      <c r="N23" s="4"/>
      <c r="O23" s="85"/>
      <c r="AX23" s="6" t="str">
        <f>'Overview (Design)'!A22</f>
        <v>Above grade plane finished floor area:</v>
      </c>
      <c r="AY23">
        <f>'Overview (Design)'!G22</f>
        <v>2644</v>
      </c>
    </row>
    <row r="24" spans="2:51" x14ac:dyDescent="0.35">
      <c r="B24" s="452">
        <v>801.1</v>
      </c>
      <c r="C24" s="13"/>
      <c r="D24" s="13"/>
      <c r="E24" s="13"/>
      <c r="F24" s="13"/>
      <c r="G24" s="13"/>
      <c r="H24" s="550"/>
      <c r="I24" s="32"/>
      <c r="J24" s="4"/>
      <c r="K24" s="4"/>
      <c r="L24" s="207" t="s">
        <v>3780</v>
      </c>
      <c r="M24" s="43"/>
      <c r="N24" s="4"/>
      <c r="O24" s="85"/>
      <c r="AX24" s="6" t="str">
        <f>'Overview (Design)'!A23</f>
        <v>Total conditioned floor area:</v>
      </c>
      <c r="AY24">
        <f>'Overview (Design)'!G23</f>
        <v>2644</v>
      </c>
    </row>
    <row r="25" spans="2:51" x14ac:dyDescent="0.35">
      <c r="B25" s="452">
        <v>801.1</v>
      </c>
      <c r="C25" s="13"/>
      <c r="D25" s="13"/>
      <c r="E25" s="13" t="s">
        <v>270</v>
      </c>
      <c r="F25" s="13"/>
      <c r="G25" s="13"/>
      <c r="H25" s="550"/>
      <c r="I25" s="32"/>
      <c r="J25" s="19" t="s">
        <v>270</v>
      </c>
      <c r="K25" s="4"/>
      <c r="L25" s="707" t="s">
        <v>848</v>
      </c>
      <c r="M25" s="690">
        <v>11</v>
      </c>
      <c r="N25" s="4"/>
      <c r="O25" s="85"/>
      <c r="X25" s="688"/>
      <c r="AL25" t="str">
        <f>SUBSTITUTE(SUBSTITUTE(SUBSTITUTE("dpa"&amp;$B25&amp;$C25&amp;$D25&amp;$E25&amp;$F25,".","_"),"(","_"),")","")</f>
        <v>dpa801_1_1</v>
      </c>
      <c r="AM25">
        <f>M25</f>
        <v>11</v>
      </c>
      <c r="AR25" t="str">
        <f>SUBSTITUTE(SUBSTITUTE(SUBSTITUTE("dnt"&amp;$B25&amp;$C25&amp;$D25&amp;$E25&amp;$F25,".","_"),"(","_"),")","")</f>
        <v>dnt801_1_1</v>
      </c>
      <c r="AS25">
        <f>X25</f>
        <v>0</v>
      </c>
      <c r="AX25" s="6" t="str">
        <f>'Overview (Design)'!A24</f>
        <v>Stories above grade:</v>
      </c>
      <c r="AY25">
        <f>'Overview (Design)'!G24</f>
        <v>2</v>
      </c>
    </row>
    <row r="26" spans="2:51" x14ac:dyDescent="0.35">
      <c r="B26" s="452">
        <v>801.1</v>
      </c>
      <c r="C26" s="13"/>
      <c r="D26" s="13"/>
      <c r="E26" s="13" t="s">
        <v>270</v>
      </c>
      <c r="F26" s="13"/>
      <c r="G26" s="13"/>
      <c r="H26" s="550"/>
      <c r="I26" s="32"/>
      <c r="J26" s="148"/>
      <c r="K26" s="155"/>
      <c r="L26" s="709"/>
      <c r="M26" s="691"/>
      <c r="N26" s="4"/>
      <c r="O26" s="85"/>
      <c r="X26" s="688"/>
    </row>
    <row r="27" spans="2:51" x14ac:dyDescent="0.35">
      <c r="B27" s="452">
        <v>801.1</v>
      </c>
      <c r="C27" s="13"/>
      <c r="D27" s="13"/>
      <c r="E27" s="13" t="s">
        <v>272</v>
      </c>
      <c r="F27" s="13"/>
      <c r="G27" s="13"/>
      <c r="H27" s="550"/>
      <c r="I27" s="32"/>
      <c r="J27" s="19" t="s">
        <v>272</v>
      </c>
      <c r="K27" s="4"/>
      <c r="L27" s="707" t="s">
        <v>849</v>
      </c>
      <c r="M27" s="690">
        <v>17</v>
      </c>
      <c r="N27" s="4"/>
      <c r="O27" s="85"/>
      <c r="X27" s="688"/>
      <c r="AL27" t="str">
        <f>SUBSTITUTE(SUBSTITUTE(SUBSTITUTE("dpa"&amp;$B27&amp;$C27&amp;$D27&amp;$E27&amp;$F27,".","_"),"(","_"),")","")</f>
        <v>dpa801_1_2</v>
      </c>
      <c r="AM27">
        <f>M27</f>
        <v>17</v>
      </c>
      <c r="AX27" s="6" t="str">
        <f>'Overview (Design)'!A26</f>
        <v xml:space="preserve">Project Description (optional): </v>
      </c>
      <c r="AY27">
        <f>'Overview (Design)'!G26</f>
        <v>0</v>
      </c>
    </row>
    <row r="28" spans="2:51" x14ac:dyDescent="0.35">
      <c r="B28" s="452">
        <v>801.1</v>
      </c>
      <c r="C28" s="13"/>
      <c r="D28" s="13"/>
      <c r="E28" s="13" t="s">
        <v>272</v>
      </c>
      <c r="F28" s="13"/>
      <c r="G28" s="13"/>
      <c r="H28" s="550"/>
      <c r="I28" s="32"/>
      <c r="J28" s="148"/>
      <c r="K28" s="155"/>
      <c r="L28" s="709"/>
      <c r="M28" s="691"/>
      <c r="N28" s="4"/>
      <c r="O28" s="85"/>
      <c r="X28" s="688"/>
    </row>
    <row r="29" spans="2:51" x14ac:dyDescent="0.35">
      <c r="B29" s="452">
        <v>801.1</v>
      </c>
      <c r="C29" s="13"/>
      <c r="D29" s="13"/>
      <c r="E29" s="13" t="s">
        <v>274</v>
      </c>
      <c r="F29" s="13"/>
      <c r="G29" s="13"/>
      <c r="H29" s="550"/>
      <c r="I29" s="32"/>
      <c r="J29" s="19" t="s">
        <v>274</v>
      </c>
      <c r="K29" s="4"/>
      <c r="L29" s="707" t="s">
        <v>850</v>
      </c>
      <c r="M29" s="690">
        <v>29</v>
      </c>
      <c r="N29" s="4"/>
      <c r="O29" s="85"/>
      <c r="X29" s="688"/>
      <c r="AL29" t="str">
        <f>SUBSTITUTE(SUBSTITUTE(SUBSTITUTE("dpa"&amp;$B29&amp;$C29&amp;$D29&amp;$E29&amp;$F29,".","_"),"(","_"),")","")</f>
        <v>dpa801_1_3</v>
      </c>
      <c r="AM29">
        <f>M29</f>
        <v>29</v>
      </c>
      <c r="AX29" s="6" t="str">
        <f>'Overview (Design)'!A28</f>
        <v>HERS Index (if available):</v>
      </c>
      <c r="AY29">
        <f>'Overview (Design)'!G28</f>
        <v>0</v>
      </c>
    </row>
    <row r="30" spans="2:51" x14ac:dyDescent="0.35">
      <c r="B30" s="452">
        <v>801.1</v>
      </c>
      <c r="C30" s="13"/>
      <c r="D30" s="13"/>
      <c r="E30" s="13" t="s">
        <v>274</v>
      </c>
      <c r="F30" s="13"/>
      <c r="G30" s="13"/>
      <c r="H30" s="550"/>
      <c r="I30" s="32"/>
      <c r="J30" s="148"/>
      <c r="K30" s="155"/>
      <c r="L30" s="709"/>
      <c r="M30" s="691"/>
      <c r="N30" s="4"/>
      <c r="O30" s="85"/>
      <c r="X30" s="688"/>
      <c r="AX30" s="6" t="str">
        <f>'Overview (Design)'!A29</f>
        <v>Foundation Type:</v>
      </c>
      <c r="AY30" t="str">
        <f>'Overview (Design)'!G29</f>
        <v>Conditioned crawlspace</v>
      </c>
    </row>
    <row r="31" spans="2:51" x14ac:dyDescent="0.35">
      <c r="B31" s="452">
        <v>801.1</v>
      </c>
      <c r="C31" s="13"/>
      <c r="D31" s="13"/>
      <c r="E31" s="13" t="s">
        <v>283</v>
      </c>
      <c r="F31" s="13"/>
      <c r="G31" s="13"/>
      <c r="H31" s="550"/>
      <c r="I31" s="32"/>
      <c r="J31" s="19" t="s">
        <v>283</v>
      </c>
      <c r="K31" s="4"/>
      <c r="L31" s="707" t="s">
        <v>851</v>
      </c>
      <c r="M31" s="690">
        <v>35</v>
      </c>
      <c r="N31" s="4"/>
      <c r="O31" s="85"/>
      <c r="X31" s="688"/>
      <c r="AL31" t="str">
        <f>SUBSTITUTE(SUBSTITUTE(SUBSTITUTE("dpa"&amp;$B31&amp;$C31&amp;$D31&amp;$E31&amp;$F31,".","_"),"(","_"),")","")</f>
        <v>dpa801_1_4</v>
      </c>
      <c r="AM31">
        <f>M31</f>
        <v>35</v>
      </c>
      <c r="AX31" s="6"/>
    </row>
    <row r="32" spans="2:51" x14ac:dyDescent="0.35">
      <c r="B32" s="452">
        <v>801.1</v>
      </c>
      <c r="C32" s="13"/>
      <c r="D32" s="13"/>
      <c r="E32" s="13" t="s">
        <v>283</v>
      </c>
      <c r="F32" s="13"/>
      <c r="G32" s="13"/>
      <c r="H32" s="550"/>
      <c r="I32" s="32"/>
      <c r="J32" s="4"/>
      <c r="K32" s="4"/>
      <c r="L32" s="707"/>
      <c r="M32" s="690"/>
      <c r="N32" s="4"/>
      <c r="O32" s="85"/>
      <c r="X32" s="688"/>
      <c r="AX32" s="6" t="str">
        <f>'Overview (Design)'!A31</f>
        <v>Type of Heating System (main system):</v>
      </c>
      <c r="AY32" t="str">
        <f>'Overview (Design)'!G31</f>
        <v>Furnace</v>
      </c>
    </row>
    <row r="33" spans="2:51" x14ac:dyDescent="0.35">
      <c r="B33" s="452">
        <v>801.1</v>
      </c>
      <c r="C33" s="13"/>
      <c r="D33" s="13"/>
      <c r="E33" s="13" t="s">
        <v>283</v>
      </c>
      <c r="F33" s="13"/>
      <c r="G33" s="13"/>
      <c r="H33" s="550"/>
      <c r="I33" s="32"/>
      <c r="J33" s="4"/>
      <c r="K33" s="4"/>
      <c r="L33" s="707"/>
      <c r="M33" s="690"/>
      <c r="N33" s="4"/>
      <c r="O33" s="85"/>
      <c r="X33" s="688"/>
      <c r="AX33" s="6" t="str">
        <f>'Overview (Design)'!A32</f>
        <v>Type of Heating System (system 2):</v>
      </c>
      <c r="AY33">
        <f>'Overview (Design)'!G32</f>
        <v>0</v>
      </c>
    </row>
    <row r="34" spans="2:51" x14ac:dyDescent="0.35">
      <c r="B34" s="452">
        <v>801.1</v>
      </c>
      <c r="C34" s="13"/>
      <c r="D34" s="13"/>
      <c r="E34" s="13" t="s">
        <v>283</v>
      </c>
      <c r="F34" s="13" t="s">
        <v>121</v>
      </c>
      <c r="G34" s="13"/>
      <c r="H34" s="550"/>
      <c r="I34" s="4"/>
      <c r="J34" s="4"/>
      <c r="K34" s="19" t="s">
        <v>121</v>
      </c>
      <c r="L34" s="707" t="s">
        <v>852</v>
      </c>
      <c r="M34" s="690" t="s">
        <v>853</v>
      </c>
      <c r="N34" s="4"/>
      <c r="O34" s="85"/>
      <c r="X34" s="688"/>
      <c r="AL34" t="str">
        <f>SUBSTITUTE(SUBSTITUTE(SUBSTITUTE("dpa"&amp;$B34&amp;$C34&amp;$D34&amp;$E34&amp;$F34,".","_"),"(","_"),")","")</f>
        <v>dpa801_1_4_a</v>
      </c>
      <c r="AM34" t="str">
        <f>M34</f>
        <v>4 Additional</v>
      </c>
      <c r="AX34" s="6" t="str">
        <f>'Overview (Design)'!A33</f>
        <v>Type of Heating System (system 3):</v>
      </c>
      <c r="AY34">
        <f>'Overview (Design)'!G33</f>
        <v>0</v>
      </c>
    </row>
    <row r="35" spans="2:51" x14ac:dyDescent="0.35">
      <c r="B35" s="452">
        <v>801.1</v>
      </c>
      <c r="C35" s="13"/>
      <c r="D35" s="13"/>
      <c r="E35" s="13" t="s">
        <v>283</v>
      </c>
      <c r="F35" s="13" t="s">
        <v>121</v>
      </c>
      <c r="G35" s="13"/>
      <c r="H35" s="550"/>
      <c r="I35" s="32"/>
      <c r="J35" s="155"/>
      <c r="K35" s="155"/>
      <c r="L35" s="709"/>
      <c r="M35" s="691"/>
      <c r="N35" s="4"/>
      <c r="O35" s="85"/>
      <c r="X35" s="688"/>
      <c r="AX35" s="6" t="str">
        <f>'Overview (Design)'!A34</f>
        <v>Heating Fuel:</v>
      </c>
      <c r="AY35">
        <f>'Overview (Design)'!G34</f>
        <v>0</v>
      </c>
    </row>
    <row r="36" spans="2:51" x14ac:dyDescent="0.35">
      <c r="B36" s="452">
        <v>801.1</v>
      </c>
      <c r="C36" s="13"/>
      <c r="D36" s="13"/>
      <c r="E36" s="13" t="s">
        <v>289</v>
      </c>
      <c r="F36" s="13"/>
      <c r="G36" s="13"/>
      <c r="H36" s="550"/>
      <c r="I36" s="32"/>
      <c r="J36" s="19" t="s">
        <v>289</v>
      </c>
      <c r="K36" s="4"/>
      <c r="L36" s="707" t="s">
        <v>854</v>
      </c>
      <c r="M36" s="690">
        <v>9</v>
      </c>
      <c r="N36" s="4"/>
      <c r="O36" s="85"/>
      <c r="X36" s="688"/>
      <c r="AL36" t="str">
        <f>SUBSTITUTE(SUBSTITUTE(SUBSTITUTE("dpa"&amp;$B36&amp;$C36&amp;$D36&amp;$E36&amp;$F36,".","_"),"(","_"),")","")</f>
        <v>dpa801_1_5</v>
      </c>
      <c r="AM36">
        <f>M36</f>
        <v>9</v>
      </c>
      <c r="AR36" t="str">
        <f>SUBSTITUTE(SUBSTITUTE(SUBSTITUTE("dnt"&amp;$B36&amp;$C36&amp;$D36&amp;$E36&amp;$F36,".","_"),"(","_"),")","")</f>
        <v>dnt801_1_5</v>
      </c>
      <c r="AS36">
        <f>X36</f>
        <v>0</v>
      </c>
      <c r="AX36" s="6" t="str">
        <f>'Overview (Design)'!A35</f>
        <v>Heating Ducts:</v>
      </c>
      <c r="AY36" t="str">
        <f>'Overview (Design)'!G35</f>
        <v>Ducted</v>
      </c>
    </row>
    <row r="37" spans="2:51" x14ac:dyDescent="0.35">
      <c r="B37" s="452">
        <v>801.1</v>
      </c>
      <c r="C37" s="13"/>
      <c r="D37" s="13"/>
      <c r="E37" s="13" t="s">
        <v>289</v>
      </c>
      <c r="F37" s="13"/>
      <c r="G37" s="13"/>
      <c r="H37" s="550"/>
      <c r="I37" s="32"/>
      <c r="J37" s="4"/>
      <c r="K37" s="4"/>
      <c r="L37" s="707"/>
      <c r="M37" s="690"/>
      <c r="N37" s="4"/>
      <c r="O37" s="85"/>
      <c r="X37" s="688"/>
      <c r="AX37" s="6" t="str">
        <f>'Overview (Design)'!A36</f>
        <v>Type of Cooling System (main system):</v>
      </c>
      <c r="AY37" t="str">
        <f>'Overview (Design)'!G36</f>
        <v>Electric Air Conditiner</v>
      </c>
    </row>
    <row r="38" spans="2:51" x14ac:dyDescent="0.35">
      <c r="B38" s="452">
        <v>801.1</v>
      </c>
      <c r="C38" s="13"/>
      <c r="D38" s="13"/>
      <c r="E38" s="13" t="s">
        <v>289</v>
      </c>
      <c r="F38" s="13"/>
      <c r="G38" s="13"/>
      <c r="H38" s="550"/>
      <c r="I38" s="32"/>
      <c r="J38" s="4"/>
      <c r="K38" s="4"/>
      <c r="L38" s="707"/>
      <c r="M38" s="690"/>
      <c r="N38" s="4"/>
      <c r="O38" s="85"/>
      <c r="X38" s="688"/>
      <c r="AX38" s="6" t="str">
        <f>'Overview (Design)'!A37</f>
        <v>Type of Cooling System (system 2):</v>
      </c>
      <c r="AY38">
        <f>'Overview (Design)'!G37</f>
        <v>0</v>
      </c>
    </row>
    <row r="39" spans="2:51" x14ac:dyDescent="0.35">
      <c r="B39" s="452">
        <v>801.1</v>
      </c>
      <c r="C39" s="13"/>
      <c r="D39" s="13"/>
      <c r="E39" s="13" t="s">
        <v>289</v>
      </c>
      <c r="F39" s="13"/>
      <c r="G39" s="13"/>
      <c r="H39" s="550"/>
      <c r="I39" s="32"/>
      <c r="J39" s="4"/>
      <c r="K39" s="4"/>
      <c r="L39" s="707"/>
      <c r="M39" s="690"/>
      <c r="N39" s="4"/>
      <c r="O39" s="85"/>
      <c r="X39" s="688"/>
      <c r="AX39" s="6" t="str">
        <f>'Overview (Design)'!A38</f>
        <v>Type of Cooling System (system 3):</v>
      </c>
      <c r="AY39">
        <f>'Overview (Design)'!G38</f>
        <v>0</v>
      </c>
    </row>
    <row r="40" spans="2:51" x14ac:dyDescent="0.35">
      <c r="B40" s="452">
        <v>801.1</v>
      </c>
      <c r="C40" s="13"/>
      <c r="D40" s="13"/>
      <c r="E40" s="13" t="s">
        <v>289</v>
      </c>
      <c r="F40" s="13"/>
      <c r="G40" s="13"/>
      <c r="H40" s="550"/>
      <c r="I40" s="32"/>
      <c r="J40" s="155"/>
      <c r="K40" s="155"/>
      <c r="L40" s="709"/>
      <c r="M40" s="691"/>
      <c r="N40" s="155"/>
      <c r="O40" s="342"/>
      <c r="X40" s="688"/>
      <c r="AX40" s="6" t="str">
        <f>'Overview (Design)'!A39</f>
        <v>Cooling Ducts:</v>
      </c>
      <c r="AY40" t="str">
        <f>'Overview (Design)'!G39</f>
        <v>Ducted</v>
      </c>
    </row>
    <row r="41" spans="2:51" x14ac:dyDescent="0.35">
      <c r="B41" s="452">
        <v>801.1</v>
      </c>
      <c r="C41" s="13"/>
      <c r="D41" s="13"/>
      <c r="E41" s="13" t="s">
        <v>291</v>
      </c>
      <c r="F41" s="13"/>
      <c r="G41" s="13"/>
      <c r="H41" s="550"/>
      <c r="I41" s="32"/>
      <c r="J41" s="19" t="s">
        <v>291</v>
      </c>
      <c r="K41" s="4"/>
      <c r="L41" s="707" t="s">
        <v>855</v>
      </c>
      <c r="M41" s="690" t="s">
        <v>853</v>
      </c>
      <c r="N41" s="4"/>
      <c r="O41" s="696">
        <f>4*S41*W41</f>
        <v>0</v>
      </c>
      <c r="P41" t="b">
        <v>1</v>
      </c>
      <c r="Q41" t="b">
        <v>1</v>
      </c>
      <c r="R41" t="b">
        <v>0</v>
      </c>
      <c r="S41" t="b">
        <f>AND(S12,NOT(W12=""))</f>
        <v>0</v>
      </c>
      <c r="T41" t="b">
        <f>IF(AND(NOT(S41),W41=TRUE),TRUE,FALSE)</f>
        <v>0</v>
      </c>
      <c r="W41" s="17"/>
      <c r="X41" s="688"/>
      <c r="AC41" t="b">
        <f>OR(AD41:AE41)</f>
        <v>0</v>
      </c>
      <c r="AD41" t="b">
        <f>T41</f>
        <v>0</v>
      </c>
      <c r="AE41" t="b">
        <v>0</v>
      </c>
      <c r="AL41" t="str">
        <f>SUBSTITUTE(SUBSTITUTE(SUBSTITUTE("dpa"&amp;$B41&amp;$C41&amp;$D41&amp;$E41&amp;$F41,".","_"),"(","_"),")","")</f>
        <v>dpa801_1_6</v>
      </c>
      <c r="AM41" t="str">
        <f>M41</f>
        <v>4 Additional</v>
      </c>
      <c r="AN41" t="str">
        <f>SUBSTITUTE(SUBSTITUTE(SUBSTITUTE("dpc"&amp;$B41&amp;$C41&amp;$D41&amp;$E41&amp;$F41,".","_"),"(","_"),")","")</f>
        <v>dpc801_1_6</v>
      </c>
      <c r="AO41">
        <f>O41</f>
        <v>0</v>
      </c>
      <c r="AP41" t="str">
        <f>SUBSTITUTE(SUBSTITUTE(SUBSTITUTE("dch"&amp;$B41&amp;$C41&amp;$D41&amp;$E41&amp;$F41,".","_"),"(","_"),")","")</f>
        <v>dch801_1_6</v>
      </c>
      <c r="AQ41">
        <f>W41</f>
        <v>0</v>
      </c>
      <c r="AR41" t="str">
        <f>SUBSTITUTE(SUBSTITUTE(SUBSTITUTE("dnt"&amp;$B41&amp;$C41&amp;$D41&amp;$E41&amp;$F41,".","_"),"(","_"),")","")</f>
        <v>dnt801_1_6</v>
      </c>
      <c r="AS41">
        <f>X41</f>
        <v>0</v>
      </c>
      <c r="AX41" s="6">
        <f>'Overview (Design)'!A40</f>
        <v>0</v>
      </c>
      <c r="AY41">
        <f>'Overview (Design)'!G40</f>
        <v>0</v>
      </c>
    </row>
    <row r="42" spans="2:51" x14ac:dyDescent="0.35">
      <c r="B42" s="452">
        <v>801.1</v>
      </c>
      <c r="C42" s="13"/>
      <c r="D42" s="13"/>
      <c r="E42" s="13" t="s">
        <v>291</v>
      </c>
      <c r="F42" s="13"/>
      <c r="G42" s="13"/>
      <c r="H42" s="550"/>
      <c r="I42" s="32"/>
      <c r="J42" s="4"/>
      <c r="K42" s="4"/>
      <c r="L42" s="707"/>
      <c r="M42" s="690"/>
      <c r="N42" s="4"/>
      <c r="O42" s="696"/>
      <c r="X42" s="688"/>
      <c r="AX42" s="6" t="str">
        <f>'Overview (Design)'!A41</f>
        <v>Maximum window and door SHGC:</v>
      </c>
      <c r="AY42">
        <f>'Overview (Design)'!G41</f>
        <v>0.22</v>
      </c>
    </row>
    <row r="43" spans="2:51" ht="15" thickBot="1" x14ac:dyDescent="0.4">
      <c r="B43" s="452">
        <v>801.1</v>
      </c>
      <c r="C43" s="13"/>
      <c r="D43" s="13"/>
      <c r="E43" s="13" t="s">
        <v>291</v>
      </c>
      <c r="F43" s="13"/>
      <c r="G43" s="13"/>
      <c r="H43" s="550"/>
      <c r="I43" s="132"/>
      <c r="J43" s="183"/>
      <c r="K43" s="183"/>
      <c r="L43" s="708"/>
      <c r="M43" s="693"/>
      <c r="N43" s="183"/>
      <c r="O43" s="695"/>
      <c r="P43" s="58"/>
      <c r="Q43" s="58"/>
      <c r="R43" s="58"/>
      <c r="S43" s="58"/>
      <c r="T43" s="58"/>
      <c r="U43" s="58"/>
      <c r="V43" s="58"/>
      <c r="W43" s="58"/>
      <c r="X43" s="689"/>
      <c r="AX43" s="6" t="str">
        <f>'Overview (Design)'!A42</f>
        <v>Maximum skylight SHGC:</v>
      </c>
      <c r="AY43">
        <f>'Overview (Design)'!G42</f>
        <v>0</v>
      </c>
    </row>
    <row r="44" spans="2:51" ht="15" thickTop="1" x14ac:dyDescent="0.35">
      <c r="B44" s="452">
        <v>801.2</v>
      </c>
      <c r="C44" s="13"/>
      <c r="D44" s="13"/>
      <c r="E44" s="13"/>
      <c r="F44" s="13"/>
      <c r="G44" s="13"/>
      <c r="H44" s="550"/>
      <c r="I44" s="32">
        <v>801.2</v>
      </c>
      <c r="J44" s="4"/>
      <c r="K44" s="4"/>
      <c r="L44" s="706" t="s">
        <v>856</v>
      </c>
      <c r="M44" s="43"/>
      <c r="N44" s="4"/>
      <c r="O44" s="85"/>
      <c r="AX44" s="6" t="str">
        <f>'Overview (Design)'!A43</f>
        <v>Maximum window and door U-value:</v>
      </c>
      <c r="AY44">
        <f>'Overview (Design)'!G43</f>
        <v>0.32</v>
      </c>
    </row>
    <row r="45" spans="2:51" x14ac:dyDescent="0.35">
      <c r="B45" s="452">
        <v>801.2</v>
      </c>
      <c r="C45" s="13"/>
      <c r="D45" s="13"/>
      <c r="E45" s="13"/>
      <c r="F45" s="13"/>
      <c r="G45" s="13"/>
      <c r="H45" s="550"/>
      <c r="I45" s="32"/>
      <c r="J45" s="4"/>
      <c r="K45" s="4"/>
      <c r="L45" s="706"/>
      <c r="M45" s="43"/>
      <c r="N45" s="4"/>
      <c r="O45" s="85"/>
      <c r="AX45" s="6" t="str">
        <f>'Overview (Design)'!A44</f>
        <v>Maximum skylight U-value:</v>
      </c>
      <c r="AY45">
        <f>'Overview (Design)'!G44</f>
        <v>0</v>
      </c>
    </row>
    <row r="46" spans="2:51" x14ac:dyDescent="0.35">
      <c r="B46" s="452">
        <v>801.2</v>
      </c>
      <c r="C46" s="13"/>
      <c r="D46" s="13"/>
      <c r="E46" s="13" t="s">
        <v>270</v>
      </c>
      <c r="F46" s="13"/>
      <c r="G46" s="13"/>
      <c r="H46" s="550"/>
      <c r="I46" s="32"/>
      <c r="J46" s="148" t="s">
        <v>270</v>
      </c>
      <c r="K46" s="155"/>
      <c r="L46" s="214" t="s">
        <v>857</v>
      </c>
      <c r="M46" s="198">
        <v>2</v>
      </c>
      <c r="N46" s="155"/>
      <c r="O46" s="342">
        <f>2*S46*W46</f>
        <v>2</v>
      </c>
      <c r="P46" t="b">
        <v>0</v>
      </c>
      <c r="Q46" t="b">
        <v>1</v>
      </c>
      <c r="R46" t="b">
        <v>0</v>
      </c>
      <c r="S46" t="b">
        <v>1</v>
      </c>
      <c r="T46" t="b">
        <f>IF(AND(NOT(S46),W46=TRUE),TRUE,FALSE)</f>
        <v>0</v>
      </c>
      <c r="W46" s="17" t="b">
        <v>1</v>
      </c>
      <c r="X46" s="39"/>
      <c r="AC46" t="b">
        <f>OR(AD46:AE46)</f>
        <v>0</v>
      </c>
      <c r="AD46" t="b">
        <f>T46</f>
        <v>0</v>
      </c>
      <c r="AE46" t="b">
        <v>0</v>
      </c>
      <c r="AL46" t="str">
        <f t="shared" ref="AL46:AL48" si="0">SUBSTITUTE(SUBSTITUTE(SUBSTITUTE("dpa"&amp;$B46&amp;$C46&amp;$D46&amp;$E46&amp;$F46,".","_"),"(","_"),")","")</f>
        <v>dpa801_2_1</v>
      </c>
      <c r="AM46">
        <f>M46</f>
        <v>2</v>
      </c>
      <c r="AN46" t="str">
        <f t="shared" ref="AN46:AN47" si="1">SUBSTITUTE(SUBSTITUTE(SUBSTITUTE("dpc"&amp;$B46&amp;$C46&amp;$D46&amp;$E46&amp;$F46,".","_"),"(","_"),")","")</f>
        <v>dpc801_2_1</v>
      </c>
      <c r="AO46">
        <f>O46</f>
        <v>2</v>
      </c>
      <c r="AP46" t="str">
        <f t="shared" ref="AP46:AP47" si="2">SUBSTITUTE(SUBSTITUTE(SUBSTITUTE("dch"&amp;$B46&amp;$C46&amp;$D46&amp;$E46&amp;$F46,".","_"),"(","_"),")","")</f>
        <v>dch801_2_1</v>
      </c>
      <c r="AQ46" t="b">
        <f>W46</f>
        <v>1</v>
      </c>
      <c r="AR46" t="str">
        <f>SUBSTITUTE(SUBSTITUTE(SUBSTITUTE("dnt"&amp;$B46&amp;$C46&amp;$D46&amp;$E46&amp;$F46,".","_"),"(","_"),")","")</f>
        <v>dnt801_2_1</v>
      </c>
      <c r="AS46">
        <f>X46</f>
        <v>0</v>
      </c>
      <c r="AX46" s="6" t="str">
        <f>'Overview (Design)'!A45</f>
        <v>Renewable Energy:</v>
      </c>
      <c r="AY46">
        <f>'Overview (Design)'!G45</f>
        <v>0</v>
      </c>
    </row>
    <row r="47" spans="2:51" ht="15" customHeight="1" x14ac:dyDescent="0.35">
      <c r="B47" s="452">
        <v>801.2</v>
      </c>
      <c r="C47" s="13"/>
      <c r="D47" s="13"/>
      <c r="E47" s="13" t="s">
        <v>272</v>
      </c>
      <c r="F47" s="13"/>
      <c r="G47" s="13"/>
      <c r="H47" s="550"/>
      <c r="I47" s="32"/>
      <c r="J47" s="148" t="s">
        <v>272</v>
      </c>
      <c r="K47" s="155"/>
      <c r="L47" s="214" t="s">
        <v>858</v>
      </c>
      <c r="M47" s="198">
        <v>13</v>
      </c>
      <c r="N47" s="4"/>
      <c r="O47" s="696">
        <f ca="1">IFERROR(INDEX({13,24},MATCH(W47,INDIRECT(U47),0)),0)</f>
        <v>0</v>
      </c>
      <c r="P47" t="b">
        <v>0</v>
      </c>
      <c r="Q47" t="b">
        <v>1</v>
      </c>
      <c r="R47" t="b">
        <v>0</v>
      </c>
      <c r="S47" t="b">
        <v>1</v>
      </c>
      <c r="T47" t="b">
        <f>IF(AND(NOT(S47),LEN(W47)&gt;0),TRUE,FALSE)</f>
        <v>0</v>
      </c>
      <c r="U47" t="str">
        <f>SUBSTITUTE(SUBSTITUTE(SUBSTITUTE("dd"&amp;B47&amp;C47&amp;D47&amp;E47&amp;F47,".","_"),"(","_"),")","")</f>
        <v>dd801_2_2</v>
      </c>
      <c r="W47" s="269"/>
      <c r="X47" s="688"/>
      <c r="AC47" t="b">
        <f>OR(AD47:AE47)</f>
        <v>0</v>
      </c>
      <c r="AD47" t="b">
        <f>T47</f>
        <v>0</v>
      </c>
      <c r="AE47" t="b">
        <f>AND(R47,OR(W47="Not Met",W47=""))</f>
        <v>0</v>
      </c>
      <c r="AL47" t="str">
        <f t="shared" si="0"/>
        <v>dpa801_2_2</v>
      </c>
      <c r="AM47">
        <f>M47</f>
        <v>13</v>
      </c>
      <c r="AN47" t="str">
        <f t="shared" si="1"/>
        <v>dpc801_2_2</v>
      </c>
      <c r="AO47">
        <f ca="1">O47</f>
        <v>0</v>
      </c>
      <c r="AP47" t="str">
        <f t="shared" si="2"/>
        <v>dch801_2_2</v>
      </c>
      <c r="AQ47">
        <f>W47</f>
        <v>0</v>
      </c>
      <c r="AR47" t="str">
        <f>SUBSTITUTE(SUBSTITUTE(SUBSTITUTE("dnt"&amp;$B47&amp;$C47&amp;$D47&amp;$E47&amp;$F47,".","_"),"(","_"),")","")</f>
        <v>dnt801_2_2</v>
      </c>
      <c r="AS47">
        <f>X47</f>
        <v>0</v>
      </c>
      <c r="AX47" s="6" t="str">
        <f>'Overview (Design)'!A46</f>
        <v>Thermal Envelope Insulation:</v>
      </c>
      <c r="AY47">
        <f>'Overview (Design)'!G46</f>
        <v>0</v>
      </c>
    </row>
    <row r="48" spans="2:51" x14ac:dyDescent="0.35">
      <c r="B48" s="452">
        <v>801.2</v>
      </c>
      <c r="C48" s="13"/>
      <c r="D48" s="13"/>
      <c r="E48" s="13" t="s">
        <v>274</v>
      </c>
      <c r="F48" s="13"/>
      <c r="G48" s="13"/>
      <c r="H48" s="550"/>
      <c r="I48" s="32"/>
      <c r="J48" s="19" t="s">
        <v>274</v>
      </c>
      <c r="K48" s="4"/>
      <c r="L48" s="104" t="s">
        <v>859</v>
      </c>
      <c r="M48" s="43">
        <v>24</v>
      </c>
      <c r="N48" s="4"/>
      <c r="O48" s="696"/>
      <c r="X48" s="688"/>
      <c r="AL48" t="str">
        <f t="shared" si="0"/>
        <v>dpa801_2_3</v>
      </c>
      <c r="AM48">
        <f>M48</f>
        <v>24</v>
      </c>
      <c r="AX48" s="6" t="str">
        <f>'Overview (Design)'!A47</f>
        <v>Attic Type:</v>
      </c>
      <c r="AY48" t="str">
        <f>'Overview (Design)'!G47</f>
        <v>Vented</v>
      </c>
    </row>
    <row r="49" spans="2:51" ht="15" customHeight="1" x14ac:dyDescent="0.35">
      <c r="B49" s="452">
        <v>801.2</v>
      </c>
      <c r="C49" s="13"/>
      <c r="D49" s="13"/>
      <c r="E49" s="13"/>
      <c r="F49" s="13"/>
      <c r="G49" s="13"/>
      <c r="H49" s="550"/>
      <c r="I49" s="32"/>
      <c r="J49" s="19"/>
      <c r="K49" s="4"/>
      <c r="L49" s="744" t="s">
        <v>3824</v>
      </c>
      <c r="M49" s="43"/>
      <c r="N49" s="4"/>
      <c r="O49" s="85"/>
      <c r="X49" s="688"/>
      <c r="AX49" s="6" t="str">
        <f>'Overview (Design)'!A48</f>
        <v>Attached Garage:</v>
      </c>
      <c r="AY49" t="str">
        <f>'Overview (Design)'!G48</f>
        <v>Yes</v>
      </c>
    </row>
    <row r="50" spans="2:51" x14ac:dyDescent="0.35">
      <c r="B50" s="452">
        <v>801.2</v>
      </c>
      <c r="C50" s="13"/>
      <c r="D50" s="13"/>
      <c r="E50" s="13"/>
      <c r="F50" s="13"/>
      <c r="G50" s="13"/>
      <c r="H50" s="550"/>
      <c r="I50" s="32"/>
      <c r="J50" s="19"/>
      <c r="K50" s="4"/>
      <c r="L50" s="754"/>
      <c r="M50" s="43"/>
      <c r="N50" s="4"/>
      <c r="O50" s="85"/>
      <c r="X50" s="688"/>
      <c r="AX50" s="6" t="str">
        <f>'Overview (Design)'!A49</f>
        <v>Recessed Lighting:</v>
      </c>
      <c r="AY50">
        <f>'Overview (Design)'!G49</f>
        <v>0</v>
      </c>
    </row>
    <row r="51" spans="2:51" ht="15" customHeight="1" x14ac:dyDescent="0.35">
      <c r="B51" s="452">
        <v>801.2</v>
      </c>
      <c r="C51" s="13"/>
      <c r="D51" s="13"/>
      <c r="E51" s="13"/>
      <c r="F51" s="13"/>
      <c r="G51" s="13"/>
      <c r="H51" s="550"/>
      <c r="I51" s="32"/>
      <c r="L51" s="714" t="s">
        <v>3825</v>
      </c>
      <c r="M51" s="335"/>
      <c r="N51" s="4"/>
      <c r="O51" s="85"/>
      <c r="X51" s="688"/>
      <c r="AX51" s="6"/>
    </row>
    <row r="52" spans="2:51" ht="15" thickBot="1" x14ac:dyDescent="0.4">
      <c r="B52" s="452">
        <v>801.2</v>
      </c>
      <c r="C52" s="13"/>
      <c r="D52" s="13"/>
      <c r="E52" s="13"/>
      <c r="F52" s="13"/>
      <c r="G52" s="13"/>
      <c r="H52" s="550"/>
      <c r="I52" s="132"/>
      <c r="J52" s="58"/>
      <c r="K52" s="58"/>
      <c r="L52" s="788"/>
      <c r="M52" s="346"/>
      <c r="N52" s="183"/>
      <c r="O52" s="184"/>
      <c r="P52" s="58"/>
      <c r="Q52" s="58"/>
      <c r="R52" s="58"/>
      <c r="S52" s="58"/>
      <c r="T52" s="58"/>
      <c r="U52" s="58"/>
      <c r="V52" s="58"/>
      <c r="W52" s="58"/>
      <c r="X52" s="689"/>
      <c r="AX52" s="6" t="str">
        <f>'Overview (Design)'!A51</f>
        <v>Special Design Features:</v>
      </c>
      <c r="AY52">
        <f>'Overview (Design)'!G51</f>
        <v>0</v>
      </c>
    </row>
    <row r="53" spans="2:51" ht="15" thickTop="1" x14ac:dyDescent="0.35">
      <c r="B53" s="452">
        <v>801.3</v>
      </c>
      <c r="C53" s="13"/>
      <c r="D53" s="13"/>
      <c r="E53" s="13"/>
      <c r="F53" s="13"/>
      <c r="G53" s="13"/>
      <c r="H53" s="550"/>
      <c r="I53" s="32">
        <v>801.3</v>
      </c>
      <c r="J53" s="4"/>
      <c r="K53" s="4"/>
      <c r="L53" s="110" t="s">
        <v>860</v>
      </c>
      <c r="M53" s="335"/>
      <c r="N53" s="4"/>
      <c r="O53" s="85"/>
      <c r="W53" t="s">
        <v>3826</v>
      </c>
      <c r="AX53" s="6" t="str">
        <f>'Overview (Design)'!A52</f>
        <v>Passive Solar:</v>
      </c>
      <c r="AY53">
        <f>'Overview (Design)'!G52</f>
        <v>0</v>
      </c>
    </row>
    <row r="54" spans="2:51" x14ac:dyDescent="0.35">
      <c r="B54" s="452">
        <v>801.3</v>
      </c>
      <c r="C54" s="13"/>
      <c r="D54" s="13"/>
      <c r="E54" s="13" t="s">
        <v>270</v>
      </c>
      <c r="F54" s="13"/>
      <c r="G54" s="13"/>
      <c r="H54" s="550"/>
      <c r="I54" s="32"/>
      <c r="J54" s="19" t="s">
        <v>270</v>
      </c>
      <c r="K54" s="4"/>
      <c r="L54" s="707" t="s">
        <v>862</v>
      </c>
      <c r="M54" s="736" t="s">
        <v>861</v>
      </c>
      <c r="N54" s="4"/>
      <c r="O54" s="696">
        <f ca="1">IFERROR(INDEX({4,5,6,7},MATCH(W54,INDIRECT(U54),0)),0)*S54</f>
        <v>0</v>
      </c>
      <c r="P54" t="b">
        <v>0</v>
      </c>
      <c r="Q54" t="b">
        <v>1</v>
      </c>
      <c r="R54" t="b">
        <v>0</v>
      </c>
      <c r="S54" t="b">
        <v>1</v>
      </c>
      <c r="T54" t="b">
        <f>IF(AND(NOT(S54),LEN(W54)&gt;0),TRUE,FALSE)</f>
        <v>0</v>
      </c>
      <c r="U54" t="str">
        <f>SUBSTITUTE(SUBSTITUTE(SUBSTITUTE("dd"&amp;B54&amp;C54&amp;D54&amp;E54&amp;F54,".","_"),"(","_"),")","")</f>
        <v>dd801_3_1</v>
      </c>
      <c r="W54" s="269"/>
      <c r="X54" s="688"/>
      <c r="AC54" t="b">
        <f>OR(AD54:AE54)</f>
        <v>0</v>
      </c>
      <c r="AD54" t="b">
        <f>T54</f>
        <v>0</v>
      </c>
      <c r="AE54" t="b">
        <f>AND(R54,OR(W54="Not Met",W54=""))</f>
        <v>0</v>
      </c>
      <c r="AL54" t="str">
        <f>SUBSTITUTE(SUBSTITUTE(SUBSTITUTE("dpa"&amp;$B54&amp;$C54&amp;$D54&amp;$E54&amp;$F54,".","_"),"(","_"),")","")</f>
        <v>dpa801_3_1</v>
      </c>
      <c r="AM54" t="str">
        <f>M54</f>
        <v xml:space="preserve">4 for first compartment </v>
      </c>
      <c r="AN54" t="str">
        <f>SUBSTITUTE(SUBSTITUTE(SUBSTITUTE("dpc"&amp;$B54&amp;$C54&amp;$D54&amp;$E54&amp;$F54,".","_"),"(","_"),")","")</f>
        <v>dpc801_3_1</v>
      </c>
      <c r="AO54">
        <f ca="1">O54</f>
        <v>0</v>
      </c>
      <c r="AP54" t="str">
        <f>SUBSTITUTE(SUBSTITUTE(SUBSTITUTE("dch"&amp;$B54&amp;$C54&amp;$D54&amp;$E54&amp;$F54,".","_"),"(","_"),")","")</f>
        <v>dch801_3_1</v>
      </c>
      <c r="AQ54">
        <f>W54</f>
        <v>0</v>
      </c>
      <c r="AR54" t="str">
        <f>SUBSTITUTE(SUBSTITUTE(SUBSTITUTE("dnt"&amp;$B54&amp;$C54&amp;$D54&amp;$E54&amp;$F54,".","_"),"(","_"),")","")</f>
        <v>dnt801_3_1</v>
      </c>
      <c r="AS54">
        <f>X54</f>
        <v>0</v>
      </c>
      <c r="AX54" s="6" t="str">
        <f>'Overview (Design)'!A53</f>
        <v>Mass Walls:</v>
      </c>
      <c r="AY54">
        <f>'Overview (Design)'!G53</f>
        <v>0</v>
      </c>
    </row>
    <row r="55" spans="2:51" x14ac:dyDescent="0.35">
      <c r="B55" s="452">
        <v>801.3</v>
      </c>
      <c r="C55" s="13"/>
      <c r="D55" s="13"/>
      <c r="E55" s="13" t="s">
        <v>270</v>
      </c>
      <c r="F55" s="13"/>
      <c r="G55" s="13"/>
      <c r="H55" s="550"/>
      <c r="I55" s="32"/>
      <c r="J55" s="4"/>
      <c r="K55" s="4"/>
      <c r="L55" s="707"/>
      <c r="M55" s="736"/>
      <c r="N55" s="4"/>
      <c r="O55" s="696"/>
      <c r="X55" s="688"/>
      <c r="AX55" s="6" t="str">
        <f>'Overview (Design)'!A54</f>
        <v>Ductless:</v>
      </c>
      <c r="AY55">
        <f>'Overview (Design)'!G54</f>
        <v>0</v>
      </c>
    </row>
    <row r="56" spans="2:51" x14ac:dyDescent="0.35">
      <c r="B56" s="452">
        <v>801.3</v>
      </c>
      <c r="C56" s="13"/>
      <c r="D56" s="13"/>
      <c r="E56" s="13" t="s">
        <v>270</v>
      </c>
      <c r="F56" s="13"/>
      <c r="G56" s="13"/>
      <c r="H56" s="550"/>
      <c r="I56" s="32"/>
      <c r="J56" s="4"/>
      <c r="K56" s="4"/>
      <c r="L56" s="707"/>
      <c r="M56" s="736" t="s">
        <v>863</v>
      </c>
      <c r="N56" s="4"/>
      <c r="O56" s="696"/>
      <c r="X56" s="688"/>
      <c r="AX56" s="6" t="str">
        <f>'Overview (Design)'!A55</f>
        <v>Radiant/Hydronic:</v>
      </c>
      <c r="AY56">
        <f>'Overview (Design)'!G55</f>
        <v>0</v>
      </c>
    </row>
    <row r="57" spans="2:51" x14ac:dyDescent="0.35">
      <c r="B57" s="452">
        <v>801.3</v>
      </c>
      <c r="C57" s="13"/>
      <c r="D57" s="13"/>
      <c r="E57" s="13" t="s">
        <v>270</v>
      </c>
      <c r="F57" s="13"/>
      <c r="G57" s="13"/>
      <c r="H57" s="550"/>
      <c r="I57" s="32"/>
      <c r="J57" s="4"/>
      <c r="K57" s="4"/>
      <c r="L57" s="707"/>
      <c r="M57" s="736"/>
      <c r="N57" s="4"/>
      <c r="O57" s="696"/>
      <c r="X57" s="688"/>
      <c r="AX57" s="6" t="str">
        <f>'Overview (Design)'!A56</f>
        <v>Tankless Water Heater:</v>
      </c>
      <c r="AY57">
        <f>'Overview (Design)'!G56</f>
        <v>0</v>
      </c>
    </row>
    <row r="58" spans="2:51" x14ac:dyDescent="0.35">
      <c r="B58" s="452">
        <v>801.3</v>
      </c>
      <c r="C58" s="13"/>
      <c r="D58" s="13"/>
      <c r="E58" s="13" t="s">
        <v>270</v>
      </c>
      <c r="F58" s="13"/>
      <c r="G58" s="13"/>
      <c r="H58" s="550"/>
      <c r="I58" s="32"/>
      <c r="J58" s="4"/>
      <c r="K58" s="4"/>
      <c r="L58" s="707"/>
      <c r="M58" s="736"/>
      <c r="N58" s="4"/>
      <c r="O58" s="696"/>
      <c r="X58" s="688"/>
      <c r="AX58" s="6" t="str">
        <f>'Overview (Design)'!A57</f>
        <v>Composting Toilet:</v>
      </c>
      <c r="AY58">
        <f>'Overview (Design)'!G57</f>
        <v>0</v>
      </c>
    </row>
    <row r="59" spans="2:51" x14ac:dyDescent="0.35">
      <c r="B59" s="452">
        <v>801.3</v>
      </c>
      <c r="C59" s="13"/>
      <c r="D59" s="13"/>
      <c r="E59" s="13" t="s">
        <v>270</v>
      </c>
      <c r="F59" s="13"/>
      <c r="G59" s="13"/>
      <c r="H59" s="550"/>
      <c r="I59" s="32"/>
      <c r="J59" s="4"/>
      <c r="K59" s="4"/>
      <c r="L59" s="707"/>
      <c r="M59" s="736"/>
      <c r="N59" s="4"/>
      <c r="O59" s="696"/>
      <c r="X59" s="688"/>
      <c r="AX59" s="6"/>
    </row>
    <row r="60" spans="2:51" x14ac:dyDescent="0.35">
      <c r="B60" s="452">
        <v>801.3</v>
      </c>
      <c r="C60" s="13"/>
      <c r="D60" s="13"/>
      <c r="E60" s="13" t="s">
        <v>270</v>
      </c>
      <c r="F60" s="13"/>
      <c r="G60" s="13"/>
      <c r="H60" s="550"/>
      <c r="I60" s="32"/>
      <c r="J60" s="4"/>
      <c r="K60" s="4"/>
      <c r="L60" s="752" t="s">
        <v>864</v>
      </c>
      <c r="M60" s="690" t="s">
        <v>865</v>
      </c>
      <c r="N60" s="4"/>
      <c r="O60" s="85"/>
      <c r="X60" s="688"/>
      <c r="AX60" s="6" t="str">
        <f>'Overview (Design)'!A59</f>
        <v>Local Energy Code:</v>
      </c>
      <c r="AY60">
        <f>'Overview (Design)'!G59</f>
        <v>0</v>
      </c>
    </row>
    <row r="61" spans="2:51" x14ac:dyDescent="0.35">
      <c r="B61" s="452">
        <v>801.3</v>
      </c>
      <c r="C61" s="13"/>
      <c r="D61" s="13"/>
      <c r="E61" s="13" t="s">
        <v>270</v>
      </c>
      <c r="F61" s="13"/>
      <c r="G61" s="13"/>
      <c r="H61" s="550"/>
      <c r="I61" s="32"/>
      <c r="J61" s="4"/>
      <c r="K61" s="4"/>
      <c r="L61" s="752"/>
      <c r="M61" s="690"/>
      <c r="N61" s="4"/>
      <c r="O61" s="85"/>
      <c r="X61" s="688"/>
      <c r="AX61" s="6" t="str">
        <f>'Overview (Design)'!A60</f>
        <v>Local Building Code:</v>
      </c>
      <c r="AY61">
        <f>'Overview (Design)'!G60</f>
        <v>0</v>
      </c>
    </row>
    <row r="62" spans="2:51" x14ac:dyDescent="0.35">
      <c r="B62" s="452">
        <v>801.3</v>
      </c>
      <c r="C62" s="13"/>
      <c r="D62" s="13"/>
      <c r="E62" s="13" t="s">
        <v>270</v>
      </c>
      <c r="F62" s="13"/>
      <c r="G62" s="13"/>
      <c r="H62" s="550"/>
      <c r="I62" s="32"/>
      <c r="J62" s="155"/>
      <c r="K62" s="155"/>
      <c r="L62" s="790"/>
      <c r="M62" s="691"/>
      <c r="N62" s="155"/>
      <c r="O62" s="342"/>
      <c r="X62" s="688"/>
    </row>
    <row r="63" spans="2:51" x14ac:dyDescent="0.35">
      <c r="B63" s="452">
        <v>801.3</v>
      </c>
      <c r="C63" s="13"/>
      <c r="D63" s="13"/>
      <c r="E63" s="13" t="s">
        <v>272</v>
      </c>
      <c r="F63" s="13"/>
      <c r="G63" s="13"/>
      <c r="H63" s="550"/>
      <c r="I63" s="32"/>
      <c r="J63" s="19" t="s">
        <v>272</v>
      </c>
      <c r="K63" s="4"/>
      <c r="L63" s="707" t="s">
        <v>866</v>
      </c>
      <c r="M63" s="43"/>
      <c r="N63" s="4"/>
      <c r="O63" s="696">
        <f ca="1">IFERROR(INDEX({6,10,14},MATCH(W63,INDIRECT(U63),0)),0)*S63</f>
        <v>0</v>
      </c>
      <c r="P63" t="b">
        <v>0</v>
      </c>
      <c r="Q63" t="b">
        <v>1</v>
      </c>
      <c r="R63" t="b">
        <v>0</v>
      </c>
      <c r="S63" t="b">
        <f>LEN(W54)&gt;0</f>
        <v>0</v>
      </c>
      <c r="T63" t="b">
        <f>IF(AND(NOT(S63),LEN(W63)&gt;0),TRUE,FALSE)</f>
        <v>0</v>
      </c>
      <c r="U63" t="str">
        <f>SUBSTITUTE(SUBSTITUTE(SUBSTITUTE("dd"&amp;B63&amp;C63&amp;D63&amp;E63&amp;F63,".","_"),"(","_"),")","")</f>
        <v>dd801_3_2</v>
      </c>
      <c r="W63" s="9"/>
      <c r="X63" s="688"/>
      <c r="AC63" t="b">
        <f>OR(AD63:AE63)</f>
        <v>0</v>
      </c>
      <c r="AD63" t="b">
        <f>T63</f>
        <v>0</v>
      </c>
      <c r="AE63" t="b">
        <f>AND(R63,OR(W63="Not Met",W63=""))</f>
        <v>0</v>
      </c>
      <c r="AN63" t="str">
        <f>SUBSTITUTE(SUBSTITUTE(SUBSTITUTE("dpc"&amp;$B63&amp;$C63&amp;$D63&amp;$E63&amp;$F63,".","_"),"(","_"),")","")</f>
        <v>dpc801_3_2</v>
      </c>
      <c r="AO63">
        <f ca="1">O63</f>
        <v>0</v>
      </c>
      <c r="AP63" t="str">
        <f>SUBSTITUTE(SUBSTITUTE(SUBSTITUTE("dch"&amp;$B63&amp;$C63&amp;$D63&amp;$E63&amp;$F63,".","_"),"(","_"),")","")</f>
        <v>dch801_3_2</v>
      </c>
      <c r="AQ63">
        <f>W63</f>
        <v>0</v>
      </c>
      <c r="AR63" t="str">
        <f>SUBSTITUTE(SUBSTITUTE(SUBSTITUTE("dnt"&amp;$B63&amp;$C63&amp;$D63&amp;$E63&amp;$F63,".","_"),"(","_"),")","")</f>
        <v>dnt801_3_2</v>
      </c>
      <c r="AS63">
        <f>X63</f>
        <v>0</v>
      </c>
    </row>
    <row r="64" spans="2:51" ht="15" customHeight="1" x14ac:dyDescent="0.35">
      <c r="B64" s="452">
        <v>801.3</v>
      </c>
      <c r="C64" s="13"/>
      <c r="D64" s="13"/>
      <c r="E64" s="13" t="s">
        <v>272</v>
      </c>
      <c r="F64" s="13"/>
      <c r="G64" s="13"/>
      <c r="H64" s="550"/>
      <c r="I64" s="32"/>
      <c r="J64" s="4"/>
      <c r="K64" s="4"/>
      <c r="L64" s="707"/>
      <c r="M64" s="43"/>
      <c r="N64" s="4"/>
      <c r="O64" s="696"/>
      <c r="X64" s="688"/>
    </row>
    <row r="65" spans="2:45" x14ac:dyDescent="0.35">
      <c r="B65" s="452">
        <v>801.3</v>
      </c>
      <c r="C65" s="13"/>
      <c r="D65" s="13"/>
      <c r="E65" s="13" t="s">
        <v>272</v>
      </c>
      <c r="F65" s="13" t="s">
        <v>121</v>
      </c>
      <c r="G65" s="13"/>
      <c r="H65" s="550"/>
      <c r="I65" s="4"/>
      <c r="J65" s="4"/>
      <c r="K65" s="19" t="s">
        <v>121</v>
      </c>
      <c r="L65" s="104" t="s">
        <v>867</v>
      </c>
      <c r="M65" s="43" t="s">
        <v>868</v>
      </c>
      <c r="N65" s="4"/>
      <c r="O65" s="85"/>
      <c r="X65" s="688"/>
      <c r="AL65" t="str">
        <f t="shared" ref="AL65:AL68" si="3">SUBSTITUTE(SUBSTITUTE(SUBSTITUTE("dpa"&amp;$B65&amp;$C65&amp;$D65&amp;$E65&amp;$F65,".","_"),"(","_"),")","")</f>
        <v>dpa801_3_2_a</v>
      </c>
      <c r="AM65" t="str">
        <f>M65</f>
        <v xml:space="preserve">6 Additional </v>
      </c>
    </row>
    <row r="66" spans="2:45" x14ac:dyDescent="0.35">
      <c r="B66" s="452">
        <v>801.3</v>
      </c>
      <c r="C66" s="13"/>
      <c r="D66" s="13"/>
      <c r="E66" s="13" t="s">
        <v>272</v>
      </c>
      <c r="F66" s="13" t="s">
        <v>122</v>
      </c>
      <c r="G66" s="13"/>
      <c r="H66" s="550"/>
      <c r="I66" s="4"/>
      <c r="J66" s="4"/>
      <c r="K66" s="19" t="s">
        <v>122</v>
      </c>
      <c r="L66" s="104" t="s">
        <v>869</v>
      </c>
      <c r="M66" s="43" t="s">
        <v>870</v>
      </c>
      <c r="N66" s="4"/>
      <c r="O66" s="85"/>
      <c r="X66" s="688"/>
      <c r="AL66" t="str">
        <f t="shared" si="3"/>
        <v>dpa801_3_2_b</v>
      </c>
      <c r="AM66" t="str">
        <f>M66</f>
        <v xml:space="preserve">10 Additional </v>
      </c>
    </row>
    <row r="67" spans="2:45" x14ac:dyDescent="0.35">
      <c r="B67" s="452">
        <v>801.3</v>
      </c>
      <c r="C67" s="13"/>
      <c r="D67" s="13"/>
      <c r="E67" s="13" t="s">
        <v>272</v>
      </c>
      <c r="F67" s="13" t="s">
        <v>123</v>
      </c>
      <c r="G67" s="13"/>
      <c r="H67" s="550"/>
      <c r="I67" s="4"/>
      <c r="J67" s="155"/>
      <c r="K67" s="148" t="s">
        <v>123</v>
      </c>
      <c r="L67" s="214" t="s">
        <v>871</v>
      </c>
      <c r="M67" s="198" t="s">
        <v>872</v>
      </c>
      <c r="N67" s="4"/>
      <c r="O67" s="342"/>
      <c r="X67" s="688"/>
      <c r="AL67" t="str">
        <f t="shared" si="3"/>
        <v>dpa801_3_2_c</v>
      </c>
      <c r="AM67" t="str">
        <f>M67</f>
        <v>14 Additional</v>
      </c>
    </row>
    <row r="68" spans="2:45" ht="15" customHeight="1" x14ac:dyDescent="0.35">
      <c r="B68" s="452">
        <v>801.3</v>
      </c>
      <c r="C68" s="13"/>
      <c r="D68" s="13"/>
      <c r="E68" s="13" t="s">
        <v>274</v>
      </c>
      <c r="F68" s="13"/>
      <c r="G68" s="13"/>
      <c r="H68" s="550"/>
      <c r="I68" s="32"/>
      <c r="J68" s="19" t="s">
        <v>274</v>
      </c>
      <c r="K68" s="4"/>
      <c r="L68" s="104" t="s">
        <v>873</v>
      </c>
      <c r="M68" s="737" t="s">
        <v>3837</v>
      </c>
      <c r="N68" s="4"/>
      <c r="O68" s="696">
        <f ca="1">IFERROR(MATCH(W68,INDIRECT(U68),0),0)*S68</f>
        <v>0</v>
      </c>
      <c r="P68" t="b">
        <v>0</v>
      </c>
      <c r="Q68" t="b">
        <v>1</v>
      </c>
      <c r="R68" t="b">
        <v>0</v>
      </c>
      <c r="S68" t="b">
        <v>1</v>
      </c>
      <c r="T68" t="b">
        <f>IF(AND(NOT(S68),LEN(W68)&gt;0),TRUE,FALSE)</f>
        <v>0</v>
      </c>
      <c r="U68" t="str">
        <f>SUBSTITUTE(SUBSTITUTE(SUBSTITUTE("dd"&amp;B68&amp;C68&amp;D68&amp;E68&amp;F68,".","_"),"(","_"),")","")</f>
        <v>dd801_3_3</v>
      </c>
      <c r="W68" s="9"/>
      <c r="X68" s="688"/>
      <c r="AC68" t="b">
        <f>OR(AD68:AE68)</f>
        <v>0</v>
      </c>
      <c r="AD68" t="b">
        <f>T68</f>
        <v>0</v>
      </c>
      <c r="AE68" t="b">
        <f>AND(R68,OR(W68="Not Met",W68=""))</f>
        <v>0</v>
      </c>
      <c r="AL68" t="str">
        <f t="shared" si="3"/>
        <v>dpa801_3_3</v>
      </c>
      <c r="AM68" t="str">
        <f>M68</f>
        <v>1
3 Max</v>
      </c>
      <c r="AN68" t="str">
        <f>SUBSTITUTE(SUBSTITUTE(SUBSTITUTE("dpc"&amp;$B68&amp;$C68&amp;$D68&amp;$E68&amp;$F68,".","_"),"(","_"),")","")</f>
        <v>dpc801_3_3</v>
      </c>
      <c r="AO68">
        <f ca="1">O68</f>
        <v>0</v>
      </c>
      <c r="AP68" t="str">
        <f>SUBSTITUTE(SUBSTITUTE(SUBSTITUTE("dch"&amp;$B68&amp;$C68&amp;$D68&amp;$E68&amp;$F68,".","_"),"(","_"),")","")</f>
        <v>dch801_3_3</v>
      </c>
      <c r="AQ68">
        <f>W68</f>
        <v>0</v>
      </c>
      <c r="AR68" t="str">
        <f>SUBSTITUTE(SUBSTITUTE(SUBSTITUTE("dnt"&amp;$B68&amp;$C68&amp;$D68&amp;$E68&amp;$F68,".","_"),"(","_"),")","")</f>
        <v>dnt801_3_3</v>
      </c>
      <c r="AS68">
        <f>X68</f>
        <v>0</v>
      </c>
    </row>
    <row r="69" spans="2:45" ht="15" thickBot="1" x14ac:dyDescent="0.4">
      <c r="B69" s="452">
        <v>801.3</v>
      </c>
      <c r="C69" s="13"/>
      <c r="D69" s="13"/>
      <c r="E69" s="13" t="s">
        <v>274</v>
      </c>
      <c r="F69" s="13"/>
      <c r="G69" s="13"/>
      <c r="H69" s="550"/>
      <c r="I69" s="132"/>
      <c r="J69" s="183"/>
      <c r="K69" s="183"/>
      <c r="L69" s="273" t="s">
        <v>874</v>
      </c>
      <c r="M69" s="800"/>
      <c r="N69" s="183"/>
      <c r="O69" s="695"/>
      <c r="P69" s="58"/>
      <c r="Q69" s="58"/>
      <c r="R69" s="58"/>
      <c r="S69" s="58"/>
      <c r="T69" s="58"/>
      <c r="U69" s="58"/>
      <c r="V69" s="58"/>
      <c r="W69" s="58"/>
      <c r="X69" s="689"/>
    </row>
    <row r="70" spans="2:45" ht="15" thickTop="1" x14ac:dyDescent="0.35">
      <c r="B70" s="452">
        <v>801.4</v>
      </c>
      <c r="C70" s="13"/>
      <c r="D70" s="13"/>
      <c r="E70" s="13"/>
      <c r="F70" s="13"/>
      <c r="G70" s="13"/>
      <c r="H70" s="550"/>
      <c r="I70" s="123">
        <v>801.4</v>
      </c>
      <c r="J70" s="124"/>
      <c r="K70" s="124"/>
      <c r="L70" s="222" t="s">
        <v>876</v>
      </c>
      <c r="M70" s="199"/>
      <c r="N70" s="124"/>
      <c r="O70" s="341"/>
      <c r="P70" s="62"/>
      <c r="Q70" s="62"/>
      <c r="R70" s="62"/>
      <c r="S70" s="62"/>
      <c r="T70" s="62"/>
      <c r="U70" s="62"/>
      <c r="V70" s="62"/>
      <c r="W70" s="62"/>
      <c r="X70" s="62"/>
    </row>
    <row r="71" spans="2:45" x14ac:dyDescent="0.35">
      <c r="B71" s="452" t="s">
        <v>877</v>
      </c>
      <c r="C71" s="13"/>
      <c r="D71" s="13"/>
      <c r="E71" s="13"/>
      <c r="F71" s="13"/>
      <c r="G71" s="13"/>
      <c r="H71" s="550"/>
      <c r="I71" s="32" t="s">
        <v>877</v>
      </c>
      <c r="J71" s="4"/>
      <c r="K71" s="4"/>
      <c r="L71" s="706" t="s">
        <v>878</v>
      </c>
      <c r="M71" s="43"/>
      <c r="N71" s="4"/>
      <c r="O71" s="85"/>
    </row>
    <row r="72" spans="2:45" x14ac:dyDescent="0.35">
      <c r="B72" s="452" t="s">
        <v>877</v>
      </c>
      <c r="C72" s="13"/>
      <c r="D72" s="13"/>
      <c r="E72" s="13"/>
      <c r="F72" s="13"/>
      <c r="G72" s="13"/>
      <c r="H72" s="550"/>
      <c r="I72" s="32"/>
      <c r="J72" s="4"/>
      <c r="K72" s="4"/>
      <c r="L72" s="706"/>
      <c r="M72" s="43"/>
      <c r="N72" s="4"/>
      <c r="O72" s="85"/>
    </row>
    <row r="73" spans="2:45" x14ac:dyDescent="0.35">
      <c r="B73" s="452" t="s">
        <v>877</v>
      </c>
      <c r="C73" s="13"/>
      <c r="D73" s="13"/>
      <c r="E73" s="13" t="s">
        <v>270</v>
      </c>
      <c r="F73" s="13"/>
      <c r="G73" s="13"/>
      <c r="H73" s="550"/>
      <c r="I73" s="32"/>
      <c r="J73" s="19" t="s">
        <v>270</v>
      </c>
      <c r="K73" s="4"/>
      <c r="L73" s="104" t="s">
        <v>879</v>
      </c>
      <c r="M73" s="737" t="s">
        <v>3837</v>
      </c>
      <c r="N73" s="4"/>
      <c r="O73" s="696">
        <f ca="1">IFERROR(MATCH(W73,INDIRECT(U73),0),0)*S73</f>
        <v>2</v>
      </c>
      <c r="P73" t="b">
        <v>0</v>
      </c>
      <c r="Q73" t="b">
        <v>1</v>
      </c>
      <c r="R73" t="b">
        <v>0</v>
      </c>
      <c r="S73" t="b">
        <v>1</v>
      </c>
      <c r="T73" t="b">
        <f>IF(AND(NOT(S73),LEN(W73)&gt;0),TRUE,FALSE)</f>
        <v>0</v>
      </c>
      <c r="U73" t="str">
        <f>SUBSTITUTE(SUBSTITUTE(SUBSTITUTE("dd"&amp;B73&amp;C73&amp;D73&amp;E73&amp;F73,".","_"),"(","_"),")","")</f>
        <v>dd801_4_1_1</v>
      </c>
      <c r="W73" s="9" t="s">
        <v>3834</v>
      </c>
      <c r="X73" s="688"/>
      <c r="AC73" t="b">
        <f>OR(AD73:AE73)</f>
        <v>0</v>
      </c>
      <c r="AD73" t="b">
        <f>T73</f>
        <v>0</v>
      </c>
      <c r="AE73" t="b">
        <f>AND(R73,OR(W73="Not Met",W73=""))</f>
        <v>0</v>
      </c>
      <c r="AL73" t="str">
        <f>SUBSTITUTE(SUBSTITUTE(SUBSTITUTE("dpa"&amp;$B73&amp;$C73&amp;$D73&amp;$E73&amp;$F73,".","_"),"(","_"),")","")</f>
        <v>dpa801_4_1_1</v>
      </c>
      <c r="AM73" t="str">
        <f>M73</f>
        <v>1
3 Max</v>
      </c>
      <c r="AN73" t="str">
        <f>SUBSTITUTE(SUBSTITUTE(SUBSTITUTE("dpc"&amp;$B73&amp;$C73&amp;$D73&amp;$E73&amp;$F73,".","_"),"(","_"),")","")</f>
        <v>dpc801_4_1_1</v>
      </c>
      <c r="AO73">
        <f ca="1">O73</f>
        <v>2</v>
      </c>
      <c r="AP73" t="str">
        <f>SUBSTITUTE(SUBSTITUTE(SUBSTITUTE("dch"&amp;$B73&amp;$C73&amp;$D73&amp;$E73&amp;$F73,".","_"),"(","_"),")","")</f>
        <v>dch801_4_1_1</v>
      </c>
      <c r="AQ73" t="str">
        <f>W73</f>
        <v>2 bathrooms</v>
      </c>
      <c r="AR73" t="str">
        <f>SUBSTITUTE(SUBSTITUTE(SUBSTITUTE("dnt"&amp;$B73&amp;$C73&amp;$D73&amp;$E73&amp;$F73,".","_"),"(","_"),")","")</f>
        <v>dnt801_4_1_1</v>
      </c>
      <c r="AS73">
        <f>X73</f>
        <v>0</v>
      </c>
    </row>
    <row r="74" spans="2:45" x14ac:dyDescent="0.35">
      <c r="B74" s="452" t="s">
        <v>877</v>
      </c>
      <c r="C74" s="13"/>
      <c r="D74" s="13"/>
      <c r="E74" s="13" t="s">
        <v>270</v>
      </c>
      <c r="F74" s="13"/>
      <c r="G74" s="13"/>
      <c r="H74" s="550"/>
      <c r="I74" s="32"/>
      <c r="J74" s="4"/>
      <c r="K74" s="4"/>
      <c r="L74" s="752" t="s">
        <v>880</v>
      </c>
      <c r="M74" s="690"/>
      <c r="N74" s="4"/>
      <c r="O74" s="696"/>
      <c r="X74" s="688"/>
    </row>
    <row r="75" spans="2:45" x14ac:dyDescent="0.35">
      <c r="B75" s="452" t="s">
        <v>877</v>
      </c>
      <c r="C75" s="13"/>
      <c r="D75" s="13"/>
      <c r="E75" s="13" t="s">
        <v>270</v>
      </c>
      <c r="F75" s="13"/>
      <c r="G75" s="13"/>
      <c r="H75" s="550"/>
      <c r="I75" s="32"/>
      <c r="J75" s="4"/>
      <c r="K75" s="4"/>
      <c r="L75" s="752"/>
      <c r="M75" s="690"/>
      <c r="N75" s="4"/>
      <c r="O75" s="696"/>
      <c r="X75" s="688"/>
    </row>
    <row r="76" spans="2:45" x14ac:dyDescent="0.35">
      <c r="B76" s="452" t="s">
        <v>877</v>
      </c>
      <c r="C76" s="13"/>
      <c r="D76" s="13"/>
      <c r="E76" s="13" t="s">
        <v>270</v>
      </c>
      <c r="F76" s="13"/>
      <c r="G76" s="13"/>
      <c r="H76" s="550"/>
      <c r="I76" s="32"/>
      <c r="J76" s="155"/>
      <c r="K76" s="155"/>
      <c r="L76" s="790"/>
      <c r="M76" s="691"/>
      <c r="N76" s="155"/>
      <c r="O76" s="697"/>
      <c r="X76" s="688"/>
    </row>
    <row r="77" spans="2:45" x14ac:dyDescent="0.35">
      <c r="B77" s="452" t="s">
        <v>877</v>
      </c>
      <c r="C77" s="13"/>
      <c r="D77" s="13"/>
      <c r="E77" s="13" t="s">
        <v>272</v>
      </c>
      <c r="F77" s="13"/>
      <c r="G77" s="13"/>
      <c r="H77" s="550"/>
      <c r="I77" s="161"/>
      <c r="J77" s="148" t="s">
        <v>272</v>
      </c>
      <c r="K77" s="155"/>
      <c r="L77" s="214" t="s">
        <v>881</v>
      </c>
      <c r="M77" s="325" t="s">
        <v>868</v>
      </c>
      <c r="N77" s="155"/>
      <c r="O77" s="342">
        <f>6*S77*W77</f>
        <v>6</v>
      </c>
      <c r="P77" t="b">
        <v>0</v>
      </c>
      <c r="Q77" t="b">
        <v>1</v>
      </c>
      <c r="R77" s="119" t="b">
        <v>0</v>
      </c>
      <c r="S77" s="119" t="b">
        <f>LEN(W73)&gt;0</f>
        <v>1</v>
      </c>
      <c r="T77" s="119" t="b">
        <f>IF(AND(NOT(S77),W77=TRUE),TRUE,FALSE)</f>
        <v>0</v>
      </c>
      <c r="U77" s="119"/>
      <c r="V77" s="119"/>
      <c r="W77" s="17" t="b">
        <v>1</v>
      </c>
      <c r="X77" s="39"/>
      <c r="AC77" t="b">
        <f>OR(AD77:AE77)</f>
        <v>0</v>
      </c>
      <c r="AD77" t="b">
        <f>T77</f>
        <v>0</v>
      </c>
      <c r="AE77" t="b">
        <v>0</v>
      </c>
      <c r="AL77" t="str">
        <f t="shared" ref="AL77:AL78" si="4">SUBSTITUTE(SUBSTITUTE(SUBSTITUTE("dpa"&amp;$B77&amp;$C77&amp;$D77&amp;$E77&amp;$F77,".","_"),"(","_"),")","")</f>
        <v>dpa801_4_1_2</v>
      </c>
      <c r="AM77" t="str">
        <f>M77</f>
        <v xml:space="preserve">6 Additional </v>
      </c>
      <c r="AN77" t="str">
        <f t="shared" ref="AN77:AN78" si="5">SUBSTITUTE(SUBSTITUTE(SUBSTITUTE("dpc"&amp;$B77&amp;$C77&amp;$D77&amp;$E77&amp;$F77,".","_"),"(","_"),")","")</f>
        <v>dpc801_4_1_2</v>
      </c>
      <c r="AO77">
        <f>O77</f>
        <v>6</v>
      </c>
      <c r="AP77" t="str">
        <f t="shared" ref="AP77:AP78" si="6">SUBSTITUTE(SUBSTITUTE(SUBSTITUTE("dch"&amp;$B77&amp;$C77&amp;$D77&amp;$E77&amp;$F77,".","_"),"(","_"),")","")</f>
        <v>dch801_4_1_2</v>
      </c>
      <c r="AQ77" t="b">
        <f>W77</f>
        <v>1</v>
      </c>
      <c r="AR77" t="str">
        <f>SUBSTITUTE(SUBSTITUTE(SUBSTITUTE("dnt"&amp;$B77&amp;$C77&amp;$D77&amp;$E77&amp;$F77,".","_"),"(","_"),")","")</f>
        <v>dnt801_4_1_2</v>
      </c>
      <c r="AS77">
        <f>X77</f>
        <v>0</v>
      </c>
    </row>
    <row r="78" spans="2:45" x14ac:dyDescent="0.35">
      <c r="B78" s="452" t="s">
        <v>882</v>
      </c>
      <c r="C78" s="13"/>
      <c r="D78" s="13"/>
      <c r="E78" s="13"/>
      <c r="F78" s="13"/>
      <c r="G78" s="13"/>
      <c r="H78" s="550"/>
      <c r="I78" s="32" t="s">
        <v>882</v>
      </c>
      <c r="J78" s="4"/>
      <c r="K78" s="4"/>
      <c r="L78" s="706" t="s">
        <v>883</v>
      </c>
      <c r="M78" s="737" t="s">
        <v>3837</v>
      </c>
      <c r="N78" s="4"/>
      <c r="O78" s="696">
        <f ca="1">IFERROR(MATCH(W78,INDIRECT(U78),0),0)*S78</f>
        <v>0</v>
      </c>
      <c r="P78" t="b">
        <v>0</v>
      </c>
      <c r="Q78" t="b">
        <v>1</v>
      </c>
      <c r="R78" t="b">
        <v>0</v>
      </c>
      <c r="S78" t="b">
        <v>1</v>
      </c>
      <c r="T78" t="b">
        <v>0</v>
      </c>
      <c r="U78" t="str">
        <f>SUBSTITUTE(SUBSTITUTE(SUBSTITUTE("dd"&amp;B78&amp;C78&amp;D78&amp;E78&amp;F78,".","_"),"(","_"),")","")</f>
        <v>dd801_4_2</v>
      </c>
      <c r="W78" s="204"/>
      <c r="X78" s="700"/>
      <c r="AC78" t="b">
        <f>OR(AD78:AE78)</f>
        <v>0</v>
      </c>
      <c r="AD78" t="b">
        <f>T78</f>
        <v>0</v>
      </c>
      <c r="AE78" t="b">
        <f>AND(R78,OR(W78="Not Met",W78=""))</f>
        <v>0</v>
      </c>
      <c r="AL78" t="str">
        <f t="shared" si="4"/>
        <v>dpa801_4_2</v>
      </c>
      <c r="AM78" t="str">
        <f>M78</f>
        <v>1
3 Max</v>
      </c>
      <c r="AN78" t="str">
        <f t="shared" si="5"/>
        <v>dpc801_4_2</v>
      </c>
      <c r="AO78">
        <f ca="1">O78</f>
        <v>0</v>
      </c>
      <c r="AP78" t="str">
        <f t="shared" si="6"/>
        <v>dch801_4_2</v>
      </c>
      <c r="AQ78">
        <f>W78</f>
        <v>0</v>
      </c>
      <c r="AR78" t="str">
        <f>SUBSTITUTE(SUBSTITUTE(SUBSTITUTE("dnt"&amp;$B78&amp;$C78&amp;$D78&amp;$E78&amp;$F78,".","_"),"(","_"),")","")</f>
        <v>dnt801_4_2</v>
      </c>
      <c r="AS78">
        <f>X78</f>
        <v>0</v>
      </c>
    </row>
    <row r="79" spans="2:45" x14ac:dyDescent="0.35">
      <c r="B79" s="452" t="s">
        <v>882</v>
      </c>
      <c r="C79" s="13"/>
      <c r="D79" s="13"/>
      <c r="E79" s="13"/>
      <c r="F79" s="13"/>
      <c r="G79" s="13"/>
      <c r="H79" s="550"/>
      <c r="I79" s="32"/>
      <c r="J79" s="4"/>
      <c r="K79" s="4"/>
      <c r="L79" s="706"/>
      <c r="M79" s="737"/>
      <c r="N79" s="4"/>
      <c r="O79" s="696"/>
      <c r="X79" s="688"/>
    </row>
    <row r="80" spans="2:45" ht="15" thickBot="1" x14ac:dyDescent="0.4">
      <c r="B80" s="452" t="s">
        <v>882</v>
      </c>
      <c r="C80" s="13"/>
      <c r="D80" s="13"/>
      <c r="E80" s="13"/>
      <c r="F80" s="13"/>
      <c r="G80" s="13"/>
      <c r="H80" s="550"/>
      <c r="I80" s="132"/>
      <c r="J80" s="183"/>
      <c r="K80" s="183"/>
      <c r="L80" s="273" t="s">
        <v>884</v>
      </c>
      <c r="M80" s="800"/>
      <c r="N80" s="183"/>
      <c r="O80" s="695"/>
      <c r="P80" s="58"/>
      <c r="Q80" s="58"/>
      <c r="R80" s="58"/>
      <c r="S80" s="58"/>
      <c r="T80" s="58"/>
      <c r="U80" s="58"/>
      <c r="V80" s="58"/>
      <c r="W80" s="58"/>
      <c r="X80" s="689"/>
    </row>
    <row r="81" spans="2:45" ht="15" thickTop="1" x14ac:dyDescent="0.35">
      <c r="B81" s="452">
        <v>801.5</v>
      </c>
      <c r="C81" s="13"/>
      <c r="D81" s="13"/>
      <c r="E81" s="13"/>
      <c r="F81" s="13"/>
      <c r="G81" s="13"/>
      <c r="H81" s="550"/>
      <c r="I81" s="32">
        <v>801.5</v>
      </c>
      <c r="J81" s="4"/>
      <c r="K81" s="4"/>
      <c r="L81" s="783" t="s">
        <v>885</v>
      </c>
      <c r="M81" s="43"/>
      <c r="N81" s="4"/>
      <c r="O81" s="85"/>
    </row>
    <row r="82" spans="2:45" x14ac:dyDescent="0.35">
      <c r="B82" s="452">
        <v>801.5</v>
      </c>
      <c r="C82" s="13"/>
      <c r="D82" s="13"/>
      <c r="E82" s="13"/>
      <c r="F82" s="13"/>
      <c r="G82" s="13"/>
      <c r="H82" s="550"/>
      <c r="I82" s="32"/>
      <c r="J82" s="4"/>
      <c r="K82" s="4"/>
      <c r="L82" s="783"/>
      <c r="M82" s="43"/>
      <c r="N82" s="4"/>
      <c r="O82" s="85"/>
    </row>
    <row r="83" spans="2:45" x14ac:dyDescent="0.35">
      <c r="B83" s="452">
        <v>801.5</v>
      </c>
      <c r="C83" s="13"/>
      <c r="D83" s="13"/>
      <c r="E83" s="13" t="s">
        <v>270</v>
      </c>
      <c r="F83" s="13"/>
      <c r="G83" s="13"/>
      <c r="H83" s="550"/>
      <c r="I83" s="32"/>
      <c r="J83" s="19" t="s">
        <v>270</v>
      </c>
      <c r="K83" s="4"/>
      <c r="L83" s="723" t="s">
        <v>886</v>
      </c>
      <c r="M83" s="796" t="str">
        <f ca="1">IF(O91&gt;0,"Met","Gold/Emerald not available")</f>
        <v>Met</v>
      </c>
      <c r="N83" s="4"/>
      <c r="O83" s="85"/>
      <c r="X83" s="688"/>
      <c r="AR83" t="str">
        <f>SUBSTITUTE(SUBSTITUTE(SUBSTITUTE("dnt"&amp;$B83&amp;$C83&amp;$D83&amp;$E83&amp;$F83,".","_"),"(","_"),")","")</f>
        <v>dnt801_5_1</v>
      </c>
      <c r="AS83">
        <f>X83</f>
        <v>0</v>
      </c>
    </row>
    <row r="84" spans="2:45" x14ac:dyDescent="0.35">
      <c r="B84" s="452">
        <v>801.5</v>
      </c>
      <c r="C84" s="13"/>
      <c r="D84" s="13"/>
      <c r="E84" s="13"/>
      <c r="F84" s="13"/>
      <c r="G84" s="13"/>
      <c r="H84" s="550"/>
      <c r="I84" s="32"/>
      <c r="J84" s="148"/>
      <c r="K84" s="155"/>
      <c r="L84" s="724"/>
      <c r="M84" s="797"/>
      <c r="N84" s="155"/>
      <c r="O84" s="342"/>
      <c r="X84" s="688"/>
    </row>
    <row r="85" spans="2:45" x14ac:dyDescent="0.35">
      <c r="B85" s="452">
        <v>801.5</v>
      </c>
      <c r="C85" s="13"/>
      <c r="D85" s="13"/>
      <c r="E85" s="13" t="s">
        <v>272</v>
      </c>
      <c r="F85" s="13"/>
      <c r="G85" s="13"/>
      <c r="H85" s="550"/>
      <c r="I85" s="32"/>
      <c r="J85" s="19" t="s">
        <v>272</v>
      </c>
      <c r="K85" s="4"/>
      <c r="L85" s="707" t="s">
        <v>887</v>
      </c>
      <c r="M85" s="736" t="s">
        <v>3841</v>
      </c>
      <c r="N85" s="4"/>
      <c r="O85" s="696">
        <f ca="1">IFERROR(2*MATCH(W85,INDIRECT(U85),0),0)*S85</f>
        <v>4</v>
      </c>
      <c r="P85" t="b">
        <v>0</v>
      </c>
      <c r="Q85" t="b">
        <v>1</v>
      </c>
      <c r="R85" t="b">
        <v>0</v>
      </c>
      <c r="S85" t="b">
        <v>1</v>
      </c>
      <c r="T85" t="b">
        <f>IF(AND(NOT(S85),LEN(W85)&gt;0),TRUE,FALSE)</f>
        <v>0</v>
      </c>
      <c r="U85" t="str">
        <f>SUBSTITUTE(SUBSTITUTE(SUBSTITUTE("dd"&amp;B85&amp;C85&amp;D85&amp;E85&amp;F85,".","_"),"(","_"),")","")</f>
        <v>dd801_5_2</v>
      </c>
      <c r="W85" s="9" t="s">
        <v>3839</v>
      </c>
      <c r="X85" s="688" t="s">
        <v>4819</v>
      </c>
      <c r="AC85" t="b">
        <f>OR(AD85:AE85)</f>
        <v>0</v>
      </c>
      <c r="AD85" t="b">
        <f>T85</f>
        <v>0</v>
      </c>
      <c r="AE85" t="b">
        <f>AND(R85,OR(W85="Not Met",W85=""))</f>
        <v>0</v>
      </c>
      <c r="AL85" t="str">
        <f>SUBSTITUTE(SUBSTITUTE(SUBSTITUTE("dpa"&amp;$B85&amp;$C85&amp;$D85&amp;$E85&amp;$F85,".","_"),"(","_"),")","")</f>
        <v>dpa801_5_2</v>
      </c>
      <c r="AM85" t="str">
        <f>M85</f>
        <v>2 
6 Max</v>
      </c>
      <c r="AN85" t="str">
        <f>SUBSTITUTE(SUBSTITUTE(SUBSTITUTE("dpc"&amp;$B85&amp;$C85&amp;$D85&amp;$E85&amp;$F85,".","_"),"(","_"),")","")</f>
        <v>dpc801_5_2</v>
      </c>
      <c r="AO85">
        <f ca="1">O85</f>
        <v>4</v>
      </c>
      <c r="AP85" t="str">
        <f>SUBSTITUTE(SUBSTITUTE(SUBSTITUTE("dch"&amp;$B85&amp;$C85&amp;$D85&amp;$E85&amp;$F85,".","_"),"(","_"),")","")</f>
        <v>dch801_5_2</v>
      </c>
      <c r="AQ85" t="str">
        <f>W85</f>
        <v>2 fixtures</v>
      </c>
      <c r="AR85" t="str">
        <f>SUBSTITUTE(SUBSTITUTE(SUBSTITUTE("dnt"&amp;$B85&amp;$C85&amp;$D85&amp;$E85&amp;$F85,".","_"),"(","_"),")","")</f>
        <v>dnt801_5_2</v>
      </c>
      <c r="AS85" t="str">
        <f>X85</f>
        <v>Niagara Corp. Original</v>
      </c>
    </row>
    <row r="86" spans="2:45" x14ac:dyDescent="0.35">
      <c r="B86" s="452">
        <v>801.5</v>
      </c>
      <c r="C86" s="13"/>
      <c r="D86" s="13"/>
      <c r="E86" s="13" t="s">
        <v>272</v>
      </c>
      <c r="F86" s="13"/>
      <c r="G86" s="13"/>
      <c r="H86" s="550"/>
      <c r="I86" s="32"/>
      <c r="J86" s="4"/>
      <c r="K86" s="4"/>
      <c r="L86" s="707"/>
      <c r="M86" s="736"/>
      <c r="N86" s="4"/>
      <c r="O86" s="696"/>
      <c r="X86" s="688"/>
    </row>
    <row r="87" spans="2:45" x14ac:dyDescent="0.35">
      <c r="B87" s="452">
        <v>801.5</v>
      </c>
      <c r="C87" s="13"/>
      <c r="D87" s="13"/>
      <c r="E87" s="13" t="s">
        <v>272</v>
      </c>
      <c r="F87" s="13"/>
      <c r="G87" s="13"/>
      <c r="H87" s="550"/>
      <c r="I87" s="32"/>
      <c r="J87" s="4"/>
      <c r="K87" s="4"/>
      <c r="L87" s="707"/>
      <c r="M87" s="736"/>
      <c r="N87" s="4"/>
      <c r="O87" s="696"/>
      <c r="X87" s="688"/>
    </row>
    <row r="88" spans="2:45" x14ac:dyDescent="0.35">
      <c r="B88" s="452">
        <v>801.5</v>
      </c>
      <c r="C88" s="13"/>
      <c r="D88" s="13"/>
      <c r="E88" s="13" t="s">
        <v>272</v>
      </c>
      <c r="F88" s="13"/>
      <c r="G88" s="13"/>
      <c r="H88" s="550"/>
      <c r="I88" s="32"/>
      <c r="J88" s="4"/>
      <c r="K88" s="4"/>
      <c r="L88" s="752" t="s">
        <v>888</v>
      </c>
      <c r="M88" s="43"/>
      <c r="N88" s="4"/>
      <c r="O88" s="85"/>
      <c r="X88" s="688"/>
    </row>
    <row r="89" spans="2:45" x14ac:dyDescent="0.35">
      <c r="B89" s="452">
        <v>801.5</v>
      </c>
      <c r="C89" s="13"/>
      <c r="D89" s="13"/>
      <c r="E89" s="13" t="s">
        <v>272</v>
      </c>
      <c r="F89" s="13"/>
      <c r="G89" s="13"/>
      <c r="H89" s="550"/>
      <c r="I89" s="32"/>
      <c r="J89" s="4"/>
      <c r="K89" s="4"/>
      <c r="L89" s="752"/>
      <c r="M89" s="43"/>
      <c r="N89" s="4"/>
      <c r="O89" s="85"/>
      <c r="X89" s="688"/>
    </row>
    <row r="90" spans="2:45" x14ac:dyDescent="0.35">
      <c r="B90" s="452">
        <v>801.5</v>
      </c>
      <c r="C90" s="13"/>
      <c r="D90" s="13"/>
      <c r="E90" s="13" t="s">
        <v>272</v>
      </c>
      <c r="F90" s="13"/>
      <c r="G90" s="13"/>
      <c r="H90" s="550"/>
      <c r="I90" s="32"/>
      <c r="J90" s="155"/>
      <c r="K90" s="155"/>
      <c r="L90" s="790"/>
      <c r="M90" s="198"/>
      <c r="N90" s="4"/>
      <c r="O90" s="342"/>
      <c r="X90" s="688"/>
    </row>
    <row r="91" spans="2:45" x14ac:dyDescent="0.35">
      <c r="B91" s="452">
        <v>801.5</v>
      </c>
      <c r="C91" s="13"/>
      <c r="D91" s="13"/>
      <c r="E91" s="13" t="s">
        <v>274</v>
      </c>
      <c r="F91" s="13"/>
      <c r="G91" s="13"/>
      <c r="H91" s="550"/>
      <c r="I91" s="32"/>
      <c r="J91" s="148" t="s">
        <v>274</v>
      </c>
      <c r="K91" s="155"/>
      <c r="L91" s="214" t="s">
        <v>889</v>
      </c>
      <c r="M91" s="280">
        <f ca="1">11-O85</f>
        <v>7</v>
      </c>
      <c r="N91" s="155"/>
      <c r="O91" s="342">
        <f ca="1">M91*W91*S91</f>
        <v>7</v>
      </c>
      <c r="P91" t="b">
        <v>0</v>
      </c>
      <c r="Q91" t="b">
        <v>1</v>
      </c>
      <c r="R91" t="b">
        <v>0</v>
      </c>
      <c r="S91" t="b">
        <f>LEN(W85)&gt;0</f>
        <v>1</v>
      </c>
      <c r="T91" t="b">
        <f>IF(AND(NOT(S91),W91=TRUE),TRUE,FALSE)</f>
        <v>0</v>
      </c>
      <c r="W91" s="17" t="b">
        <v>1</v>
      </c>
      <c r="X91" s="39"/>
      <c r="AC91" t="b">
        <f>OR(AD91:AE91)</f>
        <v>0</v>
      </c>
      <c r="AD91" t="b">
        <f>T91</f>
        <v>0</v>
      </c>
      <c r="AE91" t="b">
        <v>0</v>
      </c>
      <c r="AL91" t="str">
        <f>SUBSTITUTE(SUBSTITUTE(SUBSTITUTE("dpa"&amp;$B91&amp;$C91&amp;$D91&amp;$E91&amp;$F91,".","_"),"(","_"),")","")</f>
        <v>dpa801_5_3</v>
      </c>
      <c r="AM91">
        <f ca="1">M91</f>
        <v>7</v>
      </c>
      <c r="AN91" t="str">
        <f>SUBSTITUTE(SUBSTITUTE(SUBSTITUTE("dpc"&amp;$B91&amp;$C91&amp;$D91&amp;$E91&amp;$F91,".","_"),"(","_"),")","")</f>
        <v>dpc801_5_3</v>
      </c>
      <c r="AO91">
        <f ca="1">O91</f>
        <v>7</v>
      </c>
      <c r="AP91" t="str">
        <f>SUBSTITUTE(SUBSTITUTE(SUBSTITUTE("dch"&amp;$B91&amp;$C91&amp;$D91&amp;$E91&amp;$F91,".","_"),"(","_"),")","")</f>
        <v>dch801_5_3</v>
      </c>
      <c r="AQ91" t="b">
        <f>W91</f>
        <v>1</v>
      </c>
      <c r="AR91" t="str">
        <f>SUBSTITUTE(SUBSTITUTE(SUBSTITUTE("dnt"&amp;$B91&amp;$C91&amp;$D91&amp;$E91&amp;$F91,".","_"),"(","_"),")","")</f>
        <v>dnt801_5_3</v>
      </c>
      <c r="AS91">
        <f>X91</f>
        <v>0</v>
      </c>
    </row>
    <row r="92" spans="2:45" x14ac:dyDescent="0.35">
      <c r="B92" s="452">
        <v>801.5</v>
      </c>
      <c r="C92" s="13"/>
      <c r="D92" s="13"/>
      <c r="E92" s="13" t="s">
        <v>283</v>
      </c>
      <c r="F92" s="13"/>
      <c r="G92" s="13"/>
      <c r="H92" s="550"/>
      <c r="I92" s="32"/>
      <c r="J92" s="19" t="s">
        <v>283</v>
      </c>
      <c r="K92" s="4"/>
      <c r="L92" s="707" t="s">
        <v>890</v>
      </c>
      <c r="M92" s="43"/>
      <c r="N92" s="4"/>
      <c r="O92" s="85"/>
    </row>
    <row r="93" spans="2:45" x14ac:dyDescent="0.35">
      <c r="B93" s="452">
        <v>801.5</v>
      </c>
      <c r="C93" s="13"/>
      <c r="D93" s="13"/>
      <c r="E93" s="13" t="s">
        <v>283</v>
      </c>
      <c r="F93" s="13"/>
      <c r="G93" s="13"/>
      <c r="H93" s="550"/>
      <c r="I93" s="32"/>
      <c r="J93" s="4"/>
      <c r="K93" s="4"/>
      <c r="L93" s="707"/>
      <c r="M93" s="43"/>
      <c r="N93" s="4"/>
      <c r="O93" s="85"/>
    </row>
    <row r="94" spans="2:45" x14ac:dyDescent="0.35">
      <c r="B94" s="452">
        <v>801.5</v>
      </c>
      <c r="C94" s="13"/>
      <c r="D94" s="13"/>
      <c r="E94" s="13" t="s">
        <v>283</v>
      </c>
      <c r="F94" s="13" t="s">
        <v>121</v>
      </c>
      <c r="G94" s="13"/>
      <c r="H94" s="550"/>
      <c r="I94" s="4"/>
      <c r="J94" s="4"/>
      <c r="K94" s="19" t="s">
        <v>121</v>
      </c>
      <c r="L94" s="104" t="s">
        <v>891</v>
      </c>
      <c r="M94" s="736" t="s">
        <v>3842</v>
      </c>
      <c r="N94" s="4"/>
      <c r="O94" s="696">
        <f ca="1">IFERROR(MATCH(W94,INDIRECT(U94),0),0)*S94</f>
        <v>0</v>
      </c>
      <c r="P94" t="b">
        <v>0</v>
      </c>
      <c r="Q94" t="b">
        <v>1</v>
      </c>
      <c r="R94" t="b">
        <v>0</v>
      </c>
      <c r="S94" t="b">
        <f>AND(W91=TRUE,S91)</f>
        <v>1</v>
      </c>
      <c r="T94" t="b">
        <f>IF(AND(NOT(S94),LEN(W94)&gt;0),TRUE,FALSE)</f>
        <v>0</v>
      </c>
      <c r="U94" t="str">
        <f>SUBSTITUTE(SUBSTITUTE(SUBSTITUTE("dd"&amp;B94&amp;C94&amp;D94&amp;E94&amp;F94,".","_"),"(","_"),")","")</f>
        <v>dd801_5_4_a</v>
      </c>
      <c r="W94" s="9"/>
      <c r="X94" s="688"/>
      <c r="AC94" t="b">
        <f>OR(AD94:AE94)</f>
        <v>0</v>
      </c>
      <c r="AD94" t="b">
        <f>T94</f>
        <v>0</v>
      </c>
      <c r="AE94" t="b">
        <f>AND(R94,OR(W94="Not Met",W94=""))</f>
        <v>0</v>
      </c>
      <c r="AL94" t="str">
        <f>SUBSTITUTE(SUBSTITUTE(SUBSTITUTE("dpa"&amp;$B94&amp;$C94&amp;$D94&amp;$E94&amp;$F94,".","_"),"(","_"),")","")</f>
        <v>dpa801_5_4_a</v>
      </c>
      <c r="AM94" t="str">
        <f>M94</f>
        <v>1 Additional
3 Max</v>
      </c>
      <c r="AN94" t="str">
        <f>SUBSTITUTE(SUBSTITUTE(SUBSTITUTE("dpc"&amp;$B94&amp;$C94&amp;$D94&amp;$E94&amp;$F94,".","_"),"(","_"),")","")</f>
        <v>dpc801_5_4_a</v>
      </c>
      <c r="AO94">
        <f ca="1">O94</f>
        <v>0</v>
      </c>
      <c r="AP94" t="str">
        <f>SUBSTITUTE(SUBSTITUTE(SUBSTITUTE("dch"&amp;$B94&amp;$C94&amp;$D94&amp;$E94&amp;$F94,".","_"),"(","_"),")","")</f>
        <v>dch801_5_4_a</v>
      </c>
      <c r="AQ94">
        <f>W94</f>
        <v>0</v>
      </c>
      <c r="AR94" t="str">
        <f>SUBSTITUTE(SUBSTITUTE(SUBSTITUTE("dnt"&amp;$B94&amp;$C94&amp;$D94&amp;$E94&amp;$F94,".","_"),"(","_"),")","")</f>
        <v>dnt801_5_4_a</v>
      </c>
      <c r="AS94">
        <f>X94</f>
        <v>0</v>
      </c>
    </row>
    <row r="95" spans="2:45" x14ac:dyDescent="0.35">
      <c r="B95" s="452">
        <v>801.5</v>
      </c>
      <c r="C95" s="13"/>
      <c r="D95" s="13"/>
      <c r="E95" s="13" t="s">
        <v>283</v>
      </c>
      <c r="F95" s="13" t="s">
        <v>121</v>
      </c>
      <c r="G95" s="13"/>
      <c r="H95" s="550"/>
      <c r="I95" s="4"/>
      <c r="J95" s="4"/>
      <c r="K95" s="4"/>
      <c r="L95" s="752" t="s">
        <v>893</v>
      </c>
      <c r="M95" s="798"/>
      <c r="N95" s="4"/>
      <c r="O95" s="696"/>
      <c r="X95" s="688"/>
    </row>
    <row r="96" spans="2:45" x14ac:dyDescent="0.35">
      <c r="B96" s="452">
        <v>801.5</v>
      </c>
      <c r="C96" s="13"/>
      <c r="D96" s="13"/>
      <c r="E96" s="13" t="s">
        <v>283</v>
      </c>
      <c r="F96" s="13" t="s">
        <v>121</v>
      </c>
      <c r="G96" s="13"/>
      <c r="H96" s="550"/>
      <c r="I96" s="4"/>
      <c r="J96" s="4"/>
      <c r="K96" s="4"/>
      <c r="L96" s="752"/>
      <c r="M96" s="798"/>
      <c r="N96" s="4"/>
      <c r="O96" s="696"/>
      <c r="X96" s="688"/>
    </row>
    <row r="97" spans="2:45" x14ac:dyDescent="0.35">
      <c r="B97" s="452">
        <v>801.5</v>
      </c>
      <c r="C97" s="13"/>
      <c r="D97" s="13"/>
      <c r="E97" s="13" t="s">
        <v>283</v>
      </c>
      <c r="F97" s="13" t="s">
        <v>121</v>
      </c>
      <c r="G97" s="13"/>
      <c r="H97" s="550"/>
      <c r="I97" s="4"/>
      <c r="J97" s="4"/>
      <c r="K97" s="155"/>
      <c r="L97" s="790"/>
      <c r="M97" s="799"/>
      <c r="N97" s="155"/>
      <c r="O97" s="697"/>
      <c r="X97" s="688"/>
    </row>
    <row r="98" spans="2:45" x14ac:dyDescent="0.35">
      <c r="B98" s="452">
        <v>801.5</v>
      </c>
      <c r="C98" s="13"/>
      <c r="D98" s="13"/>
      <c r="E98" s="13" t="s">
        <v>283</v>
      </c>
      <c r="F98" s="13" t="s">
        <v>122</v>
      </c>
      <c r="G98" s="13"/>
      <c r="H98" s="550"/>
      <c r="I98" s="4"/>
      <c r="J98" s="4"/>
      <c r="K98" s="19" t="s">
        <v>122</v>
      </c>
      <c r="L98" s="707" t="s">
        <v>894</v>
      </c>
      <c r="M98" s="690" t="s">
        <v>892</v>
      </c>
      <c r="N98" s="4"/>
      <c r="O98" s="696">
        <f>1*W98*S98</f>
        <v>0</v>
      </c>
      <c r="P98" t="b">
        <v>0</v>
      </c>
      <c r="Q98" t="b">
        <v>1</v>
      </c>
      <c r="R98" t="b">
        <v>0</v>
      </c>
      <c r="S98" t="b">
        <f>AND(W91=TRUE,S91)</f>
        <v>1</v>
      </c>
      <c r="T98" t="b">
        <f>IF(AND(NOT(S98),W98=TRUE),TRUE,FALSE)</f>
        <v>0</v>
      </c>
      <c r="W98" s="17"/>
      <c r="X98" s="688"/>
      <c r="AC98" t="b">
        <f>OR(AD98:AE98)</f>
        <v>0</v>
      </c>
      <c r="AD98" t="b">
        <f>T98</f>
        <v>0</v>
      </c>
      <c r="AE98" t="b">
        <v>0</v>
      </c>
      <c r="AL98" t="str">
        <f>SUBSTITUTE(SUBSTITUTE(SUBSTITUTE("dpa"&amp;$B98&amp;$C98&amp;$D98&amp;$E98&amp;$F98,".","_"),"(","_"),")","")</f>
        <v>dpa801_5_4_b</v>
      </c>
      <c r="AM98" t="str">
        <f>M98</f>
        <v>1 Additional</v>
      </c>
      <c r="AN98" t="str">
        <f>SUBSTITUTE(SUBSTITUTE(SUBSTITUTE("dpc"&amp;$B98&amp;$C98&amp;$D98&amp;$E98&amp;$F98,".","_"),"(","_"),")","")</f>
        <v>dpc801_5_4_b</v>
      </c>
      <c r="AO98">
        <f>O98</f>
        <v>0</v>
      </c>
      <c r="AP98" t="str">
        <f>SUBSTITUTE(SUBSTITUTE(SUBSTITUTE("dch"&amp;$B98&amp;$C98&amp;$D98&amp;$E98&amp;$F98,".","_"),"(","_"),")","")</f>
        <v>dch801_5_4_b</v>
      </c>
      <c r="AQ98">
        <f>W98</f>
        <v>0</v>
      </c>
      <c r="AR98" t="str">
        <f>SUBSTITUTE(SUBSTITUTE(SUBSTITUTE("dnt"&amp;$B98&amp;$C98&amp;$D98&amp;$E98&amp;$F98,".","_"),"(","_"),")","")</f>
        <v>dnt801_5_4_b</v>
      </c>
      <c r="AS98">
        <f>X98</f>
        <v>0</v>
      </c>
    </row>
    <row r="99" spans="2:45" x14ac:dyDescent="0.35">
      <c r="B99" s="452">
        <v>801.5</v>
      </c>
      <c r="C99" s="13"/>
      <c r="D99" s="13"/>
      <c r="E99" s="13" t="s">
        <v>283</v>
      </c>
      <c r="F99" s="13" t="s">
        <v>122</v>
      </c>
      <c r="G99" s="13"/>
      <c r="H99" s="550"/>
      <c r="I99" s="4"/>
      <c r="J99" s="4"/>
      <c r="K99" s="148"/>
      <c r="L99" s="709"/>
      <c r="M99" s="691"/>
      <c r="N99" s="155"/>
      <c r="O99" s="697"/>
      <c r="X99" s="688"/>
    </row>
    <row r="100" spans="2:45" ht="15" thickBot="1" x14ac:dyDescent="0.4">
      <c r="B100" s="452">
        <v>801.5</v>
      </c>
      <c r="C100" s="13"/>
      <c r="D100" s="13"/>
      <c r="E100" s="13" t="s">
        <v>283</v>
      </c>
      <c r="F100" s="13" t="s">
        <v>123</v>
      </c>
      <c r="G100" s="13"/>
      <c r="H100" s="550"/>
      <c r="I100" s="183"/>
      <c r="J100" s="183"/>
      <c r="K100" s="133" t="s">
        <v>123</v>
      </c>
      <c r="L100" s="223" t="s">
        <v>895</v>
      </c>
      <c r="M100" s="270" t="s">
        <v>896</v>
      </c>
      <c r="N100" s="183"/>
      <c r="O100" s="184">
        <f>6*S100*W100</f>
        <v>0</v>
      </c>
      <c r="P100" t="b">
        <v>0</v>
      </c>
      <c r="Q100" t="b">
        <v>1</v>
      </c>
      <c r="R100" s="58" t="b">
        <v>0</v>
      </c>
      <c r="S100" s="58" t="b">
        <f>AND(W91=TRUE,S91)</f>
        <v>1</v>
      </c>
      <c r="T100" s="58" t="b">
        <f>IF(AND(NOT(S100),W100=TRUE),TRUE,FALSE)</f>
        <v>0</v>
      </c>
      <c r="U100" s="58"/>
      <c r="V100" s="58"/>
      <c r="W100" s="59"/>
      <c r="X100" s="113"/>
      <c r="AC100" t="b">
        <f>OR(AD100:AE100)</f>
        <v>0</v>
      </c>
      <c r="AD100" t="b">
        <f>T100</f>
        <v>0</v>
      </c>
      <c r="AE100" t="b">
        <v>0</v>
      </c>
      <c r="AL100" t="str">
        <f>SUBSTITUTE(SUBSTITUTE(SUBSTITUTE("dpa"&amp;$B100&amp;$C100&amp;$D100&amp;$E100&amp;$F100,".","_"),"(","_"),")","")</f>
        <v>dpa801_5_4_c</v>
      </c>
      <c r="AM100" t="str">
        <f>M100</f>
        <v>6 Additional</v>
      </c>
      <c r="AN100" t="str">
        <f>SUBSTITUTE(SUBSTITUTE(SUBSTITUTE("dpc"&amp;$B100&amp;$C100&amp;$D100&amp;$E100&amp;$F100,".","_"),"(","_"),")","")</f>
        <v>dpc801_5_4_c</v>
      </c>
      <c r="AO100">
        <f>O100</f>
        <v>0</v>
      </c>
      <c r="AP100" t="str">
        <f>SUBSTITUTE(SUBSTITUTE(SUBSTITUTE("dch"&amp;$B100&amp;$C100&amp;$D100&amp;$E100&amp;$F100,".","_"),"(","_"),")","")</f>
        <v>dch801_5_4_c</v>
      </c>
      <c r="AQ100">
        <f>W100</f>
        <v>0</v>
      </c>
      <c r="AR100" t="str">
        <f>SUBSTITUTE(SUBSTITUTE(SUBSTITUTE("dnt"&amp;$B100&amp;$C100&amp;$D100&amp;$E100&amp;$F100,".","_"),"(","_"),")","")</f>
        <v>dnt801_5_4_c</v>
      </c>
      <c r="AS100">
        <f>X100</f>
        <v>0</v>
      </c>
    </row>
    <row r="101" spans="2:45" ht="15" thickTop="1" x14ac:dyDescent="0.35">
      <c r="B101" s="452">
        <v>801.6</v>
      </c>
      <c r="C101" s="13"/>
      <c r="D101" s="13"/>
      <c r="E101" s="13"/>
      <c r="F101" s="13"/>
      <c r="G101" s="13"/>
      <c r="H101" s="550"/>
      <c r="I101" s="32">
        <v>801.6</v>
      </c>
      <c r="J101" s="4"/>
      <c r="K101" s="4"/>
      <c r="L101" s="110" t="s">
        <v>897</v>
      </c>
      <c r="M101" s="43"/>
      <c r="N101" s="4"/>
      <c r="O101" s="85"/>
      <c r="W101" s="119"/>
    </row>
    <row r="102" spans="2:45" x14ac:dyDescent="0.35">
      <c r="B102" s="452" t="s">
        <v>898</v>
      </c>
      <c r="C102" s="13"/>
      <c r="D102" s="13"/>
      <c r="E102" s="13"/>
      <c r="F102" s="13"/>
      <c r="G102" s="13"/>
      <c r="H102" s="550"/>
      <c r="I102" s="32" t="s">
        <v>898</v>
      </c>
      <c r="J102" s="4"/>
      <c r="K102" s="4"/>
      <c r="L102" s="706" t="s">
        <v>899</v>
      </c>
      <c r="M102" s="690">
        <v>6</v>
      </c>
      <c r="N102" s="4"/>
      <c r="O102" s="696">
        <f>6*S102*W102</f>
        <v>0</v>
      </c>
      <c r="P102" t="b">
        <v>0</v>
      </c>
      <c r="Q102" t="b">
        <v>1</v>
      </c>
      <c r="R102" t="b">
        <v>0</v>
      </c>
      <c r="S102" t="b">
        <f>NOT(W119=TRUE)</f>
        <v>0</v>
      </c>
      <c r="T102" t="b">
        <f>IF(AND(NOT(S102),W102=TRUE),TRUE,FALSE)</f>
        <v>0</v>
      </c>
      <c r="W102" s="77"/>
      <c r="X102" s="688"/>
      <c r="AC102" t="b">
        <f>OR(AD102:AE102)</f>
        <v>0</v>
      </c>
      <c r="AD102" t="b">
        <f>T102</f>
        <v>0</v>
      </c>
      <c r="AE102" t="b">
        <v>0</v>
      </c>
      <c r="AL102" t="str">
        <f>SUBSTITUTE(SUBSTITUTE(SUBSTITUTE("dpa"&amp;$B102&amp;$C102&amp;$D102&amp;$E102&amp;$F102,".","_"),"(","_"),")","")</f>
        <v>dpa801_6_1</v>
      </c>
      <c r="AM102">
        <f>M102</f>
        <v>6</v>
      </c>
      <c r="AN102" t="str">
        <f>SUBSTITUTE(SUBSTITUTE(SUBSTITUTE("dpc"&amp;$B102&amp;$C102&amp;$D102&amp;$E102&amp;$F102,".","_"),"(","_"),")","")</f>
        <v>dpc801_6_1</v>
      </c>
      <c r="AO102">
        <f>O102</f>
        <v>0</v>
      </c>
      <c r="AP102" t="str">
        <f>SUBSTITUTE(SUBSTITUTE(SUBSTITUTE("dch"&amp;$B102&amp;$C102&amp;$D102&amp;$E102&amp;$F102,".","_"),"(","_"),")","")</f>
        <v>dch801_6_1</v>
      </c>
      <c r="AQ102">
        <f>W102</f>
        <v>0</v>
      </c>
      <c r="AR102" t="str">
        <f>SUBSTITUTE(SUBSTITUTE(SUBSTITUTE("dnt"&amp;$B102&amp;$C102&amp;$D102&amp;$E102&amp;$F102,".","_"),"(","_"),")","")</f>
        <v>dnt801_6_1</v>
      </c>
      <c r="AS102">
        <f>X102</f>
        <v>0</v>
      </c>
    </row>
    <row r="103" spans="2:45" x14ac:dyDescent="0.35">
      <c r="B103" s="452" t="s">
        <v>898</v>
      </c>
      <c r="C103" s="13"/>
      <c r="D103" s="13"/>
      <c r="E103" s="13"/>
      <c r="F103" s="13"/>
      <c r="G103" s="13"/>
      <c r="H103" s="550"/>
      <c r="I103" s="32"/>
      <c r="J103" s="4"/>
      <c r="K103" s="4"/>
      <c r="L103" s="706"/>
      <c r="M103" s="690"/>
      <c r="N103" s="4"/>
      <c r="O103" s="696"/>
      <c r="X103" s="688"/>
    </row>
    <row r="104" spans="2:45" x14ac:dyDescent="0.35">
      <c r="B104" s="452" t="s">
        <v>898</v>
      </c>
      <c r="C104" s="13"/>
      <c r="D104" s="13"/>
      <c r="E104" s="13"/>
      <c r="F104" s="13"/>
      <c r="G104" s="13"/>
      <c r="H104" s="550"/>
      <c r="I104" s="161"/>
      <c r="J104" s="155"/>
      <c r="K104" s="155"/>
      <c r="L104" s="739"/>
      <c r="M104" s="691"/>
      <c r="N104" s="155"/>
      <c r="O104" s="697"/>
      <c r="P104" s="119"/>
      <c r="Q104" s="119"/>
      <c r="R104" s="119"/>
      <c r="S104" s="119"/>
      <c r="T104" s="119"/>
      <c r="U104" s="119"/>
      <c r="V104" s="119"/>
      <c r="X104" s="688"/>
    </row>
    <row r="105" spans="2:45" x14ac:dyDescent="0.35">
      <c r="B105" s="452" t="s">
        <v>900</v>
      </c>
      <c r="C105" s="13"/>
      <c r="D105" s="13"/>
      <c r="E105" s="13"/>
      <c r="F105" s="13"/>
      <c r="G105" s="13"/>
      <c r="H105" s="550"/>
      <c r="I105" s="32" t="s">
        <v>900</v>
      </c>
      <c r="J105" s="4"/>
      <c r="K105" s="4"/>
      <c r="L105" s="110" t="s">
        <v>901</v>
      </c>
      <c r="M105" s="43"/>
      <c r="N105" s="4"/>
      <c r="O105" s="85"/>
    </row>
    <row r="106" spans="2:45" x14ac:dyDescent="0.35">
      <c r="B106" s="452" t="s">
        <v>900</v>
      </c>
      <c r="C106" s="13"/>
      <c r="D106" s="13"/>
      <c r="E106" s="13" t="s">
        <v>270</v>
      </c>
      <c r="F106" s="13"/>
      <c r="G106" s="13"/>
      <c r="H106" s="550"/>
      <c r="I106" s="32"/>
      <c r="J106" s="148" t="s">
        <v>270</v>
      </c>
      <c r="K106" s="155"/>
      <c r="L106" s="214" t="s">
        <v>902</v>
      </c>
      <c r="M106" s="198">
        <v>4</v>
      </c>
      <c r="N106" s="155"/>
      <c r="O106" s="342">
        <f>M106*S106*W106</f>
        <v>0</v>
      </c>
      <c r="P106" t="b">
        <v>0</v>
      </c>
      <c r="Q106" t="b">
        <v>1</v>
      </c>
      <c r="R106" t="b">
        <v>0</v>
      </c>
      <c r="S106" t="b">
        <f>NOT(W119=TRUE)</f>
        <v>0</v>
      </c>
      <c r="T106" t="b">
        <f>IF(AND(NOT(S106),W106=TRUE),TRUE,FALSE)</f>
        <v>0</v>
      </c>
      <c r="W106" s="17"/>
      <c r="X106" s="39"/>
      <c r="AC106" t="b">
        <f>OR(AD106:AE106)</f>
        <v>0</v>
      </c>
      <c r="AD106" t="b">
        <f>T106</f>
        <v>0</v>
      </c>
      <c r="AE106" t="b">
        <v>0</v>
      </c>
      <c r="AL106" t="str">
        <f t="shared" ref="AL106:AL108" si="7">SUBSTITUTE(SUBSTITUTE(SUBSTITUTE("dpa"&amp;$B106&amp;$C106&amp;$D106&amp;$E106&amp;$F106,".","_"),"(","_"),")","")</f>
        <v>dpa801_6_2_1</v>
      </c>
      <c r="AM106">
        <f>M106</f>
        <v>4</v>
      </c>
      <c r="AN106" t="str">
        <f t="shared" ref="AN106:AN108" si="8">SUBSTITUTE(SUBSTITUTE(SUBSTITUTE("dpc"&amp;$B106&amp;$C106&amp;$D106&amp;$E106&amp;$F106,".","_"),"(","_"),")","")</f>
        <v>dpc801_6_2_1</v>
      </c>
      <c r="AO106">
        <f>O106</f>
        <v>0</v>
      </c>
      <c r="AP106" t="str">
        <f t="shared" ref="AP106:AP108" si="9">SUBSTITUTE(SUBSTITUTE(SUBSTITUTE("dch"&amp;$B106&amp;$C106&amp;$D106&amp;$E106&amp;$F106,".","_"),"(","_"),")","")</f>
        <v>dch801_6_2_1</v>
      </c>
      <c r="AQ106">
        <f>W106</f>
        <v>0</v>
      </c>
      <c r="AR106" t="str">
        <f>SUBSTITUTE(SUBSTITUTE(SUBSTITUTE("dnt"&amp;$B106&amp;$C106&amp;$D106&amp;$E106&amp;$F106,".","_"),"(","_"),")","")</f>
        <v>dnt801_6_2_1</v>
      </c>
      <c r="AS106">
        <f>X106</f>
        <v>0</v>
      </c>
    </row>
    <row r="107" spans="2:45" x14ac:dyDescent="0.35">
      <c r="B107" s="452" t="s">
        <v>900</v>
      </c>
      <c r="C107" s="13"/>
      <c r="D107" s="13"/>
      <c r="E107" s="13" t="s">
        <v>272</v>
      </c>
      <c r="F107" s="13"/>
      <c r="G107" s="13"/>
      <c r="H107" s="550"/>
      <c r="I107" s="32"/>
      <c r="J107" s="148" t="s">
        <v>272</v>
      </c>
      <c r="K107" s="155"/>
      <c r="L107" s="214" t="s">
        <v>903</v>
      </c>
      <c r="M107" s="198">
        <v>4</v>
      </c>
      <c r="N107" s="155"/>
      <c r="O107" s="342">
        <f>M107*S107*W107</f>
        <v>0</v>
      </c>
      <c r="P107" t="b">
        <v>0</v>
      </c>
      <c r="Q107" t="b">
        <v>1</v>
      </c>
      <c r="R107" t="b">
        <v>0</v>
      </c>
      <c r="S107" t="b">
        <f>NOT(W119=TRUE)</f>
        <v>0</v>
      </c>
      <c r="T107" t="b">
        <f>IF(AND(NOT(S107),W107=TRUE),TRUE,FALSE)</f>
        <v>0</v>
      </c>
      <c r="W107" s="17"/>
      <c r="X107" s="39"/>
      <c r="AC107" t="b">
        <f>OR(AD107:AE107)</f>
        <v>0</v>
      </c>
      <c r="AD107" t="b">
        <f>T107</f>
        <v>0</v>
      </c>
      <c r="AE107" t="b">
        <v>0</v>
      </c>
      <c r="AL107" t="str">
        <f t="shared" si="7"/>
        <v>dpa801_6_2_2</v>
      </c>
      <c r="AM107">
        <f>M107</f>
        <v>4</v>
      </c>
      <c r="AN107" t="str">
        <f t="shared" si="8"/>
        <v>dpc801_6_2_2</v>
      </c>
      <c r="AO107">
        <f>O107</f>
        <v>0</v>
      </c>
      <c r="AP107" t="str">
        <f t="shared" si="9"/>
        <v>dch801_6_2_2</v>
      </c>
      <c r="AQ107">
        <f>W107</f>
        <v>0</v>
      </c>
      <c r="AR107" t="str">
        <f>SUBSTITUTE(SUBSTITUTE(SUBSTITUTE("dnt"&amp;$B107&amp;$C107&amp;$D107&amp;$E107&amp;$F107,".","_"),"(","_"),")","")</f>
        <v>dnt801_6_2_2</v>
      </c>
      <c r="AS107">
        <f>X107</f>
        <v>0</v>
      </c>
    </row>
    <row r="108" spans="2:45" x14ac:dyDescent="0.35">
      <c r="B108" s="452" t="s">
        <v>900</v>
      </c>
      <c r="C108" s="13"/>
      <c r="D108" s="13"/>
      <c r="E108" s="13" t="s">
        <v>274</v>
      </c>
      <c r="F108" s="13"/>
      <c r="G108" s="13"/>
      <c r="H108" s="550"/>
      <c r="I108" s="32"/>
      <c r="J108" s="19" t="s">
        <v>274</v>
      </c>
      <c r="K108" s="4"/>
      <c r="L108" s="707" t="s">
        <v>904</v>
      </c>
      <c r="M108" s="690">
        <v>5</v>
      </c>
      <c r="N108" s="4"/>
      <c r="O108" s="696">
        <f>M108*S108*W108</f>
        <v>0</v>
      </c>
      <c r="P108" t="b">
        <v>0</v>
      </c>
      <c r="Q108" t="b">
        <v>1</v>
      </c>
      <c r="R108" t="b">
        <v>0</v>
      </c>
      <c r="S108" t="b">
        <f>AND(W106=TRUE,NOT(W119=TRUE))</f>
        <v>0</v>
      </c>
      <c r="T108" t="b">
        <f>IF(AND(NOT(S108),W108=TRUE),TRUE,FALSE)</f>
        <v>0</v>
      </c>
      <c r="W108" s="17"/>
      <c r="X108" s="688"/>
      <c r="AC108" t="b">
        <f>OR(AD108:AE108)</f>
        <v>0</v>
      </c>
      <c r="AD108" t="b">
        <f>T108</f>
        <v>0</v>
      </c>
      <c r="AE108" t="b">
        <v>0</v>
      </c>
      <c r="AL108" t="str">
        <f t="shared" si="7"/>
        <v>dpa801_6_2_3</v>
      </c>
      <c r="AM108">
        <f>M108</f>
        <v>5</v>
      </c>
      <c r="AN108" t="str">
        <f t="shared" si="8"/>
        <v>dpc801_6_2_3</v>
      </c>
      <c r="AO108">
        <f>O108</f>
        <v>0</v>
      </c>
      <c r="AP108" t="str">
        <f t="shared" si="9"/>
        <v>dch801_6_2_3</v>
      </c>
      <c r="AQ108">
        <f>W108</f>
        <v>0</v>
      </c>
      <c r="AR108" t="str">
        <f>SUBSTITUTE(SUBSTITUTE(SUBSTITUTE("dnt"&amp;$B108&amp;$C108&amp;$D108&amp;$E108&amp;$F108,".","_"),"(","_"),")","")</f>
        <v>dnt801_6_2_3</v>
      </c>
      <c r="AS108">
        <f>X108</f>
        <v>0</v>
      </c>
    </row>
    <row r="109" spans="2:45" x14ac:dyDescent="0.35">
      <c r="B109" s="452" t="s">
        <v>900</v>
      </c>
      <c r="C109" s="13"/>
      <c r="D109" s="13"/>
      <c r="E109" s="13" t="s">
        <v>274</v>
      </c>
      <c r="F109" s="13"/>
      <c r="G109" s="13"/>
      <c r="H109" s="550"/>
      <c r="I109" s="161"/>
      <c r="J109" s="155"/>
      <c r="K109" s="155"/>
      <c r="L109" s="709"/>
      <c r="M109" s="691"/>
      <c r="N109" s="155"/>
      <c r="O109" s="697"/>
      <c r="P109" s="119"/>
      <c r="Q109" s="119"/>
      <c r="R109" s="119"/>
      <c r="S109" s="119"/>
      <c r="T109" s="119"/>
      <c r="U109" s="119"/>
      <c r="V109" s="119"/>
      <c r="W109" s="119"/>
      <c r="X109" s="688"/>
    </row>
    <row r="110" spans="2:45" x14ac:dyDescent="0.35">
      <c r="B110" s="452" t="s">
        <v>905</v>
      </c>
      <c r="C110" s="13"/>
      <c r="D110" s="13"/>
      <c r="E110" s="13"/>
      <c r="F110" s="13"/>
      <c r="G110" s="13"/>
      <c r="H110" s="550"/>
      <c r="I110" s="32" t="s">
        <v>905</v>
      </c>
      <c r="J110" s="4"/>
      <c r="K110" s="4"/>
      <c r="L110" s="706" t="s">
        <v>906</v>
      </c>
      <c r="M110" s="740" t="str">
        <f>IF(R110,"Mandatory","N/A")</f>
        <v>N/A</v>
      </c>
      <c r="N110" s="4"/>
      <c r="O110" s="85"/>
      <c r="P110" t="b">
        <v>0</v>
      </c>
      <c r="Q110" t="b">
        <v>1</v>
      </c>
      <c r="R110" t="b">
        <f>NOT(W119=TRUE)</f>
        <v>0</v>
      </c>
      <c r="S110" t="b">
        <v>1</v>
      </c>
      <c r="T110" t="b">
        <v>0</v>
      </c>
      <c r="U110" t="str">
        <f>SUBSTITUTE(SUBSTITUTE(SUBSTITUTE("dd"&amp;B110&amp;C110&amp;D110&amp;E110&amp;F110,".","_"),"(","_"),")","")</f>
        <v>dd801_6_3</v>
      </c>
      <c r="W110" s="9"/>
      <c r="X110" s="688"/>
      <c r="AC110" t="b">
        <f>OR(AD110:AE110)</f>
        <v>0</v>
      </c>
      <c r="AD110" t="b">
        <f>T110</f>
        <v>0</v>
      </c>
      <c r="AE110" t="b">
        <f>AND(R110,NOT(W110="Met"),NOT(W110="N/A"))</f>
        <v>0</v>
      </c>
      <c r="AP110" t="str">
        <f>SUBSTITUTE(SUBSTITUTE(SUBSTITUTE("dch"&amp;$B110&amp;$C110&amp;$D110&amp;$E110&amp;$F110,".","_"),"(","_"),")","")</f>
        <v>dch801_6_3</v>
      </c>
      <c r="AQ110">
        <f>W110</f>
        <v>0</v>
      </c>
      <c r="AR110" t="str">
        <f>SUBSTITUTE(SUBSTITUTE(SUBSTITUTE("dnt"&amp;$B110&amp;$C110&amp;$D110&amp;$E110&amp;$F110,".","_"),"(","_"),")","")</f>
        <v>dnt801_6_3</v>
      </c>
      <c r="AS110">
        <f>X110</f>
        <v>0</v>
      </c>
    </row>
    <row r="111" spans="2:45" x14ac:dyDescent="0.35">
      <c r="B111" s="452" t="s">
        <v>905</v>
      </c>
      <c r="C111" s="13"/>
      <c r="D111" s="13"/>
      <c r="E111" s="13"/>
      <c r="F111" s="13"/>
      <c r="G111" s="13"/>
      <c r="H111" s="550"/>
      <c r="I111" s="32"/>
      <c r="J111" s="4"/>
      <c r="K111" s="4"/>
      <c r="L111" s="706"/>
      <c r="M111" s="740"/>
      <c r="N111" s="4"/>
      <c r="O111" s="85"/>
      <c r="X111" s="688"/>
    </row>
    <row r="112" spans="2:45" x14ac:dyDescent="0.35">
      <c r="B112" s="452" t="s">
        <v>905</v>
      </c>
      <c r="C112" s="13"/>
      <c r="D112" s="13"/>
      <c r="E112" s="13"/>
      <c r="F112" s="13"/>
      <c r="G112" s="13"/>
      <c r="H112" s="550"/>
      <c r="I112" s="161"/>
      <c r="J112" s="155"/>
      <c r="K112" s="155"/>
      <c r="L112" s="739"/>
      <c r="M112" s="741"/>
      <c r="N112" s="155"/>
      <c r="O112" s="342"/>
      <c r="P112" s="119"/>
      <c r="Q112" s="119"/>
      <c r="R112" s="119"/>
      <c r="S112" s="119"/>
      <c r="T112" s="119"/>
      <c r="U112" s="119"/>
      <c r="V112" s="119"/>
      <c r="X112" s="688"/>
    </row>
    <row r="113" spans="2:45" x14ac:dyDescent="0.35">
      <c r="B113" s="452" t="s">
        <v>907</v>
      </c>
      <c r="C113" s="13"/>
      <c r="D113" s="13"/>
      <c r="E113" s="13"/>
      <c r="F113" s="13"/>
      <c r="G113" s="13"/>
      <c r="H113" s="550"/>
      <c r="I113" s="32" t="s">
        <v>907</v>
      </c>
      <c r="J113" s="4"/>
      <c r="K113" s="4"/>
      <c r="L113" s="783" t="s">
        <v>908</v>
      </c>
      <c r="M113" s="43"/>
      <c r="N113" s="4"/>
      <c r="O113" s="85"/>
    </row>
    <row r="114" spans="2:45" x14ac:dyDescent="0.35">
      <c r="B114" s="452" t="s">
        <v>907</v>
      </c>
      <c r="C114" s="13"/>
      <c r="D114" s="13"/>
      <c r="E114" s="13"/>
      <c r="F114" s="13"/>
      <c r="G114" s="13"/>
      <c r="H114" s="550"/>
      <c r="I114" s="32"/>
      <c r="J114" s="4"/>
      <c r="K114" s="4"/>
      <c r="L114" s="783"/>
      <c r="M114" s="43"/>
      <c r="N114" s="4"/>
      <c r="O114" s="85"/>
    </row>
    <row r="115" spans="2:45" x14ac:dyDescent="0.35">
      <c r="B115" s="452" t="s">
        <v>907</v>
      </c>
      <c r="C115" s="13"/>
      <c r="D115" s="13"/>
      <c r="E115" s="13"/>
      <c r="F115" s="13"/>
      <c r="G115" s="13"/>
      <c r="H115" s="550"/>
      <c r="I115" s="32"/>
      <c r="J115" s="4"/>
      <c r="K115" s="4"/>
      <c r="L115" s="107" t="s">
        <v>909</v>
      </c>
      <c r="M115" s="43"/>
      <c r="N115" s="4"/>
      <c r="O115" s="85"/>
    </row>
    <row r="116" spans="2:45" x14ac:dyDescent="0.35">
      <c r="B116" s="452" t="s">
        <v>907</v>
      </c>
      <c r="C116" s="13"/>
      <c r="D116" s="13"/>
      <c r="E116" s="13" t="s">
        <v>270</v>
      </c>
      <c r="F116" s="13"/>
      <c r="G116" s="13"/>
      <c r="H116" s="550"/>
      <c r="I116" s="32"/>
      <c r="J116" s="19" t="s">
        <v>270</v>
      </c>
      <c r="K116" s="4"/>
      <c r="L116" s="707" t="s">
        <v>910</v>
      </c>
      <c r="M116" s="690">
        <v>8</v>
      </c>
      <c r="N116" s="4"/>
      <c r="O116" s="696">
        <f>MAX(M116*S116*W116,M118*S118*W118)</f>
        <v>0</v>
      </c>
      <c r="P116" t="b">
        <v>0</v>
      </c>
      <c r="Q116" t="b">
        <v>1</v>
      </c>
      <c r="R116" t="b">
        <v>0</v>
      </c>
      <c r="S116" t="b">
        <f>NOT(W119=TRUE)</f>
        <v>0</v>
      </c>
      <c r="T116" t="b">
        <f>IF(AND(NOT(S116),W116=TRUE),TRUE,FALSE)</f>
        <v>0</v>
      </c>
      <c r="W116" s="17"/>
      <c r="X116" s="688"/>
      <c r="AC116" t="b">
        <f>OR(AD116:AE116)</f>
        <v>0</v>
      </c>
      <c r="AD116" t="b">
        <f>T116</f>
        <v>0</v>
      </c>
      <c r="AE116" t="b">
        <v>0</v>
      </c>
      <c r="AL116" t="str">
        <f>SUBSTITUTE(SUBSTITUTE(SUBSTITUTE("dpa"&amp;$B116&amp;$C116&amp;$D116&amp;$E116&amp;$F116,".","_"),"(","_"),")","")</f>
        <v>dpa801_6_4_1</v>
      </c>
      <c r="AM116">
        <f>M116</f>
        <v>8</v>
      </c>
      <c r="AN116" t="str">
        <f>SUBSTITUTE(SUBSTITUTE(SUBSTITUTE("dpc"&amp;$B116&amp;$C116&amp;$D116&amp;$E116&amp;$F116,".","_"),"(","_"),")","")</f>
        <v>dpc801_6_4_1</v>
      </c>
      <c r="AO116">
        <f>O116</f>
        <v>0</v>
      </c>
      <c r="AP116" t="str">
        <f>SUBSTITUTE(SUBSTITUTE(SUBSTITUTE("dch"&amp;$B116&amp;$C116&amp;$D116&amp;$E116&amp;$F116,".","_"),"(","_"),")","")</f>
        <v>dch801_6_4_1</v>
      </c>
      <c r="AQ116">
        <f>W116</f>
        <v>0</v>
      </c>
      <c r="AR116" t="str">
        <f>SUBSTITUTE(SUBSTITUTE(SUBSTITUTE("dnt"&amp;$B116&amp;$C116&amp;$D116&amp;$E116&amp;$F116,".","_"),"(","_"),")","")</f>
        <v>dnt801_6_4_1</v>
      </c>
      <c r="AS116">
        <f>X116</f>
        <v>0</v>
      </c>
    </row>
    <row r="117" spans="2:45" x14ac:dyDescent="0.35">
      <c r="B117" s="452" t="s">
        <v>907</v>
      </c>
      <c r="C117" s="13"/>
      <c r="D117" s="13"/>
      <c r="E117" s="13" t="s">
        <v>270</v>
      </c>
      <c r="F117" s="13"/>
      <c r="G117" s="13"/>
      <c r="H117" s="550"/>
      <c r="I117" s="32"/>
      <c r="J117" s="155"/>
      <c r="K117" s="155"/>
      <c r="L117" s="709"/>
      <c r="M117" s="691"/>
      <c r="N117" s="4"/>
      <c r="O117" s="696"/>
      <c r="X117" s="688"/>
    </row>
    <row r="118" spans="2:45" x14ac:dyDescent="0.35">
      <c r="B118" s="452" t="s">
        <v>907</v>
      </c>
      <c r="C118" s="13"/>
      <c r="D118" s="13"/>
      <c r="E118" s="13" t="s">
        <v>272</v>
      </c>
      <c r="F118" s="13"/>
      <c r="G118" s="13"/>
      <c r="H118" s="550"/>
      <c r="I118" s="32"/>
      <c r="J118" s="148" t="s">
        <v>272</v>
      </c>
      <c r="K118" s="155"/>
      <c r="L118" s="214" t="s">
        <v>911</v>
      </c>
      <c r="M118" s="198">
        <v>10</v>
      </c>
      <c r="N118" s="155"/>
      <c r="O118" s="697"/>
      <c r="P118" t="b">
        <v>0</v>
      </c>
      <c r="Q118" t="b">
        <v>1</v>
      </c>
      <c r="R118" t="b">
        <v>0</v>
      </c>
      <c r="S118" t="b">
        <f>NOT(W119=TRUE)</f>
        <v>0</v>
      </c>
      <c r="T118" t="b">
        <f>IF(AND(NOT(S118),W118=TRUE),TRUE,FALSE)</f>
        <v>0</v>
      </c>
      <c r="W118" s="17"/>
      <c r="X118" s="39"/>
      <c r="AC118" t="b">
        <f>OR(AD118:AE118)</f>
        <v>0</v>
      </c>
      <c r="AD118" t="b">
        <f>T118</f>
        <v>0</v>
      </c>
      <c r="AE118" t="b">
        <v>0</v>
      </c>
      <c r="AL118" t="str">
        <f t="shared" ref="AL118:AL119" si="10">SUBSTITUTE(SUBSTITUTE(SUBSTITUTE("dpa"&amp;$B118&amp;$C118&amp;$D118&amp;$E118&amp;$F118,".","_"),"(","_"),")","")</f>
        <v>dpa801_6_4_2</v>
      </c>
      <c r="AM118">
        <f>M118</f>
        <v>10</v>
      </c>
      <c r="AP118" t="str">
        <f t="shared" ref="AP118:AP119" si="11">SUBSTITUTE(SUBSTITUTE(SUBSTITUTE("dch"&amp;$B118&amp;$C118&amp;$D118&amp;$E118&amp;$F118,".","_"),"(","_"),")","")</f>
        <v>dch801_6_4_2</v>
      </c>
      <c r="AQ118">
        <f>W118</f>
        <v>0</v>
      </c>
      <c r="AR118" t="str">
        <f>SUBSTITUTE(SUBSTITUTE(SUBSTITUTE("dnt"&amp;$B118&amp;$C118&amp;$D118&amp;$E118&amp;$F118,".","_"),"(","_"),")","")</f>
        <v>dnt801_6_4_2</v>
      </c>
      <c r="AS118">
        <f>X118</f>
        <v>0</v>
      </c>
    </row>
    <row r="119" spans="2:45" x14ac:dyDescent="0.35">
      <c r="B119" s="452" t="s">
        <v>907</v>
      </c>
      <c r="C119" s="13"/>
      <c r="D119" s="13"/>
      <c r="E119" s="13" t="s">
        <v>274</v>
      </c>
      <c r="F119" s="13"/>
      <c r="G119" s="13"/>
      <c r="H119" s="550"/>
      <c r="I119" s="32"/>
      <c r="J119" s="19" t="s">
        <v>274</v>
      </c>
      <c r="K119" s="4"/>
      <c r="L119" s="707" t="s">
        <v>912</v>
      </c>
      <c r="M119" s="690">
        <v>15</v>
      </c>
      <c r="N119" s="4"/>
      <c r="O119" s="696">
        <f ca="1">M119*S119*W119</f>
        <v>15</v>
      </c>
      <c r="P119" t="b">
        <v>0</v>
      </c>
      <c r="Q119" t="b">
        <v>1</v>
      </c>
      <c r="R119" t="b">
        <v>0</v>
      </c>
      <c r="S119" t="b">
        <f ca="1">AND(NOT(W102=TRUE),NOT(W106=TRUE),NOT(W107=TRUE),NOT(W108=TRUE),NOT(W110="Met"),NOT(W116=TRUE),NOT(W118=TRUE),NOT(W123=TRUE),S121)</f>
        <v>1</v>
      </c>
      <c r="T119" t="b">
        <f ca="1">IF(AND(NOT(S119),W119=TRUE),TRUE,FALSE)</f>
        <v>0</v>
      </c>
      <c r="W119" s="17" t="b">
        <v>1</v>
      </c>
      <c r="X119" s="688"/>
      <c r="AC119" t="b">
        <f ca="1">OR(AD119:AE119)</f>
        <v>0</v>
      </c>
      <c r="AD119" t="b">
        <f ca="1">T119</f>
        <v>0</v>
      </c>
      <c r="AE119" t="b">
        <v>0</v>
      </c>
      <c r="AL119" t="str">
        <f t="shared" si="10"/>
        <v>dpa801_6_4_3</v>
      </c>
      <c r="AM119">
        <f>M119</f>
        <v>15</v>
      </c>
      <c r="AN119" t="str">
        <f>SUBSTITUTE(SUBSTITUTE(SUBSTITUTE("dpc"&amp;$B119&amp;$C119&amp;$D119&amp;$E119&amp;$F119,".","_"),"(","_"),")","")</f>
        <v>dpc801_6_4_3</v>
      </c>
      <c r="AO119">
        <f ca="1">O119</f>
        <v>15</v>
      </c>
      <c r="AP119" t="str">
        <f t="shared" si="11"/>
        <v>dch801_6_4_3</v>
      </c>
      <c r="AQ119" t="b">
        <f>W119</f>
        <v>1</v>
      </c>
      <c r="AR119" t="str">
        <f>SUBSTITUTE(SUBSTITUTE(SUBSTITUTE("dnt"&amp;$B119&amp;$C119&amp;$D119&amp;$E119&amp;$F119,".","_"),"(","_"),")","")</f>
        <v>dnt801_6_4_3</v>
      </c>
      <c r="AS119">
        <f>X119</f>
        <v>0</v>
      </c>
    </row>
    <row r="120" spans="2:45" x14ac:dyDescent="0.35">
      <c r="B120" s="452" t="s">
        <v>907</v>
      </c>
      <c r="C120" s="13"/>
      <c r="D120" s="13"/>
      <c r="E120" s="13" t="s">
        <v>274</v>
      </c>
      <c r="F120" s="13"/>
      <c r="G120" s="13"/>
      <c r="H120" s="550"/>
      <c r="I120" s="32"/>
      <c r="J120" s="4"/>
      <c r="K120" s="4"/>
      <c r="L120" s="707"/>
      <c r="M120" s="690"/>
      <c r="N120" s="4"/>
      <c r="O120" s="696"/>
      <c r="X120" s="688"/>
    </row>
    <row r="121" spans="2:45" x14ac:dyDescent="0.35">
      <c r="B121" s="452" t="s">
        <v>907</v>
      </c>
      <c r="C121" s="13"/>
      <c r="D121" s="13"/>
      <c r="E121" s="13" t="s">
        <v>274</v>
      </c>
      <c r="F121" s="13"/>
      <c r="G121" s="13"/>
      <c r="H121" s="550"/>
      <c r="I121" s="32"/>
      <c r="J121" s="4"/>
      <c r="K121" s="4"/>
      <c r="L121" s="714" t="s">
        <v>3847</v>
      </c>
      <c r="M121" s="43"/>
      <c r="N121" s="4"/>
      <c r="O121" s="85"/>
      <c r="S121" s="1" t="b">
        <f ca="1">IFERROR(AND(MATCH('Ch5'!W122,INDIRECT('Ch5'!U122),0)=3,SUM('Ch5'!O124:O141)&gt;=5),FALSE)</f>
        <v>1</v>
      </c>
      <c r="X121" s="688"/>
    </row>
    <row r="122" spans="2:45" x14ac:dyDescent="0.35">
      <c r="B122" s="452" t="s">
        <v>907</v>
      </c>
      <c r="C122" s="13"/>
      <c r="D122" s="13"/>
      <c r="E122" s="13" t="s">
        <v>274</v>
      </c>
      <c r="F122" s="13"/>
      <c r="G122" s="13"/>
      <c r="H122" s="550"/>
      <c r="I122" s="161"/>
      <c r="J122" s="155"/>
      <c r="K122" s="155"/>
      <c r="L122" s="755"/>
      <c r="M122" s="198"/>
      <c r="N122" s="155"/>
      <c r="O122" s="342"/>
      <c r="P122" s="119"/>
      <c r="Q122" s="119"/>
      <c r="R122" s="119"/>
      <c r="S122" s="119"/>
      <c r="T122" s="119"/>
      <c r="U122" s="119"/>
      <c r="V122" s="119"/>
      <c r="W122" s="119"/>
      <c r="X122" s="688"/>
    </row>
    <row r="123" spans="2:45" x14ac:dyDescent="0.35">
      <c r="B123" s="452" t="s">
        <v>913</v>
      </c>
      <c r="C123" s="13"/>
      <c r="D123" s="13"/>
      <c r="E123" s="13"/>
      <c r="F123" s="13"/>
      <c r="G123" s="13"/>
      <c r="H123" s="550"/>
      <c r="I123" s="32" t="s">
        <v>913</v>
      </c>
      <c r="J123" s="4"/>
      <c r="K123" s="4"/>
      <c r="L123" s="706" t="s">
        <v>914</v>
      </c>
      <c r="M123" s="690">
        <v>3</v>
      </c>
      <c r="N123" s="4"/>
      <c r="O123" s="696">
        <f>M123*S123*W123</f>
        <v>0</v>
      </c>
      <c r="P123" t="b">
        <v>0</v>
      </c>
      <c r="Q123" t="b">
        <v>1</v>
      </c>
      <c r="R123" t="b">
        <v>0</v>
      </c>
      <c r="S123" t="b">
        <f>NOT(W119=TRUE)</f>
        <v>0</v>
      </c>
      <c r="T123" t="b">
        <f>IF(AND(NOT(S123),W123=TRUE),TRUE,FALSE)</f>
        <v>0</v>
      </c>
      <c r="W123" s="77"/>
      <c r="X123" s="700"/>
      <c r="AC123" t="b">
        <f>OR(AD123:AE123)</f>
        <v>0</v>
      </c>
      <c r="AD123" t="b">
        <f>T123</f>
        <v>0</v>
      </c>
      <c r="AE123" t="b">
        <v>0</v>
      </c>
      <c r="AL123" t="str">
        <f>SUBSTITUTE(SUBSTITUTE(SUBSTITUTE("dpa"&amp;$B123&amp;$C123&amp;$D123&amp;$E123&amp;$F123,".","_"),"(","_"),")","")</f>
        <v>dpa801_6_5</v>
      </c>
      <c r="AM123">
        <f>M123</f>
        <v>3</v>
      </c>
      <c r="AN123" t="str">
        <f>SUBSTITUTE(SUBSTITUTE(SUBSTITUTE("dpc"&amp;$B123&amp;$C123&amp;$D123&amp;$E123&amp;$F123,".","_"),"(","_"),")","")</f>
        <v>dpc801_6_5</v>
      </c>
      <c r="AO123">
        <f>O123</f>
        <v>0</v>
      </c>
      <c r="AP123" t="str">
        <f>SUBSTITUTE(SUBSTITUTE(SUBSTITUTE("dch"&amp;$B123&amp;$C123&amp;$D123&amp;$E123&amp;$F123,".","_"),"(","_"),")","")</f>
        <v>dch801_6_5</v>
      </c>
      <c r="AQ123">
        <f>W123</f>
        <v>0</v>
      </c>
      <c r="AR123" t="str">
        <f>SUBSTITUTE(SUBSTITUTE(SUBSTITUTE("dnt"&amp;$B123&amp;$C123&amp;$D123&amp;$E123&amp;$F123,".","_"),"(","_"),")","")</f>
        <v>dnt801_6_5</v>
      </c>
      <c r="AS123">
        <f>X123</f>
        <v>0</v>
      </c>
    </row>
    <row r="124" spans="2:45" ht="15" thickBot="1" x14ac:dyDescent="0.4">
      <c r="B124" s="452" t="s">
        <v>913</v>
      </c>
      <c r="C124" s="13"/>
      <c r="D124" s="13"/>
      <c r="E124" s="13"/>
      <c r="F124" s="13"/>
      <c r="G124" s="13"/>
      <c r="H124" s="550"/>
      <c r="I124" s="132"/>
      <c r="J124" s="183"/>
      <c r="K124" s="183"/>
      <c r="L124" s="710"/>
      <c r="M124" s="693"/>
      <c r="N124" s="183"/>
      <c r="O124" s="695"/>
      <c r="P124" s="58"/>
      <c r="Q124" s="58"/>
      <c r="R124" s="58"/>
      <c r="S124" s="58"/>
      <c r="T124" s="58"/>
      <c r="U124" s="58"/>
      <c r="V124" s="58"/>
      <c r="W124" s="58"/>
      <c r="X124" s="689"/>
    </row>
    <row r="125" spans="2:45" ht="15" thickTop="1" x14ac:dyDescent="0.35">
      <c r="B125" s="452">
        <v>801.7</v>
      </c>
      <c r="C125" s="13"/>
      <c r="D125" s="13"/>
      <c r="E125" s="13"/>
      <c r="F125" s="13"/>
      <c r="G125" s="13"/>
      <c r="H125" s="550"/>
      <c r="I125" s="123">
        <v>801.7</v>
      </c>
      <c r="J125" s="124"/>
      <c r="K125" s="124"/>
      <c r="L125" s="794" t="s">
        <v>915</v>
      </c>
      <c r="M125" s="199"/>
      <c r="N125" s="124"/>
      <c r="O125" s="341"/>
      <c r="P125" s="62"/>
      <c r="Q125" s="62"/>
      <c r="R125" s="62"/>
      <c r="S125" s="62"/>
      <c r="T125" s="62"/>
      <c r="U125" s="62"/>
      <c r="V125" s="62"/>
      <c r="W125" s="62"/>
      <c r="X125" s="62"/>
    </row>
    <row r="126" spans="2:45" x14ac:dyDescent="0.35">
      <c r="B126" s="452">
        <v>801.7</v>
      </c>
      <c r="C126" s="13"/>
      <c r="D126" s="13"/>
      <c r="E126" s="13"/>
      <c r="F126" s="13"/>
      <c r="G126" s="13"/>
      <c r="H126" s="550"/>
      <c r="I126" s="32"/>
      <c r="J126" s="4"/>
      <c r="K126" s="4"/>
      <c r="L126" s="795"/>
      <c r="M126" s="43"/>
      <c r="N126" s="4"/>
      <c r="O126" s="85"/>
    </row>
    <row r="127" spans="2:45" x14ac:dyDescent="0.35">
      <c r="B127" s="452" t="s">
        <v>1304</v>
      </c>
      <c r="C127" s="13"/>
      <c r="D127" s="13"/>
      <c r="E127" s="13"/>
      <c r="F127" s="13"/>
      <c r="G127" s="13"/>
      <c r="H127" s="550"/>
      <c r="I127" s="32" t="s">
        <v>1304</v>
      </c>
      <c r="J127" s="4"/>
      <c r="K127" s="4"/>
      <c r="L127" s="352" t="s">
        <v>1305</v>
      </c>
      <c r="M127" s="43"/>
      <c r="N127" s="4"/>
      <c r="O127" s="85">
        <f ca="1">IFERROR(INDEX({5,5,10,15,25},MATCH(W127,INDIRECT(U127),0)),0)*S127</f>
        <v>0</v>
      </c>
      <c r="P127" t="b">
        <v>0</v>
      </c>
      <c r="Q127" t="b">
        <v>1</v>
      </c>
      <c r="R127" t="b">
        <v>0</v>
      </c>
      <c r="S127" t="b">
        <v>1</v>
      </c>
      <c r="T127" t="b">
        <f>IF(AND(NOT(S127),LEN(W127)&gt;0),TRUE,FALSE)</f>
        <v>0</v>
      </c>
      <c r="U127" t="str">
        <f>SUBSTITUTE(SUBSTITUTE(SUBSTITUTE("dd"&amp;B127&amp;C127&amp;D127&amp;E127&amp;F127,".","_"),"(","_"),")","")</f>
        <v>dd801_7_1</v>
      </c>
      <c r="W127" s="9"/>
      <c r="X127" s="688"/>
      <c r="AC127" t="b">
        <f>OR(AD127:AE127)</f>
        <v>0</v>
      </c>
      <c r="AD127" t="b">
        <f>T127</f>
        <v>0</v>
      </c>
      <c r="AN127" t="str">
        <f>SUBSTITUTE(SUBSTITUTE(SUBSTITUTE("dpc"&amp;$B127&amp;$C127&amp;$D127&amp;$E127&amp;$F127,".","_"),"(","_"),")","")</f>
        <v>dpc801_7_1</v>
      </c>
      <c r="AO127">
        <f ca="1">O127</f>
        <v>0</v>
      </c>
      <c r="AP127" t="str">
        <f>SUBSTITUTE(SUBSTITUTE(SUBSTITUTE("dch"&amp;$B127&amp;$C127&amp;$D127&amp;$E127&amp;$F127,".","_"),"(","_"),")","")</f>
        <v>dch801_7_1</v>
      </c>
      <c r="AQ127">
        <f>W127</f>
        <v>0</v>
      </c>
      <c r="AR127" t="str">
        <f>SUBSTITUTE(SUBSTITUTE(SUBSTITUTE("dnt"&amp;$B127&amp;$C127&amp;$D127&amp;$E127&amp;$F127,".","_"),"(","_"),")","")</f>
        <v>dnt801_7_1</v>
      </c>
      <c r="AS127">
        <f>X127</f>
        <v>0</v>
      </c>
    </row>
    <row r="128" spans="2:45" x14ac:dyDescent="0.35">
      <c r="B128" s="452" t="s">
        <v>1304</v>
      </c>
      <c r="C128" s="13"/>
      <c r="D128" s="13"/>
      <c r="E128" s="13" t="s">
        <v>270</v>
      </c>
      <c r="F128" s="13"/>
      <c r="G128" s="13"/>
      <c r="H128" s="550"/>
      <c r="I128" s="32"/>
      <c r="J128" s="148" t="s">
        <v>270</v>
      </c>
      <c r="K128" s="155"/>
      <c r="L128" s="214" t="s">
        <v>916</v>
      </c>
      <c r="M128" s="198">
        <v>5</v>
      </c>
      <c r="N128" s="4"/>
      <c r="O128" s="85"/>
      <c r="X128" s="688"/>
      <c r="AL128" t="str">
        <f>SUBSTITUTE(SUBSTITUTE(SUBSTITUTE("dpa"&amp;$B128&amp;$C128&amp;$D128&amp;$E128&amp;$F128,".","_"),"(","_"),")","")</f>
        <v>dpa801_7_1_1</v>
      </c>
      <c r="AM128">
        <f>M128</f>
        <v>5</v>
      </c>
    </row>
    <row r="129" spans="2:45" x14ac:dyDescent="0.35">
      <c r="B129" s="452" t="s">
        <v>1304</v>
      </c>
      <c r="C129" s="13"/>
      <c r="D129" s="13"/>
      <c r="E129" s="13" t="s">
        <v>272</v>
      </c>
      <c r="F129" s="13"/>
      <c r="G129" s="13"/>
      <c r="H129" s="550"/>
      <c r="I129" s="32"/>
      <c r="J129" s="19" t="s">
        <v>272</v>
      </c>
      <c r="K129" s="4"/>
      <c r="L129" s="707" t="s">
        <v>917</v>
      </c>
      <c r="M129" s="43"/>
      <c r="N129" s="4"/>
      <c r="O129" s="85"/>
      <c r="X129" s="688"/>
    </row>
    <row r="130" spans="2:45" x14ac:dyDescent="0.35">
      <c r="B130" s="452" t="s">
        <v>1304</v>
      </c>
      <c r="C130" s="13"/>
      <c r="D130" s="13"/>
      <c r="E130" s="13" t="s">
        <v>272</v>
      </c>
      <c r="F130" s="13"/>
      <c r="G130" s="13"/>
      <c r="H130" s="550"/>
      <c r="I130" s="32"/>
      <c r="J130" s="4"/>
      <c r="K130" s="4"/>
      <c r="L130" s="707"/>
      <c r="M130" s="43"/>
      <c r="N130" s="4"/>
      <c r="O130" s="85"/>
      <c r="X130" s="688"/>
    </row>
    <row r="131" spans="2:45" x14ac:dyDescent="0.35">
      <c r="B131" s="452" t="s">
        <v>1304</v>
      </c>
      <c r="C131" s="13"/>
      <c r="D131" s="13"/>
      <c r="E131" s="13" t="s">
        <v>272</v>
      </c>
      <c r="F131" s="13" t="s">
        <v>121</v>
      </c>
      <c r="G131" s="13"/>
      <c r="H131" s="550"/>
      <c r="I131" s="4"/>
      <c r="J131" s="4"/>
      <c r="K131" s="148" t="s">
        <v>121</v>
      </c>
      <c r="L131" s="214" t="s">
        <v>918</v>
      </c>
      <c r="M131" s="198">
        <v>5</v>
      </c>
      <c r="N131" s="4"/>
      <c r="O131" s="85"/>
      <c r="X131" s="688"/>
      <c r="AL131" t="str">
        <f t="shared" ref="AL131:AL133" si="12">SUBSTITUTE(SUBSTITUTE(SUBSTITUTE("dpa"&amp;$B131&amp;$C131&amp;$D131&amp;$E131&amp;$F131,".","_"),"(","_"),")","")</f>
        <v>dpa801_7_1_2_a</v>
      </c>
      <c r="AM131">
        <f>M131</f>
        <v>5</v>
      </c>
    </row>
    <row r="132" spans="2:45" x14ac:dyDescent="0.35">
      <c r="B132" s="452" t="s">
        <v>1304</v>
      </c>
      <c r="C132" s="13"/>
      <c r="D132" s="13"/>
      <c r="E132" s="13" t="s">
        <v>272</v>
      </c>
      <c r="F132" s="13" t="s">
        <v>122</v>
      </c>
      <c r="G132" s="13"/>
      <c r="H132" s="550"/>
      <c r="I132" s="4"/>
      <c r="J132" s="4"/>
      <c r="K132" s="148" t="s">
        <v>122</v>
      </c>
      <c r="L132" s="214" t="s">
        <v>919</v>
      </c>
      <c r="M132" s="198">
        <v>10</v>
      </c>
      <c r="N132" s="4"/>
      <c r="O132" s="85"/>
      <c r="X132" s="688"/>
      <c r="AL132" t="str">
        <f t="shared" si="12"/>
        <v>dpa801_7_1_2_b</v>
      </c>
      <c r="AM132">
        <f>M132</f>
        <v>10</v>
      </c>
    </row>
    <row r="133" spans="2:45" x14ac:dyDescent="0.35">
      <c r="B133" s="452" t="s">
        <v>1304</v>
      </c>
      <c r="C133" s="13"/>
      <c r="D133" s="13"/>
      <c r="E133" s="13" t="s">
        <v>272</v>
      </c>
      <c r="F133" s="13" t="s">
        <v>123</v>
      </c>
      <c r="G133" s="13"/>
      <c r="H133" s="550"/>
      <c r="I133" s="4"/>
      <c r="J133" s="4"/>
      <c r="K133" s="19" t="s">
        <v>123</v>
      </c>
      <c r="L133" s="707" t="s">
        <v>920</v>
      </c>
      <c r="M133" s="690">
        <v>15</v>
      </c>
      <c r="N133" s="4"/>
      <c r="O133" s="85"/>
      <c r="X133" s="688"/>
      <c r="AL133" t="str">
        <f t="shared" si="12"/>
        <v>dpa801_7_1_2_c</v>
      </c>
      <c r="AM133">
        <f>M133</f>
        <v>15</v>
      </c>
    </row>
    <row r="134" spans="2:45" x14ac:dyDescent="0.35">
      <c r="B134" s="452" t="s">
        <v>1304</v>
      </c>
      <c r="C134" s="13"/>
      <c r="D134" s="13"/>
      <c r="E134" s="13" t="s">
        <v>272</v>
      </c>
      <c r="F134" s="13" t="s">
        <v>123</v>
      </c>
      <c r="G134" s="13"/>
      <c r="H134" s="550"/>
      <c r="I134" s="4"/>
      <c r="J134" s="4"/>
      <c r="K134" s="155"/>
      <c r="L134" s="709"/>
      <c r="M134" s="691"/>
      <c r="N134" s="4"/>
      <c r="O134" s="85"/>
      <c r="X134" s="688"/>
    </row>
    <row r="135" spans="2:45" x14ac:dyDescent="0.35">
      <c r="B135" s="452" t="s">
        <v>1304</v>
      </c>
      <c r="C135" s="13"/>
      <c r="D135" s="13"/>
      <c r="E135" s="13" t="s">
        <v>272</v>
      </c>
      <c r="F135" s="13" t="s">
        <v>420</v>
      </c>
      <c r="G135" s="13"/>
      <c r="H135" s="550"/>
      <c r="I135" s="4"/>
      <c r="J135" s="4"/>
      <c r="K135" s="19" t="s">
        <v>420</v>
      </c>
      <c r="L135" s="707" t="s">
        <v>921</v>
      </c>
      <c r="M135" s="690">
        <v>25</v>
      </c>
      <c r="N135" s="4"/>
      <c r="O135" s="85"/>
      <c r="X135" s="688"/>
      <c r="AL135" t="str">
        <f>SUBSTITUTE(SUBSTITUTE(SUBSTITUTE("dpa"&amp;$B135&amp;$C135&amp;$D135&amp;$E135&amp;$F135,".","_"),"(","_"),")","")</f>
        <v>dpa801_7_1_2_d</v>
      </c>
      <c r="AM135">
        <f>M135</f>
        <v>25</v>
      </c>
    </row>
    <row r="136" spans="2:45" ht="15" customHeight="1" x14ac:dyDescent="0.35">
      <c r="B136" s="452" t="s">
        <v>1304</v>
      </c>
      <c r="C136" s="13"/>
      <c r="D136" s="13"/>
      <c r="E136" s="13" t="s">
        <v>272</v>
      </c>
      <c r="F136" s="13" t="s">
        <v>420</v>
      </c>
      <c r="G136" s="13"/>
      <c r="H136" s="550"/>
      <c r="I136" s="32"/>
      <c r="J136" s="4"/>
      <c r="K136" s="4"/>
      <c r="L136" s="707"/>
      <c r="M136" s="690"/>
      <c r="N136" s="4"/>
      <c r="O136" s="85"/>
      <c r="X136" s="688"/>
    </row>
    <row r="137" spans="2:45" x14ac:dyDescent="0.35">
      <c r="B137" s="452" t="s">
        <v>1304</v>
      </c>
      <c r="C137" s="13"/>
      <c r="D137" s="13"/>
      <c r="E137" s="13" t="s">
        <v>272</v>
      </c>
      <c r="F137" s="13" t="s">
        <v>420</v>
      </c>
      <c r="G137" s="13"/>
      <c r="H137" s="550"/>
      <c r="I137" s="161"/>
      <c r="J137" s="155"/>
      <c r="K137" s="155"/>
      <c r="L137" s="709"/>
      <c r="M137" s="691"/>
      <c r="N137" s="155"/>
      <c r="O137" s="342"/>
      <c r="P137" s="119"/>
      <c r="Q137" s="119"/>
      <c r="R137" s="119"/>
      <c r="S137" s="119"/>
      <c r="T137" s="119"/>
      <c r="U137" s="119"/>
      <c r="V137" s="119"/>
      <c r="W137" s="119"/>
      <c r="X137" s="688"/>
    </row>
    <row r="138" spans="2:45" x14ac:dyDescent="0.35">
      <c r="B138" s="452" t="s">
        <v>922</v>
      </c>
      <c r="C138" s="13"/>
      <c r="D138" s="13"/>
      <c r="E138" s="13"/>
      <c r="F138" s="13"/>
      <c r="G138" s="13"/>
      <c r="H138" s="550"/>
      <c r="I138" s="32" t="s">
        <v>922</v>
      </c>
      <c r="J138" s="4"/>
      <c r="K138" s="4"/>
      <c r="L138" s="706" t="s">
        <v>923</v>
      </c>
      <c r="M138" s="43"/>
      <c r="N138" s="4"/>
      <c r="O138" s="696">
        <f ca="1">MAX(IFERROR(5*MATCH(W141,INDIRECT(U141),0),0)*S141,M143*S143*W143)*S141</f>
        <v>0</v>
      </c>
      <c r="AN138" t="str">
        <f>SUBSTITUTE(SUBSTITUTE(SUBSTITUTE("dpc"&amp;$B138&amp;$C138&amp;$D138&amp;$E138&amp;$F138,".","_"),"(","_"),")","")</f>
        <v>dpc801_7_2</v>
      </c>
      <c r="AO138">
        <f ca="1">O138</f>
        <v>0</v>
      </c>
    </row>
    <row r="139" spans="2:45" x14ac:dyDescent="0.35">
      <c r="B139" s="452" t="s">
        <v>922</v>
      </c>
      <c r="C139" s="13"/>
      <c r="D139" s="13"/>
      <c r="E139" s="13"/>
      <c r="F139" s="13"/>
      <c r="G139" s="13"/>
      <c r="H139" s="550"/>
      <c r="I139" s="32"/>
      <c r="J139" s="4"/>
      <c r="K139" s="4"/>
      <c r="L139" s="706"/>
      <c r="M139" s="43"/>
      <c r="N139" s="4"/>
      <c r="O139" s="696"/>
    </row>
    <row r="140" spans="2:45" x14ac:dyDescent="0.35">
      <c r="B140" s="452" t="s">
        <v>922</v>
      </c>
      <c r="C140" s="13"/>
      <c r="D140" s="13"/>
      <c r="E140" s="13"/>
      <c r="F140" s="13"/>
      <c r="G140" s="13"/>
      <c r="H140" s="550"/>
      <c r="I140" s="32"/>
      <c r="J140" s="4"/>
      <c r="K140" s="4"/>
      <c r="L140" s="706"/>
      <c r="M140" s="43"/>
      <c r="N140" s="4"/>
      <c r="O140" s="696"/>
    </row>
    <row r="141" spans="2:45" ht="15" customHeight="1" x14ac:dyDescent="0.35">
      <c r="B141" s="452" t="s">
        <v>922</v>
      </c>
      <c r="C141" s="13"/>
      <c r="D141" s="13"/>
      <c r="E141" s="13" t="s">
        <v>270</v>
      </c>
      <c r="F141" s="13"/>
      <c r="G141" s="13"/>
      <c r="H141" s="550"/>
      <c r="I141" s="32"/>
      <c r="J141" s="19" t="s">
        <v>270</v>
      </c>
      <c r="K141" s="4"/>
      <c r="L141" s="104" t="s">
        <v>924</v>
      </c>
      <c r="M141" s="737" t="s">
        <v>3852</v>
      </c>
      <c r="N141" s="4"/>
      <c r="O141" s="85"/>
      <c r="P141" t="b">
        <v>0</v>
      </c>
      <c r="Q141" t="b">
        <v>1</v>
      </c>
      <c r="R141" t="b">
        <v>0</v>
      </c>
      <c r="S141" t="b">
        <v>1</v>
      </c>
      <c r="T141" t="b">
        <f>IF(AND(NOT(S141),LEN(W141)&gt;0),TRUE,FALSE)</f>
        <v>0</v>
      </c>
      <c r="U141" t="str">
        <f>SUBSTITUTE(SUBSTITUTE(SUBSTITUTE("dd"&amp;B141&amp;C141&amp;D141&amp;E141&amp;F141,".","_"),"(","_"),")","")</f>
        <v>dd801_7_2_1</v>
      </c>
      <c r="W141" s="9"/>
      <c r="X141" s="688"/>
      <c r="AC141" t="b">
        <f>OR(AD141:AE141)</f>
        <v>0</v>
      </c>
      <c r="AD141" t="b">
        <f>T141</f>
        <v>0</v>
      </c>
      <c r="AL141" t="str">
        <f>SUBSTITUTE(SUBSTITUTE(SUBSTITUTE("dpa"&amp;$B141&amp;$C141&amp;$D141&amp;$E141&amp;$F141,".","_"),"(","_"),")","")</f>
        <v>dpa801_7_2_1</v>
      </c>
      <c r="AM141" t="str">
        <f>M141</f>
        <v>5
15 Max</v>
      </c>
      <c r="AP141" t="str">
        <f>SUBSTITUTE(SUBSTITUTE(SUBSTITUTE("dch"&amp;$B141&amp;$C141&amp;$D141&amp;$E141&amp;$F141,".","_"),"(","_"),")","")</f>
        <v>dch801_7_2_1</v>
      </c>
      <c r="AQ141">
        <f>W141</f>
        <v>0</v>
      </c>
      <c r="AR141" t="str">
        <f>SUBSTITUTE(SUBSTITUTE(SUBSTITUTE("dnt"&amp;$B141&amp;$C141&amp;$D141&amp;$E141&amp;$F141,".","_"),"(","_"),")","")</f>
        <v>dnt801_7_2_1</v>
      </c>
      <c r="AS141">
        <f>X141</f>
        <v>0</v>
      </c>
    </row>
    <row r="142" spans="2:45" x14ac:dyDescent="0.35">
      <c r="B142" s="452" t="s">
        <v>922</v>
      </c>
      <c r="C142" s="13"/>
      <c r="D142" s="13"/>
      <c r="E142" s="13" t="s">
        <v>270</v>
      </c>
      <c r="F142" s="13"/>
      <c r="G142" s="13"/>
      <c r="H142" s="550"/>
      <c r="I142" s="32"/>
      <c r="J142" s="155"/>
      <c r="K142" s="155"/>
      <c r="L142" s="165" t="s">
        <v>925</v>
      </c>
      <c r="M142" s="691"/>
      <c r="N142" s="4"/>
      <c r="O142" s="85"/>
      <c r="X142" s="688"/>
    </row>
    <row r="143" spans="2:45" ht="15" thickBot="1" x14ac:dyDescent="0.4">
      <c r="B143" s="452" t="s">
        <v>922</v>
      </c>
      <c r="C143" s="13"/>
      <c r="D143" s="13"/>
      <c r="E143" s="13" t="s">
        <v>272</v>
      </c>
      <c r="F143" s="13"/>
      <c r="G143" s="13"/>
      <c r="H143" s="550"/>
      <c r="I143" s="132"/>
      <c r="J143" s="133" t="s">
        <v>272</v>
      </c>
      <c r="K143" s="183"/>
      <c r="L143" s="223" t="s">
        <v>926</v>
      </c>
      <c r="M143" s="270">
        <v>25</v>
      </c>
      <c r="N143" s="183"/>
      <c r="O143" s="184"/>
      <c r="P143" t="b">
        <v>0</v>
      </c>
      <c r="Q143" t="b">
        <v>1</v>
      </c>
      <c r="R143" s="58" t="b">
        <v>0</v>
      </c>
      <c r="S143" s="58" t="b">
        <v>1</v>
      </c>
      <c r="T143" s="58" t="b">
        <v>0</v>
      </c>
      <c r="U143" s="58"/>
      <c r="V143" s="58"/>
      <c r="W143" s="59"/>
      <c r="X143" s="113"/>
      <c r="AC143" t="b">
        <f>OR(AD143:AE143)</f>
        <v>0</v>
      </c>
      <c r="AD143" t="b">
        <f>T143</f>
        <v>0</v>
      </c>
      <c r="AE143" t="b">
        <v>0</v>
      </c>
      <c r="AL143" t="str">
        <f t="shared" ref="AL143:AL144" si="13">SUBSTITUTE(SUBSTITUTE(SUBSTITUTE("dpa"&amp;$B143&amp;$C143&amp;$D143&amp;$E143&amp;$F143,".","_"),"(","_"),")","")</f>
        <v>dpa801_7_2_2</v>
      </c>
      <c r="AM143">
        <f>M143</f>
        <v>25</v>
      </c>
      <c r="AP143" t="str">
        <f t="shared" ref="AP143:AP144" si="14">SUBSTITUTE(SUBSTITUTE(SUBSTITUTE("dch"&amp;$B143&amp;$C143&amp;$D143&amp;$E143&amp;$F143,".","_"),"(","_"),")","")</f>
        <v>dch801_7_2_2</v>
      </c>
      <c r="AQ143">
        <f>W143</f>
        <v>0</v>
      </c>
      <c r="AR143" t="str">
        <f>SUBSTITUTE(SUBSTITUTE(SUBSTITUTE("dnt"&amp;$B143&amp;$C143&amp;$D143&amp;$E143&amp;$F143,".","_"),"(","_"),")","")</f>
        <v>dnt801_7_2_2</v>
      </c>
      <c r="AS143">
        <f>X143</f>
        <v>0</v>
      </c>
    </row>
    <row r="144" spans="2:45" ht="15" thickTop="1" x14ac:dyDescent="0.35">
      <c r="B144" s="452">
        <v>801.8</v>
      </c>
      <c r="C144" s="13"/>
      <c r="D144" s="13"/>
      <c r="E144" s="13"/>
      <c r="F144" s="13"/>
      <c r="G144" s="13"/>
      <c r="H144" s="550"/>
      <c r="I144" s="32">
        <v>801.8</v>
      </c>
      <c r="J144" s="4"/>
      <c r="K144" s="4"/>
      <c r="L144" s="706" t="s">
        <v>927</v>
      </c>
      <c r="M144" s="692">
        <v>1</v>
      </c>
      <c r="N144" s="4"/>
      <c r="O144" s="694">
        <f>M144*S144*W144</f>
        <v>0</v>
      </c>
      <c r="P144" t="b">
        <v>0</v>
      </c>
      <c r="Q144" t="b">
        <v>1</v>
      </c>
      <c r="R144" t="b">
        <v>0</v>
      </c>
      <c r="S144" t="b">
        <v>1</v>
      </c>
      <c r="T144" t="b">
        <v>0</v>
      </c>
      <c r="W144" s="77"/>
      <c r="X144" s="700"/>
      <c r="AC144" t="b">
        <f>OR(AD144:AE144)</f>
        <v>0</v>
      </c>
      <c r="AD144" t="b">
        <f>T144</f>
        <v>0</v>
      </c>
      <c r="AE144" t="b">
        <v>0</v>
      </c>
      <c r="AL144" t="str">
        <f t="shared" si="13"/>
        <v>dpa801_8</v>
      </c>
      <c r="AM144">
        <f>M144</f>
        <v>1</v>
      </c>
      <c r="AN144" t="str">
        <f>SUBSTITUTE(SUBSTITUTE(SUBSTITUTE("dpc"&amp;$B144&amp;$C144&amp;$D144&amp;$E144&amp;$F144,".","_"),"(","_"),")","")</f>
        <v>dpc801_8</v>
      </c>
      <c r="AO144">
        <f>O144</f>
        <v>0</v>
      </c>
      <c r="AP144" t="str">
        <f t="shared" si="14"/>
        <v>dch801_8</v>
      </c>
      <c r="AQ144">
        <f>W144</f>
        <v>0</v>
      </c>
      <c r="AR144" t="str">
        <f>SUBSTITUTE(SUBSTITUTE(SUBSTITUTE("dnt"&amp;$B144&amp;$C144&amp;$D144&amp;$E144&amp;$F144,".","_"),"(","_"),")","")</f>
        <v>dnt801_8</v>
      </c>
      <c r="AS144">
        <f>X144</f>
        <v>0</v>
      </c>
    </row>
    <row r="145" spans="2:45" x14ac:dyDescent="0.35">
      <c r="B145" s="452">
        <v>801.8</v>
      </c>
      <c r="C145" s="13"/>
      <c r="D145" s="13"/>
      <c r="E145" s="13"/>
      <c r="F145" s="13"/>
      <c r="G145" s="13"/>
      <c r="H145" s="550"/>
      <c r="I145" s="32"/>
      <c r="J145" s="4"/>
      <c r="K145" s="4"/>
      <c r="L145" s="706"/>
      <c r="M145" s="690"/>
      <c r="N145" s="4"/>
      <c r="O145" s="696"/>
      <c r="X145" s="688"/>
    </row>
    <row r="146" spans="2:45" ht="18.5" x14ac:dyDescent="0.45">
      <c r="B146" s="452">
        <v>802</v>
      </c>
      <c r="C146" s="13"/>
      <c r="D146" s="13"/>
      <c r="E146" s="13"/>
      <c r="F146" s="13"/>
      <c r="G146" s="13"/>
      <c r="H146" s="550"/>
      <c r="I146" s="10" t="s">
        <v>928</v>
      </c>
      <c r="J146" s="15"/>
      <c r="K146" s="15"/>
      <c r="L146" s="174"/>
      <c r="M146" s="340"/>
      <c r="N146" s="344"/>
      <c r="O146" s="340"/>
      <c r="P146" s="15"/>
      <c r="Q146" s="15"/>
      <c r="R146" s="15"/>
      <c r="S146" s="15"/>
      <c r="T146" s="15"/>
      <c r="U146" s="15"/>
      <c r="V146" s="15"/>
      <c r="W146" s="15"/>
      <c r="X146" s="15"/>
    </row>
    <row r="147" spans="2:45" x14ac:dyDescent="0.35">
      <c r="B147" s="452">
        <v>802.1</v>
      </c>
      <c r="C147" s="13"/>
      <c r="D147" s="13"/>
      <c r="E147" s="13"/>
      <c r="F147" s="13"/>
      <c r="G147" s="13"/>
      <c r="H147" s="550"/>
      <c r="I147" s="32">
        <v>802.1</v>
      </c>
      <c r="J147" s="4"/>
      <c r="K147" s="4"/>
      <c r="L147" s="706" t="s">
        <v>929</v>
      </c>
      <c r="M147" s="43"/>
      <c r="N147" s="4"/>
      <c r="O147" s="696">
        <f ca="1">MAX(IFERROR(5*MATCH(W151,INDIRECT(U151),0),0)*S151,M153*S153*W153)*S151</f>
        <v>0</v>
      </c>
      <c r="AN147" t="str">
        <f>SUBSTITUTE(SUBSTITUTE(SUBSTITUTE("dpc"&amp;$B147&amp;$C147&amp;$D147&amp;$E147&amp;$F147,".","_"),"(","_"),")","")</f>
        <v>dpc802_1</v>
      </c>
      <c r="AO147">
        <f ca="1">O147</f>
        <v>0</v>
      </c>
    </row>
    <row r="148" spans="2:45" x14ac:dyDescent="0.35">
      <c r="B148" s="452">
        <v>802.1</v>
      </c>
      <c r="C148" s="13"/>
      <c r="D148" s="13"/>
      <c r="E148" s="13"/>
      <c r="F148" s="13"/>
      <c r="G148" s="13"/>
      <c r="H148" s="550"/>
      <c r="I148" s="32"/>
      <c r="J148" s="4"/>
      <c r="K148" s="4"/>
      <c r="L148" s="706"/>
      <c r="M148" s="43"/>
      <c r="N148" s="4"/>
      <c r="O148" s="696"/>
    </row>
    <row r="149" spans="2:45" x14ac:dyDescent="0.35">
      <c r="B149" s="452">
        <v>802.1</v>
      </c>
      <c r="C149" s="13"/>
      <c r="D149" s="13"/>
      <c r="E149" s="13"/>
      <c r="F149" s="13"/>
      <c r="G149" s="13"/>
      <c r="H149" s="550"/>
      <c r="I149" s="32"/>
      <c r="J149" s="4"/>
      <c r="K149" s="4"/>
      <c r="L149" s="107" t="s">
        <v>930</v>
      </c>
      <c r="M149" s="43"/>
      <c r="N149" s="4"/>
      <c r="O149" s="696"/>
    </row>
    <row r="150" spans="2:45" x14ac:dyDescent="0.35">
      <c r="B150" s="452">
        <v>802.1</v>
      </c>
      <c r="C150" s="13"/>
      <c r="D150" s="13"/>
      <c r="E150" s="13"/>
      <c r="F150" s="13"/>
      <c r="G150" s="13"/>
      <c r="H150" s="550"/>
      <c r="I150" s="32"/>
      <c r="J150" s="4"/>
      <c r="K150" s="4"/>
      <c r="L150" s="107" t="s">
        <v>931</v>
      </c>
      <c r="M150" s="43"/>
      <c r="N150" s="4"/>
      <c r="O150" s="85"/>
    </row>
    <row r="151" spans="2:45" x14ac:dyDescent="0.35">
      <c r="B151" s="452">
        <v>802.1</v>
      </c>
      <c r="C151" s="13"/>
      <c r="D151" s="13"/>
      <c r="E151" s="13" t="s">
        <v>270</v>
      </c>
      <c r="F151" s="13"/>
      <c r="G151" s="13"/>
      <c r="H151" s="550"/>
      <c r="I151" s="32"/>
      <c r="J151" s="19" t="s">
        <v>270</v>
      </c>
      <c r="K151" s="4"/>
      <c r="L151" s="104" t="s">
        <v>932</v>
      </c>
      <c r="M151" s="737" t="s">
        <v>3857</v>
      </c>
      <c r="N151" s="4"/>
      <c r="O151" s="85"/>
      <c r="P151" t="b">
        <v>1</v>
      </c>
      <c r="Q151" t="b">
        <v>1</v>
      </c>
      <c r="R151" t="b">
        <v>0</v>
      </c>
      <c r="S151" t="b">
        <f>NOT(W167)</f>
        <v>1</v>
      </c>
      <c r="T151" t="b">
        <f>IF(AND(NOT(S151),LEN(W151)&gt;0),TRUE,FALSE)</f>
        <v>0</v>
      </c>
      <c r="U151" t="str">
        <f>SUBSTITUTE(SUBSTITUTE(SUBSTITUTE("dd"&amp;B151&amp;C151&amp;D151&amp;E151&amp;F151,".","_"),"(","_"),")","")</f>
        <v>dd802_1_1</v>
      </c>
      <c r="W151" s="9"/>
      <c r="X151" s="688"/>
      <c r="AC151" t="b">
        <f>OR(AD151:AE151)</f>
        <v>0</v>
      </c>
      <c r="AD151" t="b">
        <f>T151</f>
        <v>0</v>
      </c>
      <c r="AL151" t="str">
        <f>SUBSTITUTE(SUBSTITUTE(SUBSTITUTE("dpa"&amp;$B151&amp;$C151&amp;$D151&amp;$E151&amp;$F151,".","_"),"(","_"),")","")</f>
        <v>dpa802_1_1</v>
      </c>
      <c r="AM151" t="str">
        <f>M151</f>
        <v>5
20 Max</v>
      </c>
      <c r="AP151" t="str">
        <f>SUBSTITUTE(SUBSTITUTE(SUBSTITUTE("dch"&amp;$B151&amp;$C151&amp;$D151&amp;$E151&amp;$F151,".","_"),"(","_"),")","")</f>
        <v>dch802_1_1</v>
      </c>
      <c r="AQ151">
        <f>W151</f>
        <v>0</v>
      </c>
      <c r="AR151" t="str">
        <f>SUBSTITUTE(SUBSTITUTE(SUBSTITUTE("dnt"&amp;$B151&amp;$C151&amp;$D151&amp;$E151&amp;$F151,".","_"),"(","_"),")","")</f>
        <v>dnt802_1_1</v>
      </c>
      <c r="AS151">
        <f>X151</f>
        <v>0</v>
      </c>
    </row>
    <row r="152" spans="2:45" x14ac:dyDescent="0.35">
      <c r="B152" s="452">
        <v>802.1</v>
      </c>
      <c r="C152" s="13"/>
      <c r="D152" s="13"/>
      <c r="E152" s="13" t="s">
        <v>270</v>
      </c>
      <c r="F152" s="13"/>
      <c r="G152" s="13"/>
      <c r="H152" s="550"/>
      <c r="I152" s="32"/>
      <c r="J152" s="155"/>
      <c r="K152" s="155"/>
      <c r="L152" s="165" t="s">
        <v>933</v>
      </c>
      <c r="M152" s="691"/>
      <c r="N152" s="4"/>
      <c r="O152" s="85"/>
      <c r="X152" s="688"/>
    </row>
    <row r="153" spans="2:45" ht="15" thickBot="1" x14ac:dyDescent="0.4">
      <c r="B153" s="452">
        <v>802.1</v>
      </c>
      <c r="C153" s="13"/>
      <c r="D153" s="13"/>
      <c r="E153" s="13" t="s">
        <v>272</v>
      </c>
      <c r="F153" s="13"/>
      <c r="G153" s="13"/>
      <c r="H153" s="550"/>
      <c r="I153" s="132"/>
      <c r="J153" s="133" t="s">
        <v>272</v>
      </c>
      <c r="K153" s="183"/>
      <c r="L153" s="223" t="s">
        <v>934</v>
      </c>
      <c r="M153" s="270">
        <v>10</v>
      </c>
      <c r="N153" s="183"/>
      <c r="O153" s="184"/>
      <c r="P153" t="b">
        <v>1</v>
      </c>
      <c r="Q153" t="b">
        <v>1</v>
      </c>
      <c r="R153" s="58" t="b">
        <v>0</v>
      </c>
      <c r="S153" s="58" t="b">
        <f>NOT(W167)</f>
        <v>1</v>
      </c>
      <c r="T153" s="58" t="b">
        <f>IF(AND(NOT(S153),W153=TRUE),TRUE,FALSE)</f>
        <v>0</v>
      </c>
      <c r="U153" s="58"/>
      <c r="V153" s="58"/>
      <c r="W153" s="59"/>
      <c r="X153" s="113"/>
      <c r="AC153" t="b">
        <f>OR(AD153:AE153)</f>
        <v>0</v>
      </c>
      <c r="AD153" t="b">
        <f>T153</f>
        <v>0</v>
      </c>
      <c r="AE153" t="b">
        <v>0</v>
      </c>
      <c r="AL153" t="str">
        <f t="shared" ref="AL153:AL154" si="15">SUBSTITUTE(SUBSTITUTE(SUBSTITUTE("dpa"&amp;$B153&amp;$C153&amp;$D153&amp;$E153&amp;$F153,".","_"),"(","_"),")","")</f>
        <v>dpa802_1_2</v>
      </c>
      <c r="AM153">
        <f>M153</f>
        <v>10</v>
      </c>
      <c r="AP153" t="str">
        <f>SUBSTITUTE(SUBSTITUTE(SUBSTITUTE("dch"&amp;$B153&amp;$C153&amp;$D153&amp;$E153&amp;$F153,".","_"),"(","_"),")","")</f>
        <v>dch802_1_2</v>
      </c>
      <c r="AQ153">
        <f>W153</f>
        <v>0</v>
      </c>
      <c r="AR153" t="str">
        <f>SUBSTITUTE(SUBSTITUTE(SUBSTITUTE("dnt"&amp;$B153&amp;$C153&amp;$D153&amp;$E153&amp;$F153,".","_"),"(","_"),")","")</f>
        <v>dnt802_1_2</v>
      </c>
      <c r="AS153">
        <f>X153</f>
        <v>0</v>
      </c>
    </row>
    <row r="154" spans="2:45" ht="15" thickTop="1" x14ac:dyDescent="0.35">
      <c r="B154" s="452">
        <v>802.2</v>
      </c>
      <c r="C154" s="13"/>
      <c r="D154" s="13"/>
      <c r="E154" s="13"/>
      <c r="F154" s="13"/>
      <c r="G154" s="13"/>
      <c r="H154" s="550"/>
      <c r="I154" s="123">
        <v>802.2</v>
      </c>
      <c r="J154" s="124"/>
      <c r="K154" s="124"/>
      <c r="L154" s="711" t="s">
        <v>935</v>
      </c>
      <c r="M154" s="743" t="s">
        <v>936</v>
      </c>
      <c r="N154" s="124"/>
      <c r="O154" s="694">
        <f>W155*3</f>
        <v>0</v>
      </c>
      <c r="P154" s="62"/>
      <c r="Q154" s="62"/>
      <c r="R154" s="62"/>
      <c r="S154" s="62"/>
      <c r="T154" s="62"/>
      <c r="U154" s="62"/>
      <c r="V154" s="62"/>
      <c r="W154" s="62" t="s">
        <v>3856</v>
      </c>
      <c r="X154" s="687"/>
      <c r="AL154" t="str">
        <f t="shared" si="15"/>
        <v>dpa802_2</v>
      </c>
      <c r="AM154" t="str">
        <f>M154</f>
        <v>3 per roughed in system</v>
      </c>
      <c r="AN154" t="str">
        <f>SUBSTITUTE(SUBSTITUTE(SUBSTITUTE("dpc"&amp;$B154&amp;$C154&amp;$D154&amp;$E154&amp;$F154,".","_"),"(","_"),")","")</f>
        <v>dpc802_2</v>
      </c>
      <c r="AO154">
        <f>O154</f>
        <v>0</v>
      </c>
      <c r="AR154" t="str">
        <f>SUBSTITUTE(SUBSTITUTE(SUBSTITUTE("dnt"&amp;$B154&amp;$C154&amp;$D154&amp;$E154&amp;$F154,".","_"),"(","_"),")","")</f>
        <v>dnt802_2</v>
      </c>
      <c r="AS154">
        <f>X154</f>
        <v>0</v>
      </c>
    </row>
    <row r="155" spans="2:45" x14ac:dyDescent="0.35">
      <c r="B155" s="452">
        <v>802.2</v>
      </c>
      <c r="C155" s="13"/>
      <c r="D155" s="13"/>
      <c r="E155" s="13"/>
      <c r="F155" s="13"/>
      <c r="G155" s="13"/>
      <c r="H155" s="550"/>
      <c r="I155" s="32"/>
      <c r="J155" s="4"/>
      <c r="K155" s="4"/>
      <c r="L155" s="706"/>
      <c r="M155" s="737"/>
      <c r="N155" s="4"/>
      <c r="O155" s="696"/>
      <c r="P155" t="b">
        <v>1</v>
      </c>
      <c r="Q155" t="b">
        <v>1</v>
      </c>
      <c r="R155" t="b">
        <v>0</v>
      </c>
      <c r="S155" t="b">
        <v>1</v>
      </c>
      <c r="T155" t="b">
        <f>IF(AND(NOT(S155),LEN(W155)&gt;0),TRUE,FALSE)</f>
        <v>0</v>
      </c>
      <c r="W155" s="279"/>
      <c r="X155" s="688"/>
      <c r="AC155" t="b">
        <f>OR(AD155:AE155)</f>
        <v>0</v>
      </c>
      <c r="AD155" t="b">
        <f>T155</f>
        <v>0</v>
      </c>
      <c r="AP155" t="str">
        <f>SUBSTITUTE(SUBSTITUTE(SUBSTITUTE("dch"&amp;$B155&amp;$C155&amp;$D155&amp;$E155&amp;$F155,".","_"),"(","_"),")","")</f>
        <v>dch802_2</v>
      </c>
      <c r="AQ155" s="627">
        <f>W155</f>
        <v>0</v>
      </c>
    </row>
    <row r="156" spans="2:45" ht="15" thickBot="1" x14ac:dyDescent="0.4">
      <c r="B156" s="452">
        <v>802.2</v>
      </c>
      <c r="C156" s="13"/>
      <c r="D156" s="13"/>
      <c r="E156" s="13"/>
      <c r="F156" s="13"/>
      <c r="G156" s="13"/>
      <c r="H156" s="550"/>
      <c r="I156" s="132"/>
      <c r="J156" s="183"/>
      <c r="K156" s="183"/>
      <c r="L156" s="710"/>
      <c r="M156" s="800"/>
      <c r="N156" s="183"/>
      <c r="O156" s="695"/>
      <c r="P156" s="58"/>
      <c r="Q156" s="58"/>
      <c r="R156" s="58"/>
      <c r="S156" s="58"/>
      <c r="T156" s="58"/>
      <c r="U156" s="58"/>
      <c r="V156" s="58"/>
      <c r="W156" s="58"/>
      <c r="X156" s="689"/>
    </row>
    <row r="157" spans="2:45" ht="15" thickTop="1" x14ac:dyDescent="0.35">
      <c r="B157" s="452">
        <v>802.3</v>
      </c>
      <c r="C157" s="13"/>
      <c r="D157" s="13"/>
      <c r="E157" s="13"/>
      <c r="F157" s="13"/>
      <c r="G157" s="13"/>
      <c r="H157" s="550"/>
      <c r="I157" s="32">
        <v>802.3</v>
      </c>
      <c r="J157" s="4"/>
      <c r="K157" s="4"/>
      <c r="L157" s="783" t="s">
        <v>937</v>
      </c>
      <c r="M157" s="690">
        <v>2</v>
      </c>
      <c r="N157" s="4"/>
      <c r="O157" s="696">
        <f>IFERROR(2*OR(W160,W161),0)*S160</f>
        <v>0</v>
      </c>
      <c r="AL157" t="str">
        <f>SUBSTITUTE(SUBSTITUTE(SUBSTITUTE("dpa"&amp;$B157&amp;$C157&amp;$D157&amp;$E157&amp;$F157,".","_"),"(","_"),")","")</f>
        <v>dpa802_3</v>
      </c>
      <c r="AM157">
        <f>M157</f>
        <v>2</v>
      </c>
      <c r="AN157" t="str">
        <f>SUBSTITUTE(SUBSTITUTE(SUBSTITUTE("dpc"&amp;$B157&amp;$C157&amp;$D157&amp;$E157&amp;$F157,".","_"),"(","_"),")","")</f>
        <v>dpc802_3</v>
      </c>
      <c r="AO157">
        <f>O157</f>
        <v>0</v>
      </c>
    </row>
    <row r="158" spans="2:45" x14ac:dyDescent="0.35">
      <c r="B158" s="452">
        <v>802.3</v>
      </c>
      <c r="C158" s="13"/>
      <c r="D158" s="13"/>
      <c r="E158" s="13"/>
      <c r="F158" s="13"/>
      <c r="G158" s="13"/>
      <c r="H158" s="550"/>
      <c r="I158" s="32"/>
      <c r="J158" s="4"/>
      <c r="K158" s="4"/>
      <c r="L158" s="783"/>
      <c r="M158" s="690"/>
      <c r="N158" s="4"/>
      <c r="O158" s="696"/>
    </row>
    <row r="159" spans="2:45" x14ac:dyDescent="0.35">
      <c r="B159" s="452">
        <v>802.3</v>
      </c>
      <c r="C159" s="13"/>
      <c r="D159" s="13"/>
      <c r="E159" s="13"/>
      <c r="F159" s="13"/>
      <c r="G159" s="13"/>
      <c r="H159" s="550"/>
      <c r="I159" s="32"/>
      <c r="J159" s="4"/>
      <c r="K159" s="4"/>
      <c r="L159" s="783"/>
      <c r="M159" s="690"/>
      <c r="N159" s="4"/>
      <c r="O159" s="696"/>
    </row>
    <row r="160" spans="2:45" x14ac:dyDescent="0.35">
      <c r="B160" s="452">
        <v>802.3</v>
      </c>
      <c r="C160" s="13"/>
      <c r="D160" s="13"/>
      <c r="E160" s="13" t="s">
        <v>270</v>
      </c>
      <c r="F160" s="13"/>
      <c r="G160" s="13"/>
      <c r="H160" s="550"/>
      <c r="I160" s="32"/>
      <c r="J160" s="148" t="s">
        <v>270</v>
      </c>
      <c r="K160" s="155"/>
      <c r="L160" s="214" t="s">
        <v>938</v>
      </c>
      <c r="M160" s="43"/>
      <c r="N160" s="4"/>
      <c r="O160" s="85"/>
      <c r="P160" t="b">
        <v>0</v>
      </c>
      <c r="Q160" t="b">
        <v>1</v>
      </c>
      <c r="R160" t="b">
        <v>0</v>
      </c>
      <c r="S160" t="b">
        <v>1</v>
      </c>
      <c r="T160" t="b">
        <f>IF(AND(NOT(S160),W160=TRUE),TRUE,FALSE)</f>
        <v>0</v>
      </c>
      <c r="W160" s="17"/>
      <c r="X160" s="39"/>
      <c r="AC160" t="b">
        <f>OR(AD160:AE160)</f>
        <v>0</v>
      </c>
      <c r="AD160" t="b">
        <f>T160</f>
        <v>0</v>
      </c>
      <c r="AE160" t="b">
        <v>0</v>
      </c>
      <c r="AP160" t="str">
        <f t="shared" ref="AP160:AP162" si="16">SUBSTITUTE(SUBSTITUTE(SUBSTITUTE("dch"&amp;$B160&amp;$C160&amp;$D160&amp;$E160&amp;$F160,".","_"),"(","_"),")","")</f>
        <v>dch802_3_1</v>
      </c>
      <c r="AQ160">
        <f>W160</f>
        <v>0</v>
      </c>
      <c r="AR160" t="str">
        <f>SUBSTITUTE(SUBSTITUTE(SUBSTITUTE("dnt"&amp;$B160&amp;$C160&amp;$D160&amp;$E160&amp;$F160,".","_"),"(","_"),")","")</f>
        <v>dnt802_3_1</v>
      </c>
      <c r="AS160">
        <f>X160</f>
        <v>0</v>
      </c>
    </row>
    <row r="161" spans="2:45" ht="15" thickBot="1" x14ac:dyDescent="0.4">
      <c r="B161" s="452">
        <v>802.3</v>
      </c>
      <c r="C161" s="13"/>
      <c r="D161" s="13"/>
      <c r="E161" s="13" t="s">
        <v>272</v>
      </c>
      <c r="F161" s="13"/>
      <c r="G161" s="13"/>
      <c r="H161" s="550"/>
      <c r="I161" s="132"/>
      <c r="J161" s="133" t="s">
        <v>272</v>
      </c>
      <c r="K161" s="183"/>
      <c r="L161" s="223" t="s">
        <v>939</v>
      </c>
      <c r="M161" s="270"/>
      <c r="N161" s="183"/>
      <c r="O161" s="184"/>
      <c r="P161" t="b">
        <v>0</v>
      </c>
      <c r="Q161" t="b">
        <v>1</v>
      </c>
      <c r="R161" s="58" t="b">
        <v>0</v>
      </c>
      <c r="S161" s="58" t="b">
        <v>1</v>
      </c>
      <c r="T161" s="58" t="b">
        <f>IF(AND(NOT(S161),W161=TRUE),TRUE,FALSE)</f>
        <v>0</v>
      </c>
      <c r="U161" s="58"/>
      <c r="V161" s="58"/>
      <c r="W161" s="59"/>
      <c r="X161" s="113"/>
      <c r="AC161" t="b">
        <f>OR(AD161:AE161)</f>
        <v>0</v>
      </c>
      <c r="AD161" t="b">
        <f>T161</f>
        <v>0</v>
      </c>
      <c r="AE161" t="b">
        <v>0</v>
      </c>
      <c r="AP161" t="str">
        <f t="shared" si="16"/>
        <v>dch802_3_2</v>
      </c>
      <c r="AQ161">
        <f>W161</f>
        <v>0</v>
      </c>
      <c r="AR161" t="str">
        <f>SUBSTITUTE(SUBSTITUTE(SUBSTITUTE("dnt"&amp;$B161&amp;$C161&amp;$D161&amp;$E161&amp;$F161,".","_"),"(","_"),")","")</f>
        <v>dnt802_3_2</v>
      </c>
      <c r="AS161">
        <f>X161</f>
        <v>0</v>
      </c>
    </row>
    <row r="162" spans="2:45" ht="15" thickTop="1" x14ac:dyDescent="0.35">
      <c r="B162" s="452">
        <v>802.4</v>
      </c>
      <c r="C162" s="13"/>
      <c r="D162" s="13"/>
      <c r="E162" s="13"/>
      <c r="F162" s="13"/>
      <c r="G162" s="13"/>
      <c r="H162" s="550"/>
      <c r="I162" s="123">
        <v>802.4</v>
      </c>
      <c r="J162" s="124"/>
      <c r="K162" s="124"/>
      <c r="L162" s="711" t="s">
        <v>940</v>
      </c>
      <c r="M162" s="692">
        <v>20</v>
      </c>
      <c r="N162" s="124"/>
      <c r="O162" s="694">
        <f>M162*S162*W162</f>
        <v>0</v>
      </c>
      <c r="P162" t="b">
        <v>0</v>
      </c>
      <c r="Q162" t="b">
        <v>1</v>
      </c>
      <c r="R162" s="62" t="b">
        <v>0</v>
      </c>
      <c r="S162" s="62" t="b">
        <v>1</v>
      </c>
      <c r="T162" s="62" t="b">
        <f>IF(AND(NOT(S162),W162=TRUE),TRUE,FALSE)</f>
        <v>0</v>
      </c>
      <c r="U162" s="62"/>
      <c r="V162" s="62"/>
      <c r="W162" s="278"/>
      <c r="X162" s="687"/>
      <c r="AC162" t="b">
        <f>OR(AD162:AE162)</f>
        <v>0</v>
      </c>
      <c r="AD162" t="b">
        <f>T162</f>
        <v>0</v>
      </c>
      <c r="AE162" t="b">
        <v>0</v>
      </c>
      <c r="AL162" t="str">
        <f>SUBSTITUTE(SUBSTITUTE(SUBSTITUTE("dpa"&amp;$B162&amp;$C162&amp;$D162&amp;$E162&amp;$F162,".","_"),"(","_"),")","")</f>
        <v>dpa802_4</v>
      </c>
      <c r="AM162">
        <f>M162</f>
        <v>20</v>
      </c>
      <c r="AN162" t="str">
        <f>SUBSTITUTE(SUBSTITUTE(SUBSTITUTE("dpc"&amp;$B162&amp;$C162&amp;$D162&amp;$E162&amp;$F162,".","_"),"(","_"),")","")</f>
        <v>dpc802_4</v>
      </c>
      <c r="AO162">
        <f>O162</f>
        <v>0</v>
      </c>
      <c r="AP162" t="str">
        <f t="shared" si="16"/>
        <v>dch802_4</v>
      </c>
      <c r="AQ162">
        <f>W162</f>
        <v>0</v>
      </c>
      <c r="AR162" t="str">
        <f>SUBSTITUTE(SUBSTITUTE(SUBSTITUTE("dnt"&amp;$B162&amp;$C162&amp;$D162&amp;$E162&amp;$F162,".","_"),"(","_"),")","")</f>
        <v>dnt802_4</v>
      </c>
      <c r="AS162">
        <f>X162</f>
        <v>0</v>
      </c>
    </row>
    <row r="163" spans="2:45" x14ac:dyDescent="0.35">
      <c r="B163" s="452">
        <v>802.4</v>
      </c>
      <c r="C163" s="13"/>
      <c r="D163" s="13"/>
      <c r="E163" s="13"/>
      <c r="F163" s="13"/>
      <c r="G163" s="13"/>
      <c r="H163" s="550"/>
      <c r="I163" s="32"/>
      <c r="J163" s="4"/>
      <c r="K163" s="4"/>
      <c r="L163" s="706"/>
      <c r="M163" s="690"/>
      <c r="N163" s="4"/>
      <c r="O163" s="696"/>
      <c r="X163" s="688"/>
    </row>
    <row r="164" spans="2:45" ht="15" thickBot="1" x14ac:dyDescent="0.4">
      <c r="B164" s="452"/>
      <c r="C164" s="13"/>
      <c r="D164" s="13"/>
      <c r="E164" s="13"/>
      <c r="F164" s="13"/>
      <c r="G164" s="13"/>
      <c r="H164" s="550"/>
      <c r="I164" s="132"/>
      <c r="J164" s="183"/>
      <c r="K164" s="183"/>
      <c r="L164" s="710"/>
      <c r="M164" s="693"/>
      <c r="N164" s="183"/>
      <c r="O164" s="695"/>
      <c r="P164" s="58"/>
      <c r="Q164" s="58"/>
      <c r="R164" s="58"/>
      <c r="S164" s="58"/>
      <c r="T164" s="58"/>
      <c r="U164" s="58"/>
      <c r="V164" s="58"/>
      <c r="W164" s="58"/>
      <c r="X164" s="689"/>
    </row>
    <row r="165" spans="2:45" ht="15" thickTop="1" x14ac:dyDescent="0.35">
      <c r="B165" s="452"/>
      <c r="C165" s="13"/>
      <c r="D165" s="13"/>
      <c r="E165" s="13"/>
      <c r="F165" s="13"/>
      <c r="G165" s="13"/>
      <c r="H165" s="550"/>
      <c r="I165" s="123">
        <v>802.5</v>
      </c>
      <c r="J165" s="124"/>
      <c r="K165" s="124"/>
      <c r="L165" s="792" t="s">
        <v>941</v>
      </c>
      <c r="M165" s="692">
        <v>1</v>
      </c>
      <c r="N165" s="124"/>
      <c r="O165" s="694">
        <f>M165*S165*W165</f>
        <v>0</v>
      </c>
      <c r="P165" t="b">
        <v>0</v>
      </c>
      <c r="Q165" t="b">
        <v>1</v>
      </c>
      <c r="R165" s="62" t="b">
        <v>0</v>
      </c>
      <c r="S165" s="62" t="b">
        <v>1</v>
      </c>
      <c r="T165" s="62" t="b">
        <f>IF(AND(NOT(S165),W165=TRUE),TRUE,FALSE)</f>
        <v>0</v>
      </c>
      <c r="U165" s="62"/>
      <c r="V165" s="62"/>
      <c r="W165" s="278"/>
      <c r="X165" s="687"/>
      <c r="AC165" t="b">
        <f>OR(AD165:AE165)</f>
        <v>0</v>
      </c>
      <c r="AD165" t="b">
        <f>T165</f>
        <v>0</v>
      </c>
      <c r="AE165" t="b">
        <v>0</v>
      </c>
      <c r="AL165" t="str">
        <f>SUBSTITUTE(SUBSTITUTE(SUBSTITUTE("dpa"&amp;$B165&amp;$C165&amp;$D165&amp;$E165&amp;$F165,".","_"),"(","_"),")","")</f>
        <v>dpa</v>
      </c>
      <c r="AM165">
        <f>M165</f>
        <v>1</v>
      </c>
      <c r="AN165" t="str">
        <f>SUBSTITUTE(SUBSTITUTE(SUBSTITUTE("dpc"&amp;$B165&amp;$C165&amp;$D165&amp;$E165&amp;$F165,".","_"),"(","_"),")","")</f>
        <v>dpc</v>
      </c>
      <c r="AO165">
        <f>O165</f>
        <v>0</v>
      </c>
      <c r="AP165" t="str">
        <f>SUBSTITUTE(SUBSTITUTE(SUBSTITUTE("dch"&amp;$B165&amp;$C165&amp;$D165&amp;$E165&amp;$F165,".","_"),"(","_"),")","")</f>
        <v>dch</v>
      </c>
      <c r="AQ165">
        <f>W165</f>
        <v>0</v>
      </c>
      <c r="AR165" t="str">
        <f>SUBSTITUTE(SUBSTITUTE(SUBSTITUTE("dnt"&amp;$B165&amp;$C165&amp;$D165&amp;$E165&amp;$F165,".","_"),"(","_"),")","")</f>
        <v>dnt</v>
      </c>
      <c r="AS165">
        <f>X165</f>
        <v>0</v>
      </c>
    </row>
    <row r="166" spans="2:45" ht="15" thickBot="1" x14ac:dyDescent="0.4">
      <c r="B166" s="452"/>
      <c r="C166" s="13"/>
      <c r="D166" s="13"/>
      <c r="E166" s="13"/>
      <c r="F166" s="13"/>
      <c r="G166" s="13"/>
      <c r="H166" s="550"/>
      <c r="I166" s="132"/>
      <c r="J166" s="183"/>
      <c r="K166" s="183"/>
      <c r="L166" s="793"/>
      <c r="M166" s="693"/>
      <c r="N166" s="183"/>
      <c r="O166" s="695"/>
      <c r="P166" s="58"/>
      <c r="Q166" s="58"/>
      <c r="R166" s="58"/>
      <c r="S166" s="58"/>
      <c r="T166" s="58"/>
      <c r="U166" s="58"/>
      <c r="V166" s="58"/>
      <c r="W166" s="58"/>
      <c r="X166" s="689"/>
    </row>
    <row r="167" spans="2:45" ht="15" thickTop="1" x14ac:dyDescent="0.35">
      <c r="B167" s="452"/>
      <c r="C167" s="13"/>
      <c r="D167" s="13"/>
      <c r="E167" s="13"/>
      <c r="F167" s="13"/>
      <c r="G167" s="13"/>
      <c r="H167" s="550"/>
      <c r="I167" s="32">
        <v>802.6</v>
      </c>
      <c r="J167" s="4"/>
      <c r="K167" s="4"/>
      <c r="L167" s="706" t="s">
        <v>942</v>
      </c>
      <c r="M167" s="690">
        <v>20</v>
      </c>
      <c r="N167" s="4"/>
      <c r="O167" s="696">
        <f>M167*S167*W167</f>
        <v>0</v>
      </c>
      <c r="P167" t="b">
        <v>0</v>
      </c>
      <c r="Q167" t="b">
        <v>1</v>
      </c>
      <c r="R167" t="b">
        <v>0</v>
      </c>
      <c r="S167" t="b">
        <f>NOT(OR(LEN(W151)&gt;0,W153))</f>
        <v>1</v>
      </c>
      <c r="T167" t="b">
        <f>IF(AND(NOT(S167),W167=TRUE),TRUE,FALSE)</f>
        <v>0</v>
      </c>
      <c r="W167" s="77"/>
      <c r="X167" s="700"/>
      <c r="AC167" t="b">
        <f>OR(AD167:AE167)</f>
        <v>0</v>
      </c>
      <c r="AD167" t="b">
        <f>T167</f>
        <v>0</v>
      </c>
      <c r="AE167" t="b">
        <v>0</v>
      </c>
      <c r="AL167" t="str">
        <f>SUBSTITUTE(SUBSTITUTE(SUBSTITUTE("dpa"&amp;$B167&amp;$C167&amp;$D167&amp;$E167&amp;$F167,".","_"),"(","_"),")","")</f>
        <v>dpa</v>
      </c>
      <c r="AM167">
        <f>M167</f>
        <v>20</v>
      </c>
      <c r="AN167" t="str">
        <f>SUBSTITUTE(SUBSTITUTE(SUBSTITUTE("dpc"&amp;$B167&amp;$C167&amp;$D167&amp;$E167&amp;$F167,".","_"),"(","_"),")","")</f>
        <v>dpc</v>
      </c>
      <c r="AO167">
        <f>O167</f>
        <v>0</v>
      </c>
      <c r="AP167" t="str">
        <f>SUBSTITUTE(SUBSTITUTE(SUBSTITUTE("dch"&amp;$B167&amp;$C167&amp;$D167&amp;$E167&amp;$F167,".","_"),"(","_"),")","")</f>
        <v>dch</v>
      </c>
      <c r="AQ167">
        <f>W167</f>
        <v>0</v>
      </c>
      <c r="AR167" t="str">
        <f>SUBSTITUTE(SUBSTITUTE(SUBSTITUTE("dnt"&amp;$B167&amp;$C167&amp;$D167&amp;$E167&amp;$F167,".","_"),"(","_"),")","")</f>
        <v>dnt</v>
      </c>
      <c r="AS167">
        <f>X167</f>
        <v>0</v>
      </c>
    </row>
    <row r="168" spans="2:45" x14ac:dyDescent="0.35">
      <c r="B168" s="452"/>
      <c r="C168" s="13"/>
      <c r="D168" s="13"/>
      <c r="E168" s="13"/>
      <c r="F168" s="13"/>
      <c r="G168" s="13"/>
      <c r="H168" s="550"/>
      <c r="I168" s="32"/>
      <c r="J168" s="4"/>
      <c r="K168" s="4"/>
      <c r="L168" s="706"/>
      <c r="M168" s="690"/>
      <c r="N168" s="4"/>
      <c r="O168" s="696"/>
      <c r="X168" s="688"/>
    </row>
    <row r="169" spans="2:45" ht="15" thickBot="1" x14ac:dyDescent="0.4">
      <c r="B169" s="452"/>
      <c r="C169" s="13"/>
      <c r="D169" s="13"/>
      <c r="E169" s="13"/>
      <c r="F169" s="13"/>
      <c r="G169" s="13"/>
      <c r="H169" s="550"/>
      <c r="I169" s="32"/>
      <c r="J169" s="4"/>
      <c r="K169" s="4"/>
      <c r="L169" s="107" t="s">
        <v>931</v>
      </c>
      <c r="M169" s="690"/>
      <c r="N169" s="4"/>
      <c r="O169" s="696"/>
      <c r="X169" s="688"/>
    </row>
    <row r="170" spans="2:45" ht="15.5" thickTop="1" thickBot="1" x14ac:dyDescent="0.4">
      <c r="I170" s="142" t="s">
        <v>3860</v>
      </c>
      <c r="J170" s="143"/>
      <c r="K170" s="143"/>
      <c r="L170" s="143"/>
      <c r="M170" s="144"/>
      <c r="N170" s="143"/>
      <c r="O170" s="145"/>
      <c r="P170" s="143"/>
      <c r="Q170" s="143"/>
      <c r="R170" s="143"/>
      <c r="S170" s="143"/>
      <c r="T170" s="143"/>
      <c r="U170" s="143"/>
      <c r="V170" s="143"/>
      <c r="W170" s="143"/>
      <c r="X170" s="206" t="s">
        <v>3861</v>
      </c>
    </row>
    <row r="171" spans="2:45" ht="15" thickTop="1" x14ac:dyDescent="0.35"/>
  </sheetData>
  <sheetProtection algorithmName="SHA-512" hashValue="hR2+f1U2psNXmzAPkLf54SOG15jLUT86gD++zJq3WgzEDEVrB/JrXm/cM6+9CQsjgCTBoj5x55/74hzrIMGzVQ==" saltValue="5uZZBYWPVoLc8g2RciH2KQ==" spinCount="100000" sheet="1" objects="1" scenarios="1" selectLockedCells="1" autoFilter="0"/>
  <mergeCells count="151">
    <mergeCell ref="H1:H7"/>
    <mergeCell ref="X165:X166"/>
    <mergeCell ref="X167:X169"/>
    <mergeCell ref="X47:X52"/>
    <mergeCell ref="X141:X142"/>
    <mergeCell ref="X144:X145"/>
    <mergeCell ref="X151:X152"/>
    <mergeCell ref="X154:X156"/>
    <mergeCell ref="X162:X164"/>
    <mergeCell ref="X110:X112"/>
    <mergeCell ref="X116:X117"/>
    <mergeCell ref="X119:X122"/>
    <mergeCell ref="X123:X124"/>
    <mergeCell ref="X127:X137"/>
    <mergeCell ref="X85:X90"/>
    <mergeCell ref="X94:X97"/>
    <mergeCell ref="X98:X99"/>
    <mergeCell ref="X102:X104"/>
    <mergeCell ref="X108:X109"/>
    <mergeCell ref="X63:X67"/>
    <mergeCell ref="X68:X69"/>
    <mergeCell ref="X73:X76"/>
    <mergeCell ref="X78:X80"/>
    <mergeCell ref="X83:X84"/>
    <mergeCell ref="O147:O149"/>
    <mergeCell ref="O123:O124"/>
    <mergeCell ref="M133:M134"/>
    <mergeCell ref="M135:M137"/>
    <mergeCell ref="M141:M142"/>
    <mergeCell ref="O138:O140"/>
    <mergeCell ref="M102:M104"/>
    <mergeCell ref="M110:M112"/>
    <mergeCell ref="M119:M120"/>
    <mergeCell ref="M116:M117"/>
    <mergeCell ref="O102:O104"/>
    <mergeCell ref="O116:O118"/>
    <mergeCell ref="O119:O120"/>
    <mergeCell ref="O108:O109"/>
    <mergeCell ref="M108:M109"/>
    <mergeCell ref="M144:M145"/>
    <mergeCell ref="O144:O145"/>
    <mergeCell ref="M167:M169"/>
    <mergeCell ref="M165:M166"/>
    <mergeCell ref="M162:M164"/>
    <mergeCell ref="O157:O159"/>
    <mergeCell ref="O162:O164"/>
    <mergeCell ref="O165:O166"/>
    <mergeCell ref="O167:O169"/>
    <mergeCell ref="O154:O156"/>
    <mergeCell ref="M154:M156"/>
    <mergeCell ref="O85:O87"/>
    <mergeCell ref="M98:M99"/>
    <mergeCell ref="M94:M97"/>
    <mergeCell ref="O94:O97"/>
    <mergeCell ref="O98:O99"/>
    <mergeCell ref="O78:O80"/>
    <mergeCell ref="M34:M35"/>
    <mergeCell ref="M36:M40"/>
    <mergeCell ref="M41:M43"/>
    <mergeCell ref="O41:O43"/>
    <mergeCell ref="O47:O48"/>
    <mergeCell ref="O54:O59"/>
    <mergeCell ref="O63:O64"/>
    <mergeCell ref="M73:M76"/>
    <mergeCell ref="O73:O76"/>
    <mergeCell ref="O68:O69"/>
    <mergeCell ref="M68:M69"/>
    <mergeCell ref="M54:M55"/>
    <mergeCell ref="M78:M80"/>
    <mergeCell ref="L88:L90"/>
    <mergeCell ref="L92:L93"/>
    <mergeCell ref="L95:L97"/>
    <mergeCell ref="L98:L99"/>
    <mergeCell ref="L102:L104"/>
    <mergeCell ref="M123:M124"/>
    <mergeCell ref="M83:M84"/>
    <mergeCell ref="M85:M87"/>
    <mergeCell ref="M157:M159"/>
    <mergeCell ref="M151:M152"/>
    <mergeCell ref="L165:L166"/>
    <mergeCell ref="L167:L168"/>
    <mergeCell ref="L144:L145"/>
    <mergeCell ref="L147:L148"/>
    <mergeCell ref="L154:L156"/>
    <mergeCell ref="L157:L159"/>
    <mergeCell ref="L108:L109"/>
    <mergeCell ref="L110:L112"/>
    <mergeCell ref="L116:L117"/>
    <mergeCell ref="L119:L120"/>
    <mergeCell ref="L138:L140"/>
    <mergeCell ref="L125:L126"/>
    <mergeCell ref="L123:L124"/>
    <mergeCell ref="L129:L130"/>
    <mergeCell ref="L133:L134"/>
    <mergeCell ref="L135:L137"/>
    <mergeCell ref="L113:L114"/>
    <mergeCell ref="L121:L122"/>
    <mergeCell ref="L162:L164"/>
    <mergeCell ref="L71:L72"/>
    <mergeCell ref="L74:L76"/>
    <mergeCell ref="L78:L79"/>
    <mergeCell ref="L85:L87"/>
    <mergeCell ref="L81:L82"/>
    <mergeCell ref="L83:L84"/>
    <mergeCell ref="I6:K7"/>
    <mergeCell ref="L6:L7"/>
    <mergeCell ref="M6:M7"/>
    <mergeCell ref="L11:L15"/>
    <mergeCell ref="L16:L18"/>
    <mergeCell ref="L25:L26"/>
    <mergeCell ref="L27:L28"/>
    <mergeCell ref="L19:L21"/>
    <mergeCell ref="L29:L30"/>
    <mergeCell ref="L31:L33"/>
    <mergeCell ref="L34:L35"/>
    <mergeCell ref="L41:L43"/>
    <mergeCell ref="L36:L40"/>
    <mergeCell ref="L44:L45"/>
    <mergeCell ref="L49:L50"/>
    <mergeCell ref="M60:M62"/>
    <mergeCell ref="L54:L59"/>
    <mergeCell ref="M56:M59"/>
    <mergeCell ref="I1:L1"/>
    <mergeCell ref="M1:W5"/>
    <mergeCell ref="I2:L2"/>
    <mergeCell ref="I3:L3"/>
    <mergeCell ref="I4:L4"/>
    <mergeCell ref="I5:L5"/>
    <mergeCell ref="V6:V7"/>
    <mergeCell ref="W6:W7"/>
    <mergeCell ref="U6:U7"/>
    <mergeCell ref="O11:O15"/>
    <mergeCell ref="M25:M26"/>
    <mergeCell ref="M27:M28"/>
    <mergeCell ref="M29:M30"/>
    <mergeCell ref="M31:M33"/>
    <mergeCell ref="L60:L62"/>
    <mergeCell ref="L51:L52"/>
    <mergeCell ref="L63:L64"/>
    <mergeCell ref="X4:X5"/>
    <mergeCell ref="Q6:Q7"/>
    <mergeCell ref="X6:X7"/>
    <mergeCell ref="R6:R7"/>
    <mergeCell ref="S6:S7"/>
    <mergeCell ref="T6:T7"/>
    <mergeCell ref="X25:X35"/>
    <mergeCell ref="X36:X40"/>
    <mergeCell ref="X41:X43"/>
    <mergeCell ref="X54:X62"/>
    <mergeCell ref="N6:N7"/>
    <mergeCell ref="P6:P7"/>
  </mergeCells>
  <conditionalFormatting sqref="I1">
    <cfRule type="expression" dxfId="2959" priority="9">
      <formula>$AG$1="Emerald"</formula>
    </cfRule>
    <cfRule type="expression" dxfId="2958" priority="6">
      <formula>$AG$1="Gold"</formula>
    </cfRule>
    <cfRule type="expression" dxfId="2957" priority="7">
      <formula>$AG$1="Silver"</formula>
    </cfRule>
    <cfRule type="expression" dxfId="2956" priority="8">
      <formula>$AG$1="Bronze"</formula>
    </cfRule>
  </conditionalFormatting>
  <conditionalFormatting sqref="M83:M84">
    <cfRule type="expression" dxfId="2955" priority="102">
      <formula>NOT(O91&gt;0)</formula>
    </cfRule>
  </conditionalFormatting>
  <conditionalFormatting sqref="W12">
    <cfRule type="expression" dxfId="2954" priority="142">
      <formula>AND($R$12,$S$12)</formula>
    </cfRule>
    <cfRule type="expression" dxfId="2953" priority="140">
      <formula>$S$12 = FALSE</formula>
    </cfRule>
    <cfRule type="expression" dxfId="2952" priority="139">
      <formula>OR($T$12 = TRUE, AND(LEN(TRIM($W$12))&gt;0, $S$12 = FALSE))</formula>
    </cfRule>
    <cfRule type="expression" dxfId="2951" priority="141">
      <formula>AND($W$12&lt;&gt;"Not Met",LEN(TRIM($W$12))&gt;0)</formula>
    </cfRule>
  </conditionalFormatting>
  <conditionalFormatting sqref="W41">
    <cfRule type="expression" dxfId="2950" priority="138">
      <formula>AND($R$41,$S$41)</formula>
    </cfRule>
    <cfRule type="expression" dxfId="2949" priority="137">
      <formula>AND(IF($R$41,$W$41,TRUE),LEN(TRIM($W$41))&gt;0)</formula>
    </cfRule>
    <cfRule type="expression" dxfId="2948" priority="136">
      <formula>$S$41 = FALSE</formula>
    </cfRule>
    <cfRule type="expression" dxfId="2947" priority="135">
      <formula>OR($T$41 = TRUE, AND($W$41 = TRUE, $S$41 = FALSE))</formula>
    </cfRule>
  </conditionalFormatting>
  <conditionalFormatting sqref="W46">
    <cfRule type="expression" dxfId="2946" priority="150">
      <formula>AND($R$46,$S$46)</formula>
    </cfRule>
    <cfRule type="expression" dxfId="2945" priority="149">
      <formula>AND(IF($R$46,$W$46,TRUE),LEN(TRIM($W$46))&gt;0)</formula>
    </cfRule>
    <cfRule type="expression" dxfId="2944" priority="148">
      <formula>$S$46 = FALSE</formula>
    </cfRule>
    <cfRule type="expression" dxfId="2943" priority="147">
      <formula>OR($T$46 = TRUE, AND($W$46 = TRUE, $S$46 = FALSE))</formula>
    </cfRule>
  </conditionalFormatting>
  <conditionalFormatting sqref="W47">
    <cfRule type="expression" dxfId="2942" priority="133">
      <formula>AND($W$47&lt;&gt;"Not Met",LEN(TRIM($W$47))&gt;0)</formula>
    </cfRule>
    <cfRule type="expression" dxfId="2941" priority="132">
      <formula>$S$47 = FALSE</formula>
    </cfRule>
    <cfRule type="expression" dxfId="2940" priority="131">
      <formula>OR($T$47 = TRUE, AND(LEN(TRIM($W$47))&gt;0, $S$47 = FALSE))</formula>
    </cfRule>
    <cfRule type="expression" dxfId="2939" priority="134">
      <formula>AND($R$47,$S$47)</formula>
    </cfRule>
  </conditionalFormatting>
  <conditionalFormatting sqref="W54">
    <cfRule type="expression" dxfId="2938" priority="130">
      <formula>AND($R$54,$S$54)</formula>
    </cfRule>
    <cfRule type="expression" dxfId="2937" priority="129">
      <formula>AND($W$54&lt;&gt;"Not Met",LEN(TRIM($W$54))&gt;0)</formula>
    </cfRule>
    <cfRule type="expression" dxfId="2936" priority="128">
      <formula>$S$54 = FALSE</formula>
    </cfRule>
    <cfRule type="expression" dxfId="2935" priority="127">
      <formula>OR($T$54 = TRUE, AND(LEN(TRIM($W$54))&gt;0, $S$54 = FALSE))</formula>
    </cfRule>
  </conditionalFormatting>
  <conditionalFormatting sqref="W63">
    <cfRule type="expression" dxfId="2934" priority="125">
      <formula>AND($W$63&lt;&gt;"Not Met",LEN(TRIM($W$63))&gt;0)</formula>
    </cfRule>
    <cfRule type="expression" dxfId="2933" priority="124">
      <formula>$S$63 = FALSE</formula>
    </cfRule>
    <cfRule type="expression" dxfId="2932" priority="123">
      <formula>OR($T$63 = TRUE, AND(LEN(TRIM($W$63))&gt;0, $S$63 = FALSE))</formula>
    </cfRule>
    <cfRule type="expression" dxfId="2931" priority="126">
      <formula>AND($R$63,$S$63)</formula>
    </cfRule>
  </conditionalFormatting>
  <conditionalFormatting sqref="W68">
    <cfRule type="expression" dxfId="2930" priority="122">
      <formula>AND($R$68,$S$68)</formula>
    </cfRule>
    <cfRule type="expression" dxfId="2929" priority="121">
      <formula>AND($W$68&lt;&gt;"Not Met",LEN(TRIM($W$68))&gt;0)</formula>
    </cfRule>
    <cfRule type="expression" dxfId="2928" priority="120">
      <formula>$S$68 = FALSE</formula>
    </cfRule>
    <cfRule type="expression" dxfId="2927" priority="119">
      <formula>OR($T$68 = TRUE, AND(LEN(TRIM($W$68))&gt;0, $S$68 = FALSE))</formula>
    </cfRule>
  </conditionalFormatting>
  <conditionalFormatting sqref="W73">
    <cfRule type="expression" dxfId="2926" priority="118">
      <formula>AND($R$73,$S$73)</formula>
    </cfRule>
    <cfRule type="expression" dxfId="2925" priority="117">
      <formula>AND($W$73&lt;&gt;"Not Met",LEN(TRIM($W$73))&gt;0)</formula>
    </cfRule>
    <cfRule type="expression" dxfId="2924" priority="116">
      <formula>$S$73 = FALSE</formula>
    </cfRule>
    <cfRule type="expression" dxfId="2923" priority="115">
      <formula>OR($T$73 = TRUE, AND(LEN(TRIM($W$73))&gt;0, $S$73 = FALSE))</formula>
    </cfRule>
  </conditionalFormatting>
  <conditionalFormatting sqref="W77">
    <cfRule type="expression" dxfId="2922" priority="111">
      <formula>OR($T$77 = TRUE, AND($W$77 = TRUE, $S$77 = FALSE))</formula>
    </cfRule>
    <cfRule type="expression" dxfId="2921" priority="113">
      <formula>AND(IF($R$77,$W$77,TRUE),LEN(TRIM($W$77))&gt;0)</formula>
    </cfRule>
    <cfRule type="expression" dxfId="2920" priority="112">
      <formula>$S$77 = FALSE</formula>
    </cfRule>
    <cfRule type="expression" dxfId="2919" priority="114">
      <formula>AND($R$77,$S$77)</formula>
    </cfRule>
  </conditionalFormatting>
  <conditionalFormatting sqref="W78">
    <cfRule type="expression" dxfId="2918" priority="103">
      <formula>OR($T$78 = TRUE, AND(LEN(TRIM($W$78))&gt;0, $S$78 = FALSE))</formula>
    </cfRule>
    <cfRule type="expression" dxfId="2917" priority="104">
      <formula>$S$78 = FALSE</formula>
    </cfRule>
    <cfRule type="expression" dxfId="2916" priority="105">
      <formula>AND($W$78&lt;&gt;"Not Met",LEN(TRIM($W$78))&gt;0)</formula>
    </cfRule>
    <cfRule type="expression" dxfId="2915" priority="106">
      <formula>AND($R$78,$S$78)</formula>
    </cfRule>
  </conditionalFormatting>
  <conditionalFormatting sqref="W85">
    <cfRule type="expression" dxfId="2914" priority="87">
      <formula>$S$85 = FALSE</formula>
    </cfRule>
    <cfRule type="expression" dxfId="2913" priority="86">
      <formula>OR($T$85 = TRUE, AND(LEN(TRIM($W$85))&gt;0, $S$85 = FALSE))</formula>
    </cfRule>
    <cfRule type="expression" dxfId="2912" priority="88">
      <formula>AND($W$85&lt;&gt;"Not Met",LEN(TRIM($W$85))&gt;0)</formula>
    </cfRule>
    <cfRule type="expression" dxfId="2911" priority="89">
      <formula>AND($R$85,$S$85)</formula>
    </cfRule>
  </conditionalFormatting>
  <conditionalFormatting sqref="W91">
    <cfRule type="expression" dxfId="2910" priority="101">
      <formula>AND($R$91,$S$91)</formula>
    </cfRule>
    <cfRule type="expression" dxfId="2909" priority="99">
      <formula>$S$91 = FALSE</formula>
    </cfRule>
    <cfRule type="expression" dxfId="2908" priority="98">
      <formula>OR($T$91 = TRUE, AND($W$91 = TRUE, $S$91 = FALSE))</formula>
    </cfRule>
    <cfRule type="expression" dxfId="2907" priority="100">
      <formula>AND(IF($R$91,$W$91,TRUE),LEN(TRIM($W$91))&gt;0)</formula>
    </cfRule>
  </conditionalFormatting>
  <conditionalFormatting sqref="W94">
    <cfRule type="expression" dxfId="2906" priority="83">
      <formula>$S$94 = FALSE</formula>
    </cfRule>
    <cfRule type="expression" dxfId="2905" priority="84">
      <formula>AND($W$94&lt;&gt;"Not Met",LEN(TRIM($W$94))&gt;0)</formula>
    </cfRule>
    <cfRule type="expression" dxfId="2904" priority="85">
      <formula>AND($R$94,$S$94)</formula>
    </cfRule>
    <cfRule type="expression" dxfId="2903" priority="82">
      <formula>OR($T$94 = TRUE, AND(LEN(TRIM($W$94))&gt;0, $S$94 = FALSE))</formula>
    </cfRule>
  </conditionalFormatting>
  <conditionalFormatting sqref="W98">
    <cfRule type="expression" dxfId="2902" priority="97">
      <formula>AND($R$98,$S$98)</formula>
    </cfRule>
    <cfRule type="expression" dxfId="2901" priority="96">
      <formula>AND(IF($R$98,$W$98,TRUE),LEN(TRIM($W$98))&gt;0)</formula>
    </cfRule>
    <cfRule type="expression" dxfId="2900" priority="95">
      <formula>$S$98 = FALSE</formula>
    </cfRule>
    <cfRule type="expression" dxfId="2899" priority="94">
      <formula>OR($T$98 = TRUE, AND($W$98 = TRUE, $S$98 = FALSE))</formula>
    </cfRule>
  </conditionalFormatting>
  <conditionalFormatting sqref="W100">
    <cfRule type="expression" dxfId="2898" priority="93">
      <formula>AND($R$100,$S$100)</formula>
    </cfRule>
    <cfRule type="expression" dxfId="2897" priority="92">
      <formula>AND(IF($R$100,$W$100,TRUE),LEN(TRIM($W$100))&gt;0)</formula>
    </cfRule>
    <cfRule type="expression" dxfId="2896" priority="91">
      <formula>$S$100 = FALSE</formula>
    </cfRule>
    <cfRule type="expression" dxfId="2895" priority="90">
      <formula>OR($T$100 = TRUE, AND($W$100 = TRUE, $S$100 = FALSE))</formula>
    </cfRule>
  </conditionalFormatting>
  <conditionalFormatting sqref="W102">
    <cfRule type="expression" dxfId="2894" priority="78">
      <formula>OR($T$102 = TRUE, AND($W$102 = TRUE, $S$102 = FALSE))</formula>
    </cfRule>
    <cfRule type="expression" dxfId="2893" priority="79">
      <formula>$S$102 = FALSE</formula>
    </cfRule>
    <cfRule type="expression" dxfId="2892" priority="80">
      <formula>AND(IF($R$102,$W$102,TRUE),LEN(TRIM($W$102))&gt;0)</formula>
    </cfRule>
    <cfRule type="expression" dxfId="2891" priority="81">
      <formula>AND($R$102,$S$102)</formula>
    </cfRule>
  </conditionalFormatting>
  <conditionalFormatting sqref="W106">
    <cfRule type="expression" dxfId="2890" priority="161">
      <formula>AND(IF($R$106,$W$106,TRUE),LEN(TRIM($W$106))&gt;0)</formula>
    </cfRule>
    <cfRule type="expression" dxfId="2889" priority="162">
      <formula>AND($R$106,$S$106)</formula>
    </cfRule>
    <cfRule type="expression" dxfId="2888" priority="160">
      <formula>$S$106 = FALSE</formula>
    </cfRule>
    <cfRule type="expression" dxfId="2887" priority="159">
      <formula>OR($T$106 = TRUE, AND($W$106 = TRUE, $S$106 = FALSE))</formula>
    </cfRule>
  </conditionalFormatting>
  <conditionalFormatting sqref="W107">
    <cfRule type="expression" dxfId="2886" priority="155">
      <formula>OR($T$107 = TRUE, AND($W$107 = TRUE, $S$107 = FALSE))</formula>
    </cfRule>
    <cfRule type="expression" dxfId="2885" priority="156">
      <formula>$S$107 = FALSE</formula>
    </cfRule>
    <cfRule type="expression" dxfId="2884" priority="158">
      <formula>AND($R$107,$S$107)</formula>
    </cfRule>
    <cfRule type="expression" dxfId="2883" priority="157">
      <formula>AND(IF($R$107,$W$107,TRUE),LEN(TRIM($W$107))&gt;0)</formula>
    </cfRule>
  </conditionalFormatting>
  <conditionalFormatting sqref="W108">
    <cfRule type="expression" dxfId="2882" priority="153">
      <formula>AND(IF($R$108,$W$108,TRUE),LEN(TRIM($W$108))&gt;0)</formula>
    </cfRule>
    <cfRule type="expression" dxfId="2881" priority="152">
      <formula>$S$108 = FALSE</formula>
    </cfRule>
    <cfRule type="expression" dxfId="2880" priority="151">
      <formula>OR($T$108 = TRUE, AND($W$108 = TRUE, $S$108 = FALSE))</formula>
    </cfRule>
    <cfRule type="expression" dxfId="2879" priority="154">
      <formula>AND($R$108,$S$108)</formula>
    </cfRule>
  </conditionalFormatting>
  <conditionalFormatting sqref="W110">
    <cfRule type="expression" dxfId="2878" priority="1">
      <formula>OR($T$110 = TRUE, AND(LEN(TRIM($W$110))&gt;0, $S$110 = FALSE))</formula>
    </cfRule>
    <cfRule type="expression" dxfId="2877" priority="2">
      <formula>$S$110 = FALSE</formula>
    </cfRule>
    <cfRule type="expression" dxfId="2876" priority="3">
      <formula>AND($W$110&lt;&gt;"Not Met",LEN(TRIM($W$110))&gt;0)</formula>
    </cfRule>
    <cfRule type="expression" dxfId="2875" priority="4">
      <formula>AND($R$110,$S$110)</formula>
    </cfRule>
  </conditionalFormatting>
  <conditionalFormatting sqref="W116">
    <cfRule type="expression" dxfId="2874" priority="73">
      <formula>AND($R$116,$S$116)</formula>
    </cfRule>
    <cfRule type="expression" dxfId="2873" priority="72">
      <formula>AND(IF($R$116,$W$116,TRUE),LEN(TRIM($W$116))&gt;0)</formula>
    </cfRule>
    <cfRule type="expression" dxfId="2872" priority="71">
      <formula>$S$116 = FALSE</formula>
    </cfRule>
    <cfRule type="expression" dxfId="2871" priority="70">
      <formula>OR($T$116 = TRUE, AND($W$116 = TRUE, $S$116 = FALSE))</formula>
    </cfRule>
  </conditionalFormatting>
  <conditionalFormatting sqref="W118">
    <cfRule type="expression" dxfId="2870" priority="67">
      <formula>$S$118 = FALSE</formula>
    </cfRule>
    <cfRule type="expression" dxfId="2869" priority="66">
      <formula>OR($T$118 = TRUE, AND($W$118 = TRUE, $S$118 = FALSE))</formula>
    </cfRule>
    <cfRule type="expression" dxfId="2868" priority="69">
      <formula>AND($R$118,$S$118)</formula>
    </cfRule>
    <cfRule type="expression" dxfId="2867" priority="68">
      <formula>AND(IF($R$118,$W$118,TRUE),LEN(TRIM($W$118))&gt;0)</formula>
    </cfRule>
  </conditionalFormatting>
  <conditionalFormatting sqref="W119">
    <cfRule type="expression" dxfId="2866" priority="62">
      <formula>OR($T$119 = TRUE, AND($W$119 = TRUE, $S$119 = FALSE))</formula>
    </cfRule>
    <cfRule type="expression" dxfId="2865" priority="63">
      <formula>$S$119 = FALSE</formula>
    </cfRule>
    <cfRule type="expression" dxfId="2864" priority="64">
      <formula>AND(IF($R$119,$W$119,TRUE),LEN(TRIM($W$119))&gt;0)</formula>
    </cfRule>
    <cfRule type="expression" dxfId="2863" priority="65">
      <formula>AND($R$119,$S$119)</formula>
    </cfRule>
  </conditionalFormatting>
  <conditionalFormatting sqref="W123">
    <cfRule type="expression" dxfId="2862" priority="59">
      <formula>$S$123 = FALSE</formula>
    </cfRule>
    <cfRule type="expression" dxfId="2861" priority="60">
      <formula>AND(IF($R$123,$W$123,TRUE),LEN(TRIM($W$123))&gt;0)</formula>
    </cfRule>
    <cfRule type="expression" dxfId="2860" priority="61">
      <formula>AND($R$123,$S$123)</formula>
    </cfRule>
    <cfRule type="expression" dxfId="2859" priority="58">
      <formula>OR($T$123 = TRUE, AND($W$123 = TRUE, $S$123 = FALSE))</formula>
    </cfRule>
  </conditionalFormatting>
  <conditionalFormatting sqref="W127">
    <cfRule type="expression" dxfId="2858" priority="54">
      <formula>OR($T$127 = TRUE, AND(LEN(TRIM($W$127))&gt;0, $S$127 = FALSE))</formula>
    </cfRule>
    <cfRule type="expression" dxfId="2857" priority="55">
      <formula>$S$127 = FALSE</formula>
    </cfRule>
    <cfRule type="expression" dxfId="2856" priority="56">
      <formula>AND($W$127&lt;&gt;"Not Met",LEN(TRIM($W$127))&gt;0)</formula>
    </cfRule>
    <cfRule type="expression" dxfId="2855" priority="57">
      <formula>AND($R$127,$S$127)</formula>
    </cfRule>
  </conditionalFormatting>
  <conditionalFormatting sqref="W141">
    <cfRule type="expression" dxfId="2854" priority="45">
      <formula>AND($R$141,$S$141)</formula>
    </cfRule>
    <cfRule type="expression" dxfId="2853" priority="44">
      <formula>AND($W$141&lt;&gt;"Not Met",LEN(TRIM($W$141))&gt;0)</formula>
    </cfRule>
    <cfRule type="expression" dxfId="2852" priority="43">
      <formula>$S$141 = FALSE</formula>
    </cfRule>
    <cfRule type="expression" dxfId="2851" priority="42">
      <formula>OR($T$141 = TRUE, AND(LEN(TRIM($W$141))&gt;0, $S$141 = FALSE))</formula>
    </cfRule>
  </conditionalFormatting>
  <conditionalFormatting sqref="W143">
    <cfRule type="expression" dxfId="2850" priority="49">
      <formula>AND($R$143,$S$143)</formula>
    </cfRule>
    <cfRule type="expression" dxfId="2849" priority="48">
      <formula>AND(IF($R$143,$W$143,TRUE),LEN(TRIM($W$143))&gt;0)</formula>
    </cfRule>
    <cfRule type="expression" dxfId="2848" priority="47">
      <formula>$S$143 = FALSE</formula>
    </cfRule>
    <cfRule type="expression" dxfId="2847" priority="46">
      <formula>OR($T$143 = TRUE, AND($W$143 = TRUE, $S$143 = FALSE))</formula>
    </cfRule>
  </conditionalFormatting>
  <conditionalFormatting sqref="W144">
    <cfRule type="expression" dxfId="2846" priority="53">
      <formula>AND($R$144,$S$144)</formula>
    </cfRule>
    <cfRule type="expression" dxfId="2845" priority="52">
      <formula>AND(IF($R$144,$W$144,TRUE),LEN(TRIM($W$144))&gt;0)</formula>
    </cfRule>
    <cfRule type="expression" dxfId="2844" priority="51">
      <formula>$S$144 = FALSE</formula>
    </cfRule>
    <cfRule type="expression" dxfId="2843" priority="50">
      <formula>OR($T$144 = TRUE, AND($W$144 = TRUE, $S$144 = FALSE))</formula>
    </cfRule>
  </conditionalFormatting>
  <conditionalFormatting sqref="W151">
    <cfRule type="expression" dxfId="2842" priority="13">
      <formula>AND($R$151,$S$151)</formula>
    </cfRule>
    <cfRule type="expression" dxfId="2841" priority="10">
      <formula>OR($T$151 = TRUE, AND(LEN(TRIM($W$151))&gt;0, $S$151 = FALSE))</formula>
    </cfRule>
    <cfRule type="expression" dxfId="2840" priority="12">
      <formula>AND($W$151&lt;&gt;"Not Met",LEN(TRIM($W$151))&gt;0)</formula>
    </cfRule>
    <cfRule type="expression" dxfId="2839" priority="11">
      <formula>$S$151 = FALSE</formula>
    </cfRule>
  </conditionalFormatting>
  <conditionalFormatting sqref="W153">
    <cfRule type="expression" dxfId="2838" priority="20">
      <formula>AND(IF($R$153,$W$153,TRUE),LEN(TRIM($W$153))&gt;0)</formula>
    </cfRule>
    <cfRule type="expression" dxfId="2837" priority="18">
      <formula>OR($T$153 = TRUE, AND($W$153 = TRUE, $S$153 = FALSE))</formula>
    </cfRule>
    <cfRule type="expression" dxfId="2836" priority="21">
      <formula>AND($R$153,$S$153)</formula>
    </cfRule>
    <cfRule type="expression" dxfId="2835" priority="19">
      <formula>$S$153 = FALSE</formula>
    </cfRule>
  </conditionalFormatting>
  <conditionalFormatting sqref="W155">
    <cfRule type="expression" dxfId="2834" priority="17">
      <formula>AND(R155,S155)</formula>
    </cfRule>
    <cfRule type="expression" dxfId="2833" priority="16">
      <formula>AND(R155,LEN(TRIM(W155))&gt;0)</formula>
    </cfRule>
    <cfRule type="expression" dxfId="2832" priority="15">
      <formula>S155 = FALSE</formula>
    </cfRule>
    <cfRule type="expression" dxfId="2831" priority="14">
      <formula>OR(T155 = TRUE, AND(W155 &gt; 0, S155 = FALSE))</formula>
    </cfRule>
  </conditionalFormatting>
  <conditionalFormatting sqref="W160">
    <cfRule type="expression" dxfId="2830" priority="29">
      <formula>AND($R$160,$S$160)</formula>
    </cfRule>
    <cfRule type="expression" dxfId="2829" priority="28">
      <formula>AND(IF($R$160,$W$160,TRUE),LEN(TRIM($W$160))&gt;0)</formula>
    </cfRule>
    <cfRule type="expression" dxfId="2828" priority="27">
      <formula>$S$160 = FALSE</formula>
    </cfRule>
    <cfRule type="expression" dxfId="2827" priority="26">
      <formula>OR($T$160 = TRUE, AND($W$160 = TRUE, $S$160 = FALSE))</formula>
    </cfRule>
  </conditionalFormatting>
  <conditionalFormatting sqref="W161">
    <cfRule type="expression" dxfId="2826" priority="25">
      <formula>AND($R$161,$S$161)</formula>
    </cfRule>
    <cfRule type="expression" dxfId="2825" priority="24">
      <formula>AND(IF($R$161,$W$161,TRUE),LEN(TRIM($W$161))&gt;0)</formula>
    </cfRule>
    <cfRule type="expression" dxfId="2824" priority="23">
      <formula>$S$161 = FALSE</formula>
    </cfRule>
    <cfRule type="expression" dxfId="2823" priority="22">
      <formula>OR($T$161 = TRUE, AND($W$161 = TRUE, $S$161 = FALSE))</formula>
    </cfRule>
  </conditionalFormatting>
  <conditionalFormatting sqref="W162">
    <cfRule type="expression" dxfId="2822" priority="30">
      <formula>OR($T$162 = TRUE, AND($W$162 = TRUE, $S$162 = FALSE))</formula>
    </cfRule>
    <cfRule type="expression" dxfId="2821" priority="33">
      <formula>AND($R$162,$S$162)</formula>
    </cfRule>
    <cfRule type="expression" dxfId="2820" priority="32">
      <formula>AND(IF($R$162,$W$162,TRUE),LEN(TRIM($W$162))&gt;0)</formula>
    </cfRule>
    <cfRule type="expression" dxfId="2819" priority="31">
      <formula>$S$162 = FALSE</formula>
    </cfRule>
  </conditionalFormatting>
  <conditionalFormatting sqref="W165">
    <cfRule type="expression" dxfId="2818" priority="37">
      <formula>AND($R$165,$S$165)</formula>
    </cfRule>
    <cfRule type="expression" dxfId="2817" priority="36">
      <formula>AND(IF($R$165,$W$165,TRUE),LEN(TRIM($W$165))&gt;0)</formula>
    </cfRule>
    <cfRule type="expression" dxfId="2816" priority="35">
      <formula>$S$165 = FALSE</formula>
    </cfRule>
    <cfRule type="expression" dxfId="2815" priority="34">
      <formula>OR($T$165 = TRUE, AND($W$165 = TRUE, $S$165 = FALSE))</formula>
    </cfRule>
  </conditionalFormatting>
  <conditionalFormatting sqref="W167">
    <cfRule type="expression" dxfId="2814" priority="39">
      <formula>$S$167 = FALSE</formula>
    </cfRule>
    <cfRule type="expression" dxfId="2813" priority="38">
      <formula>OR($T$167 = TRUE, AND($W$167 = TRUE, $S$167 = FALSE))</formula>
    </cfRule>
    <cfRule type="expression" dxfId="2812" priority="41">
      <formula>AND($R$167,$S$167)</formula>
    </cfRule>
    <cfRule type="expression" dxfId="2811" priority="40">
      <formula>AND(IF($R$167,$W$167,TRUE),LEN(TRIM($W$167))&gt;0)</formula>
    </cfRule>
  </conditionalFormatting>
  <conditionalFormatting sqref="X1">
    <cfRule type="expression" dxfId="2810" priority="5">
      <formula>startError</formula>
    </cfRule>
  </conditionalFormatting>
  <conditionalFormatting sqref="X2">
    <cfRule type="expression" dxfId="2809" priority="184">
      <formula>$AG$3</formula>
    </cfRule>
  </conditionalFormatting>
  <conditionalFormatting sqref="X3">
    <cfRule type="expression" dxfId="2808" priority="185">
      <formula>$AI$3</formula>
    </cfRule>
  </conditionalFormatting>
  <dataValidations count="15">
    <dataValidation type="list" allowBlank="1" showDropDown="1" showInputMessage="1" showErrorMessage="1" error="Use Checkbox" prompt="Use Checkbox" sqref="W41 W46 W106:W108 W77 W118:W119 W116 W153 W102 W100 W98 W91 W143:W144 W123 W165 W167 W160:W162" xr:uid="{00000000-0002-0000-0600-000000000000}">
      <formula1>TorF</formula1>
    </dataValidation>
    <dataValidation type="list" allowBlank="1" showInputMessage="1" showErrorMessage="1" error="Please use the dropdown." sqref="W12" xr:uid="{00000000-0002-0000-0600-000001000000}">
      <formula1>INDIRECT($U$12)</formula1>
    </dataValidation>
    <dataValidation type="list" allowBlank="1" showInputMessage="1" showErrorMessage="1" error="Please use the dropdown." sqref="W47" xr:uid="{00000000-0002-0000-0600-000002000000}">
      <formula1>INDIRECT($U$47)</formula1>
    </dataValidation>
    <dataValidation type="list" allowBlank="1" showInputMessage="1" showErrorMessage="1" error="Please use the dropdown." sqref="W54" xr:uid="{00000000-0002-0000-0600-000003000000}">
      <formula1>INDIRECT($U$54)</formula1>
    </dataValidation>
    <dataValidation type="list" allowBlank="1" showInputMessage="1" showErrorMessage="1" error="Please use the dropdown." sqref="W63" xr:uid="{00000000-0002-0000-0600-000004000000}">
      <formula1>INDIRECT($U$63)</formula1>
    </dataValidation>
    <dataValidation type="list" allowBlank="1" showInputMessage="1" showErrorMessage="1" error="Please use the dropdown." sqref="W68" xr:uid="{00000000-0002-0000-0600-000005000000}">
      <formula1>INDIRECT($U$68)</formula1>
    </dataValidation>
    <dataValidation type="list" allowBlank="1" showInputMessage="1" showErrorMessage="1" error="Please use the dropdown." sqref="W73" xr:uid="{00000000-0002-0000-0600-000006000000}">
      <formula1>INDIRECT($U$73)</formula1>
    </dataValidation>
    <dataValidation type="list" allowBlank="1" showInputMessage="1" showErrorMessage="1" error="Please use the dropdown." sqref="W78" xr:uid="{00000000-0002-0000-0600-000007000000}">
      <formula1>INDIRECT($U$78)</formula1>
    </dataValidation>
    <dataValidation type="list" allowBlank="1" showInputMessage="1" showErrorMessage="1" error="Please use the dropdown." sqref="W85" xr:uid="{00000000-0002-0000-0600-000008000000}">
      <formula1>INDIRECT($U$85)</formula1>
    </dataValidation>
    <dataValidation type="list" allowBlank="1" showInputMessage="1" showErrorMessage="1" error="Please use the dropdown." sqref="W94" xr:uid="{00000000-0002-0000-0600-000009000000}">
      <formula1>INDIRECT($U$94)</formula1>
    </dataValidation>
    <dataValidation type="list" allowBlank="1" showInputMessage="1" showErrorMessage="1" error="Please use the dropdown." sqref="W127" xr:uid="{00000000-0002-0000-0600-00000A000000}">
      <formula1>INDIRECT($U$127)</formula1>
    </dataValidation>
    <dataValidation type="list" allowBlank="1" showInputMessage="1" showErrorMessage="1" error="Please use the dropdown." sqref="W141" xr:uid="{00000000-0002-0000-0600-00000B000000}">
      <formula1>INDIRECT($U$141)</formula1>
    </dataValidation>
    <dataValidation type="whole" allowBlank="1" showDropDown="1" showInputMessage="1" showErrorMessage="1" error="Enter a whole number" prompt="Enter number of systems" sqref="W155" xr:uid="{00000000-0002-0000-0600-00000C000000}">
      <formula1>0</formula1>
      <formula2>5</formula2>
    </dataValidation>
    <dataValidation type="list" allowBlank="1" showInputMessage="1" showErrorMessage="1" error="Please use the dropdown." sqref="W151" xr:uid="{00000000-0002-0000-0600-00000D000000}">
      <formula1>INDIRECT($U$151)</formula1>
    </dataValidation>
    <dataValidation type="list" allowBlank="1" showInputMessage="1" showErrorMessage="1" error="Please use the dropdown." sqref="W110" xr:uid="{00000000-0002-0000-0600-00000E000000}">
      <formula1>INDIRECT($U$110)</formula1>
    </dataValidation>
  </dataValidations>
  <hyperlinks>
    <hyperlink ref="L23" location="'Table 801.1(1)'!A1" display="See Table 801.1(1)" xr:uid="{00000000-0004-0000-0600-000000000000}"/>
    <hyperlink ref="L24" location="'Table 801.1(2)'!A1" display="See Table 801.1(2)" xr:uid="{00000000-0004-0000-0600-000001000000}"/>
    <hyperlink ref="X170" location="'Ch9'!A1" display="CLICK TO PROCEED TO CHAPTER 9 &gt;&gt;" xr:uid="{00000000-0004-0000-0600-000002000000}"/>
  </hyperlinks>
  <pageMargins left="0.7" right="0.7" top="0.75" bottom="0.75" header="0.3" footer="0.3"/>
  <pageSetup scale="44" fitToHeight="0" orientation="portrait" r:id="rId1"/>
  <rowBreaks count="1" manualBreakCount="1">
    <brk id="100" max="23" man="1"/>
  </rowBreaks>
  <ignoredErrors>
    <ignoredError sqref="AQ12 AQ41 AQ46:AQ47 AQ54 AQ63 AQ68 AQ73 AQ77:AQ78 AQ85 AQ91 AQ94 AQ98 AQ100 AQ102 AQ106:AQ108 AQ110 AQ116 AQ118:AQ119 AQ123 AQ127 AQ141 AQ143:AQ144 AQ151 AQ153 AQ155 AQ160:AQ162 AQ165 AQ167 AS25 AS36 AS41 AS46:AS47 AS54 AS63 AS68 AS73 AS77:AS78 AS83 AS85 AS91 AS94 AS98 AS100 AS102 AS106:AS108 AS110 AS116 AS118:AS119 AS123 AS127 AS141 AS143:AS144 AS151 AS153:AS154 AS160:AS162 AS165 AS16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151" r:id="rId4" name="Check Box 7">
              <controlPr locked="0" defaultSize="0" autoFill="0" autoLine="0" autoPict="0">
                <anchor moveWithCells="1" sizeWithCells="1">
                  <from>
                    <xdr:col>22</xdr:col>
                    <xdr:colOff>0</xdr:colOff>
                    <xdr:row>105</xdr:row>
                    <xdr:rowOff>0</xdr:rowOff>
                  </from>
                  <to>
                    <xdr:col>22</xdr:col>
                    <xdr:colOff>184150</xdr:colOff>
                    <xdr:row>105</xdr:row>
                    <xdr:rowOff>184150</xdr:rowOff>
                  </to>
                </anchor>
              </controlPr>
            </control>
          </mc:Choice>
        </mc:AlternateContent>
        <mc:AlternateContent xmlns:mc="http://schemas.openxmlformats.org/markup-compatibility/2006">
          <mc:Choice Requires="x14">
            <control shapeId="6152" r:id="rId5" name="Check Box 8">
              <controlPr locked="0" defaultSize="0" autoFill="0" autoLine="0" autoPict="0">
                <anchor moveWithCells="1" sizeWithCells="1">
                  <from>
                    <xdr:col>22</xdr:col>
                    <xdr:colOff>0</xdr:colOff>
                    <xdr:row>106</xdr:row>
                    <xdr:rowOff>0</xdr:rowOff>
                  </from>
                  <to>
                    <xdr:col>22</xdr:col>
                    <xdr:colOff>184150</xdr:colOff>
                    <xdr:row>106</xdr:row>
                    <xdr:rowOff>184150</xdr:rowOff>
                  </to>
                </anchor>
              </controlPr>
            </control>
          </mc:Choice>
        </mc:AlternateContent>
        <mc:AlternateContent xmlns:mc="http://schemas.openxmlformats.org/markup-compatibility/2006">
          <mc:Choice Requires="x14">
            <control shapeId="6153" r:id="rId6" name="Check Box 9">
              <controlPr locked="0" defaultSize="0" autoFill="0" autoLine="0" autoPict="0">
                <anchor moveWithCells="1" sizeWithCells="1">
                  <from>
                    <xdr:col>22</xdr:col>
                    <xdr:colOff>0</xdr:colOff>
                    <xdr:row>107</xdr:row>
                    <xdr:rowOff>0</xdr:rowOff>
                  </from>
                  <to>
                    <xdr:col>22</xdr:col>
                    <xdr:colOff>184150</xdr:colOff>
                    <xdr:row>107</xdr:row>
                    <xdr:rowOff>184150</xdr:rowOff>
                  </to>
                </anchor>
              </controlPr>
            </control>
          </mc:Choice>
        </mc:AlternateContent>
        <mc:AlternateContent xmlns:mc="http://schemas.openxmlformats.org/markup-compatibility/2006">
          <mc:Choice Requires="x14">
            <control shapeId="6154" r:id="rId7" name="Check Box 10">
              <controlPr locked="0" defaultSize="0" autoFill="0" autoLine="0" autoPict="0">
                <anchor moveWithCells="1" sizeWithCells="1">
                  <from>
                    <xdr:col>22</xdr:col>
                    <xdr:colOff>0</xdr:colOff>
                    <xdr:row>45</xdr:row>
                    <xdr:rowOff>0</xdr:rowOff>
                  </from>
                  <to>
                    <xdr:col>22</xdr:col>
                    <xdr:colOff>184150</xdr:colOff>
                    <xdr:row>45</xdr:row>
                    <xdr:rowOff>184150</xdr:rowOff>
                  </to>
                </anchor>
              </controlPr>
            </control>
          </mc:Choice>
        </mc:AlternateContent>
        <mc:AlternateContent xmlns:mc="http://schemas.openxmlformats.org/markup-compatibility/2006">
          <mc:Choice Requires="x14">
            <control shapeId="6156" r:id="rId8" name="Check Box 12">
              <controlPr locked="0" defaultSize="0" autoFill="0" autoLine="0" autoPict="0">
                <anchor moveWithCells="1" sizeWithCells="1">
                  <from>
                    <xdr:col>22</xdr:col>
                    <xdr:colOff>0</xdr:colOff>
                    <xdr:row>40</xdr:row>
                    <xdr:rowOff>0</xdr:rowOff>
                  </from>
                  <to>
                    <xdr:col>22</xdr:col>
                    <xdr:colOff>184150</xdr:colOff>
                    <xdr:row>40</xdr:row>
                    <xdr:rowOff>184150</xdr:rowOff>
                  </to>
                </anchor>
              </controlPr>
            </control>
          </mc:Choice>
        </mc:AlternateContent>
        <mc:AlternateContent xmlns:mc="http://schemas.openxmlformats.org/markup-compatibility/2006">
          <mc:Choice Requires="x14">
            <control shapeId="6160" r:id="rId9" name="Check Box 16">
              <controlPr locked="0" defaultSize="0" autoFill="0" autoLine="0" autoPict="0">
                <anchor moveWithCells="1" sizeWithCells="1">
                  <from>
                    <xdr:col>22</xdr:col>
                    <xdr:colOff>0</xdr:colOff>
                    <xdr:row>76</xdr:row>
                    <xdr:rowOff>0</xdr:rowOff>
                  </from>
                  <to>
                    <xdr:col>22</xdr:col>
                    <xdr:colOff>184150</xdr:colOff>
                    <xdr:row>76</xdr:row>
                    <xdr:rowOff>184150</xdr:rowOff>
                  </to>
                </anchor>
              </controlPr>
            </control>
          </mc:Choice>
        </mc:AlternateContent>
        <mc:AlternateContent xmlns:mc="http://schemas.openxmlformats.org/markup-compatibility/2006">
          <mc:Choice Requires="x14">
            <control shapeId="6163" r:id="rId10" name="Check Box 19">
              <controlPr locked="0" defaultSize="0" autoFill="0" autoLine="0" autoPict="0">
                <anchor moveWithCells="1" sizeWithCells="1">
                  <from>
                    <xdr:col>22</xdr:col>
                    <xdr:colOff>0</xdr:colOff>
                    <xdr:row>90</xdr:row>
                    <xdr:rowOff>0</xdr:rowOff>
                  </from>
                  <to>
                    <xdr:col>22</xdr:col>
                    <xdr:colOff>184150</xdr:colOff>
                    <xdr:row>90</xdr:row>
                    <xdr:rowOff>184150</xdr:rowOff>
                  </to>
                </anchor>
              </controlPr>
            </control>
          </mc:Choice>
        </mc:AlternateContent>
        <mc:AlternateContent xmlns:mc="http://schemas.openxmlformats.org/markup-compatibility/2006">
          <mc:Choice Requires="x14">
            <control shapeId="6164" r:id="rId11" name="Check Box 20">
              <controlPr locked="0" defaultSize="0" autoFill="0" autoLine="0" autoPict="0">
                <anchor moveWithCells="1" sizeWithCells="1">
                  <from>
                    <xdr:col>22</xdr:col>
                    <xdr:colOff>0</xdr:colOff>
                    <xdr:row>97</xdr:row>
                    <xdr:rowOff>0</xdr:rowOff>
                  </from>
                  <to>
                    <xdr:col>22</xdr:col>
                    <xdr:colOff>184150</xdr:colOff>
                    <xdr:row>97</xdr:row>
                    <xdr:rowOff>184150</xdr:rowOff>
                  </to>
                </anchor>
              </controlPr>
            </control>
          </mc:Choice>
        </mc:AlternateContent>
        <mc:AlternateContent xmlns:mc="http://schemas.openxmlformats.org/markup-compatibility/2006">
          <mc:Choice Requires="x14">
            <control shapeId="6165" r:id="rId12" name="Check Box 21">
              <controlPr locked="0" defaultSize="0" autoFill="0" autoLine="0" autoPict="0">
                <anchor moveWithCells="1" sizeWithCells="1">
                  <from>
                    <xdr:col>22</xdr:col>
                    <xdr:colOff>0</xdr:colOff>
                    <xdr:row>99</xdr:row>
                    <xdr:rowOff>0</xdr:rowOff>
                  </from>
                  <to>
                    <xdr:col>22</xdr:col>
                    <xdr:colOff>184150</xdr:colOff>
                    <xdr:row>99</xdr:row>
                    <xdr:rowOff>184150</xdr:rowOff>
                  </to>
                </anchor>
              </controlPr>
            </control>
          </mc:Choice>
        </mc:AlternateContent>
        <mc:AlternateContent xmlns:mc="http://schemas.openxmlformats.org/markup-compatibility/2006">
          <mc:Choice Requires="x14">
            <control shapeId="6169" r:id="rId13" name="Check Box 25">
              <controlPr locked="0" defaultSize="0" autoFill="0" autoLine="0" autoPict="0">
                <anchor moveWithCells="1" sizeWithCells="1">
                  <from>
                    <xdr:col>22</xdr:col>
                    <xdr:colOff>0</xdr:colOff>
                    <xdr:row>101</xdr:row>
                    <xdr:rowOff>0</xdr:rowOff>
                  </from>
                  <to>
                    <xdr:col>22</xdr:col>
                    <xdr:colOff>184150</xdr:colOff>
                    <xdr:row>101</xdr:row>
                    <xdr:rowOff>184150</xdr:rowOff>
                  </to>
                </anchor>
              </controlPr>
            </control>
          </mc:Choice>
        </mc:AlternateContent>
        <mc:AlternateContent xmlns:mc="http://schemas.openxmlformats.org/markup-compatibility/2006">
          <mc:Choice Requires="x14">
            <control shapeId="6171" r:id="rId14" name="Check Box 27">
              <controlPr locked="0" defaultSize="0" autoFill="0" autoLine="0" autoPict="0">
                <anchor moveWithCells="1" sizeWithCells="1">
                  <from>
                    <xdr:col>22</xdr:col>
                    <xdr:colOff>0</xdr:colOff>
                    <xdr:row>115</xdr:row>
                    <xdr:rowOff>0</xdr:rowOff>
                  </from>
                  <to>
                    <xdr:col>22</xdr:col>
                    <xdr:colOff>184150</xdr:colOff>
                    <xdr:row>115</xdr:row>
                    <xdr:rowOff>184150</xdr:rowOff>
                  </to>
                </anchor>
              </controlPr>
            </control>
          </mc:Choice>
        </mc:AlternateContent>
        <mc:AlternateContent xmlns:mc="http://schemas.openxmlformats.org/markup-compatibility/2006">
          <mc:Choice Requires="x14">
            <control shapeId="6172" r:id="rId15" name="Check Box 28">
              <controlPr locked="0" defaultSize="0" autoFill="0" autoLine="0" autoPict="0">
                <anchor moveWithCells="1" sizeWithCells="1">
                  <from>
                    <xdr:col>22</xdr:col>
                    <xdr:colOff>0</xdr:colOff>
                    <xdr:row>117</xdr:row>
                    <xdr:rowOff>0</xdr:rowOff>
                  </from>
                  <to>
                    <xdr:col>22</xdr:col>
                    <xdr:colOff>184150</xdr:colOff>
                    <xdr:row>117</xdr:row>
                    <xdr:rowOff>184150</xdr:rowOff>
                  </to>
                </anchor>
              </controlPr>
            </control>
          </mc:Choice>
        </mc:AlternateContent>
        <mc:AlternateContent xmlns:mc="http://schemas.openxmlformats.org/markup-compatibility/2006">
          <mc:Choice Requires="x14">
            <control shapeId="6173" r:id="rId16" name="Check Box 29">
              <controlPr locked="0" defaultSize="0" autoFill="0" autoLine="0" autoPict="0">
                <anchor moveWithCells="1" sizeWithCells="1">
                  <from>
                    <xdr:col>22</xdr:col>
                    <xdr:colOff>0</xdr:colOff>
                    <xdr:row>118</xdr:row>
                    <xdr:rowOff>0</xdr:rowOff>
                  </from>
                  <to>
                    <xdr:col>22</xdr:col>
                    <xdr:colOff>184150</xdr:colOff>
                    <xdr:row>118</xdr:row>
                    <xdr:rowOff>184150</xdr:rowOff>
                  </to>
                </anchor>
              </controlPr>
            </control>
          </mc:Choice>
        </mc:AlternateContent>
        <mc:AlternateContent xmlns:mc="http://schemas.openxmlformats.org/markup-compatibility/2006">
          <mc:Choice Requires="x14">
            <control shapeId="6175" r:id="rId17" name="Check Box 31">
              <controlPr locked="0" defaultSize="0" autoFill="0" autoLine="0" autoPict="0">
                <anchor moveWithCells="1" sizeWithCells="1">
                  <from>
                    <xdr:col>22</xdr:col>
                    <xdr:colOff>0</xdr:colOff>
                    <xdr:row>122</xdr:row>
                    <xdr:rowOff>0</xdr:rowOff>
                  </from>
                  <to>
                    <xdr:col>22</xdr:col>
                    <xdr:colOff>184150</xdr:colOff>
                    <xdr:row>122</xdr:row>
                    <xdr:rowOff>184150</xdr:rowOff>
                  </to>
                </anchor>
              </controlPr>
            </control>
          </mc:Choice>
        </mc:AlternateContent>
        <mc:AlternateContent xmlns:mc="http://schemas.openxmlformats.org/markup-compatibility/2006">
          <mc:Choice Requires="x14">
            <control shapeId="6177" r:id="rId18" name="Check Box 33">
              <controlPr locked="0" defaultSize="0" autoFill="0" autoLine="0" autoPict="0">
                <anchor moveWithCells="1" sizeWithCells="1">
                  <from>
                    <xdr:col>22</xdr:col>
                    <xdr:colOff>0</xdr:colOff>
                    <xdr:row>143</xdr:row>
                    <xdr:rowOff>0</xdr:rowOff>
                  </from>
                  <to>
                    <xdr:col>22</xdr:col>
                    <xdr:colOff>184150</xdr:colOff>
                    <xdr:row>143</xdr:row>
                    <xdr:rowOff>184150</xdr:rowOff>
                  </to>
                </anchor>
              </controlPr>
            </control>
          </mc:Choice>
        </mc:AlternateContent>
        <mc:AlternateContent xmlns:mc="http://schemas.openxmlformats.org/markup-compatibility/2006">
          <mc:Choice Requires="x14">
            <control shapeId="6178" r:id="rId19" name="Check Box 34">
              <controlPr locked="0" defaultSize="0" autoFill="0" autoLine="0" autoPict="0">
                <anchor moveWithCells="1" sizeWithCells="1">
                  <from>
                    <xdr:col>22</xdr:col>
                    <xdr:colOff>0</xdr:colOff>
                    <xdr:row>142</xdr:row>
                    <xdr:rowOff>0</xdr:rowOff>
                  </from>
                  <to>
                    <xdr:col>22</xdr:col>
                    <xdr:colOff>184150</xdr:colOff>
                    <xdr:row>142</xdr:row>
                    <xdr:rowOff>184150</xdr:rowOff>
                  </to>
                </anchor>
              </controlPr>
            </control>
          </mc:Choice>
        </mc:AlternateContent>
        <mc:AlternateContent xmlns:mc="http://schemas.openxmlformats.org/markup-compatibility/2006">
          <mc:Choice Requires="x14">
            <control shapeId="6180" r:id="rId20" name="Check Box 36">
              <controlPr locked="0" defaultSize="0" autoFill="0" autoLine="0" autoPict="0">
                <anchor moveWithCells="1" sizeWithCells="1">
                  <from>
                    <xdr:col>22</xdr:col>
                    <xdr:colOff>0</xdr:colOff>
                    <xdr:row>166</xdr:row>
                    <xdr:rowOff>0</xdr:rowOff>
                  </from>
                  <to>
                    <xdr:col>22</xdr:col>
                    <xdr:colOff>184150</xdr:colOff>
                    <xdr:row>166</xdr:row>
                    <xdr:rowOff>184150</xdr:rowOff>
                  </to>
                </anchor>
              </controlPr>
            </control>
          </mc:Choice>
        </mc:AlternateContent>
        <mc:AlternateContent xmlns:mc="http://schemas.openxmlformats.org/markup-compatibility/2006">
          <mc:Choice Requires="x14">
            <control shapeId="6181" r:id="rId21" name="Check Box 37">
              <controlPr locked="0" defaultSize="0" autoFill="0" autoLine="0" autoPict="0">
                <anchor moveWithCells="1" sizeWithCells="1">
                  <from>
                    <xdr:col>22</xdr:col>
                    <xdr:colOff>0</xdr:colOff>
                    <xdr:row>164</xdr:row>
                    <xdr:rowOff>0</xdr:rowOff>
                  </from>
                  <to>
                    <xdr:col>22</xdr:col>
                    <xdr:colOff>184150</xdr:colOff>
                    <xdr:row>164</xdr:row>
                    <xdr:rowOff>184150</xdr:rowOff>
                  </to>
                </anchor>
              </controlPr>
            </control>
          </mc:Choice>
        </mc:AlternateContent>
        <mc:AlternateContent xmlns:mc="http://schemas.openxmlformats.org/markup-compatibility/2006">
          <mc:Choice Requires="x14">
            <control shapeId="6182" r:id="rId22" name="Check Box 38">
              <controlPr locked="0" defaultSize="0" autoFill="0" autoLine="0" autoPict="0">
                <anchor moveWithCells="1" sizeWithCells="1">
                  <from>
                    <xdr:col>22</xdr:col>
                    <xdr:colOff>0</xdr:colOff>
                    <xdr:row>161</xdr:row>
                    <xdr:rowOff>0</xdr:rowOff>
                  </from>
                  <to>
                    <xdr:col>22</xdr:col>
                    <xdr:colOff>184150</xdr:colOff>
                    <xdr:row>161</xdr:row>
                    <xdr:rowOff>184150</xdr:rowOff>
                  </to>
                </anchor>
              </controlPr>
            </control>
          </mc:Choice>
        </mc:AlternateContent>
        <mc:AlternateContent xmlns:mc="http://schemas.openxmlformats.org/markup-compatibility/2006">
          <mc:Choice Requires="x14">
            <control shapeId="6184" r:id="rId23" name="Check Box 40">
              <controlPr locked="0" defaultSize="0" autoFill="0" autoLine="0" autoPict="0">
                <anchor moveWithCells="1" sizeWithCells="1">
                  <from>
                    <xdr:col>22</xdr:col>
                    <xdr:colOff>0</xdr:colOff>
                    <xdr:row>159</xdr:row>
                    <xdr:rowOff>0</xdr:rowOff>
                  </from>
                  <to>
                    <xdr:col>22</xdr:col>
                    <xdr:colOff>184150</xdr:colOff>
                    <xdr:row>159</xdr:row>
                    <xdr:rowOff>184150</xdr:rowOff>
                  </to>
                </anchor>
              </controlPr>
            </control>
          </mc:Choice>
        </mc:AlternateContent>
        <mc:AlternateContent xmlns:mc="http://schemas.openxmlformats.org/markup-compatibility/2006">
          <mc:Choice Requires="x14">
            <control shapeId="6185" r:id="rId24" name="Check Box 41">
              <controlPr locked="0" defaultSize="0" autoFill="0" autoLine="0" autoPict="0">
                <anchor moveWithCells="1" sizeWithCells="1">
                  <from>
                    <xdr:col>22</xdr:col>
                    <xdr:colOff>0</xdr:colOff>
                    <xdr:row>160</xdr:row>
                    <xdr:rowOff>0</xdr:rowOff>
                  </from>
                  <to>
                    <xdr:col>22</xdr:col>
                    <xdr:colOff>184150</xdr:colOff>
                    <xdr:row>160</xdr:row>
                    <xdr:rowOff>184150</xdr:rowOff>
                  </to>
                </anchor>
              </controlPr>
            </control>
          </mc:Choice>
        </mc:AlternateContent>
        <mc:AlternateContent xmlns:mc="http://schemas.openxmlformats.org/markup-compatibility/2006">
          <mc:Choice Requires="x14">
            <control shapeId="6186" r:id="rId25" name="Check Box 42">
              <controlPr locked="0" defaultSize="0" autoFill="0" autoLine="0" autoPict="0">
                <anchor moveWithCells="1" sizeWithCells="1">
                  <from>
                    <xdr:col>22</xdr:col>
                    <xdr:colOff>0</xdr:colOff>
                    <xdr:row>152</xdr:row>
                    <xdr:rowOff>0</xdr:rowOff>
                  </from>
                  <to>
                    <xdr:col>22</xdr:col>
                    <xdr:colOff>184150</xdr:colOff>
                    <xdr:row>152</xdr:row>
                    <xdr:rowOff>184150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BI281"/>
  <sheetViews>
    <sheetView showGridLines="0" zoomScaleNormal="100" workbookViewId="0">
      <pane ySplit="7" topLeftCell="A240" activePane="bottomLeft" state="frozen"/>
      <selection pane="bottomLeft" activeCell="X222" sqref="X222:X224"/>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35" customWidth="1"/>
    <col min="14" max="14" width="7.7265625" hidden="1" customWidth="1"/>
    <col min="15" max="15" width="7.7265625" customWidth="1"/>
    <col min="16" max="21" width="8.81640625" hidden="1" customWidth="1"/>
    <col min="22" max="22" width="3" hidden="1" customWidth="1"/>
    <col min="23" max="23" width="21.453125" customWidth="1"/>
    <col min="24" max="24" width="69" customWidth="1"/>
    <col min="25" max="26" width="34.81640625" hidden="1" customWidth="1"/>
    <col min="27" max="37" width="9.1796875" hidden="1" customWidth="1"/>
    <col min="38" max="38" width="16.453125" hidden="1" customWidth="1"/>
    <col min="39" max="39" width="2.1796875" hidden="1" customWidth="1"/>
    <col min="40" max="40" width="14.26953125" hidden="1" customWidth="1"/>
    <col min="41" max="41" width="2.1796875" hidden="1" customWidth="1"/>
    <col min="42" max="42" width="14.26953125" hidden="1" customWidth="1"/>
    <col min="43" max="43" width="2.1796875" hidden="1" customWidth="1"/>
    <col min="44" max="44" width="14.1796875" hidden="1" customWidth="1"/>
    <col min="45" max="45" width="2.1796875" hidden="1" customWidth="1"/>
    <col min="46" max="61" width="9.1796875" hidden="1" customWidth="1"/>
  </cols>
  <sheetData>
    <row r="1" spans="1:61" x14ac:dyDescent="0.35">
      <c r="H1" s="715" t="s">
        <v>4600</v>
      </c>
      <c r="I1" s="726" t="str">
        <f ca="1">IF(OR(AG3,AI3),"Errors on page, no Level reached","Current Chapter level: "&amp;AG1&amp;"                                            Total Points: "&amp;AG2)</f>
        <v>Current Chapter level: Bronze                                            Total Points: 38</v>
      </c>
      <c r="J1" s="726"/>
      <c r="K1" s="726"/>
      <c r="L1" s="726"/>
      <c r="M1" s="716"/>
      <c r="N1" s="716"/>
      <c r="O1" s="716"/>
      <c r="P1" s="716"/>
      <c r="Q1" s="716"/>
      <c r="R1" s="716"/>
      <c r="S1" s="716"/>
      <c r="T1" s="716"/>
      <c r="U1" s="716"/>
      <c r="V1" s="716"/>
      <c r="W1" s="716"/>
      <c r="X1" s="593" t="s">
        <v>4563</v>
      </c>
      <c r="AF1" s="6" t="s">
        <v>821</v>
      </c>
      <c r="AG1" t="str">
        <f ca="1">IF(OR(AG3,AI3),"None",Ch9Level)</f>
        <v>Bronze</v>
      </c>
    </row>
    <row r="2" spans="1:61" x14ac:dyDescent="0.35">
      <c r="H2" s="715"/>
      <c r="I2" s="727" t="str">
        <f ca="1">"Points away from:  Bronze: "&amp;MAX(Points!C19-Ch9Points,0)&amp;",  Silver: "&amp;MAX(Points!D19-Ch9Points,0)&amp;",  Gold: "&amp;MAX(Points!E19-Ch9Points,0)&amp;",  Emerald: "&amp;MAX(Points!F19-Ch9Points,0)</f>
        <v>Points away from:  Bronze: 0,  Silver: 4,  Gold: 31,  Emerald: 59</v>
      </c>
      <c r="J2" s="727"/>
      <c r="K2" s="727"/>
      <c r="L2" s="727"/>
      <c r="M2" s="716"/>
      <c r="N2" s="716"/>
      <c r="O2" s="716"/>
      <c r="P2" s="716"/>
      <c r="Q2" s="716"/>
      <c r="R2" s="716"/>
      <c r="S2" s="716"/>
      <c r="T2" s="716"/>
      <c r="U2" s="716"/>
      <c r="V2" s="716"/>
      <c r="W2" s="716"/>
      <c r="X2" s="593" t="s">
        <v>3728</v>
      </c>
      <c r="AF2" s="6" t="s">
        <v>822</v>
      </c>
      <c r="AG2">
        <f ca="1">INDIRECT(AF2)</f>
        <v>38</v>
      </c>
      <c r="AH2" t="s">
        <v>824</v>
      </c>
      <c r="AI2">
        <f ca="1">INDIRECT(AH2)</f>
        <v>4</v>
      </c>
    </row>
    <row r="3" spans="1:61" x14ac:dyDescent="0.35">
      <c r="H3" s="715"/>
      <c r="I3" s="727" t="str">
        <f ca="1">"Add'l pts earned above:  Bronze: "&amp; MAX(0,Ch9Points-Points!C19) &amp;",  Silver: " &amp; MAX(0,Ch9Points-Points!D19) &amp;",  Gold: " &amp; MAX(0,Ch9Points-Points!E19) &amp;",  Emerald: " &amp; MAX(0,Ch9Points-Points!F19)</f>
        <v>Add'l pts earned above:  Bronze: 13,  Silver: 0,  Gold: 0,  Emerald: 0</v>
      </c>
      <c r="J3" s="727"/>
      <c r="K3" s="727"/>
      <c r="L3" s="727"/>
      <c r="M3" s="716"/>
      <c r="N3" s="716"/>
      <c r="O3" s="716"/>
      <c r="P3" s="716"/>
      <c r="Q3" s="716"/>
      <c r="R3" s="716"/>
      <c r="S3" s="716"/>
      <c r="T3" s="716"/>
      <c r="U3" s="716"/>
      <c r="V3" s="716"/>
      <c r="W3" s="716"/>
      <c r="X3" s="593" t="s">
        <v>3727</v>
      </c>
      <c r="AF3" s="6" t="s">
        <v>823</v>
      </c>
      <c r="AG3" t="b">
        <f>OR(AE:AE)</f>
        <v>0</v>
      </c>
      <c r="AH3" s="6" t="s">
        <v>825</v>
      </c>
      <c r="AI3" t="b">
        <f ca="1">OR(AD:AD)</f>
        <v>0</v>
      </c>
    </row>
    <row r="4" spans="1:61" x14ac:dyDescent="0.35">
      <c r="H4" s="715"/>
      <c r="I4" s="730" t="str">
        <f>"Total Chapter Points needed for:  Bronze: "&amp;Points!C19&amp;",  Silver: "&amp;Points!D19&amp;",  Gold: "&amp;Points!E19&amp;",  Emerald: "&amp;Points!F19</f>
        <v>Total Chapter Points needed for:  Bronze: 25,  Silver: 42,  Gold: 69,  Emerald: 97</v>
      </c>
      <c r="J4" s="731"/>
      <c r="K4" s="731"/>
      <c r="L4" s="732"/>
      <c r="M4" s="716"/>
      <c r="N4" s="716"/>
      <c r="O4" s="716"/>
      <c r="P4" s="716"/>
      <c r="Q4" s="716"/>
      <c r="R4" s="716"/>
      <c r="S4" s="716"/>
      <c r="T4" s="716"/>
      <c r="U4" s="716"/>
      <c r="V4" s="716"/>
      <c r="W4" s="716"/>
      <c r="X4" s="639" t="s">
        <v>4629</v>
      </c>
      <c r="AF4" s="6"/>
      <c r="AH4" s="6"/>
    </row>
    <row r="5" spans="1:61" x14ac:dyDescent="0.35">
      <c r="H5" s="715"/>
      <c r="I5" s="733" t="str">
        <f>"Revision Date:  "&amp;TEXT('Info &amp; Intro'!E7,"m/d/yyyy")</f>
        <v>Revision Date:  5/26/2023</v>
      </c>
      <c r="J5" s="734"/>
      <c r="K5" s="734"/>
      <c r="L5" s="735"/>
      <c r="M5" s="716"/>
      <c r="N5" s="716"/>
      <c r="O5" s="716"/>
      <c r="P5" s="716"/>
      <c r="Q5" s="716"/>
      <c r="R5" s="716"/>
      <c r="S5" s="716"/>
      <c r="T5" s="716"/>
      <c r="U5" s="716"/>
      <c r="V5" s="716"/>
      <c r="W5" s="716"/>
      <c r="X5" s="639"/>
      <c r="AF5" s="6"/>
      <c r="AH5" s="6"/>
    </row>
    <row r="6" spans="1:61" x14ac:dyDescent="0.35">
      <c r="H6" s="715"/>
      <c r="I6" s="702" t="s">
        <v>261</v>
      </c>
      <c r="J6" s="703"/>
      <c r="K6" s="704"/>
      <c r="L6" s="705" t="s">
        <v>1310</v>
      </c>
      <c r="M6" s="705" t="s">
        <v>262</v>
      </c>
      <c r="N6" s="705"/>
      <c r="O6" s="23" t="s">
        <v>336</v>
      </c>
      <c r="P6" s="705" t="s">
        <v>4626</v>
      </c>
      <c r="Q6" s="705" t="s">
        <v>327</v>
      </c>
      <c r="R6" s="705" t="s">
        <v>263</v>
      </c>
      <c r="S6" s="705" t="s">
        <v>264</v>
      </c>
      <c r="T6" s="705" t="s">
        <v>0</v>
      </c>
      <c r="U6" s="705" t="s">
        <v>4627</v>
      </c>
      <c r="V6" s="705"/>
      <c r="W6" s="705" t="s">
        <v>265</v>
      </c>
      <c r="X6" s="728" t="s">
        <v>1</v>
      </c>
      <c r="AC6" s="2" t="s">
        <v>325</v>
      </c>
      <c r="AD6" s="2" t="s">
        <v>0</v>
      </c>
      <c r="AE6" s="2" t="s">
        <v>324</v>
      </c>
    </row>
    <row r="7" spans="1:61" x14ac:dyDescent="0.35">
      <c r="H7" s="715"/>
      <c r="I7" s="702"/>
      <c r="J7" s="703"/>
      <c r="K7" s="704"/>
      <c r="L7" s="705"/>
      <c r="M7" s="705"/>
      <c r="N7" s="705"/>
      <c r="O7" s="23" t="s">
        <v>337</v>
      </c>
      <c r="P7" s="705"/>
      <c r="Q7" s="705"/>
      <c r="R7" s="705"/>
      <c r="S7" s="705"/>
      <c r="T7" s="705"/>
      <c r="U7" s="705"/>
      <c r="V7" s="705"/>
      <c r="W7" s="705"/>
      <c r="X7" s="729"/>
      <c r="AC7" s="2" t="s">
        <v>325</v>
      </c>
      <c r="AD7" s="2" t="s">
        <v>0</v>
      </c>
      <c r="AE7" s="2" t="s">
        <v>324</v>
      </c>
    </row>
    <row r="8" spans="1:61" hidden="1" x14ac:dyDescent="0.35">
      <c r="I8" s="548"/>
      <c r="J8" s="548"/>
      <c r="K8" s="548"/>
      <c r="L8" s="22"/>
      <c r="M8" s="22"/>
      <c r="N8" s="22"/>
      <c r="O8" s="23"/>
      <c r="P8" s="22"/>
      <c r="Q8" s="22"/>
      <c r="R8" s="22"/>
      <c r="S8" s="22"/>
      <c r="T8" s="22"/>
      <c r="U8" s="22"/>
      <c r="V8" s="22"/>
      <c r="W8" s="22"/>
      <c r="X8" s="548"/>
      <c r="AC8" s="2"/>
      <c r="AD8" s="2"/>
      <c r="AE8" s="2"/>
    </row>
    <row r="9" spans="1:61" ht="18.5" x14ac:dyDescent="0.45">
      <c r="A9" s="12" t="s">
        <v>260</v>
      </c>
      <c r="B9" s="12" t="s">
        <v>260</v>
      </c>
      <c r="C9" s="12" t="s">
        <v>260</v>
      </c>
      <c r="D9" s="12" t="s">
        <v>260</v>
      </c>
      <c r="E9" s="12" t="s">
        <v>260</v>
      </c>
      <c r="F9" s="12" t="s">
        <v>260</v>
      </c>
      <c r="G9" s="12" t="s">
        <v>260</v>
      </c>
      <c r="H9" s="552"/>
      <c r="I9" s="14" t="s">
        <v>3345</v>
      </c>
      <c r="J9" s="14"/>
      <c r="K9" s="14"/>
      <c r="L9" s="15"/>
      <c r="M9" s="16"/>
      <c r="N9" t="s">
        <v>260</v>
      </c>
      <c r="O9" s="16"/>
      <c r="P9" t="s">
        <v>260</v>
      </c>
      <c r="Q9" t="s">
        <v>260</v>
      </c>
      <c r="R9" t="s">
        <v>260</v>
      </c>
      <c r="S9" t="s">
        <v>260</v>
      </c>
      <c r="T9" t="s">
        <v>260</v>
      </c>
      <c r="U9" t="s">
        <v>260</v>
      </c>
      <c r="V9" t="s">
        <v>260</v>
      </c>
      <c r="W9" s="15"/>
      <c r="X9" s="15"/>
      <c r="Y9" s="21" t="s">
        <v>260</v>
      </c>
      <c r="Z9" s="21" t="s">
        <v>260</v>
      </c>
      <c r="AA9" s="21" t="s">
        <v>260</v>
      </c>
      <c r="AB9" s="21" t="s">
        <v>260</v>
      </c>
      <c r="AC9" s="21" t="s">
        <v>260</v>
      </c>
      <c r="AD9" s="21" t="s">
        <v>260</v>
      </c>
      <c r="AE9" s="21" t="s">
        <v>260</v>
      </c>
      <c r="AF9" s="21" t="s">
        <v>260</v>
      </c>
      <c r="AG9" s="21" t="s">
        <v>260</v>
      </c>
      <c r="AH9" s="21" t="s">
        <v>260</v>
      </c>
      <c r="AI9" s="21" t="s">
        <v>260</v>
      </c>
      <c r="AJ9" s="21" t="s">
        <v>260</v>
      </c>
      <c r="AK9" s="21" t="s">
        <v>260</v>
      </c>
      <c r="AL9" s="21" t="s">
        <v>260</v>
      </c>
      <c r="AM9" s="21" t="s">
        <v>260</v>
      </c>
      <c r="AN9" s="21" t="s">
        <v>260</v>
      </c>
      <c r="AO9" s="21" t="s">
        <v>260</v>
      </c>
      <c r="AP9" s="21" t="s">
        <v>260</v>
      </c>
      <c r="AQ9" s="21" t="s">
        <v>260</v>
      </c>
      <c r="AR9" s="21" t="s">
        <v>260</v>
      </c>
      <c r="AS9" s="21" t="s">
        <v>260</v>
      </c>
      <c r="AT9" s="21" t="s">
        <v>260</v>
      </c>
      <c r="AU9" s="21" t="s">
        <v>260</v>
      </c>
      <c r="AV9" s="21" t="s">
        <v>260</v>
      </c>
      <c r="AW9" s="21" t="s">
        <v>260</v>
      </c>
      <c r="AX9" s="21" t="s">
        <v>260</v>
      </c>
      <c r="AY9" s="21" t="s">
        <v>260</v>
      </c>
      <c r="AZ9" s="21" t="s">
        <v>260</v>
      </c>
      <c r="BA9" s="21" t="s">
        <v>260</v>
      </c>
      <c r="BB9" s="21" t="s">
        <v>260</v>
      </c>
      <c r="BC9" s="21" t="s">
        <v>260</v>
      </c>
      <c r="BD9" s="21" t="s">
        <v>260</v>
      </c>
      <c r="BE9" s="21" t="s">
        <v>260</v>
      </c>
      <c r="BF9" s="21" t="s">
        <v>260</v>
      </c>
      <c r="BG9" s="21" t="s">
        <v>260</v>
      </c>
      <c r="BH9" s="21" t="s">
        <v>260</v>
      </c>
      <c r="BI9" s="21" t="s">
        <v>260</v>
      </c>
    </row>
    <row r="10" spans="1:61" x14ac:dyDescent="0.35">
      <c r="B10" s="452" t="s">
        <v>4359</v>
      </c>
      <c r="C10" s="13"/>
      <c r="D10" s="13"/>
      <c r="E10" s="13"/>
      <c r="F10" s="13"/>
      <c r="G10" s="13"/>
      <c r="H10" s="550"/>
      <c r="I10" s="41" t="s">
        <v>4359</v>
      </c>
      <c r="J10" s="4"/>
      <c r="K10" s="4"/>
      <c r="L10" s="110" t="s">
        <v>3346</v>
      </c>
      <c r="M10" s="109"/>
      <c r="O10" s="43"/>
    </row>
    <row r="11" spans="1:61" x14ac:dyDescent="0.35">
      <c r="B11" s="452">
        <v>901.1</v>
      </c>
      <c r="C11" s="13"/>
      <c r="D11" s="13"/>
      <c r="E11" s="13"/>
      <c r="F11" s="13"/>
      <c r="G11" s="13"/>
      <c r="H11" s="550"/>
      <c r="I11" s="166">
        <v>901.1</v>
      </c>
      <c r="J11" s="4"/>
      <c r="K11" s="4"/>
      <c r="L11" s="110" t="s">
        <v>3347</v>
      </c>
      <c r="M11" s="109"/>
      <c r="O11" s="43"/>
      <c r="AX11" s="6" t="str">
        <f>'Overview (Design)'!A10</f>
        <v>Builder Name:</v>
      </c>
      <c r="AY11" t="str">
        <f>'Overview (Design)'!G10</f>
        <v>ABC Builder</v>
      </c>
    </row>
    <row r="12" spans="1:61" x14ac:dyDescent="0.35">
      <c r="B12" s="452" t="s">
        <v>3348</v>
      </c>
      <c r="C12" s="13"/>
      <c r="D12" s="13"/>
      <c r="E12" s="13"/>
      <c r="F12" s="13"/>
      <c r="G12" s="13"/>
      <c r="H12" s="550"/>
      <c r="I12" s="166" t="s">
        <v>3348</v>
      </c>
      <c r="J12" s="4"/>
      <c r="K12" s="4"/>
      <c r="L12" s="706" t="s">
        <v>3349</v>
      </c>
      <c r="M12" s="690">
        <v>5</v>
      </c>
      <c r="N12" s="4"/>
      <c r="O12" s="696">
        <f>M12*S12*W12</f>
        <v>0</v>
      </c>
      <c r="P12" t="b">
        <v>1</v>
      </c>
      <c r="Q12" t="b">
        <v>1</v>
      </c>
      <c r="R12" t="b">
        <v>0</v>
      </c>
      <c r="S12" t="b">
        <v>1</v>
      </c>
      <c r="T12" t="b">
        <v>0</v>
      </c>
      <c r="W12" s="17"/>
      <c r="X12" s="688"/>
      <c r="AC12" t="b">
        <f>OR(AD12:AE12)</f>
        <v>0</v>
      </c>
      <c r="AD12" t="b">
        <f>T12</f>
        <v>0</v>
      </c>
      <c r="AE12" t="b">
        <f>AND(R12,NOT(W12))</f>
        <v>0</v>
      </c>
      <c r="AL12" t="str">
        <f>SUBSTITUTE(SUBSTITUTE(SUBSTITUTE("dpa"&amp;$B12&amp;$C12&amp;$D12&amp;$E12&amp;$F12,".","_"),"(","_"),")","")</f>
        <v>dpa901_1_1</v>
      </c>
      <c r="AM12">
        <f>M12</f>
        <v>5</v>
      </c>
      <c r="AN12" t="str">
        <f>SUBSTITUTE(SUBSTITUTE(SUBSTITUTE("dpc"&amp;$B12&amp;$C12&amp;$D12&amp;$E12&amp;$F12,".","_"),"(","_"),")","")</f>
        <v>dpc901_1_1</v>
      </c>
      <c r="AO12">
        <f>O12</f>
        <v>0</v>
      </c>
      <c r="AP12" t="str">
        <f>SUBSTITUTE(SUBSTITUTE(SUBSTITUTE("dch"&amp;$B12&amp;$C12&amp;$D12&amp;$E12&amp;$F12,".","_"),"(","_"),")","")</f>
        <v>dch901_1_1</v>
      </c>
      <c r="AQ12">
        <f>W12</f>
        <v>0</v>
      </c>
      <c r="AR12" t="str">
        <f>SUBSTITUTE(SUBSTITUTE(SUBSTITUTE("dnt"&amp;$B12&amp;$C12&amp;$D12&amp;$E12&amp;$F12,".","_"),"(","_"),")","")</f>
        <v>dnt901_1_1</v>
      </c>
      <c r="AS12">
        <f>X12</f>
        <v>0</v>
      </c>
      <c r="AX12" s="6" t="str">
        <f>'Overview (Design)'!A11</f>
        <v>Physical Address of Home:</v>
      </c>
      <c r="AY12" t="str">
        <f>'Overview (Design)'!G11</f>
        <v>123 Example Drive</v>
      </c>
    </row>
    <row r="13" spans="1:61" x14ac:dyDescent="0.35">
      <c r="B13" s="452" t="s">
        <v>3348</v>
      </c>
      <c r="C13" s="13"/>
      <c r="D13" s="13"/>
      <c r="E13" s="13"/>
      <c r="F13" s="13"/>
      <c r="G13" s="13"/>
      <c r="H13" s="550"/>
      <c r="I13" s="108"/>
      <c r="J13" s="4"/>
      <c r="K13" s="4"/>
      <c r="L13" s="706"/>
      <c r="M13" s="690"/>
      <c r="N13" s="4"/>
      <c r="O13" s="696"/>
      <c r="X13" s="688"/>
      <c r="AX13" s="6" t="str">
        <f>'Overview (Design)'!A12</f>
        <v>Community/Lot #:</v>
      </c>
      <c r="AY13" t="str">
        <f>'Overview (Design)'!G12</f>
        <v>Lot 1A</v>
      </c>
    </row>
    <row r="14" spans="1:61" x14ac:dyDescent="0.35">
      <c r="B14" s="452" t="s">
        <v>3348</v>
      </c>
      <c r="C14" s="13"/>
      <c r="D14" s="13"/>
      <c r="E14" s="13"/>
      <c r="F14" s="13"/>
      <c r="G14" s="13"/>
      <c r="H14" s="550"/>
      <c r="I14" s="108"/>
      <c r="J14" s="4"/>
      <c r="K14" s="4"/>
      <c r="L14" s="706"/>
      <c r="M14" s="690"/>
      <c r="N14" s="4"/>
      <c r="O14" s="696"/>
      <c r="X14" s="688"/>
      <c r="AX14" s="6" t="str">
        <f>'Overview (Design)'!A13</f>
        <v>City:</v>
      </c>
      <c r="AY14" t="str">
        <f>'Overview (Design)'!G13</f>
        <v>Durham</v>
      </c>
    </row>
    <row r="15" spans="1:61" x14ac:dyDescent="0.35">
      <c r="B15" s="452" t="s">
        <v>3348</v>
      </c>
      <c r="C15" s="13"/>
      <c r="D15" s="13"/>
      <c r="E15" s="13"/>
      <c r="F15" s="13"/>
      <c r="G15" s="13"/>
      <c r="H15" s="550"/>
      <c r="I15" s="108"/>
      <c r="J15" s="4"/>
      <c r="K15" s="4"/>
      <c r="L15" s="706"/>
      <c r="M15" s="690"/>
      <c r="N15" s="4"/>
      <c r="O15" s="696"/>
      <c r="X15" s="688"/>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452" t="s">
        <v>3348</v>
      </c>
      <c r="C16" s="13"/>
      <c r="D16" s="13"/>
      <c r="E16" s="13"/>
      <c r="F16" s="13"/>
      <c r="G16" s="13"/>
      <c r="H16" s="550"/>
      <c r="I16" s="108"/>
      <c r="J16" s="4"/>
      <c r="K16" s="4"/>
      <c r="L16" s="791" t="s">
        <v>3594</v>
      </c>
      <c r="M16" s="690"/>
      <c r="N16" s="4"/>
      <c r="O16" s="696"/>
      <c r="X16" s="688"/>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452" t="s">
        <v>3348</v>
      </c>
      <c r="C17" s="13"/>
      <c r="D17" s="13"/>
      <c r="E17" s="13"/>
      <c r="F17" s="13"/>
      <c r="G17" s="13"/>
      <c r="H17" s="550"/>
      <c r="I17" s="353"/>
      <c r="J17" s="155"/>
      <c r="K17" s="155"/>
      <c r="L17" s="801"/>
      <c r="M17" s="691"/>
      <c r="N17" s="155"/>
      <c r="O17" s="697"/>
      <c r="P17" s="119"/>
      <c r="Q17" s="119"/>
      <c r="R17" s="119"/>
      <c r="S17" s="119"/>
      <c r="T17" s="119"/>
      <c r="U17" s="119"/>
      <c r="V17" s="119"/>
      <c r="W17" s="119"/>
      <c r="X17" s="688"/>
      <c r="AX17" s="6" t="str">
        <f>'Overview (Design)'!A16</f>
        <v>Zip:</v>
      </c>
      <c r="AY17" t="str">
        <f>'Overview (Design)'!G16</f>
        <v>27703</v>
      </c>
    </row>
    <row r="18" spans="2:51" x14ac:dyDescent="0.35">
      <c r="B18" s="452" t="s">
        <v>3350</v>
      </c>
      <c r="C18" s="13"/>
      <c r="D18" s="13"/>
      <c r="E18" s="13"/>
      <c r="F18" s="13"/>
      <c r="G18" s="13"/>
      <c r="H18" s="550"/>
      <c r="I18" s="135" t="s">
        <v>3350</v>
      </c>
      <c r="J18" s="136"/>
      <c r="K18" s="136"/>
      <c r="L18" s="753" t="s">
        <v>3351</v>
      </c>
      <c r="M18" s="712">
        <v>5</v>
      </c>
      <c r="N18" s="136"/>
      <c r="O18" s="713">
        <f>M18*S18*W18</f>
        <v>5</v>
      </c>
      <c r="P18" t="b">
        <v>1</v>
      </c>
      <c r="Q18" t="b">
        <v>0</v>
      </c>
      <c r="R18" s="138" t="b">
        <v>0</v>
      </c>
      <c r="S18" s="138" t="b">
        <v>1</v>
      </c>
      <c r="T18" s="138" t="b">
        <v>0</v>
      </c>
      <c r="U18" s="138"/>
      <c r="V18" s="138"/>
      <c r="W18" s="17" t="b">
        <v>1</v>
      </c>
      <c r="X18" s="688"/>
      <c r="AC18" t="b">
        <f>OR(AD18:AE18)</f>
        <v>0</v>
      </c>
      <c r="AD18" t="b">
        <f>T18</f>
        <v>0</v>
      </c>
      <c r="AE18" t="b">
        <f>AND(R18,NOT(W18))</f>
        <v>0</v>
      </c>
      <c r="AL18" t="str">
        <f>SUBSTITUTE(SUBSTITUTE(SUBSTITUTE("dpa"&amp;$B18&amp;$C18&amp;$D18&amp;$E18&amp;$F18,".","_"),"(","_"),")","")</f>
        <v>dpa901_1_2</v>
      </c>
      <c r="AM18">
        <f>M18</f>
        <v>5</v>
      </c>
      <c r="AN18" t="str">
        <f>SUBSTITUTE(SUBSTITUTE(SUBSTITUTE("dpc"&amp;$B18&amp;$C18&amp;$D18&amp;$E18&amp;$F18,".","_"),"(","_"),")","")</f>
        <v>dpc901_1_2</v>
      </c>
      <c r="AO18">
        <f>O18</f>
        <v>5</v>
      </c>
      <c r="AP18" t="str">
        <f>SUBSTITUTE(SUBSTITUTE(SUBSTITUTE("dch"&amp;$B18&amp;$C18&amp;$D18&amp;$E18&amp;$F18,".","_"),"(","_"),")","")</f>
        <v>dch901_1_2</v>
      </c>
      <c r="AQ18" t="b">
        <f>W18</f>
        <v>1</v>
      </c>
      <c r="AR18" t="str">
        <f>SUBSTITUTE(SUBSTITUTE(SUBSTITUTE("dnt"&amp;$B18&amp;$C18&amp;$D18&amp;$E18&amp;$F18,".","_"),"(","_"),")","")</f>
        <v>dnt901_1_2</v>
      </c>
      <c r="AS18">
        <f>X18</f>
        <v>0</v>
      </c>
      <c r="AX18" s="6"/>
    </row>
    <row r="19" spans="2:51" x14ac:dyDescent="0.35">
      <c r="B19" s="452" t="s">
        <v>3350</v>
      </c>
      <c r="C19" s="13"/>
      <c r="D19" s="13"/>
      <c r="E19" s="13"/>
      <c r="F19" s="13"/>
      <c r="G19" s="13"/>
      <c r="H19" s="550"/>
      <c r="I19" s="108"/>
      <c r="J19" s="4"/>
      <c r="K19" s="4"/>
      <c r="L19" s="706"/>
      <c r="M19" s="690"/>
      <c r="N19" s="4"/>
      <c r="O19" s="696"/>
      <c r="X19" s="688"/>
      <c r="AX19" s="6" t="str">
        <f>'Overview (Design)'!A18</f>
        <v>Single-Family or Multifamily:</v>
      </c>
      <c r="AY19" t="str">
        <f>'Overview (Design)'!G18</f>
        <v>Single-Family</v>
      </c>
    </row>
    <row r="20" spans="2:51" x14ac:dyDescent="0.35">
      <c r="B20" s="452" t="s">
        <v>3350</v>
      </c>
      <c r="C20" s="13"/>
      <c r="D20" s="13"/>
      <c r="E20" s="13"/>
      <c r="F20" s="13"/>
      <c r="G20" s="13"/>
      <c r="H20" s="550"/>
      <c r="I20" s="353"/>
      <c r="J20" s="155"/>
      <c r="K20" s="155"/>
      <c r="L20" s="121" t="s">
        <v>3922</v>
      </c>
      <c r="M20" s="198"/>
      <c r="N20" s="155"/>
      <c r="O20" s="342"/>
      <c r="P20" s="119"/>
      <c r="Q20" s="119"/>
      <c r="R20" s="119"/>
      <c r="S20" s="119"/>
      <c r="T20" s="119"/>
      <c r="U20" s="119"/>
      <c r="V20" s="119"/>
      <c r="W20" s="119"/>
      <c r="X20" s="688"/>
      <c r="AX20" s="6" t="str">
        <f>'Overview (Design)'!A19</f>
        <v>Number of Units:</v>
      </c>
      <c r="AY20">
        <f>'Overview (Design)'!G19</f>
        <v>0</v>
      </c>
    </row>
    <row r="21" spans="2:51" x14ac:dyDescent="0.35">
      <c r="B21" s="452" t="s">
        <v>3352</v>
      </c>
      <c r="C21" s="13"/>
      <c r="D21" s="13"/>
      <c r="E21" s="13"/>
      <c r="F21" s="13"/>
      <c r="G21" s="13"/>
      <c r="H21" s="550"/>
      <c r="I21" s="32" t="s">
        <v>3352</v>
      </c>
      <c r="J21" s="4"/>
      <c r="K21" s="4"/>
      <c r="L21" s="706" t="s">
        <v>3353</v>
      </c>
      <c r="M21" s="43"/>
      <c r="N21" s="4"/>
      <c r="O21" s="85"/>
      <c r="AX21" s="6" t="str">
        <f>'Overview (Design)'!A20</f>
        <v>Project Name:</v>
      </c>
      <c r="AY21">
        <f>'Overview (Design)'!G20</f>
        <v>0</v>
      </c>
    </row>
    <row r="22" spans="2:51" x14ac:dyDescent="0.35">
      <c r="B22" s="452" t="s">
        <v>3352</v>
      </c>
      <c r="C22" s="13"/>
      <c r="D22" s="13"/>
      <c r="E22" s="13"/>
      <c r="F22" s="13"/>
      <c r="G22" s="13"/>
      <c r="H22" s="550"/>
      <c r="I22" s="108"/>
      <c r="J22" s="4"/>
      <c r="K22" s="4"/>
      <c r="L22" s="706"/>
      <c r="M22" s="43"/>
      <c r="N22" s="4"/>
      <c r="O22" s="85"/>
      <c r="AX22" s="6"/>
    </row>
    <row r="23" spans="2:51" x14ac:dyDescent="0.35">
      <c r="B23" s="452" t="s">
        <v>3352</v>
      </c>
      <c r="C23" s="13"/>
      <c r="D23" s="13"/>
      <c r="E23" s="13" t="s">
        <v>270</v>
      </c>
      <c r="F23" s="13"/>
      <c r="G23" s="13"/>
      <c r="H23" s="550"/>
      <c r="I23" s="108"/>
      <c r="J23" s="19" t="s">
        <v>270</v>
      </c>
      <c r="K23" s="4"/>
      <c r="L23" s="104" t="s">
        <v>3354</v>
      </c>
      <c r="M23" s="43"/>
      <c r="N23" s="4"/>
      <c r="O23" s="85">
        <f ca="1">IFERROR(INDEX({3,5},MATCH(W23,INDIRECT(U23),0)),0)*S23</f>
        <v>0</v>
      </c>
      <c r="P23" t="b">
        <v>1</v>
      </c>
      <c r="Q23" t="b">
        <v>1</v>
      </c>
      <c r="R23" t="b">
        <v>0</v>
      </c>
      <c r="S23" t="b">
        <f>OR(AY32=INDEX(ddHeat1,1),AY32=INDEX(ddHeat1,2),AY33=INDEX(ddHeat2,1),AY33=INDEX(ddHeat2,2),AY34=INDEX(ddHeat3,1),AY34=INDEX(ddHeat3,2))</f>
        <v>1</v>
      </c>
      <c r="T23" t="b">
        <f>AND(NOT(S23),LEN(W23)&gt;0)</f>
        <v>0</v>
      </c>
      <c r="U23" t="str">
        <f>SUBSTITUTE(SUBSTITUTE(SUBSTITUTE("dd"&amp;B23&amp;C23&amp;D23&amp;E23&amp;F23,".","_"),"(","_"),")","")</f>
        <v>dd901_1_3_1</v>
      </c>
      <c r="W23" s="9"/>
      <c r="X23" s="688"/>
      <c r="AN23" t="str">
        <f>SUBSTITUTE(SUBSTITUTE(SUBSTITUTE("dpc"&amp;$B23&amp;$C23&amp;$D23&amp;$E23&amp;$F23,".","_"),"(","_"),")","")</f>
        <v>dpc901_1_3_1</v>
      </c>
      <c r="AO23">
        <f ca="1">O23</f>
        <v>0</v>
      </c>
      <c r="AP23" t="str">
        <f>SUBSTITUTE(SUBSTITUTE(SUBSTITUTE("dch"&amp;$B23&amp;$C23&amp;$D23&amp;$E23&amp;$F23,".","_"),"(","_"),")","")</f>
        <v>dch901_1_3_1</v>
      </c>
      <c r="AQ23">
        <f>W23</f>
        <v>0</v>
      </c>
      <c r="AR23" t="str">
        <f>SUBSTITUTE(SUBSTITUTE(SUBSTITUTE("dnt"&amp;$B23&amp;$C23&amp;$D23&amp;$E23&amp;$F23,".","_"),"(","_"),")","")</f>
        <v>dnt901_1_3_1</v>
      </c>
      <c r="AS23">
        <f>X23</f>
        <v>0</v>
      </c>
      <c r="AX23" s="6" t="str">
        <f>'Overview (Design)'!A22</f>
        <v>Above grade plane finished floor area:</v>
      </c>
      <c r="AY23">
        <f>'Overview (Design)'!G22</f>
        <v>2644</v>
      </c>
    </row>
    <row r="24" spans="2:51" x14ac:dyDescent="0.35">
      <c r="B24" s="452" t="s">
        <v>3352</v>
      </c>
      <c r="C24" s="13"/>
      <c r="D24" s="13"/>
      <c r="E24" s="13" t="s">
        <v>270</v>
      </c>
      <c r="F24" s="40" t="s">
        <v>121</v>
      </c>
      <c r="G24" s="40"/>
      <c r="H24" s="553"/>
      <c r="I24" s="108"/>
      <c r="J24" s="19"/>
      <c r="K24" s="19" t="s">
        <v>121</v>
      </c>
      <c r="L24" s="104" t="s">
        <v>3355</v>
      </c>
      <c r="M24" s="43">
        <v>3</v>
      </c>
      <c r="N24" s="4"/>
      <c r="O24" s="85"/>
      <c r="X24" s="688"/>
      <c r="AL24" t="str">
        <f>SUBSTITUTE(SUBSTITUTE(SUBSTITUTE("dpa"&amp;$B24&amp;$C24&amp;$D24&amp;$E24&amp;$F24,".","_"),"(","_"),")","")</f>
        <v>dpa901_1_3_1_a</v>
      </c>
      <c r="AM24">
        <f>M24</f>
        <v>3</v>
      </c>
      <c r="AX24" s="6" t="str">
        <f>'Overview (Design)'!A23</f>
        <v>Total conditioned floor area:</v>
      </c>
      <c r="AY24">
        <f>'Overview (Design)'!G23</f>
        <v>2644</v>
      </c>
    </row>
    <row r="25" spans="2:51" x14ac:dyDescent="0.35">
      <c r="B25" s="452" t="s">
        <v>3352</v>
      </c>
      <c r="C25" s="13"/>
      <c r="D25" s="13"/>
      <c r="E25" s="13" t="s">
        <v>270</v>
      </c>
      <c r="F25" s="40" t="s">
        <v>122</v>
      </c>
      <c r="G25" s="40"/>
      <c r="H25" s="553"/>
      <c r="I25" s="108"/>
      <c r="J25" s="148"/>
      <c r="K25" s="148" t="s">
        <v>122</v>
      </c>
      <c r="L25" s="214" t="s">
        <v>3356</v>
      </c>
      <c r="M25" s="198">
        <v>5</v>
      </c>
      <c r="N25" s="4"/>
      <c r="O25" s="342"/>
      <c r="X25" s="688"/>
      <c r="AL25" t="str">
        <f>SUBSTITUTE(SUBSTITUTE(SUBSTITUTE("dpa"&amp;$B25&amp;$C25&amp;$D25&amp;$E25&amp;$F25,".","_"),"(","_"),")","")</f>
        <v>dpa901_1_3_1_b</v>
      </c>
      <c r="AM25">
        <f>M25</f>
        <v>5</v>
      </c>
      <c r="AX25" s="6" t="str">
        <f>'Overview (Design)'!A24</f>
        <v>Stories above grade:</v>
      </c>
      <c r="AY25">
        <f>'Overview (Design)'!G24</f>
        <v>2</v>
      </c>
    </row>
    <row r="26" spans="2:51" x14ac:dyDescent="0.35">
      <c r="B26" s="452" t="s">
        <v>3352</v>
      </c>
      <c r="C26" s="13"/>
      <c r="D26" s="13"/>
      <c r="E26" s="13" t="s">
        <v>272</v>
      </c>
      <c r="F26" s="40"/>
      <c r="G26" s="40"/>
      <c r="H26" s="553"/>
      <c r="I26" s="108"/>
      <c r="J26" s="19" t="s">
        <v>272</v>
      </c>
      <c r="K26" s="4"/>
      <c r="L26" s="104" t="s">
        <v>3357</v>
      </c>
      <c r="M26" s="43"/>
      <c r="N26" s="4"/>
      <c r="O26" s="85">
        <f ca="1">IFERROR(INDEX({3,5},MATCH(W26,INDIRECT(U26),0)),0)*S26</f>
        <v>0</v>
      </c>
      <c r="P26" t="b">
        <v>1</v>
      </c>
      <c r="Q26" t="b">
        <v>1</v>
      </c>
      <c r="R26" t="b">
        <v>0</v>
      </c>
      <c r="S26" t="b">
        <v>1</v>
      </c>
      <c r="T26" t="b">
        <v>0</v>
      </c>
      <c r="U26" t="str">
        <f>SUBSTITUTE(SUBSTITUTE(SUBSTITUTE("dd"&amp;B26&amp;C26&amp;D26&amp;E26&amp;F26,".","_"),"(","_"),")","")</f>
        <v>dd901_1_3_2</v>
      </c>
      <c r="W26" s="9"/>
      <c r="X26" s="688"/>
      <c r="AN26" t="str">
        <f>SUBSTITUTE(SUBSTITUTE(SUBSTITUTE("dpc"&amp;$B26&amp;$C26&amp;$D26&amp;$E26&amp;$F26,".","_"),"(","_"),")","")</f>
        <v>dpc901_1_3_2</v>
      </c>
      <c r="AO26">
        <f ca="1">O26</f>
        <v>0</v>
      </c>
      <c r="AP26" t="str">
        <f>SUBSTITUTE(SUBSTITUTE(SUBSTITUTE("dch"&amp;$B26&amp;$C26&amp;$D26&amp;$E26&amp;$F26,".","_"),"(","_"),")","")</f>
        <v>dch901_1_3_2</v>
      </c>
      <c r="AQ26">
        <f>W26</f>
        <v>0</v>
      </c>
      <c r="AR26" t="str">
        <f>SUBSTITUTE(SUBSTITUTE(SUBSTITUTE("dnt"&amp;$B26&amp;$C26&amp;$D26&amp;$E26&amp;$F26,".","_"),"(","_"),")","")</f>
        <v>dnt901_1_3_2</v>
      </c>
      <c r="AS26">
        <f>X26</f>
        <v>0</v>
      </c>
      <c r="AX26" s="6"/>
    </row>
    <row r="27" spans="2:51" x14ac:dyDescent="0.35">
      <c r="B27" s="452" t="s">
        <v>3352</v>
      </c>
      <c r="C27" s="13"/>
      <c r="D27" s="13"/>
      <c r="E27" s="13" t="s">
        <v>272</v>
      </c>
      <c r="F27" s="40" t="s">
        <v>121</v>
      </c>
      <c r="G27" s="40"/>
      <c r="H27" s="553"/>
      <c r="I27" s="108"/>
      <c r="J27" s="4"/>
      <c r="K27" s="19" t="s">
        <v>121</v>
      </c>
      <c r="L27" s="104" t="s">
        <v>3358</v>
      </c>
      <c r="M27" s="43">
        <v>3</v>
      </c>
      <c r="N27" s="4"/>
      <c r="O27" s="85"/>
      <c r="X27" s="688"/>
      <c r="AL27" t="str">
        <f>SUBSTITUTE(SUBSTITUTE(SUBSTITUTE("dpa"&amp;$B27&amp;$C27&amp;$D27&amp;$E27&amp;$F27,".","_"),"(","_"),")","")</f>
        <v>dpa901_1_3_2_a</v>
      </c>
      <c r="AM27">
        <f>M27</f>
        <v>3</v>
      </c>
      <c r="AX27" s="6" t="str">
        <f>'Overview (Design)'!A26</f>
        <v xml:space="preserve">Project Description (optional): </v>
      </c>
      <c r="AY27">
        <f>'Overview (Design)'!G26</f>
        <v>0</v>
      </c>
    </row>
    <row r="28" spans="2:51" x14ac:dyDescent="0.35">
      <c r="B28" s="452" t="s">
        <v>3352</v>
      </c>
      <c r="C28" s="13"/>
      <c r="D28" s="13"/>
      <c r="E28" s="13" t="s">
        <v>272</v>
      </c>
      <c r="F28" s="40" t="s">
        <v>122</v>
      </c>
      <c r="G28" s="40"/>
      <c r="H28" s="553"/>
      <c r="I28" s="353"/>
      <c r="J28" s="155"/>
      <c r="K28" s="148" t="s">
        <v>122</v>
      </c>
      <c r="L28" s="214" t="s">
        <v>3359</v>
      </c>
      <c r="M28" s="198">
        <v>5</v>
      </c>
      <c r="N28" s="155"/>
      <c r="O28" s="342"/>
      <c r="P28" s="119"/>
      <c r="Q28" s="119"/>
      <c r="R28" s="119"/>
      <c r="S28" s="119"/>
      <c r="T28" s="119"/>
      <c r="U28" s="119"/>
      <c r="V28" s="119"/>
      <c r="W28" s="119"/>
      <c r="X28" s="688"/>
      <c r="AL28" t="str">
        <f>SUBSTITUTE(SUBSTITUTE(SUBSTITUTE("dpa"&amp;$B28&amp;$C28&amp;$D28&amp;$E28&amp;$F28,".","_"),"(","_"),")","")</f>
        <v>dpa901_1_3_2_b</v>
      </c>
      <c r="AM28">
        <f>M28</f>
        <v>5</v>
      </c>
      <c r="AX28" s="6"/>
    </row>
    <row r="29" spans="2:51" x14ac:dyDescent="0.35">
      <c r="B29" s="452" t="s">
        <v>3360</v>
      </c>
      <c r="C29" s="13"/>
      <c r="D29" s="13"/>
      <c r="E29" s="13"/>
      <c r="F29" s="13"/>
      <c r="G29" s="13"/>
      <c r="H29" s="550"/>
      <c r="I29" s="32" t="s">
        <v>3360</v>
      </c>
      <c r="J29" s="4"/>
      <c r="K29" s="4"/>
      <c r="L29" s="706" t="s">
        <v>3361</v>
      </c>
      <c r="M29" s="740" t="str">
        <f>IF(R29,"Mandatory","N/A")</f>
        <v>Mandatory</v>
      </c>
      <c r="N29" s="4"/>
      <c r="O29" s="85"/>
      <c r="P29" t="b">
        <v>1</v>
      </c>
      <c r="Q29" t="b">
        <v>0</v>
      </c>
      <c r="R29" t="b">
        <f>S29</f>
        <v>1</v>
      </c>
      <c r="S29" t="b">
        <v>1</v>
      </c>
      <c r="T29" t="b">
        <v>0</v>
      </c>
      <c r="U29" t="str">
        <f>SUBSTITUTE(SUBSTITUTE(SUBSTITUTE("dd"&amp;B29&amp;C29&amp;D29&amp;E29&amp;F29,".","_"),"(","_"),")","")</f>
        <v>dd901_1_4</v>
      </c>
      <c r="W29" s="204" t="s">
        <v>3239</v>
      </c>
      <c r="X29" s="700"/>
      <c r="AC29" t="b">
        <f>OR(AD29:AE29)</f>
        <v>0</v>
      </c>
      <c r="AD29" t="b">
        <f>T29</f>
        <v>0</v>
      </c>
      <c r="AE29" t="b">
        <f>AND(R29,OR(W29="Not Met",W29=""))</f>
        <v>0</v>
      </c>
      <c r="AL29" t="str">
        <f>SUBSTITUTE(SUBSTITUTE(SUBSTITUTE("dpa"&amp;$B29&amp;$C29&amp;$D29&amp;$E29&amp;$F29,".","_"),"(","_"),")","")</f>
        <v>dpa901_1_4</v>
      </c>
      <c r="AM29" t="str">
        <f>M29</f>
        <v>Mandatory</v>
      </c>
      <c r="AP29" t="str">
        <f>SUBSTITUTE(SUBSTITUTE(SUBSTITUTE("dch"&amp;$B29&amp;$C29&amp;$D29&amp;$E29&amp;$F29,".","_"),"(","_"),")","")</f>
        <v>dch901_1_4</v>
      </c>
      <c r="AQ29" t="str">
        <f>W29</f>
        <v>Met</v>
      </c>
      <c r="AR29" t="str">
        <f>SUBSTITUTE(SUBSTITUTE(SUBSTITUTE("dnt"&amp;$B29&amp;$C29&amp;$D29&amp;$E29&amp;$F29,".","_"),"(","_"),")","")</f>
        <v>dnt901_1_4</v>
      </c>
      <c r="AS29">
        <f>X29</f>
        <v>0</v>
      </c>
      <c r="AX29" s="6" t="str">
        <f>'Overview (Design)'!A28</f>
        <v>HERS Index (if available):</v>
      </c>
      <c r="AY29">
        <f>'Overview (Design)'!G28</f>
        <v>0</v>
      </c>
    </row>
    <row r="30" spans="2:51" x14ac:dyDescent="0.35">
      <c r="B30" s="452" t="s">
        <v>3360</v>
      </c>
      <c r="C30" s="13"/>
      <c r="D30" s="13"/>
      <c r="E30" s="13"/>
      <c r="F30" s="13"/>
      <c r="G30" s="13"/>
      <c r="H30" s="550"/>
      <c r="I30" s="108"/>
      <c r="J30" s="4"/>
      <c r="K30" s="4"/>
      <c r="L30" s="706"/>
      <c r="M30" s="740"/>
      <c r="N30" s="4"/>
      <c r="O30" s="85"/>
      <c r="X30" s="688"/>
      <c r="AX30" s="6" t="str">
        <f>'Overview (Design)'!A29</f>
        <v>Foundation Type:</v>
      </c>
      <c r="AY30" t="str">
        <f>'Overview (Design)'!G29</f>
        <v>Conditioned crawlspace</v>
      </c>
    </row>
    <row r="31" spans="2:51" x14ac:dyDescent="0.35">
      <c r="B31" s="452" t="s">
        <v>3360</v>
      </c>
      <c r="C31" s="13"/>
      <c r="D31" s="13"/>
      <c r="E31" s="13"/>
      <c r="F31" s="13"/>
      <c r="G31" s="13"/>
      <c r="H31" s="550"/>
      <c r="I31" s="108"/>
      <c r="J31" s="4"/>
      <c r="K31" s="4"/>
      <c r="L31" s="706"/>
      <c r="M31" s="740"/>
      <c r="N31" s="4"/>
      <c r="O31" s="85"/>
      <c r="X31" s="688"/>
      <c r="AX31" s="6">
        <f>'Overview (Design)'!A30</f>
        <v>0</v>
      </c>
      <c r="AY31">
        <f>'Overview (Design)'!G30</f>
        <v>0</v>
      </c>
    </row>
    <row r="32" spans="2:51" x14ac:dyDescent="0.35">
      <c r="B32" s="452" t="s">
        <v>3360</v>
      </c>
      <c r="C32" s="13"/>
      <c r="D32" s="13"/>
      <c r="E32" s="13"/>
      <c r="F32" s="13"/>
      <c r="G32" s="13"/>
      <c r="H32" s="550"/>
      <c r="I32" s="353"/>
      <c r="J32" s="155"/>
      <c r="K32" s="155"/>
      <c r="L32" s="739"/>
      <c r="M32" s="741"/>
      <c r="N32" s="155"/>
      <c r="O32" s="342"/>
      <c r="P32" s="119"/>
      <c r="Q32" s="119"/>
      <c r="R32" s="119"/>
      <c r="S32" s="119"/>
      <c r="T32" s="119"/>
      <c r="U32" s="119"/>
      <c r="V32" s="119"/>
      <c r="W32" s="119"/>
      <c r="X32" s="688"/>
      <c r="AX32" s="6" t="str">
        <f>'Overview (Design)'!A31</f>
        <v>Type of Heating System (main system):</v>
      </c>
      <c r="AY32" t="str">
        <f>'Overview (Design)'!G31</f>
        <v>Furnace</v>
      </c>
    </row>
    <row r="33" spans="2:51" x14ac:dyDescent="0.35">
      <c r="B33" s="452" t="s">
        <v>3362</v>
      </c>
      <c r="C33" s="13"/>
      <c r="D33" s="13"/>
      <c r="E33" s="13"/>
      <c r="F33" s="13"/>
      <c r="G33" s="13"/>
      <c r="H33" s="550"/>
      <c r="I33" s="32" t="s">
        <v>3362</v>
      </c>
      <c r="J33" s="4"/>
      <c r="K33" s="4"/>
      <c r="L33" s="706" t="s">
        <v>3363</v>
      </c>
      <c r="M33" s="690">
        <v>7</v>
      </c>
      <c r="N33" s="4"/>
      <c r="O33" s="696">
        <f>M33*S33*W33</f>
        <v>0</v>
      </c>
      <c r="P33" t="b">
        <v>1</v>
      </c>
      <c r="Q33" t="b">
        <v>1</v>
      </c>
      <c r="R33" t="b">
        <v>0</v>
      </c>
      <c r="S33" t="b">
        <f>NOT(W29="N/A")</f>
        <v>1</v>
      </c>
      <c r="T33" t="b">
        <f>AND(NOT(S33),W33=TRUE)</f>
        <v>0</v>
      </c>
      <c r="W33" s="77"/>
      <c r="X33" s="700"/>
      <c r="AC33" t="b">
        <f>OR(AD33:AE33)</f>
        <v>0</v>
      </c>
      <c r="AD33" t="b">
        <f>T33</f>
        <v>0</v>
      </c>
      <c r="AE33" t="b">
        <f>AND(R33,NOT(W33))</f>
        <v>0</v>
      </c>
      <c r="AL33" t="str">
        <f>SUBSTITUTE(SUBSTITUTE(SUBSTITUTE("dpa"&amp;$B33&amp;$C33&amp;$D33&amp;$E33&amp;$F33,".","_"),"(","_"),")","")</f>
        <v>dpa901_1_5</v>
      </c>
      <c r="AM33">
        <f>M33</f>
        <v>7</v>
      </c>
      <c r="AN33" t="str">
        <f>SUBSTITUTE(SUBSTITUTE(SUBSTITUTE("dpc"&amp;$B33&amp;$C33&amp;$D33&amp;$E33&amp;$F33,".","_"),"(","_"),")","")</f>
        <v>dpc901_1_5</v>
      </c>
      <c r="AO33">
        <f>O33</f>
        <v>0</v>
      </c>
      <c r="AP33" t="str">
        <f>SUBSTITUTE(SUBSTITUTE(SUBSTITUTE("dch"&amp;$B33&amp;$C33&amp;$D33&amp;$E33&amp;$F33,".","_"),"(","_"),")","")</f>
        <v>dch901_1_5</v>
      </c>
      <c r="AQ33">
        <f>W33</f>
        <v>0</v>
      </c>
      <c r="AR33" t="str">
        <f>SUBSTITUTE(SUBSTITUTE(SUBSTITUTE("dnt"&amp;$B33&amp;$C33&amp;$D33&amp;$E33&amp;$F33,".","_"),"(","_"),")","")</f>
        <v>dnt901_1_5</v>
      </c>
      <c r="AS33">
        <f>X33</f>
        <v>0</v>
      </c>
      <c r="AX33" s="6" t="str">
        <f>'Overview (Design)'!A32</f>
        <v>Type of Heating System (system 2):</v>
      </c>
      <c r="AY33">
        <f>'Overview (Design)'!G32</f>
        <v>0</v>
      </c>
    </row>
    <row r="34" spans="2:51" x14ac:dyDescent="0.35">
      <c r="B34" s="452" t="s">
        <v>3362</v>
      </c>
      <c r="C34" s="13"/>
      <c r="D34" s="13"/>
      <c r="E34" s="13"/>
      <c r="F34" s="13"/>
      <c r="G34" s="13"/>
      <c r="H34" s="550"/>
      <c r="I34" s="108"/>
      <c r="J34" s="4"/>
      <c r="K34" s="4"/>
      <c r="L34" s="706"/>
      <c r="M34" s="690"/>
      <c r="N34" s="4"/>
      <c r="O34" s="696"/>
      <c r="X34" s="688"/>
      <c r="AX34" s="6" t="str">
        <f>'Overview (Design)'!A33</f>
        <v>Type of Heating System (system 3):</v>
      </c>
      <c r="AY34">
        <f>'Overview (Design)'!G33</f>
        <v>0</v>
      </c>
    </row>
    <row r="35" spans="2:51" x14ac:dyDescent="0.35">
      <c r="B35" s="452" t="s">
        <v>3362</v>
      </c>
      <c r="C35" s="13"/>
      <c r="D35" s="13"/>
      <c r="E35" s="13"/>
      <c r="F35" s="13"/>
      <c r="G35" s="13"/>
      <c r="H35" s="550"/>
      <c r="I35" s="353"/>
      <c r="J35" s="155"/>
      <c r="K35" s="155"/>
      <c r="L35" s="739"/>
      <c r="M35" s="691"/>
      <c r="N35" s="155"/>
      <c r="O35" s="697"/>
      <c r="P35" s="119"/>
      <c r="Q35" s="119"/>
      <c r="R35" s="119"/>
      <c r="S35" s="119"/>
      <c r="T35" s="119"/>
      <c r="U35" s="119"/>
      <c r="V35" s="119"/>
      <c r="W35" s="119"/>
      <c r="X35" s="688"/>
      <c r="AX35" s="6" t="str">
        <f>'Overview (Design)'!A34</f>
        <v>Heating Fuel:</v>
      </c>
      <c r="AY35">
        <f>'Overview (Design)'!G34</f>
        <v>0</v>
      </c>
    </row>
    <row r="36" spans="2:51" x14ac:dyDescent="0.35">
      <c r="B36" s="452" t="s">
        <v>3364</v>
      </c>
      <c r="C36" s="13"/>
      <c r="D36" s="13"/>
      <c r="E36" s="13"/>
      <c r="F36" s="13"/>
      <c r="G36" s="13"/>
      <c r="H36" s="550"/>
      <c r="I36" s="32" t="s">
        <v>3364</v>
      </c>
      <c r="J36" s="4"/>
      <c r="K36" s="4"/>
      <c r="L36" s="110" t="s">
        <v>3365</v>
      </c>
      <c r="M36" s="43"/>
      <c r="N36" s="4"/>
      <c r="O36" s="85">
        <f ca="1">IFERROR(INDEX({2,5},MATCH(W36,INDIRECT(U36),0)),0)*S36</f>
        <v>0</v>
      </c>
      <c r="P36" t="b">
        <v>1</v>
      </c>
      <c r="Q36" t="b">
        <v>1</v>
      </c>
      <c r="R36" t="b">
        <v>0</v>
      </c>
      <c r="S36" t="b">
        <f>OR(AY32=INDEX(ddHeat1,3),AY32=INDEX(ddHeat1,5),AY33=INDEX(ddHeat2,3),AY33=INDEX(ddHeat2,5),AY34=INDEX(ddHeat3,3),AY34=INDEX(ddHeat3,5))</f>
        <v>0</v>
      </c>
      <c r="T36" t="b">
        <f>AND(NOT(S36),LEN(W36)&gt;0)</f>
        <v>0</v>
      </c>
      <c r="U36" t="str">
        <f>SUBSTITUTE(SUBSTITUTE(SUBSTITUTE("dd"&amp;B36&amp;C36&amp;D36&amp;E36&amp;F36,".","_"),"(","_"),")","")</f>
        <v>dd901_1_6</v>
      </c>
      <c r="W36" s="204"/>
      <c r="X36" s="700"/>
      <c r="AC36" t="b">
        <f>OR(AD36:AE36)</f>
        <v>0</v>
      </c>
      <c r="AD36" t="b">
        <f>T36</f>
        <v>0</v>
      </c>
      <c r="AE36" t="b">
        <f>AND(R36,OR(W36="Not Met",W36=""))</f>
        <v>0</v>
      </c>
      <c r="AN36" t="str">
        <f>SUBSTITUTE(SUBSTITUTE(SUBSTITUTE("dpc"&amp;$B36&amp;$C36&amp;$D36&amp;$E36&amp;$F36,".","_"),"(","_"),")","")</f>
        <v>dpc901_1_6</v>
      </c>
      <c r="AO36">
        <f ca="1">O36</f>
        <v>0</v>
      </c>
      <c r="AP36" t="str">
        <f>SUBSTITUTE(SUBSTITUTE(SUBSTITUTE("dch"&amp;$B36&amp;$C36&amp;$D36&amp;$E36&amp;$F36,".","_"),"(","_"),")","")</f>
        <v>dch901_1_6</v>
      </c>
      <c r="AQ36">
        <f>W36</f>
        <v>0</v>
      </c>
      <c r="AR36" t="str">
        <f>SUBSTITUTE(SUBSTITUTE(SUBSTITUTE("dnt"&amp;$B36&amp;$C36&amp;$D36&amp;$E36&amp;$F36,".","_"),"(","_"),")","")</f>
        <v>dnt901_1_6</v>
      </c>
      <c r="AS36">
        <f>X36</f>
        <v>0</v>
      </c>
      <c r="AX36" s="6" t="str">
        <f>'Overview (Design)'!A35</f>
        <v>Heating Ducts:</v>
      </c>
      <c r="AY36" t="str">
        <f>'Overview (Design)'!G35</f>
        <v>Ducted</v>
      </c>
    </row>
    <row r="37" spans="2:51" x14ac:dyDescent="0.35">
      <c r="B37" s="452" t="s">
        <v>3364</v>
      </c>
      <c r="C37" s="13"/>
      <c r="D37" s="13"/>
      <c r="E37" s="13" t="s">
        <v>270</v>
      </c>
      <c r="F37" s="13"/>
      <c r="G37" s="13"/>
      <c r="H37" s="550"/>
      <c r="I37" s="108"/>
      <c r="J37" s="148" t="s">
        <v>270</v>
      </c>
      <c r="K37" s="155"/>
      <c r="L37" s="214" t="s">
        <v>3366</v>
      </c>
      <c r="M37" s="198">
        <v>2</v>
      </c>
      <c r="N37" s="4"/>
      <c r="O37" s="85"/>
      <c r="X37" s="688"/>
      <c r="AL37" t="str">
        <f>SUBSTITUTE(SUBSTITUTE(SUBSTITUTE("dpa"&amp;$B37&amp;$C37&amp;$D37&amp;$E37&amp;$F37,".","_"),"(","_"),")","")</f>
        <v>dpa901_1_6_1</v>
      </c>
      <c r="AM37">
        <f>M37</f>
        <v>2</v>
      </c>
      <c r="AX37" s="6" t="str">
        <f>'Overview (Design)'!A36</f>
        <v>Type of Cooling System (main system):</v>
      </c>
      <c r="AY37" t="str">
        <f>'Overview (Design)'!G36</f>
        <v>Electric Air Conditiner</v>
      </c>
    </row>
    <row r="38" spans="2:51" ht="15" thickBot="1" x14ac:dyDescent="0.4">
      <c r="B38" s="452" t="s">
        <v>3364</v>
      </c>
      <c r="C38" s="13"/>
      <c r="D38" s="13"/>
      <c r="E38" s="13" t="s">
        <v>272</v>
      </c>
      <c r="F38" s="13"/>
      <c r="G38" s="13"/>
      <c r="H38" s="550"/>
      <c r="I38" s="328"/>
      <c r="J38" s="133" t="s">
        <v>272</v>
      </c>
      <c r="K38" s="183"/>
      <c r="L38" s="223" t="s">
        <v>3367</v>
      </c>
      <c r="M38" s="270">
        <v>5</v>
      </c>
      <c r="N38" s="183"/>
      <c r="O38" s="184"/>
      <c r="P38" s="58"/>
      <c r="Q38" s="58"/>
      <c r="R38" s="58"/>
      <c r="S38" s="58"/>
      <c r="T38" s="58"/>
      <c r="U38" s="58"/>
      <c r="V38" s="58"/>
      <c r="W38" s="58"/>
      <c r="X38" s="689"/>
      <c r="AL38" t="str">
        <f>SUBSTITUTE(SUBSTITUTE(SUBSTITUTE("dpa"&amp;$B38&amp;$C38&amp;$D38&amp;$E38&amp;$F38,".","_"),"(","_"),")","")</f>
        <v>dpa901_1_6_2</v>
      </c>
      <c r="AM38">
        <f>M38</f>
        <v>5</v>
      </c>
      <c r="AX38" s="6" t="str">
        <f>'Overview (Design)'!A37</f>
        <v>Type of Cooling System (system 2):</v>
      </c>
      <c r="AY38">
        <f>'Overview (Design)'!G37</f>
        <v>0</v>
      </c>
    </row>
    <row r="39" spans="2:51" ht="15" thickTop="1" x14ac:dyDescent="0.35">
      <c r="B39" s="452">
        <v>901.2</v>
      </c>
      <c r="C39" s="13"/>
      <c r="D39" s="13"/>
      <c r="E39" s="13"/>
      <c r="F39" s="13"/>
      <c r="G39" s="13"/>
      <c r="H39" s="550"/>
      <c r="I39" s="123">
        <v>901.2</v>
      </c>
      <c r="J39" s="124"/>
      <c r="K39" s="124"/>
      <c r="L39" s="222" t="s">
        <v>3368</v>
      </c>
      <c r="M39" s="199"/>
      <c r="N39" s="124"/>
      <c r="O39" s="341"/>
      <c r="P39" s="62"/>
      <c r="Q39" s="62"/>
      <c r="R39" s="62"/>
      <c r="S39" s="62"/>
      <c r="T39" s="62"/>
      <c r="U39" s="62"/>
      <c r="V39" s="62"/>
      <c r="W39" s="62"/>
      <c r="X39" s="62"/>
      <c r="AX39" s="6" t="str">
        <f>'Overview (Design)'!A38</f>
        <v>Type of Cooling System (system 3):</v>
      </c>
      <c r="AY39">
        <f>'Overview (Design)'!G38</f>
        <v>0</v>
      </c>
    </row>
    <row r="40" spans="2:51" x14ac:dyDescent="0.35">
      <c r="B40" s="452" t="s">
        <v>3369</v>
      </c>
      <c r="C40" s="13"/>
      <c r="D40" s="13"/>
      <c r="E40" s="13"/>
      <c r="F40" s="13"/>
      <c r="G40" s="13"/>
      <c r="H40" s="550"/>
      <c r="I40" s="32" t="s">
        <v>3369</v>
      </c>
      <c r="J40" s="4"/>
      <c r="K40" s="4"/>
      <c r="L40" s="706" t="s">
        <v>3370</v>
      </c>
      <c r="M40" s="43"/>
      <c r="N40" s="4"/>
      <c r="O40" s="85"/>
      <c r="AX40" s="6" t="str">
        <f>'Overview (Design)'!A39</f>
        <v>Cooling Ducts:</v>
      </c>
      <c r="AY40" t="str">
        <f>'Overview (Design)'!G39</f>
        <v>Ducted</v>
      </c>
    </row>
    <row r="41" spans="2:51" x14ac:dyDescent="0.35">
      <c r="B41" s="452" t="s">
        <v>3369</v>
      </c>
      <c r="C41" s="13"/>
      <c r="D41" s="13"/>
      <c r="E41" s="13"/>
      <c r="F41" s="13"/>
      <c r="G41" s="13"/>
      <c r="H41" s="550"/>
      <c r="I41" s="108"/>
      <c r="J41" s="4"/>
      <c r="K41" s="4"/>
      <c r="L41" s="706"/>
      <c r="M41" s="43"/>
      <c r="N41" s="4"/>
      <c r="O41" s="85"/>
      <c r="AX41" s="6"/>
    </row>
    <row r="42" spans="2:51" x14ac:dyDescent="0.35">
      <c r="B42" s="452" t="s">
        <v>3369</v>
      </c>
      <c r="C42" s="13"/>
      <c r="D42" s="13"/>
      <c r="E42" s="13" t="s">
        <v>270</v>
      </c>
      <c r="F42" s="13"/>
      <c r="G42" s="13"/>
      <c r="H42" s="550"/>
      <c r="I42" s="108"/>
      <c r="J42" s="19" t="s">
        <v>270</v>
      </c>
      <c r="K42" s="4"/>
      <c r="L42" s="707" t="s">
        <v>3371</v>
      </c>
      <c r="M42" s="556" t="str">
        <f>IF(R42,"Mandatory","N/A")</f>
        <v>Mandatory</v>
      </c>
      <c r="N42" s="4"/>
      <c r="O42" s="696">
        <f>M43*S42*(W42="Met")</f>
        <v>0</v>
      </c>
      <c r="P42" t="b">
        <v>1</v>
      </c>
      <c r="Q42" t="b">
        <v>1</v>
      </c>
      <c r="R42" t="b">
        <f>S42</f>
        <v>1</v>
      </c>
      <c r="S42" t="b">
        <f>NOT(W54)</f>
        <v>1</v>
      </c>
      <c r="T42" t="b">
        <f>AND(NOT(S42),LEN(W42)&gt;0,W42&lt;&gt;"N/A")</f>
        <v>0</v>
      </c>
      <c r="U42" t="str">
        <f>SUBSTITUTE(SUBSTITUTE(SUBSTITUTE("dd"&amp;B42&amp;C42&amp;D42&amp;E42&amp;F42,".","_"),"(","_"),")","")</f>
        <v>dd901_2_1_1</v>
      </c>
      <c r="W42" s="9" t="s">
        <v>3241</v>
      </c>
      <c r="X42" s="688"/>
      <c r="AC42" t="b">
        <f>OR(AD42:AE42)</f>
        <v>0</v>
      </c>
      <c r="AD42" t="b">
        <f>T42</f>
        <v>0</v>
      </c>
      <c r="AE42" t="b">
        <f>AND(R42,OR(W42="Not Met",W42=""))</f>
        <v>0</v>
      </c>
      <c r="AN42" t="str">
        <f>SUBSTITUTE(SUBSTITUTE(SUBSTITUTE("dpc"&amp;$B42&amp;$C42&amp;$D42&amp;$E42&amp;$F42,".","_"),"(","_"),")","")</f>
        <v>dpc901_2_1_1</v>
      </c>
      <c r="AO42">
        <f>O42</f>
        <v>0</v>
      </c>
      <c r="AP42" t="str">
        <f>SUBSTITUTE(SUBSTITUTE(SUBSTITUTE("dch"&amp;$B42&amp;$C42&amp;$D42&amp;$E42&amp;$F42,".","_"),"(","_"),")","")</f>
        <v>dch901_2_1_1</v>
      </c>
      <c r="AQ42" t="str">
        <f>W42</f>
        <v>N/A</v>
      </c>
      <c r="AR42" t="str">
        <f>SUBSTITUTE(SUBSTITUTE(SUBSTITUTE("dnt"&amp;$B42&amp;$C42&amp;$D42&amp;$E42&amp;$F42,".","_"),"(","_"),")","")</f>
        <v>dnt901_2_1_1</v>
      </c>
      <c r="AS42">
        <f>X42</f>
        <v>0</v>
      </c>
      <c r="AX42" s="6" t="str">
        <f>'Overview (Design)'!A41</f>
        <v>Maximum window and door SHGC:</v>
      </c>
      <c r="AY42">
        <f>'Overview (Design)'!G41</f>
        <v>0.22</v>
      </c>
    </row>
    <row r="43" spans="2:51" x14ac:dyDescent="0.35">
      <c r="B43" s="452" t="s">
        <v>3369</v>
      </c>
      <c r="C43" s="13"/>
      <c r="D43" s="13"/>
      <c r="E43" s="13" t="s">
        <v>270</v>
      </c>
      <c r="F43" s="13"/>
      <c r="G43" s="13"/>
      <c r="H43" s="550"/>
      <c r="I43" s="108"/>
      <c r="J43" s="4"/>
      <c r="K43" s="4"/>
      <c r="L43" s="707"/>
      <c r="M43" s="690">
        <v>4</v>
      </c>
      <c r="N43" s="4"/>
      <c r="O43" s="696"/>
      <c r="X43" s="688"/>
      <c r="AL43" t="str">
        <f>SUBSTITUTE(SUBSTITUTE(SUBSTITUTE("dpa"&amp;$B43&amp;$C43&amp;$D43&amp;$E43&amp;$F43,".","_"),"(","_"),")","")</f>
        <v>dpa901_2_1_1</v>
      </c>
      <c r="AM43">
        <f>M43</f>
        <v>4</v>
      </c>
      <c r="AX43" s="6" t="str">
        <f>'Overview (Design)'!A42</f>
        <v>Maximum skylight SHGC:</v>
      </c>
      <c r="AY43">
        <f>'Overview (Design)'!G42</f>
        <v>0</v>
      </c>
    </row>
    <row r="44" spans="2:51" x14ac:dyDescent="0.35">
      <c r="B44" s="452" t="s">
        <v>3369</v>
      </c>
      <c r="C44" s="13"/>
      <c r="D44" s="13"/>
      <c r="E44" s="13" t="s">
        <v>270</v>
      </c>
      <c r="F44" s="13"/>
      <c r="G44" s="13"/>
      <c r="H44" s="550"/>
      <c r="I44" s="108"/>
      <c r="J44" s="155"/>
      <c r="K44" s="155"/>
      <c r="L44" s="709"/>
      <c r="M44" s="691"/>
      <c r="N44" s="155"/>
      <c r="O44" s="697"/>
      <c r="X44" s="688"/>
      <c r="AX44" s="6" t="str">
        <f>'Overview (Design)'!A43</f>
        <v>Maximum window and door U-value:</v>
      </c>
      <c r="AY44">
        <f>'Overview (Design)'!G43</f>
        <v>0.32</v>
      </c>
    </row>
    <row r="45" spans="2:51" x14ac:dyDescent="0.35">
      <c r="B45" s="452" t="s">
        <v>3369</v>
      </c>
      <c r="C45" s="13"/>
      <c r="D45" s="13"/>
      <c r="E45" s="13" t="s">
        <v>272</v>
      </c>
      <c r="F45" s="13"/>
      <c r="G45" s="13"/>
      <c r="H45" s="550"/>
      <c r="I45" s="108"/>
      <c r="J45" s="19" t="s">
        <v>272</v>
      </c>
      <c r="K45" s="4"/>
      <c r="L45" s="707" t="s">
        <v>3372</v>
      </c>
      <c r="M45" s="556" t="str">
        <f>IF(R45,"Mandatory","N/A")</f>
        <v>Mandatory</v>
      </c>
      <c r="N45" s="4"/>
      <c r="O45" s="696">
        <f>M46*S45*(W45="Met")</f>
        <v>0</v>
      </c>
      <c r="P45" t="b">
        <v>1</v>
      </c>
      <c r="Q45" t="b">
        <v>1</v>
      </c>
      <c r="R45" t="b">
        <f>S45</f>
        <v>1</v>
      </c>
      <c r="S45" t="b">
        <f>NOT(W54)</f>
        <v>1</v>
      </c>
      <c r="T45" t="b">
        <f>AND(NOT(S45),LEN(W45)&gt;0,W45&lt;&gt;"N/A")</f>
        <v>0</v>
      </c>
      <c r="U45" t="str">
        <f>SUBSTITUTE(SUBSTITUTE(SUBSTITUTE("dd"&amp;B45&amp;C45&amp;D45&amp;E45&amp;F45,".","_"),"(","_"),")","")</f>
        <v>dd901_2_1_2</v>
      </c>
      <c r="W45" s="9" t="s">
        <v>3241</v>
      </c>
      <c r="X45" s="688"/>
      <c r="AC45" t="b">
        <f>OR(AD45:AE45)</f>
        <v>0</v>
      </c>
      <c r="AD45" t="b">
        <f>T45</f>
        <v>0</v>
      </c>
      <c r="AE45" t="b">
        <f>AND(R45,OR(W45="Not Met",W45=""))</f>
        <v>0</v>
      </c>
      <c r="AN45" t="str">
        <f>SUBSTITUTE(SUBSTITUTE(SUBSTITUTE("dpc"&amp;$B45&amp;$C45&amp;$D45&amp;$E45&amp;$F45,".","_"),"(","_"),")","")</f>
        <v>dpc901_2_1_2</v>
      </c>
      <c r="AO45">
        <f>O45</f>
        <v>0</v>
      </c>
      <c r="AP45" t="str">
        <f>SUBSTITUTE(SUBSTITUTE(SUBSTITUTE("dch"&amp;$B45&amp;$C45&amp;$D45&amp;$E45&amp;$F45,".","_"),"(","_"),")","")</f>
        <v>dch901_2_1_2</v>
      </c>
      <c r="AQ45" t="str">
        <f>W45</f>
        <v>N/A</v>
      </c>
      <c r="AR45" t="str">
        <f>SUBSTITUTE(SUBSTITUTE(SUBSTITUTE("dnt"&amp;$B45&amp;$C45&amp;$D45&amp;$E45&amp;$F45,".","_"),"(","_"),")","")</f>
        <v>dnt901_2_1_2</v>
      </c>
      <c r="AS45">
        <f>X45</f>
        <v>0</v>
      </c>
      <c r="AX45" s="6" t="str">
        <f>'Overview (Design)'!A44</f>
        <v>Maximum skylight U-value:</v>
      </c>
      <c r="AY45">
        <f>'Overview (Design)'!G44</f>
        <v>0</v>
      </c>
    </row>
    <row r="46" spans="2:51" x14ac:dyDescent="0.35">
      <c r="B46" s="452" t="s">
        <v>3369</v>
      </c>
      <c r="C46" s="13"/>
      <c r="D46" s="13"/>
      <c r="E46" s="13" t="s">
        <v>272</v>
      </c>
      <c r="F46" s="13"/>
      <c r="G46" s="13"/>
      <c r="H46" s="550"/>
      <c r="I46" s="108"/>
      <c r="J46" s="148"/>
      <c r="K46" s="155"/>
      <c r="L46" s="709"/>
      <c r="M46" s="198">
        <v>6</v>
      </c>
      <c r="N46" s="155"/>
      <c r="O46" s="697"/>
      <c r="X46" s="688"/>
      <c r="AL46" t="str">
        <f>SUBSTITUTE(SUBSTITUTE(SUBSTITUTE("dpa"&amp;$B46&amp;$C46&amp;$D46&amp;$E46&amp;$F46,".","_"),"(","_"),")","")</f>
        <v>dpa901_2_1_2</v>
      </c>
      <c r="AM46">
        <f>M46</f>
        <v>6</v>
      </c>
      <c r="AX46" s="6" t="str">
        <f>'Overview (Design)'!A45</f>
        <v>Renewable Energy:</v>
      </c>
      <c r="AY46">
        <f>'Overview (Design)'!G45</f>
        <v>0</v>
      </c>
    </row>
    <row r="47" spans="2:51" x14ac:dyDescent="0.35">
      <c r="B47" s="452" t="s">
        <v>3369</v>
      </c>
      <c r="C47" s="13"/>
      <c r="D47" s="13"/>
      <c r="E47" s="13" t="s">
        <v>274</v>
      </c>
      <c r="F47" s="13"/>
      <c r="G47" s="13"/>
      <c r="H47" s="550"/>
      <c r="I47" s="108"/>
      <c r="J47" s="19" t="s">
        <v>274</v>
      </c>
      <c r="K47" s="4"/>
      <c r="L47" s="707" t="s">
        <v>3373</v>
      </c>
      <c r="M47" s="556" t="str">
        <f>IF(R47,"Mandatory","N/A")</f>
        <v>Mandatory</v>
      </c>
      <c r="N47" s="4"/>
      <c r="O47" s="696">
        <f>M48*S47*(W47="Met")</f>
        <v>0</v>
      </c>
      <c r="P47" t="b">
        <v>1</v>
      </c>
      <c r="Q47" t="b">
        <v>1</v>
      </c>
      <c r="R47" t="b">
        <f>S47</f>
        <v>1</v>
      </c>
      <c r="S47" t="b">
        <f>NOT(W54)</f>
        <v>1</v>
      </c>
      <c r="T47" t="b">
        <f>AND(NOT(S47),LEN(W47)&gt;0,W47&lt;&gt;"N/A")</f>
        <v>0</v>
      </c>
      <c r="U47" t="str">
        <f>SUBSTITUTE(SUBSTITUTE(SUBSTITUTE("dd"&amp;B47&amp;C47&amp;D47&amp;E47&amp;F47,".","_"),"(","_"),")","")</f>
        <v>dd901_2_1_3</v>
      </c>
      <c r="W47" s="9" t="s">
        <v>3241</v>
      </c>
      <c r="X47" s="688"/>
      <c r="AC47" t="b">
        <f>OR(AD47:AE47)</f>
        <v>0</v>
      </c>
      <c r="AD47" t="b">
        <f>T47</f>
        <v>0</v>
      </c>
      <c r="AE47" t="b">
        <f>AND(R47,OR(W47="Not Met",W47=""))</f>
        <v>0</v>
      </c>
      <c r="AN47" t="str">
        <f>SUBSTITUTE(SUBSTITUTE(SUBSTITUTE("dpc"&amp;$B47&amp;$C47&amp;$D47&amp;$E47&amp;$F47,".","_"),"(","_"),")","")</f>
        <v>dpc901_2_1_3</v>
      </c>
      <c r="AO47">
        <f>O47</f>
        <v>0</v>
      </c>
      <c r="AP47" t="str">
        <f>SUBSTITUTE(SUBSTITUTE(SUBSTITUTE("dch"&amp;$B47&amp;$C47&amp;$D47&amp;$E47&amp;$F47,".","_"),"(","_"),")","")</f>
        <v>dch901_2_1_3</v>
      </c>
      <c r="AQ47" t="str">
        <f>W47</f>
        <v>N/A</v>
      </c>
      <c r="AR47" t="str">
        <f>SUBSTITUTE(SUBSTITUTE(SUBSTITUTE("dnt"&amp;$B47&amp;$C47&amp;$D47&amp;$E47&amp;$F47,".","_"),"(","_"),")","")</f>
        <v>dnt901_2_1_3</v>
      </c>
      <c r="AS47">
        <f>X47</f>
        <v>0</v>
      </c>
      <c r="AX47" s="6" t="str">
        <f>'Overview (Design)'!A46</f>
        <v>Thermal Envelope Insulation:</v>
      </c>
      <c r="AY47">
        <f>'Overview (Design)'!G46</f>
        <v>0</v>
      </c>
    </row>
    <row r="48" spans="2:51" x14ac:dyDescent="0.35">
      <c r="B48" s="452" t="s">
        <v>3369</v>
      </c>
      <c r="C48" s="13"/>
      <c r="D48" s="13"/>
      <c r="E48" s="13" t="s">
        <v>274</v>
      </c>
      <c r="F48" s="13"/>
      <c r="G48" s="13"/>
      <c r="H48" s="550"/>
      <c r="I48" s="108"/>
      <c r="J48" s="19"/>
      <c r="K48" s="4"/>
      <c r="L48" s="707"/>
      <c r="M48" s="690">
        <v>6</v>
      </c>
      <c r="N48" s="4"/>
      <c r="O48" s="696"/>
      <c r="X48" s="688"/>
      <c r="AL48" t="str">
        <f>SUBSTITUTE(SUBSTITUTE(SUBSTITUTE("dpa"&amp;$B48&amp;$C48&amp;$D48&amp;$E48&amp;$F48,".","_"),"(","_"),")","")</f>
        <v>dpa901_2_1_3</v>
      </c>
      <c r="AM48">
        <f>M48</f>
        <v>6</v>
      </c>
      <c r="AX48" s="6" t="str">
        <f>'Overview (Design)'!A47</f>
        <v>Attic Type:</v>
      </c>
      <c r="AY48" t="str">
        <f>'Overview (Design)'!G47</f>
        <v>Vented</v>
      </c>
    </row>
    <row r="49" spans="2:51" x14ac:dyDescent="0.35">
      <c r="B49" s="452" t="s">
        <v>3369</v>
      </c>
      <c r="C49" s="13"/>
      <c r="D49" s="13"/>
      <c r="E49" s="13" t="s">
        <v>274</v>
      </c>
      <c r="F49" s="13"/>
      <c r="G49" s="13"/>
      <c r="H49" s="550"/>
      <c r="I49" s="108"/>
      <c r="J49" s="148"/>
      <c r="K49" s="155"/>
      <c r="L49" s="709"/>
      <c r="M49" s="691"/>
      <c r="N49" s="155"/>
      <c r="O49" s="697"/>
      <c r="X49" s="688"/>
      <c r="AX49" s="6" t="str">
        <f>'Overview (Design)'!A48</f>
        <v>Attached Garage:</v>
      </c>
      <c r="AY49" t="str">
        <f>'Overview (Design)'!G48</f>
        <v>Yes</v>
      </c>
    </row>
    <row r="50" spans="2:51" x14ac:dyDescent="0.35">
      <c r="B50" s="452" t="s">
        <v>3369</v>
      </c>
      <c r="C50" s="13"/>
      <c r="D50" s="13"/>
      <c r="E50" s="13" t="s">
        <v>283</v>
      </c>
      <c r="F50" s="13"/>
      <c r="G50" s="13"/>
      <c r="H50" s="550"/>
      <c r="I50" s="108"/>
      <c r="J50" s="19" t="s">
        <v>283</v>
      </c>
      <c r="K50" s="4"/>
      <c r="L50" s="723" t="s">
        <v>3374</v>
      </c>
      <c r="M50" s="556" t="str">
        <f>IF(R50,"Mandatory","N/A")</f>
        <v>Mandatory</v>
      </c>
      <c r="N50" s="4"/>
      <c r="O50" s="696">
        <f>M51*S50*(W50="Met")</f>
        <v>0</v>
      </c>
      <c r="P50" t="b">
        <v>1</v>
      </c>
      <c r="Q50" t="b">
        <v>1</v>
      </c>
      <c r="R50" t="b">
        <f>S50</f>
        <v>1</v>
      </c>
      <c r="S50" t="b">
        <f>NOT(W54)</f>
        <v>1</v>
      </c>
      <c r="T50" t="b">
        <f>AND(NOT(S50),LEN(W50)&gt;0,W50&lt;&gt;"N/A")</f>
        <v>0</v>
      </c>
      <c r="U50" t="str">
        <f>SUBSTITUTE(SUBSTITUTE(SUBSTITUTE("dd"&amp;B50&amp;C50&amp;D50&amp;E50&amp;F50,".","_"),"(","_"),")","")</f>
        <v>dd901_2_1_4</v>
      </c>
      <c r="W50" s="9" t="s">
        <v>3241</v>
      </c>
      <c r="X50" s="688"/>
      <c r="AC50" t="b">
        <f>OR(AD50:AE50)</f>
        <v>0</v>
      </c>
      <c r="AD50" t="b">
        <f>T50</f>
        <v>0</v>
      </c>
      <c r="AE50" t="b">
        <f>AND(R50,OR(W50="Not Met",W50=""))</f>
        <v>0</v>
      </c>
      <c r="AN50" t="str">
        <f>SUBSTITUTE(SUBSTITUTE(SUBSTITUTE("dpc"&amp;$B50&amp;$C50&amp;$D50&amp;$E50&amp;$F50,".","_"),"(","_"),")","")</f>
        <v>dpc901_2_1_4</v>
      </c>
      <c r="AO50">
        <f>O50</f>
        <v>0</v>
      </c>
      <c r="AP50" t="str">
        <f>SUBSTITUTE(SUBSTITUTE(SUBSTITUTE("dch"&amp;$B50&amp;$C50&amp;$D50&amp;$E50&amp;$F50,".","_"),"(","_"),")","")</f>
        <v>dch901_2_1_4</v>
      </c>
      <c r="AQ50" t="str">
        <f>W50</f>
        <v>N/A</v>
      </c>
      <c r="AR50" t="str">
        <f>SUBSTITUTE(SUBSTITUTE(SUBSTITUTE("dnt"&amp;$B50&amp;$C50&amp;$D50&amp;$E50&amp;$F50,".","_"),"(","_"),")","")</f>
        <v>dnt901_2_1_4</v>
      </c>
      <c r="AS50">
        <f>X50</f>
        <v>0</v>
      </c>
      <c r="AX50" s="6" t="str">
        <f>'Overview (Design)'!A49</f>
        <v>Recessed Lighting:</v>
      </c>
      <c r="AY50">
        <f>'Overview (Design)'!G49</f>
        <v>0</v>
      </c>
    </row>
    <row r="51" spans="2:51" x14ac:dyDescent="0.35">
      <c r="B51" s="452" t="s">
        <v>3369</v>
      </c>
      <c r="C51" s="13"/>
      <c r="D51" s="13"/>
      <c r="E51" s="13" t="s">
        <v>283</v>
      </c>
      <c r="F51" s="13"/>
      <c r="G51" s="13"/>
      <c r="H51" s="550"/>
      <c r="I51" s="108"/>
      <c r="J51" s="148"/>
      <c r="K51" s="155"/>
      <c r="L51" s="724"/>
      <c r="M51" s="198">
        <v>6</v>
      </c>
      <c r="N51" s="155"/>
      <c r="O51" s="697"/>
      <c r="X51" s="688"/>
      <c r="AL51" t="str">
        <f>SUBSTITUTE(SUBSTITUTE(SUBSTITUTE("dpa"&amp;$B51&amp;$C51&amp;$D51&amp;$E51&amp;$F51,".","_"),"(","_"),")","")</f>
        <v>dpa901_2_1_4</v>
      </c>
      <c r="AM51">
        <f>M51</f>
        <v>6</v>
      </c>
      <c r="AX51" s="6"/>
    </row>
    <row r="52" spans="2:51" x14ac:dyDescent="0.35">
      <c r="B52" s="452" t="s">
        <v>3369</v>
      </c>
      <c r="C52" s="13"/>
      <c r="D52" s="13"/>
      <c r="E52" s="13" t="s">
        <v>289</v>
      </c>
      <c r="F52" s="13"/>
      <c r="G52" s="13"/>
      <c r="H52" s="550"/>
      <c r="I52" s="108"/>
      <c r="J52" s="19" t="s">
        <v>289</v>
      </c>
      <c r="K52" s="4"/>
      <c r="L52" s="707" t="s">
        <v>3375</v>
      </c>
      <c r="M52" s="556" t="str">
        <f>IF(R52,"Mandatory","N/A")</f>
        <v>Mandatory</v>
      </c>
      <c r="N52" s="4"/>
      <c r="O52" s="696">
        <f>M53*S52*(W52="Met")</f>
        <v>0</v>
      </c>
      <c r="P52" t="b">
        <v>1</v>
      </c>
      <c r="Q52" t="b">
        <v>1</v>
      </c>
      <c r="R52" t="b">
        <f>S52</f>
        <v>1</v>
      </c>
      <c r="S52" t="b">
        <f>NOT(W54)</f>
        <v>1</v>
      </c>
      <c r="T52" t="b">
        <f>AND(NOT(S52),LEN(W52)&gt;0,W52&lt;&gt;"N/A")</f>
        <v>0</v>
      </c>
      <c r="U52" t="str">
        <f>SUBSTITUTE(SUBSTITUTE(SUBSTITUTE("dd"&amp;B52&amp;C52&amp;D52&amp;E52&amp;F52,".","_"),"(","_"),")","")</f>
        <v>dd901_2_1_5</v>
      </c>
      <c r="W52" s="9" t="s">
        <v>3241</v>
      </c>
      <c r="X52" s="688"/>
      <c r="AC52" t="b">
        <f>OR(AD52:AE52)</f>
        <v>0</v>
      </c>
      <c r="AD52" t="b">
        <f>T52</f>
        <v>0</v>
      </c>
      <c r="AE52" t="b">
        <f>AND(R52,OR(W52="Not Met",W52=""))</f>
        <v>0</v>
      </c>
      <c r="AN52" t="str">
        <f>SUBSTITUTE(SUBSTITUTE(SUBSTITUTE("dpc"&amp;$B52&amp;$C52&amp;$D52&amp;$E52&amp;$F52,".","_"),"(","_"),")","")</f>
        <v>dpc901_2_1_5</v>
      </c>
      <c r="AO52">
        <f>O52</f>
        <v>0</v>
      </c>
      <c r="AP52" t="str">
        <f>SUBSTITUTE(SUBSTITUTE(SUBSTITUTE("dch"&amp;$B52&amp;$C52&amp;$D52&amp;$E52&amp;$F52,".","_"),"(","_"),")","")</f>
        <v>dch901_2_1_5</v>
      </c>
      <c r="AQ52" t="str">
        <f>W52</f>
        <v>N/A</v>
      </c>
      <c r="AR52" t="str">
        <f>SUBSTITUTE(SUBSTITUTE(SUBSTITUTE("dnt"&amp;$B52&amp;$C52&amp;$D52&amp;$E52&amp;$F52,".","_"),"(","_"),")","")</f>
        <v>dnt901_2_1_5</v>
      </c>
      <c r="AS52">
        <f>X52</f>
        <v>0</v>
      </c>
      <c r="AX52" s="6" t="str">
        <f>'Overview (Design)'!A51</f>
        <v>Special Design Features:</v>
      </c>
      <c r="AY52">
        <f>'Overview (Design)'!G51</f>
        <v>0</v>
      </c>
    </row>
    <row r="53" spans="2:51" x14ac:dyDescent="0.35">
      <c r="B53" s="452" t="s">
        <v>3369</v>
      </c>
      <c r="C53" s="13"/>
      <c r="D53" s="13"/>
      <c r="E53" s="13" t="s">
        <v>289</v>
      </c>
      <c r="F53" s="13"/>
      <c r="G53" s="13"/>
      <c r="H53" s="550"/>
      <c r="I53" s="353"/>
      <c r="J53" s="148"/>
      <c r="K53" s="155"/>
      <c r="L53" s="709"/>
      <c r="M53" s="198">
        <v>6</v>
      </c>
      <c r="N53" s="155"/>
      <c r="O53" s="697"/>
      <c r="P53" s="119"/>
      <c r="Q53" s="119"/>
      <c r="R53" s="119"/>
      <c r="S53" s="119"/>
      <c r="T53" s="119"/>
      <c r="U53" s="119"/>
      <c r="V53" s="119"/>
      <c r="W53" s="119"/>
      <c r="X53" s="688"/>
      <c r="AL53" t="str">
        <f>SUBSTITUTE(SUBSTITUTE(SUBSTITUTE("dpa"&amp;$B53&amp;$C53&amp;$D53&amp;$E53&amp;$F53,".","_"),"(","_"),")","")</f>
        <v>dpa901_2_1_5</v>
      </c>
      <c r="AM53">
        <f>M53</f>
        <v>6</v>
      </c>
      <c r="AX53" s="6" t="str">
        <f>'Overview (Design)'!A52</f>
        <v>Passive Solar:</v>
      </c>
      <c r="AY53">
        <f>'Overview (Design)'!G52</f>
        <v>0</v>
      </c>
    </row>
    <row r="54" spans="2:51" ht="15" thickBot="1" x14ac:dyDescent="0.4">
      <c r="B54" s="452" t="s">
        <v>3376</v>
      </c>
      <c r="C54" s="13"/>
      <c r="D54" s="13"/>
      <c r="E54" s="13"/>
      <c r="F54" s="13"/>
      <c r="G54" s="13"/>
      <c r="H54" s="550"/>
      <c r="I54" s="132" t="s">
        <v>3376</v>
      </c>
      <c r="J54" s="183"/>
      <c r="K54" s="183"/>
      <c r="L54" s="354" t="s">
        <v>3377</v>
      </c>
      <c r="M54" s="270">
        <v>6</v>
      </c>
      <c r="N54" s="183"/>
      <c r="O54" s="184">
        <f>M54*S54*W54</f>
        <v>0</v>
      </c>
      <c r="P54" t="b">
        <v>1</v>
      </c>
      <c r="Q54" t="b">
        <v>1</v>
      </c>
      <c r="R54" s="58" t="b">
        <v>0</v>
      </c>
      <c r="S54" s="58" t="b">
        <f>(COUNTIF(W42:W52,"Met"))=0</f>
        <v>1</v>
      </c>
      <c r="T54" s="58" t="b">
        <f>AND(NOT(S54),W54=TRUE)</f>
        <v>0</v>
      </c>
      <c r="U54" s="58"/>
      <c r="V54" s="58"/>
      <c r="W54" s="355"/>
      <c r="X54" s="316"/>
      <c r="AC54" t="b">
        <f>OR(AD54:AE54)</f>
        <v>0</v>
      </c>
      <c r="AD54" t="b">
        <f>T54</f>
        <v>0</v>
      </c>
      <c r="AE54" t="b">
        <f>AND(R54,NOT(W54))</f>
        <v>0</v>
      </c>
      <c r="AL54" t="str">
        <f>SUBSTITUTE(SUBSTITUTE(SUBSTITUTE("dpa"&amp;$B54&amp;$C54&amp;$D54&amp;$E54&amp;$F54,".","_"),"(","_"),")","")</f>
        <v>dpa901_2_2</v>
      </c>
      <c r="AM54">
        <f>M54</f>
        <v>6</v>
      </c>
      <c r="AN54" t="str">
        <f>SUBSTITUTE(SUBSTITUTE(SUBSTITUTE("dpc"&amp;$B54&amp;$C54&amp;$D54&amp;$E54&amp;$F54,".","_"),"(","_"),")","")</f>
        <v>dpc901_2_2</v>
      </c>
      <c r="AO54">
        <f>O54</f>
        <v>0</v>
      </c>
      <c r="AP54" t="str">
        <f>SUBSTITUTE(SUBSTITUTE(SUBSTITUTE("dch"&amp;$B54&amp;$C54&amp;$D54&amp;$E54&amp;$F54,".","_"),"(","_"),")","")</f>
        <v>dch901_2_2</v>
      </c>
      <c r="AQ54">
        <f>W54</f>
        <v>0</v>
      </c>
      <c r="AR54" t="str">
        <f>SUBSTITUTE(SUBSTITUTE(SUBSTITUTE("dnt"&amp;$B54&amp;$C54&amp;$D54&amp;$E54&amp;$F54,".","_"),"(","_"),")","")</f>
        <v>dnt901_2_2</v>
      </c>
      <c r="AS54">
        <f>X54</f>
        <v>0</v>
      </c>
      <c r="AX54" s="6" t="str">
        <f>'Overview (Design)'!A53</f>
        <v>Mass Walls:</v>
      </c>
      <c r="AY54">
        <f>'Overview (Design)'!G53</f>
        <v>0</v>
      </c>
    </row>
    <row r="55" spans="2:51" ht="15" thickTop="1" x14ac:dyDescent="0.35">
      <c r="B55" s="452">
        <v>901.3</v>
      </c>
      <c r="C55" s="13"/>
      <c r="D55" s="13"/>
      <c r="E55" s="13"/>
      <c r="F55" s="13"/>
      <c r="G55" s="13"/>
      <c r="H55" s="550"/>
      <c r="I55" s="32">
        <v>901.3</v>
      </c>
      <c r="J55" s="4"/>
      <c r="K55" s="4"/>
      <c r="L55" s="110" t="s">
        <v>3378</v>
      </c>
      <c r="M55" s="43"/>
      <c r="N55" s="4"/>
      <c r="O55" s="85"/>
      <c r="AX55" s="6" t="str">
        <f>'Overview (Design)'!A54</f>
        <v>Ductless:</v>
      </c>
      <c r="AY55">
        <f>'Overview (Design)'!G54</f>
        <v>0</v>
      </c>
    </row>
    <row r="56" spans="2:51" x14ac:dyDescent="0.35">
      <c r="B56" s="452">
        <v>901.3</v>
      </c>
      <c r="C56" s="13"/>
      <c r="D56" s="13"/>
      <c r="E56" s="13" t="s">
        <v>270</v>
      </c>
      <c r="F56" s="13"/>
      <c r="G56" s="13"/>
      <c r="H56" s="550"/>
      <c r="I56" s="108"/>
      <c r="J56" s="19" t="s">
        <v>270</v>
      </c>
      <c r="K56" s="4"/>
      <c r="L56" s="104" t="s">
        <v>3379</v>
      </c>
      <c r="M56" s="43"/>
      <c r="N56" s="4"/>
      <c r="O56" s="85"/>
      <c r="AX56" s="6" t="str">
        <f>'Overview (Design)'!A55</f>
        <v>Radiant/Hydronic:</v>
      </c>
      <c r="AY56">
        <f>'Overview (Design)'!G55</f>
        <v>0</v>
      </c>
    </row>
    <row r="57" spans="2:51" x14ac:dyDescent="0.35">
      <c r="B57" s="452">
        <v>901.3</v>
      </c>
      <c r="C57" s="13"/>
      <c r="D57" s="13"/>
      <c r="E57" s="13" t="s">
        <v>270</v>
      </c>
      <c r="F57" s="40" t="s">
        <v>121</v>
      </c>
      <c r="G57" s="40"/>
      <c r="H57" s="553"/>
      <c r="I57" s="108"/>
      <c r="J57" s="4"/>
      <c r="K57" s="19" t="s">
        <v>121</v>
      </c>
      <c r="L57" s="707" t="s">
        <v>3380</v>
      </c>
      <c r="M57" s="556" t="str">
        <f>IF(R57,"Mandatory","N/A")</f>
        <v>Mandatory</v>
      </c>
      <c r="N57" s="4"/>
      <c r="O57" s="696">
        <f>M58*S57*(W57="Met")</f>
        <v>2</v>
      </c>
      <c r="P57" t="b">
        <v>0</v>
      </c>
      <c r="Q57" t="b">
        <v>1</v>
      </c>
      <c r="R57" t="b">
        <f>S57</f>
        <v>1</v>
      </c>
      <c r="S57" t="b">
        <f>NOT(OR(W67,W59="N/A"))</f>
        <v>1</v>
      </c>
      <c r="T57" t="b">
        <f>AND(NOT(S57),LEN(W57)&gt;0)</f>
        <v>0</v>
      </c>
      <c r="U57" t="str">
        <f>SUBSTITUTE(SUBSTITUTE(SUBSTITUTE("dd"&amp;B57&amp;C57&amp;D57&amp;E57&amp;F57,".","_"),"(","_"),")","")</f>
        <v>dd901_3_1_a</v>
      </c>
      <c r="W57" s="9" t="s">
        <v>3239</v>
      </c>
      <c r="X57" s="688"/>
      <c r="AC57" t="b">
        <f>OR(AD57:AE57)</f>
        <v>0</v>
      </c>
      <c r="AD57" t="b">
        <f>T57</f>
        <v>0</v>
      </c>
      <c r="AE57" t="b">
        <f>AND(R57,OR(W57="Not Met",W57=""))</f>
        <v>0</v>
      </c>
      <c r="AN57" t="str">
        <f>SUBSTITUTE(SUBSTITUTE(SUBSTITUTE("dpc"&amp;$B57&amp;$C57&amp;$D57&amp;$E57&amp;$F57,".","_"),"(","_"),")","")</f>
        <v>dpc901_3_1_a</v>
      </c>
      <c r="AO57">
        <f>O57</f>
        <v>2</v>
      </c>
      <c r="AP57" t="str">
        <f>SUBSTITUTE(SUBSTITUTE(SUBSTITUTE("dch"&amp;$B57&amp;$C57&amp;$D57&amp;$E57&amp;$F57,".","_"),"(","_"),")","")</f>
        <v>dch901_3_1_a</v>
      </c>
      <c r="AQ57" t="str">
        <f>W57</f>
        <v>Met</v>
      </c>
      <c r="AR57" t="str">
        <f>SUBSTITUTE(SUBSTITUTE(SUBSTITUTE("dnt"&amp;$B57&amp;$C57&amp;$D57&amp;$E57&amp;$F57,".","_"),"(","_"),")","")</f>
        <v>dnt901_3_1_a</v>
      </c>
      <c r="AS57">
        <f>X57</f>
        <v>0</v>
      </c>
      <c r="AX57" s="6" t="str">
        <f>'Overview (Design)'!A56</f>
        <v>Tankless Water Heater:</v>
      </c>
      <c r="AY57">
        <f>'Overview (Design)'!G56</f>
        <v>0</v>
      </c>
    </row>
    <row r="58" spans="2:51" x14ac:dyDescent="0.35">
      <c r="B58" s="452">
        <v>901.3</v>
      </c>
      <c r="C58" s="13"/>
      <c r="D58" s="13"/>
      <c r="E58" s="13" t="s">
        <v>270</v>
      </c>
      <c r="F58" s="40" t="s">
        <v>121</v>
      </c>
      <c r="G58" s="40"/>
      <c r="H58" s="553"/>
      <c r="I58" s="108"/>
      <c r="J58" s="4"/>
      <c r="K58" s="148"/>
      <c r="L58" s="709"/>
      <c r="M58" s="198">
        <v>2</v>
      </c>
      <c r="N58" s="155"/>
      <c r="O58" s="697"/>
      <c r="X58" s="688"/>
      <c r="AL58" t="str">
        <f>SUBSTITUTE(SUBSTITUTE(SUBSTITUTE("dpa"&amp;$B58&amp;$C58&amp;$D58&amp;$E58&amp;$F58,".","_"),"(","_"),")","")</f>
        <v>dpa901_3_1_a</v>
      </c>
      <c r="AM58">
        <f>M58</f>
        <v>2</v>
      </c>
      <c r="AX58" s="6" t="str">
        <f>'Overview (Design)'!A57</f>
        <v>Composting Toilet:</v>
      </c>
      <c r="AY58">
        <f>'Overview (Design)'!G57</f>
        <v>0</v>
      </c>
    </row>
    <row r="59" spans="2:51" ht="15" customHeight="1" x14ac:dyDescent="0.35">
      <c r="B59" s="452">
        <v>901.3</v>
      </c>
      <c r="C59" s="13"/>
      <c r="D59" s="13"/>
      <c r="E59" s="13" t="s">
        <v>270</v>
      </c>
      <c r="F59" s="40" t="s">
        <v>122</v>
      </c>
      <c r="G59" s="40"/>
      <c r="H59" s="553"/>
      <c r="I59" s="108"/>
      <c r="J59" s="4"/>
      <c r="K59" s="19" t="s">
        <v>122</v>
      </c>
      <c r="L59" s="707" t="s">
        <v>3381</v>
      </c>
      <c r="M59" s="556" t="str">
        <f>IF(R59,"Mandatory","N/A")</f>
        <v>Mandatory</v>
      </c>
      <c r="N59" s="4"/>
      <c r="O59" s="696">
        <f>M60*S59*(W59="Met")</f>
        <v>2</v>
      </c>
      <c r="P59" t="b">
        <v>1</v>
      </c>
      <c r="Q59" t="b">
        <v>0</v>
      </c>
      <c r="R59" t="b">
        <f>S59</f>
        <v>1</v>
      </c>
      <c r="S59" t="b">
        <f>NOT(OR(W67,W57="N/A"))</f>
        <v>1</v>
      </c>
      <c r="T59" t="b">
        <f>AND(NOT(S59),LEN(W59)&gt;0)</f>
        <v>0</v>
      </c>
      <c r="U59" t="str">
        <f>SUBSTITUTE(SUBSTITUTE(SUBSTITUTE("dd"&amp;B59&amp;C59&amp;D59&amp;E59&amp;F59,".","_"),"(","_"),")","")</f>
        <v>dd901_3_1_b</v>
      </c>
      <c r="W59" s="9" t="s">
        <v>3239</v>
      </c>
      <c r="X59" s="688"/>
      <c r="AC59" t="b">
        <f>OR(AD59:AE59)</f>
        <v>0</v>
      </c>
      <c r="AD59" t="b">
        <f>T59</f>
        <v>0</v>
      </c>
      <c r="AE59" t="b">
        <f>AND(R59,OR(W59="Not Met",W59=""))</f>
        <v>0</v>
      </c>
      <c r="AN59" t="str">
        <f>SUBSTITUTE(SUBSTITUTE(SUBSTITUTE("dpc"&amp;$B59&amp;$C59&amp;$D59&amp;$E59&amp;$F59,".","_"),"(","_"),")","")</f>
        <v>dpc901_3_1_b</v>
      </c>
      <c r="AO59">
        <f>O59</f>
        <v>2</v>
      </c>
      <c r="AP59" t="str">
        <f>SUBSTITUTE(SUBSTITUTE(SUBSTITUTE("dch"&amp;$B59&amp;$C59&amp;$D59&amp;$E59&amp;$F59,".","_"),"(","_"),")","")</f>
        <v>dch901_3_1_b</v>
      </c>
      <c r="AQ59" t="str">
        <f>W59</f>
        <v>Met</v>
      </c>
      <c r="AR59" t="str">
        <f>SUBSTITUTE(SUBSTITUTE(SUBSTITUTE("dnt"&amp;$B59&amp;$C59&amp;$D59&amp;$E59&amp;$F59,".","_"),"(","_"),")","")</f>
        <v>dnt901_3_1_b</v>
      </c>
      <c r="AS59">
        <f>X59</f>
        <v>0</v>
      </c>
      <c r="AX59" s="6"/>
    </row>
    <row r="60" spans="2:51" x14ac:dyDescent="0.35">
      <c r="B60" s="452">
        <v>901.3</v>
      </c>
      <c r="C60" s="13"/>
      <c r="D60" s="13"/>
      <c r="E60" s="13" t="s">
        <v>270</v>
      </c>
      <c r="F60" s="40" t="s">
        <v>122</v>
      </c>
      <c r="G60" s="40"/>
      <c r="H60" s="553"/>
      <c r="I60" s="108"/>
      <c r="J60" s="4"/>
      <c r="K60" s="155"/>
      <c r="L60" s="709"/>
      <c r="M60" s="198">
        <v>2</v>
      </c>
      <c r="N60" s="155"/>
      <c r="O60" s="697"/>
      <c r="X60" s="688"/>
      <c r="AL60" t="str">
        <f>SUBSTITUTE(SUBSTITUTE(SUBSTITUTE("dpa"&amp;$B60&amp;$C60&amp;$D60&amp;$E60&amp;$F60,".","_"),"(","_"),")","")</f>
        <v>dpa901_3_1_b</v>
      </c>
      <c r="AM60">
        <f>M60</f>
        <v>2</v>
      </c>
      <c r="AX60" s="6" t="str">
        <f>'Overview (Design)'!A59</f>
        <v>Local Energy Code:</v>
      </c>
      <c r="AY60">
        <f>'Overview (Design)'!G59</f>
        <v>0</v>
      </c>
    </row>
    <row r="61" spans="2:51" ht="15" customHeight="1" x14ac:dyDescent="0.35">
      <c r="B61" s="452">
        <v>901.3</v>
      </c>
      <c r="C61" s="13"/>
      <c r="D61" s="13"/>
      <c r="E61" s="13" t="s">
        <v>270</v>
      </c>
      <c r="F61" s="40" t="s">
        <v>123</v>
      </c>
      <c r="G61" s="40"/>
      <c r="H61" s="553"/>
      <c r="I61" s="108"/>
      <c r="J61" s="4"/>
      <c r="K61" s="19" t="s">
        <v>123</v>
      </c>
      <c r="L61" s="707" t="s">
        <v>3382</v>
      </c>
      <c r="M61" s="690">
        <v>8</v>
      </c>
      <c r="N61" s="4"/>
      <c r="O61" s="696">
        <f ca="1">M61*S61*W61</f>
        <v>0</v>
      </c>
      <c r="P61" t="b">
        <v>0</v>
      </c>
      <c r="Q61" t="b">
        <v>1</v>
      </c>
      <c r="R61" t="b">
        <v>0</v>
      </c>
      <c r="S61" t="b">
        <f ca="1">AND(NOT(W67),$AY$19=INDEX(INDIRECT("ddSingleOrMulti"),1))</f>
        <v>1</v>
      </c>
      <c r="T61" t="b">
        <f ca="1">AND(NOT(S61),W61=TRUE)</f>
        <v>0</v>
      </c>
      <c r="W61" s="17"/>
      <c r="X61" s="688"/>
      <c r="AC61" t="b">
        <f ca="1">OR(AD61:AE61)</f>
        <v>0</v>
      </c>
      <c r="AD61" t="b">
        <f ca="1">T61</f>
        <v>0</v>
      </c>
      <c r="AE61" t="b">
        <f>AND(R61,NOT(W61))</f>
        <v>0</v>
      </c>
      <c r="AL61" t="str">
        <f>SUBSTITUTE(SUBSTITUTE(SUBSTITUTE("dpa"&amp;$B61&amp;$C61&amp;$D61&amp;$E61&amp;$F61,".","_"),"(","_"),")","")</f>
        <v>dpa901_3_1_c</v>
      </c>
      <c r="AM61">
        <f>M61</f>
        <v>8</v>
      </c>
      <c r="AN61" t="str">
        <f>SUBSTITUTE(SUBSTITUTE(SUBSTITUTE("dpc"&amp;$B61&amp;$C61&amp;$D61&amp;$E61&amp;$F61,".","_"),"(","_"),")","")</f>
        <v>dpc901_3_1_c</v>
      </c>
      <c r="AO61">
        <f ca="1">O61</f>
        <v>0</v>
      </c>
      <c r="AP61" t="str">
        <f>SUBSTITUTE(SUBSTITUTE(SUBSTITUTE("dch"&amp;$B61&amp;$C61&amp;$D61&amp;$E61&amp;$F61,".","_"),"(","_"),")","")</f>
        <v>dch901_3_1_c</v>
      </c>
      <c r="AQ61">
        <f>W61</f>
        <v>0</v>
      </c>
      <c r="AR61" t="str">
        <f>SUBSTITUTE(SUBSTITUTE(SUBSTITUTE("dnt"&amp;$B61&amp;$C61&amp;$D61&amp;$E61&amp;$F61,".","_"),"(","_"),")","")</f>
        <v>dnt901_3_1_c</v>
      </c>
      <c r="AS61">
        <f>X61</f>
        <v>0</v>
      </c>
      <c r="AX61" s="6" t="str">
        <f>'Overview (Design)'!A60</f>
        <v>Local Building Code:</v>
      </c>
      <c r="AY61">
        <f>'Overview (Design)'!G60</f>
        <v>0</v>
      </c>
    </row>
    <row r="62" spans="2:51" x14ac:dyDescent="0.35">
      <c r="B62" s="452">
        <v>901.3</v>
      </c>
      <c r="C62" s="13"/>
      <c r="D62" s="13"/>
      <c r="E62" s="13" t="s">
        <v>270</v>
      </c>
      <c r="F62" s="40" t="s">
        <v>123</v>
      </c>
      <c r="G62" s="40"/>
      <c r="H62" s="553"/>
      <c r="I62" s="108"/>
      <c r="J62" s="4"/>
      <c r="K62" s="4"/>
      <c r="L62" s="707"/>
      <c r="M62" s="690"/>
      <c r="N62" s="4"/>
      <c r="O62" s="696"/>
      <c r="X62" s="688"/>
    </row>
    <row r="63" spans="2:51" x14ac:dyDescent="0.35">
      <c r="B63" s="452">
        <v>901.3</v>
      </c>
      <c r="C63" s="13"/>
      <c r="D63" s="13"/>
      <c r="E63" s="13" t="s">
        <v>270</v>
      </c>
      <c r="F63" s="40" t="s">
        <v>123</v>
      </c>
      <c r="G63" s="40"/>
      <c r="H63" s="553"/>
      <c r="I63" s="108"/>
      <c r="J63" s="4"/>
      <c r="K63" s="4"/>
      <c r="L63" s="707"/>
      <c r="M63" s="690"/>
      <c r="N63" s="4"/>
      <c r="O63" s="696"/>
      <c r="X63" s="688"/>
    </row>
    <row r="64" spans="2:51" ht="15" customHeight="1" x14ac:dyDescent="0.35">
      <c r="B64" s="452">
        <v>901.3</v>
      </c>
      <c r="C64" s="13"/>
      <c r="D64" s="13"/>
      <c r="E64" s="13" t="s">
        <v>270</v>
      </c>
      <c r="F64" s="40" t="s">
        <v>123</v>
      </c>
      <c r="G64" s="40"/>
      <c r="H64" s="553"/>
      <c r="I64" s="108"/>
      <c r="J64" s="4"/>
      <c r="K64" s="4"/>
      <c r="L64" s="707"/>
      <c r="M64" s="690"/>
      <c r="N64" s="4"/>
      <c r="O64" s="696"/>
      <c r="X64" s="688"/>
    </row>
    <row r="65" spans="2:45" ht="15" customHeight="1" x14ac:dyDescent="0.35">
      <c r="B65" s="452">
        <v>901.3</v>
      </c>
      <c r="C65" s="13"/>
      <c r="D65" s="13"/>
      <c r="E65" s="13" t="s">
        <v>270</v>
      </c>
      <c r="F65" s="40" t="s">
        <v>123</v>
      </c>
      <c r="G65" s="40"/>
      <c r="H65" s="553"/>
      <c r="I65" s="108"/>
      <c r="J65" s="4"/>
      <c r="K65" s="4"/>
      <c r="L65" s="707"/>
      <c r="M65" s="690"/>
      <c r="N65" s="4"/>
      <c r="O65" s="696"/>
      <c r="X65" s="688"/>
    </row>
    <row r="66" spans="2:45" ht="15" customHeight="1" x14ac:dyDescent="0.35">
      <c r="B66" s="452">
        <v>901.3</v>
      </c>
      <c r="C66" s="13"/>
      <c r="D66" s="13"/>
      <c r="E66" s="13" t="s">
        <v>270</v>
      </c>
      <c r="F66" s="40" t="s">
        <v>123</v>
      </c>
      <c r="G66" s="40"/>
      <c r="H66" s="553"/>
      <c r="I66" s="108"/>
      <c r="J66" s="155"/>
      <c r="K66" s="155"/>
      <c r="L66" s="709"/>
      <c r="M66" s="691"/>
      <c r="N66" s="155"/>
      <c r="O66" s="697"/>
      <c r="X66" s="688"/>
    </row>
    <row r="67" spans="2:45" ht="15" customHeight="1" thickBot="1" x14ac:dyDescent="0.4">
      <c r="B67" s="452">
        <v>901.3</v>
      </c>
      <c r="C67" s="13"/>
      <c r="D67" s="13"/>
      <c r="E67" s="13" t="s">
        <v>272</v>
      </c>
      <c r="F67" s="40"/>
      <c r="G67" s="40"/>
      <c r="H67" s="553"/>
      <c r="I67" s="328"/>
      <c r="J67" s="133" t="s">
        <v>272</v>
      </c>
      <c r="K67" s="183"/>
      <c r="L67" s="223" t="s">
        <v>3383</v>
      </c>
      <c r="M67" s="270">
        <v>10</v>
      </c>
      <c r="N67" s="183"/>
      <c r="O67" s="184">
        <f>M67*S67*W67</f>
        <v>0</v>
      </c>
      <c r="P67" t="b">
        <v>1</v>
      </c>
      <c r="Q67" t="b">
        <v>1</v>
      </c>
      <c r="R67" s="58" t="b">
        <v>0</v>
      </c>
      <c r="S67" s="58" t="b">
        <f>AND(NOT(W61),W57&lt;&gt;"Met",W59&lt;&gt;"Met")</f>
        <v>0</v>
      </c>
      <c r="T67" s="58" t="b">
        <f>AND(NOT(S67),W67=TRUE)</f>
        <v>0</v>
      </c>
      <c r="U67" s="58"/>
      <c r="V67" s="58"/>
      <c r="W67" s="59"/>
      <c r="X67" s="113"/>
      <c r="AC67" t="b">
        <f>OR(AD67:AE67)</f>
        <v>0</v>
      </c>
      <c r="AD67" t="b">
        <f>T67</f>
        <v>0</v>
      </c>
      <c r="AE67" t="b">
        <f>AND(R67,NOT(W67))</f>
        <v>0</v>
      </c>
      <c r="AL67" t="str">
        <f>SUBSTITUTE(SUBSTITUTE(SUBSTITUTE("dpa"&amp;$B67&amp;$C67&amp;$D67&amp;$E67&amp;$F67,".","_"),"(","_"),")","")</f>
        <v>dpa901_3_2</v>
      </c>
      <c r="AM67">
        <f>M67</f>
        <v>10</v>
      </c>
      <c r="AN67" t="str">
        <f>SUBSTITUTE(SUBSTITUTE(SUBSTITUTE("dpc"&amp;$B67&amp;$C67&amp;$D67&amp;$E67&amp;$F67,".","_"),"(","_"),")","")</f>
        <v>dpc901_3_2</v>
      </c>
      <c r="AO67">
        <f>O67</f>
        <v>0</v>
      </c>
      <c r="AP67" t="str">
        <f>SUBSTITUTE(SUBSTITUTE(SUBSTITUTE("dch"&amp;$B67&amp;$C67&amp;$D67&amp;$E67&amp;$F67,".","_"),"(","_"),")","")</f>
        <v>dch901_3_2</v>
      </c>
      <c r="AQ67">
        <f>W67</f>
        <v>0</v>
      </c>
      <c r="AR67" t="str">
        <f>SUBSTITUTE(SUBSTITUTE(SUBSTITUTE("dnt"&amp;$B67&amp;$C67&amp;$D67&amp;$E67&amp;$F67,".","_"),"(","_"),")","")</f>
        <v>dnt901_3_2</v>
      </c>
      <c r="AS67">
        <f>X67</f>
        <v>0</v>
      </c>
    </row>
    <row r="68" spans="2:45" ht="15" thickTop="1" x14ac:dyDescent="0.35">
      <c r="B68" s="452">
        <v>901.4</v>
      </c>
      <c r="C68" s="13"/>
      <c r="D68" s="13"/>
      <c r="E68" s="13"/>
      <c r="F68" s="13"/>
      <c r="G68" s="13"/>
      <c r="H68" s="550"/>
      <c r="I68" s="32">
        <v>901.4</v>
      </c>
      <c r="J68" s="4"/>
      <c r="K68" s="4"/>
      <c r="L68" s="707" t="s">
        <v>3384</v>
      </c>
      <c r="M68" s="690" t="s">
        <v>750</v>
      </c>
      <c r="N68" s="4"/>
      <c r="O68" s="694">
        <f ca="1">MIN(10,(IFERROR(INDEX({2,2,3,4,4},MATCH(W76,INDIRECT(U76),0)),0)+IFERROR(INDEX({2,2,3,4,4},MATCH(W77,INDIRECT(U77),0)),0)+IFERROR(INDEX({2,2,3,4,4},MATCH(W78,INDIRECT(U78),0)),0)+IFERROR(INDEX({2,2,3,4,4},MATCH(W79,INDIRECT(U79),0)),0)))*S76</f>
        <v>0</v>
      </c>
      <c r="AL68" t="str">
        <f>SUBSTITUTE(SUBSTITUTE(SUBSTITUTE("dpa"&amp;$B68&amp;$C68&amp;$D68&amp;$E68&amp;$F68,".","_"),"(","_"),")","")</f>
        <v>dpa901_4</v>
      </c>
      <c r="AM68" t="str">
        <f>M68</f>
        <v>10 Max</v>
      </c>
      <c r="AN68" t="str">
        <f>SUBSTITUTE(SUBSTITUTE(SUBSTITUTE("dpc"&amp;$B68&amp;$C68&amp;$D68&amp;$E68&amp;$F68,".","_"),"(","_"),")","")</f>
        <v>dpc901_4</v>
      </c>
      <c r="AO68">
        <f ca="1">O68</f>
        <v>0</v>
      </c>
    </row>
    <row r="69" spans="2:45" ht="15" customHeight="1" x14ac:dyDescent="0.35">
      <c r="B69" s="452">
        <v>901.4</v>
      </c>
      <c r="C69" s="13"/>
      <c r="D69" s="13"/>
      <c r="E69" s="13"/>
      <c r="F69" s="13"/>
      <c r="G69" s="13"/>
      <c r="H69" s="550"/>
      <c r="I69" s="108"/>
      <c r="J69" s="4"/>
      <c r="K69" s="4"/>
      <c r="L69" s="707"/>
      <c r="M69" s="690"/>
      <c r="N69" s="4"/>
      <c r="O69" s="696"/>
    </row>
    <row r="70" spans="2:45" x14ac:dyDescent="0.35">
      <c r="B70" s="452">
        <v>901.4</v>
      </c>
      <c r="C70" s="13"/>
      <c r="D70" s="13"/>
      <c r="E70" s="13"/>
      <c r="F70" s="13"/>
      <c r="G70" s="13"/>
      <c r="H70" s="550"/>
      <c r="I70" s="108"/>
      <c r="J70" s="4"/>
      <c r="K70" s="4"/>
      <c r="L70" s="707"/>
      <c r="M70" s="690"/>
      <c r="N70" s="4"/>
      <c r="O70" s="696"/>
    </row>
    <row r="71" spans="2:45" ht="15" customHeight="1" x14ac:dyDescent="0.35">
      <c r="B71" s="452">
        <v>901.4</v>
      </c>
      <c r="C71" s="13"/>
      <c r="D71" s="13"/>
      <c r="E71" s="13" t="s">
        <v>270</v>
      </c>
      <c r="F71" s="13"/>
      <c r="G71" s="13"/>
      <c r="H71" s="550"/>
      <c r="I71" s="108"/>
      <c r="J71" s="19" t="s">
        <v>270</v>
      </c>
      <c r="K71" s="4"/>
      <c r="L71" s="707" t="s">
        <v>3385</v>
      </c>
      <c r="M71" s="740" t="str">
        <f>IF(R71,"Mandatory","N/A")</f>
        <v>Mandatory</v>
      </c>
      <c r="N71" s="4"/>
      <c r="P71" t="b">
        <v>1</v>
      </c>
      <c r="Q71" t="b">
        <v>0</v>
      </c>
      <c r="R71" t="b">
        <f>S71</f>
        <v>1</v>
      </c>
      <c r="S71" t="b">
        <v>1</v>
      </c>
      <c r="T71" t="b">
        <v>0</v>
      </c>
      <c r="U71" t="str">
        <f>SUBSTITUTE(SUBSTITUTE(SUBSTITUTE("dd"&amp;B71&amp;C71&amp;D71&amp;E71&amp;F71,".","_"),"(","_"),")","")</f>
        <v>dd901_4_1</v>
      </c>
      <c r="W71" s="9" t="s">
        <v>3239</v>
      </c>
      <c r="X71" s="688" t="s">
        <v>4849</v>
      </c>
      <c r="AC71" t="b">
        <f>OR(AD71:AE71)</f>
        <v>0</v>
      </c>
      <c r="AD71" t="b">
        <f>T71</f>
        <v>0</v>
      </c>
      <c r="AE71" t="b">
        <f>OR(AND(W71="N/A",LEN(X71)=0),AND(R71,OR(W71="Not Met",W71="")))</f>
        <v>0</v>
      </c>
      <c r="AL71" t="str">
        <f>SUBSTITUTE(SUBSTITUTE(SUBSTITUTE("dpa"&amp;$B71&amp;$C71&amp;$D71&amp;$E71&amp;$F71,".","_"),"(","_"),")","")</f>
        <v>dpa901_4_1</v>
      </c>
      <c r="AM71" t="str">
        <f>M71</f>
        <v>Mandatory</v>
      </c>
      <c r="AP71" t="str">
        <f>SUBSTITUTE(SUBSTITUTE(SUBSTITUTE("dch"&amp;$B71&amp;$C71&amp;$D71&amp;$E71&amp;$F71,".","_"),"(","_"),")","")</f>
        <v>dch901_4_1</v>
      </c>
      <c r="AQ71" t="str">
        <f>W71</f>
        <v>Met</v>
      </c>
      <c r="AR71" t="str">
        <f>SUBSTITUTE(SUBSTITUTE(SUBSTITUTE("dnt"&amp;$B71&amp;$C71&amp;$D71&amp;$E71&amp;$F71,".","_"),"(","_"),")","")</f>
        <v>dnt901_4_1</v>
      </c>
      <c r="AS71" t="str">
        <f>X71</f>
        <v>Boise Cascade BCI® Joists</v>
      </c>
    </row>
    <row r="72" spans="2:45" x14ac:dyDescent="0.35">
      <c r="B72" s="452">
        <v>901.4</v>
      </c>
      <c r="C72" s="13"/>
      <c r="D72" s="13"/>
      <c r="E72" s="13" t="s">
        <v>270</v>
      </c>
      <c r="F72" s="13"/>
      <c r="G72" s="13"/>
      <c r="H72" s="550"/>
      <c r="I72" s="108"/>
      <c r="J72" s="4"/>
      <c r="K72" s="4"/>
      <c r="L72" s="707"/>
      <c r="M72" s="740"/>
      <c r="N72" s="4"/>
      <c r="O72" s="85"/>
      <c r="X72" s="688"/>
    </row>
    <row r="73" spans="2:45" x14ac:dyDescent="0.35">
      <c r="B73" s="452">
        <v>901.4</v>
      </c>
      <c r="C73" s="13"/>
      <c r="D73" s="13"/>
      <c r="E73" s="13" t="s">
        <v>270</v>
      </c>
      <c r="F73" s="13"/>
      <c r="G73" s="13"/>
      <c r="H73" s="550"/>
      <c r="I73" s="108"/>
      <c r="J73" s="4"/>
      <c r="K73" s="4"/>
      <c r="L73" s="707"/>
      <c r="M73" s="740"/>
      <c r="N73" s="4"/>
      <c r="O73" s="85"/>
      <c r="X73" s="688"/>
    </row>
    <row r="74" spans="2:45" x14ac:dyDescent="0.35">
      <c r="B74" s="452">
        <v>901.4</v>
      </c>
      <c r="C74" s="13"/>
      <c r="D74" s="13"/>
      <c r="E74" s="13" t="s">
        <v>270</v>
      </c>
      <c r="F74" s="13"/>
      <c r="G74" s="13"/>
      <c r="H74" s="550"/>
      <c r="I74" s="108"/>
      <c r="J74" s="4"/>
      <c r="K74" s="4"/>
      <c r="L74" s="707"/>
      <c r="M74" s="740"/>
      <c r="N74" s="4"/>
      <c r="O74" s="85"/>
      <c r="X74" s="688"/>
    </row>
    <row r="75" spans="2:45" x14ac:dyDescent="0.35">
      <c r="B75" s="452">
        <v>901.4</v>
      </c>
      <c r="C75" s="13"/>
      <c r="D75" s="13"/>
      <c r="E75" s="13" t="s">
        <v>270</v>
      </c>
      <c r="F75" s="13"/>
      <c r="G75" s="13"/>
      <c r="H75" s="550"/>
      <c r="I75" s="108"/>
      <c r="J75" s="155"/>
      <c r="K75" s="155"/>
      <c r="L75" s="121" t="s">
        <v>4319</v>
      </c>
      <c r="M75" s="741"/>
      <c r="N75" s="4"/>
      <c r="O75" s="85"/>
      <c r="X75" s="688"/>
    </row>
    <row r="76" spans="2:45" x14ac:dyDescent="0.35">
      <c r="B76" s="452">
        <v>901.4</v>
      </c>
      <c r="C76" s="13"/>
      <c r="D76" s="13"/>
      <c r="E76" s="13"/>
      <c r="F76" s="40" t="s">
        <v>121</v>
      </c>
      <c r="G76" s="40"/>
      <c r="H76" s="553"/>
      <c r="I76" s="108"/>
      <c r="J76" s="4"/>
      <c r="K76" s="4"/>
      <c r="L76" s="104" t="s">
        <v>3907</v>
      </c>
      <c r="M76" s="312"/>
      <c r="N76" s="4"/>
      <c r="O76" s="85"/>
      <c r="P76" t="b">
        <v>1</v>
      </c>
      <c r="Q76" t="b">
        <v>1</v>
      </c>
      <c r="R76" t="b">
        <v>0</v>
      </c>
      <c r="S76" t="b">
        <v>1</v>
      </c>
      <c r="T76" t="b">
        <v>0</v>
      </c>
      <c r="U76" t="str">
        <f>SUBSTITUTE(SUBSTITUTE(SUBSTITUTE("dd"&amp;B76&amp;C76&amp;D76&amp;E76&amp;F76,".","_"),"(","_"),")","")</f>
        <v>dd901_4_a</v>
      </c>
      <c r="W76" s="9"/>
      <c r="X76" s="688"/>
      <c r="AC76" t="b">
        <f>OR(AD76:AE76)</f>
        <v>0</v>
      </c>
      <c r="AD76" t="b">
        <f>T76</f>
        <v>0</v>
      </c>
      <c r="AE76" t="b">
        <f>AND(R76,OR(W76="Not Met",W76=""))</f>
        <v>0</v>
      </c>
      <c r="AP76" t="str">
        <f t="shared" ref="AP76:AP79" si="0">SUBSTITUTE(SUBSTITUTE(SUBSTITUTE("dch"&amp;$B76&amp;$C76&amp;$D76&amp;$E76&amp;$F76,".","_"),"(","_"),")","")</f>
        <v>dch901_4_a</v>
      </c>
      <c r="AQ76">
        <f>W76</f>
        <v>0</v>
      </c>
      <c r="AR76" t="str">
        <f>SUBSTITUTE(SUBSTITUTE(SUBSTITUTE("dnt"&amp;$B76&amp;$C76&amp;$D76&amp;$E76&amp;$F76,".","_"),"(","_"),")","")</f>
        <v>dnt901_4_a</v>
      </c>
      <c r="AS76">
        <f>X76</f>
        <v>0</v>
      </c>
    </row>
    <row r="77" spans="2:45" x14ac:dyDescent="0.35">
      <c r="B77" s="452">
        <v>901.4</v>
      </c>
      <c r="C77" s="13"/>
      <c r="D77" s="13"/>
      <c r="E77" s="13"/>
      <c r="F77" s="40" t="s">
        <v>122</v>
      </c>
      <c r="G77" s="40"/>
      <c r="H77" s="553"/>
      <c r="I77" s="108"/>
      <c r="J77" s="4"/>
      <c r="K77" s="4"/>
      <c r="L77" s="104" t="s">
        <v>3908</v>
      </c>
      <c r="M77" s="312"/>
      <c r="N77" s="4"/>
      <c r="O77" s="85"/>
      <c r="P77" t="b">
        <v>1</v>
      </c>
      <c r="Q77" t="b">
        <v>1</v>
      </c>
      <c r="R77" t="b">
        <v>0</v>
      </c>
      <c r="S77" t="b">
        <v>1</v>
      </c>
      <c r="T77" t="b">
        <v>0</v>
      </c>
      <c r="U77" t="str">
        <f>SUBSTITUTE(SUBSTITUTE(SUBSTITUTE("dd"&amp;B77&amp;C77&amp;D77&amp;E77&amp;F77,".","_"),"(","_"),")","")</f>
        <v>dd901_4_b</v>
      </c>
      <c r="W77" s="9"/>
      <c r="X77" s="688"/>
      <c r="AC77" t="b">
        <f>OR(AD77:AE77)</f>
        <v>0</v>
      </c>
      <c r="AD77" t="b">
        <f>T77</f>
        <v>0</v>
      </c>
      <c r="AE77" t="b">
        <f>AND(R77,OR(W77="Not Met",W77=""))</f>
        <v>0</v>
      </c>
      <c r="AP77" t="str">
        <f t="shared" si="0"/>
        <v>dch901_4_b</v>
      </c>
      <c r="AQ77">
        <f>W77</f>
        <v>0</v>
      </c>
    </row>
    <row r="78" spans="2:45" x14ac:dyDescent="0.35">
      <c r="B78" s="452">
        <v>901.4</v>
      </c>
      <c r="C78" s="13"/>
      <c r="D78" s="13"/>
      <c r="E78" s="13"/>
      <c r="F78" s="40" t="s">
        <v>123</v>
      </c>
      <c r="G78" s="40"/>
      <c r="H78" s="553"/>
      <c r="I78" s="108"/>
      <c r="J78" s="4"/>
      <c r="K78" s="4"/>
      <c r="L78" s="104" t="s">
        <v>3909</v>
      </c>
      <c r="M78" s="312"/>
      <c r="N78" s="4"/>
      <c r="O78" s="85"/>
      <c r="P78" t="b">
        <v>1</v>
      </c>
      <c r="Q78" t="b">
        <v>1</v>
      </c>
      <c r="R78" t="b">
        <v>0</v>
      </c>
      <c r="S78" t="b">
        <v>1</v>
      </c>
      <c r="T78" t="b">
        <v>0</v>
      </c>
      <c r="U78" t="str">
        <f>SUBSTITUTE(SUBSTITUTE(SUBSTITUTE("dd"&amp;B78&amp;C78&amp;D78&amp;E78&amp;F78,".","_"),"(","_"),")","")</f>
        <v>dd901_4_c</v>
      </c>
      <c r="W78" s="9"/>
      <c r="X78" s="688"/>
      <c r="AC78" t="b">
        <f>OR(AD78:AE78)</f>
        <v>0</v>
      </c>
      <c r="AD78" t="b">
        <f>T78</f>
        <v>0</v>
      </c>
      <c r="AE78" t="b">
        <f>AND(R78,OR(W78="Not Met",W78=""))</f>
        <v>0</v>
      </c>
      <c r="AP78" t="str">
        <f t="shared" si="0"/>
        <v>dch901_4_c</v>
      </c>
      <c r="AQ78">
        <f>W78</f>
        <v>0</v>
      </c>
    </row>
    <row r="79" spans="2:45" x14ac:dyDescent="0.35">
      <c r="B79" s="452">
        <v>901.4</v>
      </c>
      <c r="C79" s="13"/>
      <c r="D79" s="13"/>
      <c r="E79" s="13"/>
      <c r="F79" s="40" t="s">
        <v>420</v>
      </c>
      <c r="G79" s="40"/>
      <c r="H79" s="553"/>
      <c r="I79" s="108"/>
      <c r="J79" s="4"/>
      <c r="K79" s="4"/>
      <c r="L79" s="104" t="s">
        <v>3910</v>
      </c>
      <c r="M79" s="312"/>
      <c r="N79" s="4"/>
      <c r="O79" s="85"/>
      <c r="P79" t="b">
        <v>1</v>
      </c>
      <c r="Q79" t="b">
        <v>1</v>
      </c>
      <c r="R79" t="b">
        <v>0</v>
      </c>
      <c r="S79" t="b">
        <v>1</v>
      </c>
      <c r="T79" t="b">
        <v>0</v>
      </c>
      <c r="U79" t="str">
        <f>SUBSTITUTE(SUBSTITUTE(SUBSTITUTE("dd"&amp;B79&amp;C79&amp;D79&amp;E79&amp;F79,".","_"),"(","_"),")","")</f>
        <v>dd901_4_d</v>
      </c>
      <c r="W79" s="9"/>
      <c r="X79" s="688"/>
      <c r="AC79" t="b">
        <f>OR(AD79:AE79)</f>
        <v>0</v>
      </c>
      <c r="AD79" t="b">
        <f>T79</f>
        <v>0</v>
      </c>
      <c r="AE79" t="b">
        <f>AND(R79,OR(W79="Not Met",W79=""))</f>
        <v>0</v>
      </c>
      <c r="AP79" t="str">
        <f t="shared" si="0"/>
        <v>dch901_4_d</v>
      </c>
      <c r="AQ79">
        <f>W79</f>
        <v>0</v>
      </c>
    </row>
    <row r="80" spans="2:45" x14ac:dyDescent="0.35">
      <c r="B80" s="452">
        <v>901.4</v>
      </c>
      <c r="C80" s="13"/>
      <c r="D80" s="13"/>
      <c r="E80" s="13" t="s">
        <v>272</v>
      </c>
      <c r="F80" s="13"/>
      <c r="G80" s="13"/>
      <c r="H80" s="550"/>
      <c r="I80" s="108"/>
      <c r="J80" s="19" t="s">
        <v>272</v>
      </c>
      <c r="K80" s="4"/>
      <c r="L80" s="707" t="s">
        <v>3386</v>
      </c>
      <c r="M80" s="690">
        <v>2</v>
      </c>
      <c r="N80" s="4"/>
      <c r="O80" s="85"/>
      <c r="X80" s="688"/>
      <c r="AL80" t="str">
        <f>SUBSTITUTE(SUBSTITUTE(SUBSTITUTE("dpa"&amp;$B80&amp;$C80&amp;$D80&amp;$E80&amp;$F80,".","_"),"(","_"),")","")</f>
        <v>dpa901_4_2</v>
      </c>
      <c r="AM80">
        <f>M80</f>
        <v>2</v>
      </c>
    </row>
    <row r="81" spans="2:45" x14ac:dyDescent="0.35">
      <c r="B81" s="452">
        <v>901.4</v>
      </c>
      <c r="C81" s="13"/>
      <c r="D81" s="13"/>
      <c r="E81" s="13" t="s">
        <v>272</v>
      </c>
      <c r="F81" s="13"/>
      <c r="G81" s="13"/>
      <c r="H81" s="550"/>
      <c r="I81" s="108"/>
      <c r="J81" s="155"/>
      <c r="K81" s="155"/>
      <c r="L81" s="709"/>
      <c r="M81" s="691"/>
      <c r="N81" s="4"/>
      <c r="O81" s="85"/>
      <c r="X81" s="688"/>
    </row>
    <row r="82" spans="2:45" x14ac:dyDescent="0.35">
      <c r="B82" s="452">
        <v>901.4</v>
      </c>
      <c r="C82" s="13"/>
      <c r="D82" s="13"/>
      <c r="E82" s="13" t="s">
        <v>274</v>
      </c>
      <c r="F82" s="13"/>
      <c r="G82" s="13"/>
      <c r="H82" s="550"/>
      <c r="I82" s="108"/>
      <c r="J82" s="148" t="s">
        <v>274</v>
      </c>
      <c r="K82" s="155"/>
      <c r="L82" s="214" t="s">
        <v>3387</v>
      </c>
      <c r="M82" s="198">
        <v>2</v>
      </c>
      <c r="N82" s="4"/>
      <c r="O82" s="85"/>
      <c r="X82" s="688"/>
      <c r="AL82" t="str">
        <f>SUBSTITUTE(SUBSTITUTE(SUBSTITUTE("dpa"&amp;$B82&amp;$C82&amp;$D82&amp;$E82&amp;$F82,".","_"),"(","_"),")","")</f>
        <v>dpa901_4_3</v>
      </c>
      <c r="AM82">
        <f>M82</f>
        <v>2</v>
      </c>
    </row>
    <row r="83" spans="2:45" x14ac:dyDescent="0.35">
      <c r="B83" s="452">
        <v>901.4</v>
      </c>
      <c r="C83" s="13"/>
      <c r="D83" s="13"/>
      <c r="E83" s="13" t="s">
        <v>283</v>
      </c>
      <c r="F83" s="13"/>
      <c r="G83" s="13"/>
      <c r="H83" s="550"/>
      <c r="I83" s="108"/>
      <c r="J83" s="148" t="s">
        <v>283</v>
      </c>
      <c r="K83" s="155"/>
      <c r="L83" s="214" t="s">
        <v>3388</v>
      </c>
      <c r="M83" s="198">
        <v>3</v>
      </c>
      <c r="N83" s="4"/>
      <c r="O83" s="85"/>
      <c r="X83" s="688"/>
      <c r="AL83" t="str">
        <f>SUBSTITUTE(SUBSTITUTE(SUBSTITUTE("dpa"&amp;$B83&amp;$C83&amp;$D83&amp;$E83&amp;$F83,".","_"),"(","_"),")","")</f>
        <v>dpa901_4_4</v>
      </c>
      <c r="AM83">
        <f>M83</f>
        <v>3</v>
      </c>
    </row>
    <row r="84" spans="2:45" x14ac:dyDescent="0.35">
      <c r="B84" s="452">
        <v>901.4</v>
      </c>
      <c r="C84" s="13"/>
      <c r="D84" s="13"/>
      <c r="E84" s="13" t="s">
        <v>289</v>
      </c>
      <c r="F84" s="13"/>
      <c r="G84" s="13"/>
      <c r="H84" s="550"/>
      <c r="I84" s="108"/>
      <c r="J84" s="19" t="s">
        <v>289</v>
      </c>
      <c r="K84" s="4"/>
      <c r="L84" s="707" t="s">
        <v>3389</v>
      </c>
      <c r="M84" s="690">
        <v>4</v>
      </c>
      <c r="N84" s="4"/>
      <c r="O84" s="85"/>
      <c r="X84" s="688"/>
      <c r="AL84" t="str">
        <f>SUBSTITUTE(SUBSTITUTE(SUBSTITUTE("dpa"&amp;$B84&amp;$C84&amp;$D84&amp;$E84&amp;$F84,".","_"),"(","_"),")","")</f>
        <v>dpa901_4_5</v>
      </c>
      <c r="AM84">
        <f>M84</f>
        <v>4</v>
      </c>
    </row>
    <row r="85" spans="2:45" x14ac:dyDescent="0.35">
      <c r="B85" s="452">
        <v>901.4</v>
      </c>
      <c r="C85" s="13"/>
      <c r="D85" s="13"/>
      <c r="E85" s="13" t="s">
        <v>289</v>
      </c>
      <c r="F85" s="13"/>
      <c r="G85" s="13"/>
      <c r="H85" s="550"/>
      <c r="I85" s="108"/>
      <c r="J85" s="148"/>
      <c r="K85" s="155"/>
      <c r="L85" s="709"/>
      <c r="M85" s="691"/>
      <c r="N85" s="4"/>
      <c r="O85" s="85"/>
      <c r="X85" s="688"/>
    </row>
    <row r="86" spans="2:45" ht="15" thickBot="1" x14ac:dyDescent="0.4">
      <c r="B86" s="452">
        <v>901.4</v>
      </c>
      <c r="C86" s="13"/>
      <c r="D86" s="13"/>
      <c r="E86" s="13" t="s">
        <v>291</v>
      </c>
      <c r="F86" s="13"/>
      <c r="G86" s="13"/>
      <c r="H86" s="550"/>
      <c r="I86" s="328"/>
      <c r="J86" s="133" t="s">
        <v>291</v>
      </c>
      <c r="K86" s="183"/>
      <c r="L86" s="223" t="s">
        <v>3390</v>
      </c>
      <c r="M86" s="270">
        <v>4</v>
      </c>
      <c r="N86" s="183"/>
      <c r="O86" s="184"/>
      <c r="P86" s="58"/>
      <c r="Q86" s="58"/>
      <c r="R86" s="58"/>
      <c r="S86" s="58"/>
      <c r="T86" s="58"/>
      <c r="U86" s="58"/>
      <c r="V86" s="58"/>
      <c r="W86" s="58"/>
      <c r="X86" s="689"/>
      <c r="AL86" t="str">
        <f>SUBSTITUTE(SUBSTITUTE(SUBSTITUTE("dpa"&amp;$B86&amp;$C86&amp;$D86&amp;$E86&amp;$F86,".","_"),"(","_"),")","")</f>
        <v>dpa901_4_6</v>
      </c>
      <c r="AM86">
        <f>M86</f>
        <v>4</v>
      </c>
    </row>
    <row r="87" spans="2:45" ht="15" thickTop="1" x14ac:dyDescent="0.35">
      <c r="B87" s="452">
        <v>901.5</v>
      </c>
      <c r="C87" s="13"/>
      <c r="D87" s="13"/>
      <c r="E87" s="13"/>
      <c r="F87" s="13"/>
      <c r="G87" s="13"/>
      <c r="H87" s="550"/>
      <c r="I87" s="32">
        <v>901.5</v>
      </c>
      <c r="J87" s="4"/>
      <c r="K87" s="4"/>
      <c r="L87" s="706" t="s">
        <v>3391</v>
      </c>
      <c r="M87" s="43"/>
      <c r="N87" s="4"/>
      <c r="O87" s="85"/>
    </row>
    <row r="88" spans="2:45" x14ac:dyDescent="0.35">
      <c r="B88" s="452">
        <v>901.5</v>
      </c>
      <c r="C88" s="13"/>
      <c r="D88" s="13"/>
      <c r="E88" s="13"/>
      <c r="F88" s="13"/>
      <c r="G88" s="13"/>
      <c r="H88" s="550"/>
      <c r="I88" s="108"/>
      <c r="J88" s="4"/>
      <c r="K88" s="4"/>
      <c r="L88" s="706"/>
      <c r="M88" s="43"/>
      <c r="N88" s="4"/>
      <c r="O88" s="85"/>
    </row>
    <row r="89" spans="2:45" x14ac:dyDescent="0.35">
      <c r="B89" s="452">
        <v>901.5</v>
      </c>
      <c r="C89" s="13"/>
      <c r="D89" s="13"/>
      <c r="E89" s="13"/>
      <c r="F89" s="13"/>
      <c r="G89" s="13"/>
      <c r="H89" s="550"/>
      <c r="I89" s="108"/>
      <c r="J89" s="4"/>
      <c r="K89" s="4"/>
      <c r="L89" s="107" t="s">
        <v>3392</v>
      </c>
      <c r="M89" s="43"/>
      <c r="N89" s="4"/>
      <c r="O89" s="85"/>
    </row>
    <row r="90" spans="2:45" x14ac:dyDescent="0.35">
      <c r="B90" s="452">
        <v>901.5</v>
      </c>
      <c r="C90" s="13"/>
      <c r="D90" s="13"/>
      <c r="E90" s="13" t="s">
        <v>270</v>
      </c>
      <c r="F90" s="13"/>
      <c r="G90" s="13"/>
      <c r="H90" s="550"/>
      <c r="I90" s="108"/>
      <c r="J90" s="19" t="s">
        <v>270</v>
      </c>
      <c r="K90" s="4"/>
      <c r="L90" s="707" t="s">
        <v>3393</v>
      </c>
      <c r="M90" s="690">
        <v>5</v>
      </c>
      <c r="N90" s="4"/>
      <c r="O90" s="696">
        <f>M90*S90*W90</f>
        <v>0</v>
      </c>
      <c r="P90" t="b">
        <v>0</v>
      </c>
      <c r="Q90" t="b">
        <v>1</v>
      </c>
      <c r="R90" t="b">
        <v>0</v>
      </c>
      <c r="S90" t="b">
        <v>1</v>
      </c>
      <c r="T90" t="b">
        <v>0</v>
      </c>
      <c r="W90" s="17"/>
      <c r="X90" s="688"/>
      <c r="AC90" t="b">
        <f>OR(AD90:AE90)</f>
        <v>0</v>
      </c>
      <c r="AD90" t="b">
        <f>T90</f>
        <v>0</v>
      </c>
      <c r="AE90" t="b">
        <f>AND(R90,NOT(W90))</f>
        <v>0</v>
      </c>
      <c r="AL90" t="str">
        <f>SUBSTITUTE(SUBSTITUTE(SUBSTITUTE("dpa"&amp;$B90&amp;$C90&amp;$D90&amp;$E90&amp;$F90,".","_"),"(","_"),")","")</f>
        <v>dpa901_5_1</v>
      </c>
      <c r="AM90">
        <f>M90</f>
        <v>5</v>
      </c>
      <c r="AN90" t="str">
        <f>SUBSTITUTE(SUBSTITUTE(SUBSTITUTE("dpc"&amp;$B90&amp;$C90&amp;$D90&amp;$E90&amp;$F90,".","_"),"(","_"),")","")</f>
        <v>dpc901_5_1</v>
      </c>
      <c r="AO90">
        <f>O90</f>
        <v>0</v>
      </c>
      <c r="AP90" t="str">
        <f>SUBSTITUTE(SUBSTITUTE(SUBSTITUTE("dch"&amp;$B90&amp;$C90&amp;$D90&amp;$E90&amp;$F90,".","_"),"(","_"),")","")</f>
        <v>dch901_5_1</v>
      </c>
      <c r="AQ90">
        <f>W90</f>
        <v>0</v>
      </c>
      <c r="AR90" t="str">
        <f>SUBSTITUTE(SUBSTITUTE(SUBSTITUTE("dnt"&amp;$B90&amp;$C90&amp;$D90&amp;$E90&amp;$F90,".","_"),"(","_"),")","")</f>
        <v>dnt901_5_1</v>
      </c>
      <c r="AS90">
        <f>X90</f>
        <v>0</v>
      </c>
    </row>
    <row r="91" spans="2:45" x14ac:dyDescent="0.35">
      <c r="B91" s="452">
        <v>901.5</v>
      </c>
      <c r="C91" s="13"/>
      <c r="D91" s="13"/>
      <c r="E91" s="13" t="s">
        <v>270</v>
      </c>
      <c r="F91" s="13"/>
      <c r="G91" s="13"/>
      <c r="H91" s="550"/>
      <c r="I91" s="108"/>
      <c r="J91" s="155"/>
      <c r="K91" s="155"/>
      <c r="L91" s="709"/>
      <c r="M91" s="691"/>
      <c r="N91" s="4"/>
      <c r="O91" s="697"/>
      <c r="X91" s="688"/>
    </row>
    <row r="92" spans="2:45" x14ac:dyDescent="0.35">
      <c r="B92" s="452">
        <v>901.5</v>
      </c>
      <c r="C92" s="13"/>
      <c r="D92" s="13"/>
      <c r="E92" s="13" t="s">
        <v>272</v>
      </c>
      <c r="F92" s="13"/>
      <c r="G92" s="13"/>
      <c r="H92" s="550"/>
      <c r="I92" s="108"/>
      <c r="J92" s="19" t="s">
        <v>272</v>
      </c>
      <c r="K92" s="4"/>
      <c r="L92" s="707" t="s">
        <v>3394</v>
      </c>
      <c r="M92" s="690">
        <v>3</v>
      </c>
      <c r="N92" s="4"/>
      <c r="O92" s="696">
        <f>M92*S92*W92</f>
        <v>3</v>
      </c>
      <c r="P92" t="b">
        <v>0</v>
      </c>
      <c r="Q92" t="b">
        <v>1</v>
      </c>
      <c r="R92" t="b">
        <v>0</v>
      </c>
      <c r="S92" t="b">
        <v>1</v>
      </c>
      <c r="T92" t="b">
        <v>0</v>
      </c>
      <c r="W92" s="17" t="b">
        <v>1</v>
      </c>
      <c r="X92" s="688" t="s">
        <v>4820</v>
      </c>
      <c r="AC92" t="b">
        <f>OR(AD92:AE92)</f>
        <v>0</v>
      </c>
      <c r="AD92" t="b">
        <f>T92</f>
        <v>0</v>
      </c>
      <c r="AE92" t="b">
        <f>AND(R92,NOT(W92))</f>
        <v>0</v>
      </c>
      <c r="AL92" t="str">
        <f>SUBSTITUTE(SUBSTITUTE(SUBSTITUTE("dpa"&amp;$B92&amp;$C92&amp;$D92&amp;$E92&amp;$F92,".","_"),"(","_"),")","")</f>
        <v>dpa901_5_2</v>
      </c>
      <c r="AM92">
        <f>M92</f>
        <v>3</v>
      </c>
      <c r="AN92" t="str">
        <f>SUBSTITUTE(SUBSTITUTE(SUBSTITUTE("dpc"&amp;$B92&amp;$C92&amp;$D92&amp;$E92&amp;$F92,".","_"),"(","_"),")","")</f>
        <v>dpc901_5_2</v>
      </c>
      <c r="AO92">
        <f>O92</f>
        <v>3</v>
      </c>
      <c r="AP92" t="str">
        <f>SUBSTITUTE(SUBSTITUTE(SUBSTITUTE("dch"&amp;$B92&amp;$C92&amp;$D92&amp;$E92&amp;$F92,".","_"),"(","_"),")","")</f>
        <v>dch901_5_2</v>
      </c>
      <c r="AQ92" t="b">
        <f>W92</f>
        <v>1</v>
      </c>
      <c r="AR92" t="str">
        <f>SUBSTITUTE(SUBSTITUTE(SUBSTITUTE("dnt"&amp;$B92&amp;$C92&amp;$D92&amp;$E92&amp;$F92,".","_"),"(","_"),")","")</f>
        <v>dnt901_5_2</v>
      </c>
      <c r="AS92" t="str">
        <f>X92</f>
        <v>Timberlake Kitchen &amp; Bathroom Cabinetry</v>
      </c>
    </row>
    <row r="93" spans="2:45" x14ac:dyDescent="0.35">
      <c r="B93" s="452">
        <v>901.5</v>
      </c>
      <c r="C93" s="13"/>
      <c r="D93" s="13"/>
      <c r="E93" s="13" t="s">
        <v>272</v>
      </c>
      <c r="F93" s="13"/>
      <c r="G93" s="13"/>
      <c r="H93" s="550"/>
      <c r="I93" s="108"/>
      <c r="J93" s="4"/>
      <c r="K93" s="4"/>
      <c r="L93" s="707"/>
      <c r="M93" s="690"/>
      <c r="N93" s="4"/>
      <c r="O93" s="696"/>
      <c r="X93" s="688"/>
    </row>
    <row r="94" spans="2:45" ht="15" thickBot="1" x14ac:dyDescent="0.4">
      <c r="B94" s="452">
        <v>901.5</v>
      </c>
      <c r="C94" s="13"/>
      <c r="D94" s="13"/>
      <c r="E94" s="13"/>
      <c r="F94" s="13"/>
      <c r="G94" s="13"/>
      <c r="H94" s="550"/>
      <c r="I94" s="328"/>
      <c r="J94" s="183"/>
      <c r="K94" s="183"/>
      <c r="L94" s="708"/>
      <c r="M94" s="693"/>
      <c r="N94" s="183"/>
      <c r="O94" s="695"/>
      <c r="P94" s="58"/>
      <c r="Q94" s="58"/>
      <c r="R94" s="58"/>
      <c r="S94" s="58"/>
      <c r="T94" s="58"/>
      <c r="U94" s="58"/>
      <c r="V94" s="58"/>
      <c r="W94" s="58"/>
      <c r="X94" s="689"/>
    </row>
    <row r="95" spans="2:45" ht="15" thickTop="1" x14ac:dyDescent="0.35">
      <c r="B95" s="452">
        <v>901.6</v>
      </c>
      <c r="C95" s="13"/>
      <c r="D95" s="13"/>
      <c r="E95" s="13"/>
      <c r="F95" s="13"/>
      <c r="G95" s="13"/>
      <c r="H95" s="550"/>
      <c r="I95" s="123">
        <v>901.6</v>
      </c>
      <c r="J95" s="124"/>
      <c r="K95" s="124"/>
      <c r="L95" s="711" t="s">
        <v>3395</v>
      </c>
      <c r="M95" s="749" t="str">
        <f>IF(R95,"Mandatory","N/A")</f>
        <v>Mandatory</v>
      </c>
      <c r="N95" s="124"/>
      <c r="O95" s="341"/>
      <c r="P95" t="b">
        <v>0</v>
      </c>
      <c r="Q95" t="b">
        <v>1</v>
      </c>
      <c r="R95" s="62" t="b">
        <f>S95</f>
        <v>1</v>
      </c>
      <c r="S95" s="62" t="b">
        <v>1</v>
      </c>
      <c r="T95" s="62" t="b">
        <v>0</v>
      </c>
      <c r="U95" s="62"/>
      <c r="V95" s="62"/>
      <c r="W95" s="278" t="b">
        <v>1</v>
      </c>
      <c r="X95" s="687"/>
      <c r="AC95" t="b">
        <f>OR(AD95:AE95)</f>
        <v>0</v>
      </c>
      <c r="AD95" t="b">
        <f>T95</f>
        <v>0</v>
      </c>
      <c r="AE95" t="b">
        <f>AND(R95,NOT(W95))</f>
        <v>0</v>
      </c>
      <c r="AL95" t="str">
        <f>SUBSTITUTE(SUBSTITUTE(SUBSTITUTE("dpa"&amp;$B95&amp;$C95&amp;$D95&amp;$E95&amp;$F95,".","_"),"(","_"),")","")</f>
        <v>dpa901_6</v>
      </c>
      <c r="AM95" t="str">
        <f>M95</f>
        <v>Mandatory</v>
      </c>
      <c r="AP95" t="str">
        <f>SUBSTITUTE(SUBSTITUTE(SUBSTITUTE("dch"&amp;$B95&amp;$C95&amp;$D95&amp;$E95&amp;$F95,".","_"),"(","_"),")","")</f>
        <v>dch901_6</v>
      </c>
      <c r="AQ95" t="b">
        <f>W95</f>
        <v>1</v>
      </c>
      <c r="AR95" t="str">
        <f>SUBSTITUTE(SUBSTITUTE(SUBSTITUTE("dnt"&amp;$B95&amp;$C95&amp;$D95&amp;$E95&amp;$F95,".","_"),"(","_"),")","")</f>
        <v>dnt901_6</v>
      </c>
      <c r="AS95">
        <f>X95</f>
        <v>0</v>
      </c>
    </row>
    <row r="96" spans="2:45" ht="15" thickBot="1" x14ac:dyDescent="0.4">
      <c r="B96" s="452">
        <v>901.6</v>
      </c>
      <c r="C96" s="13"/>
      <c r="D96" s="13"/>
      <c r="E96" s="13"/>
      <c r="F96" s="13"/>
      <c r="G96" s="13"/>
      <c r="H96" s="550"/>
      <c r="I96" s="328"/>
      <c r="J96" s="183"/>
      <c r="K96" s="183"/>
      <c r="L96" s="710"/>
      <c r="M96" s="771"/>
      <c r="N96" s="183"/>
      <c r="O96" s="184"/>
      <c r="P96" s="58"/>
      <c r="Q96" s="58"/>
      <c r="R96" s="58"/>
      <c r="S96" s="58"/>
      <c r="T96" s="58"/>
      <c r="U96" s="58"/>
      <c r="V96" s="58"/>
      <c r="W96" s="58"/>
      <c r="X96" s="689"/>
    </row>
    <row r="97" spans="2:45" ht="15" thickTop="1" x14ac:dyDescent="0.35">
      <c r="B97" s="452">
        <v>901.7</v>
      </c>
      <c r="C97" s="13"/>
      <c r="D97" s="13"/>
      <c r="E97" s="13"/>
      <c r="F97" s="13"/>
      <c r="G97" s="13"/>
      <c r="H97" s="550"/>
      <c r="I97" s="32">
        <v>901.7</v>
      </c>
      <c r="J97" s="4"/>
      <c r="K97" s="4"/>
      <c r="L97" s="706" t="s">
        <v>3396</v>
      </c>
      <c r="M97" s="737" t="s">
        <v>3589</v>
      </c>
      <c r="N97" s="4"/>
      <c r="O97" s="696">
        <f>MIN(8,ROUNDDOWN(W104/0.1,0)+ROUNDDOWN(W114/0.1,0)+ROUNDDOWN(W115*1.33/0.1,0))</f>
        <v>0</v>
      </c>
      <c r="AL97" t="str">
        <f>SUBSTITUTE(SUBSTITUTE(SUBSTITUTE("dpa"&amp;$B97&amp;$C97&amp;$D97&amp;$E97&amp;$F97,".","_"),"(","_"),")","")</f>
        <v>dpa901_7</v>
      </c>
      <c r="AM97" t="str">
        <f>M97</f>
        <v>1
8 Max</v>
      </c>
      <c r="AN97" t="str">
        <f>SUBSTITUTE(SUBSTITUTE(SUBSTITUTE("dpc"&amp;$B97&amp;$C97&amp;$D97&amp;$E97&amp;$F97,".","_"),"(","_"),")","")</f>
        <v>dpc901_7</v>
      </c>
      <c r="AO97">
        <f>O97</f>
        <v>0</v>
      </c>
    </row>
    <row r="98" spans="2:45" x14ac:dyDescent="0.35">
      <c r="B98" s="452">
        <v>901.7</v>
      </c>
      <c r="C98" s="13"/>
      <c r="D98" s="13"/>
      <c r="E98" s="13"/>
      <c r="F98" s="13"/>
      <c r="G98" s="13"/>
      <c r="H98" s="550"/>
      <c r="I98" s="108"/>
      <c r="J98" s="4"/>
      <c r="K98" s="4"/>
      <c r="L98" s="706"/>
      <c r="M98" s="737"/>
      <c r="N98" s="4"/>
      <c r="O98" s="696"/>
    </row>
    <row r="99" spans="2:45" x14ac:dyDescent="0.35">
      <c r="B99" s="452">
        <v>901.7</v>
      </c>
      <c r="C99" s="13"/>
      <c r="D99" s="13"/>
      <c r="E99" s="13"/>
      <c r="F99" s="13"/>
      <c r="G99" s="13"/>
      <c r="H99" s="550"/>
      <c r="I99" s="108"/>
      <c r="J99" s="4"/>
      <c r="K99" s="4"/>
      <c r="L99" s="706"/>
      <c r="M99" s="737"/>
      <c r="N99" s="4"/>
      <c r="O99" s="696"/>
    </row>
    <row r="100" spans="2:45" x14ac:dyDescent="0.35">
      <c r="B100" s="452">
        <v>901.7</v>
      </c>
      <c r="C100" s="13"/>
      <c r="D100" s="13"/>
      <c r="E100" s="13"/>
      <c r="F100" s="13"/>
      <c r="G100" s="13"/>
      <c r="H100" s="550"/>
      <c r="I100" s="108"/>
      <c r="J100" s="4"/>
      <c r="K100" s="4"/>
      <c r="L100" s="706"/>
      <c r="M100" s="737"/>
      <c r="N100" s="4"/>
      <c r="O100" s="696"/>
    </row>
    <row r="101" spans="2:45" x14ac:dyDescent="0.35">
      <c r="B101" s="452">
        <v>901.7</v>
      </c>
      <c r="C101" s="13"/>
      <c r="D101" s="13"/>
      <c r="E101" s="13"/>
      <c r="F101" s="13"/>
      <c r="G101" s="13"/>
      <c r="H101" s="550"/>
      <c r="I101" s="108"/>
      <c r="J101" s="4"/>
      <c r="K101" s="4"/>
      <c r="L101" s="706"/>
      <c r="M101" s="737"/>
      <c r="N101" s="4"/>
      <c r="O101" s="696"/>
    </row>
    <row r="102" spans="2:45" x14ac:dyDescent="0.35">
      <c r="B102" s="452">
        <v>901.7</v>
      </c>
      <c r="C102" s="13"/>
      <c r="D102" s="13"/>
      <c r="E102" s="13"/>
      <c r="F102" s="13"/>
      <c r="G102" s="13"/>
      <c r="H102" s="550"/>
      <c r="I102" s="108"/>
      <c r="J102" s="4"/>
      <c r="K102" s="4"/>
      <c r="L102" s="752" t="s">
        <v>3397</v>
      </c>
      <c r="M102" s="737"/>
      <c r="N102" s="4"/>
      <c r="O102" s="696"/>
    </row>
    <row r="103" spans="2:45" x14ac:dyDescent="0.35">
      <c r="B103" s="452">
        <v>901.7</v>
      </c>
      <c r="C103" s="13"/>
      <c r="D103" s="13"/>
      <c r="E103" s="13"/>
      <c r="F103" s="13"/>
      <c r="G103" s="13"/>
      <c r="H103" s="550"/>
      <c r="I103" s="108"/>
      <c r="J103" s="4"/>
      <c r="K103" s="4"/>
      <c r="L103" s="752"/>
      <c r="M103" s="737"/>
      <c r="N103" s="4"/>
      <c r="O103" s="696"/>
      <c r="W103" t="s">
        <v>3923</v>
      </c>
    </row>
    <row r="104" spans="2:45" x14ac:dyDescent="0.35">
      <c r="B104" s="452">
        <v>901.7</v>
      </c>
      <c r="C104" s="13"/>
      <c r="D104" s="13"/>
      <c r="E104" s="13" t="s">
        <v>270</v>
      </c>
      <c r="F104" s="40"/>
      <c r="G104" s="40"/>
      <c r="H104" s="553"/>
      <c r="I104" s="108"/>
      <c r="J104" s="19" t="s">
        <v>270</v>
      </c>
      <c r="K104" s="4"/>
      <c r="L104" s="707" t="s">
        <v>3398</v>
      </c>
      <c r="M104" s="43"/>
      <c r="N104" s="4"/>
      <c r="O104" s="85"/>
      <c r="P104" t="b">
        <v>0</v>
      </c>
      <c r="Q104" t="b">
        <v>1</v>
      </c>
      <c r="R104" t="b">
        <v>0</v>
      </c>
      <c r="S104" t="b">
        <v>1</v>
      </c>
      <c r="T104" t="b">
        <f>SUM(W104,W114,W115)&gt;1</f>
        <v>0</v>
      </c>
      <c r="W104" s="288"/>
      <c r="X104" s="688"/>
      <c r="AC104" t="b">
        <f>OR(AD104:AE104)</f>
        <v>0</v>
      </c>
      <c r="AD104" t="b">
        <f>T104</f>
        <v>0</v>
      </c>
      <c r="AE104" t="b">
        <f>AND(R104,OR(W104="Not Met",W104=""))</f>
        <v>0</v>
      </c>
      <c r="AP104" t="str">
        <f>SUBSTITUTE(SUBSTITUTE(SUBSTITUTE("dch"&amp;$B104&amp;$C104&amp;$D104&amp;$E104&amp;$F104,".","_"),"(","_"),")","")</f>
        <v>dch901_7_1</v>
      </c>
      <c r="AQ104" s="258">
        <f>W104</f>
        <v>0</v>
      </c>
      <c r="AR104" t="str">
        <f>SUBSTITUTE(SUBSTITUTE(SUBSTITUTE("dnt"&amp;$B104&amp;$C104&amp;$D104&amp;$E104&amp;$F104,".","_"),"(","_"),")","")</f>
        <v>dnt901_7_1</v>
      </c>
      <c r="AS104">
        <f>X104</f>
        <v>0</v>
      </c>
    </row>
    <row r="105" spans="2:45" x14ac:dyDescent="0.35">
      <c r="B105" s="452">
        <v>901.7</v>
      </c>
      <c r="C105" s="13"/>
      <c r="D105" s="13"/>
      <c r="E105" s="13" t="s">
        <v>270</v>
      </c>
      <c r="F105" s="40"/>
      <c r="G105" s="40"/>
      <c r="H105" s="553"/>
      <c r="I105" s="108"/>
      <c r="J105" s="4"/>
      <c r="K105" s="4"/>
      <c r="L105" s="707"/>
      <c r="M105" s="43"/>
      <c r="N105" s="4"/>
      <c r="O105" s="85"/>
      <c r="X105" s="688"/>
    </row>
    <row r="106" spans="2:45" x14ac:dyDescent="0.35">
      <c r="B106" s="452">
        <v>901.7</v>
      </c>
      <c r="C106" s="13"/>
      <c r="D106" s="13"/>
      <c r="E106" s="13" t="s">
        <v>270</v>
      </c>
      <c r="F106" s="40"/>
      <c r="G106" s="40"/>
      <c r="H106" s="553"/>
      <c r="I106" s="108"/>
      <c r="J106" s="4"/>
      <c r="K106" s="4"/>
      <c r="L106" s="707"/>
      <c r="M106" s="43"/>
      <c r="N106" s="4"/>
      <c r="O106" s="85"/>
      <c r="X106" s="688"/>
    </row>
    <row r="107" spans="2:45" x14ac:dyDescent="0.35">
      <c r="B107" s="452">
        <v>901.7</v>
      </c>
      <c r="C107" s="13"/>
      <c r="D107" s="13"/>
      <c r="E107" s="13" t="s">
        <v>270</v>
      </c>
      <c r="F107" s="40"/>
      <c r="G107" s="40"/>
      <c r="H107" s="553"/>
      <c r="I107" s="108"/>
      <c r="J107" s="4"/>
      <c r="K107" s="4"/>
      <c r="L107" s="707"/>
      <c r="M107" s="43"/>
      <c r="N107" s="4"/>
      <c r="O107" s="85"/>
      <c r="X107" s="688"/>
    </row>
    <row r="108" spans="2:45" x14ac:dyDescent="0.35">
      <c r="B108" s="452">
        <v>901.7</v>
      </c>
      <c r="C108" s="13"/>
      <c r="D108" s="13"/>
      <c r="E108" s="13" t="s">
        <v>270</v>
      </c>
      <c r="F108" s="40" t="s">
        <v>121</v>
      </c>
      <c r="G108" s="40"/>
      <c r="H108" s="553"/>
      <c r="I108" s="108"/>
      <c r="J108" s="4"/>
      <c r="K108" s="19" t="s">
        <v>121</v>
      </c>
      <c r="L108" s="104" t="s">
        <v>3399</v>
      </c>
      <c r="M108" s="43"/>
      <c r="N108" s="4"/>
      <c r="O108" s="85"/>
      <c r="X108" s="688"/>
    </row>
    <row r="109" spans="2:45" x14ac:dyDescent="0.35">
      <c r="B109" s="452">
        <v>901.7</v>
      </c>
      <c r="C109" s="13"/>
      <c r="D109" s="13"/>
      <c r="E109" s="13" t="s">
        <v>270</v>
      </c>
      <c r="F109" s="40" t="s">
        <v>122</v>
      </c>
      <c r="G109" s="40"/>
      <c r="H109" s="553"/>
      <c r="I109" s="108"/>
      <c r="J109" s="4"/>
      <c r="K109" s="19" t="s">
        <v>122</v>
      </c>
      <c r="L109" s="104" t="s">
        <v>3400</v>
      </c>
      <c r="M109" s="43"/>
      <c r="N109" s="4"/>
      <c r="O109" s="85"/>
      <c r="X109" s="688"/>
    </row>
    <row r="110" spans="2:45" x14ac:dyDescent="0.35">
      <c r="B110" s="452">
        <v>901.7</v>
      </c>
      <c r="C110" s="13"/>
      <c r="D110" s="13"/>
      <c r="E110" s="13" t="s">
        <v>270</v>
      </c>
      <c r="F110" s="40" t="s">
        <v>123</v>
      </c>
      <c r="G110" s="40"/>
      <c r="H110" s="553"/>
      <c r="I110" s="108"/>
      <c r="J110" s="4"/>
      <c r="K110" s="19" t="s">
        <v>123</v>
      </c>
      <c r="L110" s="104" t="s">
        <v>3401</v>
      </c>
      <c r="M110" s="43"/>
      <c r="N110" s="4"/>
      <c r="O110" s="85"/>
      <c r="X110" s="688"/>
    </row>
    <row r="111" spans="2:45" x14ac:dyDescent="0.35">
      <c r="B111" s="452">
        <v>901.7</v>
      </c>
      <c r="C111" s="13"/>
      <c r="D111" s="13"/>
      <c r="E111" s="13" t="s">
        <v>270</v>
      </c>
      <c r="F111" s="40" t="s">
        <v>420</v>
      </c>
      <c r="G111" s="40"/>
      <c r="H111" s="553"/>
      <c r="I111" s="108"/>
      <c r="J111" s="4"/>
      <c r="K111" s="19" t="s">
        <v>420</v>
      </c>
      <c r="L111" s="104" t="s">
        <v>3402</v>
      </c>
      <c r="M111" s="43"/>
      <c r="N111" s="4"/>
      <c r="O111" s="85"/>
      <c r="X111" s="688"/>
    </row>
    <row r="112" spans="2:45" x14ac:dyDescent="0.35">
      <c r="B112" s="452">
        <v>901.7</v>
      </c>
      <c r="C112" s="13"/>
      <c r="D112" s="13"/>
      <c r="E112" s="13" t="s">
        <v>270</v>
      </c>
      <c r="F112" s="40" t="s">
        <v>575</v>
      </c>
      <c r="G112" s="40"/>
      <c r="H112" s="553"/>
      <c r="I112" s="108"/>
      <c r="J112" s="4"/>
      <c r="K112" s="19" t="s">
        <v>575</v>
      </c>
      <c r="L112" s="104" t="s">
        <v>3403</v>
      </c>
      <c r="M112" s="43"/>
      <c r="N112" s="4"/>
      <c r="O112" s="85"/>
      <c r="X112" s="688"/>
    </row>
    <row r="113" spans="2:45" x14ac:dyDescent="0.35">
      <c r="B113" s="452">
        <v>901.7</v>
      </c>
      <c r="C113" s="13"/>
      <c r="D113" s="13"/>
      <c r="E113" s="13" t="s">
        <v>270</v>
      </c>
      <c r="F113" s="40" t="s">
        <v>642</v>
      </c>
      <c r="G113" s="40"/>
      <c r="H113" s="553"/>
      <c r="I113" s="108"/>
      <c r="J113" s="155"/>
      <c r="K113" s="148" t="s">
        <v>642</v>
      </c>
      <c r="L113" s="214" t="s">
        <v>3404</v>
      </c>
      <c r="M113" s="43"/>
      <c r="N113" s="4"/>
      <c r="O113" s="85"/>
      <c r="W113" t="s">
        <v>3924</v>
      </c>
      <c r="X113" s="688"/>
    </row>
    <row r="114" spans="2:45" x14ac:dyDescent="0.35">
      <c r="B114" s="452">
        <v>901.7</v>
      </c>
      <c r="C114" s="13"/>
      <c r="D114" s="13"/>
      <c r="E114" s="13" t="s">
        <v>272</v>
      </c>
      <c r="F114" s="40"/>
      <c r="G114" s="40"/>
      <c r="H114" s="553"/>
      <c r="I114" s="108"/>
      <c r="J114" s="148" t="s">
        <v>272</v>
      </c>
      <c r="K114" s="155"/>
      <c r="L114" s="214" t="s">
        <v>4101</v>
      </c>
      <c r="M114" s="43"/>
      <c r="N114" s="4"/>
      <c r="O114" s="85"/>
      <c r="P114" t="b">
        <v>0</v>
      </c>
      <c r="Q114" t="b">
        <v>1</v>
      </c>
      <c r="R114" t="b">
        <v>0</v>
      </c>
      <c r="S114" t="b">
        <v>1</v>
      </c>
      <c r="T114" t="b">
        <f>SUM(W104,W114,W115)&gt;1</f>
        <v>0</v>
      </c>
      <c r="W114" s="288"/>
      <c r="X114" s="688"/>
      <c r="AC114" t="b">
        <f>OR(AD114:AE114)</f>
        <v>0</v>
      </c>
      <c r="AD114" t="b">
        <f>T114</f>
        <v>0</v>
      </c>
      <c r="AE114" t="b">
        <f>AND(R114,OR(W114="Not Met",W114=""))</f>
        <v>0</v>
      </c>
      <c r="AP114" t="str">
        <f t="shared" ref="AP114:AP115" si="1">SUBSTITUTE(SUBSTITUTE(SUBSTITUTE("dch"&amp;$B114&amp;$C114&amp;$D114&amp;$E114&amp;$F114,".","_"),"(","_"),")","")</f>
        <v>dch901_7_2</v>
      </c>
      <c r="AQ114" s="258">
        <f>W114</f>
        <v>0</v>
      </c>
      <c r="AR114" t="str">
        <f>SUBSTITUTE(SUBSTITUTE(SUBSTITUTE("dnt"&amp;$B114&amp;$C114&amp;$D114&amp;$E114&amp;$F114,".","_"),"(","_"),")","")</f>
        <v>dnt901_7_2</v>
      </c>
      <c r="AS114">
        <f>X114</f>
        <v>0</v>
      </c>
    </row>
    <row r="115" spans="2:45" x14ac:dyDescent="0.35">
      <c r="B115" s="452">
        <v>901.7</v>
      </c>
      <c r="C115" s="13"/>
      <c r="D115" s="13"/>
      <c r="E115" s="13" t="s">
        <v>274</v>
      </c>
      <c r="F115" s="40"/>
      <c r="G115" s="40"/>
      <c r="H115" s="553"/>
      <c r="I115" s="108"/>
      <c r="J115" s="19" t="s">
        <v>274</v>
      </c>
      <c r="K115" s="4"/>
      <c r="L115" s="104" t="s">
        <v>3911</v>
      </c>
      <c r="M115" s="43"/>
      <c r="N115" s="4"/>
      <c r="O115" s="85"/>
      <c r="P115" t="b">
        <v>0</v>
      </c>
      <c r="Q115" t="b">
        <v>1</v>
      </c>
      <c r="R115" t="b">
        <v>0</v>
      </c>
      <c r="S115" t="b">
        <v>1</v>
      </c>
      <c r="T115" t="b">
        <f>SUM(W104,W114,W115)&gt;1</f>
        <v>0</v>
      </c>
      <c r="W115" s="288"/>
      <c r="X115" s="688"/>
      <c r="AC115" t="b">
        <f>OR(AD115:AE115)</f>
        <v>0</v>
      </c>
      <c r="AD115" t="b">
        <f>T115</f>
        <v>0</v>
      </c>
      <c r="AE115" t="b">
        <f>AND(R115,OR(W115="Not Met",W115=""))</f>
        <v>0</v>
      </c>
      <c r="AP115" t="str">
        <f t="shared" si="1"/>
        <v>dch901_7_3</v>
      </c>
      <c r="AQ115" s="258">
        <f>W115</f>
        <v>0</v>
      </c>
    </row>
    <row r="116" spans="2:45" x14ac:dyDescent="0.35">
      <c r="B116" s="452">
        <v>901.7</v>
      </c>
      <c r="C116" s="13"/>
      <c r="D116" s="13"/>
      <c r="E116" s="13" t="s">
        <v>272</v>
      </c>
      <c r="F116" s="13"/>
      <c r="G116" s="13"/>
      <c r="H116" s="550"/>
      <c r="I116" s="108"/>
      <c r="J116" s="4"/>
      <c r="K116" s="4"/>
      <c r="L116" s="752" t="s">
        <v>3405</v>
      </c>
      <c r="M116" s="43"/>
      <c r="N116" s="4"/>
      <c r="O116" s="85"/>
      <c r="X116" s="688"/>
    </row>
    <row r="117" spans="2:45" ht="15" thickBot="1" x14ac:dyDescent="0.4">
      <c r="B117" s="452">
        <v>901.7</v>
      </c>
      <c r="C117" s="13"/>
      <c r="D117" s="13"/>
      <c r="E117" s="13" t="s">
        <v>272</v>
      </c>
      <c r="F117" s="13"/>
      <c r="G117" s="13"/>
      <c r="H117" s="550"/>
      <c r="I117" s="328"/>
      <c r="J117" s="183"/>
      <c r="K117" s="183"/>
      <c r="L117" s="779"/>
      <c r="M117" s="270"/>
      <c r="N117" s="183"/>
      <c r="O117" s="184"/>
      <c r="P117" s="58"/>
      <c r="Q117" s="58"/>
      <c r="R117" s="58"/>
      <c r="S117" s="58"/>
      <c r="T117" s="58"/>
      <c r="U117" s="58"/>
      <c r="V117" s="58"/>
      <c r="W117" s="58"/>
      <c r="X117" s="689"/>
    </row>
    <row r="118" spans="2:45" ht="15" thickTop="1" x14ac:dyDescent="0.35">
      <c r="B118" s="452">
        <v>901.8</v>
      </c>
      <c r="C118" s="13"/>
      <c r="D118" s="13"/>
      <c r="E118" s="13"/>
      <c r="F118" s="13"/>
      <c r="G118" s="13"/>
      <c r="H118" s="550"/>
      <c r="I118" s="123">
        <v>901.8</v>
      </c>
      <c r="J118" s="124"/>
      <c r="K118" s="124"/>
      <c r="L118" s="711" t="s">
        <v>3406</v>
      </c>
      <c r="M118" s="692">
        <v>4</v>
      </c>
      <c r="N118" s="124"/>
      <c r="O118" s="694">
        <f>M118*S118*W118</f>
        <v>0</v>
      </c>
      <c r="P118" t="b">
        <v>0</v>
      </c>
      <c r="Q118" t="b">
        <v>1</v>
      </c>
      <c r="R118" s="62" t="b">
        <v>0</v>
      </c>
      <c r="S118" s="62" t="b">
        <v>1</v>
      </c>
      <c r="T118" s="62" t="b">
        <v>0</v>
      </c>
      <c r="U118" s="62"/>
      <c r="V118" s="62"/>
      <c r="W118" s="278"/>
      <c r="X118" s="687"/>
      <c r="AC118" t="b">
        <f>OR(AD118:AE118)</f>
        <v>0</v>
      </c>
      <c r="AD118" t="b">
        <f>T118</f>
        <v>0</v>
      </c>
      <c r="AE118" t="b">
        <f>AND(R118,NOT(W118))</f>
        <v>0</v>
      </c>
      <c r="AL118" t="str">
        <f>SUBSTITUTE(SUBSTITUTE(SUBSTITUTE("dpa"&amp;$B118&amp;$C118&amp;$D118&amp;$E118&amp;$F118,".","_"),"(","_"),")","")</f>
        <v>dpa901_8</v>
      </c>
      <c r="AM118">
        <f>M118</f>
        <v>4</v>
      </c>
      <c r="AN118" t="str">
        <f>SUBSTITUTE(SUBSTITUTE(SUBSTITUTE("dpc"&amp;$B118&amp;$C118&amp;$D118&amp;$E118&amp;$F118,".","_"),"(","_"),")","")</f>
        <v>dpc901_8</v>
      </c>
      <c r="AO118">
        <f>O118</f>
        <v>0</v>
      </c>
      <c r="AP118" t="str">
        <f>SUBSTITUTE(SUBSTITUTE(SUBSTITUTE("dch"&amp;$B118&amp;$C118&amp;$D118&amp;$E118&amp;$F118,".","_"),"(","_"),")","")</f>
        <v>dch901_8</v>
      </c>
      <c r="AQ118">
        <f>W118</f>
        <v>0</v>
      </c>
      <c r="AR118" t="str">
        <f>SUBSTITUTE(SUBSTITUTE(SUBSTITUTE("dnt"&amp;$B118&amp;$C118&amp;$D118&amp;$E118&amp;$F118,".","_"),"(","_"),")","")</f>
        <v>dnt901_8</v>
      </c>
      <c r="AS118">
        <f>X118</f>
        <v>0</v>
      </c>
    </row>
    <row r="119" spans="2:45" x14ac:dyDescent="0.35">
      <c r="B119" s="452">
        <v>901.8</v>
      </c>
      <c r="C119" s="13"/>
      <c r="D119" s="13"/>
      <c r="E119" s="13"/>
      <c r="F119" s="13"/>
      <c r="G119" s="13"/>
      <c r="H119" s="550"/>
      <c r="I119" s="108"/>
      <c r="J119" s="4"/>
      <c r="K119" s="4"/>
      <c r="L119" s="706"/>
      <c r="M119" s="690"/>
      <c r="N119" s="4"/>
      <c r="O119" s="696"/>
      <c r="X119" s="688"/>
    </row>
    <row r="120" spans="2:45" x14ac:dyDescent="0.35">
      <c r="B120" s="452">
        <v>901.8</v>
      </c>
      <c r="C120" s="13"/>
      <c r="D120" s="13"/>
      <c r="E120" s="13"/>
      <c r="F120" s="13"/>
      <c r="G120" s="13"/>
      <c r="H120" s="550"/>
      <c r="I120" s="108"/>
      <c r="J120" s="4"/>
      <c r="K120" s="4"/>
      <c r="L120" s="706"/>
      <c r="M120" s="690"/>
      <c r="N120" s="4"/>
      <c r="O120" s="696"/>
      <c r="X120" s="688"/>
    </row>
    <row r="121" spans="2:45" x14ac:dyDescent="0.35">
      <c r="B121" s="452">
        <v>901.8</v>
      </c>
      <c r="C121" s="13"/>
      <c r="D121" s="13"/>
      <c r="E121" s="13"/>
      <c r="F121" s="13"/>
      <c r="G121" s="13"/>
      <c r="H121" s="550"/>
      <c r="I121" s="108"/>
      <c r="J121" s="4"/>
      <c r="K121" s="4"/>
      <c r="L121" s="706"/>
      <c r="M121" s="690"/>
      <c r="N121" s="4"/>
      <c r="O121" s="696"/>
      <c r="X121" s="688"/>
    </row>
    <row r="122" spans="2:45" x14ac:dyDescent="0.35">
      <c r="B122" s="452">
        <v>901.8</v>
      </c>
      <c r="C122" s="13"/>
      <c r="D122" s="13"/>
      <c r="E122" s="13"/>
      <c r="F122" s="13"/>
      <c r="G122" s="13"/>
      <c r="H122" s="550"/>
      <c r="I122" s="108"/>
      <c r="J122" s="4"/>
      <c r="K122" s="4"/>
      <c r="L122" s="706"/>
      <c r="M122" s="690"/>
      <c r="N122" s="4"/>
      <c r="O122" s="696"/>
      <c r="X122" s="688"/>
    </row>
    <row r="123" spans="2:45" ht="15" thickBot="1" x14ac:dyDescent="0.4">
      <c r="B123" s="452">
        <v>901.8</v>
      </c>
      <c r="C123" s="13"/>
      <c r="D123" s="13"/>
      <c r="E123" s="13"/>
      <c r="F123" s="13"/>
      <c r="G123" s="13"/>
      <c r="H123" s="550"/>
      <c r="I123" s="328"/>
      <c r="J123" s="183"/>
      <c r="K123" s="183"/>
      <c r="L123" s="710"/>
      <c r="M123" s="693"/>
      <c r="N123" s="183"/>
      <c r="O123" s="695"/>
      <c r="P123" s="58"/>
      <c r="Q123" s="58"/>
      <c r="R123" s="58"/>
      <c r="S123" s="58"/>
      <c r="T123" s="58"/>
      <c r="U123" s="58"/>
      <c r="V123" s="58"/>
      <c r="W123" s="58"/>
      <c r="X123" s="689"/>
    </row>
    <row r="124" spans="2:45" ht="15" thickTop="1" x14ac:dyDescent="0.35">
      <c r="B124" s="452">
        <v>901.9</v>
      </c>
      <c r="C124" s="13"/>
      <c r="D124" s="13"/>
      <c r="E124" s="13"/>
      <c r="F124" s="13"/>
      <c r="G124" s="13"/>
      <c r="H124" s="550"/>
      <c r="I124" s="123">
        <v>901.9</v>
      </c>
      <c r="J124" s="124"/>
      <c r="K124" s="124"/>
      <c r="L124" s="711" t="s">
        <v>3407</v>
      </c>
      <c r="M124" s="199"/>
      <c r="N124" s="124"/>
      <c r="O124" s="341"/>
      <c r="P124" s="62"/>
      <c r="Q124" s="62"/>
      <c r="R124" s="62"/>
      <c r="S124" s="62"/>
      <c r="T124" s="62"/>
      <c r="U124" s="62"/>
      <c r="V124" s="62"/>
      <c r="W124" s="62"/>
      <c r="X124" s="688"/>
      <c r="AR124" t="str">
        <f>SUBSTITUTE(SUBSTITUTE(SUBSTITUTE("dnt"&amp;$B124&amp;$C124&amp;$D124&amp;$E124&amp;$F124,".","_"),"(","_"),")","")</f>
        <v>dnt901_9</v>
      </c>
      <c r="AS124">
        <f>X124</f>
        <v>0</v>
      </c>
    </row>
    <row r="125" spans="2:45" x14ac:dyDescent="0.35">
      <c r="B125" s="452">
        <v>901.9</v>
      </c>
      <c r="C125" s="13"/>
      <c r="D125" s="13"/>
      <c r="E125" s="13"/>
      <c r="F125" s="13"/>
      <c r="G125" s="13"/>
      <c r="H125" s="550"/>
      <c r="I125" s="108"/>
      <c r="J125" s="4"/>
      <c r="K125" s="4"/>
      <c r="L125" s="706"/>
      <c r="M125" s="43"/>
      <c r="N125" s="4"/>
      <c r="O125" s="85"/>
      <c r="X125" s="688"/>
    </row>
    <row r="126" spans="2:45" x14ac:dyDescent="0.35">
      <c r="B126" s="452">
        <v>901.9</v>
      </c>
      <c r="C126" s="13"/>
      <c r="D126" s="13"/>
      <c r="E126" s="13"/>
      <c r="F126" s="13"/>
      <c r="G126" s="13"/>
      <c r="H126" s="550"/>
      <c r="I126" s="108"/>
      <c r="J126" s="4"/>
      <c r="K126" s="4"/>
      <c r="L126" s="706"/>
      <c r="M126" s="43"/>
      <c r="N126" s="4"/>
      <c r="O126" s="85"/>
      <c r="X126" s="688"/>
    </row>
    <row r="127" spans="2:45" x14ac:dyDescent="0.35">
      <c r="B127" s="452" t="s">
        <v>3408</v>
      </c>
      <c r="C127" s="13"/>
      <c r="D127" s="13"/>
      <c r="E127" s="13"/>
      <c r="F127" s="13"/>
      <c r="G127" s="13"/>
      <c r="H127" s="550"/>
      <c r="I127" s="32" t="s">
        <v>3408</v>
      </c>
      <c r="J127" s="4"/>
      <c r="K127" s="4"/>
      <c r="L127" s="706" t="s">
        <v>3409</v>
      </c>
      <c r="M127" s="690">
        <v>5</v>
      </c>
      <c r="N127" s="4"/>
      <c r="O127" s="696">
        <f>M127*S129*IFERROR(OR(W129,W131,W132),0)</f>
        <v>0</v>
      </c>
      <c r="AL127" t="str">
        <f>SUBSTITUTE(SUBSTITUTE(SUBSTITUTE("dpa"&amp;$B127&amp;$C127&amp;$D127&amp;$E127&amp;$F127,".","_"),"(","_"),")","")</f>
        <v>dpa901_9_1</v>
      </c>
      <c r="AM127">
        <f>M127</f>
        <v>5</v>
      </c>
      <c r="AN127" t="str">
        <f>SUBSTITUTE(SUBSTITUTE(SUBSTITUTE("dpc"&amp;$B127&amp;$C127&amp;$D127&amp;$E127&amp;$F127,".","_"),"(","_"),")","")</f>
        <v>dpc901_9_1</v>
      </c>
      <c r="AO127">
        <f>O127</f>
        <v>0</v>
      </c>
    </row>
    <row r="128" spans="2:45" x14ac:dyDescent="0.35">
      <c r="B128" s="452" t="s">
        <v>3408</v>
      </c>
      <c r="C128" s="13"/>
      <c r="D128" s="13"/>
      <c r="E128" s="13"/>
      <c r="F128" s="13"/>
      <c r="G128" s="13"/>
      <c r="H128" s="550"/>
      <c r="I128" s="108"/>
      <c r="J128" s="4"/>
      <c r="K128" s="4"/>
      <c r="L128" s="706"/>
      <c r="M128" s="690"/>
      <c r="N128" s="4"/>
      <c r="O128" s="696"/>
    </row>
    <row r="129" spans="2:45" x14ac:dyDescent="0.35">
      <c r="B129" s="452" t="s">
        <v>3408</v>
      </c>
      <c r="C129" s="13"/>
      <c r="D129" s="13"/>
      <c r="E129" s="13" t="s">
        <v>270</v>
      </c>
      <c r="F129" s="13"/>
      <c r="G129" s="13"/>
      <c r="H129" s="550"/>
      <c r="I129" s="108"/>
      <c r="J129" s="19" t="s">
        <v>270</v>
      </c>
      <c r="K129" s="4"/>
      <c r="L129" s="707" t="s">
        <v>3410</v>
      </c>
      <c r="M129" s="43"/>
      <c r="N129" s="4"/>
      <c r="O129" s="85"/>
      <c r="P129" t="b">
        <v>0</v>
      </c>
      <c r="Q129" t="b">
        <v>1</v>
      </c>
      <c r="R129" t="b">
        <v>0</v>
      </c>
      <c r="S129" t="b">
        <f>NOT(W139)</f>
        <v>1</v>
      </c>
      <c r="T129" t="b">
        <f>AND(NOT(S129),W129=TRUE)</f>
        <v>0</v>
      </c>
      <c r="W129" s="17"/>
      <c r="X129" s="688"/>
      <c r="AC129" t="b">
        <f>OR(AD129:AE129)</f>
        <v>0</v>
      </c>
      <c r="AD129" t="b">
        <f>T129</f>
        <v>0</v>
      </c>
      <c r="AE129" t="b">
        <f>AND(R129,NOT(W129))</f>
        <v>0</v>
      </c>
      <c r="AP129" t="str">
        <f>SUBSTITUTE(SUBSTITUTE(SUBSTITUTE("dch"&amp;$B129&amp;$C129&amp;$D129&amp;$E129&amp;$F129,".","_"),"(","_"),")","")</f>
        <v>dch901_9_1_1</v>
      </c>
      <c r="AQ129">
        <f>W129</f>
        <v>0</v>
      </c>
      <c r="AR129" t="str">
        <f>SUBSTITUTE(SUBSTITUTE(SUBSTITUTE("dnt"&amp;$B129&amp;$C129&amp;$D129&amp;$E129&amp;$F129,".","_"),"(","_"),")","")</f>
        <v>dnt901_9_1_1</v>
      </c>
      <c r="AS129">
        <f>X129</f>
        <v>0</v>
      </c>
    </row>
    <row r="130" spans="2:45" x14ac:dyDescent="0.35">
      <c r="B130" s="452" t="s">
        <v>3408</v>
      </c>
      <c r="C130" s="13"/>
      <c r="D130" s="13"/>
      <c r="E130" s="13" t="s">
        <v>270</v>
      </c>
      <c r="F130" s="13"/>
      <c r="G130" s="13"/>
      <c r="H130" s="550"/>
      <c r="I130" s="108"/>
      <c r="J130" s="155"/>
      <c r="K130" s="155"/>
      <c r="L130" s="709"/>
      <c r="M130" s="43"/>
      <c r="N130" s="4"/>
      <c r="O130" s="85"/>
      <c r="X130" s="688"/>
    </row>
    <row r="131" spans="2:45" x14ac:dyDescent="0.35">
      <c r="B131" s="452" t="s">
        <v>3408</v>
      </c>
      <c r="C131" s="13"/>
      <c r="D131" s="13"/>
      <c r="E131" s="13" t="s">
        <v>272</v>
      </c>
      <c r="F131" s="13"/>
      <c r="G131" s="13"/>
      <c r="H131" s="550"/>
      <c r="I131" s="108"/>
      <c r="J131" s="148" t="s">
        <v>272</v>
      </c>
      <c r="K131" s="155"/>
      <c r="L131" s="214" t="s">
        <v>3411</v>
      </c>
      <c r="M131" s="43"/>
      <c r="N131" s="4"/>
      <c r="O131" s="85"/>
      <c r="P131" t="b">
        <v>0</v>
      </c>
      <c r="Q131" t="b">
        <v>1</v>
      </c>
      <c r="R131" t="b">
        <v>0</v>
      </c>
      <c r="S131" t="b">
        <f>NOT(W139)</f>
        <v>1</v>
      </c>
      <c r="T131" t="b">
        <f>AND(NOT(S131),W131=TRUE)</f>
        <v>0</v>
      </c>
      <c r="W131" s="17"/>
      <c r="X131" s="39"/>
      <c r="AC131" t="b">
        <f>OR(AD131:AE131)</f>
        <v>0</v>
      </c>
      <c r="AD131" t="b">
        <f>T131</f>
        <v>0</v>
      </c>
      <c r="AE131" t="b">
        <f>AND(R131,NOT(W131))</f>
        <v>0</v>
      </c>
      <c r="AP131" t="str">
        <f t="shared" ref="AP131:AP132" si="2">SUBSTITUTE(SUBSTITUTE(SUBSTITUTE("dch"&amp;$B131&amp;$C131&amp;$D131&amp;$E131&amp;$F131,".","_"),"(","_"),")","")</f>
        <v>dch901_9_1_2</v>
      </c>
      <c r="AQ131">
        <f>W131</f>
        <v>0</v>
      </c>
      <c r="AR131" t="str">
        <f t="shared" ref="AR131:AR132" si="3">SUBSTITUTE(SUBSTITUTE(SUBSTITUTE("dnt"&amp;$B131&amp;$C131&amp;$D131&amp;$E131&amp;$F131,".","_"),"(","_"),")","")</f>
        <v>dnt901_9_1_2</v>
      </c>
      <c r="AS131">
        <f>X131</f>
        <v>0</v>
      </c>
    </row>
    <row r="132" spans="2:45" x14ac:dyDescent="0.35">
      <c r="B132" s="452" t="s">
        <v>3408</v>
      </c>
      <c r="C132" s="13"/>
      <c r="D132" s="13"/>
      <c r="E132" s="13" t="s">
        <v>274</v>
      </c>
      <c r="F132" s="13"/>
      <c r="G132" s="13"/>
      <c r="H132" s="550"/>
      <c r="I132" s="108"/>
      <c r="J132" s="19" t="s">
        <v>274</v>
      </c>
      <c r="K132" s="4"/>
      <c r="L132" s="104" t="s">
        <v>3412</v>
      </c>
      <c r="M132" s="43"/>
      <c r="N132" s="4"/>
      <c r="O132" s="85"/>
      <c r="P132" t="b">
        <v>0</v>
      </c>
      <c r="Q132" t="b">
        <v>1</v>
      </c>
      <c r="R132" t="b">
        <v>0</v>
      </c>
      <c r="S132" t="b">
        <f>NOT(W139)</f>
        <v>1</v>
      </c>
      <c r="T132" t="b">
        <f>AND(NOT(S132),W132=TRUE)</f>
        <v>0</v>
      </c>
      <c r="W132" s="17"/>
      <c r="X132" s="688"/>
      <c r="AC132" t="b">
        <f>OR(AD132:AE132)</f>
        <v>0</v>
      </c>
      <c r="AD132" t="b">
        <f>T132</f>
        <v>0</v>
      </c>
      <c r="AE132" t="b">
        <f>AND(R132,NOT(W132))</f>
        <v>0</v>
      </c>
      <c r="AP132" t="str">
        <f t="shared" si="2"/>
        <v>dch901_9_1_3</v>
      </c>
      <c r="AQ132">
        <f>W132</f>
        <v>0</v>
      </c>
      <c r="AR132" t="str">
        <f t="shared" si="3"/>
        <v>dnt901_9_1_3</v>
      </c>
      <c r="AS132">
        <f>X132</f>
        <v>0</v>
      </c>
    </row>
    <row r="133" spans="2:45" x14ac:dyDescent="0.35">
      <c r="B133" s="452" t="s">
        <v>3408</v>
      </c>
      <c r="C133" s="13"/>
      <c r="D133" s="13"/>
      <c r="E133" s="13" t="s">
        <v>274</v>
      </c>
      <c r="H133" s="552"/>
      <c r="I133" s="119"/>
      <c r="J133" s="119"/>
      <c r="K133" s="119"/>
      <c r="L133" s="356" t="s">
        <v>3925</v>
      </c>
      <c r="M133" s="155"/>
      <c r="N133" s="155"/>
      <c r="O133" s="155"/>
      <c r="P133" s="119"/>
      <c r="Q133" s="119"/>
      <c r="R133" s="119"/>
      <c r="S133" s="119"/>
      <c r="T133" s="119"/>
      <c r="U133" s="119"/>
      <c r="V133" s="119"/>
      <c r="W133" s="119"/>
      <c r="X133" s="688"/>
    </row>
    <row r="134" spans="2:45" x14ac:dyDescent="0.35">
      <c r="B134" s="452" t="s">
        <v>3413</v>
      </c>
      <c r="C134" s="13"/>
      <c r="D134" s="13"/>
      <c r="E134" s="13"/>
      <c r="F134" s="13"/>
      <c r="G134" s="13"/>
      <c r="H134" s="550"/>
      <c r="I134" s="135" t="s">
        <v>3413</v>
      </c>
      <c r="J134" s="136"/>
      <c r="K134" s="136"/>
      <c r="L134" s="753" t="s">
        <v>3414</v>
      </c>
      <c r="M134" s="712">
        <v>1</v>
      </c>
      <c r="N134" s="136"/>
      <c r="O134" s="713">
        <f>M134*S134*W134</f>
        <v>0</v>
      </c>
      <c r="P134" t="b">
        <v>0</v>
      </c>
      <c r="Q134" t="b">
        <v>1</v>
      </c>
      <c r="R134" s="138" t="b">
        <v>0</v>
      </c>
      <c r="S134" s="138" t="b">
        <f>IFERROR(OR(AND(W129,W131,W132),W139),FALSE)</f>
        <v>0</v>
      </c>
      <c r="T134" s="138" t="b">
        <f>AND(NOT(S134),W134=TRUE)</f>
        <v>0</v>
      </c>
      <c r="U134" s="138"/>
      <c r="V134" s="138"/>
      <c r="W134" s="17"/>
      <c r="X134" s="688"/>
      <c r="AC134" t="b">
        <f>OR(AD134:AE134)</f>
        <v>0</v>
      </c>
      <c r="AD134" t="b">
        <f>T134</f>
        <v>0</v>
      </c>
      <c r="AE134" t="b">
        <f>AND(R134,NOT(W134))</f>
        <v>0</v>
      </c>
      <c r="AL134" t="str">
        <f>SUBSTITUTE(SUBSTITUTE(SUBSTITUTE("dpa"&amp;$B134&amp;$C134&amp;$D134&amp;$E134&amp;$F134,".","_"),"(","_"),")","")</f>
        <v>dpa901_9_2</v>
      </c>
      <c r="AM134">
        <f>M134</f>
        <v>1</v>
      </c>
      <c r="AN134" t="str">
        <f>SUBSTITUTE(SUBSTITUTE(SUBSTITUTE("dpc"&amp;$B134&amp;$C134&amp;$D134&amp;$E134&amp;$F134,".","_"),"(","_"),")","")</f>
        <v>dpc901_9_2</v>
      </c>
      <c r="AO134">
        <f>O134</f>
        <v>0</v>
      </c>
      <c r="AP134" t="str">
        <f>SUBSTITUTE(SUBSTITUTE(SUBSTITUTE("dch"&amp;$B134&amp;$C134&amp;$D134&amp;$E134&amp;$F134,".","_"),"(","_"),")","")</f>
        <v>dch901_9_2</v>
      </c>
      <c r="AQ134">
        <f>W134</f>
        <v>0</v>
      </c>
      <c r="AR134" t="str">
        <f>SUBSTITUTE(SUBSTITUTE(SUBSTITUTE("dnt"&amp;$B134&amp;$C134&amp;$D134&amp;$E134&amp;$F134,".","_"),"(","_"),")","")</f>
        <v>dnt901_9_2</v>
      </c>
      <c r="AS134">
        <f>X134</f>
        <v>0</v>
      </c>
    </row>
    <row r="135" spans="2:45" x14ac:dyDescent="0.35">
      <c r="B135" s="452" t="s">
        <v>3413</v>
      </c>
      <c r="C135" s="13"/>
      <c r="D135" s="13"/>
      <c r="E135" s="13"/>
      <c r="F135" s="13"/>
      <c r="G135" s="13"/>
      <c r="H135" s="550"/>
      <c r="I135" s="108"/>
      <c r="J135" s="4"/>
      <c r="K135" s="4"/>
      <c r="L135" s="706"/>
      <c r="M135" s="690"/>
      <c r="N135" s="4"/>
      <c r="O135" s="696"/>
      <c r="X135" s="688"/>
    </row>
    <row r="136" spans="2:45" x14ac:dyDescent="0.35">
      <c r="B136" s="452" t="s">
        <v>3413</v>
      </c>
      <c r="C136" s="13"/>
      <c r="D136" s="13"/>
      <c r="E136" s="13"/>
      <c r="F136" s="13"/>
      <c r="G136" s="13"/>
      <c r="H136" s="550"/>
      <c r="I136" s="108"/>
      <c r="J136" s="4"/>
      <c r="K136" s="4"/>
      <c r="L136" s="791" t="s">
        <v>3415</v>
      </c>
      <c r="M136" s="690"/>
      <c r="N136" s="4"/>
      <c r="O136" s="696"/>
      <c r="X136" s="688"/>
    </row>
    <row r="137" spans="2:45" x14ac:dyDescent="0.35">
      <c r="B137" s="452" t="s">
        <v>3413</v>
      </c>
      <c r="C137" s="13"/>
      <c r="D137" s="13"/>
      <c r="E137" s="13"/>
      <c r="F137" s="13"/>
      <c r="G137" s="13"/>
      <c r="H137" s="550"/>
      <c r="I137" s="108"/>
      <c r="J137" s="4"/>
      <c r="K137" s="4"/>
      <c r="L137" s="791"/>
      <c r="M137" s="690"/>
      <c r="N137" s="4"/>
      <c r="O137" s="696"/>
      <c r="X137" s="688"/>
    </row>
    <row r="138" spans="2:45" x14ac:dyDescent="0.35">
      <c r="B138" s="452" t="s">
        <v>3413</v>
      </c>
      <c r="C138" s="13"/>
      <c r="D138" s="13"/>
      <c r="E138" s="13"/>
      <c r="F138" s="13"/>
      <c r="G138" s="13"/>
      <c r="H138" s="550"/>
      <c r="I138" s="353"/>
      <c r="J138" s="155"/>
      <c r="K138" s="155"/>
      <c r="L138" s="356" t="s">
        <v>4020</v>
      </c>
      <c r="M138" s="198"/>
      <c r="N138" s="155"/>
      <c r="O138" s="342"/>
      <c r="P138" s="119"/>
      <c r="Q138" s="119"/>
      <c r="R138" s="119"/>
      <c r="S138" s="119"/>
      <c r="T138" s="119"/>
      <c r="U138" s="119"/>
      <c r="V138" s="119"/>
      <c r="W138" s="119"/>
      <c r="X138" s="688"/>
    </row>
    <row r="139" spans="2:45" x14ac:dyDescent="0.35">
      <c r="B139" s="452" t="s">
        <v>3416</v>
      </c>
      <c r="C139" s="13"/>
      <c r="D139" s="13"/>
      <c r="E139" s="13"/>
      <c r="F139" s="13"/>
      <c r="G139" s="13"/>
      <c r="H139" s="550"/>
      <c r="I139" s="32" t="s">
        <v>3416</v>
      </c>
      <c r="J139" s="4"/>
      <c r="K139" s="4"/>
      <c r="L139" s="706" t="s">
        <v>3417</v>
      </c>
      <c r="M139" s="690">
        <v>8</v>
      </c>
      <c r="N139" s="4"/>
      <c r="O139" s="696">
        <f>M139*S139*W139</f>
        <v>0</v>
      </c>
      <c r="P139" t="b">
        <v>0</v>
      </c>
      <c r="Q139" t="b">
        <v>1</v>
      </c>
      <c r="R139" t="b">
        <v>0</v>
      </c>
      <c r="S139" t="b">
        <f>AND(NOT(W129),NOT(W131),NOT(W132))</f>
        <v>1</v>
      </c>
      <c r="T139" t="b">
        <f>AND(NOT(S139),W139=TRUE)</f>
        <v>0</v>
      </c>
      <c r="W139" s="77"/>
      <c r="X139" s="700"/>
      <c r="AC139" t="b">
        <f>OR(AD139:AE139)</f>
        <v>0</v>
      </c>
      <c r="AD139" t="b">
        <f>T139</f>
        <v>0</v>
      </c>
      <c r="AE139" t="b">
        <f>AND(R139,NOT(W139))</f>
        <v>0</v>
      </c>
      <c r="AL139" t="str">
        <f>SUBSTITUTE(SUBSTITUTE(SUBSTITUTE("dpa"&amp;$B139&amp;$C139&amp;$D139&amp;$E139&amp;$F139,".","_"),"(","_"),")","")</f>
        <v>dpa901_9_3</v>
      </c>
      <c r="AM139">
        <f>M139</f>
        <v>8</v>
      </c>
      <c r="AN139" t="str">
        <f>SUBSTITUTE(SUBSTITUTE(SUBSTITUTE("dpc"&amp;$B139&amp;$C139&amp;$D139&amp;$E139&amp;$F139,".","_"),"(","_"),")","")</f>
        <v>dpc901_9_3</v>
      </c>
      <c r="AO139">
        <f>O139</f>
        <v>0</v>
      </c>
      <c r="AP139" t="str">
        <f>SUBSTITUTE(SUBSTITUTE(SUBSTITUTE("dch"&amp;$B139&amp;$C139&amp;$D139&amp;$E139&amp;$F139,".","_"),"(","_"),")","")</f>
        <v>dch901_9_3</v>
      </c>
      <c r="AQ139">
        <f>W139</f>
        <v>0</v>
      </c>
      <c r="AR139" t="str">
        <f>SUBSTITUTE(SUBSTITUTE(SUBSTITUTE("dnt"&amp;$B139&amp;$C139&amp;$D139&amp;$E139&amp;$F139,".","_"),"(","_"),")","")</f>
        <v>dnt901_9_3</v>
      </c>
      <c r="AS139">
        <f>X139</f>
        <v>0</v>
      </c>
    </row>
    <row r="140" spans="2:45" x14ac:dyDescent="0.35">
      <c r="B140" s="452" t="s">
        <v>3416</v>
      </c>
      <c r="C140" s="13"/>
      <c r="D140" s="13"/>
      <c r="E140" s="13"/>
      <c r="F140" s="13"/>
      <c r="G140" s="13"/>
      <c r="H140" s="550"/>
      <c r="I140" s="108"/>
      <c r="J140" s="4"/>
      <c r="K140" s="4"/>
      <c r="L140" s="706"/>
      <c r="M140" s="690"/>
      <c r="N140" s="4"/>
      <c r="O140" s="696"/>
      <c r="X140" s="688"/>
    </row>
    <row r="141" spans="2:45" x14ac:dyDescent="0.35">
      <c r="B141" s="452" t="s">
        <v>3416</v>
      </c>
      <c r="C141" s="13"/>
      <c r="D141" s="13"/>
      <c r="E141" s="13"/>
      <c r="F141" s="13"/>
      <c r="G141" s="13"/>
      <c r="H141" s="550"/>
      <c r="I141" s="108"/>
      <c r="J141" s="4"/>
      <c r="K141" s="4"/>
      <c r="L141" s="706"/>
      <c r="M141" s="690"/>
      <c r="N141" s="4"/>
      <c r="O141" s="696"/>
      <c r="X141" s="688"/>
    </row>
    <row r="142" spans="2:45" x14ac:dyDescent="0.35">
      <c r="B142" s="452" t="s">
        <v>3416</v>
      </c>
      <c r="C142" s="13"/>
      <c r="D142" s="13"/>
      <c r="E142" s="13"/>
      <c r="F142" s="13"/>
      <c r="G142" s="13"/>
      <c r="H142" s="550"/>
      <c r="I142" s="108"/>
      <c r="J142" s="4"/>
      <c r="K142" s="4"/>
      <c r="L142" s="706"/>
      <c r="M142" s="690"/>
      <c r="N142" s="4"/>
      <c r="O142" s="696"/>
      <c r="X142" s="688"/>
    </row>
    <row r="143" spans="2:45" x14ac:dyDescent="0.35">
      <c r="B143" s="452" t="s">
        <v>3416</v>
      </c>
      <c r="C143" s="13"/>
      <c r="D143" s="13"/>
      <c r="E143" s="13"/>
      <c r="F143" s="13"/>
      <c r="G143" s="13"/>
      <c r="H143" s="550"/>
      <c r="I143" s="108"/>
      <c r="J143" s="4"/>
      <c r="K143" s="4"/>
      <c r="L143" s="706"/>
      <c r="M143" s="690"/>
      <c r="N143" s="4"/>
      <c r="O143" s="696"/>
      <c r="X143" s="688"/>
    </row>
    <row r="144" spans="2:45" ht="15" thickBot="1" x14ac:dyDescent="0.4">
      <c r="B144" s="452" t="s">
        <v>3416</v>
      </c>
      <c r="C144" s="13"/>
      <c r="D144" s="13"/>
      <c r="E144" s="13"/>
      <c r="F144" s="13"/>
      <c r="G144" s="13"/>
      <c r="H144" s="550"/>
      <c r="I144" s="328"/>
      <c r="J144" s="183"/>
      <c r="K144" s="183"/>
      <c r="L144" s="710"/>
      <c r="M144" s="693"/>
      <c r="N144" s="183"/>
      <c r="O144" s="695"/>
      <c r="P144" s="58"/>
      <c r="Q144" s="58"/>
      <c r="R144" s="58"/>
      <c r="S144" s="58"/>
      <c r="T144" s="58"/>
      <c r="U144" s="58"/>
      <c r="V144" s="58"/>
      <c r="W144" s="58"/>
      <c r="X144" s="689"/>
    </row>
    <row r="145" spans="2:45" ht="15" thickTop="1" x14ac:dyDescent="0.35">
      <c r="B145" s="547" t="s">
        <v>4322</v>
      </c>
      <c r="C145" s="13"/>
      <c r="D145" s="13"/>
      <c r="E145" s="13"/>
      <c r="F145" s="13"/>
      <c r="G145" s="13"/>
      <c r="H145" s="550"/>
      <c r="I145" s="167">
        <v>901.1</v>
      </c>
      <c r="J145" s="4"/>
      <c r="K145" s="4"/>
      <c r="L145" s="706" t="s">
        <v>3418</v>
      </c>
      <c r="M145" s="43"/>
      <c r="N145" s="4"/>
      <c r="O145" s="696">
        <f>IF(W154=TRUE,5,IF(W153=TRUE,5,IF(W148=TRUE,8,0)))*S148</f>
        <v>0</v>
      </c>
      <c r="AN145" t="str">
        <f>SUBSTITUTE(SUBSTITUTE(SUBSTITUTE("dpc"&amp;$B145&amp;$C145&amp;$D145&amp;$E145&amp;$F145,".","_"),"(","_"),")","")</f>
        <v>dpc901_10</v>
      </c>
      <c r="AO145">
        <f>O145</f>
        <v>0</v>
      </c>
    </row>
    <row r="146" spans="2:45" x14ac:dyDescent="0.35">
      <c r="B146" s="547" t="s">
        <v>4322</v>
      </c>
      <c r="C146" s="13"/>
      <c r="D146" s="13"/>
      <c r="E146" s="13"/>
      <c r="F146" s="13"/>
      <c r="G146" s="13"/>
      <c r="H146" s="550"/>
      <c r="I146" s="108"/>
      <c r="J146" s="4"/>
      <c r="K146" s="4"/>
      <c r="L146" s="706"/>
      <c r="M146" s="43"/>
      <c r="N146" s="4"/>
      <c r="O146" s="696"/>
    </row>
    <row r="147" spans="2:45" x14ac:dyDescent="0.35">
      <c r="B147" s="547" t="s">
        <v>4322</v>
      </c>
      <c r="C147" s="13"/>
      <c r="D147" s="13"/>
      <c r="E147" s="13"/>
      <c r="F147" s="13"/>
      <c r="G147" s="13"/>
      <c r="H147" s="550"/>
      <c r="I147" s="108"/>
      <c r="J147" s="4"/>
      <c r="K147" s="4"/>
      <c r="L147" s="706"/>
      <c r="M147" s="43"/>
      <c r="N147" s="4"/>
      <c r="O147" s="696"/>
    </row>
    <row r="148" spans="2:45" x14ac:dyDescent="0.35">
      <c r="B148" s="547" t="s">
        <v>4322</v>
      </c>
      <c r="C148" s="13"/>
      <c r="D148" s="13"/>
      <c r="E148" s="13" t="s">
        <v>270</v>
      </c>
      <c r="F148" s="13"/>
      <c r="G148" s="13"/>
      <c r="H148" s="550"/>
      <c r="I148" s="108"/>
      <c r="J148" s="19" t="s">
        <v>270</v>
      </c>
      <c r="K148" s="4"/>
      <c r="L148" s="707" t="s">
        <v>3419</v>
      </c>
      <c r="M148" s="690">
        <v>8</v>
      </c>
      <c r="N148" s="4"/>
      <c r="O148" s="85"/>
      <c r="P148" t="b">
        <v>0</v>
      </c>
      <c r="Q148" t="b">
        <v>1</v>
      </c>
      <c r="R148" t="b">
        <v>0</v>
      </c>
      <c r="S148" t="b">
        <v>1</v>
      </c>
      <c r="T148" t="b">
        <v>0</v>
      </c>
      <c r="W148" s="17"/>
      <c r="X148" s="688"/>
      <c r="AC148" t="b">
        <f>OR(AD148:AE148)</f>
        <v>0</v>
      </c>
      <c r="AD148" t="b">
        <f>T148</f>
        <v>0</v>
      </c>
      <c r="AE148" t="b">
        <f>AND(R148,NOT(W148))</f>
        <v>0</v>
      </c>
      <c r="AL148" t="str">
        <f>SUBSTITUTE(SUBSTITUTE(SUBSTITUTE("dpa"&amp;$B148&amp;$C148&amp;$D148&amp;$E148&amp;$F148,".","_"),"(","_"),")","")</f>
        <v>dpa901_10_1</v>
      </c>
      <c r="AM148">
        <f>M148</f>
        <v>8</v>
      </c>
      <c r="AP148" t="str">
        <f>SUBSTITUTE(SUBSTITUTE(SUBSTITUTE("dch"&amp;$B148&amp;$C148&amp;$D148&amp;$E148&amp;$F148,".","_"),"(","_"),")","")</f>
        <v>dch901_10_1</v>
      </c>
      <c r="AQ148">
        <f>W148</f>
        <v>0</v>
      </c>
      <c r="AR148" t="str">
        <f>SUBSTITUTE(SUBSTITUTE(SUBSTITUTE("dnt"&amp;$B148&amp;$C148&amp;$D148&amp;$E148&amp;$F148,".","_"),"(","_"),")","")</f>
        <v>dnt901_10_1</v>
      </c>
      <c r="AS148">
        <f>X148</f>
        <v>0</v>
      </c>
    </row>
    <row r="149" spans="2:45" x14ac:dyDescent="0.35">
      <c r="B149" s="547" t="s">
        <v>4322</v>
      </c>
      <c r="C149" s="13"/>
      <c r="D149" s="13"/>
      <c r="E149" s="13" t="s">
        <v>270</v>
      </c>
      <c r="F149" s="13"/>
      <c r="G149" s="13"/>
      <c r="H149" s="550"/>
      <c r="I149" s="108"/>
      <c r="J149" s="4"/>
      <c r="K149" s="4"/>
      <c r="L149" s="707"/>
      <c r="M149" s="690"/>
      <c r="N149" s="4"/>
      <c r="O149" s="85"/>
      <c r="X149" s="688"/>
    </row>
    <row r="150" spans="2:45" x14ac:dyDescent="0.35">
      <c r="B150" s="547" t="s">
        <v>4322</v>
      </c>
      <c r="C150" s="13"/>
      <c r="D150" s="13"/>
      <c r="E150" s="13" t="s">
        <v>270</v>
      </c>
      <c r="F150" s="13"/>
      <c r="G150" s="13"/>
      <c r="H150" s="550"/>
      <c r="I150" s="108"/>
      <c r="J150" s="4"/>
      <c r="K150" s="4"/>
      <c r="L150" s="707"/>
      <c r="M150" s="690"/>
      <c r="N150" s="4"/>
      <c r="O150" s="85"/>
      <c r="X150" s="688"/>
    </row>
    <row r="151" spans="2:45" x14ac:dyDescent="0.35">
      <c r="B151" s="547" t="s">
        <v>4322</v>
      </c>
      <c r="C151" s="13"/>
      <c r="D151" s="13"/>
      <c r="E151" s="13" t="s">
        <v>270</v>
      </c>
      <c r="F151" s="13"/>
      <c r="G151" s="13"/>
      <c r="H151" s="550"/>
      <c r="I151" s="108"/>
      <c r="J151" s="4"/>
      <c r="K151" s="4"/>
      <c r="L151" s="707"/>
      <c r="M151" s="690"/>
      <c r="N151" s="4"/>
      <c r="O151" s="85"/>
      <c r="X151" s="688"/>
    </row>
    <row r="152" spans="2:45" x14ac:dyDescent="0.35">
      <c r="B152" s="547" t="s">
        <v>4322</v>
      </c>
      <c r="C152" s="13"/>
      <c r="D152" s="13"/>
      <c r="E152" s="13" t="s">
        <v>270</v>
      </c>
      <c r="F152" s="13"/>
      <c r="G152" s="13"/>
      <c r="H152" s="550"/>
      <c r="I152" s="108"/>
      <c r="J152" s="155"/>
      <c r="K152" s="155"/>
      <c r="L152" s="709"/>
      <c r="M152" s="691"/>
      <c r="N152" s="4"/>
      <c r="O152" s="85"/>
      <c r="X152" s="688"/>
    </row>
    <row r="153" spans="2:45" x14ac:dyDescent="0.35">
      <c r="B153" s="547" t="s">
        <v>4322</v>
      </c>
      <c r="C153" s="13"/>
      <c r="D153" s="13"/>
      <c r="E153" s="13" t="s">
        <v>272</v>
      </c>
      <c r="F153" s="13"/>
      <c r="G153" s="13"/>
      <c r="H153" s="550"/>
      <c r="I153" s="108"/>
      <c r="J153" s="148" t="s">
        <v>272</v>
      </c>
      <c r="K153" s="155"/>
      <c r="L153" s="214" t="s">
        <v>3420</v>
      </c>
      <c r="M153" s="198">
        <v>5</v>
      </c>
      <c r="N153" s="4"/>
      <c r="O153" s="85"/>
      <c r="P153" t="b">
        <v>0</v>
      </c>
      <c r="Q153" t="b">
        <v>1</v>
      </c>
      <c r="R153" t="b">
        <v>0</v>
      </c>
      <c r="S153" t="b">
        <v>1</v>
      </c>
      <c r="T153" t="b">
        <v>0</v>
      </c>
      <c r="W153" s="17"/>
      <c r="X153" s="39"/>
      <c r="AC153" t="b">
        <f>OR(AD153:AE153)</f>
        <v>0</v>
      </c>
      <c r="AD153" t="b">
        <f>T153</f>
        <v>0</v>
      </c>
      <c r="AE153" t="b">
        <f>AND(R153,NOT(W153))</f>
        <v>0</v>
      </c>
      <c r="AL153" t="str">
        <f>SUBSTITUTE(SUBSTITUTE(SUBSTITUTE("dpa"&amp;$B153&amp;$C153&amp;$D153&amp;$E153&amp;$F153,".","_"),"(","_"),")","")</f>
        <v>dpa901_10_2</v>
      </c>
      <c r="AM153">
        <f>M153</f>
        <v>5</v>
      </c>
      <c r="AP153" t="str">
        <f t="shared" ref="AP153:AP154" si="4">SUBSTITUTE(SUBSTITUTE(SUBSTITUTE("dch"&amp;$B153&amp;$C153&amp;$D153&amp;$E153&amp;$F153,".","_"),"(","_"),")","")</f>
        <v>dch901_10_2</v>
      </c>
      <c r="AQ153">
        <f>W153</f>
        <v>0</v>
      </c>
      <c r="AR153" t="str">
        <f>SUBSTITUTE(SUBSTITUTE(SUBSTITUTE("dnt"&amp;$B153&amp;$C153&amp;$D153&amp;$E153&amp;$F153,".","_"),"(","_"),")","")</f>
        <v>dnt901_10_2</v>
      </c>
      <c r="AS153">
        <f>X153</f>
        <v>0</v>
      </c>
    </row>
    <row r="154" spans="2:45" x14ac:dyDescent="0.35">
      <c r="B154" s="547" t="s">
        <v>4322</v>
      </c>
      <c r="C154" s="13"/>
      <c r="D154" s="13"/>
      <c r="E154" s="13" t="s">
        <v>274</v>
      </c>
      <c r="F154" s="13"/>
      <c r="G154" s="13"/>
      <c r="H154" s="550"/>
      <c r="I154" s="108"/>
      <c r="J154" s="19" t="s">
        <v>274</v>
      </c>
      <c r="K154" s="4"/>
      <c r="L154" s="707" t="s">
        <v>3421</v>
      </c>
      <c r="M154" s="690">
        <v>5</v>
      </c>
      <c r="N154" s="4"/>
      <c r="O154" s="85"/>
      <c r="P154" t="b">
        <v>0</v>
      </c>
      <c r="Q154" t="b">
        <v>1</v>
      </c>
      <c r="R154" t="b">
        <v>0</v>
      </c>
      <c r="S154" t="b">
        <v>1</v>
      </c>
      <c r="T154" t="b">
        <v>0</v>
      </c>
      <c r="W154" s="17"/>
      <c r="X154" s="688"/>
      <c r="AC154" t="b">
        <f>OR(AD154:AE154)</f>
        <v>0</v>
      </c>
      <c r="AD154" t="b">
        <f>T154</f>
        <v>0</v>
      </c>
      <c r="AE154" t="b">
        <f>AND(R154,NOT(W154))</f>
        <v>0</v>
      </c>
      <c r="AL154" t="str">
        <f>SUBSTITUTE(SUBSTITUTE(SUBSTITUTE("dpa"&amp;$B154&amp;$C154&amp;$D154&amp;$E154&amp;$F154,".","_"),"(","_"),")","")</f>
        <v>dpa901_10_3</v>
      </c>
      <c r="AM154">
        <f>M154</f>
        <v>5</v>
      </c>
      <c r="AP154" t="str">
        <f t="shared" si="4"/>
        <v>dch901_10_3</v>
      </c>
      <c r="AQ154">
        <f>W154</f>
        <v>0</v>
      </c>
      <c r="AR154" t="str">
        <f>SUBSTITUTE(SUBSTITUTE(SUBSTITUTE("dnt"&amp;$B154&amp;$C154&amp;$D154&amp;$E154&amp;$F154,".","_"),"(","_"),")","")</f>
        <v>dnt901_10_3</v>
      </c>
      <c r="AS154">
        <f>X154</f>
        <v>0</v>
      </c>
    </row>
    <row r="155" spans="2:45" x14ac:dyDescent="0.35">
      <c r="B155" s="547" t="s">
        <v>4322</v>
      </c>
      <c r="C155" s="13"/>
      <c r="D155" s="13"/>
      <c r="E155" s="13" t="s">
        <v>274</v>
      </c>
      <c r="F155" s="13"/>
      <c r="G155" s="13"/>
      <c r="H155" s="550"/>
      <c r="I155" s="108"/>
      <c r="J155" s="4"/>
      <c r="K155" s="4"/>
      <c r="L155" s="707"/>
      <c r="M155" s="690"/>
      <c r="N155" s="4"/>
      <c r="O155" s="85"/>
      <c r="X155" s="688"/>
    </row>
    <row r="156" spans="2:45" x14ac:dyDescent="0.35">
      <c r="B156" s="547" t="s">
        <v>4322</v>
      </c>
      <c r="C156" s="13"/>
      <c r="D156" s="13"/>
      <c r="E156" s="13" t="s">
        <v>274</v>
      </c>
      <c r="F156" s="13"/>
      <c r="G156" s="13"/>
      <c r="H156" s="550"/>
      <c r="I156" s="108"/>
      <c r="J156" s="4"/>
      <c r="K156" s="4"/>
      <c r="L156" s="707"/>
      <c r="M156" s="690"/>
      <c r="N156" s="4"/>
      <c r="O156" s="85"/>
      <c r="X156" s="688"/>
    </row>
    <row r="157" spans="2:45" ht="15" thickBot="1" x14ac:dyDescent="0.4">
      <c r="B157" s="547" t="s">
        <v>4322</v>
      </c>
      <c r="C157" s="13"/>
      <c r="D157" s="13"/>
      <c r="E157" s="13" t="s">
        <v>274</v>
      </c>
      <c r="F157" s="13"/>
      <c r="G157" s="13"/>
      <c r="H157" s="550"/>
      <c r="I157" s="328"/>
      <c r="J157" s="183"/>
      <c r="K157" s="183"/>
      <c r="L157" s="329" t="s">
        <v>4021</v>
      </c>
      <c r="M157" s="270"/>
      <c r="N157" s="183"/>
      <c r="O157" s="184"/>
      <c r="P157" s="58"/>
      <c r="Q157" s="58"/>
      <c r="R157" s="58"/>
      <c r="S157" s="58"/>
      <c r="T157" s="58"/>
      <c r="U157" s="58"/>
      <c r="V157" s="58"/>
      <c r="W157" s="58"/>
      <c r="X157" s="689"/>
    </row>
    <row r="158" spans="2:45" ht="15" thickTop="1" x14ac:dyDescent="0.35">
      <c r="B158" s="452">
        <v>901.11</v>
      </c>
      <c r="C158" s="13"/>
      <c r="D158" s="13"/>
      <c r="E158" s="13"/>
      <c r="F158" s="13"/>
      <c r="G158" s="13"/>
      <c r="H158" s="550"/>
      <c r="I158" s="123">
        <v>901.11</v>
      </c>
      <c r="J158" s="124"/>
      <c r="K158" s="124"/>
      <c r="L158" s="711" t="s">
        <v>3422</v>
      </c>
      <c r="M158" s="692">
        <v>4</v>
      </c>
      <c r="N158" s="124"/>
      <c r="O158" s="694">
        <f>M158*S158*W158</f>
        <v>4</v>
      </c>
      <c r="P158" t="b">
        <v>1</v>
      </c>
      <c r="Q158" t="b">
        <v>1</v>
      </c>
      <c r="R158" s="62" t="b">
        <v>0</v>
      </c>
      <c r="S158" s="62" t="b">
        <v>1</v>
      </c>
      <c r="T158" s="62" t="b">
        <v>0</v>
      </c>
      <c r="U158" s="62"/>
      <c r="V158" s="62"/>
      <c r="W158" s="278" t="b">
        <v>1</v>
      </c>
      <c r="X158" s="687" t="s">
        <v>4848</v>
      </c>
      <c r="AC158" t="b">
        <f>OR(AD158:AE158)</f>
        <v>0</v>
      </c>
      <c r="AD158" t="b">
        <f>T158</f>
        <v>0</v>
      </c>
      <c r="AE158" t="b">
        <f>AND(R158,NOT(W158))</f>
        <v>0</v>
      </c>
      <c r="AL158" t="str">
        <f>SUBSTITUTE(SUBSTITUTE(SUBSTITUTE("dpa"&amp;$B158&amp;$C158&amp;$D158&amp;$E158&amp;$F158,".","_"),"(","_"),")","")</f>
        <v>dpa901_11</v>
      </c>
      <c r="AM158">
        <f>M158</f>
        <v>4</v>
      </c>
      <c r="AN158" t="str">
        <f>SUBSTITUTE(SUBSTITUTE(SUBSTITUTE("dpc"&amp;$B158&amp;$C158&amp;$D158&amp;$E158&amp;$F158,".","_"),"(","_"),")","")</f>
        <v>dpc901_11</v>
      </c>
      <c r="AO158">
        <f>O158</f>
        <v>4</v>
      </c>
      <c r="AP158" t="str">
        <f>SUBSTITUTE(SUBSTITUTE(SUBSTITUTE("dch"&amp;$B158&amp;$C158&amp;$D158&amp;$E158&amp;$F158,".","_"),"(","_"),")","")</f>
        <v>dch901_11</v>
      </c>
      <c r="AQ158" t="b">
        <f>W158</f>
        <v>1</v>
      </c>
      <c r="AR158" t="str">
        <f>SUBSTITUTE(SUBSTITUTE(SUBSTITUTE("dnt"&amp;$B158&amp;$C158&amp;$D158&amp;$E158&amp;$F158,".","_"),"(","_"),")","")</f>
        <v>dnt901_11</v>
      </c>
      <c r="AS158" t="str">
        <f>X158</f>
        <v>CertainTeed Sustainable Insulation™ Batt &amp; Roll Insulation</v>
      </c>
    </row>
    <row r="159" spans="2:45" x14ac:dyDescent="0.35">
      <c r="B159" s="452">
        <v>901.11</v>
      </c>
      <c r="C159" s="13"/>
      <c r="D159" s="13"/>
      <c r="E159" s="13"/>
      <c r="F159" s="13"/>
      <c r="G159" s="13"/>
      <c r="H159" s="550"/>
      <c r="I159" s="108"/>
      <c r="J159" s="4"/>
      <c r="K159" s="4"/>
      <c r="L159" s="706"/>
      <c r="M159" s="690"/>
      <c r="N159" s="4"/>
      <c r="O159" s="696"/>
      <c r="X159" s="688"/>
    </row>
    <row r="160" spans="2:45" x14ac:dyDescent="0.35">
      <c r="B160" s="452">
        <v>901.11</v>
      </c>
      <c r="C160" s="13"/>
      <c r="D160" s="13"/>
      <c r="E160" s="13"/>
      <c r="F160" s="13"/>
      <c r="G160" s="13"/>
      <c r="H160" s="550"/>
      <c r="I160" s="108"/>
      <c r="J160" s="4"/>
      <c r="K160" s="4"/>
      <c r="L160" s="706"/>
      <c r="M160" s="690"/>
      <c r="N160" s="4"/>
      <c r="O160" s="696"/>
      <c r="X160" s="688"/>
    </row>
    <row r="161" spans="2:45" x14ac:dyDescent="0.35">
      <c r="B161" s="452">
        <v>901.11</v>
      </c>
      <c r="C161" s="13"/>
      <c r="D161" s="13"/>
      <c r="E161" s="13"/>
      <c r="F161" s="13"/>
      <c r="G161" s="13"/>
      <c r="H161" s="550"/>
      <c r="I161" s="108"/>
      <c r="J161" s="4"/>
      <c r="K161" s="4"/>
      <c r="L161" s="706"/>
      <c r="M161" s="690"/>
      <c r="N161" s="4"/>
      <c r="O161" s="696"/>
      <c r="X161" s="688"/>
    </row>
    <row r="162" spans="2:45" ht="15" thickBot="1" x14ac:dyDescent="0.4">
      <c r="B162" s="452">
        <v>901.11</v>
      </c>
      <c r="C162" s="13"/>
      <c r="D162" s="13"/>
      <c r="E162" s="13"/>
      <c r="F162" s="13"/>
      <c r="G162" s="13"/>
      <c r="H162" s="550"/>
      <c r="I162" s="328"/>
      <c r="J162" s="183"/>
      <c r="K162" s="183"/>
      <c r="L162" s="710"/>
      <c r="M162" s="693"/>
      <c r="N162" s="183"/>
      <c r="O162" s="695"/>
      <c r="P162" s="58"/>
      <c r="Q162" s="58"/>
      <c r="R162" s="58"/>
      <c r="S162" s="58"/>
      <c r="T162" s="58"/>
      <c r="U162" s="58"/>
      <c r="V162" s="58"/>
      <c r="W162" s="58"/>
      <c r="X162" s="689"/>
    </row>
    <row r="163" spans="2:45" ht="15" thickTop="1" x14ac:dyDescent="0.35">
      <c r="B163" s="452">
        <v>901.12</v>
      </c>
      <c r="C163" s="13"/>
      <c r="D163" s="13"/>
      <c r="E163" s="13"/>
      <c r="F163" s="13"/>
      <c r="G163" s="13"/>
      <c r="H163" s="550"/>
      <c r="I163" s="123">
        <v>901.12</v>
      </c>
      <c r="J163" s="124"/>
      <c r="K163" s="124"/>
      <c r="L163" s="711" t="s">
        <v>3423</v>
      </c>
      <c r="M163" s="749" t="str">
        <f>IF(R163,"Mandatory","N/A")</f>
        <v>Mandatory</v>
      </c>
      <c r="N163" s="124"/>
      <c r="O163" s="341"/>
      <c r="P163" t="b">
        <v>0</v>
      </c>
      <c r="Q163" t="b">
        <v>1</v>
      </c>
      <c r="R163" s="62" t="b">
        <f>S163</f>
        <v>1</v>
      </c>
      <c r="S163" s="62" t="b">
        <v>1</v>
      </c>
      <c r="T163" s="62" t="b">
        <v>0</v>
      </c>
      <c r="U163" s="62" t="str">
        <f>SUBSTITUTE(SUBSTITUTE(SUBSTITUTE("dd"&amp;B163&amp;C163&amp;D163&amp;E163&amp;F163,".","_"),"(","_"),")","")</f>
        <v>dd901_12</v>
      </c>
      <c r="V163" s="62"/>
      <c r="W163" s="9" t="s">
        <v>3239</v>
      </c>
      <c r="X163" s="687"/>
      <c r="AC163" t="b">
        <f>OR(AD163:AE163)</f>
        <v>0</v>
      </c>
      <c r="AD163" t="b">
        <f>T163</f>
        <v>0</v>
      </c>
      <c r="AE163" t="b">
        <f>AND(R163,OR(LEN(W163)=0,W163="Not Met"))</f>
        <v>0</v>
      </c>
      <c r="AL163" t="str">
        <f>SUBSTITUTE(SUBSTITUTE(SUBSTITUTE("dpa"&amp;$B163&amp;$C163&amp;$D163&amp;$E163&amp;$F163,".","_"),"(","_"),")","")</f>
        <v>dpa901_12</v>
      </c>
      <c r="AM163" t="str">
        <f>M163</f>
        <v>Mandatory</v>
      </c>
      <c r="AP163" t="str">
        <f>SUBSTITUTE(SUBSTITUTE(SUBSTITUTE("dch"&amp;$B163&amp;$C163&amp;$D163&amp;$E163&amp;$F163,".","_"),"(","_"),")","")</f>
        <v>dch901_12</v>
      </c>
      <c r="AQ163" t="str">
        <f>W163</f>
        <v>Met</v>
      </c>
      <c r="AR163" t="str">
        <f>SUBSTITUTE(SUBSTITUTE(SUBSTITUTE("dnt"&amp;$B163&amp;$C163&amp;$D163&amp;$E163&amp;$F163,".","_"),"(","_"),")","")</f>
        <v>dnt901_12</v>
      </c>
      <c r="AS163">
        <f>X163</f>
        <v>0</v>
      </c>
    </row>
    <row r="164" spans="2:45" ht="15" thickBot="1" x14ac:dyDescent="0.4">
      <c r="B164" s="452">
        <v>901.12</v>
      </c>
      <c r="C164" s="13"/>
      <c r="D164" s="13"/>
      <c r="E164" s="13"/>
      <c r="F164" s="13"/>
      <c r="G164" s="13"/>
      <c r="H164" s="550"/>
      <c r="I164" s="328"/>
      <c r="J164" s="183"/>
      <c r="K164" s="183"/>
      <c r="L164" s="710"/>
      <c r="M164" s="771"/>
      <c r="N164" s="183"/>
      <c r="O164" s="184"/>
      <c r="P164" s="58"/>
      <c r="Q164" s="58"/>
      <c r="R164" s="58"/>
      <c r="S164" s="58"/>
      <c r="T164" s="58"/>
      <c r="U164" s="58"/>
      <c r="V164" s="58"/>
      <c r="W164" s="58"/>
      <c r="X164" s="689"/>
    </row>
    <row r="165" spans="2:45" ht="15" thickTop="1" x14ac:dyDescent="0.35">
      <c r="B165" s="452">
        <v>901.13</v>
      </c>
      <c r="C165" s="13"/>
      <c r="D165" s="13"/>
      <c r="E165" s="13"/>
      <c r="F165" s="13"/>
      <c r="G165" s="13"/>
      <c r="H165" s="550"/>
      <c r="I165" s="123">
        <v>901.13</v>
      </c>
      <c r="J165" s="124"/>
      <c r="K165" s="124"/>
      <c r="L165" s="711" t="s">
        <v>3424</v>
      </c>
      <c r="M165" s="199"/>
      <c r="N165" s="124"/>
      <c r="O165" s="694">
        <f ca="1">MIN(1,M167*S167*W167+M168*S168*W168)</f>
        <v>0</v>
      </c>
      <c r="P165" s="62"/>
      <c r="Q165" s="62"/>
      <c r="R165" s="62"/>
      <c r="S165" s="62"/>
      <c r="T165" s="62"/>
      <c r="U165" s="62"/>
      <c r="V165" s="62"/>
      <c r="W165" s="62"/>
      <c r="X165" s="687"/>
      <c r="AN165" t="str">
        <f>SUBSTITUTE(SUBSTITUTE(SUBSTITUTE("dpc"&amp;$B165&amp;$C165&amp;$D165&amp;$E165&amp;$F165,".","_"),"(","_"),")","")</f>
        <v>dpc901_13</v>
      </c>
      <c r="AO165">
        <f ca="1">O165</f>
        <v>0</v>
      </c>
      <c r="AR165" t="str">
        <f>SUBSTITUTE(SUBSTITUTE(SUBSTITUTE("dnt"&amp;$B165&amp;$C165&amp;$D165&amp;$E165&amp;$F165,".","_"),"(","_"),")","")</f>
        <v>dnt901_13</v>
      </c>
      <c r="AS165">
        <f>X165</f>
        <v>0</v>
      </c>
    </row>
    <row r="166" spans="2:45" ht="15" customHeight="1" x14ac:dyDescent="0.35">
      <c r="B166" s="452">
        <v>901.13</v>
      </c>
      <c r="C166" s="13"/>
      <c r="D166" s="13"/>
      <c r="E166" s="13"/>
      <c r="F166" s="13"/>
      <c r="G166" s="13"/>
      <c r="H166" s="550"/>
      <c r="I166" s="108"/>
      <c r="J166" s="4"/>
      <c r="K166" s="4"/>
      <c r="L166" s="706"/>
      <c r="M166" s="43"/>
      <c r="N166" s="4"/>
      <c r="O166" s="696"/>
      <c r="X166" s="688"/>
    </row>
    <row r="167" spans="2:45" ht="15" customHeight="1" x14ac:dyDescent="0.35">
      <c r="B167" s="452">
        <v>901.13</v>
      </c>
      <c r="C167" s="13"/>
      <c r="D167" s="13"/>
      <c r="E167" s="13" t="s">
        <v>270</v>
      </c>
      <c r="F167" s="13"/>
      <c r="G167" s="13"/>
      <c r="H167" s="550"/>
      <c r="I167" s="108"/>
      <c r="J167" s="148" t="s">
        <v>270</v>
      </c>
      <c r="K167" s="155"/>
      <c r="L167" s="214" t="s">
        <v>3425</v>
      </c>
      <c r="M167" s="198">
        <v>1</v>
      </c>
      <c r="N167" s="4"/>
      <c r="O167" s="85"/>
      <c r="P167" t="b">
        <v>0</v>
      </c>
      <c r="Q167" t="b">
        <v>1</v>
      </c>
      <c r="R167" t="b">
        <v>0</v>
      </c>
      <c r="S167" t="b">
        <f ca="1">$AY$19=INDEX(INDIRECT("ddSingleOrMulti"),2)</f>
        <v>0</v>
      </c>
      <c r="T167" t="b">
        <f ca="1">AND(NOT(S167),W167=TRUE)</f>
        <v>0</v>
      </c>
      <c r="W167" s="17"/>
      <c r="X167" s="688"/>
      <c r="AC167" t="b">
        <f ca="1">OR(AD167:AE167)</f>
        <v>0</v>
      </c>
      <c r="AD167" t="b">
        <f ca="1">T167</f>
        <v>0</v>
      </c>
      <c r="AE167" t="b">
        <f>AND(R167,NOT(W167))</f>
        <v>0</v>
      </c>
      <c r="AL167" t="str">
        <f>SUBSTITUTE(SUBSTITUTE(SUBSTITUTE("dpa"&amp;$B167&amp;$C167&amp;$D167&amp;$E167&amp;$F167,".","_"),"(","_"),")","")</f>
        <v>dpa901_13_1</v>
      </c>
      <c r="AM167">
        <f>M167</f>
        <v>1</v>
      </c>
      <c r="AP167" t="str">
        <f t="shared" ref="AP167:AP168" si="5">SUBSTITUTE(SUBSTITUTE(SUBSTITUTE("dch"&amp;$B167&amp;$C167&amp;$D167&amp;$E167&amp;$F167,".","_"),"(","_"),")","")</f>
        <v>dch901_13_1</v>
      </c>
      <c r="AQ167">
        <f>W167</f>
        <v>0</v>
      </c>
    </row>
    <row r="168" spans="2:45" ht="15" customHeight="1" thickBot="1" x14ac:dyDescent="0.4">
      <c r="B168" s="452">
        <v>901.13</v>
      </c>
      <c r="C168" s="13"/>
      <c r="D168" s="13"/>
      <c r="E168" s="13" t="s">
        <v>272</v>
      </c>
      <c r="F168" s="13"/>
      <c r="G168" s="13"/>
      <c r="H168" s="550"/>
      <c r="I168" s="328"/>
      <c r="J168" s="133" t="s">
        <v>272</v>
      </c>
      <c r="K168" s="183"/>
      <c r="L168" s="223" t="s">
        <v>3426</v>
      </c>
      <c r="M168" s="270">
        <v>1</v>
      </c>
      <c r="N168" s="183"/>
      <c r="O168" s="184"/>
      <c r="P168" t="b">
        <v>0</v>
      </c>
      <c r="Q168" t="b">
        <v>1</v>
      </c>
      <c r="R168" s="58" t="b">
        <v>0</v>
      </c>
      <c r="S168" t="b">
        <f ca="1">$AY$19=INDEX(INDIRECT("ddSingleOrMulti"),2)</f>
        <v>0</v>
      </c>
      <c r="T168" t="b">
        <f ca="1">AND(NOT(S168),W168=TRUE)</f>
        <v>0</v>
      </c>
      <c r="U168" s="58"/>
      <c r="V168" s="58"/>
      <c r="W168" s="59"/>
      <c r="X168" s="689"/>
      <c r="AC168" t="b">
        <f ca="1">OR(AD168:AE168)</f>
        <v>0</v>
      </c>
      <c r="AD168" t="b">
        <f ca="1">T168</f>
        <v>0</v>
      </c>
      <c r="AE168" t="b">
        <f>AND(R168,NOT(W168))</f>
        <v>0</v>
      </c>
      <c r="AL168" t="str">
        <f>SUBSTITUTE(SUBSTITUTE(SUBSTITUTE("dpa"&amp;$B168&amp;$C168&amp;$D168&amp;$E168&amp;$F168,".","_"),"(","_"),")","")</f>
        <v>dpa901_13_2</v>
      </c>
      <c r="AM168">
        <f>M168</f>
        <v>1</v>
      </c>
      <c r="AP168" t="str">
        <f t="shared" si="5"/>
        <v>dch901_13_2</v>
      </c>
      <c r="AQ168">
        <f>W168</f>
        <v>0</v>
      </c>
    </row>
    <row r="169" spans="2:45" ht="15" customHeight="1" thickTop="1" x14ac:dyDescent="0.35">
      <c r="B169" s="452">
        <v>901.14</v>
      </c>
      <c r="C169" s="13"/>
      <c r="D169" s="13"/>
      <c r="E169" s="13"/>
      <c r="F169" s="13"/>
      <c r="G169" s="13"/>
      <c r="H169" s="550"/>
      <c r="I169" s="32">
        <v>901.14</v>
      </c>
      <c r="J169" s="4"/>
      <c r="K169" s="4"/>
      <c r="L169" s="706" t="s">
        <v>3427</v>
      </c>
      <c r="M169" s="43"/>
      <c r="N169" s="4"/>
      <c r="O169" s="85"/>
    </row>
    <row r="170" spans="2:45" ht="15" customHeight="1" x14ac:dyDescent="0.35">
      <c r="B170" s="452">
        <v>901.14</v>
      </c>
      <c r="C170" s="13"/>
      <c r="D170" s="13"/>
      <c r="E170" s="13"/>
      <c r="F170" s="13"/>
      <c r="G170" s="13"/>
      <c r="H170" s="550"/>
      <c r="I170" s="108"/>
      <c r="J170" s="4"/>
      <c r="K170" s="4"/>
      <c r="L170" s="706"/>
      <c r="M170" s="43"/>
      <c r="N170" s="4"/>
      <c r="O170" s="85"/>
    </row>
    <row r="171" spans="2:45" x14ac:dyDescent="0.35">
      <c r="B171" s="452">
        <v>901.14</v>
      </c>
      <c r="C171" s="13"/>
      <c r="D171" s="13"/>
      <c r="E171" s="13" t="s">
        <v>270</v>
      </c>
      <c r="F171" s="13"/>
      <c r="G171" s="13"/>
      <c r="H171" s="550"/>
      <c r="I171" s="108"/>
      <c r="J171" s="19" t="s">
        <v>270</v>
      </c>
      <c r="K171" s="4"/>
      <c r="L171" s="707" t="s">
        <v>3428</v>
      </c>
      <c r="M171" s="690">
        <v>1</v>
      </c>
      <c r="N171" s="4"/>
      <c r="O171" s="696">
        <f ca="1">M171*S171*W171</f>
        <v>0</v>
      </c>
      <c r="P171" t="b">
        <v>0</v>
      </c>
      <c r="Q171" t="b">
        <v>1</v>
      </c>
      <c r="R171" t="b">
        <v>0</v>
      </c>
      <c r="S171" t="b">
        <f ca="1">$AY$19=INDEX(INDIRECT("ddSingleOrMulti"),2)</f>
        <v>0</v>
      </c>
      <c r="T171" t="b">
        <f ca="1">AND(NOT(S171),W171=TRUE)</f>
        <v>0</v>
      </c>
      <c r="W171" s="17"/>
      <c r="X171" s="688"/>
      <c r="AC171" t="b">
        <f ca="1">OR(AD171:AE171)</f>
        <v>0</v>
      </c>
      <c r="AD171" t="b">
        <f ca="1">T171</f>
        <v>0</v>
      </c>
      <c r="AE171" t="b">
        <f>AND(R171,NOT(W171))</f>
        <v>0</v>
      </c>
      <c r="AL171" t="str">
        <f>SUBSTITUTE(SUBSTITUTE(SUBSTITUTE("dpa"&amp;$B171&amp;$C171&amp;$D171&amp;$E171&amp;$F171,".","_"),"(","_"),")","")</f>
        <v>dpa901_14_1</v>
      </c>
      <c r="AM171">
        <f>M171</f>
        <v>1</v>
      </c>
      <c r="AN171" t="str">
        <f>SUBSTITUTE(SUBSTITUTE(SUBSTITUTE("dpc"&amp;$B171&amp;$C171&amp;$D171&amp;$E171&amp;$F171,".","_"),"(","_"),")","")</f>
        <v>dpc901_14_1</v>
      </c>
      <c r="AO171">
        <f ca="1">O171</f>
        <v>0</v>
      </c>
      <c r="AP171" t="str">
        <f>SUBSTITUTE(SUBSTITUTE(SUBSTITUTE("dch"&amp;$B171&amp;$C171&amp;$D171&amp;$E171&amp;$F171,".","_"),"(","_"),")","")</f>
        <v>dch901_14_1</v>
      </c>
      <c r="AQ171">
        <f>W171</f>
        <v>0</v>
      </c>
      <c r="AR171" t="str">
        <f>SUBSTITUTE(SUBSTITUTE(SUBSTITUTE("dnt"&amp;$B171&amp;$C171&amp;$D171&amp;$E171&amp;$F171,".","_"),"(","_"),")","")</f>
        <v>dnt901_14_1</v>
      </c>
      <c r="AS171">
        <f>X171</f>
        <v>0</v>
      </c>
    </row>
    <row r="172" spans="2:45" x14ac:dyDescent="0.35">
      <c r="B172" s="452">
        <v>901.14</v>
      </c>
      <c r="C172" s="13"/>
      <c r="D172" s="13"/>
      <c r="E172" s="13" t="s">
        <v>270</v>
      </c>
      <c r="F172" s="13"/>
      <c r="G172" s="13"/>
      <c r="H172" s="550"/>
      <c r="I172" s="108"/>
      <c r="J172" s="155"/>
      <c r="K172" s="155"/>
      <c r="L172" s="709"/>
      <c r="M172" s="691"/>
      <c r="N172" s="4"/>
      <c r="O172" s="697"/>
      <c r="X172" s="688"/>
    </row>
    <row r="173" spans="2:45" x14ac:dyDescent="0.35">
      <c r="B173" s="452">
        <v>901.14</v>
      </c>
      <c r="C173" s="13"/>
      <c r="D173" s="13"/>
      <c r="E173" s="13" t="s">
        <v>272</v>
      </c>
      <c r="F173" s="13"/>
      <c r="G173" s="13"/>
      <c r="H173" s="550"/>
      <c r="I173" s="108"/>
      <c r="J173" s="19" t="s">
        <v>272</v>
      </c>
      <c r="K173" s="4"/>
      <c r="L173" s="707" t="s">
        <v>3429</v>
      </c>
      <c r="M173" s="690">
        <v>1</v>
      </c>
      <c r="N173" s="4"/>
      <c r="O173" s="696">
        <f ca="1">M173*S173*W173</f>
        <v>0</v>
      </c>
      <c r="P173" t="b">
        <v>0</v>
      </c>
      <c r="Q173" t="b">
        <v>1</v>
      </c>
      <c r="R173" t="b">
        <v>0</v>
      </c>
      <c r="S173" t="b">
        <f ca="1">$AY$19=INDEX(INDIRECT("ddSingleOrMulti"),2)</f>
        <v>0</v>
      </c>
      <c r="T173" t="b">
        <f ca="1">AND(NOT(S173),W173=TRUE)</f>
        <v>0</v>
      </c>
      <c r="W173" s="17"/>
      <c r="X173" s="688"/>
      <c r="AC173" t="b">
        <f ca="1">OR(AD173:AE173)</f>
        <v>0</v>
      </c>
      <c r="AD173" t="b">
        <f ca="1">T173</f>
        <v>0</v>
      </c>
      <c r="AE173" t="b">
        <f>AND(R173,NOT(W173))</f>
        <v>0</v>
      </c>
      <c r="AL173" t="str">
        <f>SUBSTITUTE(SUBSTITUTE(SUBSTITUTE("dpa"&amp;$B173&amp;$C173&amp;$D173&amp;$E173&amp;$F173,".","_"),"(","_"),")","")</f>
        <v>dpa901_14_2</v>
      </c>
      <c r="AM173">
        <f>M173</f>
        <v>1</v>
      </c>
      <c r="AN173" t="str">
        <f>SUBSTITUTE(SUBSTITUTE(SUBSTITUTE("dpc"&amp;$B173&amp;$C173&amp;$D173&amp;$E173&amp;$F173,".","_"),"(","_"),")","")</f>
        <v>dpc901_14_2</v>
      </c>
      <c r="AO173">
        <f ca="1">O173</f>
        <v>0</v>
      </c>
      <c r="AP173" t="str">
        <f>SUBSTITUTE(SUBSTITUTE(SUBSTITUTE("dch"&amp;$B173&amp;$C173&amp;$D173&amp;$E173&amp;$F173,".","_"),"(","_"),")","")</f>
        <v>dch901_14_2</v>
      </c>
      <c r="AQ173">
        <f>W173</f>
        <v>0</v>
      </c>
      <c r="AR173" t="str">
        <f>SUBSTITUTE(SUBSTITUTE(SUBSTITUTE("dnt"&amp;$B173&amp;$C173&amp;$D173&amp;$E173&amp;$F173,".","_"),"(","_"),")","")</f>
        <v>dnt901_14_2</v>
      </c>
      <c r="AS173">
        <f>X173</f>
        <v>0</v>
      </c>
    </row>
    <row r="174" spans="2:45" x14ac:dyDescent="0.35">
      <c r="B174" s="452">
        <v>901.14</v>
      </c>
      <c r="C174" s="13"/>
      <c r="D174" s="13"/>
      <c r="E174" s="13" t="s">
        <v>272</v>
      </c>
      <c r="F174" s="13"/>
      <c r="G174" s="13"/>
      <c r="H174" s="550"/>
      <c r="I174" s="108"/>
      <c r="J174" s="4"/>
      <c r="K174" s="4"/>
      <c r="L174" s="707"/>
      <c r="M174" s="690"/>
      <c r="N174" s="4"/>
      <c r="O174" s="696"/>
      <c r="X174" s="688"/>
    </row>
    <row r="175" spans="2:45" ht="18.5" x14ac:dyDescent="0.45">
      <c r="B175" s="452">
        <v>902</v>
      </c>
      <c r="C175" s="13"/>
      <c r="D175" s="13"/>
      <c r="E175" s="13"/>
      <c r="F175" s="13"/>
      <c r="G175" s="13"/>
      <c r="H175" s="550"/>
      <c r="I175" s="10" t="s">
        <v>3430</v>
      </c>
      <c r="J175" s="15"/>
      <c r="K175" s="15"/>
      <c r="L175" s="47"/>
      <c r="M175" s="340"/>
      <c r="N175" s="344"/>
      <c r="O175" s="340"/>
      <c r="P175" s="15"/>
      <c r="Q175" s="15"/>
      <c r="R175" s="15"/>
      <c r="S175" s="15"/>
      <c r="T175" s="15"/>
      <c r="U175" s="15"/>
      <c r="V175" s="15"/>
      <c r="W175" s="15"/>
      <c r="X175" s="15"/>
    </row>
    <row r="176" spans="2:45" ht="15" thickBot="1" x14ac:dyDescent="0.4">
      <c r="B176" s="452" t="s">
        <v>4579</v>
      </c>
      <c r="C176" s="13"/>
      <c r="D176" s="13"/>
      <c r="E176" s="13"/>
      <c r="F176" s="13"/>
      <c r="G176" s="13"/>
      <c r="H176" s="550"/>
      <c r="I176" s="326">
        <v>902</v>
      </c>
      <c r="J176" s="183"/>
      <c r="K176" s="183"/>
      <c r="L176" s="272" t="s">
        <v>3431</v>
      </c>
      <c r="M176" s="270"/>
      <c r="N176" s="183"/>
      <c r="O176" s="184"/>
      <c r="P176" s="58"/>
      <c r="Q176" s="58"/>
      <c r="R176" s="58"/>
      <c r="S176" s="58"/>
      <c r="T176" s="58"/>
      <c r="U176" s="58"/>
      <c r="V176" s="58"/>
      <c r="W176" s="58"/>
      <c r="X176" s="58"/>
    </row>
    <row r="177" spans="2:45" ht="15" thickTop="1" x14ac:dyDescent="0.35">
      <c r="B177" s="452">
        <v>902.1</v>
      </c>
      <c r="C177" s="13"/>
      <c r="D177" s="13"/>
      <c r="E177" s="13"/>
      <c r="F177" s="13"/>
      <c r="G177" s="13"/>
      <c r="H177" s="550"/>
      <c r="I177" s="32">
        <v>902.1</v>
      </c>
      <c r="J177" s="4"/>
      <c r="K177" s="4"/>
      <c r="L177" s="110" t="s">
        <v>3432</v>
      </c>
      <c r="M177" s="43"/>
      <c r="N177" s="4"/>
      <c r="O177" s="85"/>
    </row>
    <row r="178" spans="2:45" x14ac:dyDescent="0.35">
      <c r="B178" s="452">
        <v>902.1</v>
      </c>
      <c r="C178" s="13"/>
      <c r="D178" s="13"/>
      <c r="E178" s="13"/>
      <c r="F178" s="13"/>
      <c r="G178" s="13"/>
      <c r="H178" s="550"/>
      <c r="I178" s="32" t="s">
        <v>4070</v>
      </c>
      <c r="J178" s="4"/>
      <c r="K178" s="4"/>
      <c r="L178" s="110" t="s">
        <v>4071</v>
      </c>
      <c r="M178" s="43"/>
      <c r="N178" s="4"/>
      <c r="O178" s="85"/>
    </row>
    <row r="179" spans="2:45" x14ac:dyDescent="0.35">
      <c r="B179" s="452">
        <v>902.1</v>
      </c>
      <c r="C179" s="13"/>
      <c r="D179" s="13"/>
      <c r="E179" s="13" t="s">
        <v>270</v>
      </c>
      <c r="F179" s="13"/>
      <c r="G179" s="13"/>
      <c r="H179" s="550"/>
      <c r="I179" s="108"/>
      <c r="J179" s="19" t="s">
        <v>270</v>
      </c>
      <c r="K179" s="4"/>
      <c r="L179" s="707" t="s">
        <v>3433</v>
      </c>
      <c r="M179" s="740" t="str">
        <f>IF(R179,"Mandatory","N/A")</f>
        <v>Mandatory</v>
      </c>
      <c r="N179" s="4"/>
      <c r="O179" s="85"/>
      <c r="P179" t="b">
        <v>0</v>
      </c>
      <c r="Q179" t="b">
        <v>1</v>
      </c>
      <c r="R179" t="b">
        <f>S179</f>
        <v>1</v>
      </c>
      <c r="S179" t="b">
        <v>1</v>
      </c>
      <c r="T179" t="b">
        <v>0</v>
      </c>
      <c r="W179" s="17" t="b">
        <v>1</v>
      </c>
      <c r="X179" s="688"/>
      <c r="AC179" t="b">
        <f>OR(AD179:AE179)</f>
        <v>0</v>
      </c>
      <c r="AD179" t="b">
        <f>T179</f>
        <v>0</v>
      </c>
      <c r="AE179" t="b">
        <f>AND(R179,NOT(W179))</f>
        <v>0</v>
      </c>
      <c r="AP179" t="str">
        <f>SUBSTITUTE(SUBSTITUTE(SUBSTITUTE("dch"&amp;$B179&amp;$C179&amp;$D179&amp;$E179&amp;$F179,".","_"),"(","_"),")","")</f>
        <v>dch902_1_1</v>
      </c>
      <c r="AQ179" t="b">
        <f>W179</f>
        <v>1</v>
      </c>
      <c r="AR179" t="str">
        <f>SUBSTITUTE(SUBSTITUTE(SUBSTITUTE("dnt"&amp;$B179&amp;$C179&amp;$D179&amp;$E179&amp;$F179,".","_"),"(","_"),")","")</f>
        <v>dnt902_1_1</v>
      </c>
      <c r="AS179">
        <f>X179</f>
        <v>0</v>
      </c>
    </row>
    <row r="180" spans="2:45" x14ac:dyDescent="0.35">
      <c r="B180" s="452">
        <v>902.1</v>
      </c>
      <c r="C180" s="13"/>
      <c r="D180" s="13"/>
      <c r="E180" s="13" t="s">
        <v>270</v>
      </c>
      <c r="F180" s="13"/>
      <c r="G180" s="13"/>
      <c r="H180" s="550"/>
      <c r="I180" s="108"/>
      <c r="J180" s="4"/>
      <c r="K180" s="4"/>
      <c r="L180" s="707"/>
      <c r="M180" s="740"/>
      <c r="N180" s="4"/>
      <c r="O180" s="85"/>
      <c r="X180" s="688"/>
    </row>
    <row r="181" spans="2:45" ht="15" customHeight="1" x14ac:dyDescent="0.35">
      <c r="B181" s="452">
        <v>902.1</v>
      </c>
      <c r="C181" s="13"/>
      <c r="D181" s="13"/>
      <c r="E181" s="13" t="s">
        <v>270</v>
      </c>
      <c r="F181" s="13" t="s">
        <v>121</v>
      </c>
      <c r="G181" s="13"/>
      <c r="H181" s="550"/>
      <c r="I181" s="108"/>
      <c r="J181" s="19"/>
      <c r="K181" s="19" t="s">
        <v>121</v>
      </c>
      <c r="L181" s="707" t="s">
        <v>3912</v>
      </c>
      <c r="M181" s="690">
        <v>1</v>
      </c>
      <c r="N181" s="4"/>
      <c r="O181" s="696">
        <f>M181*S181*W181</f>
        <v>0</v>
      </c>
      <c r="P181" t="b">
        <v>0</v>
      </c>
      <c r="Q181" t="b">
        <v>1</v>
      </c>
      <c r="R181" t="b">
        <v>0</v>
      </c>
      <c r="S181" t="b">
        <f>W179=TRUE</f>
        <v>1</v>
      </c>
      <c r="T181" t="b">
        <f>AND(NOT(S181),W181=TRUE)</f>
        <v>0</v>
      </c>
      <c r="W181" s="17"/>
      <c r="X181" s="688"/>
      <c r="AC181" t="b">
        <f>OR(AD181:AE181)</f>
        <v>0</v>
      </c>
      <c r="AD181" t="b">
        <f>T181</f>
        <v>0</v>
      </c>
      <c r="AE181" t="b">
        <f>AND(R181,NOT(W181))</f>
        <v>0</v>
      </c>
      <c r="AL181" t="str">
        <f>SUBSTITUTE(SUBSTITUTE(SUBSTITUTE("dpa"&amp;$B181&amp;$C181&amp;$D181&amp;$E181&amp;$F181,".","_"),"(","_"),")","")</f>
        <v>dpa902_1_1_a</v>
      </c>
      <c r="AM181">
        <f>M181</f>
        <v>1</v>
      </c>
      <c r="AN181" t="str">
        <f>SUBSTITUTE(SUBSTITUTE(SUBSTITUTE("dpc"&amp;$B181&amp;$C181&amp;$D181&amp;$E181&amp;$F181,".","_"),"(","_"),")","")</f>
        <v>dpc902_1_1_a</v>
      </c>
      <c r="AO181">
        <f>O181</f>
        <v>0</v>
      </c>
      <c r="AP181" t="str">
        <f>SUBSTITUTE(SUBSTITUTE(SUBSTITUTE("dch"&amp;$B181&amp;$C181&amp;$D181&amp;$E181&amp;$F181,".","_"),"(","_"),")","")</f>
        <v>dch902_1_1_a</v>
      </c>
      <c r="AQ181">
        <f>W181</f>
        <v>0</v>
      </c>
      <c r="AR181" t="str">
        <f>SUBSTITUTE(SUBSTITUTE(SUBSTITUTE("dnt"&amp;$B181&amp;$C181&amp;$D181&amp;$E181&amp;$F181,".","_"),"(","_"),")","")</f>
        <v>dnt902_1_1_a</v>
      </c>
      <c r="AS181">
        <f>X181</f>
        <v>0</v>
      </c>
    </row>
    <row r="182" spans="2:45" x14ac:dyDescent="0.35">
      <c r="B182" s="452">
        <v>902.1</v>
      </c>
      <c r="C182" s="13"/>
      <c r="D182" s="13"/>
      <c r="E182" s="13" t="s">
        <v>270</v>
      </c>
      <c r="F182" s="13"/>
      <c r="G182" s="13"/>
      <c r="H182" s="550"/>
      <c r="I182" s="108"/>
      <c r="J182" s="148"/>
      <c r="K182" s="155"/>
      <c r="L182" s="709"/>
      <c r="M182" s="691"/>
      <c r="N182" s="4"/>
      <c r="O182" s="697"/>
      <c r="X182" s="688"/>
    </row>
    <row r="183" spans="2:45" x14ac:dyDescent="0.35">
      <c r="B183" s="452">
        <v>902.1</v>
      </c>
      <c r="C183" s="13"/>
      <c r="D183" s="13"/>
      <c r="E183" s="13" t="s">
        <v>4583</v>
      </c>
      <c r="F183" s="13"/>
      <c r="G183" s="13"/>
      <c r="H183" s="550"/>
      <c r="I183" s="108"/>
      <c r="J183" s="19" t="s">
        <v>272</v>
      </c>
      <c r="K183" s="4"/>
      <c r="L183" s="707" t="s">
        <v>3434</v>
      </c>
      <c r="M183" s="740" t="str">
        <f>IF(R183,"Mandatory","N/A")</f>
        <v>Mandatory</v>
      </c>
      <c r="N183" s="4"/>
      <c r="O183" s="85"/>
      <c r="P183" t="b">
        <v>0</v>
      </c>
      <c r="Q183" t="b">
        <v>1</v>
      </c>
      <c r="R183" t="b">
        <f>S183</f>
        <v>1</v>
      </c>
      <c r="S183" t="b">
        <v>1</v>
      </c>
      <c r="T183" t="b">
        <v>0</v>
      </c>
      <c r="U183" t="str">
        <f>SUBSTITUTE(SUBSTITUTE(SUBSTITUTE("dd"&amp;B183&amp;C183&amp;D183&amp;E183&amp;F183,".","_"),"(","_"),")","")</f>
        <v>dd902_1_2_</v>
      </c>
      <c r="W183" s="9" t="s">
        <v>3239</v>
      </c>
      <c r="X183" s="688"/>
      <c r="AC183" t="b">
        <f>OR(AD183:AE183)</f>
        <v>0</v>
      </c>
      <c r="AD183" t="b">
        <f>T183</f>
        <v>0</v>
      </c>
      <c r="AE183" t="b">
        <f>AND(R183,OR(W183="Not Met",W183=""))</f>
        <v>0</v>
      </c>
      <c r="AL183" t="str">
        <f>SUBSTITUTE(SUBSTITUTE(SUBSTITUTE("dpa"&amp;$B183&amp;$C183&amp;$D183&amp;$E183&amp;$F183,".","_"),"(","_"),")","")</f>
        <v>dpa902_1_2_</v>
      </c>
      <c r="AM183" t="str">
        <f>M183</f>
        <v>Mandatory</v>
      </c>
      <c r="AP183" t="str">
        <f>SUBSTITUTE(SUBSTITUTE(SUBSTITUTE("dch"&amp;$B183&amp;$C183&amp;$D183&amp;$E183&amp;$F183,".","_"),"(","_"),")","")</f>
        <v>dch902_1_2_</v>
      </c>
      <c r="AQ183" t="str">
        <f>W183</f>
        <v>Met</v>
      </c>
      <c r="AR183" t="str">
        <f>SUBSTITUTE(SUBSTITUTE(SUBSTITUTE("dnt"&amp;$B183&amp;$C183&amp;$D183&amp;$E183&amp;$F183,".","_"),"(","_"),")","")</f>
        <v>dnt902_1_2_</v>
      </c>
      <c r="AS183">
        <f>X183</f>
        <v>0</v>
      </c>
    </row>
    <row r="184" spans="2:45" x14ac:dyDescent="0.35">
      <c r="B184" s="452">
        <v>902.1</v>
      </c>
      <c r="C184" s="13"/>
      <c r="D184" s="13"/>
      <c r="E184" s="13" t="s">
        <v>272</v>
      </c>
      <c r="F184" s="13"/>
      <c r="G184" s="13"/>
      <c r="H184" s="550"/>
      <c r="I184" s="108"/>
      <c r="J184" s="148"/>
      <c r="K184" s="155"/>
      <c r="L184" s="709"/>
      <c r="M184" s="741"/>
      <c r="N184" s="4"/>
      <c r="O184" s="342"/>
      <c r="X184" s="688"/>
    </row>
    <row r="185" spans="2:45" x14ac:dyDescent="0.35">
      <c r="B185" s="452">
        <v>902.1</v>
      </c>
      <c r="C185" s="13"/>
      <c r="D185" s="13"/>
      <c r="E185" s="13" t="s">
        <v>4584</v>
      </c>
      <c r="F185" s="13"/>
      <c r="G185" s="13"/>
      <c r="H185" s="550"/>
      <c r="I185" s="108"/>
      <c r="J185" s="19" t="s">
        <v>274</v>
      </c>
      <c r="K185" s="4"/>
      <c r="L185" s="707" t="s">
        <v>3435</v>
      </c>
      <c r="M185" s="690">
        <v>8</v>
      </c>
      <c r="N185" s="4"/>
      <c r="O185" s="696">
        <f>M185*S185*W185</f>
        <v>8</v>
      </c>
      <c r="P185" t="b">
        <v>0</v>
      </c>
      <c r="Q185" t="b">
        <v>1</v>
      </c>
      <c r="R185" t="b">
        <v>0</v>
      </c>
      <c r="S185" t="b">
        <v>1</v>
      </c>
      <c r="T185" t="b">
        <v>0</v>
      </c>
      <c r="W185" s="17" t="b">
        <v>1</v>
      </c>
      <c r="X185" s="688"/>
      <c r="AC185" t="b">
        <f>OR(AD185:AE185)</f>
        <v>0</v>
      </c>
      <c r="AD185" t="b">
        <f>T185</f>
        <v>0</v>
      </c>
      <c r="AE185" t="b">
        <f>AND(R185,NOT(W185))</f>
        <v>0</v>
      </c>
      <c r="AL185" t="str">
        <f>SUBSTITUTE(SUBSTITUTE(SUBSTITUTE("dpa"&amp;$B185&amp;$C185&amp;$D185&amp;$E185&amp;$F185,".","_"),"(","_"),")","")</f>
        <v>dpa902_1_3_</v>
      </c>
      <c r="AM185">
        <f>M185</f>
        <v>8</v>
      </c>
      <c r="AN185" t="str">
        <f>SUBSTITUTE(SUBSTITUTE(SUBSTITUTE("dpc"&amp;$B185&amp;$C185&amp;$D185&amp;$E185&amp;$F185,".","_"),"(","_"),")","")</f>
        <v>dpc902_1_3_</v>
      </c>
      <c r="AO185">
        <f>O185</f>
        <v>8</v>
      </c>
      <c r="AP185" t="str">
        <f>SUBSTITUTE(SUBSTITUTE(SUBSTITUTE("dch"&amp;$B185&amp;$C185&amp;$D185&amp;$E185&amp;$F185,".","_"),"(","_"),")","")</f>
        <v>dch902_1_3_</v>
      </c>
      <c r="AQ185" t="b">
        <f>W185</f>
        <v>1</v>
      </c>
      <c r="AR185" t="str">
        <f>SUBSTITUTE(SUBSTITUTE(SUBSTITUTE("dnt"&amp;$B185&amp;$C185&amp;$D185&amp;$E185&amp;$F185,".","_"),"(","_"),")","")</f>
        <v>dnt902_1_3_</v>
      </c>
      <c r="AS185">
        <f>X185</f>
        <v>0</v>
      </c>
    </row>
    <row r="186" spans="2:45" x14ac:dyDescent="0.35">
      <c r="B186" s="452">
        <v>902.1</v>
      </c>
      <c r="C186" s="13"/>
      <c r="D186" s="13"/>
      <c r="E186" s="13" t="s">
        <v>274</v>
      </c>
      <c r="F186" s="13"/>
      <c r="G186" s="13"/>
      <c r="H186" s="550"/>
      <c r="I186" s="108"/>
      <c r="J186" s="19"/>
      <c r="K186" s="4"/>
      <c r="L186" s="707"/>
      <c r="M186" s="690"/>
      <c r="N186" s="4"/>
      <c r="O186" s="696"/>
      <c r="X186" s="688"/>
    </row>
    <row r="187" spans="2:45" x14ac:dyDescent="0.35">
      <c r="B187" s="452">
        <v>902.1</v>
      </c>
      <c r="C187" s="13"/>
      <c r="D187" s="13"/>
      <c r="E187" s="13" t="s">
        <v>274</v>
      </c>
      <c r="F187" s="13"/>
      <c r="G187" s="13"/>
      <c r="H187" s="550"/>
      <c r="I187" s="353"/>
      <c r="J187" s="155"/>
      <c r="K187" s="155"/>
      <c r="L187" s="709"/>
      <c r="M187" s="691"/>
      <c r="N187" s="155"/>
      <c r="O187" s="697"/>
      <c r="P187" s="119"/>
      <c r="Q187" s="119"/>
      <c r="R187" s="119"/>
      <c r="S187" s="119"/>
      <c r="T187" s="119"/>
      <c r="U187" s="119"/>
      <c r="V187" s="119"/>
      <c r="W187" s="119"/>
      <c r="X187" s="688"/>
    </row>
    <row r="188" spans="2:45" x14ac:dyDescent="0.35">
      <c r="B188" s="452" t="s">
        <v>3436</v>
      </c>
      <c r="C188" s="13"/>
      <c r="D188" s="13"/>
      <c r="E188" s="13"/>
      <c r="F188" s="13"/>
      <c r="G188" s="13"/>
      <c r="H188" s="550"/>
      <c r="I188" s="135" t="s">
        <v>3436</v>
      </c>
      <c r="J188" s="136"/>
      <c r="K188" s="136"/>
      <c r="L188" s="753" t="s">
        <v>3437</v>
      </c>
      <c r="M188" s="712" t="s">
        <v>3438</v>
      </c>
      <c r="N188" s="136"/>
      <c r="O188" s="713">
        <f>MIN(11,IF(W189+W191=0,0,5+2*(W189+W191-1)))</f>
        <v>0</v>
      </c>
      <c r="P188" s="138"/>
      <c r="Q188" s="138"/>
      <c r="R188" s="138"/>
      <c r="S188" s="138"/>
      <c r="T188" s="138"/>
      <c r="U188" s="138"/>
      <c r="V188" s="138"/>
      <c r="W188" s="138" t="s">
        <v>3913</v>
      </c>
      <c r="X188" s="688"/>
      <c r="AL188" t="str">
        <f>SUBSTITUTE(SUBSTITUTE(SUBSTITUTE("dpa"&amp;$B188&amp;$C188&amp;$D188&amp;$E188&amp;$F188,".","_"),"(","_"),")","")</f>
        <v>dpa902_1_2</v>
      </c>
      <c r="AM188" t="str">
        <f>M188</f>
        <v>11 Max</v>
      </c>
      <c r="AN188" t="str">
        <f>SUBSTITUTE(SUBSTITUTE(SUBSTITUTE("dpc"&amp;$B188&amp;$C188&amp;$D188&amp;$E188&amp;$F188,".","_"),"(","_"),")","")</f>
        <v>dpc902_1_2</v>
      </c>
      <c r="AO188">
        <f>O188</f>
        <v>0</v>
      </c>
      <c r="AR188" t="str">
        <f>SUBSTITUTE(SUBSTITUTE(SUBSTITUTE("dnt"&amp;$B188&amp;$C188&amp;$D188&amp;$E188&amp;$F188,".","_"),"(","_"),")","")</f>
        <v>dnt902_1_2</v>
      </c>
      <c r="AS188">
        <f>X188</f>
        <v>0</v>
      </c>
    </row>
    <row r="189" spans="2:45" x14ac:dyDescent="0.35">
      <c r="B189" s="452" t="s">
        <v>3436</v>
      </c>
      <c r="C189" s="13"/>
      <c r="D189" s="13"/>
      <c r="E189" s="13"/>
      <c r="F189" s="13"/>
      <c r="G189" s="13"/>
      <c r="H189" s="550"/>
      <c r="I189" s="108"/>
      <c r="J189" s="4"/>
      <c r="K189" s="4"/>
      <c r="L189" s="706"/>
      <c r="M189" s="690"/>
      <c r="N189" s="4"/>
      <c r="O189" s="696"/>
      <c r="P189" t="b">
        <v>0</v>
      </c>
      <c r="Q189" t="b">
        <v>1</v>
      </c>
      <c r="R189" t="b">
        <v>0</v>
      </c>
      <c r="S189" t="b">
        <v>1</v>
      </c>
      <c r="T189" t="b">
        <v>0</v>
      </c>
      <c r="W189" s="330"/>
      <c r="X189" s="688"/>
      <c r="AC189" t="b">
        <f>OR(AD189:AE189)</f>
        <v>0</v>
      </c>
      <c r="AD189" t="b">
        <f>T189</f>
        <v>0</v>
      </c>
      <c r="AE189" t="b">
        <f>AND(R189,OR(W189="Not Met",W189=""))</f>
        <v>0</v>
      </c>
      <c r="AP189" t="str">
        <f>SUBSTITUTE(SUBSTITUTE(SUBSTITUTE("dch"&amp;$B189&amp;$C189&amp;$D189&amp;$E189&amp;$F189,".","_"),"(","_"),")","")</f>
        <v>dch902_1_2</v>
      </c>
      <c r="AQ189" s="628">
        <f>W189</f>
        <v>0</v>
      </c>
    </row>
    <row r="190" spans="2:45" ht="15" customHeight="1" x14ac:dyDescent="0.35">
      <c r="B190" s="452" t="s">
        <v>3436</v>
      </c>
      <c r="C190" s="13"/>
      <c r="D190" s="13"/>
      <c r="E190" s="13" t="s">
        <v>270</v>
      </c>
      <c r="F190" s="13"/>
      <c r="G190" s="13"/>
      <c r="H190" s="550"/>
      <c r="I190" s="108"/>
      <c r="J190" s="148" t="s">
        <v>270</v>
      </c>
      <c r="K190" s="155"/>
      <c r="L190" s="214" t="s">
        <v>3439</v>
      </c>
      <c r="M190" s="198">
        <v>5</v>
      </c>
      <c r="N190" s="4"/>
      <c r="O190" s="85"/>
      <c r="W190" t="s">
        <v>3914</v>
      </c>
      <c r="X190" s="688"/>
      <c r="AL190" t="str">
        <f>SUBSTITUTE(SUBSTITUTE(SUBSTITUTE("dpa"&amp;$B190&amp;$C190&amp;$D190&amp;$E190&amp;$F190,".","_"),"(","_"),")","")</f>
        <v>dpa902_1_2_1</v>
      </c>
      <c r="AM190">
        <f>M190</f>
        <v>5</v>
      </c>
    </row>
    <row r="191" spans="2:45" x14ac:dyDescent="0.35">
      <c r="B191" s="452" t="s">
        <v>3436</v>
      </c>
      <c r="C191" s="13"/>
      <c r="D191" s="13"/>
      <c r="E191" s="13" t="s">
        <v>272</v>
      </c>
      <c r="F191" s="13"/>
      <c r="G191" s="13"/>
      <c r="H191" s="550"/>
      <c r="I191" s="353"/>
      <c r="J191" s="148" t="s">
        <v>272</v>
      </c>
      <c r="K191" s="155"/>
      <c r="L191" s="214" t="s">
        <v>3440</v>
      </c>
      <c r="M191" s="198">
        <v>2</v>
      </c>
      <c r="N191" s="155"/>
      <c r="O191" s="342"/>
      <c r="P191" t="b">
        <v>0</v>
      </c>
      <c r="Q191" t="b">
        <v>1</v>
      </c>
      <c r="R191" s="119" t="b">
        <v>0</v>
      </c>
      <c r="S191" s="119" t="b">
        <v>1</v>
      </c>
      <c r="T191" s="119" t="b">
        <v>0</v>
      </c>
      <c r="U191" s="119"/>
      <c r="V191" s="119"/>
      <c r="W191" s="357"/>
      <c r="X191" s="688"/>
      <c r="AC191" t="b">
        <f>OR(AD191:AE191)</f>
        <v>0</v>
      </c>
      <c r="AD191" t="b">
        <f>T191</f>
        <v>0</v>
      </c>
      <c r="AE191" t="b">
        <f>AND(R191,OR(W191="Not Met",W191=""))</f>
        <v>0</v>
      </c>
      <c r="AL191" t="str">
        <f>SUBSTITUTE(SUBSTITUTE(SUBSTITUTE("dpa"&amp;$B191&amp;$C191&amp;$D191&amp;$E191&amp;$F191,".","_"),"(","_"),")","")</f>
        <v>dpa902_1_2_2</v>
      </c>
      <c r="AM191">
        <f>M191</f>
        <v>2</v>
      </c>
      <c r="AP191" t="str">
        <f t="shared" ref="AP191:AP192" si="6">SUBSTITUTE(SUBSTITUTE(SUBSTITUTE("dch"&amp;$B191&amp;$C191&amp;$D191&amp;$E191&amp;$F191,".","_"),"(","_"),")","")</f>
        <v>dch902_1_2_2</v>
      </c>
      <c r="AQ191" s="629">
        <f>W191</f>
        <v>0</v>
      </c>
    </row>
    <row r="192" spans="2:45" x14ac:dyDescent="0.35">
      <c r="B192" s="452" t="s">
        <v>3441</v>
      </c>
      <c r="C192" s="13"/>
      <c r="D192" s="13"/>
      <c r="E192" s="13"/>
      <c r="F192" s="13"/>
      <c r="G192" s="13"/>
      <c r="H192" s="550"/>
      <c r="I192" s="135" t="s">
        <v>3441</v>
      </c>
      <c r="J192" s="136"/>
      <c r="K192" s="136"/>
      <c r="L192" s="753" t="s">
        <v>3442</v>
      </c>
      <c r="M192" s="712">
        <v>8</v>
      </c>
      <c r="N192" s="136"/>
      <c r="O192" s="713">
        <f>M192*S192*W192</f>
        <v>0</v>
      </c>
      <c r="P192" t="b">
        <v>0</v>
      </c>
      <c r="Q192" t="b">
        <v>1</v>
      </c>
      <c r="R192" s="138" t="b">
        <v>0</v>
      </c>
      <c r="S192" s="138" t="b">
        <v>1</v>
      </c>
      <c r="T192" s="138" t="b">
        <v>0</v>
      </c>
      <c r="U192" s="138"/>
      <c r="V192" s="138"/>
      <c r="W192" s="17"/>
      <c r="X192" s="688"/>
      <c r="AC192" t="b">
        <f>OR(AD192:AE192)</f>
        <v>0</v>
      </c>
      <c r="AD192" t="b">
        <f>T192</f>
        <v>0</v>
      </c>
      <c r="AE192" t="b">
        <f>AND(R192,NOT(W192))</f>
        <v>0</v>
      </c>
      <c r="AL192" t="str">
        <f>SUBSTITUTE(SUBSTITUTE(SUBSTITUTE("dpa"&amp;$B192&amp;$C192&amp;$D192&amp;$E192&amp;$F192,".","_"),"(","_"),")","")</f>
        <v>dpa902_1_3</v>
      </c>
      <c r="AM192">
        <f>M192</f>
        <v>8</v>
      </c>
      <c r="AN192" t="str">
        <f>SUBSTITUTE(SUBSTITUTE(SUBSTITUTE("dpc"&amp;$B192&amp;$C192&amp;$D192&amp;$E192&amp;$F192,".","_"),"(","_"),")","")</f>
        <v>dpc902_1_3</v>
      </c>
      <c r="AO192">
        <f>O192</f>
        <v>0</v>
      </c>
      <c r="AP192" t="str">
        <f t="shared" si="6"/>
        <v>dch902_1_3</v>
      </c>
      <c r="AQ192">
        <f>W192</f>
        <v>0</v>
      </c>
      <c r="AR192" t="str">
        <f>SUBSTITUTE(SUBSTITUTE(SUBSTITUTE("dnt"&amp;$B192&amp;$C192&amp;$D192&amp;$E192&amp;$F192,".","_"),"(","_"),")","")</f>
        <v>dnt902_1_3</v>
      </c>
      <c r="AS192">
        <f>X192</f>
        <v>0</v>
      </c>
    </row>
    <row r="193" spans="2:45" x14ac:dyDescent="0.35">
      <c r="B193" s="452" t="s">
        <v>3441</v>
      </c>
      <c r="C193" s="13"/>
      <c r="D193" s="13"/>
      <c r="E193" s="13"/>
      <c r="F193" s="13"/>
      <c r="G193" s="13"/>
      <c r="H193" s="550"/>
      <c r="I193" s="108"/>
      <c r="J193" s="4"/>
      <c r="K193" s="4"/>
      <c r="L193" s="706"/>
      <c r="M193" s="690"/>
      <c r="N193" s="4"/>
      <c r="O193" s="696"/>
      <c r="X193" s="688"/>
    </row>
    <row r="194" spans="2:45" ht="15" customHeight="1" x14ac:dyDescent="0.35">
      <c r="B194" s="452" t="s">
        <v>3441</v>
      </c>
      <c r="C194" s="13"/>
      <c r="D194" s="13"/>
      <c r="E194" s="13"/>
      <c r="F194" s="13" t="s">
        <v>121</v>
      </c>
      <c r="G194" s="13"/>
      <c r="H194" s="550"/>
      <c r="I194" s="108"/>
      <c r="J194" s="4"/>
      <c r="K194" s="19" t="s">
        <v>121</v>
      </c>
      <c r="L194" s="104" t="s">
        <v>3443</v>
      </c>
      <c r="M194" s="43"/>
      <c r="N194" s="4"/>
      <c r="O194" s="85"/>
      <c r="X194" s="688"/>
    </row>
    <row r="195" spans="2:45" ht="15" customHeight="1" x14ac:dyDescent="0.35">
      <c r="B195" s="452" t="s">
        <v>3441</v>
      </c>
      <c r="C195" s="13"/>
      <c r="D195" s="13"/>
      <c r="E195" s="13"/>
      <c r="F195" s="13" t="s">
        <v>122</v>
      </c>
      <c r="G195" s="13"/>
      <c r="H195" s="550"/>
      <c r="I195" s="353"/>
      <c r="J195" s="155"/>
      <c r="K195" s="148" t="s">
        <v>122</v>
      </c>
      <c r="L195" s="214" t="s">
        <v>3444</v>
      </c>
      <c r="M195" s="198"/>
      <c r="N195" s="155"/>
      <c r="O195" s="342"/>
      <c r="P195" s="119"/>
      <c r="Q195" s="119"/>
      <c r="R195" s="119"/>
      <c r="S195" s="119"/>
      <c r="T195" s="119"/>
      <c r="U195" s="119"/>
      <c r="V195" s="119"/>
      <c r="W195" s="119"/>
      <c r="X195" s="688"/>
    </row>
    <row r="196" spans="2:45" x14ac:dyDescent="0.35">
      <c r="B196" s="452" t="s">
        <v>3445</v>
      </c>
      <c r="C196" s="13"/>
      <c r="D196" s="13"/>
      <c r="E196" s="13"/>
      <c r="F196" s="13"/>
      <c r="G196" s="13"/>
      <c r="H196" s="550"/>
      <c r="I196" s="135" t="s">
        <v>3445</v>
      </c>
      <c r="J196" s="136"/>
      <c r="K196" s="136"/>
      <c r="L196" s="358" t="s">
        <v>3446</v>
      </c>
      <c r="M196" s="317" t="s">
        <v>568</v>
      </c>
      <c r="N196" s="136"/>
      <c r="O196" s="189">
        <f>MIN(12,M197*S198*W198+M199*S200*W200)</f>
        <v>4</v>
      </c>
      <c r="P196" s="138"/>
      <c r="Q196" s="138"/>
      <c r="R196" s="138"/>
      <c r="S196" s="138"/>
      <c r="T196" s="138"/>
      <c r="U196" s="138"/>
      <c r="V196" s="138"/>
      <c r="W196" s="138"/>
      <c r="X196" s="688" t="s">
        <v>4850</v>
      </c>
      <c r="AL196" t="str">
        <f>SUBSTITUTE(SUBSTITUTE(SUBSTITUTE("dpa"&amp;$B196&amp;$C196&amp;$D196&amp;$E196&amp;$F196,".","_"),"(","_"),")","")</f>
        <v>dpa902_1_4</v>
      </c>
      <c r="AM196" t="str">
        <f>M196</f>
        <v>12 Max</v>
      </c>
      <c r="AN196" t="str">
        <f>SUBSTITUTE(SUBSTITUTE(SUBSTITUTE("dpc"&amp;$B196&amp;$C196&amp;$D196&amp;$E196&amp;$F196,".","_"),"(","_"),")","")</f>
        <v>dpc902_1_4</v>
      </c>
      <c r="AO196">
        <f>O196</f>
        <v>4</v>
      </c>
      <c r="AR196" t="str">
        <f>SUBSTITUTE(SUBSTITUTE(SUBSTITUTE("dnt"&amp;$B196&amp;$C196&amp;$D196&amp;$E196&amp;$F196,".","_"),"(","_"),")","")</f>
        <v>dnt902_1_4</v>
      </c>
      <c r="AS196" t="str">
        <f>X196</f>
        <v>Panasonic Exhaust Ventilation Fan WhisperValue DC FV-0510VSC1, FV0510VSCL1</v>
      </c>
    </row>
    <row r="197" spans="2:45" ht="15" customHeight="1" x14ac:dyDescent="0.35">
      <c r="B197" s="452" t="s">
        <v>3445</v>
      </c>
      <c r="C197" s="13"/>
      <c r="D197" s="13"/>
      <c r="E197" s="13" t="s">
        <v>270</v>
      </c>
      <c r="F197" s="13"/>
      <c r="G197" s="13"/>
      <c r="H197" s="550"/>
      <c r="I197" s="108"/>
      <c r="J197" s="19" t="s">
        <v>270</v>
      </c>
      <c r="K197" s="4"/>
      <c r="L197" s="104" t="s">
        <v>3915</v>
      </c>
      <c r="M197" s="690">
        <v>2</v>
      </c>
      <c r="N197" s="4"/>
      <c r="O197" s="85"/>
      <c r="W197" t="s">
        <v>4023</v>
      </c>
      <c r="X197" s="688"/>
      <c r="AL197" t="str">
        <f>SUBSTITUTE(SUBSTITUTE(SUBSTITUTE("dpa"&amp;$B197&amp;$C197&amp;$D197&amp;$E197&amp;$F197,".","_"),"(","_"),")","")</f>
        <v>dpa902_1_4_1</v>
      </c>
      <c r="AM197">
        <f>M197</f>
        <v>2</v>
      </c>
    </row>
    <row r="198" spans="2:45" x14ac:dyDescent="0.35">
      <c r="B198" s="452" t="s">
        <v>3445</v>
      </c>
      <c r="C198" s="13"/>
      <c r="D198" s="13"/>
      <c r="E198" s="13" t="s">
        <v>270</v>
      </c>
      <c r="F198" s="13"/>
      <c r="G198" s="13"/>
      <c r="H198" s="550"/>
      <c r="I198" s="108"/>
      <c r="J198" s="148"/>
      <c r="K198" s="155"/>
      <c r="L198" s="165" t="s">
        <v>3447</v>
      </c>
      <c r="M198" s="691"/>
      <c r="N198" s="4"/>
      <c r="O198" s="85"/>
      <c r="P198" t="b">
        <v>0</v>
      </c>
      <c r="Q198" t="b">
        <v>1</v>
      </c>
      <c r="R198" t="b">
        <v>0</v>
      </c>
      <c r="S198" t="b">
        <v>1</v>
      </c>
      <c r="T198" t="b">
        <v>0</v>
      </c>
      <c r="W198" s="331">
        <v>2</v>
      </c>
      <c r="X198" s="688"/>
      <c r="AC198" t="b">
        <f>OR(AD198:AE198)</f>
        <v>0</v>
      </c>
      <c r="AD198" t="b">
        <f>T198</f>
        <v>0</v>
      </c>
      <c r="AE198" t="b">
        <f>AND(R198,OR(W198="Not Met",W198=""))</f>
        <v>0</v>
      </c>
      <c r="AP198" t="str">
        <f>SUBSTITUTE(SUBSTITUTE(SUBSTITUTE("dch"&amp;$B198&amp;$C198&amp;$D198&amp;$E198&amp;$F198,".","_"),"(","_"),")","")</f>
        <v>dch902_1_4_1</v>
      </c>
      <c r="AQ198" s="630">
        <f>W198</f>
        <v>2</v>
      </c>
    </row>
    <row r="199" spans="2:45" x14ac:dyDescent="0.35">
      <c r="B199" s="452" t="s">
        <v>3445</v>
      </c>
      <c r="C199" s="13"/>
      <c r="D199" s="13"/>
      <c r="E199" s="13" t="s">
        <v>272</v>
      </c>
      <c r="F199" s="13"/>
      <c r="G199" s="13"/>
      <c r="H199" s="550"/>
      <c r="I199" s="108"/>
      <c r="J199" s="19" t="s">
        <v>272</v>
      </c>
      <c r="K199" s="4"/>
      <c r="L199" s="104" t="s">
        <v>3448</v>
      </c>
      <c r="M199" s="690">
        <v>3</v>
      </c>
      <c r="N199" s="4"/>
      <c r="O199" s="85"/>
      <c r="X199" s="688"/>
      <c r="AL199" t="str">
        <f>SUBSTITUTE(SUBSTITUTE(SUBSTITUTE("dpa"&amp;$B199&amp;$C199&amp;$D199&amp;$E199&amp;$F199,".","_"),"(","_"),")","")</f>
        <v>dpa902_1_4_2</v>
      </c>
      <c r="AM199">
        <f>M199</f>
        <v>3</v>
      </c>
    </row>
    <row r="200" spans="2:45" x14ac:dyDescent="0.35">
      <c r="B200" s="452" t="s">
        <v>3445</v>
      </c>
      <c r="C200" s="13"/>
      <c r="D200" s="13"/>
      <c r="E200" s="13" t="s">
        <v>272</v>
      </c>
      <c r="F200" s="13"/>
      <c r="G200" s="13"/>
      <c r="H200" s="550"/>
      <c r="I200" s="353"/>
      <c r="J200" s="155"/>
      <c r="K200" s="155"/>
      <c r="L200" s="165" t="s">
        <v>3447</v>
      </c>
      <c r="M200" s="691"/>
      <c r="N200" s="155"/>
      <c r="O200" s="342"/>
      <c r="P200" t="b">
        <v>0</v>
      </c>
      <c r="Q200" t="b">
        <v>1</v>
      </c>
      <c r="R200" s="119" t="b">
        <v>0</v>
      </c>
      <c r="S200" s="119" t="b">
        <v>1</v>
      </c>
      <c r="T200" s="119" t="b">
        <v>0</v>
      </c>
      <c r="U200" s="119"/>
      <c r="V200" s="119"/>
      <c r="W200" s="331"/>
      <c r="X200" s="688"/>
      <c r="AC200" t="b">
        <f>OR(AD200:AE200)</f>
        <v>0</v>
      </c>
      <c r="AD200" t="b">
        <f>T200</f>
        <v>0</v>
      </c>
      <c r="AE200" t="b">
        <f>AND(R200,OR(W200="Not Met",W200=""))</f>
        <v>0</v>
      </c>
      <c r="AP200" t="str">
        <f>SUBSTITUTE(SUBSTITUTE(SUBSTITUTE("dch"&amp;$B200&amp;$C200&amp;$D200&amp;$E200&amp;$F200,".","_"),"(","_"),")","")</f>
        <v>dch902_1_4_2</v>
      </c>
      <c r="AQ200" s="630">
        <f>W200</f>
        <v>0</v>
      </c>
    </row>
    <row r="201" spans="2:45" x14ac:dyDescent="0.35">
      <c r="B201" s="452" t="s">
        <v>3449</v>
      </c>
      <c r="C201" s="13"/>
      <c r="D201" s="13"/>
      <c r="E201" s="13"/>
      <c r="F201" s="13"/>
      <c r="G201" s="13"/>
      <c r="H201" s="550"/>
      <c r="I201" s="32" t="s">
        <v>3449</v>
      </c>
      <c r="J201" s="4"/>
      <c r="K201" s="4"/>
      <c r="L201" s="706" t="s">
        <v>3450</v>
      </c>
      <c r="M201" s="690">
        <v>3</v>
      </c>
      <c r="N201" s="4"/>
      <c r="O201" s="696">
        <f>M201*W203*W205*W207</f>
        <v>0</v>
      </c>
      <c r="AL201" t="str">
        <f>SUBSTITUTE(SUBSTITUTE(SUBSTITUTE("dpa"&amp;$B201&amp;$C201&amp;$D201&amp;$E201&amp;$F201,".","_"),"(","_"),")","")</f>
        <v>dpa902_1_5</v>
      </c>
      <c r="AM201">
        <f>M201</f>
        <v>3</v>
      </c>
      <c r="AN201" t="str">
        <f>SUBSTITUTE(SUBSTITUTE(SUBSTITUTE("dpc"&amp;$B201&amp;$C201&amp;$D201&amp;$E201&amp;$F201,".","_"),"(","_"),")","")</f>
        <v>dpc902_1_5</v>
      </c>
      <c r="AO201">
        <f>O201</f>
        <v>0</v>
      </c>
    </row>
    <row r="202" spans="2:45" x14ac:dyDescent="0.35">
      <c r="B202" s="452" t="s">
        <v>3449</v>
      </c>
      <c r="C202" s="13"/>
      <c r="D202" s="13"/>
      <c r="E202" s="13"/>
      <c r="F202" s="13"/>
      <c r="G202" s="13"/>
      <c r="H202" s="550"/>
      <c r="I202" s="108"/>
      <c r="J202" s="4"/>
      <c r="K202" s="4"/>
      <c r="L202" s="706"/>
      <c r="M202" s="690"/>
      <c r="N202" s="4"/>
      <c r="O202" s="696"/>
    </row>
    <row r="203" spans="2:45" x14ac:dyDescent="0.35">
      <c r="B203" s="452" t="s">
        <v>3449</v>
      </c>
      <c r="C203" s="13"/>
      <c r="D203" s="13"/>
      <c r="E203" s="13" t="s">
        <v>270</v>
      </c>
      <c r="F203" s="13"/>
      <c r="G203" s="13"/>
      <c r="H203" s="550"/>
      <c r="I203" s="108"/>
      <c r="J203" s="19" t="s">
        <v>270</v>
      </c>
      <c r="K203" s="4"/>
      <c r="L203" s="707" t="s">
        <v>3451</v>
      </c>
      <c r="M203" s="43"/>
      <c r="N203" s="4"/>
      <c r="O203" s="85"/>
      <c r="P203" t="b">
        <v>0</v>
      </c>
      <c r="Q203" t="b">
        <v>1</v>
      </c>
      <c r="R203" t="b">
        <v>0</v>
      </c>
      <c r="S203" t="b">
        <v>1</v>
      </c>
      <c r="T203" t="b">
        <v>0</v>
      </c>
      <c r="W203" s="17"/>
      <c r="X203" s="688"/>
      <c r="AC203" t="b">
        <f>OR(AD203:AE203)</f>
        <v>0</v>
      </c>
      <c r="AD203" t="b">
        <f>T203</f>
        <v>0</v>
      </c>
      <c r="AE203" t="b">
        <f>AND(R203,NOT(W203))</f>
        <v>0</v>
      </c>
      <c r="AP203" t="str">
        <f>SUBSTITUTE(SUBSTITUTE(SUBSTITUTE("dch"&amp;$B203&amp;$C203&amp;$D203&amp;$E203&amp;$F203,".","_"),"(","_"),")","")</f>
        <v>dch902_1_5_1</v>
      </c>
      <c r="AQ203">
        <f>W203</f>
        <v>0</v>
      </c>
      <c r="AR203" t="str">
        <f>SUBSTITUTE(SUBSTITUTE(SUBSTITUTE("dnt"&amp;$B203&amp;$C203&amp;$D203&amp;$E203&amp;$F203,".","_"),"(","_"),")","")</f>
        <v>dnt902_1_5_1</v>
      </c>
      <c r="AS203">
        <f>X203</f>
        <v>0</v>
      </c>
    </row>
    <row r="204" spans="2:45" x14ac:dyDescent="0.35">
      <c r="B204" s="452" t="s">
        <v>3449</v>
      </c>
      <c r="C204" s="13"/>
      <c r="D204" s="13"/>
      <c r="E204" s="13" t="s">
        <v>270</v>
      </c>
      <c r="F204" s="13"/>
      <c r="G204" s="13"/>
      <c r="H204" s="550"/>
      <c r="I204" s="108"/>
      <c r="J204" s="148"/>
      <c r="K204" s="155"/>
      <c r="L204" s="709"/>
      <c r="M204" s="43"/>
      <c r="N204" s="4"/>
      <c r="O204" s="85"/>
      <c r="X204" s="688"/>
    </row>
    <row r="205" spans="2:45" x14ac:dyDescent="0.35">
      <c r="B205" s="452" t="s">
        <v>3449</v>
      </c>
      <c r="C205" s="13"/>
      <c r="D205" s="13"/>
      <c r="E205" s="13" t="s">
        <v>272</v>
      </c>
      <c r="F205" s="13"/>
      <c r="G205" s="13"/>
      <c r="H205" s="550"/>
      <c r="I205" s="108"/>
      <c r="J205" s="19" t="s">
        <v>272</v>
      </c>
      <c r="K205" s="4"/>
      <c r="L205" s="707" t="s">
        <v>3452</v>
      </c>
      <c r="M205" s="43"/>
      <c r="N205" s="4"/>
      <c r="O205" s="85"/>
      <c r="P205" t="b">
        <v>0</v>
      </c>
      <c r="Q205" t="b">
        <v>1</v>
      </c>
      <c r="R205" t="b">
        <v>0</v>
      </c>
      <c r="S205" t="b">
        <v>1</v>
      </c>
      <c r="T205" t="b">
        <v>0</v>
      </c>
      <c r="W205" s="17"/>
      <c r="X205" s="688"/>
      <c r="AC205" t="b">
        <f>OR(AD205:AE205)</f>
        <v>0</v>
      </c>
      <c r="AD205" t="b">
        <f>T205</f>
        <v>0</v>
      </c>
      <c r="AE205" t="b">
        <f>AND(R205,NOT(W205))</f>
        <v>0</v>
      </c>
      <c r="AP205" t="str">
        <f>SUBSTITUTE(SUBSTITUTE(SUBSTITUTE("dch"&amp;$B205&amp;$C205&amp;$D205&amp;$E205&amp;$F205,".","_"),"(","_"),")","")</f>
        <v>dch902_1_5_2</v>
      </c>
      <c r="AQ205">
        <f>W205</f>
        <v>0</v>
      </c>
      <c r="AR205" t="str">
        <f>SUBSTITUTE(SUBSTITUTE(SUBSTITUTE("dnt"&amp;$B205&amp;$C205&amp;$D205&amp;$E205&amp;$F205,".","_"),"(","_"),")","")</f>
        <v>dnt902_1_5_2</v>
      </c>
      <c r="AS205">
        <f>X205</f>
        <v>0</v>
      </c>
    </row>
    <row r="206" spans="2:45" x14ac:dyDescent="0.35">
      <c r="B206" s="452" t="s">
        <v>3449</v>
      </c>
      <c r="C206" s="13"/>
      <c r="D206" s="13"/>
      <c r="E206" s="13" t="s">
        <v>272</v>
      </c>
      <c r="F206" s="13"/>
      <c r="G206" s="13"/>
      <c r="H206" s="550"/>
      <c r="I206" s="108"/>
      <c r="J206" s="155"/>
      <c r="K206" s="155"/>
      <c r="L206" s="709"/>
      <c r="M206" s="43"/>
      <c r="N206" s="4"/>
      <c r="O206" s="85"/>
      <c r="X206" s="688"/>
    </row>
    <row r="207" spans="2:45" x14ac:dyDescent="0.35">
      <c r="B207" s="452" t="s">
        <v>3449</v>
      </c>
      <c r="C207" s="13"/>
      <c r="D207" s="13"/>
      <c r="E207" s="13" t="s">
        <v>274</v>
      </c>
      <c r="F207" s="13"/>
      <c r="G207" s="13"/>
      <c r="H207" s="550"/>
      <c r="I207" s="108"/>
      <c r="J207" s="19" t="s">
        <v>274</v>
      </c>
      <c r="K207" s="4"/>
      <c r="L207" s="707" t="s">
        <v>3453</v>
      </c>
      <c r="M207" s="43"/>
      <c r="N207" s="4"/>
      <c r="O207" s="85"/>
      <c r="P207" t="b">
        <v>0</v>
      </c>
      <c r="Q207" t="b">
        <v>1</v>
      </c>
      <c r="R207" t="b">
        <v>0</v>
      </c>
      <c r="S207" t="b">
        <v>1</v>
      </c>
      <c r="T207" t="b">
        <v>0</v>
      </c>
      <c r="W207" s="17"/>
      <c r="X207" s="688"/>
      <c r="AC207" t="b">
        <f>OR(AD207:AE207)</f>
        <v>0</v>
      </c>
      <c r="AD207" t="b">
        <f>T207</f>
        <v>0</v>
      </c>
      <c r="AE207" t="b">
        <f>AND(R207,NOT(W207))</f>
        <v>0</v>
      </c>
      <c r="AP207" t="str">
        <f>SUBSTITUTE(SUBSTITUTE(SUBSTITUTE("dch"&amp;$B207&amp;$C207&amp;$D207&amp;$E207&amp;$F207,".","_"),"(","_"),")","")</f>
        <v>dch902_1_5_3</v>
      </c>
      <c r="AQ207">
        <f>W207</f>
        <v>0</v>
      </c>
      <c r="AR207" t="str">
        <f>SUBSTITUTE(SUBSTITUTE(SUBSTITUTE("dnt"&amp;$B207&amp;$C207&amp;$D207&amp;$E207&amp;$F207,".","_"),"(","_"),")","")</f>
        <v>dnt902_1_5_3</v>
      </c>
      <c r="AS207">
        <f>X207</f>
        <v>0</v>
      </c>
    </row>
    <row r="208" spans="2:45" x14ac:dyDescent="0.35">
      <c r="B208" s="452" t="s">
        <v>3449</v>
      </c>
      <c r="C208" s="13"/>
      <c r="D208" s="13"/>
      <c r="E208" s="13" t="s">
        <v>274</v>
      </c>
      <c r="F208" s="13"/>
      <c r="G208" s="13"/>
      <c r="H208" s="550"/>
      <c r="I208" s="108"/>
      <c r="J208" s="4"/>
      <c r="K208" s="4"/>
      <c r="L208" s="707"/>
      <c r="M208" s="43"/>
      <c r="N208" s="4"/>
      <c r="O208" s="85"/>
      <c r="X208" s="688"/>
    </row>
    <row r="209" spans="2:45" ht="15" thickBot="1" x14ac:dyDescent="0.4">
      <c r="B209" s="452" t="s">
        <v>3449</v>
      </c>
      <c r="C209" s="13"/>
      <c r="D209" s="13"/>
      <c r="E209" s="13" t="s">
        <v>274</v>
      </c>
      <c r="F209" s="13"/>
      <c r="G209" s="13"/>
      <c r="H209" s="550"/>
      <c r="I209" s="328"/>
      <c r="J209" s="183"/>
      <c r="K209" s="183"/>
      <c r="L209" s="708"/>
      <c r="M209" s="270"/>
      <c r="N209" s="183"/>
      <c r="O209" s="184"/>
      <c r="P209" s="58"/>
      <c r="Q209" s="58"/>
      <c r="R209" s="58"/>
      <c r="S209" s="58"/>
      <c r="T209" s="58"/>
      <c r="U209" s="58"/>
      <c r="V209" s="58"/>
      <c r="W209" s="58"/>
      <c r="X209" s="689"/>
    </row>
    <row r="210" spans="2:45" ht="15" thickTop="1" x14ac:dyDescent="0.35">
      <c r="B210" s="452">
        <v>902.2</v>
      </c>
      <c r="C210" s="13"/>
      <c r="D210" s="13"/>
      <c r="E210" s="13"/>
      <c r="F210" s="13"/>
      <c r="G210" s="13"/>
      <c r="H210" s="550"/>
      <c r="I210" s="123">
        <v>902.2</v>
      </c>
      <c r="J210" s="124"/>
      <c r="K210" s="124"/>
      <c r="L210" s="222" t="s">
        <v>3454</v>
      </c>
      <c r="M210" s="199"/>
      <c r="N210" s="124"/>
      <c r="O210" s="341"/>
      <c r="P210" s="62"/>
      <c r="Q210" s="62"/>
      <c r="R210" s="62"/>
      <c r="S210" s="62"/>
      <c r="T210" s="62"/>
      <c r="U210" s="62"/>
      <c r="V210" s="62"/>
      <c r="W210" s="62"/>
      <c r="X210" s="62"/>
    </row>
    <row r="211" spans="2:45" x14ac:dyDescent="0.35">
      <c r="B211" s="452" t="s">
        <v>3917</v>
      </c>
      <c r="C211" s="13"/>
      <c r="D211" s="13"/>
      <c r="E211" s="13"/>
      <c r="F211" s="13"/>
      <c r="G211" s="13"/>
      <c r="H211" s="550"/>
      <c r="I211" s="32" t="s">
        <v>3917</v>
      </c>
      <c r="J211" s="4"/>
      <c r="K211" s="4"/>
      <c r="L211" s="706" t="s">
        <v>4594</v>
      </c>
      <c r="M211" s="750" t="str">
        <f>IF(R211,"Mandatory 
(ACH50 is &lt; 5.0)","N/A")</f>
        <v>Mandatory 
(ACH50 is &lt; 5.0)</v>
      </c>
      <c r="N211" s="4"/>
      <c r="O211" s="696">
        <f ca="1">IFERROR(INDEX({3,6,7,8},MATCH(W211,INDIRECT(U211),0)),0)*S211</f>
        <v>3</v>
      </c>
      <c r="P211" t="b">
        <v>0</v>
      </c>
      <c r="Q211" t="b">
        <v>1</v>
      </c>
      <c r="R211" t="b">
        <f>OR(AND(S212&gt;0,S212&lt;5), AND(S213&gt;0,S213&lt;0.28))</f>
        <v>1</v>
      </c>
      <c r="S211" t="b">
        <v>1</v>
      </c>
      <c r="T211" t="b">
        <f>AND(NOT(S211),LEN(W211)&gt;0)</f>
        <v>0</v>
      </c>
      <c r="U211" t="str">
        <f>SUBSTITUTE(SUBSTITUTE(SUBSTITUTE("dd"&amp;B211&amp;C211&amp;D211&amp;E211&amp;F211,".","_"),"(","_"),")","")</f>
        <v>dd902_2_1</v>
      </c>
      <c r="W211" s="488" t="s">
        <v>270</v>
      </c>
      <c r="X211" s="688" t="s">
        <v>4851</v>
      </c>
      <c r="AC211" t="b">
        <f>OR(AD211:AE211)</f>
        <v>0</v>
      </c>
      <c r="AD211" t="b">
        <f>T211</f>
        <v>0</v>
      </c>
      <c r="AE211" t="b">
        <f>AND(R211,OR(W211="Not Met",W211=""))</f>
        <v>0</v>
      </c>
      <c r="AL211" t="str">
        <f>SUBSTITUTE(SUBSTITUTE(SUBSTITUTE("dpa"&amp;$B211&amp;$C211&amp;$D211&amp;$E211&amp;$F211,".","_"),"(","_"),")","")</f>
        <v>dpa902_2_1</v>
      </c>
      <c r="AM211" t="str">
        <f>M211</f>
        <v>Mandatory 
(ACH50 is &lt; 5.0)</v>
      </c>
      <c r="AN211" t="str">
        <f>SUBSTITUTE(SUBSTITUTE(SUBSTITUTE("dpc"&amp;$B211&amp;$C211&amp;$D211&amp;$E211&amp;$F211,".","_"),"(","_"),")","")</f>
        <v>dpc902_2_1</v>
      </c>
      <c r="AO211">
        <f ca="1">O211</f>
        <v>3</v>
      </c>
      <c r="AP211" t="str">
        <f>SUBSTITUTE(SUBSTITUTE(SUBSTITUTE("dch"&amp;$B211&amp;$C211&amp;$D211&amp;$E211&amp;$F211,".","_"),"(","_"),")","")</f>
        <v>dch902_2_1</v>
      </c>
      <c r="AQ211" t="str">
        <f>W211</f>
        <v>(1)</v>
      </c>
      <c r="AR211" t="str">
        <f>SUBSTITUTE(SUBSTITUTE(SUBSTITUTE("dnt"&amp;$B211&amp;$C211&amp;$D211&amp;$E211&amp;$F211,".","_"),"(","_"),")","")</f>
        <v>dnt902_2_1</v>
      </c>
      <c r="AS211" t="str">
        <f>X211</f>
        <v>Panasonic Exhaust Ventilation Fan. Whisper ValueDC FV-0510VSC1, FV0510VSCL1</v>
      </c>
    </row>
    <row r="212" spans="2:45" x14ac:dyDescent="0.35">
      <c r="B212" s="452" t="s">
        <v>3917</v>
      </c>
      <c r="C212" s="13"/>
      <c r="D212" s="13"/>
      <c r="E212" s="13"/>
      <c r="F212" s="13"/>
      <c r="G212" s="13"/>
      <c r="H212" s="550"/>
      <c r="I212" s="108"/>
      <c r="J212" s="4"/>
      <c r="K212" s="4"/>
      <c r="L212" s="706"/>
      <c r="M212" s="750"/>
      <c r="N212" s="4"/>
      <c r="O212" s="696"/>
      <c r="R212" s="285" t="s">
        <v>4024</v>
      </c>
      <c r="S212" s="332">
        <f>MAX('Ch7'!W531,'Ch7'!W75)</f>
        <v>3</v>
      </c>
      <c r="X212" s="688"/>
    </row>
    <row r="213" spans="2:45" x14ac:dyDescent="0.35">
      <c r="B213" s="452" t="s">
        <v>3917</v>
      </c>
      <c r="C213" s="13"/>
      <c r="D213" s="13"/>
      <c r="E213" s="13"/>
      <c r="F213" s="13"/>
      <c r="G213" s="13"/>
      <c r="H213" s="550"/>
      <c r="I213" s="108"/>
      <c r="J213" s="4"/>
      <c r="K213" s="4"/>
      <c r="L213" s="706"/>
      <c r="M213" s="750"/>
      <c r="N213" s="4"/>
      <c r="O213" s="696"/>
      <c r="R213" s="285" t="s">
        <v>4694</v>
      </c>
      <c r="S213" s="332">
        <f>MAX('Ch7'!W533,'Ch7'!W78)</f>
        <v>0</v>
      </c>
      <c r="X213" s="688"/>
    </row>
    <row r="214" spans="2:45" x14ac:dyDescent="0.35">
      <c r="B214" s="452" t="s">
        <v>3917</v>
      </c>
      <c r="C214" s="13"/>
      <c r="D214" s="13"/>
      <c r="E214" s="13" t="s">
        <v>270</v>
      </c>
      <c r="F214" s="13"/>
      <c r="G214" s="13"/>
      <c r="H214" s="550"/>
      <c r="I214" s="108"/>
      <c r="J214" s="19" t="s">
        <v>270</v>
      </c>
      <c r="K214" s="4"/>
      <c r="L214" s="723" t="s">
        <v>3455</v>
      </c>
      <c r="M214" s="690">
        <v>3</v>
      </c>
      <c r="N214" s="4"/>
      <c r="O214" s="85"/>
      <c r="X214" s="688"/>
      <c r="AL214" t="str">
        <f>SUBSTITUTE(SUBSTITUTE(SUBSTITUTE("dpa"&amp;$B214&amp;$C214&amp;$D214&amp;$E214&amp;$F214,".","_"),"(","_"),")","")</f>
        <v>dpa902_2_1_1</v>
      </c>
      <c r="AM214">
        <f>M214</f>
        <v>3</v>
      </c>
    </row>
    <row r="215" spans="2:45" x14ac:dyDescent="0.35">
      <c r="B215" s="452" t="s">
        <v>3917</v>
      </c>
      <c r="C215" s="13"/>
      <c r="D215" s="13"/>
      <c r="E215" s="13" t="s">
        <v>270</v>
      </c>
      <c r="F215" s="13"/>
      <c r="G215" s="13"/>
      <c r="H215" s="550"/>
      <c r="I215" s="108"/>
      <c r="J215" s="148"/>
      <c r="K215" s="155"/>
      <c r="L215" s="724"/>
      <c r="M215" s="691"/>
      <c r="N215" s="4"/>
      <c r="O215" s="85"/>
      <c r="X215" s="688"/>
    </row>
    <row r="216" spans="2:45" x14ac:dyDescent="0.35">
      <c r="B216" s="452" t="s">
        <v>3917</v>
      </c>
      <c r="C216" s="13"/>
      <c r="D216" s="13"/>
      <c r="E216" s="13" t="s">
        <v>272</v>
      </c>
      <c r="F216" s="13"/>
      <c r="G216" s="13"/>
      <c r="H216" s="550"/>
      <c r="I216" s="108"/>
      <c r="J216" s="19" t="s">
        <v>272</v>
      </c>
      <c r="K216" s="4"/>
      <c r="L216" s="707" t="s">
        <v>3456</v>
      </c>
      <c r="M216" s="690">
        <v>6</v>
      </c>
      <c r="N216" s="4"/>
      <c r="O216" s="85"/>
      <c r="X216" s="688"/>
      <c r="AL216" t="str">
        <f>SUBSTITUTE(SUBSTITUTE(SUBSTITUTE("dpa"&amp;$B216&amp;$C216&amp;$D216&amp;$E216&amp;$F216,".","_"),"(","_"),")","")</f>
        <v>dpa902_2_1_2</v>
      </c>
      <c r="AM216">
        <f>M216</f>
        <v>6</v>
      </c>
    </row>
    <row r="217" spans="2:45" x14ac:dyDescent="0.35">
      <c r="B217" s="452" t="s">
        <v>3917</v>
      </c>
      <c r="C217" s="13"/>
      <c r="D217" s="13"/>
      <c r="E217" s="13" t="s">
        <v>272</v>
      </c>
      <c r="F217" s="13"/>
      <c r="G217" s="13"/>
      <c r="H217" s="550"/>
      <c r="I217" s="108"/>
      <c r="J217" s="155"/>
      <c r="K217" s="155"/>
      <c r="L217" s="709"/>
      <c r="M217" s="691"/>
      <c r="N217" s="4"/>
      <c r="O217" s="85"/>
      <c r="X217" s="688"/>
    </row>
    <row r="218" spans="2:45" x14ac:dyDescent="0.35">
      <c r="B218" s="452" t="s">
        <v>3917</v>
      </c>
      <c r="C218" s="13"/>
      <c r="D218" s="13"/>
      <c r="E218" s="13" t="s">
        <v>274</v>
      </c>
      <c r="F218" s="13"/>
      <c r="G218" s="13"/>
      <c r="H218" s="550"/>
      <c r="I218" s="108"/>
      <c r="J218" s="148" t="s">
        <v>274</v>
      </c>
      <c r="K218" s="155"/>
      <c r="L218" s="214" t="s">
        <v>3457</v>
      </c>
      <c r="M218" s="198">
        <v>7</v>
      </c>
      <c r="N218" s="4"/>
      <c r="O218" s="85"/>
      <c r="X218" s="688"/>
      <c r="AL218" t="str">
        <f>SUBSTITUTE(SUBSTITUTE(SUBSTITUTE("dpa"&amp;$B218&amp;$C218&amp;$D218&amp;$E218&amp;$F218,".","_"),"(","_"),")","")</f>
        <v>dpa902_2_1_3</v>
      </c>
      <c r="AM218">
        <f>M218</f>
        <v>7</v>
      </c>
    </row>
    <row r="219" spans="2:45" x14ac:dyDescent="0.35">
      <c r="B219" s="452" t="s">
        <v>3917</v>
      </c>
      <c r="C219" s="13"/>
      <c r="D219" s="13"/>
      <c r="E219" s="13" t="s">
        <v>283</v>
      </c>
      <c r="F219" s="13"/>
      <c r="G219" s="13"/>
      <c r="H219" s="550"/>
      <c r="I219" s="353"/>
      <c r="J219" s="148" t="s">
        <v>283</v>
      </c>
      <c r="K219" s="155"/>
      <c r="L219" s="214" t="s">
        <v>3458</v>
      </c>
      <c r="M219" s="198">
        <v>8</v>
      </c>
      <c r="N219" s="155"/>
      <c r="O219" s="342"/>
      <c r="P219" s="119"/>
      <c r="Q219" s="119"/>
      <c r="R219" s="119"/>
      <c r="S219" s="119"/>
      <c r="T219" s="119"/>
      <c r="U219" s="119"/>
      <c r="V219" s="119"/>
      <c r="W219" s="119"/>
      <c r="X219" s="688"/>
      <c r="AL219" t="str">
        <f>SUBSTITUTE(SUBSTITUTE(SUBSTITUTE("dpa"&amp;$B219&amp;$C219&amp;$D219&amp;$E219&amp;$F219,".","_"),"(","_"),")","")</f>
        <v>dpa902_2_1_4</v>
      </c>
      <c r="AM219">
        <f>M219</f>
        <v>8</v>
      </c>
    </row>
    <row r="220" spans="2:45" x14ac:dyDescent="0.35">
      <c r="B220" s="452" t="s">
        <v>3459</v>
      </c>
      <c r="C220" s="13"/>
      <c r="D220" s="13"/>
      <c r="E220" s="13"/>
      <c r="F220" s="13"/>
      <c r="G220" s="13"/>
      <c r="H220" s="550"/>
      <c r="I220" s="135" t="s">
        <v>3459</v>
      </c>
      <c r="J220" s="136"/>
      <c r="K220" s="136"/>
      <c r="L220" s="753" t="s">
        <v>3460</v>
      </c>
      <c r="M220" s="712">
        <v>4</v>
      </c>
      <c r="N220" s="136"/>
      <c r="O220" s="713">
        <f ca="1">M220*S220*W220</f>
        <v>0</v>
      </c>
      <c r="P220" t="b">
        <v>0</v>
      </c>
      <c r="Q220" t="b">
        <v>1</v>
      </c>
      <c r="R220" s="138" t="b">
        <v>0</v>
      </c>
      <c r="S220" s="138" t="b">
        <f ca="1">O211&gt;0</f>
        <v>1</v>
      </c>
      <c r="T220" s="138" t="b">
        <f ca="1">AND(NOT(S220),W220=TRUE)</f>
        <v>0</v>
      </c>
      <c r="U220" s="138"/>
      <c r="V220" s="138"/>
      <c r="W220" s="17"/>
      <c r="X220" s="688"/>
      <c r="AC220" t="b">
        <f ca="1">OR(AD220:AE220)</f>
        <v>0</v>
      </c>
      <c r="AD220" t="b">
        <f ca="1">T220</f>
        <v>0</v>
      </c>
      <c r="AE220" t="b">
        <f>AND(R220,NOT(W220))</f>
        <v>0</v>
      </c>
      <c r="AL220" t="str">
        <f>SUBSTITUTE(SUBSTITUTE(SUBSTITUTE("dpa"&amp;$B220&amp;$C220&amp;$D220&amp;$E220&amp;$F220,".","_"),"(","_"),")","")</f>
        <v>dpa902_2_2</v>
      </c>
      <c r="AM220">
        <f>M220</f>
        <v>4</v>
      </c>
      <c r="AN220" t="str">
        <f>SUBSTITUTE(SUBSTITUTE(SUBSTITUTE("dpc"&amp;$B220&amp;$C220&amp;$D220&amp;$E220&amp;$F220,".","_"),"(","_"),")","")</f>
        <v>dpc902_2_2</v>
      </c>
      <c r="AO220">
        <f ca="1">O220</f>
        <v>0</v>
      </c>
      <c r="AP220" t="str">
        <f>SUBSTITUTE(SUBSTITUTE(SUBSTITUTE("dch"&amp;$B220&amp;$C220&amp;$D220&amp;$E220&amp;$F220,".","_"),"(","_"),")","")</f>
        <v>dch902_2_2</v>
      </c>
      <c r="AQ220">
        <f>W220</f>
        <v>0</v>
      </c>
      <c r="AR220" t="str">
        <f>SUBSTITUTE(SUBSTITUTE(SUBSTITUTE("dnt"&amp;$B220&amp;$C220&amp;$D220&amp;$E220&amp;$F220,".","_"),"(","_"),")","")</f>
        <v>dnt902_2_2</v>
      </c>
      <c r="AS220">
        <f>X220</f>
        <v>0</v>
      </c>
    </row>
    <row r="221" spans="2:45" x14ac:dyDescent="0.35">
      <c r="B221" s="452" t="s">
        <v>3459</v>
      </c>
      <c r="C221" s="13"/>
      <c r="D221" s="13"/>
      <c r="E221" s="13"/>
      <c r="F221" s="13"/>
      <c r="G221" s="13"/>
      <c r="H221" s="550"/>
      <c r="I221" s="353"/>
      <c r="J221" s="155"/>
      <c r="K221" s="155"/>
      <c r="L221" s="739"/>
      <c r="M221" s="691"/>
      <c r="N221" s="155"/>
      <c r="O221" s="697"/>
      <c r="P221" s="119"/>
      <c r="Q221" s="119"/>
      <c r="R221" s="119"/>
      <c r="S221" s="119"/>
      <c r="T221" s="119"/>
      <c r="U221" s="119"/>
      <c r="V221" s="119"/>
      <c r="W221" s="119"/>
      <c r="X221" s="688"/>
    </row>
    <row r="222" spans="2:45" x14ac:dyDescent="0.35">
      <c r="B222" s="452" t="s">
        <v>3461</v>
      </c>
      <c r="C222" s="13"/>
      <c r="D222" s="13"/>
      <c r="E222" s="13"/>
      <c r="F222" s="13"/>
      <c r="G222" s="13"/>
      <c r="H222" s="550"/>
      <c r="I222" s="135" t="s">
        <v>3461</v>
      </c>
      <c r="J222" s="136"/>
      <c r="K222" s="136"/>
      <c r="L222" s="753" t="s">
        <v>3462</v>
      </c>
      <c r="M222" s="712">
        <v>2</v>
      </c>
      <c r="N222" s="136"/>
      <c r="O222" s="713">
        <f>M222*S222*W222</f>
        <v>2</v>
      </c>
      <c r="P222" t="b">
        <v>0</v>
      </c>
      <c r="Q222" t="b">
        <v>1</v>
      </c>
      <c r="R222" s="138" t="b">
        <v>0</v>
      </c>
      <c r="S222" s="138" t="b">
        <f>NOT(OR(AND(AY40=INDEX(ddHDucts,2),AY36=INDEX(ddCDucts,2)),W225))</f>
        <v>1</v>
      </c>
      <c r="T222" s="138" t="b">
        <f>AND(NOT(S222),W222=TRUE)</f>
        <v>0</v>
      </c>
      <c r="U222" s="138"/>
      <c r="V222" s="138"/>
      <c r="W222" s="17" t="b">
        <v>1</v>
      </c>
      <c r="X222" s="688"/>
      <c r="AC222" t="b">
        <f>OR(AD222:AE222)</f>
        <v>0</v>
      </c>
      <c r="AD222" t="b">
        <f>T222</f>
        <v>0</v>
      </c>
      <c r="AE222" t="b">
        <f>AND(R222,NOT(W222))</f>
        <v>0</v>
      </c>
      <c r="AL222" t="str">
        <f>SUBSTITUTE(SUBSTITUTE(SUBSTITUTE("dpa"&amp;$B222&amp;$C222&amp;$D222&amp;$E222&amp;$F222,".","_"),"(","_"),")","")</f>
        <v>dpa902_2_3</v>
      </c>
      <c r="AM222">
        <f>M222</f>
        <v>2</v>
      </c>
      <c r="AN222" t="str">
        <f>SUBSTITUTE(SUBSTITUTE(SUBSTITUTE("dpc"&amp;$B222&amp;$C222&amp;$D222&amp;$E222&amp;$F222,".","_"),"(","_"),")","")</f>
        <v>dpc902_2_3</v>
      </c>
      <c r="AO222">
        <f>O222</f>
        <v>2</v>
      </c>
      <c r="AP222" t="str">
        <f>SUBSTITUTE(SUBSTITUTE(SUBSTITUTE("dch"&amp;$B222&amp;$C222&amp;$D222&amp;$E222&amp;$F222,".","_"),"(","_"),")","")</f>
        <v>dch902_2_3</v>
      </c>
      <c r="AQ222" t="b">
        <f>W222</f>
        <v>1</v>
      </c>
      <c r="AR222" t="str">
        <f>SUBSTITUTE(SUBSTITUTE(SUBSTITUTE("dnt"&amp;$B222&amp;$C222&amp;$D222&amp;$E222&amp;$F222,".","_"),"(","_"),")","")</f>
        <v>dnt902_2_3</v>
      </c>
      <c r="AS222">
        <f>X222</f>
        <v>0</v>
      </c>
    </row>
    <row r="223" spans="2:45" x14ac:dyDescent="0.35">
      <c r="B223" s="452" t="s">
        <v>3461</v>
      </c>
      <c r="C223" s="13"/>
      <c r="D223" s="13"/>
      <c r="E223" s="13"/>
      <c r="F223" s="13"/>
      <c r="G223" s="13"/>
      <c r="H223" s="550"/>
      <c r="I223" s="108"/>
      <c r="J223" s="4"/>
      <c r="K223" s="4"/>
      <c r="L223" s="706"/>
      <c r="M223" s="690"/>
      <c r="N223" s="4"/>
      <c r="O223" s="696"/>
      <c r="X223" s="688"/>
    </row>
    <row r="224" spans="2:45" x14ac:dyDescent="0.35">
      <c r="B224" s="452" t="s">
        <v>3461</v>
      </c>
      <c r="C224" s="13"/>
      <c r="D224" s="13"/>
      <c r="E224" s="13"/>
      <c r="F224" s="13"/>
      <c r="G224" s="13"/>
      <c r="H224" s="550"/>
      <c r="I224" s="353"/>
      <c r="J224" s="155"/>
      <c r="K224" s="155"/>
      <c r="L224" s="739"/>
      <c r="M224" s="691"/>
      <c r="N224" s="155"/>
      <c r="O224" s="697"/>
      <c r="P224" s="119"/>
      <c r="Q224" s="119"/>
      <c r="R224" s="119"/>
      <c r="S224" s="119"/>
      <c r="T224" s="119"/>
      <c r="U224" s="119"/>
      <c r="V224" s="119"/>
      <c r="W224" s="119"/>
      <c r="X224" s="688"/>
    </row>
    <row r="225" spans="2:45" x14ac:dyDescent="0.35">
      <c r="B225" s="452" t="s">
        <v>3463</v>
      </c>
      <c r="C225" s="13"/>
      <c r="D225" s="13"/>
      <c r="E225" s="13"/>
      <c r="F225" s="13"/>
      <c r="G225" s="13"/>
      <c r="H225" s="550"/>
      <c r="I225" s="32" t="s">
        <v>3463</v>
      </c>
      <c r="J225" s="4"/>
      <c r="K225" s="4"/>
      <c r="L225" s="706" t="s">
        <v>3464</v>
      </c>
      <c r="M225" s="690">
        <v>3</v>
      </c>
      <c r="N225" s="4"/>
      <c r="O225" s="696">
        <f>M225*S225*W225</f>
        <v>0</v>
      </c>
      <c r="P225" t="b">
        <v>0</v>
      </c>
      <c r="Q225" t="b">
        <v>1</v>
      </c>
      <c r="R225" t="b">
        <v>0</v>
      </c>
      <c r="S225" t="b">
        <f>NOT(OR(AND(AY40=INDEX(ddHDucts,2),AY36=INDEX(ddCDucts,2)),W222))</f>
        <v>0</v>
      </c>
      <c r="T225" t="b">
        <f>AND(NOT(S225),W225=TRUE)</f>
        <v>0</v>
      </c>
      <c r="W225" s="77"/>
      <c r="X225" s="700"/>
      <c r="AC225" t="b">
        <f>OR(AD225:AE225)</f>
        <v>0</v>
      </c>
      <c r="AD225" t="b">
        <f>T225</f>
        <v>0</v>
      </c>
      <c r="AE225" t="b">
        <f>AND(R225,NOT(W225))</f>
        <v>0</v>
      </c>
      <c r="AL225" t="str">
        <f>SUBSTITUTE(SUBSTITUTE(SUBSTITUTE("dpa"&amp;$B225&amp;$C225&amp;$D225&amp;$E225&amp;$F225,".","_"),"(","_"),")","")</f>
        <v>dpa902_2_4</v>
      </c>
      <c r="AM225">
        <f>M225</f>
        <v>3</v>
      </c>
      <c r="AN225" t="str">
        <f>SUBSTITUTE(SUBSTITUTE(SUBSTITUTE("dpc"&amp;$B225&amp;$C225&amp;$D225&amp;$E225&amp;$F225,".","_"),"(","_"),")","")</f>
        <v>dpc902_2_4</v>
      </c>
      <c r="AO225">
        <f>O225</f>
        <v>0</v>
      </c>
      <c r="AP225" t="str">
        <f>SUBSTITUTE(SUBSTITUTE(SUBSTITUTE("dch"&amp;$B225&amp;$C225&amp;$D225&amp;$E225&amp;$F225,".","_"),"(","_"),")","")</f>
        <v>dch902_2_4</v>
      </c>
      <c r="AQ225">
        <f>W225</f>
        <v>0</v>
      </c>
      <c r="AR225" t="str">
        <f>SUBSTITUTE(SUBSTITUTE(SUBSTITUTE("dnt"&amp;$B225&amp;$C225&amp;$D225&amp;$E225&amp;$F225,".","_"),"(","_"),")","")</f>
        <v>dnt902_2_4</v>
      </c>
      <c r="AS225">
        <f>X225</f>
        <v>0</v>
      </c>
    </row>
    <row r="226" spans="2:45" x14ac:dyDescent="0.35">
      <c r="B226" s="452" t="s">
        <v>3463</v>
      </c>
      <c r="C226" s="13"/>
      <c r="D226" s="13"/>
      <c r="E226" s="13"/>
      <c r="F226" s="13"/>
      <c r="G226" s="13"/>
      <c r="H226" s="550"/>
      <c r="I226" s="108"/>
      <c r="J226" s="4"/>
      <c r="K226" s="4"/>
      <c r="L226" s="706"/>
      <c r="M226" s="690"/>
      <c r="N226" s="4"/>
      <c r="O226" s="696"/>
      <c r="X226" s="688"/>
    </row>
    <row r="227" spans="2:45" ht="15" thickBot="1" x14ac:dyDescent="0.4">
      <c r="B227" s="452" t="s">
        <v>3463</v>
      </c>
      <c r="C227" s="13"/>
      <c r="D227" s="13"/>
      <c r="E227" s="13"/>
      <c r="F227" s="13"/>
      <c r="G227" s="13"/>
      <c r="H227" s="550"/>
      <c r="I227" s="328"/>
      <c r="J227" s="183"/>
      <c r="K227" s="183"/>
      <c r="L227" s="710"/>
      <c r="M227" s="693"/>
      <c r="N227" s="183"/>
      <c r="O227" s="695"/>
      <c r="P227" s="58"/>
      <c r="Q227" s="58"/>
      <c r="R227" s="58"/>
      <c r="S227" s="58"/>
      <c r="T227" s="58"/>
      <c r="U227" s="58"/>
      <c r="V227" s="58"/>
      <c r="W227" s="58"/>
      <c r="X227" s="689"/>
    </row>
    <row r="228" spans="2:45" ht="15" thickTop="1" x14ac:dyDescent="0.35">
      <c r="B228" s="452">
        <v>902.3</v>
      </c>
      <c r="C228" s="13"/>
      <c r="D228" s="13"/>
      <c r="E228" s="13"/>
      <c r="F228" s="13"/>
      <c r="G228" s="13"/>
      <c r="H228" s="550"/>
      <c r="I228" s="123">
        <v>902.3</v>
      </c>
      <c r="J228" s="124"/>
      <c r="K228" s="124"/>
      <c r="L228" s="711" t="s">
        <v>3465</v>
      </c>
      <c r="M228" s="199"/>
      <c r="N228" s="124"/>
      <c r="O228" s="341"/>
      <c r="P228" s="62"/>
      <c r="Q228" s="62"/>
      <c r="R228" s="62"/>
      <c r="S228" s="62"/>
      <c r="T228" s="62"/>
      <c r="U228" s="62"/>
      <c r="V228" s="62"/>
      <c r="W228" s="62"/>
      <c r="X228" s="687"/>
      <c r="AR228" t="str">
        <f>SUBSTITUTE(SUBSTITUTE(SUBSTITUTE("dnt"&amp;$B228&amp;$C228&amp;$D228&amp;$E228&amp;$F228,".","_"),"(","_"),")","")</f>
        <v>dnt902_3</v>
      </c>
      <c r="AS228">
        <f>X228</f>
        <v>0</v>
      </c>
    </row>
    <row r="229" spans="2:45" x14ac:dyDescent="0.35">
      <c r="B229" s="452">
        <v>902.3</v>
      </c>
      <c r="C229" s="13"/>
      <c r="D229" s="13"/>
      <c r="E229" s="13"/>
      <c r="F229" s="13"/>
      <c r="G229" s="13"/>
      <c r="H229" s="550"/>
      <c r="I229" s="108"/>
      <c r="J229" s="4"/>
      <c r="K229" s="4"/>
      <c r="L229" s="706"/>
      <c r="M229" s="43"/>
      <c r="N229" s="4"/>
      <c r="O229" s="85"/>
      <c r="X229" s="688"/>
    </row>
    <row r="230" spans="2:45" x14ac:dyDescent="0.35">
      <c r="B230" s="452">
        <v>902.3</v>
      </c>
      <c r="C230" s="13"/>
      <c r="D230" s="13"/>
      <c r="E230" s="13" t="s">
        <v>270</v>
      </c>
      <c r="F230" s="13"/>
      <c r="G230" s="13"/>
      <c r="H230" s="550"/>
      <c r="I230" s="108"/>
      <c r="J230" s="19" t="s">
        <v>270</v>
      </c>
      <c r="K230" s="4"/>
      <c r="L230" s="104" t="s">
        <v>3466</v>
      </c>
      <c r="M230" s="556" t="str">
        <f>IF(hidODTropicalFormula = "Tropical", "N/A",IF(R230,"Mandatory","N/A"))</f>
        <v>N/A</v>
      </c>
      <c r="N230" s="4"/>
      <c r="O230" s="85">
        <f ca="1">IFERROR(INDEX({7,10},MATCH(W230,INDIRECT(U230),0)),0)*S230</f>
        <v>0</v>
      </c>
      <c r="P230" t="b">
        <v>1</v>
      </c>
      <c r="Q230" t="b">
        <v>1</v>
      </c>
      <c r="R230" t="b">
        <f>S230</f>
        <v>0</v>
      </c>
      <c r="S230" t="b">
        <f>BE16=1</f>
        <v>0</v>
      </c>
      <c r="T230" t="b">
        <f>AND(NOT(S230),LEN(W230)&gt;0)</f>
        <v>0</v>
      </c>
      <c r="U230" t="str">
        <f>SUBSTITUTE(SUBSTITUTE(SUBSTITUTE("dd"&amp;B230&amp;C230&amp;D230&amp;E230&amp;F230,".","_"),"(","_"),")","")</f>
        <v>dd902_3_1</v>
      </c>
      <c r="W230" s="9"/>
      <c r="X230" s="688"/>
      <c r="AC230" t="b">
        <f>OR(AD230:AE230)</f>
        <v>0</v>
      </c>
      <c r="AD230" t="b">
        <f>T230</f>
        <v>0</v>
      </c>
      <c r="AE230" t="b">
        <f>AND(R230,OR(W230="Not Met",W230=""))</f>
        <v>0</v>
      </c>
      <c r="AL230" t="str">
        <f>SUBSTITUTE(SUBSTITUTE(SUBSTITUTE("dpa"&amp;$B230&amp;$C230&amp;$D230&amp;$E230&amp;$F230,".","_"),"(","_"),")","")</f>
        <v>dpa902_3_1</v>
      </c>
      <c r="AM230" t="str">
        <f>M230</f>
        <v>N/A</v>
      </c>
      <c r="AN230" t="str">
        <f>SUBSTITUTE(SUBSTITUTE(SUBSTITUTE("dpc"&amp;$B230&amp;$C230&amp;$D230&amp;$E230&amp;$F230,".","_"),"(","_"),")","")</f>
        <v>dpc902_3_1</v>
      </c>
      <c r="AO230">
        <f ca="1">O230</f>
        <v>0</v>
      </c>
      <c r="AP230" t="str">
        <f>SUBSTITUTE(SUBSTITUTE(SUBSTITUTE("dch"&amp;$B230&amp;$C230&amp;$D230&amp;$E230&amp;$F230,".","_"),"(","_"),")","")</f>
        <v>dch902_3_1</v>
      </c>
      <c r="AQ230">
        <f>W230</f>
        <v>0</v>
      </c>
    </row>
    <row r="231" spans="2:45" x14ac:dyDescent="0.35">
      <c r="B231" s="452">
        <v>902.3</v>
      </c>
      <c r="C231" s="13"/>
      <c r="D231" s="13"/>
      <c r="E231" s="13" t="s">
        <v>270</v>
      </c>
      <c r="F231" s="13" t="s">
        <v>121</v>
      </c>
      <c r="G231" s="13"/>
      <c r="H231" s="550"/>
      <c r="I231" s="108"/>
      <c r="J231" s="4"/>
      <c r="K231" s="19" t="s">
        <v>121</v>
      </c>
      <c r="L231" s="104" t="s">
        <v>3467</v>
      </c>
      <c r="M231" s="43">
        <v>7</v>
      </c>
      <c r="N231" s="4"/>
      <c r="O231" s="85"/>
      <c r="X231" s="688"/>
      <c r="AL231" t="str">
        <f>SUBSTITUTE(SUBSTITUTE(SUBSTITUTE("dpa"&amp;$B231&amp;$C231&amp;$D231&amp;$E231&amp;$F231,".","_"),"(","_"),")","")</f>
        <v>dpa902_3_1_a</v>
      </c>
      <c r="AM231">
        <f>M231</f>
        <v>7</v>
      </c>
    </row>
    <row r="232" spans="2:45" x14ac:dyDescent="0.35">
      <c r="B232" s="452">
        <v>902.3</v>
      </c>
      <c r="C232" s="13"/>
      <c r="D232" s="13"/>
      <c r="E232" s="13" t="s">
        <v>270</v>
      </c>
      <c r="F232" s="13" t="s">
        <v>122</v>
      </c>
      <c r="G232" s="13"/>
      <c r="H232" s="550"/>
      <c r="I232" s="108"/>
      <c r="J232" s="155"/>
      <c r="K232" s="148" t="s">
        <v>122</v>
      </c>
      <c r="L232" s="214" t="s">
        <v>3468</v>
      </c>
      <c r="M232" s="198">
        <v>10</v>
      </c>
      <c r="N232" s="4"/>
      <c r="O232" s="85"/>
      <c r="X232" s="688"/>
      <c r="AL232" t="str">
        <f>SUBSTITUTE(SUBSTITUTE(SUBSTITUTE("dpa"&amp;$B232&amp;$C232&amp;$D232&amp;$E232&amp;$F232,".","_"),"(","_"),")","")</f>
        <v>dpa902_3_1_b</v>
      </c>
      <c r="AM232">
        <f>M232</f>
        <v>10</v>
      </c>
    </row>
    <row r="233" spans="2:45" x14ac:dyDescent="0.35">
      <c r="B233" s="452">
        <v>902.3</v>
      </c>
      <c r="C233" s="13"/>
      <c r="D233" s="13"/>
      <c r="E233" s="13" t="s">
        <v>272</v>
      </c>
      <c r="F233" s="13"/>
      <c r="G233" s="13"/>
      <c r="H233" s="550"/>
      <c r="I233" s="108"/>
      <c r="J233" s="19" t="s">
        <v>272</v>
      </c>
      <c r="K233" s="4"/>
      <c r="L233" s="104" t="s">
        <v>3469</v>
      </c>
      <c r="M233" s="43"/>
      <c r="N233" s="4"/>
      <c r="O233" s="85"/>
      <c r="X233" s="688"/>
    </row>
    <row r="234" spans="2:45" ht="15" thickBot="1" x14ac:dyDescent="0.4">
      <c r="B234" s="452">
        <v>902.3</v>
      </c>
      <c r="C234" s="13"/>
      <c r="D234" s="13"/>
      <c r="E234" s="13" t="s">
        <v>272</v>
      </c>
      <c r="F234" s="13" t="s">
        <v>121</v>
      </c>
      <c r="G234" s="13"/>
      <c r="H234" s="550"/>
      <c r="I234" s="328"/>
      <c r="J234" s="183"/>
      <c r="K234" s="133" t="s">
        <v>121</v>
      </c>
      <c r="L234" s="223" t="s">
        <v>3470</v>
      </c>
      <c r="M234" s="270">
        <v>7</v>
      </c>
      <c r="N234" s="183"/>
      <c r="O234" s="184">
        <f>M234*S234*W234</f>
        <v>0</v>
      </c>
      <c r="P234" t="b">
        <v>1</v>
      </c>
      <c r="Q234" t="b">
        <v>1</v>
      </c>
      <c r="R234" s="58" t="b">
        <v>0</v>
      </c>
      <c r="S234" s="58" t="b">
        <f>OR(BE16=2,BE16=3)</f>
        <v>1</v>
      </c>
      <c r="T234" s="58" t="b">
        <f>AND(NOT(S234),W234=TRUE)</f>
        <v>0</v>
      </c>
      <c r="U234" s="58"/>
      <c r="V234" s="58"/>
      <c r="W234" s="59"/>
      <c r="X234" s="689"/>
      <c r="AC234" t="b">
        <f>OR(AD234:AE234)</f>
        <v>0</v>
      </c>
      <c r="AD234" t="b">
        <f>T234</f>
        <v>0</v>
      </c>
      <c r="AE234" t="b">
        <f>AND(R234,NOT(W234))</f>
        <v>0</v>
      </c>
      <c r="AL234" t="str">
        <f>SUBSTITUTE(SUBSTITUTE(SUBSTITUTE("dpa"&amp;$B234&amp;$C234&amp;$D234&amp;$E234&amp;$F234,".","_"),"(","_"),")","")</f>
        <v>dpa902_3_2_a</v>
      </c>
      <c r="AM234">
        <f>M234</f>
        <v>7</v>
      </c>
      <c r="AN234" t="str">
        <f>SUBSTITUTE(SUBSTITUTE(SUBSTITUTE("dpc"&amp;$B234&amp;$C234&amp;$D234&amp;$E234&amp;$F234,".","_"),"(","_"),")","")</f>
        <v>dpc902_3_2_a</v>
      </c>
      <c r="AO234">
        <f>O234</f>
        <v>0</v>
      </c>
      <c r="AP234" t="str">
        <f>SUBSTITUTE(SUBSTITUTE(SUBSTITUTE("dch"&amp;$B234&amp;$C234&amp;$D234&amp;$E234&amp;$F234,".","_"),"(","_"),")","")</f>
        <v>dch902_3_2_a</v>
      </c>
      <c r="AQ234">
        <f>W234</f>
        <v>0</v>
      </c>
    </row>
    <row r="235" spans="2:45" ht="15" thickTop="1" x14ac:dyDescent="0.35">
      <c r="B235" s="452">
        <v>902.4</v>
      </c>
      <c r="C235" s="13"/>
      <c r="D235" s="13"/>
      <c r="E235" s="13"/>
      <c r="F235" s="13"/>
      <c r="G235" s="13"/>
      <c r="H235" s="550"/>
      <c r="I235" s="32">
        <v>902.4</v>
      </c>
      <c r="J235" s="4"/>
      <c r="K235" s="4"/>
      <c r="L235" s="706" t="s">
        <v>3471</v>
      </c>
      <c r="M235" s="690">
        <v>3</v>
      </c>
      <c r="N235" s="4"/>
      <c r="O235" s="696">
        <f>M235*S237*IFERROR(OR(W237,W239),0)</f>
        <v>0</v>
      </c>
      <c r="AL235" t="str">
        <f>SUBSTITUTE(SUBSTITUTE(SUBSTITUTE("dpa"&amp;$B235&amp;$C235&amp;$D235&amp;$E235&amp;$F235,".","_"),"(","_"),")","")</f>
        <v>dpa902_4</v>
      </c>
      <c r="AM235">
        <f>M235</f>
        <v>3</v>
      </c>
      <c r="AN235" t="str">
        <f>SUBSTITUTE(SUBSTITUTE(SUBSTITUTE("dpc"&amp;$B235&amp;$C235&amp;$D235&amp;$E235&amp;$F235,".","_"),"(","_"),")","")</f>
        <v>dpc902_4</v>
      </c>
      <c r="AO235">
        <f>O235</f>
        <v>0</v>
      </c>
    </row>
    <row r="236" spans="2:45" x14ac:dyDescent="0.35">
      <c r="B236" s="452">
        <v>902.4</v>
      </c>
      <c r="C236" s="13"/>
      <c r="D236" s="13"/>
      <c r="E236" s="13"/>
      <c r="F236" s="13"/>
      <c r="G236" s="13"/>
      <c r="H236" s="550"/>
      <c r="I236" s="108"/>
      <c r="J236" s="4"/>
      <c r="K236" s="4"/>
      <c r="L236" s="706"/>
      <c r="M236" s="690"/>
      <c r="N236" s="4"/>
      <c r="O236" s="696"/>
    </row>
    <row r="237" spans="2:45" x14ac:dyDescent="0.35">
      <c r="B237" s="452">
        <v>902.4</v>
      </c>
      <c r="C237" s="13"/>
      <c r="D237" s="13"/>
      <c r="E237" s="13" t="s">
        <v>270</v>
      </c>
      <c r="F237" s="13"/>
      <c r="G237" s="13"/>
      <c r="H237" s="550"/>
      <c r="I237" s="108"/>
      <c r="J237" s="19" t="s">
        <v>270</v>
      </c>
      <c r="K237" s="4"/>
      <c r="L237" s="707" t="s">
        <v>3472</v>
      </c>
      <c r="M237" s="43"/>
      <c r="N237" s="4"/>
      <c r="O237" s="85"/>
      <c r="P237" t="b">
        <v>1</v>
      </c>
      <c r="Q237" t="b">
        <v>0</v>
      </c>
      <c r="R237" t="b">
        <v>0</v>
      </c>
      <c r="S237" t="b">
        <v>1</v>
      </c>
      <c r="T237" t="b">
        <v>0</v>
      </c>
      <c r="W237" s="17"/>
      <c r="X237" s="688"/>
      <c r="AC237" t="b">
        <f>OR(AD237:AE237)</f>
        <v>0</v>
      </c>
      <c r="AD237" t="b">
        <f>T237</f>
        <v>0</v>
      </c>
      <c r="AE237" t="b">
        <f>AND(R237,NOT(W237))</f>
        <v>0</v>
      </c>
      <c r="AP237" t="str">
        <f>SUBSTITUTE(SUBSTITUTE(SUBSTITUTE("dch"&amp;$B237&amp;$C237&amp;$D237&amp;$E237&amp;$F237,".","_"),"(","_"),")","")</f>
        <v>dch902_4_1</v>
      </c>
      <c r="AQ237">
        <f>W237</f>
        <v>0</v>
      </c>
      <c r="AR237" t="str">
        <f>SUBSTITUTE(SUBSTITUTE(SUBSTITUTE("dnt"&amp;$B237&amp;$C237&amp;$D237&amp;$E237&amp;$F237,".","_"),"(","_"),")","")</f>
        <v>dnt902_4_1</v>
      </c>
      <c r="AS237">
        <f>X237</f>
        <v>0</v>
      </c>
    </row>
    <row r="238" spans="2:45" x14ac:dyDescent="0.35">
      <c r="B238" s="452">
        <v>902.4</v>
      </c>
      <c r="C238" s="13"/>
      <c r="D238" s="13"/>
      <c r="E238" s="13" t="s">
        <v>270</v>
      </c>
      <c r="F238" s="13"/>
      <c r="G238" s="13"/>
      <c r="H238" s="550"/>
      <c r="I238" s="108"/>
      <c r="J238" s="148"/>
      <c r="K238" s="155"/>
      <c r="L238" s="709"/>
      <c r="M238" s="43"/>
      <c r="N238" s="4"/>
      <c r="O238" s="85"/>
      <c r="X238" s="688"/>
    </row>
    <row r="239" spans="2:45" x14ac:dyDescent="0.35">
      <c r="B239" s="452">
        <v>902.4</v>
      </c>
      <c r="C239" s="13"/>
      <c r="D239" s="13"/>
      <c r="E239" s="13" t="s">
        <v>272</v>
      </c>
      <c r="F239" s="13"/>
      <c r="G239" s="13"/>
      <c r="H239" s="550"/>
      <c r="I239" s="108"/>
      <c r="J239" s="19" t="s">
        <v>272</v>
      </c>
      <c r="K239" s="4"/>
      <c r="L239" s="707" t="s">
        <v>3473</v>
      </c>
      <c r="M239" s="43"/>
      <c r="N239" s="4"/>
      <c r="O239" s="85"/>
      <c r="P239" t="b">
        <v>0</v>
      </c>
      <c r="Q239" t="b">
        <v>1</v>
      </c>
      <c r="R239" t="b">
        <v>0</v>
      </c>
      <c r="S239" t="b">
        <v>1</v>
      </c>
      <c r="T239" t="b">
        <v>0</v>
      </c>
      <c r="W239" s="17"/>
      <c r="X239" s="688"/>
      <c r="AC239" t="b">
        <f>OR(AD239:AE239)</f>
        <v>0</v>
      </c>
      <c r="AD239" t="b">
        <f>T239</f>
        <v>0</v>
      </c>
      <c r="AE239" t="b">
        <f>AND(R239,NOT(W239))</f>
        <v>0</v>
      </c>
      <c r="AP239" t="str">
        <f>SUBSTITUTE(SUBSTITUTE(SUBSTITUTE("dch"&amp;$B239&amp;$C239&amp;$D239&amp;$E239&amp;$F239,".","_"),"(","_"),")","")</f>
        <v>dch902_4_2</v>
      </c>
      <c r="AQ239">
        <f>W239</f>
        <v>0</v>
      </c>
      <c r="AR239" t="str">
        <f>SUBSTITUTE(SUBSTITUTE(SUBSTITUTE("dnt"&amp;$B239&amp;$C239&amp;$D239&amp;$E239&amp;$F239,".","_"),"(","_"),")","")</f>
        <v>dnt902_4_2</v>
      </c>
      <c r="AS239">
        <f>X239</f>
        <v>0</v>
      </c>
    </row>
    <row r="240" spans="2:45" x14ac:dyDescent="0.35">
      <c r="B240" s="452">
        <v>902.4</v>
      </c>
      <c r="C240" s="13"/>
      <c r="D240" s="13"/>
      <c r="E240" s="13" t="s">
        <v>272</v>
      </c>
      <c r="F240" s="13"/>
      <c r="G240" s="13"/>
      <c r="H240" s="550"/>
      <c r="I240" s="108"/>
      <c r="J240" s="4"/>
      <c r="K240" s="4"/>
      <c r="L240" s="707"/>
      <c r="M240" s="43"/>
      <c r="N240" s="4"/>
      <c r="O240" s="85"/>
      <c r="X240" s="688"/>
    </row>
    <row r="241" spans="2:45" ht="15" thickBot="1" x14ac:dyDescent="0.4">
      <c r="B241" s="452">
        <v>902.4</v>
      </c>
      <c r="C241" s="13"/>
      <c r="D241" s="13"/>
      <c r="E241" s="13" t="s">
        <v>272</v>
      </c>
      <c r="F241" s="13"/>
      <c r="G241" s="13"/>
      <c r="H241" s="550"/>
      <c r="I241" s="328"/>
      <c r="J241" s="183"/>
      <c r="K241" s="183"/>
      <c r="L241" s="708"/>
      <c r="M241" s="270"/>
      <c r="N241" s="183"/>
      <c r="O241" s="184"/>
      <c r="P241" s="58"/>
      <c r="Q241" s="58"/>
      <c r="R241" s="58"/>
      <c r="S241" s="58"/>
      <c r="T241" s="58"/>
      <c r="U241" s="58"/>
      <c r="V241" s="58"/>
      <c r="W241" s="58"/>
      <c r="X241" s="689"/>
    </row>
    <row r="242" spans="2:45" ht="15" thickTop="1" x14ac:dyDescent="0.35">
      <c r="B242" s="452">
        <v>902.5</v>
      </c>
      <c r="C242" s="13"/>
      <c r="D242" s="13"/>
      <c r="E242" s="13"/>
      <c r="F242" s="13"/>
      <c r="G242" s="13"/>
      <c r="H242" s="550"/>
      <c r="I242" s="123">
        <v>902.5</v>
      </c>
      <c r="J242" s="124"/>
      <c r="K242" s="124"/>
      <c r="L242" s="792" t="s">
        <v>3474</v>
      </c>
      <c r="M242" s="692">
        <v>3</v>
      </c>
      <c r="N242" s="124"/>
      <c r="O242" s="694">
        <f>M242*S242*W242</f>
        <v>0</v>
      </c>
      <c r="P242" t="b">
        <v>1</v>
      </c>
      <c r="Q242" t="b">
        <v>1</v>
      </c>
      <c r="R242" s="62" t="b">
        <v>0</v>
      </c>
      <c r="S242" s="62" t="b">
        <v>1</v>
      </c>
      <c r="T242" s="62" t="b">
        <v>0</v>
      </c>
      <c r="U242" s="62"/>
      <c r="V242" s="62"/>
      <c r="W242" s="278"/>
      <c r="X242" s="687"/>
      <c r="AC242" t="b">
        <f>OR(AD242:AE242)</f>
        <v>0</v>
      </c>
      <c r="AD242" t="b">
        <f>T242</f>
        <v>0</v>
      </c>
      <c r="AE242" t="b">
        <f>AND(R242,NOT(W242))</f>
        <v>0</v>
      </c>
      <c r="AL242" t="str">
        <f>SUBSTITUTE(SUBSTITUTE(SUBSTITUTE("dpa"&amp;$B242&amp;$C242&amp;$D242&amp;$E242&amp;$F242,".","_"),"(","_"),")","")</f>
        <v>dpa902_5</v>
      </c>
      <c r="AM242">
        <f>M242</f>
        <v>3</v>
      </c>
      <c r="AN242" t="str">
        <f>SUBSTITUTE(SUBSTITUTE(SUBSTITUTE("dpc"&amp;$B242&amp;$C242&amp;$D242&amp;$E242&amp;$F242,".","_"),"(","_"),")","")</f>
        <v>dpc902_5</v>
      </c>
      <c r="AO242">
        <f>O242</f>
        <v>0</v>
      </c>
      <c r="AP242" t="str">
        <f>SUBSTITUTE(SUBSTITUTE(SUBSTITUTE("dch"&amp;$B242&amp;$C242&amp;$D242&amp;$E242&amp;$F242,".","_"),"(","_"),")","")</f>
        <v>dch902_5</v>
      </c>
      <c r="AQ242">
        <f>W242</f>
        <v>0</v>
      </c>
      <c r="AR242" t="str">
        <f>SUBSTITUTE(SUBSTITUTE(SUBSTITUTE("dnt"&amp;$B242&amp;$C242&amp;$D242&amp;$E242&amp;$F242,".","_"),"(","_"),")","")</f>
        <v>dnt902_5</v>
      </c>
      <c r="AS242">
        <f>X242</f>
        <v>0</v>
      </c>
    </row>
    <row r="243" spans="2:45" ht="15" thickBot="1" x14ac:dyDescent="0.4">
      <c r="B243" s="452">
        <v>902.5</v>
      </c>
      <c r="C243" s="13"/>
      <c r="D243" s="13"/>
      <c r="E243" s="13"/>
      <c r="F243" s="13"/>
      <c r="G243" s="13"/>
      <c r="H243" s="550"/>
      <c r="I243" s="132"/>
      <c r="J243" s="183"/>
      <c r="K243" s="183"/>
      <c r="L243" s="793"/>
      <c r="M243" s="693"/>
      <c r="N243" s="183"/>
      <c r="O243" s="695"/>
      <c r="P243" s="58"/>
      <c r="Q243" s="58"/>
      <c r="R243" s="58"/>
      <c r="S243" s="58"/>
      <c r="T243" s="58"/>
      <c r="U243" s="58"/>
      <c r="V243" s="58"/>
      <c r="W243" s="58"/>
      <c r="X243" s="689"/>
    </row>
    <row r="244" spans="2:45" ht="15" thickTop="1" x14ac:dyDescent="0.35">
      <c r="B244" s="452">
        <v>902.6</v>
      </c>
      <c r="C244" s="13"/>
      <c r="D244" s="13"/>
      <c r="E244" s="13"/>
      <c r="F244" s="13"/>
      <c r="G244" s="13"/>
      <c r="H244" s="550"/>
      <c r="I244" s="32">
        <v>902.6</v>
      </c>
      <c r="J244" s="4"/>
      <c r="K244" s="4"/>
      <c r="L244" s="706" t="s">
        <v>3475</v>
      </c>
      <c r="M244" s="740" t="str">
        <f>IF(R244,"Mandatory","N/A")</f>
        <v>Mandatory</v>
      </c>
      <c r="N244" s="4"/>
      <c r="O244" s="85"/>
      <c r="P244" t="b">
        <v>1</v>
      </c>
      <c r="Q244" t="b">
        <v>0</v>
      </c>
      <c r="R244" t="b">
        <f>S244</f>
        <v>1</v>
      </c>
      <c r="S244" t="b">
        <v>1</v>
      </c>
      <c r="T244" t="b">
        <v>0</v>
      </c>
      <c r="W244" s="77" t="b">
        <v>1</v>
      </c>
      <c r="X244" s="700"/>
      <c r="AC244" t="b">
        <f>OR(AD244:AE244)</f>
        <v>0</v>
      </c>
      <c r="AD244" t="b">
        <f>T244</f>
        <v>0</v>
      </c>
      <c r="AE244" t="b">
        <f>AND(R244,NOT(W244))</f>
        <v>0</v>
      </c>
      <c r="AL244" t="str">
        <f>SUBSTITUTE(SUBSTITUTE(SUBSTITUTE("dpa"&amp;$B244&amp;$C244&amp;$D244&amp;$E244&amp;$F244,".","_"),"(","_"),")","")</f>
        <v>dpa902_6</v>
      </c>
      <c r="AM244" t="str">
        <f>M244</f>
        <v>Mandatory</v>
      </c>
      <c r="AP244" t="str">
        <f>SUBSTITUTE(SUBSTITUTE(SUBSTITUTE("dch"&amp;$B244&amp;$C244&amp;$D244&amp;$E244&amp;$F244,".","_"),"(","_"),")","")</f>
        <v>dch902_6</v>
      </c>
      <c r="AQ244" t="b">
        <f>W244</f>
        <v>1</v>
      </c>
      <c r="AR244" t="str">
        <f>SUBSTITUTE(SUBSTITUTE(SUBSTITUTE("dnt"&amp;$B244&amp;$C244&amp;$D244&amp;$E244&amp;$F244,".","_"),"(","_"),")","")</f>
        <v>dnt902_6</v>
      </c>
      <c r="AS244">
        <f>X244</f>
        <v>0</v>
      </c>
    </row>
    <row r="245" spans="2:45" x14ac:dyDescent="0.35">
      <c r="B245" s="452">
        <v>902.6</v>
      </c>
      <c r="C245" s="13"/>
      <c r="D245" s="13"/>
      <c r="E245" s="13"/>
      <c r="F245" s="13"/>
      <c r="G245" s="13"/>
      <c r="H245" s="550"/>
      <c r="I245" s="108"/>
      <c r="J245" s="4"/>
      <c r="K245" s="4"/>
      <c r="L245" s="706"/>
      <c r="M245" s="740"/>
      <c r="N245" s="4"/>
      <c r="O245" s="85"/>
      <c r="X245" s="688"/>
    </row>
    <row r="246" spans="2:45" ht="18.5" x14ac:dyDescent="0.45">
      <c r="B246" s="452">
        <v>903</v>
      </c>
      <c r="C246" s="13"/>
      <c r="D246" s="13"/>
      <c r="E246" s="13"/>
      <c r="F246" s="13"/>
      <c r="G246" s="13"/>
      <c r="H246" s="550"/>
      <c r="I246" s="10" t="s">
        <v>3476</v>
      </c>
      <c r="J246" s="15"/>
      <c r="K246" s="15"/>
      <c r="L246" s="47"/>
      <c r="M246" s="340"/>
      <c r="N246" s="344"/>
      <c r="O246" s="340"/>
      <c r="P246" s="15"/>
      <c r="Q246" s="15"/>
      <c r="R246" s="15"/>
      <c r="S246" s="15"/>
      <c r="T246" s="15"/>
      <c r="U246" s="15"/>
      <c r="V246" s="15"/>
      <c r="W246" s="15"/>
      <c r="X246" s="15"/>
    </row>
    <row r="247" spans="2:45" ht="15" thickBot="1" x14ac:dyDescent="0.4">
      <c r="B247" s="452" t="s">
        <v>4580</v>
      </c>
      <c r="C247" s="13"/>
      <c r="D247" s="13"/>
      <c r="E247" s="13"/>
      <c r="F247" s="13"/>
      <c r="G247" s="13"/>
      <c r="H247" s="550"/>
      <c r="I247" s="326">
        <v>903</v>
      </c>
      <c r="J247" s="183"/>
      <c r="K247" s="183"/>
      <c r="L247" s="272" t="s">
        <v>3477</v>
      </c>
      <c r="M247" s="270"/>
      <c r="N247" s="183"/>
      <c r="O247" s="184"/>
      <c r="P247" s="58"/>
      <c r="Q247" s="58"/>
      <c r="R247" s="58"/>
      <c r="S247" s="58"/>
      <c r="T247" s="58"/>
      <c r="U247" s="58"/>
      <c r="V247" s="58"/>
      <c r="W247" s="58"/>
      <c r="X247" s="58"/>
    </row>
    <row r="248" spans="2:45" ht="15" thickTop="1" x14ac:dyDescent="0.35">
      <c r="B248" s="452">
        <v>903.1</v>
      </c>
      <c r="C248" s="13"/>
      <c r="D248" s="13"/>
      <c r="E248" s="13"/>
      <c r="F248" s="13"/>
      <c r="G248" s="13"/>
      <c r="H248" s="550"/>
      <c r="I248" s="327">
        <v>903.1</v>
      </c>
      <c r="J248" s="124"/>
      <c r="K248" s="124"/>
      <c r="L248" s="222" t="s">
        <v>3920</v>
      </c>
      <c r="M248" s="199"/>
      <c r="N248" s="124"/>
      <c r="O248" s="341">
        <f ca="1">IFERROR(INDEX({2,5},MATCH(W248,INDIRECT(U248),0)),0)*S248</f>
        <v>5</v>
      </c>
      <c r="P248" t="b">
        <v>1</v>
      </c>
      <c r="Q248" t="b">
        <v>0</v>
      </c>
      <c r="R248" s="62" t="b">
        <v>0</v>
      </c>
      <c r="S248" s="62" t="b">
        <v>1</v>
      </c>
      <c r="T248" s="62" t="b">
        <v>0</v>
      </c>
      <c r="U248" s="62" t="str">
        <f>SUBSTITUTE(SUBSTITUTE(SUBSTITUTE("dd"&amp;B248&amp;C248&amp;D248&amp;E248&amp;F248,".","_"),"(","_"),")","")</f>
        <v>dd903_1</v>
      </c>
      <c r="V248" s="62"/>
      <c r="W248" s="631" t="s">
        <v>272</v>
      </c>
      <c r="X248" s="687"/>
      <c r="AC248" t="b">
        <f>OR(AD248:AE248)</f>
        <v>0</v>
      </c>
      <c r="AD248" t="b">
        <f>T248</f>
        <v>0</v>
      </c>
      <c r="AE248" t="b">
        <f>AND(R248,OR(W248="Not Met",W248=""))</f>
        <v>0</v>
      </c>
      <c r="AN248" t="str">
        <f>SUBSTITUTE(SUBSTITUTE(SUBSTITUTE("dpc"&amp;$B248&amp;$C248&amp;$D248&amp;$E248&amp;$F248,".","_"),"(","_"),")","")</f>
        <v>dpc903_1</v>
      </c>
      <c r="AO248">
        <f ca="1">O248</f>
        <v>5</v>
      </c>
      <c r="AP248" t="str">
        <f>SUBSTITUTE(SUBSTITUTE(SUBSTITUTE("dch"&amp;$B248&amp;$C248&amp;$D248&amp;$E248&amp;$F248,".","_"),"(","_"),")","")</f>
        <v>dch903_1</v>
      </c>
      <c r="AQ248" t="str">
        <f>W248</f>
        <v>(2)</v>
      </c>
      <c r="AR248" t="str">
        <f>SUBSTITUTE(SUBSTITUTE(SUBSTITUTE("dnt"&amp;$B248&amp;$C248&amp;$D248&amp;$E248&amp;$F248,".","_"),"(","_"),")","")</f>
        <v>dnt903_1</v>
      </c>
      <c r="AS248">
        <f>X248</f>
        <v>0</v>
      </c>
    </row>
    <row r="249" spans="2:45" x14ac:dyDescent="0.35">
      <c r="B249" s="452" t="s">
        <v>3478</v>
      </c>
      <c r="C249" s="13"/>
      <c r="D249" s="13"/>
      <c r="E249" s="13" t="s">
        <v>270</v>
      </c>
      <c r="F249" s="13"/>
      <c r="G249" s="13"/>
      <c r="H249" s="550"/>
      <c r="I249" s="108"/>
      <c r="J249" s="19" t="s">
        <v>270</v>
      </c>
      <c r="K249" s="4"/>
      <c r="L249" s="707" t="s">
        <v>3918</v>
      </c>
      <c r="M249" s="690">
        <v>2</v>
      </c>
      <c r="N249" s="4"/>
      <c r="O249" s="85"/>
      <c r="X249" s="688"/>
      <c r="AL249" t="str">
        <f>SUBSTITUTE(SUBSTITUTE(SUBSTITUTE("dpa"&amp;$B249&amp;$C249&amp;$D249&amp;$E249&amp;$F249,".","_"),"(","_"),")","")</f>
        <v>dpa903_1_1_1</v>
      </c>
      <c r="AM249">
        <f>M249</f>
        <v>2</v>
      </c>
    </row>
    <row r="250" spans="2:45" x14ac:dyDescent="0.35">
      <c r="B250" s="452" t="s">
        <v>3478</v>
      </c>
      <c r="C250" s="13"/>
      <c r="D250" s="13"/>
      <c r="E250" s="13"/>
      <c r="F250" s="13"/>
      <c r="G250" s="13"/>
      <c r="H250" s="550"/>
      <c r="I250" s="108"/>
      <c r="J250" s="148"/>
      <c r="K250" s="155"/>
      <c r="L250" s="739"/>
      <c r="M250" s="691"/>
      <c r="N250" s="4"/>
      <c r="O250" s="85"/>
      <c r="X250" s="688"/>
    </row>
    <row r="251" spans="2:45" ht="15" thickBot="1" x14ac:dyDescent="0.4">
      <c r="B251" s="452" t="s">
        <v>3479</v>
      </c>
      <c r="C251" s="13"/>
      <c r="D251" s="13"/>
      <c r="E251" s="13" t="s">
        <v>272</v>
      </c>
      <c r="F251" s="13"/>
      <c r="G251" s="13"/>
      <c r="H251" s="550"/>
      <c r="I251" s="328"/>
      <c r="J251" s="133" t="s">
        <v>272</v>
      </c>
      <c r="K251" s="183"/>
      <c r="L251" s="223" t="s">
        <v>3919</v>
      </c>
      <c r="M251" s="270">
        <v>5</v>
      </c>
      <c r="N251" s="183"/>
      <c r="O251" s="184"/>
      <c r="P251" s="58"/>
      <c r="Q251" s="58"/>
      <c r="R251" s="58"/>
      <c r="S251" s="58"/>
      <c r="T251" s="58"/>
      <c r="U251" s="58"/>
      <c r="V251" s="58"/>
      <c r="W251" s="58"/>
      <c r="X251" s="689"/>
      <c r="AL251" t="str">
        <f>SUBSTITUTE(SUBSTITUTE(SUBSTITUTE("dpa"&amp;$B251&amp;$C251&amp;$D251&amp;$E251&amp;$F251,".","_"),"(","_"),")","")</f>
        <v>dpa903_1_2_2</v>
      </c>
      <c r="AM251">
        <f>M251</f>
        <v>5</v>
      </c>
    </row>
    <row r="252" spans="2:45" ht="15" thickTop="1" x14ac:dyDescent="0.35">
      <c r="B252" s="452">
        <v>903.2</v>
      </c>
      <c r="C252" s="13"/>
      <c r="D252" s="13"/>
      <c r="E252" s="13"/>
      <c r="F252" s="13"/>
      <c r="G252" s="13"/>
      <c r="H252" s="550"/>
      <c r="I252" s="123">
        <v>903.2</v>
      </c>
      <c r="J252" s="124"/>
      <c r="K252" s="124"/>
      <c r="L252" s="222" t="s">
        <v>3480</v>
      </c>
      <c r="M252" s="199"/>
      <c r="N252" s="124"/>
      <c r="O252" s="341">
        <f ca="1">IFERROR(INDEX({1,3},MATCH(W252,INDIRECT(U252),0)),0)*S252</f>
        <v>0</v>
      </c>
      <c r="P252" t="b">
        <v>1</v>
      </c>
      <c r="Q252" t="b">
        <v>1</v>
      </c>
      <c r="R252" s="62" t="b">
        <v>0</v>
      </c>
      <c r="S252" s="62" t="b">
        <v>1</v>
      </c>
      <c r="T252" s="62" t="b">
        <v>0</v>
      </c>
      <c r="U252" s="62" t="str">
        <f>SUBSTITUTE(SUBSTITUTE(SUBSTITUTE("dd"&amp;B252&amp;C252&amp;D252&amp;E252&amp;F252,".","_"),"(","_"),")","")</f>
        <v>dd903_2</v>
      </c>
      <c r="V252" s="62"/>
      <c r="W252" s="131"/>
      <c r="X252" s="687"/>
      <c r="AC252" t="b">
        <f>OR(AD252:AE252)</f>
        <v>0</v>
      </c>
      <c r="AD252" t="b">
        <f>T252</f>
        <v>0</v>
      </c>
      <c r="AE252" t="b">
        <f>AND(R252,OR(W252="Not Met",W252=""))</f>
        <v>0</v>
      </c>
      <c r="AN252" t="str">
        <f>SUBSTITUTE(SUBSTITUTE(SUBSTITUTE("dpc"&amp;$B252&amp;$C252&amp;$D252&amp;$E252&amp;$F252,".","_"),"(","_"),")","")</f>
        <v>dpc903_2</v>
      </c>
      <c r="AO252">
        <f ca="1">O252</f>
        <v>0</v>
      </c>
      <c r="AP252" t="str">
        <f>SUBSTITUTE(SUBSTITUTE(SUBSTITUTE("dch"&amp;$B252&amp;$C252&amp;$D252&amp;$E252&amp;$F252,".","_"),"(","_"),")","")</f>
        <v>dch903_2</v>
      </c>
      <c r="AQ252">
        <f>W252</f>
        <v>0</v>
      </c>
      <c r="AR252" t="str">
        <f>SUBSTITUTE(SUBSTITUTE(SUBSTITUTE("dnt"&amp;$B252&amp;$C252&amp;$D252&amp;$E252&amp;$F252,".","_"),"(","_"),")","")</f>
        <v>dnt903_2</v>
      </c>
      <c r="AS252">
        <f>X252</f>
        <v>0</v>
      </c>
    </row>
    <row r="253" spans="2:45" x14ac:dyDescent="0.35">
      <c r="B253" s="452">
        <v>903.2</v>
      </c>
      <c r="C253" s="13"/>
      <c r="D253" s="13"/>
      <c r="E253" s="13" t="s">
        <v>270</v>
      </c>
      <c r="F253" s="13"/>
      <c r="G253" s="13"/>
      <c r="H253" s="550"/>
      <c r="I253" s="108"/>
      <c r="J253" s="148" t="s">
        <v>270</v>
      </c>
      <c r="K253" s="155"/>
      <c r="L253" s="214" t="s">
        <v>3481</v>
      </c>
      <c r="M253" s="198">
        <v>1</v>
      </c>
      <c r="N253" s="4"/>
      <c r="O253" s="85"/>
      <c r="X253" s="688"/>
      <c r="AL253" t="str">
        <f>SUBSTITUTE(SUBSTITUTE(SUBSTITUTE("dpa"&amp;$B253&amp;$C253&amp;$D253&amp;$E253&amp;$F253,".","_"),"(","_"),")","")</f>
        <v>dpa903_2_1</v>
      </c>
      <c r="AM253">
        <f>M253</f>
        <v>1</v>
      </c>
    </row>
    <row r="254" spans="2:45" x14ac:dyDescent="0.35">
      <c r="B254" s="452">
        <v>903.2</v>
      </c>
      <c r="C254" s="13"/>
      <c r="D254" s="13"/>
      <c r="E254" s="13" t="s">
        <v>272</v>
      </c>
      <c r="F254" s="13"/>
      <c r="G254" s="13"/>
      <c r="H254" s="550"/>
      <c r="I254" s="108"/>
      <c r="J254" s="19" t="s">
        <v>272</v>
      </c>
      <c r="K254" s="4"/>
      <c r="L254" s="707" t="s">
        <v>3482</v>
      </c>
      <c r="M254" s="690">
        <v>3</v>
      </c>
      <c r="N254" s="4"/>
      <c r="O254" s="85"/>
      <c r="X254" s="688"/>
      <c r="AL254" t="str">
        <f>SUBSTITUTE(SUBSTITUTE(SUBSTITUTE("dpa"&amp;$B254&amp;$C254&amp;$D254&amp;$E254&amp;$F254,".","_"),"(","_"),")","")</f>
        <v>dpa903_2_2</v>
      </c>
      <c r="AM254">
        <f>M254</f>
        <v>3</v>
      </c>
    </row>
    <row r="255" spans="2:45" ht="15" thickBot="1" x14ac:dyDescent="0.4">
      <c r="B255" s="452">
        <v>903.2</v>
      </c>
      <c r="C255" s="13"/>
      <c r="D255" s="13"/>
      <c r="E255" s="13"/>
      <c r="F255" s="13"/>
      <c r="G255" s="13"/>
      <c r="H255" s="550"/>
      <c r="I255" s="328"/>
      <c r="J255" s="183"/>
      <c r="K255" s="183"/>
      <c r="L255" s="708"/>
      <c r="M255" s="693"/>
      <c r="N255" s="183"/>
      <c r="O255" s="184"/>
      <c r="P255" s="58"/>
      <c r="Q255" s="58"/>
      <c r="R255" s="58"/>
      <c r="S255" s="58"/>
      <c r="T255" s="58"/>
      <c r="U255" s="58"/>
      <c r="V255" s="58"/>
      <c r="W255" s="58"/>
      <c r="X255" s="689"/>
    </row>
    <row r="256" spans="2:45" ht="15" thickTop="1" x14ac:dyDescent="0.35">
      <c r="B256" s="452">
        <v>903.3</v>
      </c>
      <c r="C256" s="13"/>
      <c r="D256" s="13"/>
      <c r="E256" s="13"/>
      <c r="F256" s="13"/>
      <c r="G256" s="13"/>
      <c r="H256" s="550"/>
      <c r="I256" s="32">
        <v>903.3</v>
      </c>
      <c r="J256" s="4"/>
      <c r="K256" s="4"/>
      <c r="L256" s="706" t="s">
        <v>3921</v>
      </c>
      <c r="M256" s="690">
        <v>7</v>
      </c>
      <c r="N256" s="4"/>
      <c r="O256" s="696">
        <f>M256*S258*IFERROR(OR(W258,W259),0)</f>
        <v>0</v>
      </c>
      <c r="X256" s="700"/>
      <c r="AL256" t="str">
        <f>SUBSTITUTE(SUBSTITUTE(SUBSTITUTE("dpa"&amp;$B256&amp;$C256&amp;$D256&amp;$E256&amp;$F256,".","_"),"(","_"),")","")</f>
        <v>dpa903_3</v>
      </c>
      <c r="AM256">
        <f>M256</f>
        <v>7</v>
      </c>
      <c r="AN256" t="str">
        <f>SUBSTITUTE(SUBSTITUTE(SUBSTITUTE("dpc"&amp;$B256&amp;$C256&amp;$D256&amp;$E256&amp;$F256,".","_"),"(","_"),")","")</f>
        <v>dpc903_3</v>
      </c>
      <c r="AO256">
        <f>O256</f>
        <v>0</v>
      </c>
      <c r="AR256" t="str">
        <f>SUBSTITUTE(SUBSTITUTE(SUBSTITUTE("dnt"&amp;$B256&amp;$C256&amp;$D256&amp;$E256&amp;$F256,".","_"),"(","_"),")","")</f>
        <v>dnt903_3</v>
      </c>
      <c r="AS256">
        <f>X256</f>
        <v>0</v>
      </c>
    </row>
    <row r="257" spans="2:45" x14ac:dyDescent="0.35">
      <c r="B257" s="452">
        <v>903.3</v>
      </c>
      <c r="C257" s="13"/>
      <c r="D257" s="13"/>
      <c r="E257" s="13"/>
      <c r="F257" s="13"/>
      <c r="G257" s="13"/>
      <c r="H257" s="550"/>
      <c r="I257" s="108"/>
      <c r="J257" s="4"/>
      <c r="K257" s="4"/>
      <c r="L257" s="706"/>
      <c r="M257" s="690"/>
      <c r="N257" s="4"/>
      <c r="O257" s="696"/>
      <c r="X257" s="688"/>
    </row>
    <row r="258" spans="2:45" x14ac:dyDescent="0.35">
      <c r="B258" s="452">
        <v>903.3</v>
      </c>
      <c r="C258" s="13"/>
      <c r="D258" s="13"/>
      <c r="E258" s="13" t="s">
        <v>270</v>
      </c>
      <c r="F258" s="13"/>
      <c r="G258" s="13"/>
      <c r="H258" s="550"/>
      <c r="I258" s="108"/>
      <c r="J258" s="148" t="s">
        <v>270</v>
      </c>
      <c r="K258" s="119"/>
      <c r="L258" s="214" t="s">
        <v>3483</v>
      </c>
      <c r="M258" s="43"/>
      <c r="N258" s="4"/>
      <c r="O258" s="85"/>
      <c r="P258" t="b">
        <v>0</v>
      </c>
      <c r="Q258" t="b">
        <v>1</v>
      </c>
      <c r="R258" s="119" t="b">
        <v>0</v>
      </c>
      <c r="S258" s="119" t="b">
        <f>AND(BF16&lt;6,BG16="Moist")</f>
        <v>1</v>
      </c>
      <c r="T258" s="119" t="b">
        <f>AND(NOT(S258),W258=TRUE)</f>
        <v>0</v>
      </c>
      <c r="U258" s="119"/>
      <c r="V258" s="119"/>
      <c r="W258" s="17"/>
      <c r="X258" s="688"/>
      <c r="AC258" t="b">
        <f>OR(AD258:AE258)</f>
        <v>0</v>
      </c>
      <c r="AD258" t="b">
        <f>T258</f>
        <v>0</v>
      </c>
      <c r="AE258" t="b">
        <f>AND(R258,NOT(W258))</f>
        <v>0</v>
      </c>
      <c r="AP258" t="str">
        <f t="shared" ref="AP258:AP259" si="7">SUBSTITUTE(SUBSTITUTE(SUBSTITUTE("dch"&amp;$B258&amp;$C258&amp;$D258&amp;$E258&amp;$F258,".","_"),"(","_"),")","")</f>
        <v>dch903_3_1</v>
      </c>
      <c r="AQ258">
        <f>W258</f>
        <v>0</v>
      </c>
    </row>
    <row r="259" spans="2:45" x14ac:dyDescent="0.35">
      <c r="B259" s="452">
        <v>903.3</v>
      </c>
      <c r="C259" s="13"/>
      <c r="D259" s="13"/>
      <c r="E259" s="13" t="s">
        <v>272</v>
      </c>
      <c r="F259" s="13"/>
      <c r="G259" s="13"/>
      <c r="H259" s="550"/>
      <c r="I259" s="108"/>
      <c r="J259" s="19" t="s">
        <v>272</v>
      </c>
      <c r="L259" s="723" t="s">
        <v>3484</v>
      </c>
      <c r="M259" s="43"/>
      <c r="N259" s="4"/>
      <c r="O259" s="85"/>
      <c r="P259" t="b">
        <v>0</v>
      </c>
      <c r="Q259" t="b">
        <v>1</v>
      </c>
      <c r="R259" t="b">
        <v>0</v>
      </c>
      <c r="S259" t="b">
        <f>AND(BF16&lt;6,BG16="Moist")</f>
        <v>1</v>
      </c>
      <c r="T259" t="b">
        <f>AND(NOT(S259),W259=TRUE)</f>
        <v>0</v>
      </c>
      <c r="W259" s="77"/>
      <c r="X259" s="688"/>
      <c r="AC259" t="b">
        <f>OR(AD259:AE259)</f>
        <v>0</v>
      </c>
      <c r="AD259" t="b">
        <f>T259</f>
        <v>0</v>
      </c>
      <c r="AE259" t="b">
        <f>AND(R259,NOT(W259))</f>
        <v>0</v>
      </c>
      <c r="AP259" t="str">
        <f t="shared" si="7"/>
        <v>dch903_3_2</v>
      </c>
      <c r="AQ259">
        <f>W259</f>
        <v>0</v>
      </c>
    </row>
    <row r="260" spans="2:45" x14ac:dyDescent="0.35">
      <c r="B260" s="452">
        <v>903.3</v>
      </c>
      <c r="C260" s="13"/>
      <c r="D260" s="13"/>
      <c r="E260" s="13" t="s">
        <v>272</v>
      </c>
      <c r="F260" s="13"/>
      <c r="G260" s="13"/>
      <c r="H260" s="550"/>
      <c r="I260" s="108"/>
      <c r="J260" s="4"/>
      <c r="K260" s="19"/>
      <c r="L260" s="723"/>
      <c r="M260" s="43"/>
      <c r="N260" s="4"/>
      <c r="O260" s="85"/>
      <c r="X260" s="688"/>
    </row>
    <row r="261" spans="2:45" ht="18.5" x14ac:dyDescent="0.45">
      <c r="B261" s="452">
        <v>904</v>
      </c>
      <c r="C261" s="13"/>
      <c r="D261" s="13"/>
      <c r="E261" s="13"/>
      <c r="F261" s="13"/>
      <c r="G261" s="13"/>
      <c r="H261" s="550"/>
      <c r="I261" s="10" t="s">
        <v>3485</v>
      </c>
      <c r="J261" s="15"/>
      <c r="K261" s="15"/>
      <c r="L261" s="47"/>
      <c r="M261" s="340"/>
      <c r="N261" s="344"/>
      <c r="O261" s="340"/>
      <c r="P261" s="15"/>
      <c r="Q261" s="15"/>
      <c r="R261" s="15"/>
      <c r="S261" s="15"/>
      <c r="T261" s="15"/>
      <c r="U261" s="15"/>
      <c r="V261" s="15"/>
      <c r="W261" s="15"/>
      <c r="X261" s="15"/>
    </row>
    <row r="262" spans="2:45" x14ac:dyDescent="0.35">
      <c r="B262" s="452" t="s">
        <v>4581</v>
      </c>
      <c r="C262" s="13"/>
      <c r="D262" s="13"/>
      <c r="E262" s="13"/>
      <c r="F262" s="13"/>
      <c r="G262" s="13"/>
      <c r="H262" s="550"/>
      <c r="I262" s="166">
        <v>904</v>
      </c>
      <c r="J262" s="4"/>
      <c r="K262" s="4"/>
      <c r="L262" s="706" t="s">
        <v>3486</v>
      </c>
      <c r="M262" s="43"/>
      <c r="N262" s="4"/>
      <c r="O262" s="85"/>
    </row>
    <row r="263" spans="2:45" ht="15" thickBot="1" x14ac:dyDescent="0.4">
      <c r="B263" s="452" t="s">
        <v>4581</v>
      </c>
      <c r="C263" s="13"/>
      <c r="D263" s="13"/>
      <c r="E263" s="13"/>
      <c r="F263" s="13"/>
      <c r="G263" s="13"/>
      <c r="H263" s="550"/>
      <c r="I263" s="328"/>
      <c r="J263" s="183"/>
      <c r="K263" s="183"/>
      <c r="L263" s="710"/>
      <c r="M263" s="270"/>
      <c r="N263" s="183"/>
      <c r="O263" s="184"/>
      <c r="P263" s="58"/>
      <c r="Q263" s="58"/>
      <c r="R263" s="58"/>
      <c r="S263" s="58"/>
      <c r="T263" s="58"/>
      <c r="U263" s="58"/>
      <c r="V263" s="58"/>
      <c r="W263" s="58"/>
      <c r="X263" s="58"/>
    </row>
    <row r="264" spans="2:45" ht="15" thickTop="1" x14ac:dyDescent="0.35">
      <c r="B264" s="452">
        <v>904.1</v>
      </c>
      <c r="C264" s="13"/>
      <c r="D264" s="13"/>
      <c r="E264" s="13"/>
      <c r="F264" s="13"/>
      <c r="G264" s="13"/>
      <c r="H264" s="550"/>
      <c r="I264" s="327">
        <v>904.1</v>
      </c>
      <c r="J264" s="124"/>
      <c r="K264" s="124"/>
      <c r="L264" s="711" t="s">
        <v>3487</v>
      </c>
      <c r="M264" s="692">
        <v>2</v>
      </c>
      <c r="N264" s="124"/>
      <c r="O264" s="694">
        <f>M264*S264*W264</f>
        <v>0</v>
      </c>
      <c r="P264" t="b">
        <v>1</v>
      </c>
      <c r="Q264" t="b">
        <v>0</v>
      </c>
      <c r="R264" s="62" t="b">
        <v>0</v>
      </c>
      <c r="S264" s="62" t="b">
        <f>T265</f>
        <v>0</v>
      </c>
      <c r="T264" s="62" t="b">
        <f>AND(NOT(S264),W264=TRUE)</f>
        <v>0</v>
      </c>
      <c r="U264" s="62"/>
      <c r="V264" s="62"/>
      <c r="W264" s="278"/>
      <c r="X264" s="687"/>
      <c r="AC264" t="b">
        <f>OR(AD264:AE264)</f>
        <v>0</v>
      </c>
      <c r="AD264" t="b">
        <f>T264</f>
        <v>0</v>
      </c>
      <c r="AE264" t="b">
        <f>AND(R264,NOT(W264))</f>
        <v>0</v>
      </c>
      <c r="AL264" t="str">
        <f>SUBSTITUTE(SUBSTITUTE(SUBSTITUTE("dpa"&amp;$B264&amp;$C264&amp;$D264&amp;$E264&amp;$F264,".","_"),"(","_"),")","")</f>
        <v>dpa904_1</v>
      </c>
      <c r="AM264">
        <f>M264</f>
        <v>2</v>
      </c>
      <c r="AN264" t="str">
        <f>SUBSTITUTE(SUBSTITUTE(SUBSTITUTE("dpc"&amp;$B264&amp;$C264&amp;$D264&amp;$E264&amp;$F264,".","_"),"(","_"),")","")</f>
        <v>dpc904_1</v>
      </c>
      <c r="AO264">
        <f>O264</f>
        <v>0</v>
      </c>
      <c r="AP264" t="str">
        <f>SUBSTITUTE(SUBSTITUTE(SUBSTITUTE("dch"&amp;$B264&amp;$C264&amp;$D264&amp;$E264&amp;$F264,".","_"),"(","_"),")","")</f>
        <v>dch904_1</v>
      </c>
      <c r="AQ264">
        <f>W264</f>
        <v>0</v>
      </c>
      <c r="AR264" t="str">
        <f>SUBSTITUTE(SUBSTITUTE(SUBSTITUTE("dnt"&amp;$B264&amp;$C264&amp;$D264&amp;$E264&amp;$F264,".","_"),"(","_"),")","")</f>
        <v>dnt904_1</v>
      </c>
      <c r="AS264">
        <f>X264</f>
        <v>0</v>
      </c>
    </row>
    <row r="265" spans="2:45" x14ac:dyDescent="0.35">
      <c r="B265" s="452">
        <v>904.1</v>
      </c>
      <c r="C265" s="13"/>
      <c r="D265" s="13"/>
      <c r="E265" s="13"/>
      <c r="F265" s="13"/>
      <c r="G265" s="13"/>
      <c r="H265" s="550"/>
      <c r="I265" s="108"/>
      <c r="J265" s="4"/>
      <c r="K265" s="4"/>
      <c r="L265" s="706"/>
      <c r="M265" s="690"/>
      <c r="N265" s="4"/>
      <c r="O265" s="696"/>
      <c r="S265" s="285" t="s">
        <v>4026</v>
      </c>
      <c r="T265" s="1" t="b">
        <f>'Ch6'!W153=TRUE</f>
        <v>0</v>
      </c>
      <c r="X265" s="688"/>
    </row>
    <row r="266" spans="2:45" x14ac:dyDescent="0.35">
      <c r="B266" s="452">
        <v>904.1</v>
      </c>
      <c r="C266" s="13"/>
      <c r="D266" s="13"/>
      <c r="E266" s="13"/>
      <c r="F266" s="13"/>
      <c r="G266" s="13"/>
      <c r="H266" s="550"/>
      <c r="I266" s="108"/>
      <c r="J266" s="4"/>
      <c r="K266" s="4"/>
      <c r="L266" s="706"/>
      <c r="M266" s="690"/>
      <c r="N266" s="4"/>
      <c r="O266" s="696"/>
      <c r="X266" s="688"/>
    </row>
    <row r="267" spans="2:45" x14ac:dyDescent="0.35">
      <c r="B267" s="452">
        <v>904.1</v>
      </c>
      <c r="C267" s="13"/>
      <c r="D267" s="13"/>
      <c r="E267" s="13"/>
      <c r="F267" s="13"/>
      <c r="G267" s="13"/>
      <c r="H267" s="550"/>
      <c r="I267" s="108"/>
      <c r="J267" s="4"/>
      <c r="K267" s="4"/>
      <c r="L267" s="706"/>
      <c r="M267" s="690"/>
      <c r="N267" s="4"/>
      <c r="O267" s="696"/>
      <c r="X267" s="688"/>
    </row>
    <row r="268" spans="2:45" ht="15" thickBot="1" x14ac:dyDescent="0.4">
      <c r="B268" s="452">
        <v>904.1</v>
      </c>
      <c r="C268" s="13"/>
      <c r="D268" s="13"/>
      <c r="E268" s="13"/>
      <c r="F268" s="13"/>
      <c r="G268" s="13"/>
      <c r="H268" s="550"/>
      <c r="I268" s="328"/>
      <c r="J268" s="183"/>
      <c r="K268" s="183"/>
      <c r="L268" s="710"/>
      <c r="M268" s="693"/>
      <c r="N268" s="183"/>
      <c r="O268" s="695"/>
      <c r="P268" s="58"/>
      <c r="Q268" s="58"/>
      <c r="R268" s="58"/>
      <c r="S268" s="58"/>
      <c r="T268" s="58"/>
      <c r="U268" s="58"/>
      <c r="V268" s="58"/>
      <c r="W268" s="58"/>
      <c r="X268" s="689"/>
    </row>
    <row r="269" spans="2:45" ht="15" thickTop="1" x14ac:dyDescent="0.35">
      <c r="B269" s="452">
        <v>904.2</v>
      </c>
      <c r="C269" s="13"/>
      <c r="D269" s="13"/>
      <c r="E269" s="13"/>
      <c r="F269" s="13"/>
      <c r="G269" s="13"/>
      <c r="H269" s="550"/>
      <c r="I269" s="32">
        <v>904.2</v>
      </c>
      <c r="J269" s="4"/>
      <c r="K269" s="4"/>
      <c r="L269" s="706" t="s">
        <v>3488</v>
      </c>
      <c r="M269" s="690">
        <v>3</v>
      </c>
      <c r="N269" s="4"/>
      <c r="O269" s="696">
        <f>M269*S269*W269</f>
        <v>0</v>
      </c>
      <c r="P269" t="b">
        <v>0</v>
      </c>
      <c r="Q269" t="b">
        <v>1</v>
      </c>
      <c r="R269" t="b">
        <v>0</v>
      </c>
      <c r="S269" t="b">
        <f>T265</f>
        <v>0</v>
      </c>
      <c r="T269" t="b">
        <f>AND(NOT(S269),W269=TRUE)</f>
        <v>0</v>
      </c>
      <c r="W269" s="77"/>
      <c r="X269" s="700"/>
      <c r="AC269" t="b">
        <f>OR(AD269:AE269)</f>
        <v>0</v>
      </c>
      <c r="AD269" t="b">
        <f>T269</f>
        <v>0</v>
      </c>
      <c r="AE269" t="b">
        <f>AND(R269,NOT(W269))</f>
        <v>0</v>
      </c>
      <c r="AL269" t="str">
        <f>SUBSTITUTE(SUBSTITUTE(SUBSTITUTE("dpa"&amp;$B269&amp;$C269&amp;$D269&amp;$E269&amp;$F269,".","_"),"(","_"),")","")</f>
        <v>dpa904_2</v>
      </c>
      <c r="AM269">
        <f>M269</f>
        <v>3</v>
      </c>
      <c r="AN269" t="str">
        <f>SUBSTITUTE(SUBSTITUTE(SUBSTITUTE("dpc"&amp;$B269&amp;$C269&amp;$D269&amp;$E269&amp;$F269,".","_"),"(","_"),")","")</f>
        <v>dpc904_2</v>
      </c>
      <c r="AO269">
        <f>O269</f>
        <v>0</v>
      </c>
      <c r="AP269" t="str">
        <f>SUBSTITUTE(SUBSTITUTE(SUBSTITUTE("dch"&amp;$B269&amp;$C269&amp;$D269&amp;$E269&amp;$F269,".","_"),"(","_"),")","")</f>
        <v>dch904_2</v>
      </c>
      <c r="AQ269">
        <f>W269</f>
        <v>0</v>
      </c>
      <c r="AR269" t="str">
        <f>SUBSTITUTE(SUBSTITUTE(SUBSTITUTE("dnt"&amp;$B269&amp;$C269&amp;$D269&amp;$E269&amp;$F269,".","_"),"(","_"),")","")</f>
        <v>dnt904_2</v>
      </c>
      <c r="AS269">
        <f>X269</f>
        <v>0</v>
      </c>
    </row>
    <row r="270" spans="2:45" x14ac:dyDescent="0.35">
      <c r="B270" s="452">
        <v>904.2</v>
      </c>
      <c r="C270" s="13"/>
      <c r="D270" s="13"/>
      <c r="E270" s="13"/>
      <c r="F270" s="13"/>
      <c r="G270" s="13"/>
      <c r="H270" s="550"/>
      <c r="I270" s="108"/>
      <c r="J270" s="4"/>
      <c r="K270" s="4"/>
      <c r="L270" s="706"/>
      <c r="M270" s="690"/>
      <c r="N270" s="4"/>
      <c r="O270" s="696"/>
      <c r="X270" s="688"/>
    </row>
    <row r="271" spans="2:45" x14ac:dyDescent="0.35">
      <c r="B271" s="452">
        <v>904.2</v>
      </c>
      <c r="C271" s="13"/>
      <c r="D271" s="13"/>
      <c r="E271" s="13"/>
      <c r="F271" s="13"/>
      <c r="G271" s="13"/>
      <c r="H271" s="550"/>
      <c r="I271" s="108"/>
      <c r="J271" s="4"/>
      <c r="K271" s="4"/>
      <c r="L271" s="706"/>
      <c r="M271" s="690"/>
      <c r="N271" s="4"/>
      <c r="O271" s="696"/>
      <c r="X271" s="688"/>
    </row>
    <row r="272" spans="2:45" ht="18.5" x14ac:dyDescent="0.45">
      <c r="B272" s="452">
        <v>905</v>
      </c>
      <c r="C272" s="13"/>
      <c r="D272" s="13"/>
      <c r="E272" s="13"/>
      <c r="F272" s="13"/>
      <c r="G272" s="13"/>
      <c r="H272" s="550"/>
      <c r="I272" s="10" t="s">
        <v>3489</v>
      </c>
      <c r="J272" s="15"/>
      <c r="K272" s="15"/>
      <c r="L272" s="47"/>
      <c r="M272" s="340"/>
      <c r="N272" s="344"/>
      <c r="O272" s="340"/>
      <c r="P272" s="15"/>
      <c r="Q272" s="15"/>
      <c r="R272" s="15"/>
      <c r="S272" s="15"/>
      <c r="T272" s="15"/>
      <c r="U272" s="15"/>
      <c r="V272" s="15"/>
      <c r="W272" s="15"/>
      <c r="X272" s="15"/>
    </row>
    <row r="273" spans="2:45" x14ac:dyDescent="0.35">
      <c r="B273" s="452">
        <v>905.1</v>
      </c>
      <c r="C273" s="13"/>
      <c r="D273" s="13"/>
      <c r="E273" s="13"/>
      <c r="F273" s="13"/>
      <c r="G273" s="13"/>
      <c r="H273" s="550"/>
      <c r="I273" s="32">
        <v>905.1</v>
      </c>
      <c r="J273" s="4"/>
      <c r="K273" s="4"/>
      <c r="L273" s="706" t="s">
        <v>3490</v>
      </c>
      <c r="M273" s="690">
        <v>2</v>
      </c>
      <c r="N273" s="4"/>
      <c r="O273" s="696">
        <f>M273*S273*W273</f>
        <v>0</v>
      </c>
      <c r="P273" t="b">
        <v>0</v>
      </c>
      <c r="Q273" t="b">
        <v>1</v>
      </c>
      <c r="R273" t="b">
        <v>0</v>
      </c>
      <c r="S273" t="b">
        <v>1</v>
      </c>
      <c r="T273" t="b">
        <v>0</v>
      </c>
      <c r="W273" s="17"/>
      <c r="X273" s="688"/>
      <c r="AC273" t="b">
        <f>OR(AD273:AE273)</f>
        <v>0</v>
      </c>
      <c r="AD273" t="b">
        <f>T273</f>
        <v>0</v>
      </c>
      <c r="AE273" t="b">
        <f>AND(R273,NOT(W273))</f>
        <v>0</v>
      </c>
      <c r="AL273" t="str">
        <f>SUBSTITUTE(SUBSTITUTE(SUBSTITUTE("dpa"&amp;$B273&amp;$C273&amp;$D273&amp;$E273&amp;$F273,".","_"),"(","_"),")","")</f>
        <v>dpa905_1</v>
      </c>
      <c r="AM273">
        <f>M273</f>
        <v>2</v>
      </c>
      <c r="AN273" t="str">
        <f>SUBSTITUTE(SUBSTITUTE(SUBSTITUTE("dpc"&amp;$B273&amp;$C273&amp;$D273&amp;$E273&amp;$F273,".","_"),"(","_"),")","")</f>
        <v>dpc905_1</v>
      </c>
      <c r="AO273">
        <f>O273</f>
        <v>0</v>
      </c>
      <c r="AP273" t="str">
        <f>SUBSTITUTE(SUBSTITUTE(SUBSTITUTE("dch"&amp;$B273&amp;$C273&amp;$D273&amp;$E273&amp;$F273,".","_"),"(","_"),")","")</f>
        <v>dch905_1</v>
      </c>
      <c r="AQ273">
        <f>W273</f>
        <v>0</v>
      </c>
      <c r="AR273" t="str">
        <f>SUBSTITUTE(SUBSTITUTE(SUBSTITUTE("dnt"&amp;$B273&amp;$C273&amp;$D273&amp;$E273&amp;$F273,".","_"),"(","_"),")","")</f>
        <v>dnt905_1</v>
      </c>
      <c r="AS273">
        <f>X273</f>
        <v>0</v>
      </c>
    </row>
    <row r="274" spans="2:45" x14ac:dyDescent="0.35">
      <c r="B274" s="452">
        <v>905.1</v>
      </c>
      <c r="C274" s="13"/>
      <c r="D274" s="13"/>
      <c r="E274" s="13"/>
      <c r="F274" s="13"/>
      <c r="G274" s="13"/>
      <c r="H274" s="550"/>
      <c r="I274" s="108"/>
      <c r="J274" s="4"/>
      <c r="K274" s="4"/>
      <c r="L274" s="706"/>
      <c r="M274" s="690"/>
      <c r="N274" s="4"/>
      <c r="O274" s="696"/>
      <c r="X274" s="688"/>
    </row>
    <row r="275" spans="2:45" x14ac:dyDescent="0.35">
      <c r="B275" s="452">
        <v>905.1</v>
      </c>
      <c r="C275" s="13"/>
      <c r="D275" s="13"/>
      <c r="E275" s="13"/>
      <c r="F275" s="13"/>
      <c r="G275" s="13"/>
      <c r="H275" s="550"/>
      <c r="I275" s="108"/>
      <c r="J275" s="4"/>
      <c r="K275" s="4"/>
      <c r="L275" s="706"/>
      <c r="M275" s="690"/>
      <c r="N275" s="4"/>
      <c r="O275" s="696"/>
      <c r="X275" s="688"/>
    </row>
    <row r="276" spans="2:45" x14ac:dyDescent="0.35">
      <c r="B276" s="452">
        <v>905.1</v>
      </c>
      <c r="C276" s="13"/>
      <c r="D276" s="13"/>
      <c r="E276" s="13"/>
      <c r="F276" s="13"/>
      <c r="G276" s="13"/>
      <c r="H276" s="550"/>
      <c r="I276" s="108"/>
      <c r="J276" s="4"/>
      <c r="K276" s="4"/>
      <c r="L276" s="706"/>
      <c r="M276" s="690"/>
      <c r="N276" s="4"/>
      <c r="O276" s="696"/>
      <c r="X276" s="688"/>
    </row>
    <row r="277" spans="2:45" ht="15" thickBot="1" x14ac:dyDescent="0.4">
      <c r="B277" s="452">
        <v>905.1</v>
      </c>
      <c r="C277" s="13"/>
      <c r="D277" s="13"/>
      <c r="E277" s="13"/>
      <c r="F277" s="13"/>
      <c r="G277" s="13"/>
      <c r="H277" s="550"/>
      <c r="I277" s="328"/>
      <c r="J277" s="183"/>
      <c r="K277" s="183"/>
      <c r="L277" s="710"/>
      <c r="M277" s="693"/>
      <c r="N277" s="183"/>
      <c r="O277" s="695"/>
      <c r="P277" s="58"/>
      <c r="Q277" s="58"/>
      <c r="R277" s="58"/>
      <c r="S277" s="58"/>
      <c r="T277" s="58"/>
      <c r="U277" s="58"/>
      <c r="V277" s="58"/>
      <c r="W277" s="58"/>
      <c r="X277" s="689"/>
    </row>
    <row r="278" spans="2:45" ht="15" thickTop="1" x14ac:dyDescent="0.35">
      <c r="B278" s="452">
        <v>905.2</v>
      </c>
      <c r="C278" s="13"/>
      <c r="D278" s="13"/>
      <c r="E278" s="13"/>
      <c r="F278" s="13"/>
      <c r="G278" s="13"/>
      <c r="H278" s="550"/>
      <c r="I278" s="32">
        <v>905.2</v>
      </c>
      <c r="J278" s="4"/>
      <c r="K278" s="4"/>
      <c r="L278" s="706" t="s">
        <v>3491</v>
      </c>
      <c r="M278" s="690">
        <v>2</v>
      </c>
      <c r="N278" s="4"/>
      <c r="O278" s="696">
        <f>M278*S278*W278</f>
        <v>0</v>
      </c>
      <c r="P278" t="b">
        <v>0</v>
      </c>
      <c r="Q278" t="b">
        <v>1</v>
      </c>
      <c r="R278" t="b">
        <v>0</v>
      </c>
      <c r="S278" t="b">
        <v>1</v>
      </c>
      <c r="T278" t="b">
        <v>0</v>
      </c>
      <c r="W278" s="77"/>
      <c r="X278" s="700"/>
      <c r="AC278" t="b">
        <f>OR(AD278:AE278)</f>
        <v>0</v>
      </c>
      <c r="AD278" t="b">
        <f>T278</f>
        <v>0</v>
      </c>
      <c r="AE278" t="b">
        <f>AND(R278,NOT(W278))</f>
        <v>0</v>
      </c>
      <c r="AL278" t="str">
        <f>SUBSTITUTE(SUBSTITUTE(SUBSTITUTE("dpa"&amp;$B278&amp;$C278&amp;$D278&amp;$E278&amp;$F278,".","_"),"(","_"),")","")</f>
        <v>dpa905_2</v>
      </c>
      <c r="AM278">
        <f>M278</f>
        <v>2</v>
      </c>
      <c r="AN278" t="str">
        <f>SUBSTITUTE(SUBSTITUTE(SUBSTITUTE("dpc"&amp;$B278&amp;$C278&amp;$D278&amp;$E278&amp;$F278,".","_"),"(","_"),")","")</f>
        <v>dpc905_2</v>
      </c>
      <c r="AO278">
        <f>O278</f>
        <v>0</v>
      </c>
      <c r="AP278" t="str">
        <f>SUBSTITUTE(SUBSTITUTE(SUBSTITUTE("dch"&amp;$B278&amp;$C278&amp;$D278&amp;$E278&amp;$F278,".","_"),"(","_"),")","")</f>
        <v>dch905_2</v>
      </c>
      <c r="AQ278">
        <f>W278</f>
        <v>0</v>
      </c>
      <c r="AR278" t="str">
        <f>SUBSTITUTE(SUBSTITUTE(SUBSTITUTE("dnt"&amp;$B278&amp;$C278&amp;$D278&amp;$E278&amp;$F278,".","_"),"(","_"),")","")</f>
        <v>dnt905_2</v>
      </c>
      <c r="AS278">
        <f>X278</f>
        <v>0</v>
      </c>
    </row>
    <row r="279" spans="2:45" ht="15" thickBot="1" x14ac:dyDescent="0.4">
      <c r="B279" s="452">
        <v>905.2</v>
      </c>
      <c r="C279" s="13"/>
      <c r="D279" s="13"/>
      <c r="E279" s="13"/>
      <c r="F279" s="13"/>
      <c r="G279" s="13"/>
      <c r="H279" s="550"/>
      <c r="I279" s="108"/>
      <c r="J279" s="4"/>
      <c r="K279" s="4"/>
      <c r="L279" s="706"/>
      <c r="M279" s="690"/>
      <c r="N279" s="4"/>
      <c r="O279" s="696"/>
      <c r="X279" s="688"/>
    </row>
    <row r="280" spans="2:45" ht="15.5" thickTop="1" thickBot="1" x14ac:dyDescent="0.4">
      <c r="I280" s="142" t="s">
        <v>4045</v>
      </c>
      <c r="J280" s="143"/>
      <c r="K280" s="143"/>
      <c r="L280" s="143"/>
      <c r="M280" s="144"/>
      <c r="N280" s="143"/>
      <c r="O280" s="145"/>
      <c r="P280" s="143"/>
      <c r="Q280" s="143"/>
      <c r="R280" s="143"/>
      <c r="S280" s="143"/>
      <c r="T280" s="143"/>
      <c r="U280" s="143"/>
      <c r="V280" s="143"/>
      <c r="W280" s="143"/>
      <c r="X280" s="206" t="s">
        <v>4046</v>
      </c>
    </row>
    <row r="281" spans="2:45" ht="15" thickTop="1" x14ac:dyDescent="0.35"/>
  </sheetData>
  <sheetProtection algorithmName="SHA-512" hashValue="LHatblzrY9x+0JyYhKsDR8/Njrw0r1SzJ/cPEFwkVyUS8UhuGls+oghPn1HfUzMfF1DiDSOJbVtIh5KB+tnIFw==" saltValue="KNxULwuJ+CDxyV1zLUXjiA==" spinCount="100000" sheet="1" objects="1" scenarios="1" selectLockedCells="1" autoFilter="0"/>
  <mergeCells count="246">
    <mergeCell ref="H1:H7"/>
    <mergeCell ref="X248:X251"/>
    <mergeCell ref="X252:X255"/>
    <mergeCell ref="X264:X268"/>
    <mergeCell ref="X269:X271"/>
    <mergeCell ref="X273:X277"/>
    <mergeCell ref="X278:X279"/>
    <mergeCell ref="X256:X260"/>
    <mergeCell ref="X211:X219"/>
    <mergeCell ref="X220:X221"/>
    <mergeCell ref="X222:X224"/>
    <mergeCell ref="X225:X227"/>
    <mergeCell ref="X228:X234"/>
    <mergeCell ref="X237:X238"/>
    <mergeCell ref="X239:X241"/>
    <mergeCell ref="X242:X243"/>
    <mergeCell ref="X244:X245"/>
    <mergeCell ref="X181:X182"/>
    <mergeCell ref="X183:X184"/>
    <mergeCell ref="X185:X187"/>
    <mergeCell ref="X188:X191"/>
    <mergeCell ref="X192:X195"/>
    <mergeCell ref="X196:X200"/>
    <mergeCell ref="X203:X204"/>
    <mergeCell ref="X205:X206"/>
    <mergeCell ref="X207:X209"/>
    <mergeCell ref="X139:X144"/>
    <mergeCell ref="X148:X152"/>
    <mergeCell ref="X154:X157"/>
    <mergeCell ref="X158:X162"/>
    <mergeCell ref="X163:X164"/>
    <mergeCell ref="X165:X168"/>
    <mergeCell ref="X171:X172"/>
    <mergeCell ref="X173:X174"/>
    <mergeCell ref="X179:X180"/>
    <mergeCell ref="X92:X94"/>
    <mergeCell ref="X95:X96"/>
    <mergeCell ref="X104:X113"/>
    <mergeCell ref="X114:X117"/>
    <mergeCell ref="X118:X123"/>
    <mergeCell ref="X124:X126"/>
    <mergeCell ref="X129:X130"/>
    <mergeCell ref="X132:X133"/>
    <mergeCell ref="X134:X138"/>
    <mergeCell ref="X47:X49"/>
    <mergeCell ref="X50:X51"/>
    <mergeCell ref="X52:X53"/>
    <mergeCell ref="X57:X58"/>
    <mergeCell ref="X59:X60"/>
    <mergeCell ref="X61:X66"/>
    <mergeCell ref="X71:X75"/>
    <mergeCell ref="X76:X86"/>
    <mergeCell ref="X90:X91"/>
    <mergeCell ref="X12:X17"/>
    <mergeCell ref="X18:X20"/>
    <mergeCell ref="X23:X25"/>
    <mergeCell ref="X26:X28"/>
    <mergeCell ref="X29:X32"/>
    <mergeCell ref="X33:X35"/>
    <mergeCell ref="X36:X38"/>
    <mergeCell ref="X42:X44"/>
    <mergeCell ref="X45:X46"/>
    <mergeCell ref="M48:M49"/>
    <mergeCell ref="O42:O44"/>
    <mergeCell ref="O45:O46"/>
    <mergeCell ref="O47:O49"/>
    <mergeCell ref="O50:O51"/>
    <mergeCell ref="O52:O53"/>
    <mergeCell ref="O97:O103"/>
    <mergeCell ref="O118:O123"/>
    <mergeCell ref="O127:O128"/>
    <mergeCell ref="O57:O58"/>
    <mergeCell ref="O59:O60"/>
    <mergeCell ref="O61:O66"/>
    <mergeCell ref="O90:O91"/>
    <mergeCell ref="O92:O94"/>
    <mergeCell ref="M61:M66"/>
    <mergeCell ref="M68:M70"/>
    <mergeCell ref="M71:M75"/>
    <mergeCell ref="M80:M81"/>
    <mergeCell ref="M84:M85"/>
    <mergeCell ref="O68:O70"/>
    <mergeCell ref="I1:L1"/>
    <mergeCell ref="M1:W5"/>
    <mergeCell ref="I2:L2"/>
    <mergeCell ref="I3:L3"/>
    <mergeCell ref="I6:K7"/>
    <mergeCell ref="L6:L7"/>
    <mergeCell ref="M6:M7"/>
    <mergeCell ref="N6:N7"/>
    <mergeCell ref="P6:P7"/>
    <mergeCell ref="L12:L15"/>
    <mergeCell ref="L16:L17"/>
    <mergeCell ref="U6:U7"/>
    <mergeCell ref="V6:V7"/>
    <mergeCell ref="W6:W7"/>
    <mergeCell ref="L40:L41"/>
    <mergeCell ref="L42:L44"/>
    <mergeCell ref="L45:L46"/>
    <mergeCell ref="X4:X5"/>
    <mergeCell ref="Q6:Q7"/>
    <mergeCell ref="X6:X7"/>
    <mergeCell ref="R6:R7"/>
    <mergeCell ref="S6:S7"/>
    <mergeCell ref="T6:T7"/>
    <mergeCell ref="M12:M17"/>
    <mergeCell ref="I4:L4"/>
    <mergeCell ref="I5:L5"/>
    <mergeCell ref="O12:O17"/>
    <mergeCell ref="M18:M19"/>
    <mergeCell ref="M29:M32"/>
    <mergeCell ref="M33:M35"/>
    <mergeCell ref="O18:O19"/>
    <mergeCell ref="O33:O35"/>
    <mergeCell ref="M43:M44"/>
    <mergeCell ref="L47:L49"/>
    <mergeCell ref="L52:L53"/>
    <mergeCell ref="L50:L51"/>
    <mergeCell ref="L18:L19"/>
    <mergeCell ref="L21:L22"/>
    <mergeCell ref="L29:L32"/>
    <mergeCell ref="L80:L81"/>
    <mergeCell ref="L84:L85"/>
    <mergeCell ref="L87:L88"/>
    <mergeCell ref="L33:L35"/>
    <mergeCell ref="L57:L58"/>
    <mergeCell ref="L59:L60"/>
    <mergeCell ref="L61:L66"/>
    <mergeCell ref="L68:L70"/>
    <mergeCell ref="L71:L74"/>
    <mergeCell ref="M249:M250"/>
    <mergeCell ref="M254:M255"/>
    <mergeCell ref="L259:L260"/>
    <mergeCell ref="L118:L123"/>
    <mergeCell ref="L124:L126"/>
    <mergeCell ref="L165:L166"/>
    <mergeCell ref="L169:L170"/>
    <mergeCell ref="L136:L137"/>
    <mergeCell ref="L139:L144"/>
    <mergeCell ref="L145:L147"/>
    <mergeCell ref="L154:L156"/>
    <mergeCell ref="L127:L128"/>
    <mergeCell ref="L129:L130"/>
    <mergeCell ref="L134:L135"/>
    <mergeCell ref="L185:L187"/>
    <mergeCell ref="L158:L162"/>
    <mergeCell ref="L163:L164"/>
    <mergeCell ref="M118:M123"/>
    <mergeCell ref="M127:M128"/>
    <mergeCell ref="M134:M137"/>
    <mergeCell ref="M139:M144"/>
    <mergeCell ref="L148:L152"/>
    <mergeCell ref="L239:L241"/>
    <mergeCell ref="L244:L245"/>
    <mergeCell ref="L262:L263"/>
    <mergeCell ref="L264:L268"/>
    <mergeCell ref="L273:L277"/>
    <mergeCell ref="L278:L279"/>
    <mergeCell ref="L269:L271"/>
    <mergeCell ref="M211:M213"/>
    <mergeCell ref="L216:L217"/>
    <mergeCell ref="L220:L221"/>
    <mergeCell ref="L188:L189"/>
    <mergeCell ref="L192:L193"/>
    <mergeCell ref="L201:L202"/>
    <mergeCell ref="L203:L204"/>
    <mergeCell ref="L205:L206"/>
    <mergeCell ref="M201:M202"/>
    <mergeCell ref="M214:M215"/>
    <mergeCell ref="M216:M217"/>
    <mergeCell ref="M220:M221"/>
    <mergeCell ref="M197:M198"/>
    <mergeCell ref="M199:M200"/>
    <mergeCell ref="M273:M277"/>
    <mergeCell ref="M278:M279"/>
    <mergeCell ref="L256:L257"/>
    <mergeCell ref="L242:L243"/>
    <mergeCell ref="L214:L215"/>
    <mergeCell ref="L249:L250"/>
    <mergeCell ref="L254:L255"/>
    <mergeCell ref="L222:L224"/>
    <mergeCell ref="L225:L227"/>
    <mergeCell ref="L228:L229"/>
    <mergeCell ref="L235:L236"/>
    <mergeCell ref="L237:L238"/>
    <mergeCell ref="L207:L209"/>
    <mergeCell ref="L211:L213"/>
    <mergeCell ref="L173:L174"/>
    <mergeCell ref="L179:L180"/>
    <mergeCell ref="L95:L96"/>
    <mergeCell ref="L97:L101"/>
    <mergeCell ref="L102:L103"/>
    <mergeCell ref="L116:L117"/>
    <mergeCell ref="L104:L107"/>
    <mergeCell ref="L183:L184"/>
    <mergeCell ref="L90:L91"/>
    <mergeCell ref="L92:L94"/>
    <mergeCell ref="L171:L172"/>
    <mergeCell ref="L181:L182"/>
    <mergeCell ref="M264:M268"/>
    <mergeCell ref="M269:M271"/>
    <mergeCell ref="M222:M224"/>
    <mergeCell ref="M225:M227"/>
    <mergeCell ref="M235:M236"/>
    <mergeCell ref="M242:M243"/>
    <mergeCell ref="M244:M245"/>
    <mergeCell ref="M148:M152"/>
    <mergeCell ref="M90:M91"/>
    <mergeCell ref="M92:M94"/>
    <mergeCell ref="M95:M96"/>
    <mergeCell ref="M97:M103"/>
    <mergeCell ref="M185:M187"/>
    <mergeCell ref="M188:M189"/>
    <mergeCell ref="M192:M193"/>
    <mergeCell ref="M158:M162"/>
    <mergeCell ref="M171:M172"/>
    <mergeCell ref="M173:M174"/>
    <mergeCell ref="M256:M257"/>
    <mergeCell ref="M179:M180"/>
    <mergeCell ref="M183:M184"/>
    <mergeCell ref="M163:M164"/>
    <mergeCell ref="M181:M182"/>
    <mergeCell ref="M154:M156"/>
    <mergeCell ref="O134:O137"/>
    <mergeCell ref="O269:O271"/>
    <mergeCell ref="O273:O277"/>
    <mergeCell ref="O278:O279"/>
    <mergeCell ref="O188:O189"/>
    <mergeCell ref="O211:O213"/>
    <mergeCell ref="O220:O221"/>
    <mergeCell ref="O222:O224"/>
    <mergeCell ref="O225:O227"/>
    <mergeCell ref="O235:O236"/>
    <mergeCell ref="O242:O243"/>
    <mergeCell ref="O256:O257"/>
    <mergeCell ref="O264:O268"/>
    <mergeCell ref="O201:O202"/>
    <mergeCell ref="O145:O147"/>
    <mergeCell ref="O139:O144"/>
    <mergeCell ref="O158:O162"/>
    <mergeCell ref="O165:O166"/>
    <mergeCell ref="O171:O172"/>
    <mergeCell ref="O173:O174"/>
    <mergeCell ref="O181:O182"/>
    <mergeCell ref="O185:O187"/>
    <mergeCell ref="O192:O193"/>
  </mergeCells>
  <conditionalFormatting sqref="I1">
    <cfRule type="expression" dxfId="2807" priority="2">
      <formula>$AG$1="Gold"</formula>
    </cfRule>
    <cfRule type="expression" dxfId="2806" priority="3">
      <formula>$AG$1="Silver"</formula>
    </cfRule>
    <cfRule type="expression" dxfId="2805" priority="4">
      <formula>$AG$1="Bronze"</formula>
    </cfRule>
    <cfRule type="expression" dxfId="2804" priority="5">
      <formula>$AG$1="Emerald"</formula>
    </cfRule>
  </conditionalFormatting>
  <conditionalFormatting sqref="W12">
    <cfRule type="expression" dxfId="2803" priority="302">
      <formula>AND($R$12,$S$12)</formula>
    </cfRule>
    <cfRule type="expression" dxfId="2802" priority="301">
      <formula>AND(IF($R$12,$W$12,TRUE),LEN(TRIM($W$12))&gt;0)</formula>
    </cfRule>
    <cfRule type="expression" dxfId="2801" priority="300">
      <formula>$S$12 = FALSE</formula>
    </cfRule>
    <cfRule type="expression" dxfId="2800" priority="299">
      <formula>OR($T$12 = TRUE, AND($W$12 = TRUE, $S$12 = FALSE))</formula>
    </cfRule>
  </conditionalFormatting>
  <conditionalFormatting sqref="W18">
    <cfRule type="expression" dxfId="2799" priority="298">
      <formula>AND($R$18,$S$18)</formula>
    </cfRule>
    <cfRule type="expression" dxfId="2798" priority="297">
      <formula>AND(IF($R$18,$W$18,TRUE),LEN(TRIM($W$18))&gt;0)</formula>
    </cfRule>
    <cfRule type="expression" dxfId="2797" priority="296">
      <formula>$S$18 = FALSE</formula>
    </cfRule>
    <cfRule type="expression" dxfId="2796" priority="295">
      <formula>OR($T$18 = TRUE, AND($W$18 = TRUE, $S$18 = FALSE))</formula>
    </cfRule>
  </conditionalFormatting>
  <conditionalFormatting sqref="W23">
    <cfRule type="expression" dxfId="2795" priority="292">
      <formula>$S$23 = FALSE</formula>
    </cfRule>
    <cfRule type="expression" dxfId="2794" priority="293">
      <formula>AND($W$23&lt;&gt;"Not Met",LEN(TRIM($W$23))&gt;0)</formula>
    </cfRule>
    <cfRule type="expression" dxfId="2793" priority="291">
      <formula>OR($T$23 = TRUE, AND(LEN(TRIM($W$23))&gt;0, $S$23 = FALSE))</formula>
    </cfRule>
    <cfRule type="expression" dxfId="2792" priority="294">
      <formula>AND($R$23,$S$23)</formula>
    </cfRule>
  </conditionalFormatting>
  <conditionalFormatting sqref="W26">
    <cfRule type="expression" dxfId="2791" priority="290">
      <formula>AND($R$26,$S$26)</formula>
    </cfRule>
    <cfRule type="expression" dxfId="2790" priority="289">
      <formula>AND($W$26&lt;&gt;"Not Met",LEN(TRIM($W$26))&gt;0)</formula>
    </cfRule>
    <cfRule type="expression" dxfId="2789" priority="288">
      <formula>$S$26 = FALSE</formula>
    </cfRule>
    <cfRule type="expression" dxfId="2788" priority="287">
      <formula>OR($T$26 = TRUE, AND(LEN(TRIM($W$26))&gt;0, $S$26 = FALSE))</formula>
    </cfRule>
  </conditionalFormatting>
  <conditionalFormatting sqref="W29">
    <cfRule type="expression" dxfId="2787" priority="286">
      <formula>AND($R$29,$S$29)</formula>
    </cfRule>
    <cfRule type="expression" dxfId="2786" priority="285">
      <formula>AND($W$29&lt;&gt;"Not Met",LEN(TRIM($W$29))&gt;0)</formula>
    </cfRule>
    <cfRule type="expression" dxfId="2785" priority="284">
      <formula>$S$29 = FALSE</formula>
    </cfRule>
    <cfRule type="expression" dxfId="2784" priority="283">
      <formula>OR($T$29 = TRUE, AND(LEN(TRIM($W$29))&gt;0, $S$29 = FALSE))</formula>
    </cfRule>
  </conditionalFormatting>
  <conditionalFormatting sqref="W33">
    <cfRule type="expression" dxfId="2783" priority="282">
      <formula>AND($R$33,$S$33)</formula>
    </cfRule>
    <cfRule type="expression" dxfId="2782" priority="281">
      <formula>AND(IF($R$33,$W$33,TRUE),LEN(TRIM($W$33))&gt;0)</formula>
    </cfRule>
    <cfRule type="expression" dxfId="2781" priority="280">
      <formula>$S$33 = FALSE</formula>
    </cfRule>
    <cfRule type="expression" dxfId="2780" priority="279">
      <formula>OR($T$33 = TRUE, AND($W$33 = TRUE, $S$33 = FALSE))</formula>
    </cfRule>
  </conditionalFormatting>
  <conditionalFormatting sqref="W36">
    <cfRule type="expression" dxfId="2779" priority="278">
      <formula>AND($R$36,$S$36)</formula>
    </cfRule>
    <cfRule type="expression" dxfId="2778" priority="277">
      <formula>AND($W$36&lt;&gt;"Not Met",LEN(TRIM($W$36))&gt;0)</formula>
    </cfRule>
    <cfRule type="expression" dxfId="2777" priority="276">
      <formula>$S$36 = FALSE</formula>
    </cfRule>
    <cfRule type="expression" dxfId="2776" priority="275">
      <formula>OR($T$36 = TRUE, AND(LEN(TRIM($W$36))&gt;0, $S$36 = FALSE))</formula>
    </cfRule>
  </conditionalFormatting>
  <conditionalFormatting sqref="W42">
    <cfRule type="expression" dxfId="2775" priority="271">
      <formula>OR($T$42 = TRUE, AND(LEN(TRIM($W$42))&gt;0, $S$42 = FALSE,$W$42&lt;&gt;"N/A"))</formula>
    </cfRule>
    <cfRule type="expression" dxfId="2774" priority="272">
      <formula>$S$42 = FALSE</formula>
    </cfRule>
    <cfRule type="expression" dxfId="2773" priority="274">
      <formula>AND($R$42,$S$42)</formula>
    </cfRule>
    <cfRule type="expression" dxfId="2772" priority="273">
      <formula>AND($W$42&lt;&gt;"Not Met",LEN(TRIM($W$42))&gt;0)</formula>
    </cfRule>
  </conditionalFormatting>
  <conditionalFormatting sqref="W45">
    <cfRule type="expression" dxfId="2771" priority="268">
      <formula>$S$45 = FALSE</formula>
    </cfRule>
    <cfRule type="expression" dxfId="2770" priority="270">
      <formula>AND($R$45,$S$45)</formula>
    </cfRule>
    <cfRule type="expression" dxfId="2769" priority="269">
      <formula>AND($W$45&lt;&gt;"Not Met",LEN(TRIM($W$45))&gt;0)</formula>
    </cfRule>
    <cfRule type="expression" dxfId="2768" priority="267">
      <formula>OR($T$45 = TRUE, AND(LEN(TRIM($W$45))&gt;0, $S$45 = FALSE,$W$45&lt;&gt;"N/A"))</formula>
    </cfRule>
  </conditionalFormatting>
  <conditionalFormatting sqref="W47">
    <cfRule type="expression" dxfId="2767" priority="266">
      <formula>AND($R$47,$S$47)</formula>
    </cfRule>
    <cfRule type="expression" dxfId="2766" priority="265">
      <formula>AND($W$47&lt;&gt;"Not Met",LEN(TRIM($W$47))&gt;0)</formula>
    </cfRule>
    <cfRule type="expression" dxfId="2765" priority="264">
      <formula>$S$47 = FALSE</formula>
    </cfRule>
    <cfRule type="expression" dxfId="2764" priority="263">
      <formula>OR($T$47 = TRUE, AND(LEN(TRIM($W$47))&gt;0, $S$47 = FALSE,$W$47&lt;&gt;"N/A"))</formula>
    </cfRule>
  </conditionalFormatting>
  <conditionalFormatting sqref="W50">
    <cfRule type="expression" dxfId="2763" priority="262">
      <formula>AND($R$50,$S$50)</formula>
    </cfRule>
    <cfRule type="expression" dxfId="2762" priority="261">
      <formula>AND($W$50&lt;&gt;"Not Met",LEN(TRIM($W$50))&gt;0)</formula>
    </cfRule>
    <cfRule type="expression" dxfId="2761" priority="260">
      <formula>$S$50 = FALSE</formula>
    </cfRule>
    <cfRule type="expression" dxfId="2760" priority="259">
      <formula>OR($T$50 = TRUE, AND(LEN(TRIM($W$50))&gt;0, $S$50 = FALSE,$W$50&lt;&gt;"N/A"))</formula>
    </cfRule>
  </conditionalFormatting>
  <conditionalFormatting sqref="W52">
    <cfRule type="expression" dxfId="2759" priority="256">
      <formula>$S$52 = FALSE</formula>
    </cfRule>
    <cfRule type="expression" dxfId="2758" priority="255">
      <formula>OR($T$52 = TRUE, AND(LEN(TRIM($W$52))&gt;0, $S$52 = FALSE,$W$52&lt;&gt;"N/A"))</formula>
    </cfRule>
    <cfRule type="expression" dxfId="2757" priority="258">
      <formula>AND($R$52,$S$52)</formula>
    </cfRule>
    <cfRule type="expression" dxfId="2756" priority="257">
      <formula>AND($W$52&lt;&gt;"Not Met",LEN(TRIM($W$52))&gt;0)</formula>
    </cfRule>
  </conditionalFormatting>
  <conditionalFormatting sqref="W54">
    <cfRule type="expression" dxfId="2755" priority="252">
      <formula>$S$54 = FALSE</formula>
    </cfRule>
    <cfRule type="expression" dxfId="2754" priority="251">
      <formula>OR($T$54 = TRUE, AND($W$54 = TRUE, $S$54 = FALSE))</formula>
    </cfRule>
    <cfRule type="expression" dxfId="2753" priority="254">
      <formula>AND($R$54,$S$54)</formula>
    </cfRule>
    <cfRule type="expression" dxfId="2752" priority="253">
      <formula>AND(IF($R$54,$W$54,TRUE),LEN(TRIM($W$54))&gt;0)</formula>
    </cfRule>
  </conditionalFormatting>
  <conditionalFormatting sqref="W57">
    <cfRule type="expression" dxfId="2751" priority="246">
      <formula>AND($R$57,$S$57)</formula>
    </cfRule>
    <cfRule type="expression" dxfId="2750" priority="245">
      <formula>AND($W$57&lt;&gt;"Not Met",LEN(TRIM($W$57))&gt;0)</formula>
    </cfRule>
    <cfRule type="expression" dxfId="2749" priority="244">
      <formula>$S$57 = FALSE</formula>
    </cfRule>
    <cfRule type="expression" dxfId="2748" priority="243">
      <formula>OR($T$57 = TRUE, AND(LEN(TRIM($W$57))&gt;0, $S$57 = FALSE))</formula>
    </cfRule>
  </conditionalFormatting>
  <conditionalFormatting sqref="W59">
    <cfRule type="expression" dxfId="2747" priority="242">
      <formula>AND($R$59,$S$59)</formula>
    </cfRule>
    <cfRule type="expression" dxfId="2746" priority="241">
      <formula>AND($W$59&lt;&gt;"Not Met",LEN(TRIM($W$59))&gt;0)</formula>
    </cfRule>
    <cfRule type="expression" dxfId="2745" priority="240">
      <formula>$S$59 = FALSE</formula>
    </cfRule>
    <cfRule type="expression" dxfId="2744" priority="239">
      <formula>OR($T$59 = TRUE, AND(LEN(TRIM($W$59))&gt;0, $S$59 = FALSE))</formula>
    </cfRule>
  </conditionalFormatting>
  <conditionalFormatting sqref="W61">
    <cfRule type="expression" dxfId="2743" priority="238">
      <formula>AND($R$61,$S$61)</formula>
    </cfRule>
    <cfRule type="expression" dxfId="2742" priority="237">
      <formula>AND(IF($R$61,$W$61,TRUE),LEN(TRIM($W$61))&gt;0)</formula>
    </cfRule>
    <cfRule type="expression" dxfId="2741" priority="236">
      <formula>$S$61 = FALSE</formula>
    </cfRule>
    <cfRule type="expression" dxfId="2740" priority="235">
      <formula>OR($T$61 = TRUE, AND($W$61 = TRUE, $S$61 = FALSE))</formula>
    </cfRule>
  </conditionalFormatting>
  <conditionalFormatting sqref="W67">
    <cfRule type="expression" dxfId="2739" priority="250">
      <formula>AND($R$67,$S$67)</formula>
    </cfRule>
    <cfRule type="expression" dxfId="2738" priority="249">
      <formula>AND(IF($R$67,$W$67,TRUE),LEN(TRIM($W$67))&gt;0)</formula>
    </cfRule>
    <cfRule type="expression" dxfId="2737" priority="248">
      <formula>$S$67 = FALSE</formula>
    </cfRule>
    <cfRule type="expression" dxfId="2736" priority="247">
      <formula>OR($T$67 = TRUE, AND($W$67 = TRUE, $S$67 = FALSE))</formula>
    </cfRule>
  </conditionalFormatting>
  <conditionalFormatting sqref="W71">
    <cfRule type="expression" dxfId="2735" priority="231">
      <formula>OR($T$71 = TRUE, AND(LEN(TRIM($W$71))&gt;0, $S$71 = FALSE))</formula>
    </cfRule>
    <cfRule type="expression" dxfId="2734" priority="232">
      <formula>$S$71 = FALSE</formula>
    </cfRule>
    <cfRule type="expression" dxfId="2733" priority="234">
      <formula>AND($R$71,$S$71)</formula>
    </cfRule>
    <cfRule type="expression" dxfId="2732" priority="233">
      <formula>AND($W$71&lt;&gt;"Not Met",LEN(TRIM($W$71))&gt;0)</formula>
    </cfRule>
  </conditionalFormatting>
  <conditionalFormatting sqref="W76">
    <cfRule type="expression" dxfId="2731" priority="228">
      <formula>$S$76 = FALSE</formula>
    </cfRule>
    <cfRule type="expression" dxfId="2730" priority="227">
      <formula>OR($T$76 = TRUE, AND(LEN(TRIM($W$76))&gt;0, $S$76 = FALSE))</formula>
    </cfRule>
    <cfRule type="expression" dxfId="2729" priority="230">
      <formula>AND($R$76,$S$76)</formula>
    </cfRule>
    <cfRule type="expression" dxfId="2728" priority="229">
      <formula>AND($W$76&lt;&gt;"Not Met",LEN(TRIM($W$76))&gt;0)</formula>
    </cfRule>
  </conditionalFormatting>
  <conditionalFormatting sqref="W77">
    <cfRule type="expression" dxfId="2727" priority="226">
      <formula>AND($R$77,$S$77)</formula>
    </cfRule>
    <cfRule type="expression" dxfId="2726" priority="225">
      <formula>AND($W$77&lt;&gt;"Not Met",LEN(TRIM($W$77))&gt;0)</formula>
    </cfRule>
    <cfRule type="expression" dxfId="2725" priority="224">
      <formula>$S$77 = FALSE</formula>
    </cfRule>
    <cfRule type="expression" dxfId="2724" priority="223">
      <formula>OR($T$77 = TRUE, AND(LEN(TRIM($W$77))&gt;0, $S$77 = FALSE))</formula>
    </cfRule>
  </conditionalFormatting>
  <conditionalFormatting sqref="W78">
    <cfRule type="expression" dxfId="2723" priority="219">
      <formula>OR($T$78 = TRUE, AND(LEN(TRIM($W$78))&gt;0, $S$78 = FALSE))</formula>
    </cfRule>
    <cfRule type="expression" dxfId="2722" priority="222">
      <formula>AND($R$78,$S$78)</formula>
    </cfRule>
    <cfRule type="expression" dxfId="2721" priority="221">
      <formula>AND($W$78&lt;&gt;"Not Met",LEN(TRIM($W$78))&gt;0)</formula>
    </cfRule>
    <cfRule type="expression" dxfId="2720" priority="220">
      <formula>$S$78 = FALSE</formula>
    </cfRule>
  </conditionalFormatting>
  <conditionalFormatting sqref="W79">
    <cfRule type="expression" dxfId="2719" priority="218">
      <formula>AND($R$79,$S$79)</formula>
    </cfRule>
    <cfRule type="expression" dxfId="2718" priority="217">
      <formula>AND($W$79&lt;&gt;"Not Met",LEN(TRIM($W$79))&gt;0)</formula>
    </cfRule>
    <cfRule type="expression" dxfId="2717" priority="216">
      <formula>$S$79 = FALSE</formula>
    </cfRule>
    <cfRule type="expression" dxfId="2716" priority="215">
      <formula>OR($T$79 = TRUE, AND(LEN(TRIM($W$79))&gt;0, $S$79 = FALSE))</formula>
    </cfRule>
  </conditionalFormatting>
  <conditionalFormatting sqref="W90">
    <cfRule type="expression" dxfId="2715" priority="212">
      <formula>$S$90 = FALSE</formula>
    </cfRule>
    <cfRule type="expression" dxfId="2714" priority="211">
      <formula>OR($T$90 = TRUE, AND($W$90 = TRUE, $S$90 = FALSE))</formula>
    </cfRule>
    <cfRule type="expression" dxfId="2713" priority="214">
      <formula>AND($R$90,$S$90)</formula>
    </cfRule>
    <cfRule type="expression" dxfId="2712" priority="213">
      <formula>AND(IF($R$90,$W$90,TRUE),LEN(TRIM($W$90))&gt;0)</formula>
    </cfRule>
  </conditionalFormatting>
  <conditionalFormatting sqref="W92">
    <cfRule type="expression" dxfId="2711" priority="208">
      <formula>$S$92 = FALSE</formula>
    </cfRule>
    <cfRule type="expression" dxfId="2710" priority="210">
      <formula>AND($R$92,$S$92)</formula>
    </cfRule>
    <cfRule type="expression" dxfId="2709" priority="207">
      <formula>OR($T$92 = TRUE, AND($W$92 = TRUE, $S$92 = FALSE))</formula>
    </cfRule>
    <cfRule type="expression" dxfId="2708" priority="209">
      <formula>AND(IF($R$92,$W$92,TRUE),LEN(TRIM($W$92))&gt;0)</formula>
    </cfRule>
  </conditionalFormatting>
  <conditionalFormatting sqref="W95">
    <cfRule type="expression" dxfId="2707" priority="206">
      <formula>AND($R$95,$S$95)</formula>
    </cfRule>
    <cfRule type="expression" dxfId="2706" priority="205">
      <formula>AND(IF($R$95,$W$95,TRUE),LEN(TRIM($W$95))&gt;0)</formula>
    </cfRule>
    <cfRule type="expression" dxfId="2705" priority="204">
      <formula>$S$95 = FALSE</formula>
    </cfRule>
    <cfRule type="expression" dxfId="2704" priority="203">
      <formula>OR($T$95 = TRUE, AND($W$95 = TRUE, $S$95 = FALSE))</formula>
    </cfRule>
  </conditionalFormatting>
  <conditionalFormatting sqref="W104">
    <cfRule type="expression" dxfId="2703" priority="39">
      <formula>OR(T104 = TRUE, AND(LEN(TRIM(W104))&gt;0, S104 = FALSE))</formula>
    </cfRule>
    <cfRule type="notContainsBlanks" dxfId="2702" priority="42">
      <formula>LEN(TRIM(W104))&gt;0</formula>
    </cfRule>
  </conditionalFormatting>
  <conditionalFormatting sqref="W114:W115">
    <cfRule type="notContainsBlanks" dxfId="2701" priority="36">
      <formula>LEN(TRIM(W114))&gt;0</formula>
    </cfRule>
    <cfRule type="expression" dxfId="2700" priority="35">
      <formula>OR(T114 = TRUE, AND(LEN(TRIM(W114))&gt;0, S114 = FALSE))</formula>
    </cfRule>
  </conditionalFormatting>
  <conditionalFormatting sqref="W118">
    <cfRule type="expression" dxfId="2699" priority="202">
      <formula>AND($R$118,$S$118)</formula>
    </cfRule>
    <cfRule type="expression" dxfId="2698" priority="201">
      <formula>AND(IF($R$118,$W$118,TRUE),LEN(TRIM($W$118))&gt;0)</formula>
    </cfRule>
    <cfRule type="expression" dxfId="2697" priority="200">
      <formula>$S$118 = FALSE</formula>
    </cfRule>
    <cfRule type="expression" dxfId="2696" priority="199">
      <formula>OR($T$118 = TRUE, AND($W$118 = TRUE, $S$118 = FALSE))</formula>
    </cfRule>
  </conditionalFormatting>
  <conditionalFormatting sqref="W129">
    <cfRule type="expression" dxfId="2695" priority="195">
      <formula>OR($T$129 = TRUE, AND($W$129 = TRUE, $S$129 = FALSE))</formula>
    </cfRule>
    <cfRule type="expression" dxfId="2694" priority="198">
      <formula>AND($R$129,$S$129)</formula>
    </cfRule>
    <cfRule type="expression" dxfId="2693" priority="197">
      <formula>AND(IF($R$129,$W$129,TRUE),LEN(TRIM($W$129))&gt;0)</formula>
    </cfRule>
    <cfRule type="expression" dxfId="2692" priority="196">
      <formula>$S$129 = FALSE</formula>
    </cfRule>
  </conditionalFormatting>
  <conditionalFormatting sqref="W131">
    <cfRule type="expression" dxfId="2691" priority="191">
      <formula>OR($T$131 = TRUE, AND($W$131 = TRUE, $S$131 = FALSE))</formula>
    </cfRule>
    <cfRule type="expression" dxfId="2690" priority="194">
      <formula>AND($R$131,$S$131)</formula>
    </cfRule>
    <cfRule type="expression" dxfId="2689" priority="193">
      <formula>AND(IF($R$131,$W$131,TRUE),LEN(TRIM($W$131))&gt;0)</formula>
    </cfRule>
    <cfRule type="expression" dxfId="2688" priority="192">
      <formula>$S$131 = FALSE</formula>
    </cfRule>
  </conditionalFormatting>
  <conditionalFormatting sqref="W132">
    <cfRule type="expression" dxfId="2687" priority="188">
      <formula>$S$132 = FALSE</formula>
    </cfRule>
    <cfRule type="expression" dxfId="2686" priority="187">
      <formula>OR($T$132 = TRUE, AND($W$132 = TRUE, $S$132 = FALSE))</formula>
    </cfRule>
    <cfRule type="expression" dxfId="2685" priority="190">
      <formula>AND($R$132,$S$132)</formula>
    </cfRule>
    <cfRule type="expression" dxfId="2684" priority="189">
      <formula>AND(IF($R$132,$W$132,TRUE),LEN(TRIM($W$132))&gt;0)</formula>
    </cfRule>
  </conditionalFormatting>
  <conditionalFormatting sqref="W134">
    <cfRule type="expression" dxfId="2683" priority="34">
      <formula>AND($R$134,$S$134)</formula>
    </cfRule>
    <cfRule type="expression" dxfId="2682" priority="33">
      <formula>AND(IF($R$134,$W$134,TRUE),LEN(TRIM($W$134))&gt;0)</formula>
    </cfRule>
    <cfRule type="expression" dxfId="2681" priority="32">
      <formula>$S$134 = FALSE</formula>
    </cfRule>
    <cfRule type="expression" dxfId="2680" priority="31">
      <formula>OR($T$134 = TRUE, AND($W$134 = TRUE, $S$134 = FALSE))</formula>
    </cfRule>
  </conditionalFormatting>
  <conditionalFormatting sqref="W139">
    <cfRule type="expression" dxfId="2679" priority="184">
      <formula>$S$139 = FALSE</formula>
    </cfRule>
    <cfRule type="expression" dxfId="2678" priority="183">
      <formula>OR($T$139 = TRUE, AND($W$139 = TRUE, $S$139 = FALSE))</formula>
    </cfRule>
    <cfRule type="expression" dxfId="2677" priority="186">
      <formula>AND($R$139,$S$139)</formula>
    </cfRule>
    <cfRule type="expression" dxfId="2676" priority="185">
      <formula>AND(IF($R$139,$W$139,TRUE),LEN(TRIM($W$139))&gt;0)</formula>
    </cfRule>
  </conditionalFormatting>
  <conditionalFormatting sqref="W148">
    <cfRule type="expression" dxfId="2675" priority="182">
      <formula>AND($R$148,$S$148)</formula>
    </cfRule>
    <cfRule type="expression" dxfId="2674" priority="181">
      <formula>AND(IF($R$148,$W$148,TRUE),LEN(TRIM($W$148))&gt;0)</formula>
    </cfRule>
    <cfRule type="expression" dxfId="2673" priority="180">
      <formula>$S$148 = FALSE</formula>
    </cfRule>
    <cfRule type="expression" dxfId="2672" priority="179">
      <formula>OR($T$148 = TRUE, AND($W$148 = TRUE, $S$148 = FALSE))</formula>
    </cfRule>
  </conditionalFormatting>
  <conditionalFormatting sqref="W153">
    <cfRule type="expression" dxfId="2671" priority="178">
      <formula>AND($R$153,$S$153)</formula>
    </cfRule>
    <cfRule type="expression" dxfId="2670" priority="177">
      <formula>AND(IF($R$153,$W$153,TRUE),LEN(TRIM($W$153))&gt;0)</formula>
    </cfRule>
    <cfRule type="expression" dxfId="2669" priority="176">
      <formula>$S$153 = FALSE</formula>
    </cfRule>
    <cfRule type="expression" dxfId="2668" priority="175">
      <formula>OR($T$153 = TRUE, AND($W$153 = TRUE, $S$153 = FALSE))</formula>
    </cfRule>
  </conditionalFormatting>
  <conditionalFormatting sqref="W154">
    <cfRule type="expression" dxfId="2667" priority="174">
      <formula>AND($R$154,$S$154)</formula>
    </cfRule>
    <cfRule type="expression" dxfId="2666" priority="173">
      <formula>AND(IF($R$154,$W$154,TRUE),LEN(TRIM($W$154))&gt;0)</formula>
    </cfRule>
    <cfRule type="expression" dxfId="2665" priority="171">
      <formula>OR($T$154 = TRUE, AND($W$154 = TRUE, $S$154 = FALSE))</formula>
    </cfRule>
    <cfRule type="expression" dxfId="2664" priority="172">
      <formula>$S$154 = FALSE</formula>
    </cfRule>
  </conditionalFormatting>
  <conditionalFormatting sqref="W158">
    <cfRule type="expression" dxfId="2663" priority="170">
      <formula>AND($R$158,$S$158)</formula>
    </cfRule>
    <cfRule type="expression" dxfId="2662" priority="169">
      <formula>AND(IF($R$158,$W$158,TRUE),LEN(TRIM($W$158))&gt;0)</formula>
    </cfRule>
    <cfRule type="expression" dxfId="2661" priority="168">
      <formula>$S$158 = FALSE</formula>
    </cfRule>
    <cfRule type="expression" dxfId="2660" priority="167">
      <formula>OR($T$158 = TRUE, AND($W$158 = TRUE, $S$158 = FALSE))</formula>
    </cfRule>
  </conditionalFormatting>
  <conditionalFormatting sqref="W163">
    <cfRule type="expression" dxfId="2659" priority="6">
      <formula>OR($T$163 = TRUE, AND(LEN(TRIM($W$163))&gt;0, $S$163 = FALSE))</formula>
    </cfRule>
    <cfRule type="expression" dxfId="2658" priority="7">
      <formula>$S$163 = FALSE</formula>
    </cfRule>
    <cfRule type="expression" dxfId="2657" priority="9">
      <formula>AND($R$163,$S$163)</formula>
    </cfRule>
    <cfRule type="expression" dxfId="2656" priority="8">
      <formula>AND($W$163&lt;&gt;"Not Met",LEN(TRIM($W$163))&gt;0)</formula>
    </cfRule>
  </conditionalFormatting>
  <conditionalFormatting sqref="W167">
    <cfRule type="expression" dxfId="2655" priority="162">
      <formula>AND($R$167,$S$167)</formula>
    </cfRule>
    <cfRule type="expression" dxfId="2654" priority="161">
      <formula>AND(IF($R$167,$W$167,TRUE),LEN(TRIM($W$167))&gt;0)</formula>
    </cfRule>
    <cfRule type="expression" dxfId="2653" priority="160">
      <formula>$S$167 = FALSE</formula>
    </cfRule>
    <cfRule type="expression" dxfId="2652" priority="159">
      <formula>OR($T$167 = TRUE, AND($W$167 = TRUE, $S$167 = FALSE))</formula>
    </cfRule>
  </conditionalFormatting>
  <conditionalFormatting sqref="W168">
    <cfRule type="expression" dxfId="2651" priority="157">
      <formula>AND(IF($R$168,$W$168,TRUE),LEN(TRIM($W$168))&gt;0)</formula>
    </cfRule>
    <cfRule type="expression" dxfId="2650" priority="158">
      <formula>AND($R$168,$S$168)</formula>
    </cfRule>
    <cfRule type="expression" dxfId="2649" priority="155">
      <formula>OR($T$168 = TRUE, AND($W$168 = TRUE, $S$168 = FALSE))</formula>
    </cfRule>
    <cfRule type="expression" dxfId="2648" priority="156">
      <formula>$S$168 = FALSE</formula>
    </cfRule>
  </conditionalFormatting>
  <conditionalFormatting sqref="W171">
    <cfRule type="expression" dxfId="2647" priority="154">
      <formula>AND($R$171,$S$171)</formula>
    </cfRule>
    <cfRule type="expression" dxfId="2646" priority="151">
      <formula>OR($T$171 = TRUE, AND($W$171 = TRUE, $S$171 = FALSE))</formula>
    </cfRule>
    <cfRule type="expression" dxfId="2645" priority="152">
      <formula>$S$171 = FALSE</formula>
    </cfRule>
    <cfRule type="expression" dxfId="2644" priority="153">
      <formula>AND(IF($R$171,$W$171,TRUE),LEN(TRIM($W$171))&gt;0)</formula>
    </cfRule>
  </conditionalFormatting>
  <conditionalFormatting sqref="W173">
    <cfRule type="expression" dxfId="2643" priority="147">
      <formula>OR($T$173 = TRUE, AND($W$173 = TRUE, $S$173 = FALSE))</formula>
    </cfRule>
    <cfRule type="expression" dxfId="2642" priority="148">
      <formula>$S$173 = FALSE</formula>
    </cfRule>
    <cfRule type="expression" dxfId="2641" priority="149">
      <formula>AND(IF($R$173,$W$173,TRUE),LEN(TRIM($W$173))&gt;0)</formula>
    </cfRule>
    <cfRule type="expression" dxfId="2640" priority="150">
      <formula>AND($R$173,$S$173)</formula>
    </cfRule>
  </conditionalFormatting>
  <conditionalFormatting sqref="W179">
    <cfRule type="expression" dxfId="2639" priority="144">
      <formula>$S$179 = FALSE</formula>
    </cfRule>
    <cfRule type="expression" dxfId="2638" priority="143">
      <formula>OR($T$179 = TRUE, AND($W$179 = TRUE, $S$179 = FALSE))</formula>
    </cfRule>
    <cfRule type="expression" dxfId="2637" priority="145">
      <formula>AND(IF($R$179,$W$179,TRUE),LEN(TRIM($W$179))&gt;0)</formula>
    </cfRule>
    <cfRule type="expression" dxfId="2636" priority="146">
      <formula>AND($R$179,$S$179)</formula>
    </cfRule>
  </conditionalFormatting>
  <conditionalFormatting sqref="W181">
    <cfRule type="expression" dxfId="2635" priority="142">
      <formula>AND($R$181,$S$181)</formula>
    </cfRule>
    <cfRule type="expression" dxfId="2634" priority="141">
      <formula>AND(IF($R$181,$W$181,TRUE),LEN(TRIM($W$181))&gt;0)</formula>
    </cfRule>
    <cfRule type="expression" dxfId="2633" priority="140">
      <formula>$S$181 = FALSE</formula>
    </cfRule>
    <cfRule type="expression" dxfId="2632" priority="139">
      <formula>OR($T$181 = TRUE, AND($W$181 = TRUE, $S$181 = FALSE))</formula>
    </cfRule>
  </conditionalFormatting>
  <conditionalFormatting sqref="W183">
    <cfRule type="expression" dxfId="2631" priority="138">
      <formula>AND($R$183,$S$183)</formula>
    </cfRule>
    <cfRule type="expression" dxfId="2630" priority="137">
      <formula>AND($W$183&lt;&gt;"Not Met",LEN(TRIM($W$183))&gt;0)</formula>
    </cfRule>
    <cfRule type="expression" dxfId="2629" priority="136">
      <formula>$S$183 = FALSE</formula>
    </cfRule>
    <cfRule type="expression" dxfId="2628" priority="135">
      <formula>OR($T$183 = TRUE, AND(LEN(TRIM($W$183))&gt;0, $S$183 = FALSE))</formula>
    </cfRule>
  </conditionalFormatting>
  <conditionalFormatting sqref="W185">
    <cfRule type="expression" dxfId="2627" priority="134">
      <formula>AND($R$185,$S$185)</formula>
    </cfRule>
    <cfRule type="expression" dxfId="2626" priority="133">
      <formula>AND(IF($R$185,$W$185,TRUE),LEN(TRIM($W$185))&gt;0)</formula>
    </cfRule>
    <cfRule type="expression" dxfId="2625" priority="132">
      <formula>$S$185 = FALSE</formula>
    </cfRule>
    <cfRule type="expression" dxfId="2624" priority="131">
      <formula>OR($T$185 = TRUE, AND($W$185 = TRUE, $S$185 = FALSE))</formula>
    </cfRule>
  </conditionalFormatting>
  <conditionalFormatting sqref="W189">
    <cfRule type="expression" dxfId="2623" priority="29">
      <formula>AND(IF(R189,W189,TRUE),LEN(TRIM(W189))&gt;0)</formula>
    </cfRule>
    <cfRule type="expression" dxfId="2622" priority="28">
      <formula>S189 = FALSE</formula>
    </cfRule>
    <cfRule type="expression" dxfId="2621" priority="27">
      <formula>OR(T189 = TRUE, AND(W189 = TRUE, S189 = FALSE))</formula>
    </cfRule>
    <cfRule type="expression" dxfId="2620" priority="30">
      <formula>AND(R189,S189)</formula>
    </cfRule>
  </conditionalFormatting>
  <conditionalFormatting sqref="W191">
    <cfRule type="expression" dxfId="2619" priority="23">
      <formula>OR(T191 = TRUE, AND(W191 = TRUE, S191 = FALSE))</formula>
    </cfRule>
    <cfRule type="expression" dxfId="2618" priority="24">
      <formula>S191 = FALSE</formula>
    </cfRule>
    <cfRule type="expression" dxfId="2617" priority="25">
      <formula>AND(IF(R191,W191,TRUE),LEN(TRIM(W191))&gt;0)</formula>
    </cfRule>
    <cfRule type="expression" dxfId="2616" priority="26">
      <formula>AND(R191,S191)</formula>
    </cfRule>
  </conditionalFormatting>
  <conditionalFormatting sqref="W192">
    <cfRule type="expression" dxfId="2615" priority="130">
      <formula>AND($R$192,$S$192)</formula>
    </cfRule>
    <cfRule type="expression" dxfId="2614" priority="129">
      <formula>AND(IF($R$192,$W$192,TRUE),LEN(TRIM($W$192))&gt;0)</formula>
    </cfRule>
    <cfRule type="expression" dxfId="2613" priority="128">
      <formula>$S$192 = FALSE</formula>
    </cfRule>
    <cfRule type="expression" dxfId="2612" priority="127">
      <formula>OR($T$192 = TRUE, AND($W$192 = TRUE, $S$192 = FALSE))</formula>
    </cfRule>
  </conditionalFormatting>
  <conditionalFormatting sqref="W198">
    <cfRule type="expression" dxfId="2611" priority="19">
      <formula>OR(T198 = TRUE, AND(W198 = TRUE, S198 = FALSE))</formula>
    </cfRule>
    <cfRule type="expression" dxfId="2610" priority="20">
      <formula>S198 = FALSE</formula>
    </cfRule>
    <cfRule type="expression" dxfId="2609" priority="21">
      <formula>AND(IF(R198,W198,TRUE),LEN(TRIM(W198))&gt;0)</formula>
    </cfRule>
    <cfRule type="expression" dxfId="2608" priority="22">
      <formula>AND(R198,S198)</formula>
    </cfRule>
  </conditionalFormatting>
  <conditionalFormatting sqref="W200">
    <cfRule type="expression" dxfId="2607" priority="15">
      <formula>OR(T200 = TRUE, AND(W200 = TRUE, S200 = FALSE))</formula>
    </cfRule>
    <cfRule type="expression" dxfId="2606" priority="17">
      <formula>AND(IF(R200,W200,TRUE),LEN(TRIM(W200))&gt;0)</formula>
    </cfRule>
    <cfRule type="expression" dxfId="2605" priority="16">
      <formula>S200 = FALSE</formula>
    </cfRule>
    <cfRule type="expression" dxfId="2604" priority="18">
      <formula>AND(R200,S200)</formula>
    </cfRule>
  </conditionalFormatting>
  <conditionalFormatting sqref="W203">
    <cfRule type="expression" dxfId="2603" priority="126">
      <formula>AND($R$203,$S$203)</formula>
    </cfRule>
    <cfRule type="expression" dxfId="2602" priority="125">
      <formula>AND(IF($R$203,$W$203,TRUE),LEN(TRIM($W$203))&gt;0)</formula>
    </cfRule>
    <cfRule type="expression" dxfId="2601" priority="124">
      <formula>$S$203 = FALSE</formula>
    </cfRule>
    <cfRule type="expression" dxfId="2600" priority="123">
      <formula>OR($T$203 = TRUE, AND($W$203 = TRUE, $S$203 = FALSE))</formula>
    </cfRule>
  </conditionalFormatting>
  <conditionalFormatting sqref="W205">
    <cfRule type="expression" dxfId="2599" priority="122">
      <formula>AND($R$205,$S$205)</formula>
    </cfRule>
    <cfRule type="expression" dxfId="2598" priority="121">
      <formula>AND(IF($R$205,$W$205,TRUE),LEN(TRIM($W$205))&gt;0)</formula>
    </cfRule>
    <cfRule type="expression" dxfId="2597" priority="120">
      <formula>$S$205 = FALSE</formula>
    </cfRule>
    <cfRule type="expression" dxfId="2596" priority="119">
      <formula>OR($T$205 = TRUE, AND($W$205 = TRUE, $S$205 = FALSE))</formula>
    </cfRule>
  </conditionalFormatting>
  <conditionalFormatting sqref="W207">
    <cfRule type="expression" dxfId="2595" priority="118">
      <formula>AND($R$207,$S$207)</formula>
    </cfRule>
    <cfRule type="expression" dxfId="2594" priority="117">
      <formula>AND(IF($R$207,$W$207,TRUE),LEN(TRIM($W$207))&gt;0)</formula>
    </cfRule>
    <cfRule type="expression" dxfId="2593" priority="116">
      <formula>$S$207 = FALSE</formula>
    </cfRule>
    <cfRule type="expression" dxfId="2592" priority="115">
      <formula>OR($T$207 = TRUE, AND($W$207 = TRUE, $S$207 = FALSE))</formula>
    </cfRule>
  </conditionalFormatting>
  <conditionalFormatting sqref="W211">
    <cfRule type="expression" dxfId="2591" priority="114">
      <formula>AND($R$211)</formula>
    </cfRule>
    <cfRule type="expression" dxfId="2590" priority="113">
      <formula>AND($W$211&lt;&gt;"Not Met",LEN(TRIM($W$211))&gt;0)</formula>
    </cfRule>
    <cfRule type="expression" dxfId="2589" priority="112">
      <formula>$S$211 = FALSE</formula>
    </cfRule>
    <cfRule type="expression" dxfId="2588" priority="111">
      <formula>OR($T$211 = TRUE, AND(LEN(TRIM($W$211))&gt;0, $S$211 = FALSE))</formula>
    </cfRule>
  </conditionalFormatting>
  <conditionalFormatting sqref="W220">
    <cfRule type="expression" dxfId="2587" priority="110">
      <formula>AND($R$220,$S$220)</formula>
    </cfRule>
    <cfRule type="expression" dxfId="2586" priority="109">
      <formula>AND(IF($R$220,$W$220,TRUE),LEN(TRIM($W$220))&gt;0)</formula>
    </cfRule>
    <cfRule type="expression" dxfId="2585" priority="108">
      <formula>$S$220 = FALSE</formula>
    </cfRule>
    <cfRule type="expression" dxfId="2584" priority="107">
      <formula>OR($T$220 = TRUE, AND($W$220 = TRUE, $S$220 = FALSE))</formula>
    </cfRule>
  </conditionalFormatting>
  <conditionalFormatting sqref="W222">
    <cfRule type="expression" dxfId="2583" priority="104">
      <formula>$S$222 = FALSE</formula>
    </cfRule>
    <cfRule type="expression" dxfId="2582" priority="103">
      <formula>OR($T$222 = TRUE, AND($W$222 = TRUE, $S$222 = FALSE))</formula>
    </cfRule>
    <cfRule type="expression" dxfId="2581" priority="106">
      <formula>AND($R$222,$S$222)</formula>
    </cfRule>
    <cfRule type="expression" dxfId="2580" priority="105">
      <formula>AND(IF($R$222,$W$222,TRUE),LEN(TRIM($W$222))&gt;0)</formula>
    </cfRule>
  </conditionalFormatting>
  <conditionalFormatting sqref="W225">
    <cfRule type="expression" dxfId="2579" priority="101">
      <formula>AND(IF($R$225,$W$225,TRUE),LEN(TRIM($W$225))&gt;0)</formula>
    </cfRule>
    <cfRule type="expression" dxfId="2578" priority="100">
      <formula>$S$225 = FALSE</formula>
    </cfRule>
    <cfRule type="expression" dxfId="2577" priority="102">
      <formula>AND($R$225,$S$225)</formula>
    </cfRule>
    <cfRule type="expression" dxfId="2576" priority="99">
      <formula>OR($T$225 = TRUE, AND($W$225 = TRUE, $S$225 = FALSE))</formula>
    </cfRule>
  </conditionalFormatting>
  <conditionalFormatting sqref="W230">
    <cfRule type="expression" dxfId="2575" priority="95">
      <formula>OR($T$230 = TRUE, AND(LEN(TRIM($W$230))&gt;0, $S$230 = FALSE))</formula>
    </cfRule>
    <cfRule type="expression" dxfId="2574" priority="98">
      <formula>AND($R$230,$S$230)</formula>
    </cfRule>
    <cfRule type="expression" dxfId="2573" priority="96">
      <formula>$S$230 = FALSE</formula>
    </cfRule>
    <cfRule type="expression" dxfId="2572" priority="97">
      <formula>AND($W$230&lt;&gt;"Not Met",LEN(TRIM($W$230))&gt;0)</formula>
    </cfRule>
  </conditionalFormatting>
  <conditionalFormatting sqref="W234">
    <cfRule type="expression" dxfId="2571" priority="91">
      <formula>OR($T$234 = TRUE, AND($W$234 = TRUE, $S$234 = FALSE))</formula>
    </cfRule>
    <cfRule type="expression" dxfId="2570" priority="93">
      <formula>AND(IF($R$234,$W$234,TRUE),LEN(TRIM($W$234))&gt;0)</formula>
    </cfRule>
    <cfRule type="expression" dxfId="2569" priority="94">
      <formula>AND($R$234,$S$234)</formula>
    </cfRule>
    <cfRule type="expression" dxfId="2568" priority="92">
      <formula>$S$234 = FALSE</formula>
    </cfRule>
  </conditionalFormatting>
  <conditionalFormatting sqref="W237">
    <cfRule type="expression" dxfId="2567" priority="87">
      <formula>OR($T$237 = TRUE, AND($W$237 = TRUE, $S$237 = FALSE))</formula>
    </cfRule>
    <cfRule type="expression" dxfId="2566" priority="89">
      <formula>AND(IF($R$237,$W$237,TRUE),LEN(TRIM($W$237))&gt;0)</formula>
    </cfRule>
    <cfRule type="expression" dxfId="2565" priority="90">
      <formula>AND($R$237,$S$237)</formula>
    </cfRule>
    <cfRule type="expression" dxfId="2564" priority="88">
      <formula>$S$237 = FALSE</formula>
    </cfRule>
  </conditionalFormatting>
  <conditionalFormatting sqref="W239">
    <cfRule type="expression" dxfId="2563" priority="83">
      <formula>OR($T$239 = TRUE, AND($W$239 = TRUE, $S$239 = FALSE))</formula>
    </cfRule>
    <cfRule type="expression" dxfId="2562" priority="85">
      <formula>AND(IF($R$239,$W$239,TRUE),LEN(TRIM($W$239))&gt;0)</formula>
    </cfRule>
    <cfRule type="expression" dxfId="2561" priority="86">
      <formula>AND($R$239,$S$239)</formula>
    </cfRule>
    <cfRule type="expression" dxfId="2560" priority="84">
      <formula>$S$239 = FALSE</formula>
    </cfRule>
  </conditionalFormatting>
  <conditionalFormatting sqref="W242">
    <cfRule type="expression" dxfId="2559" priority="82">
      <formula>AND($R$242,$S$242)</formula>
    </cfRule>
    <cfRule type="expression" dxfId="2558" priority="81">
      <formula>AND(IF($R$242,$W$242,TRUE),LEN(TRIM($W$242))&gt;0)</formula>
    </cfRule>
    <cfRule type="expression" dxfId="2557" priority="79">
      <formula>OR($T$242 = TRUE, AND($W$242 = TRUE, $S$242 = FALSE))</formula>
    </cfRule>
    <cfRule type="expression" dxfId="2556" priority="80">
      <formula>$S$242 = FALSE</formula>
    </cfRule>
  </conditionalFormatting>
  <conditionalFormatting sqref="W244">
    <cfRule type="expression" dxfId="2555" priority="76">
      <formula>$S$244 = FALSE</formula>
    </cfRule>
    <cfRule type="expression" dxfId="2554" priority="75">
      <formula>OR($T$244 = TRUE, AND($W$244 = TRUE, $S$244 = FALSE))</formula>
    </cfRule>
    <cfRule type="expression" dxfId="2553" priority="78">
      <formula>AND($R$244,$S$244)</formula>
    </cfRule>
    <cfRule type="expression" dxfId="2552" priority="77">
      <formula>AND(IF($R$244,$W$244,TRUE),LEN(TRIM($W$244))&gt;0)</formula>
    </cfRule>
  </conditionalFormatting>
  <conditionalFormatting sqref="W248">
    <cfRule type="expression" dxfId="2551" priority="74">
      <formula>AND($R$248,$S$248)</formula>
    </cfRule>
    <cfRule type="expression" dxfId="2550" priority="73">
      <formula>AND($W$248&lt;&gt;"Not Met",LEN(TRIM($W$248))&gt;0)</formula>
    </cfRule>
    <cfRule type="expression" dxfId="2549" priority="72">
      <formula>$S$248 = FALSE</formula>
    </cfRule>
    <cfRule type="expression" dxfId="2548" priority="71">
      <formula>OR($T$248 = TRUE, AND(LEN(TRIM($W$248))&gt;0, $S$248 = FALSE))</formula>
    </cfRule>
  </conditionalFormatting>
  <conditionalFormatting sqref="W252">
    <cfRule type="expression" dxfId="2547" priority="70">
      <formula>AND($R$252,$S$252)</formula>
    </cfRule>
    <cfRule type="expression" dxfId="2546" priority="69">
      <formula>AND($W$252&lt;&gt;"Not Met",LEN(TRIM($W$252))&gt;0)</formula>
    </cfRule>
    <cfRule type="expression" dxfId="2545" priority="68">
      <formula>$S$252 = FALSE</formula>
    </cfRule>
    <cfRule type="expression" dxfId="2544" priority="67">
      <formula>OR($T$252 = TRUE, AND(LEN(TRIM($W$252))&gt;0, $S$252 = FALSE))</formula>
    </cfRule>
  </conditionalFormatting>
  <conditionalFormatting sqref="W258">
    <cfRule type="expression" dxfId="2543" priority="64">
      <formula>$S$258 = FALSE</formula>
    </cfRule>
    <cfRule type="expression" dxfId="2542" priority="63">
      <formula>OR($T$258 = TRUE, AND($W$258 = TRUE, $S$258 = FALSE))</formula>
    </cfRule>
    <cfRule type="expression" dxfId="2541" priority="66">
      <formula>AND($R$258,$S$258)</formula>
    </cfRule>
    <cfRule type="expression" dxfId="2540" priority="65">
      <formula>AND(IF($R$258,$W$258,TRUE),LEN(TRIM($W$258))&gt;0)</formula>
    </cfRule>
  </conditionalFormatting>
  <conditionalFormatting sqref="W259">
    <cfRule type="expression" dxfId="2539" priority="62">
      <formula>AND($R$259,$S$259)</formula>
    </cfRule>
    <cfRule type="expression" dxfId="2538" priority="59">
      <formula>OR($T$259 = TRUE, AND($W$259 = TRUE, $S$259 = FALSE))</formula>
    </cfRule>
    <cfRule type="expression" dxfId="2537" priority="60">
      <formula>$S$259 = FALSE</formula>
    </cfRule>
    <cfRule type="expression" dxfId="2536" priority="61">
      <formula>AND(IF($R$259,$W$259,TRUE),LEN(TRIM($W$259))&gt;0)</formula>
    </cfRule>
  </conditionalFormatting>
  <conditionalFormatting sqref="W264">
    <cfRule type="expression" dxfId="2535" priority="58">
      <formula>AND($R$264,$S$264)</formula>
    </cfRule>
    <cfRule type="expression" dxfId="2534" priority="57">
      <formula>AND(IF($R$264,$W$264,TRUE),LEN(TRIM($W$264))&gt;0)</formula>
    </cfRule>
    <cfRule type="expression" dxfId="2533" priority="56">
      <formula>$S$264 = FALSE</formula>
    </cfRule>
    <cfRule type="expression" dxfId="2532" priority="55">
      <formula>OR($T$264 = TRUE, AND($W$264 = TRUE, $S$264 = FALSE))</formula>
    </cfRule>
  </conditionalFormatting>
  <conditionalFormatting sqref="W269">
    <cfRule type="expression" dxfId="2531" priority="54">
      <formula>AND($R$269,$S$269)</formula>
    </cfRule>
    <cfRule type="expression" dxfId="2530" priority="53">
      <formula>AND(IF($R$269,$W$269,TRUE),LEN(TRIM($W$269))&gt;0)</formula>
    </cfRule>
    <cfRule type="expression" dxfId="2529" priority="52">
      <formula>$S$269 = FALSE</formula>
    </cfRule>
    <cfRule type="expression" dxfId="2528" priority="51">
      <formula>OR($T$269 = TRUE, AND($W$269 = TRUE, $S$269 = FALSE))</formula>
    </cfRule>
  </conditionalFormatting>
  <conditionalFormatting sqref="W273">
    <cfRule type="expression" dxfId="2527" priority="49">
      <formula>AND(IF($R$273,$W$273,TRUE),LEN(TRIM($W$273))&gt;0)</formula>
    </cfRule>
    <cfRule type="expression" dxfId="2526" priority="48">
      <formula>$S$273 = FALSE</formula>
    </cfRule>
    <cfRule type="expression" dxfId="2525" priority="47">
      <formula>OR($T$273 = TRUE, AND($W$273 = TRUE, $S$273 = FALSE))</formula>
    </cfRule>
    <cfRule type="expression" dxfId="2524" priority="50">
      <formula>AND($R$273,$S$273)</formula>
    </cfRule>
  </conditionalFormatting>
  <conditionalFormatting sqref="W278">
    <cfRule type="expression" dxfId="2523" priority="46">
      <formula>AND($R$278,$S$278)</formula>
    </cfRule>
    <cfRule type="expression" dxfId="2522" priority="43">
      <formula>OR($T$278 = TRUE, AND($W$278 = TRUE, $S$278 = FALSE))</formula>
    </cfRule>
    <cfRule type="expression" dxfId="2521" priority="44">
      <formula>$S$278 = FALSE</formula>
    </cfRule>
    <cfRule type="expression" dxfId="2520" priority="45">
      <formula>AND(IF($R$278,$W$278,TRUE),LEN(TRIM($W$278))&gt;0)</formula>
    </cfRule>
  </conditionalFormatting>
  <conditionalFormatting sqref="X1">
    <cfRule type="expression" dxfId="2519" priority="1">
      <formula>startError</formula>
    </cfRule>
  </conditionalFormatting>
  <conditionalFormatting sqref="X2">
    <cfRule type="expression" dxfId="2518" priority="312">
      <formula>$AG$3</formula>
    </cfRule>
  </conditionalFormatting>
  <conditionalFormatting sqref="X3">
    <cfRule type="expression" dxfId="2517" priority="313">
      <formula>$AI$3</formula>
    </cfRule>
  </conditionalFormatting>
  <conditionalFormatting sqref="X71:X75">
    <cfRule type="expression" dxfId="2516" priority="14">
      <formula>W71="N/A"</formula>
    </cfRule>
  </conditionalFormatting>
  <dataValidations count="27">
    <dataValidation type="list" allowBlank="1" showDropDown="1" showInputMessage="1" showErrorMessage="1" error="Use Checkbox" prompt="Use Checkbox" sqref="W12 W18 W33 W54 W278 W273 W269 W264 W258:W259 W244 W242 W239 W237 W234 W225 W222 W220 W207 W205 W203 W192 W185 W181 W179 W173 W171 W167:W168 W134 W158 W153:W154 W148 W139 W67 W129 W118 W95 W92 W90 W61 W131:W132" xr:uid="{00000000-0002-0000-0700-000000000000}">
      <formula1>TorF</formula1>
    </dataValidation>
    <dataValidation type="list" allowBlank="1" showInputMessage="1" showErrorMessage="1" error="Please use the dropdown." sqref="W23" xr:uid="{00000000-0002-0000-0700-000001000000}">
      <formula1>INDIRECT($U$23)</formula1>
    </dataValidation>
    <dataValidation type="list" allowBlank="1" showInputMessage="1" showErrorMessage="1" error="Please use the dropdown." sqref="W26" xr:uid="{00000000-0002-0000-0700-000002000000}">
      <formula1>INDIRECT($U$26)</formula1>
    </dataValidation>
    <dataValidation type="list" allowBlank="1" showInputMessage="1" showErrorMessage="1" error="Please use the dropdown." sqref="W29" xr:uid="{00000000-0002-0000-0700-000003000000}">
      <formula1>INDIRECT($U$29)</formula1>
    </dataValidation>
    <dataValidation type="list" allowBlank="1" showInputMessage="1" showErrorMessage="1" error="Please use the dropdown." sqref="W36" xr:uid="{00000000-0002-0000-0700-000004000000}">
      <formula1>INDIRECT($U$36)</formula1>
    </dataValidation>
    <dataValidation type="list" allowBlank="1" showInputMessage="1" showErrorMessage="1" error="Please use the dropdown." sqref="W42" xr:uid="{00000000-0002-0000-0700-000005000000}">
      <formula1>INDIRECT($U$42)</formula1>
    </dataValidation>
    <dataValidation type="list" allowBlank="1" showInputMessage="1" showErrorMessage="1" error="Please use the dropdown." sqref="W45" xr:uid="{00000000-0002-0000-0700-000006000000}">
      <formula1>INDIRECT($U$45)</formula1>
    </dataValidation>
    <dataValidation type="list" allowBlank="1" showInputMessage="1" showErrorMessage="1" error="Please use the dropdown." sqref="W47" xr:uid="{00000000-0002-0000-0700-000007000000}">
      <formula1>INDIRECT($U$47)</formula1>
    </dataValidation>
    <dataValidation type="list" allowBlank="1" showInputMessage="1" showErrorMessage="1" error="Please use the dropdown." sqref="W50" xr:uid="{00000000-0002-0000-0700-000008000000}">
      <formula1>INDIRECT($U$50)</formula1>
    </dataValidation>
    <dataValidation type="list" allowBlank="1" showInputMessage="1" showErrorMessage="1" error="Please use the dropdown." sqref="W52" xr:uid="{00000000-0002-0000-0700-000009000000}">
      <formula1>INDIRECT($U$52)</formula1>
    </dataValidation>
    <dataValidation type="list" allowBlank="1" showInputMessage="1" showErrorMessage="1" error="Please use the dropdown." sqref="W57" xr:uid="{00000000-0002-0000-0700-00000A000000}">
      <formula1>INDIRECT($U$57)</formula1>
    </dataValidation>
    <dataValidation type="list" allowBlank="1" showInputMessage="1" showErrorMessage="1" error="Please use the dropdown." sqref="W59" xr:uid="{00000000-0002-0000-0700-00000B000000}">
      <formula1>INDIRECT($U$59)</formula1>
    </dataValidation>
    <dataValidation type="list" allowBlank="1" showInputMessage="1" showErrorMessage="1" error="Please use the dropdown." sqref="W71" xr:uid="{00000000-0002-0000-0700-00000C000000}">
      <formula1>INDIRECT($U$71)</formula1>
    </dataValidation>
    <dataValidation type="list" allowBlank="1" showInputMessage="1" showErrorMessage="1" error="Please use the dropdown." sqref="W76" xr:uid="{00000000-0002-0000-0700-00000D000000}">
      <formula1>INDIRECT($U$76)</formula1>
    </dataValidation>
    <dataValidation type="list" allowBlank="1" showInputMessage="1" showErrorMessage="1" error="Please use the dropdown." sqref="W77" xr:uid="{00000000-0002-0000-0700-00000E000000}">
      <formula1>INDIRECT($U$77)</formula1>
    </dataValidation>
    <dataValidation type="list" allowBlank="1" showInputMessage="1" showErrorMessage="1" error="Please use the dropdown." sqref="W78" xr:uid="{00000000-0002-0000-0700-00000F000000}">
      <formula1>INDIRECT($U$78)</formula1>
    </dataValidation>
    <dataValidation type="list" allowBlank="1" showInputMessage="1" showErrorMessage="1" error="Please use the dropdown." sqref="W79" xr:uid="{00000000-0002-0000-0700-000010000000}">
      <formula1>INDIRECT($U$79)</formula1>
    </dataValidation>
    <dataValidation type="list" allowBlank="1" showInputMessage="1" showErrorMessage="1" error="Please use the dropdown." sqref="W183" xr:uid="{00000000-0002-0000-0700-000011000000}">
      <formula1>INDIRECT($U$183)</formula1>
    </dataValidation>
    <dataValidation type="list" allowBlank="1" showInputMessage="1" showErrorMessage="1" error="Please use the dropdown." sqref="W211" xr:uid="{00000000-0002-0000-0700-000012000000}">
      <formula1>INDIRECT($U$211)</formula1>
    </dataValidation>
    <dataValidation type="list" allowBlank="1" showInputMessage="1" showErrorMessage="1" error="Please use the dropdown." sqref="W230" xr:uid="{00000000-0002-0000-0700-000013000000}">
      <formula1>INDIRECT($U$230)</formula1>
    </dataValidation>
    <dataValidation type="list" allowBlank="1" showInputMessage="1" showErrorMessage="1" error="Please use the dropdown." sqref="W248" xr:uid="{00000000-0002-0000-0700-000014000000}">
      <formula1>INDIRECT($U$248)</formula1>
    </dataValidation>
    <dataValidation type="list" allowBlank="1" showInputMessage="1" showErrorMessage="1" error="Please use the dropdown." sqref="W252" xr:uid="{00000000-0002-0000-0700-000015000000}">
      <formula1>INDIRECT($U$252)</formula1>
    </dataValidation>
    <dataValidation type="decimal" allowBlank="1" showDropDown="1" showInputMessage="1" showErrorMessage="1" error="Enter Percentage" prompt="Enter Percentage" sqref="W104 W114:W115" xr:uid="{00000000-0002-0000-0700-000016000000}">
      <formula1>0</formula1>
      <formula2>1</formula2>
    </dataValidation>
    <dataValidation type="whole" allowBlank="1" showDropDown="1" showInputMessage="1" showErrorMessage="1" error="Enter a whole number" prompt="Enter number of timers" sqref="W189" xr:uid="{00000000-0002-0000-0700-000017000000}">
      <formula1>0</formula1>
      <formula2>10</formula2>
    </dataValidation>
    <dataValidation type="whole" allowBlank="1" showDropDown="1" showInputMessage="1" showErrorMessage="1" error="Enter a whole number" prompt="Enter number of humidistats" sqref="W191" xr:uid="{00000000-0002-0000-0700-000018000000}">
      <formula1>0</formula1>
      <formula2>10</formula2>
    </dataValidation>
    <dataValidation type="list" allowBlank="1" showInputMessage="1" showErrorMessage="1" error="Please use the dropdown." sqref="W163" xr:uid="{00000000-0002-0000-0700-000019000000}">
      <formula1>INDIRECT($U$163)</formula1>
    </dataValidation>
    <dataValidation type="whole" allowBlank="1" showDropDown="1" showInputMessage="1" showErrorMessage="1" error="Enter a whole number" prompt="Enter number of fans" sqref="W198 W200" xr:uid="{00000000-0002-0000-0700-00001A000000}">
      <formula1>0</formula1>
      <formula2>10</formula2>
    </dataValidation>
  </dataValidations>
  <hyperlinks>
    <hyperlink ref="L133" location="'Table 901.9.1'!A1" display="See Table 901.9.1" xr:uid="{00000000-0004-0000-0700-000000000000}"/>
    <hyperlink ref="L138" location="'Table 901.9.2'!A1" display="See Table 901.9.2" xr:uid="{00000000-0004-0000-0700-000001000000}"/>
    <hyperlink ref="L157" location="'Table 901.10(3)'!A1" display="See Table 901.10(3)" xr:uid="{00000000-0004-0000-0700-000002000000}"/>
    <hyperlink ref="X280" location="'Ch10'!A1" display="CLICK TO PROCEED TO CHAPTER 10 &gt;&gt;" xr:uid="{00000000-0004-0000-0700-000003000000}"/>
  </hyperlinks>
  <pageMargins left="0.7" right="0.7" top="0.75" bottom="0.75" header="0.3" footer="0.3"/>
  <pageSetup scale="44" fitToHeight="0" orientation="portrait" r:id="rId1"/>
  <rowBreaks count="2" manualBreakCount="2">
    <brk id="96" max="16383" man="1"/>
    <brk id="200" max="16383" man="1"/>
  </rowBreaks>
  <ignoredErrors>
    <ignoredError sqref="AQ12 AQ18 AQ23 AQ26 AQ29 AQ33 AQ36 AQ148 AQ153:AQ154 AQ158 AQ163 AQ167:AQ168 AQ171 AQ173 AQ42 AQ45 AQ47 AQ50 AQ52 AQ54 AQ57 AQ59 AQ61 AQ67 AQ71 AQ76:AQ79 AQ90 AQ92 AQ95 AQ104 AQ114:AQ115 AQ118 AQ129 AQ131:AQ132 AQ134 AQ139 AQ179 AQ181 AQ189 AQ183 AQ191:AQ192 AQ185 AQ198 AQ200 AQ203 AQ205 AQ207 AQ211 AQ220 AQ222 AQ225 AQ230 AQ234 AQ237 AQ239 AQ242 AQ244 AQ248 AQ252 AQ258:AQ259 AQ264 AQ269 AQ273 AQ278 AS12 AS18 AS23 AS26 AS29 AS33 AS36 AS148 AS153:AS154 AS158 AS163 AS165 AS171 AS173 AS42 AS45 AS47 AS50 AS52 AS54 AS57 AS59 AS61 AS67 AS71 AS76 AS90 AS92 AS95 AS104 AS114 AS118 AS124 AS129 AS131:AS132 AS134 AS139 AS179 AS181 AS188 AS183 AS192 AS185 AS196 AS203 AS205 AS207 AS211 AS220 AS222 AS225 AS228 AS237 AS239 AS242 AS244 AS248 AS252 AS256 AS264 AS269 AS273 AS27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locked="0" defaultSize="0" autoFill="0" autoLine="0" autoPict="0">
                <anchor moveWithCells="1" sizeWithCells="1">
                  <from>
                    <xdr:col>22</xdr:col>
                    <xdr:colOff>0</xdr:colOff>
                    <xdr:row>11</xdr:row>
                    <xdr:rowOff>0</xdr:rowOff>
                  </from>
                  <to>
                    <xdr:col>22</xdr:col>
                    <xdr:colOff>184150</xdr:colOff>
                    <xdr:row>11</xdr:row>
                    <xdr:rowOff>184150</xdr:rowOff>
                  </to>
                </anchor>
              </controlPr>
            </control>
          </mc:Choice>
        </mc:AlternateContent>
        <mc:AlternateContent xmlns:mc="http://schemas.openxmlformats.org/markup-compatibility/2006">
          <mc:Choice Requires="x14">
            <control shapeId="7172" r:id="rId5" name="Check Box 4">
              <controlPr locked="0" defaultSize="0" autoFill="0" autoLine="0" autoPict="0">
                <anchor moveWithCells="1" sizeWithCells="1">
                  <from>
                    <xdr:col>22</xdr:col>
                    <xdr:colOff>0</xdr:colOff>
                    <xdr:row>17</xdr:row>
                    <xdr:rowOff>0</xdr:rowOff>
                  </from>
                  <to>
                    <xdr:col>22</xdr:col>
                    <xdr:colOff>184150</xdr:colOff>
                    <xdr:row>17</xdr:row>
                    <xdr:rowOff>184150</xdr:rowOff>
                  </to>
                </anchor>
              </controlPr>
            </control>
          </mc:Choice>
        </mc:AlternateContent>
        <mc:AlternateContent xmlns:mc="http://schemas.openxmlformats.org/markup-compatibility/2006">
          <mc:Choice Requires="x14">
            <control shapeId="7174" r:id="rId6" name="Check Box 6">
              <controlPr locked="0" defaultSize="0" autoFill="0" autoLine="0" autoPict="0">
                <anchor moveWithCells="1" sizeWithCells="1">
                  <from>
                    <xdr:col>22</xdr:col>
                    <xdr:colOff>0</xdr:colOff>
                    <xdr:row>32</xdr:row>
                    <xdr:rowOff>0</xdr:rowOff>
                  </from>
                  <to>
                    <xdr:col>22</xdr:col>
                    <xdr:colOff>184150</xdr:colOff>
                    <xdr:row>32</xdr:row>
                    <xdr:rowOff>184150</xdr:rowOff>
                  </to>
                </anchor>
              </controlPr>
            </control>
          </mc:Choice>
        </mc:AlternateContent>
        <mc:AlternateContent xmlns:mc="http://schemas.openxmlformats.org/markup-compatibility/2006">
          <mc:Choice Requires="x14">
            <control shapeId="7177" r:id="rId7" name="Check Box 9">
              <controlPr locked="0" defaultSize="0" autoFill="0" autoLine="0" autoPict="0">
                <anchor moveWithCells="1" siz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7182" r:id="rId8" name="Check Box 14">
              <controlPr locked="0" defaultSize="0" autoFill="0" autoLine="0" autoPict="0">
                <anchor moveWithCells="1" sizeWithCells="1">
                  <from>
                    <xdr:col>22</xdr:col>
                    <xdr:colOff>0</xdr:colOff>
                    <xdr:row>66</xdr:row>
                    <xdr:rowOff>0</xdr:rowOff>
                  </from>
                  <to>
                    <xdr:col>22</xdr:col>
                    <xdr:colOff>184150</xdr:colOff>
                    <xdr:row>66</xdr:row>
                    <xdr:rowOff>184150</xdr:rowOff>
                  </to>
                </anchor>
              </controlPr>
            </control>
          </mc:Choice>
        </mc:AlternateContent>
        <mc:AlternateContent xmlns:mc="http://schemas.openxmlformats.org/markup-compatibility/2006">
          <mc:Choice Requires="x14">
            <control shapeId="7184" r:id="rId9" name="Check Box 16">
              <controlPr locked="0" defaultSize="0" autoFill="0" autoLine="0" autoPict="0">
                <anchor moveWithCells="1" sizeWithCells="1">
                  <from>
                    <xdr:col>22</xdr:col>
                    <xdr:colOff>0</xdr:colOff>
                    <xdr:row>60</xdr:row>
                    <xdr:rowOff>0</xdr:rowOff>
                  </from>
                  <to>
                    <xdr:col>22</xdr:col>
                    <xdr:colOff>184150</xdr:colOff>
                    <xdr:row>60</xdr:row>
                    <xdr:rowOff>184150</xdr:rowOff>
                  </to>
                </anchor>
              </controlPr>
            </control>
          </mc:Choice>
        </mc:AlternateContent>
        <mc:AlternateContent xmlns:mc="http://schemas.openxmlformats.org/markup-compatibility/2006">
          <mc:Choice Requires="x14">
            <control shapeId="7187" r:id="rId10" name="Check Box 19">
              <controlPr locked="0" defaultSize="0" autoFill="0" autoLine="0" autoPict="0">
                <anchor moveWithCells="1" sizeWithCells="1">
                  <from>
                    <xdr:col>22</xdr:col>
                    <xdr:colOff>0</xdr:colOff>
                    <xdr:row>89</xdr:row>
                    <xdr:rowOff>0</xdr:rowOff>
                  </from>
                  <to>
                    <xdr:col>22</xdr:col>
                    <xdr:colOff>184150</xdr:colOff>
                    <xdr:row>89</xdr:row>
                    <xdr:rowOff>184150</xdr:rowOff>
                  </to>
                </anchor>
              </controlPr>
            </control>
          </mc:Choice>
        </mc:AlternateContent>
        <mc:AlternateContent xmlns:mc="http://schemas.openxmlformats.org/markup-compatibility/2006">
          <mc:Choice Requires="x14">
            <control shapeId="7188" r:id="rId11" name="Check Box 20">
              <controlPr locked="0" defaultSize="0" autoFill="0" autoLine="0" autoPict="0">
                <anchor moveWithCells="1" sizeWithCells="1">
                  <from>
                    <xdr:col>22</xdr:col>
                    <xdr:colOff>0</xdr:colOff>
                    <xdr:row>91</xdr:row>
                    <xdr:rowOff>0</xdr:rowOff>
                  </from>
                  <to>
                    <xdr:col>22</xdr:col>
                    <xdr:colOff>184150</xdr:colOff>
                    <xdr:row>91</xdr:row>
                    <xdr:rowOff>184150</xdr:rowOff>
                  </to>
                </anchor>
              </controlPr>
            </control>
          </mc:Choice>
        </mc:AlternateContent>
        <mc:AlternateContent xmlns:mc="http://schemas.openxmlformats.org/markup-compatibility/2006">
          <mc:Choice Requires="x14">
            <control shapeId="7189" r:id="rId12" name="Check Box 21">
              <controlPr locked="0" defaultSize="0" autoFill="0" autoLine="0" autoPict="0">
                <anchor moveWithCells="1" sizeWithCells="1">
                  <from>
                    <xdr:col>22</xdr:col>
                    <xdr:colOff>0</xdr:colOff>
                    <xdr:row>94</xdr:row>
                    <xdr:rowOff>0</xdr:rowOff>
                  </from>
                  <to>
                    <xdr:col>22</xdr:col>
                    <xdr:colOff>184150</xdr:colOff>
                    <xdr:row>94</xdr:row>
                    <xdr:rowOff>184150</xdr:rowOff>
                  </to>
                </anchor>
              </controlPr>
            </control>
          </mc:Choice>
        </mc:AlternateContent>
        <mc:AlternateContent xmlns:mc="http://schemas.openxmlformats.org/markup-compatibility/2006">
          <mc:Choice Requires="x14">
            <control shapeId="7191" r:id="rId13" name="Check Box 23">
              <controlPr locked="0" defaultSize="0" autoFill="0" autoLine="0" autoPict="0">
                <anchor moveWithCells="1" sizeWithCells="1">
                  <from>
                    <xdr:col>22</xdr:col>
                    <xdr:colOff>0</xdr:colOff>
                    <xdr:row>117</xdr:row>
                    <xdr:rowOff>0</xdr:rowOff>
                  </from>
                  <to>
                    <xdr:col>22</xdr:col>
                    <xdr:colOff>184150</xdr:colOff>
                    <xdr:row>117</xdr:row>
                    <xdr:rowOff>184150</xdr:rowOff>
                  </to>
                </anchor>
              </controlPr>
            </control>
          </mc:Choice>
        </mc:AlternateContent>
        <mc:AlternateContent xmlns:mc="http://schemas.openxmlformats.org/markup-compatibility/2006">
          <mc:Choice Requires="x14">
            <control shapeId="7192" r:id="rId14" name="Check Box 24">
              <controlPr locked="0" defaultSize="0" autoFill="0" autoLine="0" autoPict="0">
                <anchor moveWithCells="1" sizeWithCells="1">
                  <from>
                    <xdr:col>22</xdr:col>
                    <xdr:colOff>0</xdr:colOff>
                    <xdr:row>128</xdr:row>
                    <xdr:rowOff>0</xdr:rowOff>
                  </from>
                  <to>
                    <xdr:col>22</xdr:col>
                    <xdr:colOff>184150</xdr:colOff>
                    <xdr:row>128</xdr:row>
                    <xdr:rowOff>184150</xdr:rowOff>
                  </to>
                </anchor>
              </controlPr>
            </control>
          </mc:Choice>
        </mc:AlternateContent>
        <mc:AlternateContent xmlns:mc="http://schemas.openxmlformats.org/markup-compatibility/2006">
          <mc:Choice Requires="x14">
            <control shapeId="7193" r:id="rId15" name="Check Box 25">
              <controlPr locked="0" defaultSize="0" autoFill="0" autoLine="0" autoPict="0">
                <anchor moveWithCells="1" sizeWithCells="1">
                  <from>
                    <xdr:col>22</xdr:col>
                    <xdr:colOff>0</xdr:colOff>
                    <xdr:row>130</xdr:row>
                    <xdr:rowOff>0</xdr:rowOff>
                  </from>
                  <to>
                    <xdr:col>22</xdr:col>
                    <xdr:colOff>184150</xdr:colOff>
                    <xdr:row>130</xdr:row>
                    <xdr:rowOff>184150</xdr:rowOff>
                  </to>
                </anchor>
              </controlPr>
            </control>
          </mc:Choice>
        </mc:AlternateContent>
        <mc:AlternateContent xmlns:mc="http://schemas.openxmlformats.org/markup-compatibility/2006">
          <mc:Choice Requires="x14">
            <control shapeId="7194" r:id="rId16" name="Check Box 26">
              <controlPr locked="0" defaultSize="0" autoFill="0" autoLine="0" autoPict="0">
                <anchor moveWithCells="1" sizeWithCells="1">
                  <from>
                    <xdr:col>22</xdr:col>
                    <xdr:colOff>0</xdr:colOff>
                    <xdr:row>131</xdr:row>
                    <xdr:rowOff>0</xdr:rowOff>
                  </from>
                  <to>
                    <xdr:col>22</xdr:col>
                    <xdr:colOff>184150</xdr:colOff>
                    <xdr:row>131</xdr:row>
                    <xdr:rowOff>184150</xdr:rowOff>
                  </to>
                </anchor>
              </controlPr>
            </control>
          </mc:Choice>
        </mc:AlternateContent>
        <mc:AlternateContent xmlns:mc="http://schemas.openxmlformats.org/markup-compatibility/2006">
          <mc:Choice Requires="x14">
            <control shapeId="7195" r:id="rId17" name="Check Box 27">
              <controlPr locked="0" defaultSize="0" autoFill="0" autoLine="0" autoPict="0">
                <anchor moveWithCells="1" sizeWithCells="1">
                  <from>
                    <xdr:col>22</xdr:col>
                    <xdr:colOff>0</xdr:colOff>
                    <xdr:row>138</xdr:row>
                    <xdr:rowOff>0</xdr:rowOff>
                  </from>
                  <to>
                    <xdr:col>22</xdr:col>
                    <xdr:colOff>184150</xdr:colOff>
                    <xdr:row>138</xdr:row>
                    <xdr:rowOff>184150</xdr:rowOff>
                  </to>
                </anchor>
              </controlPr>
            </control>
          </mc:Choice>
        </mc:AlternateContent>
        <mc:AlternateContent xmlns:mc="http://schemas.openxmlformats.org/markup-compatibility/2006">
          <mc:Choice Requires="x14">
            <control shapeId="7196" r:id="rId18" name="Check Box 28">
              <controlPr locked="0" defaultSize="0" autoFill="0" autoLine="0" autoPict="0">
                <anchor moveWithCells="1" sizeWithCells="1">
                  <from>
                    <xdr:col>22</xdr:col>
                    <xdr:colOff>0</xdr:colOff>
                    <xdr:row>147</xdr:row>
                    <xdr:rowOff>0</xdr:rowOff>
                  </from>
                  <to>
                    <xdr:col>22</xdr:col>
                    <xdr:colOff>184150</xdr:colOff>
                    <xdr:row>147</xdr:row>
                    <xdr:rowOff>184150</xdr:rowOff>
                  </to>
                </anchor>
              </controlPr>
            </control>
          </mc:Choice>
        </mc:AlternateContent>
        <mc:AlternateContent xmlns:mc="http://schemas.openxmlformats.org/markup-compatibility/2006">
          <mc:Choice Requires="x14">
            <control shapeId="7197" r:id="rId19" name="Check Box 29">
              <controlPr locked="0" defaultSize="0" autoFill="0" autoLine="0" autoPict="0">
                <anchor moveWithCells="1" sizeWithCells="1">
                  <from>
                    <xdr:col>22</xdr:col>
                    <xdr:colOff>0</xdr:colOff>
                    <xdr:row>152</xdr:row>
                    <xdr:rowOff>0</xdr:rowOff>
                  </from>
                  <to>
                    <xdr:col>22</xdr:col>
                    <xdr:colOff>184150</xdr:colOff>
                    <xdr:row>152</xdr:row>
                    <xdr:rowOff>184150</xdr:rowOff>
                  </to>
                </anchor>
              </controlPr>
            </control>
          </mc:Choice>
        </mc:AlternateContent>
        <mc:AlternateContent xmlns:mc="http://schemas.openxmlformats.org/markup-compatibility/2006">
          <mc:Choice Requires="x14">
            <control shapeId="7198" r:id="rId20" name="Check Box 30">
              <controlPr locked="0" defaultSize="0" autoFill="0" autoLine="0" autoPict="0">
                <anchor moveWithCells="1" sizeWithCells="1">
                  <from>
                    <xdr:col>22</xdr:col>
                    <xdr:colOff>0</xdr:colOff>
                    <xdr:row>153</xdr:row>
                    <xdr:rowOff>0</xdr:rowOff>
                  </from>
                  <to>
                    <xdr:col>22</xdr:col>
                    <xdr:colOff>184150</xdr:colOff>
                    <xdr:row>153</xdr:row>
                    <xdr:rowOff>184150</xdr:rowOff>
                  </to>
                </anchor>
              </controlPr>
            </control>
          </mc:Choice>
        </mc:AlternateContent>
        <mc:AlternateContent xmlns:mc="http://schemas.openxmlformats.org/markup-compatibility/2006">
          <mc:Choice Requires="x14">
            <control shapeId="7199" r:id="rId21" name="Check Box 31">
              <controlPr locked="0" defaultSize="0" autoFill="0" autoLine="0" autoPict="0">
                <anchor moveWithCells="1" sizeWithCells="1">
                  <from>
                    <xdr:col>22</xdr:col>
                    <xdr:colOff>0</xdr:colOff>
                    <xdr:row>157</xdr:row>
                    <xdr:rowOff>0</xdr:rowOff>
                  </from>
                  <to>
                    <xdr:col>22</xdr:col>
                    <xdr:colOff>184150</xdr:colOff>
                    <xdr:row>157</xdr:row>
                    <xdr:rowOff>184150</xdr:rowOff>
                  </to>
                </anchor>
              </controlPr>
            </control>
          </mc:Choice>
        </mc:AlternateContent>
        <mc:AlternateContent xmlns:mc="http://schemas.openxmlformats.org/markup-compatibility/2006">
          <mc:Choice Requires="x14">
            <control shapeId="7201" r:id="rId22" name="Check Box 33">
              <controlPr locked="0" defaultSize="0" autoFill="0" autoLine="0" autoPict="0">
                <anchor moveWithCells="1" sizeWithCells="1">
                  <from>
                    <xdr:col>22</xdr:col>
                    <xdr:colOff>0</xdr:colOff>
                    <xdr:row>166</xdr:row>
                    <xdr:rowOff>0</xdr:rowOff>
                  </from>
                  <to>
                    <xdr:col>22</xdr:col>
                    <xdr:colOff>184150</xdr:colOff>
                    <xdr:row>166</xdr:row>
                    <xdr:rowOff>184150</xdr:rowOff>
                  </to>
                </anchor>
              </controlPr>
            </control>
          </mc:Choice>
        </mc:AlternateContent>
        <mc:AlternateContent xmlns:mc="http://schemas.openxmlformats.org/markup-compatibility/2006">
          <mc:Choice Requires="x14">
            <control shapeId="7202" r:id="rId23" name="Check Box 34">
              <controlPr locked="0" defaultSize="0" autoFill="0" autoLine="0" autoPict="0">
                <anchor moveWithCells="1" sizeWithCells="1">
                  <from>
                    <xdr:col>22</xdr:col>
                    <xdr:colOff>0</xdr:colOff>
                    <xdr:row>167</xdr:row>
                    <xdr:rowOff>0</xdr:rowOff>
                  </from>
                  <to>
                    <xdr:col>22</xdr:col>
                    <xdr:colOff>184150</xdr:colOff>
                    <xdr:row>167</xdr:row>
                    <xdr:rowOff>184150</xdr:rowOff>
                  </to>
                </anchor>
              </controlPr>
            </control>
          </mc:Choice>
        </mc:AlternateContent>
        <mc:AlternateContent xmlns:mc="http://schemas.openxmlformats.org/markup-compatibility/2006">
          <mc:Choice Requires="x14">
            <control shapeId="7203" r:id="rId24" name="Check Box 35">
              <controlPr locked="0" defaultSize="0" autoFill="0" autoLine="0" autoPict="0">
                <anchor moveWithCells="1" sizeWithCells="1">
                  <from>
                    <xdr:col>22</xdr:col>
                    <xdr:colOff>0</xdr:colOff>
                    <xdr:row>170</xdr:row>
                    <xdr:rowOff>0</xdr:rowOff>
                  </from>
                  <to>
                    <xdr:col>22</xdr:col>
                    <xdr:colOff>184150</xdr:colOff>
                    <xdr:row>170</xdr:row>
                    <xdr:rowOff>184150</xdr:rowOff>
                  </to>
                </anchor>
              </controlPr>
            </control>
          </mc:Choice>
        </mc:AlternateContent>
        <mc:AlternateContent xmlns:mc="http://schemas.openxmlformats.org/markup-compatibility/2006">
          <mc:Choice Requires="x14">
            <control shapeId="7204" r:id="rId25" name="Check Box 36">
              <controlPr locked="0" defaultSize="0" autoFill="0" autoLine="0" autoPict="0">
                <anchor moveWithCells="1" sizeWithCells="1">
                  <from>
                    <xdr:col>22</xdr:col>
                    <xdr:colOff>0</xdr:colOff>
                    <xdr:row>172</xdr:row>
                    <xdr:rowOff>0</xdr:rowOff>
                  </from>
                  <to>
                    <xdr:col>22</xdr:col>
                    <xdr:colOff>184150</xdr:colOff>
                    <xdr:row>172</xdr:row>
                    <xdr:rowOff>184150</xdr:rowOff>
                  </to>
                </anchor>
              </controlPr>
            </control>
          </mc:Choice>
        </mc:AlternateContent>
        <mc:AlternateContent xmlns:mc="http://schemas.openxmlformats.org/markup-compatibility/2006">
          <mc:Choice Requires="x14">
            <control shapeId="7205" r:id="rId26" name="Check Box 37">
              <controlPr locked="0" defaultSize="0" autoFill="0" autoLine="0" autoPict="0">
                <anchor moveWithCells="1" sizeWithCells="1">
                  <from>
                    <xdr:col>22</xdr:col>
                    <xdr:colOff>0</xdr:colOff>
                    <xdr:row>178</xdr:row>
                    <xdr:rowOff>0</xdr:rowOff>
                  </from>
                  <to>
                    <xdr:col>22</xdr:col>
                    <xdr:colOff>184150</xdr:colOff>
                    <xdr:row>178</xdr:row>
                    <xdr:rowOff>184150</xdr:rowOff>
                  </to>
                </anchor>
              </controlPr>
            </control>
          </mc:Choice>
        </mc:AlternateContent>
        <mc:AlternateContent xmlns:mc="http://schemas.openxmlformats.org/markup-compatibility/2006">
          <mc:Choice Requires="x14">
            <control shapeId="7206" r:id="rId27" name="Check Box 38">
              <controlPr locked="0" defaultSize="0" autoFill="0" autoLine="0" autoPict="0">
                <anchor moveWithCells="1" sizeWithCells="1">
                  <from>
                    <xdr:col>22</xdr:col>
                    <xdr:colOff>0</xdr:colOff>
                    <xdr:row>180</xdr:row>
                    <xdr:rowOff>0</xdr:rowOff>
                  </from>
                  <to>
                    <xdr:col>22</xdr:col>
                    <xdr:colOff>184150</xdr:colOff>
                    <xdr:row>180</xdr:row>
                    <xdr:rowOff>184150</xdr:rowOff>
                  </to>
                </anchor>
              </controlPr>
            </control>
          </mc:Choice>
        </mc:AlternateContent>
        <mc:AlternateContent xmlns:mc="http://schemas.openxmlformats.org/markup-compatibility/2006">
          <mc:Choice Requires="x14">
            <control shapeId="7207" r:id="rId28" name="Check Box 39">
              <controlPr locked="0" defaultSize="0" autoFill="0" autoLine="0" autoPict="0">
                <anchor moveWithCells="1" sizeWithCells="1">
                  <from>
                    <xdr:col>22</xdr:col>
                    <xdr:colOff>0</xdr:colOff>
                    <xdr:row>184</xdr:row>
                    <xdr:rowOff>0</xdr:rowOff>
                  </from>
                  <to>
                    <xdr:col>22</xdr:col>
                    <xdr:colOff>184150</xdr:colOff>
                    <xdr:row>184</xdr:row>
                    <xdr:rowOff>184150</xdr:rowOff>
                  </to>
                </anchor>
              </controlPr>
            </control>
          </mc:Choice>
        </mc:AlternateContent>
        <mc:AlternateContent xmlns:mc="http://schemas.openxmlformats.org/markup-compatibility/2006">
          <mc:Choice Requires="x14">
            <control shapeId="7208" r:id="rId29" name="Check Box 40">
              <controlPr locked="0" defaultSize="0" autoFill="0" autoLine="0" autoPict="0">
                <anchor moveWithCells="1" sizeWithCells="1">
                  <from>
                    <xdr:col>22</xdr:col>
                    <xdr:colOff>0</xdr:colOff>
                    <xdr:row>191</xdr:row>
                    <xdr:rowOff>0</xdr:rowOff>
                  </from>
                  <to>
                    <xdr:col>22</xdr:col>
                    <xdr:colOff>184150</xdr:colOff>
                    <xdr:row>191</xdr:row>
                    <xdr:rowOff>184150</xdr:rowOff>
                  </to>
                </anchor>
              </controlPr>
            </control>
          </mc:Choice>
        </mc:AlternateContent>
        <mc:AlternateContent xmlns:mc="http://schemas.openxmlformats.org/markup-compatibility/2006">
          <mc:Choice Requires="x14">
            <control shapeId="7209" r:id="rId30" name="Check Box 41">
              <controlPr locked="0" defaultSize="0" autoFill="0" autoLine="0" autoPict="0">
                <anchor moveWithCells="1" sizeWithCells="1">
                  <from>
                    <xdr:col>22</xdr:col>
                    <xdr:colOff>0</xdr:colOff>
                    <xdr:row>202</xdr:row>
                    <xdr:rowOff>0</xdr:rowOff>
                  </from>
                  <to>
                    <xdr:col>22</xdr:col>
                    <xdr:colOff>184150</xdr:colOff>
                    <xdr:row>202</xdr:row>
                    <xdr:rowOff>184150</xdr:rowOff>
                  </to>
                </anchor>
              </controlPr>
            </control>
          </mc:Choice>
        </mc:AlternateContent>
        <mc:AlternateContent xmlns:mc="http://schemas.openxmlformats.org/markup-compatibility/2006">
          <mc:Choice Requires="x14">
            <control shapeId="7210" r:id="rId31" name="Check Box 42">
              <controlPr locked="0" defaultSize="0" autoFill="0" autoLine="0" autoPict="0">
                <anchor moveWithCells="1" sizeWithCells="1">
                  <from>
                    <xdr:col>22</xdr:col>
                    <xdr:colOff>0</xdr:colOff>
                    <xdr:row>204</xdr:row>
                    <xdr:rowOff>0</xdr:rowOff>
                  </from>
                  <to>
                    <xdr:col>22</xdr:col>
                    <xdr:colOff>184150</xdr:colOff>
                    <xdr:row>204</xdr:row>
                    <xdr:rowOff>184150</xdr:rowOff>
                  </to>
                </anchor>
              </controlPr>
            </control>
          </mc:Choice>
        </mc:AlternateContent>
        <mc:AlternateContent xmlns:mc="http://schemas.openxmlformats.org/markup-compatibility/2006">
          <mc:Choice Requires="x14">
            <control shapeId="7211" r:id="rId32" name="Check Box 43">
              <controlPr locked="0" defaultSize="0" autoFill="0" autoLine="0" autoPict="0">
                <anchor moveWithCells="1" sizeWithCells="1">
                  <from>
                    <xdr:col>22</xdr:col>
                    <xdr:colOff>0</xdr:colOff>
                    <xdr:row>206</xdr:row>
                    <xdr:rowOff>0</xdr:rowOff>
                  </from>
                  <to>
                    <xdr:col>22</xdr:col>
                    <xdr:colOff>184150</xdr:colOff>
                    <xdr:row>206</xdr:row>
                    <xdr:rowOff>184150</xdr:rowOff>
                  </to>
                </anchor>
              </controlPr>
            </control>
          </mc:Choice>
        </mc:AlternateContent>
        <mc:AlternateContent xmlns:mc="http://schemas.openxmlformats.org/markup-compatibility/2006">
          <mc:Choice Requires="x14">
            <control shapeId="7212" r:id="rId33" name="Check Box 44">
              <controlPr locked="0" defaultSize="0" autoFill="0" autoLine="0" autoPict="0">
                <anchor moveWithCells="1" sizeWithCells="1">
                  <from>
                    <xdr:col>22</xdr:col>
                    <xdr:colOff>0</xdr:colOff>
                    <xdr:row>219</xdr:row>
                    <xdr:rowOff>0</xdr:rowOff>
                  </from>
                  <to>
                    <xdr:col>22</xdr:col>
                    <xdr:colOff>184150</xdr:colOff>
                    <xdr:row>219</xdr:row>
                    <xdr:rowOff>184150</xdr:rowOff>
                  </to>
                </anchor>
              </controlPr>
            </control>
          </mc:Choice>
        </mc:AlternateContent>
        <mc:AlternateContent xmlns:mc="http://schemas.openxmlformats.org/markup-compatibility/2006">
          <mc:Choice Requires="x14">
            <control shapeId="7213" r:id="rId34" name="Check Box 45">
              <controlPr locked="0" defaultSize="0" autoFill="0" autoLine="0" autoPict="0">
                <anchor moveWithCells="1" sizeWithCells="1">
                  <from>
                    <xdr:col>22</xdr:col>
                    <xdr:colOff>0</xdr:colOff>
                    <xdr:row>221</xdr:row>
                    <xdr:rowOff>0</xdr:rowOff>
                  </from>
                  <to>
                    <xdr:col>22</xdr:col>
                    <xdr:colOff>184150</xdr:colOff>
                    <xdr:row>221</xdr:row>
                    <xdr:rowOff>184150</xdr:rowOff>
                  </to>
                </anchor>
              </controlPr>
            </control>
          </mc:Choice>
        </mc:AlternateContent>
        <mc:AlternateContent xmlns:mc="http://schemas.openxmlformats.org/markup-compatibility/2006">
          <mc:Choice Requires="x14">
            <control shapeId="7214" r:id="rId35" name="Check Box 46">
              <controlPr locked="0" defaultSize="0" autoFill="0" autoLine="0" autoPict="0">
                <anchor moveWithCells="1" sizeWithCells="1">
                  <from>
                    <xdr:col>22</xdr:col>
                    <xdr:colOff>0</xdr:colOff>
                    <xdr:row>224</xdr:row>
                    <xdr:rowOff>0</xdr:rowOff>
                  </from>
                  <to>
                    <xdr:col>22</xdr:col>
                    <xdr:colOff>184150</xdr:colOff>
                    <xdr:row>224</xdr:row>
                    <xdr:rowOff>184150</xdr:rowOff>
                  </to>
                </anchor>
              </controlPr>
            </control>
          </mc:Choice>
        </mc:AlternateContent>
        <mc:AlternateContent xmlns:mc="http://schemas.openxmlformats.org/markup-compatibility/2006">
          <mc:Choice Requires="x14">
            <control shapeId="7215" r:id="rId36" name="Check Box 47">
              <controlPr locked="0" defaultSize="0" autoFill="0" autoLine="0" autoPict="0">
                <anchor moveWithCells="1" sizeWithCells="1">
                  <from>
                    <xdr:col>22</xdr:col>
                    <xdr:colOff>0</xdr:colOff>
                    <xdr:row>233</xdr:row>
                    <xdr:rowOff>0</xdr:rowOff>
                  </from>
                  <to>
                    <xdr:col>22</xdr:col>
                    <xdr:colOff>184150</xdr:colOff>
                    <xdr:row>233</xdr:row>
                    <xdr:rowOff>184150</xdr:rowOff>
                  </to>
                </anchor>
              </controlPr>
            </control>
          </mc:Choice>
        </mc:AlternateContent>
        <mc:AlternateContent xmlns:mc="http://schemas.openxmlformats.org/markup-compatibility/2006">
          <mc:Choice Requires="x14">
            <control shapeId="7216" r:id="rId37" name="Check Box 48">
              <controlPr locked="0" defaultSize="0" autoFill="0" autoLine="0" autoPict="0">
                <anchor moveWithCells="1" sizeWithCells="1">
                  <from>
                    <xdr:col>22</xdr:col>
                    <xdr:colOff>0</xdr:colOff>
                    <xdr:row>236</xdr:row>
                    <xdr:rowOff>0</xdr:rowOff>
                  </from>
                  <to>
                    <xdr:col>22</xdr:col>
                    <xdr:colOff>184150</xdr:colOff>
                    <xdr:row>236</xdr:row>
                    <xdr:rowOff>184150</xdr:rowOff>
                  </to>
                </anchor>
              </controlPr>
            </control>
          </mc:Choice>
        </mc:AlternateContent>
        <mc:AlternateContent xmlns:mc="http://schemas.openxmlformats.org/markup-compatibility/2006">
          <mc:Choice Requires="x14">
            <control shapeId="7217" r:id="rId38" name="Check Box 49">
              <controlPr locked="0" defaultSize="0" autoFill="0" autoLine="0" autoPict="0">
                <anchor moveWithCells="1" sizeWithCells="1">
                  <from>
                    <xdr:col>22</xdr:col>
                    <xdr:colOff>0</xdr:colOff>
                    <xdr:row>238</xdr:row>
                    <xdr:rowOff>0</xdr:rowOff>
                  </from>
                  <to>
                    <xdr:col>22</xdr:col>
                    <xdr:colOff>184150</xdr:colOff>
                    <xdr:row>238</xdr:row>
                    <xdr:rowOff>184150</xdr:rowOff>
                  </to>
                </anchor>
              </controlPr>
            </control>
          </mc:Choice>
        </mc:AlternateContent>
        <mc:AlternateContent xmlns:mc="http://schemas.openxmlformats.org/markup-compatibility/2006">
          <mc:Choice Requires="x14">
            <control shapeId="7218" r:id="rId39" name="Check Box 50">
              <controlPr locked="0" defaultSize="0" autoFill="0" autoLine="0" autoPict="0">
                <anchor moveWithCells="1" sizeWithCells="1">
                  <from>
                    <xdr:col>22</xdr:col>
                    <xdr:colOff>0</xdr:colOff>
                    <xdr:row>241</xdr:row>
                    <xdr:rowOff>0</xdr:rowOff>
                  </from>
                  <to>
                    <xdr:col>22</xdr:col>
                    <xdr:colOff>184150</xdr:colOff>
                    <xdr:row>241</xdr:row>
                    <xdr:rowOff>184150</xdr:rowOff>
                  </to>
                </anchor>
              </controlPr>
            </control>
          </mc:Choice>
        </mc:AlternateContent>
        <mc:AlternateContent xmlns:mc="http://schemas.openxmlformats.org/markup-compatibility/2006">
          <mc:Choice Requires="x14">
            <control shapeId="7219" r:id="rId40" name="Check Box 51">
              <controlPr locked="0" defaultSize="0" autoFill="0" autoLine="0" autoPict="0">
                <anchor moveWithCells="1" sizeWithCells="1">
                  <from>
                    <xdr:col>22</xdr:col>
                    <xdr:colOff>0</xdr:colOff>
                    <xdr:row>243</xdr:row>
                    <xdr:rowOff>0</xdr:rowOff>
                  </from>
                  <to>
                    <xdr:col>22</xdr:col>
                    <xdr:colOff>184150</xdr:colOff>
                    <xdr:row>243</xdr:row>
                    <xdr:rowOff>184150</xdr:rowOff>
                  </to>
                </anchor>
              </controlPr>
            </control>
          </mc:Choice>
        </mc:AlternateContent>
        <mc:AlternateContent xmlns:mc="http://schemas.openxmlformats.org/markup-compatibility/2006">
          <mc:Choice Requires="x14">
            <control shapeId="7221" r:id="rId41" name="Check Box 53">
              <controlPr locked="0" defaultSize="0" autoFill="0" autoLine="0" autoPict="0">
                <anchor moveWithCells="1" sizeWithCells="1">
                  <from>
                    <xdr:col>22</xdr:col>
                    <xdr:colOff>0</xdr:colOff>
                    <xdr:row>257</xdr:row>
                    <xdr:rowOff>0</xdr:rowOff>
                  </from>
                  <to>
                    <xdr:col>22</xdr:col>
                    <xdr:colOff>184150</xdr:colOff>
                    <xdr:row>257</xdr:row>
                    <xdr:rowOff>184150</xdr:rowOff>
                  </to>
                </anchor>
              </controlPr>
            </control>
          </mc:Choice>
        </mc:AlternateContent>
        <mc:AlternateContent xmlns:mc="http://schemas.openxmlformats.org/markup-compatibility/2006">
          <mc:Choice Requires="x14">
            <control shapeId="7222" r:id="rId42" name="Check Box 54">
              <controlPr locked="0" defaultSize="0" autoFill="0" autoLine="0" autoPict="0">
                <anchor moveWithCells="1" sizeWithCells="1">
                  <from>
                    <xdr:col>22</xdr:col>
                    <xdr:colOff>0</xdr:colOff>
                    <xdr:row>258</xdr:row>
                    <xdr:rowOff>0</xdr:rowOff>
                  </from>
                  <to>
                    <xdr:col>22</xdr:col>
                    <xdr:colOff>184150</xdr:colOff>
                    <xdr:row>258</xdr:row>
                    <xdr:rowOff>184150</xdr:rowOff>
                  </to>
                </anchor>
              </controlPr>
            </control>
          </mc:Choice>
        </mc:AlternateContent>
        <mc:AlternateContent xmlns:mc="http://schemas.openxmlformats.org/markup-compatibility/2006">
          <mc:Choice Requires="x14">
            <control shapeId="7223" r:id="rId43" name="Check Box 55">
              <controlPr locked="0" defaultSize="0" autoFill="0" autoLine="0" autoPict="0">
                <anchor moveWithCells="1" sizeWithCells="1">
                  <from>
                    <xdr:col>22</xdr:col>
                    <xdr:colOff>0</xdr:colOff>
                    <xdr:row>263</xdr:row>
                    <xdr:rowOff>0</xdr:rowOff>
                  </from>
                  <to>
                    <xdr:col>22</xdr:col>
                    <xdr:colOff>184150</xdr:colOff>
                    <xdr:row>263</xdr:row>
                    <xdr:rowOff>184150</xdr:rowOff>
                  </to>
                </anchor>
              </controlPr>
            </control>
          </mc:Choice>
        </mc:AlternateContent>
        <mc:AlternateContent xmlns:mc="http://schemas.openxmlformats.org/markup-compatibility/2006">
          <mc:Choice Requires="x14">
            <control shapeId="7224" r:id="rId44" name="Check Box 56">
              <controlPr locked="0" defaultSize="0" autoFill="0" autoLine="0" autoPict="0">
                <anchor moveWithCells="1" sizeWithCells="1">
                  <from>
                    <xdr:col>22</xdr:col>
                    <xdr:colOff>0</xdr:colOff>
                    <xdr:row>268</xdr:row>
                    <xdr:rowOff>0</xdr:rowOff>
                  </from>
                  <to>
                    <xdr:col>22</xdr:col>
                    <xdr:colOff>184150</xdr:colOff>
                    <xdr:row>268</xdr:row>
                    <xdr:rowOff>184150</xdr:rowOff>
                  </to>
                </anchor>
              </controlPr>
            </control>
          </mc:Choice>
        </mc:AlternateContent>
        <mc:AlternateContent xmlns:mc="http://schemas.openxmlformats.org/markup-compatibility/2006">
          <mc:Choice Requires="x14">
            <control shapeId="7225" r:id="rId45" name="Check Box 57">
              <controlPr locked="0" defaultSize="0" autoFill="0" autoLine="0" autoPict="0">
                <anchor moveWithCells="1" sizeWithCells="1">
                  <from>
                    <xdr:col>22</xdr:col>
                    <xdr:colOff>0</xdr:colOff>
                    <xdr:row>272</xdr:row>
                    <xdr:rowOff>0</xdr:rowOff>
                  </from>
                  <to>
                    <xdr:col>22</xdr:col>
                    <xdr:colOff>184150</xdr:colOff>
                    <xdr:row>272</xdr:row>
                    <xdr:rowOff>184150</xdr:rowOff>
                  </to>
                </anchor>
              </controlPr>
            </control>
          </mc:Choice>
        </mc:AlternateContent>
        <mc:AlternateContent xmlns:mc="http://schemas.openxmlformats.org/markup-compatibility/2006">
          <mc:Choice Requires="x14">
            <control shapeId="7226" r:id="rId46" name="Check Box 58">
              <controlPr locked="0" defaultSize="0" autoFill="0" autoLine="0" autoPict="0">
                <anchor moveWithCells="1" sizeWithCells="1">
                  <from>
                    <xdr:col>22</xdr:col>
                    <xdr:colOff>0</xdr:colOff>
                    <xdr:row>277</xdr:row>
                    <xdr:rowOff>0</xdr:rowOff>
                  </from>
                  <to>
                    <xdr:col>22</xdr:col>
                    <xdr:colOff>184150</xdr:colOff>
                    <xdr:row>277</xdr:row>
                    <xdr:rowOff>184150</xdr:rowOff>
                  </to>
                </anchor>
              </controlPr>
            </control>
          </mc:Choice>
        </mc:AlternateContent>
        <mc:AlternateContent xmlns:mc="http://schemas.openxmlformats.org/markup-compatibility/2006">
          <mc:Choice Requires="x14">
            <control shapeId="7230" r:id="rId47" name="Check Box 62">
              <controlPr locked="0" defaultSize="0" autoFill="0" autoLine="0" autoPict="0">
                <anchor moveWithCells="1" sizeWithCells="1">
                  <from>
                    <xdr:col>22</xdr:col>
                    <xdr:colOff>0</xdr:colOff>
                    <xdr:row>133</xdr:row>
                    <xdr:rowOff>0</xdr:rowOff>
                  </from>
                  <to>
                    <xdr:col>22</xdr:col>
                    <xdr:colOff>184150</xdr:colOff>
                    <xdr:row>133</xdr:row>
                    <xdr:rowOff>184150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BI189"/>
  <sheetViews>
    <sheetView showGridLines="0" zoomScaleNormal="100" zoomScaleSheetLayoutView="80" workbookViewId="0">
      <pane ySplit="7" topLeftCell="A8" activePane="bottomLeft" state="frozen"/>
      <selection pane="bottomLeft" activeCell="H9" sqref="H9"/>
    </sheetView>
  </sheetViews>
  <sheetFormatPr defaultColWidth="9.1796875" defaultRowHeight="14.5" x14ac:dyDescent="0.35"/>
  <cols>
    <col min="1" max="1" width="9.1796875" style="12" hidden="1" customWidth="1"/>
    <col min="2" max="2" width="7.26953125" style="12" hidden="1" customWidth="1"/>
    <col min="3" max="7" width="3.81640625" style="12" hidden="1" customWidth="1"/>
    <col min="8" max="8" width="3.81640625" style="12" customWidth="1"/>
    <col min="9" max="9" width="10.453125" customWidth="1"/>
    <col min="10" max="11" width="3.81640625" customWidth="1"/>
    <col min="12" max="12" width="71.7265625" customWidth="1"/>
    <col min="13" max="13" width="13.54296875" style="35" customWidth="1"/>
    <col min="14" max="14" width="7.7265625" hidden="1" customWidth="1"/>
    <col min="15" max="15" width="7.7265625" customWidth="1"/>
    <col min="16" max="21" width="8.81640625" hidden="1" customWidth="1"/>
    <col min="22" max="22" width="3" hidden="1" customWidth="1"/>
    <col min="23" max="23" width="21.453125" customWidth="1"/>
    <col min="24" max="24" width="69" customWidth="1"/>
    <col min="25" max="61" width="14.26953125" hidden="1" customWidth="1"/>
    <col min="62" max="62" width="9.1796875" customWidth="1"/>
  </cols>
  <sheetData>
    <row r="1" spans="1:61" x14ac:dyDescent="0.35">
      <c r="H1" s="715" t="s">
        <v>4600</v>
      </c>
      <c r="I1" s="726" t="str">
        <f ca="1">IF(OR(AG3,AI3),"Errors on page, no Level reached","Current Chapter level: "&amp;AG1&amp;"                                            Total Points: "&amp;AG2)</f>
        <v>Current Chapter level: Bronze                                            Total Points: 9</v>
      </c>
      <c r="J1" s="726"/>
      <c r="K1" s="726"/>
      <c r="L1" s="726"/>
      <c r="M1" s="716"/>
      <c r="N1" s="716"/>
      <c r="O1" s="716"/>
      <c r="P1" s="716"/>
      <c r="Q1" s="716"/>
      <c r="R1" s="716"/>
      <c r="S1" s="716"/>
      <c r="T1" s="716"/>
      <c r="U1" s="716"/>
      <c r="V1" s="716"/>
      <c r="W1" s="716"/>
      <c r="X1" s="593" t="s">
        <v>4563</v>
      </c>
      <c r="AF1" s="6" t="s">
        <v>826</v>
      </c>
      <c r="AG1" t="str">
        <f ca="1">IF(OR(AG3,AI3),"None",Ch10Level)</f>
        <v>Bronze</v>
      </c>
    </row>
    <row r="2" spans="1:61" x14ac:dyDescent="0.35">
      <c r="H2" s="715"/>
      <c r="I2" s="727" t="str">
        <f>"Points away from:  Bronze: "&amp;MAX(Points!C20-Ch10Points,0)&amp;",  Silver: "&amp;MAX(Points!D20-Ch10Points,0)&amp;",  Gold: "&amp;MAX(Points!E20-Ch10Points,0)&amp;",  Emerald: "&amp;MAX(Points!F20-Ch10Points,0)</f>
        <v>Points away from:  Bronze: 0,  Silver: 1,  Gold: 2,  Emerald: 3</v>
      </c>
      <c r="J2" s="727"/>
      <c r="K2" s="727"/>
      <c r="L2" s="727"/>
      <c r="M2" s="716"/>
      <c r="N2" s="716"/>
      <c r="O2" s="716"/>
      <c r="P2" s="716"/>
      <c r="Q2" s="716"/>
      <c r="R2" s="716"/>
      <c r="S2" s="716"/>
      <c r="T2" s="716"/>
      <c r="U2" s="716"/>
      <c r="V2" s="716"/>
      <c r="W2" s="716"/>
      <c r="X2" s="593" t="s">
        <v>3728</v>
      </c>
      <c r="AF2" s="6" t="s">
        <v>827</v>
      </c>
      <c r="AG2">
        <f ca="1">INDIRECT(AF2)</f>
        <v>9</v>
      </c>
      <c r="AH2" t="s">
        <v>829</v>
      </c>
      <c r="AI2">
        <f ca="1">INDIRECT(AH2)</f>
        <v>1</v>
      </c>
    </row>
    <row r="3" spans="1:61" x14ac:dyDescent="0.35">
      <c r="H3" s="715"/>
      <c r="I3" s="727" t="str">
        <f>"Add'l pts earned above:  Bronze: "&amp; MAX(0,Ch10Points-Points!C20) &amp;",  Silver: " &amp; MAX(0,Ch10Points-Points!D20) &amp;",  Gold: " &amp; MAX(0,Ch10Points-Points!E20) &amp;",  Emerald: " &amp; MAX(0,Ch10Points-Points!F20)</f>
        <v>Add'l pts earned above:  Bronze: 1,  Silver: 0,  Gold: 0,  Emerald: 0</v>
      </c>
      <c r="J3" s="727"/>
      <c r="K3" s="727"/>
      <c r="L3" s="727"/>
      <c r="M3" s="716"/>
      <c r="N3" s="716"/>
      <c r="O3" s="716"/>
      <c r="P3" s="716"/>
      <c r="Q3" s="716"/>
      <c r="R3" s="716"/>
      <c r="S3" s="716"/>
      <c r="T3" s="716"/>
      <c r="U3" s="716"/>
      <c r="V3" s="716"/>
      <c r="W3" s="716"/>
      <c r="X3" s="593" t="s">
        <v>3727</v>
      </c>
      <c r="AF3" s="6" t="s">
        <v>828</v>
      </c>
      <c r="AG3" t="b">
        <f ca="1">OR(AE:AE)</f>
        <v>0</v>
      </c>
      <c r="AH3" s="6" t="s">
        <v>830</v>
      </c>
      <c r="AI3" t="b">
        <f>OR(AD:AD)</f>
        <v>0</v>
      </c>
    </row>
    <row r="4" spans="1:61" x14ac:dyDescent="0.35">
      <c r="H4" s="715"/>
      <c r="I4" s="730" t="str">
        <f>"Total Chapter Points needed for:  Bronze: "&amp;Points!C20&amp;",  Silver: "&amp;Points!D20&amp;",  Gold: "&amp;Points!E20&amp;",  Emerald: "&amp;Points!F20</f>
        <v>Total Chapter Points needed for:  Bronze: 8,  Silver: 10,  Gold: 11,  Emerald: 12</v>
      </c>
      <c r="J4" s="731"/>
      <c r="K4" s="731"/>
      <c r="L4" s="732"/>
      <c r="M4" s="716"/>
      <c r="N4" s="716"/>
      <c r="O4" s="716"/>
      <c r="P4" s="716"/>
      <c r="Q4" s="716"/>
      <c r="R4" s="716"/>
      <c r="S4" s="716"/>
      <c r="T4" s="716"/>
      <c r="U4" s="716"/>
      <c r="V4" s="716"/>
      <c r="W4" s="716"/>
      <c r="X4" s="639" t="s">
        <v>4629</v>
      </c>
      <c r="AF4" s="6"/>
      <c r="AH4" s="6"/>
    </row>
    <row r="5" spans="1:61" x14ac:dyDescent="0.35">
      <c r="H5" s="715"/>
      <c r="I5" s="733" t="str">
        <f>"Revision Date:  "&amp;TEXT('Info &amp; Intro'!E7,"m/d/yyyy")</f>
        <v>Revision Date:  5/26/2023</v>
      </c>
      <c r="J5" s="734"/>
      <c r="K5" s="734"/>
      <c r="L5" s="735"/>
      <c r="M5" s="716"/>
      <c r="N5" s="716"/>
      <c r="O5" s="716"/>
      <c r="P5" s="716"/>
      <c r="Q5" s="716"/>
      <c r="R5" s="716"/>
      <c r="S5" s="716"/>
      <c r="T5" s="716"/>
      <c r="U5" s="716"/>
      <c r="V5" s="716"/>
      <c r="W5" s="716"/>
      <c r="X5" s="639"/>
      <c r="AF5" s="6"/>
      <c r="AH5" s="6"/>
    </row>
    <row r="6" spans="1:61" x14ac:dyDescent="0.35">
      <c r="H6" s="715"/>
      <c r="I6" s="702" t="s">
        <v>261</v>
      </c>
      <c r="J6" s="703"/>
      <c r="K6" s="704"/>
      <c r="L6" s="705" t="s">
        <v>1311</v>
      </c>
      <c r="M6" s="705" t="s">
        <v>262</v>
      </c>
      <c r="N6" s="705"/>
      <c r="O6" s="23" t="s">
        <v>336</v>
      </c>
      <c r="P6" s="705" t="s">
        <v>4626</v>
      </c>
      <c r="Q6" s="705" t="s">
        <v>327</v>
      </c>
      <c r="R6" s="705" t="s">
        <v>263</v>
      </c>
      <c r="S6" s="705" t="s">
        <v>264</v>
      </c>
      <c r="T6" s="705" t="s">
        <v>0</v>
      </c>
      <c r="U6" s="705" t="s">
        <v>4627</v>
      </c>
      <c r="V6" s="705"/>
      <c r="W6" s="705" t="s">
        <v>265</v>
      </c>
      <c r="X6" s="728" t="s">
        <v>1</v>
      </c>
      <c r="AC6" s="2" t="s">
        <v>325</v>
      </c>
      <c r="AD6" s="2" t="s">
        <v>0</v>
      </c>
      <c r="AE6" s="2" t="s">
        <v>324</v>
      </c>
    </row>
    <row r="7" spans="1:61" x14ac:dyDescent="0.35">
      <c r="H7" s="715"/>
      <c r="I7" s="702"/>
      <c r="J7" s="703"/>
      <c r="K7" s="704"/>
      <c r="L7" s="705"/>
      <c r="M7" s="705"/>
      <c r="N7" s="705"/>
      <c r="O7" s="23" t="s">
        <v>337</v>
      </c>
      <c r="P7" s="705"/>
      <c r="Q7" s="705"/>
      <c r="R7" s="705"/>
      <c r="S7" s="705"/>
      <c r="T7" s="705"/>
      <c r="U7" s="705"/>
      <c r="V7" s="705"/>
      <c r="W7" s="705"/>
      <c r="X7" s="729"/>
      <c r="AC7" s="2" t="s">
        <v>325</v>
      </c>
      <c r="AD7" s="2" t="s">
        <v>0</v>
      </c>
      <c r="AE7" s="2" t="s">
        <v>324</v>
      </c>
    </row>
    <row r="8" spans="1:61" hidden="1" x14ac:dyDescent="0.35">
      <c r="I8" s="548"/>
      <c r="J8" s="548"/>
      <c r="K8" s="548"/>
      <c r="L8" s="22"/>
      <c r="M8" s="22"/>
      <c r="N8" s="22"/>
      <c r="O8" s="23"/>
      <c r="P8" s="22"/>
      <c r="Q8" s="22"/>
      <c r="R8" s="22"/>
      <c r="S8" s="22"/>
      <c r="T8" s="22"/>
      <c r="U8" s="22"/>
      <c r="V8" s="22"/>
      <c r="W8" s="22"/>
      <c r="X8" s="548"/>
      <c r="AC8" s="2"/>
      <c r="AD8" s="2"/>
      <c r="AE8" s="2"/>
    </row>
    <row r="9" spans="1:61" ht="18.5" x14ac:dyDescent="0.45">
      <c r="A9" s="12" t="s">
        <v>260</v>
      </c>
      <c r="B9" s="12" t="s">
        <v>260</v>
      </c>
      <c r="C9" s="12" t="s">
        <v>260</v>
      </c>
      <c r="D9" s="12" t="s">
        <v>260</v>
      </c>
      <c r="E9" s="12" t="s">
        <v>260</v>
      </c>
      <c r="F9" s="12" t="s">
        <v>260</v>
      </c>
      <c r="G9" s="12" t="s">
        <v>260</v>
      </c>
      <c r="H9" s="552"/>
      <c r="I9" s="14" t="s">
        <v>3587</v>
      </c>
      <c r="J9" s="14"/>
      <c r="K9" s="14"/>
      <c r="L9" s="15"/>
      <c r="M9" s="16"/>
      <c r="N9" t="s">
        <v>260</v>
      </c>
      <c r="O9" s="16"/>
      <c r="P9" t="s">
        <v>260</v>
      </c>
      <c r="Q9" t="s">
        <v>260</v>
      </c>
      <c r="R9" t="s">
        <v>260</v>
      </c>
      <c r="S9" t="s">
        <v>260</v>
      </c>
      <c r="T9" t="s">
        <v>260</v>
      </c>
      <c r="U9" t="s">
        <v>260</v>
      </c>
      <c r="V9" t="s">
        <v>260</v>
      </c>
      <c r="W9" s="15"/>
      <c r="X9" s="15"/>
      <c r="Y9" s="21" t="s">
        <v>260</v>
      </c>
      <c r="Z9" s="21" t="s">
        <v>260</v>
      </c>
      <c r="AA9" s="21" t="s">
        <v>260</v>
      </c>
      <c r="AB9" s="21" t="s">
        <v>260</v>
      </c>
      <c r="AC9" s="21" t="s">
        <v>260</v>
      </c>
      <c r="AD9" s="21" t="s">
        <v>260</v>
      </c>
      <c r="AE9" s="21" t="s">
        <v>260</v>
      </c>
      <c r="AF9" s="21" t="s">
        <v>260</v>
      </c>
      <c r="AG9" s="21" t="s">
        <v>260</v>
      </c>
      <c r="AH9" s="21" t="s">
        <v>260</v>
      </c>
      <c r="AI9" s="21" t="s">
        <v>260</v>
      </c>
      <c r="AJ9" s="21" t="s">
        <v>260</v>
      </c>
      <c r="AK9" s="21" t="s">
        <v>260</v>
      </c>
      <c r="AL9" s="21" t="s">
        <v>260</v>
      </c>
      <c r="AM9" s="21" t="s">
        <v>260</v>
      </c>
      <c r="AN9" s="21" t="s">
        <v>260</v>
      </c>
      <c r="AO9" s="21" t="s">
        <v>260</v>
      </c>
      <c r="AP9" s="21" t="s">
        <v>260</v>
      </c>
      <c r="AQ9" s="21" t="s">
        <v>260</v>
      </c>
      <c r="AR9" s="21" t="s">
        <v>260</v>
      </c>
      <c r="AS9" s="21" t="s">
        <v>260</v>
      </c>
      <c r="AT9" s="21" t="s">
        <v>260</v>
      </c>
      <c r="AU9" s="21" t="s">
        <v>260</v>
      </c>
      <c r="AV9" s="21" t="s">
        <v>260</v>
      </c>
      <c r="AW9" s="21" t="s">
        <v>260</v>
      </c>
      <c r="AX9" s="21" t="s">
        <v>260</v>
      </c>
      <c r="AY9" s="21" t="s">
        <v>260</v>
      </c>
      <c r="AZ9" s="21" t="s">
        <v>260</v>
      </c>
      <c r="BA9" s="21" t="s">
        <v>260</v>
      </c>
      <c r="BB9" s="21" t="s">
        <v>260</v>
      </c>
      <c r="BC9" s="21" t="s">
        <v>260</v>
      </c>
      <c r="BD9" s="21" t="s">
        <v>260</v>
      </c>
      <c r="BE9" s="21" t="s">
        <v>260</v>
      </c>
      <c r="BF9" s="21" t="s">
        <v>260</v>
      </c>
      <c r="BG9" s="21" t="s">
        <v>260</v>
      </c>
      <c r="BH9" s="21" t="s">
        <v>260</v>
      </c>
      <c r="BI9" s="21" t="s">
        <v>260</v>
      </c>
    </row>
    <row r="10" spans="1:61" x14ac:dyDescent="0.35">
      <c r="B10" s="452" t="s">
        <v>4576</v>
      </c>
      <c r="C10" s="13"/>
      <c r="D10" s="13"/>
      <c r="E10" s="13"/>
      <c r="F10" s="13"/>
      <c r="G10" s="13"/>
      <c r="H10" s="550"/>
      <c r="I10" s="166">
        <v>1001</v>
      </c>
      <c r="J10" s="4"/>
      <c r="K10" s="4"/>
      <c r="L10" s="706" t="s">
        <v>3492</v>
      </c>
      <c r="M10" s="85"/>
    </row>
    <row r="11" spans="1:61" ht="15" thickBot="1" x14ac:dyDescent="0.4">
      <c r="B11" s="452" t="s">
        <v>4576</v>
      </c>
      <c r="C11" s="13"/>
      <c r="D11" s="13"/>
      <c r="E11" s="13"/>
      <c r="F11" s="13"/>
      <c r="G11" s="13"/>
      <c r="H11" s="550"/>
      <c r="I11" s="183"/>
      <c r="J11" s="183"/>
      <c r="K11" s="183"/>
      <c r="L11" s="710"/>
      <c r="M11" s="184"/>
      <c r="N11" s="58"/>
      <c r="O11" s="58"/>
      <c r="P11" s="58"/>
      <c r="Q11" s="58"/>
      <c r="R11" s="58"/>
      <c r="S11" s="58"/>
      <c r="T11" s="58"/>
      <c r="U11" s="58"/>
      <c r="V11" s="58"/>
      <c r="W11" s="58"/>
      <c r="X11" s="58"/>
      <c r="AX11" s="6" t="str">
        <f>'Overview (Design)'!A10</f>
        <v>Builder Name:</v>
      </c>
      <c r="AY11" t="str">
        <f>'Overview (Design)'!G10</f>
        <v>ABC Builder</v>
      </c>
    </row>
    <row r="12" spans="1:61" ht="15" thickTop="1" x14ac:dyDescent="0.35">
      <c r="B12" s="452">
        <v>1001.1</v>
      </c>
      <c r="C12" s="13"/>
      <c r="D12" s="13"/>
      <c r="E12" s="13"/>
      <c r="F12" s="13"/>
      <c r="G12" s="13"/>
      <c r="H12" s="550"/>
      <c r="I12" s="33">
        <v>1001.1</v>
      </c>
      <c r="J12" s="4"/>
      <c r="K12" s="4"/>
      <c r="L12" s="706" t="s">
        <v>3493</v>
      </c>
      <c r="M12" s="736" t="s">
        <v>3589</v>
      </c>
      <c r="N12" s="4"/>
      <c r="O12" s="696">
        <f>MIN(IF(AND(COUNTIF(W15:W17,TRUE)=3,S15),ROUNDDOWN(COUNTIF(W21:W59,TRUE)/2,0),0),8)</f>
        <v>8</v>
      </c>
      <c r="AL12" t="str">
        <f>SUBSTITUTE(SUBSTITUTE(SUBSTITUTE("dpa"&amp;$B12&amp;$C12&amp;$D12&amp;$E12&amp;$F12,".","_"),"(","_"),")","")</f>
        <v>dpa1001_1</v>
      </c>
      <c r="AM12" t="str">
        <f>M12</f>
        <v>1
8 Max</v>
      </c>
      <c r="AN12" t="str">
        <f>SUBSTITUTE(SUBSTITUTE(SUBSTITUTE("dpc"&amp;$B12&amp;$C12&amp;$D12&amp;$E12&amp;$F12,".","_"),"(","_"),")","")</f>
        <v>dpc1001_1</v>
      </c>
      <c r="AO12">
        <f>O12</f>
        <v>8</v>
      </c>
      <c r="AX12" s="6" t="str">
        <f>'Overview (Design)'!A11</f>
        <v>Physical Address of Home:</v>
      </c>
      <c r="AY12" t="str">
        <f>'Overview (Design)'!G11</f>
        <v>123 Example Drive</v>
      </c>
    </row>
    <row r="13" spans="1:61" x14ac:dyDescent="0.35">
      <c r="B13" s="452">
        <v>1001.1</v>
      </c>
      <c r="C13" s="13"/>
      <c r="D13" s="13"/>
      <c r="E13" s="13"/>
      <c r="F13" s="13"/>
      <c r="G13" s="13"/>
      <c r="H13" s="550"/>
      <c r="I13" s="4"/>
      <c r="J13" s="4"/>
      <c r="K13" s="4"/>
      <c r="L13" s="706"/>
      <c r="M13" s="736"/>
      <c r="N13" s="4"/>
      <c r="O13" s="696"/>
      <c r="AX13" s="6" t="str">
        <f>'Overview (Design)'!A12</f>
        <v>Community/Lot #:</v>
      </c>
      <c r="AY13" t="str">
        <f>'Overview (Design)'!G12</f>
        <v>Lot 1A</v>
      </c>
    </row>
    <row r="14" spans="1:61" x14ac:dyDescent="0.35">
      <c r="B14" s="452">
        <v>1001.1</v>
      </c>
      <c r="C14" s="13"/>
      <c r="D14" s="13"/>
      <c r="E14" s="13"/>
      <c r="F14" s="13"/>
      <c r="G14" s="13"/>
      <c r="H14" s="550"/>
      <c r="I14" s="4"/>
      <c r="J14" s="4"/>
      <c r="K14" s="4"/>
      <c r="L14" s="168" t="s">
        <v>3586</v>
      </c>
      <c r="M14" s="736"/>
      <c r="N14" s="4"/>
      <c r="O14" s="696"/>
      <c r="AX14" s="6" t="str">
        <f>'Overview (Design)'!A13</f>
        <v>City:</v>
      </c>
      <c r="AY14" t="str">
        <f>'Overview (Design)'!G13</f>
        <v>Durham</v>
      </c>
    </row>
    <row r="15" spans="1:61" x14ac:dyDescent="0.35">
      <c r="B15" s="452">
        <v>1001.1</v>
      </c>
      <c r="C15" s="13"/>
      <c r="D15" s="13"/>
      <c r="E15" s="13" t="s">
        <v>270</v>
      </c>
      <c r="F15" s="13"/>
      <c r="G15" s="13"/>
      <c r="H15" s="550"/>
      <c r="I15" s="4"/>
      <c r="J15" s="148" t="s">
        <v>270</v>
      </c>
      <c r="K15" s="155"/>
      <c r="L15" s="214" t="s">
        <v>3494</v>
      </c>
      <c r="M15" s="555" t="str">
        <f t="shared" ref="M15:M20" si="0">IF(R15,"Mandatory","N/A")</f>
        <v>Mandatory</v>
      </c>
      <c r="N15" s="4"/>
      <c r="O15" s="85"/>
      <c r="P15" t="b">
        <v>0</v>
      </c>
      <c r="Q15" t="b">
        <v>1</v>
      </c>
      <c r="R15" t="b">
        <f>S15</f>
        <v>1</v>
      </c>
      <c r="S15" t="b">
        <f>IF(AY19=INDEX(ddSingleOrMulti,1),TRUE,FALSE)</f>
        <v>1</v>
      </c>
      <c r="T15" t="b">
        <f>AND(NOT(S15),W15=TRUE)</f>
        <v>0</v>
      </c>
      <c r="W15" s="17" t="b">
        <v>1</v>
      </c>
      <c r="X15" s="39"/>
      <c r="AC15" t="b">
        <f>OR(AD15:AE15)</f>
        <v>0</v>
      </c>
      <c r="AD15" t="b">
        <f>T15</f>
        <v>0</v>
      </c>
      <c r="AE15" t="b">
        <f>AND(R15,NOT(W15=TRUE))</f>
        <v>0</v>
      </c>
      <c r="AL15" t="str">
        <f t="shared" ref="AL15:AL17" si="1">SUBSTITUTE(SUBSTITUTE(SUBSTITUTE("dpa"&amp;$B15&amp;$C15&amp;$D15&amp;$E15&amp;$F15,".","_"),"(","_"),")","")</f>
        <v>dpa1001_1_1</v>
      </c>
      <c r="AM15" t="str">
        <f>M15</f>
        <v>Mandatory</v>
      </c>
      <c r="AP15" t="str">
        <f t="shared" ref="AP15:AP17" si="2">SUBSTITUTE(SUBSTITUTE(SUBSTITUTE("dch"&amp;$B15&amp;$C15&amp;$D15&amp;$E15&amp;$F15,".","_"),"(","_"),")","")</f>
        <v>dch1001_1_1</v>
      </c>
      <c r="AQ15" t="b">
        <f>W15</f>
        <v>1</v>
      </c>
      <c r="AR15" t="str">
        <f>SUBSTITUTE(SUBSTITUTE(SUBSTITUTE("dnt"&amp;$B15&amp;$C15&amp;$D15&amp;$E15&amp;$F15,".","_"),"(","_"),")","")</f>
        <v>dnt1001_1_1</v>
      </c>
      <c r="AS15">
        <f>X15</f>
        <v>0</v>
      </c>
      <c r="AX15" s="6" t="str">
        <f>'Overview (Design)'!A14</f>
        <v>State:</v>
      </c>
      <c r="AY15" t="str">
        <f>'Overview (Design)'!G14</f>
        <v>North Carolina</v>
      </c>
      <c r="BC15" t="str">
        <f>'Overview (Design)'!K14</f>
        <v>State</v>
      </c>
      <c r="BD15" t="str">
        <f>'Overview (Design)'!L14</f>
        <v>County</v>
      </c>
      <c r="BE15" t="str">
        <f>'Overview (Design)'!M14</f>
        <v>Radon</v>
      </c>
      <c r="BF15" t="str">
        <f>'Overview (Design)'!N14</f>
        <v>Climate</v>
      </c>
      <c r="BG15" t="str">
        <f>'Overview (Design)'!O14</f>
        <v>Moist</v>
      </c>
      <c r="BH15" t="str">
        <f>'Overview (Design)'!P14</f>
        <v>WarmHumid</v>
      </c>
      <c r="BI15" t="str">
        <f>'Overview (Design)'!Q14</f>
        <v>Tropical</v>
      </c>
    </row>
    <row r="16" spans="1:61" x14ac:dyDescent="0.35">
      <c r="B16" s="452">
        <v>1001.1</v>
      </c>
      <c r="C16" s="13"/>
      <c r="D16" s="13"/>
      <c r="E16" s="13" t="s">
        <v>272</v>
      </c>
      <c r="F16" s="13"/>
      <c r="G16" s="13"/>
      <c r="H16" s="550"/>
      <c r="I16" s="4"/>
      <c r="J16" s="150" t="s">
        <v>272</v>
      </c>
      <c r="K16" s="187"/>
      <c r="L16" s="220" t="s">
        <v>3495</v>
      </c>
      <c r="M16" s="556" t="str">
        <f t="shared" si="0"/>
        <v>Mandatory</v>
      </c>
      <c r="N16" s="4"/>
      <c r="O16" s="85"/>
      <c r="P16" t="b">
        <v>0</v>
      </c>
      <c r="Q16" t="b">
        <v>1</v>
      </c>
      <c r="R16" t="b">
        <f>S16</f>
        <v>1</v>
      </c>
      <c r="S16" t="b">
        <f>IF(AY19=INDEX(ddSingleOrMulti,1),TRUE,FALSE)</f>
        <v>1</v>
      </c>
      <c r="T16" t="b">
        <f>AND(NOT(S16),W16=TRUE)</f>
        <v>0</v>
      </c>
      <c r="W16" s="17" t="b">
        <v>1</v>
      </c>
      <c r="X16" s="39"/>
      <c r="AC16" t="b">
        <f>OR(AD16:AE16)</f>
        <v>0</v>
      </c>
      <c r="AD16" t="b">
        <f>T16</f>
        <v>0</v>
      </c>
      <c r="AE16" t="b">
        <f>AND(R16,NOT(W16=TRUE))</f>
        <v>0</v>
      </c>
      <c r="AL16" t="str">
        <f t="shared" si="1"/>
        <v>dpa1001_1_2</v>
      </c>
      <c r="AM16" t="str">
        <f>M16</f>
        <v>Mandatory</v>
      </c>
      <c r="AP16" t="str">
        <f t="shared" si="2"/>
        <v>dch1001_1_2</v>
      </c>
      <c r="AQ16" t="b">
        <f>W16</f>
        <v>1</v>
      </c>
      <c r="AR16" t="str">
        <f>SUBSTITUTE(SUBSTITUTE(SUBSTITUTE("dnt"&amp;$B16&amp;$C16&amp;$D16&amp;$E16&amp;$F16,".","_"),"(","_"),")","")</f>
        <v>dnt1001_1_2</v>
      </c>
      <c r="AS16">
        <f>X16</f>
        <v>0</v>
      </c>
      <c r="AX16" s="6" t="str">
        <f>'Overview (Design)'!A15</f>
        <v>County:</v>
      </c>
      <c r="AY16" t="str">
        <f>'Overview (Design)'!G15</f>
        <v xml:space="preserve">Chatham  </v>
      </c>
      <c r="BC16" t="str">
        <f>'Overview (Design)'!K15</f>
        <v>North Carolina</v>
      </c>
      <c r="BD16" t="str">
        <f>'Overview (Design)'!L15</f>
        <v xml:space="preserve">Chatham  </v>
      </c>
      <c r="BE16">
        <f>'Overview (Design)'!M15</f>
        <v>3</v>
      </c>
      <c r="BF16">
        <f>'Overview (Design)'!N15</f>
        <v>4</v>
      </c>
      <c r="BG16" t="str">
        <f>'Overview (Design)'!O15</f>
        <v>Moist</v>
      </c>
      <c r="BH16" t="str">
        <f>'Overview (Design)'!P15</f>
        <v xml:space="preserve"> </v>
      </c>
      <c r="BI16" t="str">
        <f>'Overview (Design)'!Q15</f>
        <v xml:space="preserve"> </v>
      </c>
    </row>
    <row r="17" spans="2:51" x14ac:dyDescent="0.35">
      <c r="B17" s="452">
        <v>1001.1</v>
      </c>
      <c r="C17" s="13"/>
      <c r="D17" s="13"/>
      <c r="E17" s="13" t="s">
        <v>274</v>
      </c>
      <c r="F17" s="13"/>
      <c r="G17" s="13"/>
      <c r="H17" s="550"/>
      <c r="I17" s="4"/>
      <c r="J17" s="154" t="s">
        <v>274</v>
      </c>
      <c r="K17" s="136"/>
      <c r="L17" s="742" t="s">
        <v>3496</v>
      </c>
      <c r="M17" s="769" t="str">
        <f t="shared" si="0"/>
        <v>Mandatory</v>
      </c>
      <c r="N17" s="4"/>
      <c r="O17" s="85"/>
      <c r="P17" t="b">
        <v>0</v>
      </c>
      <c r="Q17" t="b">
        <v>1</v>
      </c>
      <c r="R17" t="b">
        <f>S17</f>
        <v>1</v>
      </c>
      <c r="S17" t="b">
        <f>IF(AY19=INDEX(ddSingleOrMulti,1),TRUE,FALSE)</f>
        <v>1</v>
      </c>
      <c r="T17" t="b">
        <f>AND(NOT(S17),W17=TRUE)</f>
        <v>0</v>
      </c>
      <c r="W17" s="17" t="b">
        <v>1</v>
      </c>
      <c r="X17" s="698"/>
      <c r="AC17" t="b">
        <f>OR(AD17:AE17)</f>
        <v>0</v>
      </c>
      <c r="AD17" t="b">
        <f>T17</f>
        <v>0</v>
      </c>
      <c r="AE17" t="b">
        <f>AND(R17,NOT(W17=TRUE))</f>
        <v>0</v>
      </c>
      <c r="AL17" t="str">
        <f t="shared" si="1"/>
        <v>dpa1001_1_3</v>
      </c>
      <c r="AM17" t="str">
        <f>M17</f>
        <v>Mandatory</v>
      </c>
      <c r="AP17" t="str">
        <f t="shared" si="2"/>
        <v>dch1001_1_3</v>
      </c>
      <c r="AQ17" t="b">
        <f>W17</f>
        <v>1</v>
      </c>
      <c r="AR17" t="str">
        <f>SUBSTITUTE(SUBSTITUTE(SUBSTITUTE("dnt"&amp;$B17&amp;$C17&amp;$D17&amp;$E17&amp;$F17,".","_"),"(","_"),")","")</f>
        <v>dnt1001_1_3</v>
      </c>
      <c r="AS17">
        <f>X17</f>
        <v>0</v>
      </c>
      <c r="AX17" s="6" t="str">
        <f>'Overview (Design)'!A16</f>
        <v>Zip:</v>
      </c>
      <c r="AY17" t="str">
        <f>'Overview (Design)'!G16</f>
        <v>27703</v>
      </c>
    </row>
    <row r="18" spans="2:51" x14ac:dyDescent="0.35">
      <c r="B18" s="452">
        <v>1001.1</v>
      </c>
      <c r="C18" s="13"/>
      <c r="D18" s="13"/>
      <c r="E18" s="13" t="s">
        <v>274</v>
      </c>
      <c r="F18" s="13"/>
      <c r="G18" s="13"/>
      <c r="H18" s="550"/>
      <c r="I18" s="4"/>
      <c r="J18" s="19"/>
      <c r="K18" s="4"/>
      <c r="L18" s="707"/>
      <c r="M18" s="740" t="str">
        <f t="shared" si="0"/>
        <v>N/A</v>
      </c>
      <c r="N18" s="4"/>
      <c r="O18" s="85"/>
      <c r="X18" s="699"/>
      <c r="AX18" s="6"/>
    </row>
    <row r="19" spans="2:51" x14ac:dyDescent="0.35">
      <c r="B19" s="452">
        <v>1001.1</v>
      </c>
      <c r="C19" s="13"/>
      <c r="D19" s="13"/>
      <c r="E19" s="13" t="s">
        <v>274</v>
      </c>
      <c r="F19" s="13"/>
      <c r="G19" s="13"/>
      <c r="H19" s="550"/>
      <c r="I19" s="4"/>
      <c r="J19" s="19"/>
      <c r="K19" s="4"/>
      <c r="L19" s="707"/>
      <c r="M19" s="740" t="str">
        <f t="shared" si="0"/>
        <v>N/A</v>
      </c>
      <c r="N19" s="4"/>
      <c r="O19" s="85"/>
      <c r="X19" s="699"/>
      <c r="AX19" s="6" t="str">
        <f>'Overview (Design)'!A18</f>
        <v>Single-Family or Multifamily:</v>
      </c>
      <c r="AY19" t="str">
        <f>'Overview (Design)'!G18</f>
        <v>Single-Family</v>
      </c>
    </row>
    <row r="20" spans="2:51" x14ac:dyDescent="0.35">
      <c r="B20" s="452">
        <v>1001.1</v>
      </c>
      <c r="C20" s="13"/>
      <c r="D20" s="13"/>
      <c r="E20" s="13" t="s">
        <v>274</v>
      </c>
      <c r="F20" s="13"/>
      <c r="G20" s="13"/>
      <c r="H20" s="550"/>
      <c r="I20" s="4"/>
      <c r="J20" s="148"/>
      <c r="K20" s="155"/>
      <c r="L20" s="709"/>
      <c r="M20" s="741" t="str">
        <f t="shared" si="0"/>
        <v>N/A</v>
      </c>
      <c r="N20" s="4"/>
      <c r="O20" s="85"/>
      <c r="X20" s="700"/>
      <c r="AX20" s="6" t="str">
        <f>'Overview (Design)'!A19</f>
        <v>Number of Units:</v>
      </c>
      <c r="AY20">
        <f>'Overview (Design)'!G19</f>
        <v>0</v>
      </c>
    </row>
    <row r="21" spans="2:51" x14ac:dyDescent="0.35">
      <c r="B21" s="452">
        <v>1001.1</v>
      </c>
      <c r="C21" s="13"/>
      <c r="D21" s="13"/>
      <c r="E21" s="13" t="s">
        <v>283</v>
      </c>
      <c r="F21" s="13"/>
      <c r="G21" s="13"/>
      <c r="H21" s="550"/>
      <c r="I21" s="4"/>
      <c r="J21" s="150" t="s">
        <v>283</v>
      </c>
      <c r="K21" s="187"/>
      <c r="L21" s="220" t="s">
        <v>3497</v>
      </c>
      <c r="M21" s="85"/>
      <c r="N21" s="4"/>
      <c r="O21" s="85"/>
      <c r="P21" t="b">
        <v>0</v>
      </c>
      <c r="Q21" t="b">
        <v>1</v>
      </c>
      <c r="R21" t="b">
        <v>0</v>
      </c>
      <c r="S21" t="b">
        <f>IF(AY19=INDEX(ddSingleOrMulti,1),TRUE,FALSE)</f>
        <v>1</v>
      </c>
      <c r="T21" t="b">
        <f>AND(NOT(S21),W21=TRUE)</f>
        <v>0</v>
      </c>
      <c r="W21" s="17" t="b">
        <v>1</v>
      </c>
      <c r="X21" s="39"/>
      <c r="AC21" t="b">
        <f>OR(AD21:AE21)</f>
        <v>0</v>
      </c>
      <c r="AD21" t="b">
        <f>T21</f>
        <v>0</v>
      </c>
      <c r="AP21" t="str">
        <f t="shared" ref="AP21:AP23" si="3">SUBSTITUTE(SUBSTITUTE(SUBSTITUTE("dch"&amp;$B21&amp;$C21&amp;$D21&amp;$E21&amp;$F21,".","_"),"(","_"),")","")</f>
        <v>dch1001_1_4</v>
      </c>
      <c r="AQ21" t="b">
        <f>W21</f>
        <v>1</v>
      </c>
      <c r="AR21" t="str">
        <f>SUBSTITUTE(SUBSTITUTE(SUBSTITUTE("dnt"&amp;$B21&amp;$C21&amp;$D21&amp;$E21&amp;$F21,".","_"),"(","_"),")","")</f>
        <v>dnt1001_1_4</v>
      </c>
      <c r="AS21">
        <f>X21</f>
        <v>0</v>
      </c>
      <c r="AX21" s="6" t="str">
        <f>'Overview (Design)'!A20</f>
        <v>Project Name:</v>
      </c>
      <c r="AY21">
        <f>'Overview (Design)'!G20</f>
        <v>0</v>
      </c>
    </row>
    <row r="22" spans="2:51" x14ac:dyDescent="0.35">
      <c r="B22" s="452">
        <v>1001.1</v>
      </c>
      <c r="C22" s="13"/>
      <c r="D22" s="13"/>
      <c r="E22" s="13" t="s">
        <v>289</v>
      </c>
      <c r="F22" s="13"/>
      <c r="G22" s="13"/>
      <c r="H22" s="550"/>
      <c r="I22" s="4"/>
      <c r="J22" s="150" t="s">
        <v>289</v>
      </c>
      <c r="K22" s="187"/>
      <c r="L22" s="220" t="s">
        <v>3498</v>
      </c>
      <c r="M22" s="85"/>
      <c r="N22" s="4"/>
      <c r="O22" s="85"/>
      <c r="P22" t="b">
        <v>0</v>
      </c>
      <c r="Q22" t="b">
        <v>1</v>
      </c>
      <c r="R22" t="b">
        <v>0</v>
      </c>
      <c r="S22" t="b">
        <f>IF(AY19=INDEX(ddSingleOrMulti,1),TRUE,FALSE)</f>
        <v>1</v>
      </c>
      <c r="T22" t="b">
        <f>AND(NOT(S22),W22=TRUE)</f>
        <v>0</v>
      </c>
      <c r="W22" s="17" t="b">
        <v>1</v>
      </c>
      <c r="X22" s="39"/>
      <c r="AC22" t="b">
        <f>OR(AD22:AE22)</f>
        <v>0</v>
      </c>
      <c r="AD22" t="b">
        <f>T22</f>
        <v>0</v>
      </c>
      <c r="AP22" t="str">
        <f t="shared" si="3"/>
        <v>dch1001_1_5</v>
      </c>
      <c r="AQ22" t="b">
        <f>W22</f>
        <v>1</v>
      </c>
      <c r="AR22" t="str">
        <f>SUBSTITUTE(SUBSTITUTE(SUBSTITUTE("dnt"&amp;$B22&amp;$C22&amp;$D22&amp;$E22&amp;$F22,".","_"),"(","_"),")","")</f>
        <v>dnt1001_1_5</v>
      </c>
      <c r="AS22">
        <f>X22</f>
        <v>0</v>
      </c>
      <c r="AX22" s="6"/>
    </row>
    <row r="23" spans="2:51" x14ac:dyDescent="0.35">
      <c r="B23" s="452">
        <v>1001.1</v>
      </c>
      <c r="C23" s="13"/>
      <c r="D23" s="13"/>
      <c r="E23" s="13" t="s">
        <v>291</v>
      </c>
      <c r="F23" s="13"/>
      <c r="G23" s="13"/>
      <c r="H23" s="550"/>
      <c r="I23" s="4"/>
      <c r="J23" s="154" t="s">
        <v>291</v>
      </c>
      <c r="K23" s="136"/>
      <c r="L23" s="742" t="s">
        <v>3499</v>
      </c>
      <c r="M23" s="85"/>
      <c r="N23" s="4"/>
      <c r="O23" s="85"/>
      <c r="P23" t="b">
        <v>0</v>
      </c>
      <c r="Q23" t="b">
        <v>1</v>
      </c>
      <c r="R23" t="b">
        <v>0</v>
      </c>
      <c r="S23" t="b">
        <f>IF(AY19=INDEX(ddSingleOrMulti,1),TRUE,FALSE)</f>
        <v>1</v>
      </c>
      <c r="T23" t="b">
        <f>AND(NOT(S23),W23=TRUE)</f>
        <v>0</v>
      </c>
      <c r="W23" s="17" t="b">
        <v>1</v>
      </c>
      <c r="X23" s="688"/>
      <c r="AC23" t="b">
        <f>OR(AD23:AE23)</f>
        <v>0</v>
      </c>
      <c r="AD23" t="b">
        <f>T23</f>
        <v>0</v>
      </c>
      <c r="AP23" t="str">
        <f t="shared" si="3"/>
        <v>dch1001_1_6</v>
      </c>
      <c r="AQ23" t="b">
        <f>W23</f>
        <v>1</v>
      </c>
      <c r="AR23" t="str">
        <f>SUBSTITUTE(SUBSTITUTE(SUBSTITUTE("dnt"&amp;$B23&amp;$C23&amp;$D23&amp;$E23&amp;$F23,".","_"),"(","_"),")","")</f>
        <v>dnt1001_1_6</v>
      </c>
      <c r="AS23">
        <f>X23</f>
        <v>0</v>
      </c>
      <c r="AX23" s="6" t="str">
        <f>'Overview (Design)'!A22</f>
        <v>Above grade plane finished floor area:</v>
      </c>
      <c r="AY23">
        <f>'Overview (Design)'!G22</f>
        <v>2644</v>
      </c>
    </row>
    <row r="24" spans="2:51" x14ac:dyDescent="0.35">
      <c r="B24" s="452">
        <v>1001.1</v>
      </c>
      <c r="C24" s="13"/>
      <c r="D24" s="13"/>
      <c r="E24" s="13" t="s">
        <v>291</v>
      </c>
      <c r="F24" s="13"/>
      <c r="G24" s="13"/>
      <c r="H24" s="550"/>
      <c r="I24" s="4"/>
      <c r="J24" s="148"/>
      <c r="K24" s="155"/>
      <c r="L24" s="709"/>
      <c r="M24" s="85"/>
      <c r="N24" s="4"/>
      <c r="O24" s="85"/>
      <c r="X24" s="688"/>
      <c r="AX24" s="6" t="str">
        <f>'Overview (Design)'!A23</f>
        <v>Total conditioned floor area:</v>
      </c>
      <c r="AY24">
        <f>'Overview (Design)'!G23</f>
        <v>2644</v>
      </c>
    </row>
    <row r="25" spans="2:51" x14ac:dyDescent="0.35">
      <c r="B25" s="452">
        <v>1001.1</v>
      </c>
      <c r="C25" s="13"/>
      <c r="D25" s="13"/>
      <c r="E25" s="13" t="s">
        <v>403</v>
      </c>
      <c r="F25" s="13"/>
      <c r="G25" s="13"/>
      <c r="H25" s="550"/>
      <c r="I25" s="4"/>
      <c r="J25" s="154" t="s">
        <v>403</v>
      </c>
      <c r="K25" s="136"/>
      <c r="L25" s="742" t="s">
        <v>3500</v>
      </c>
      <c r="M25" s="85"/>
      <c r="N25" s="4"/>
      <c r="O25" s="85"/>
      <c r="P25" t="b">
        <v>0</v>
      </c>
      <c r="Q25" t="b">
        <v>1</v>
      </c>
      <c r="R25" t="b">
        <v>0</v>
      </c>
      <c r="S25" t="b">
        <f>IF(AY19=INDEX(ddSingleOrMulti,1),TRUE,FALSE)</f>
        <v>1</v>
      </c>
      <c r="T25" t="b">
        <f>AND(NOT(S25),W25=TRUE)</f>
        <v>0</v>
      </c>
      <c r="W25" s="17" t="b">
        <v>1</v>
      </c>
      <c r="X25" s="688"/>
      <c r="AC25" t="b">
        <f>OR(AD25:AE25)</f>
        <v>0</v>
      </c>
      <c r="AD25" t="b">
        <f>T25</f>
        <v>0</v>
      </c>
      <c r="AP25" t="str">
        <f>SUBSTITUTE(SUBSTITUTE(SUBSTITUTE("dch"&amp;$B25&amp;$C25&amp;$D25&amp;$E25&amp;$F25,".","_"),"(","_"),")","")</f>
        <v>dch1001_1_7</v>
      </c>
      <c r="AQ25" t="b">
        <f>W25</f>
        <v>1</v>
      </c>
      <c r="AR25" t="str">
        <f>SUBSTITUTE(SUBSTITUTE(SUBSTITUTE("dnt"&amp;$B25&amp;$C25&amp;$D25&amp;$E25&amp;$F25,".","_"),"(","_"),")","")</f>
        <v>dnt1001_1_7</v>
      </c>
      <c r="AS25">
        <f>X25</f>
        <v>0</v>
      </c>
      <c r="AX25" s="6" t="str">
        <f>'Overview (Design)'!A24</f>
        <v>Stories above grade:</v>
      </c>
      <c r="AY25">
        <f>'Overview (Design)'!G24</f>
        <v>2</v>
      </c>
    </row>
    <row r="26" spans="2:51" x14ac:dyDescent="0.35">
      <c r="B26" s="452">
        <v>1001.1</v>
      </c>
      <c r="C26" s="13"/>
      <c r="D26" s="13"/>
      <c r="E26" s="13" t="s">
        <v>403</v>
      </c>
      <c r="F26" s="13"/>
      <c r="G26" s="13"/>
      <c r="H26" s="550"/>
      <c r="I26" s="4"/>
      <c r="J26" s="148"/>
      <c r="K26" s="155"/>
      <c r="L26" s="709"/>
      <c r="M26" s="85"/>
      <c r="N26" s="4"/>
      <c r="O26" s="85"/>
      <c r="X26" s="688"/>
    </row>
    <row r="27" spans="2:51" x14ac:dyDescent="0.35">
      <c r="B27" s="452">
        <v>1001.1</v>
      </c>
      <c r="C27" s="13"/>
      <c r="D27" s="13"/>
      <c r="E27" s="13" t="s">
        <v>453</v>
      </c>
      <c r="F27" s="13"/>
      <c r="G27" s="13"/>
      <c r="H27" s="550"/>
      <c r="I27" s="4"/>
      <c r="J27" s="150" t="s">
        <v>453</v>
      </c>
      <c r="K27" s="187"/>
      <c r="L27" s="220" t="s">
        <v>3501</v>
      </c>
      <c r="M27" s="85"/>
      <c r="N27" s="4"/>
      <c r="O27" s="85"/>
      <c r="P27" t="b">
        <v>0</v>
      </c>
      <c r="Q27" t="b">
        <v>1</v>
      </c>
      <c r="R27" t="b">
        <v>0</v>
      </c>
      <c r="S27" t="b">
        <f>IF(AY19=INDEX(ddSingleOrMulti,1),TRUE,FALSE)</f>
        <v>1</v>
      </c>
      <c r="T27" t="b">
        <f>AND(NOT(S27),W27=TRUE)</f>
        <v>0</v>
      </c>
      <c r="W27" s="17" t="b">
        <v>1</v>
      </c>
      <c r="X27" s="39"/>
      <c r="AC27" t="b">
        <f>OR(AD27:AE27)</f>
        <v>0</v>
      </c>
      <c r="AD27" t="b">
        <f>T27</f>
        <v>0</v>
      </c>
      <c r="AP27" t="str">
        <f t="shared" ref="AP27:AP32" si="4">SUBSTITUTE(SUBSTITUTE(SUBSTITUTE("dch"&amp;$B27&amp;$C27&amp;$D27&amp;$E27&amp;$F27,".","_"),"(","_"),")","")</f>
        <v>dch1001_1_8</v>
      </c>
      <c r="AQ27" t="b">
        <f>W27</f>
        <v>1</v>
      </c>
      <c r="AR27" t="str">
        <f>SUBSTITUTE(SUBSTITUTE(SUBSTITUTE("dnt"&amp;$B27&amp;$C27&amp;$D27&amp;$E27&amp;$F27,".","_"),"(","_"),")","")</f>
        <v>dnt1001_1_8</v>
      </c>
      <c r="AS27">
        <f>X27</f>
        <v>0</v>
      </c>
      <c r="AX27" s="6" t="str">
        <f>'Overview (Design)'!A26</f>
        <v xml:space="preserve">Project Description (optional): </v>
      </c>
      <c r="AY27">
        <f>'Overview (Design)'!G26</f>
        <v>0</v>
      </c>
    </row>
    <row r="28" spans="2:51" ht="15" customHeight="1" x14ac:dyDescent="0.35">
      <c r="B28" s="452">
        <v>1001.1</v>
      </c>
      <c r="C28" s="13"/>
      <c r="D28" s="13"/>
      <c r="E28" s="13" t="s">
        <v>455</v>
      </c>
      <c r="F28" s="13"/>
      <c r="G28" s="13"/>
      <c r="H28" s="550"/>
      <c r="I28" s="4"/>
      <c r="J28" s="19" t="s">
        <v>455</v>
      </c>
      <c r="K28" s="4"/>
      <c r="L28" s="757" t="s">
        <v>3502</v>
      </c>
      <c r="M28" s="750" t="str">
        <f ca="1">IF(R28,"Mandatory per 902.2.1","N/A")</f>
        <v>Mandatory per 902.2.1</v>
      </c>
      <c r="N28" s="4"/>
      <c r="O28" s="85"/>
      <c r="P28" t="b">
        <v>0</v>
      </c>
      <c r="Q28" t="b">
        <v>1</v>
      </c>
      <c r="R28" s="1" t="b">
        <f ca="1">AND(S28,OR('Ch9'!O211&gt;0,'Ch9'!R211))</f>
        <v>1</v>
      </c>
      <c r="S28" t="b">
        <f>IF(AY19=INDEX(ddSingleOrMulti,1),TRUE,FALSE)</f>
        <v>1</v>
      </c>
      <c r="T28" t="b">
        <f>AND(NOT(S28),W28=TRUE)</f>
        <v>0</v>
      </c>
      <c r="W28" s="17" t="b">
        <v>1</v>
      </c>
      <c r="X28" s="698"/>
      <c r="AC28" t="b">
        <f ca="1">OR(AD28:AE28)</f>
        <v>0</v>
      </c>
      <c r="AD28" t="b">
        <f>T28</f>
        <v>0</v>
      </c>
      <c r="AE28" t="b">
        <f ca="1">AND(R28,NOT(W28=TRUE))</f>
        <v>0</v>
      </c>
      <c r="AP28" t="str">
        <f t="shared" si="4"/>
        <v>dch1001_1_9</v>
      </c>
      <c r="AQ28" t="b">
        <f>W28</f>
        <v>1</v>
      </c>
      <c r="AR28" t="str">
        <f>SUBSTITUTE(SUBSTITUTE(SUBSTITUTE("dnt"&amp;$B28&amp;$C28&amp;$D28&amp;$E28&amp;$F28,".","_"),"(","_"),")","")</f>
        <v>dnt1001_1_9</v>
      </c>
      <c r="AS28">
        <f>X28</f>
        <v>0</v>
      </c>
    </row>
    <row r="29" spans="2:51" ht="15" customHeight="1" x14ac:dyDescent="0.35">
      <c r="B29" s="452">
        <v>1001.1</v>
      </c>
      <c r="C29" s="13"/>
      <c r="D29" s="13"/>
      <c r="E29" s="13" t="s">
        <v>455</v>
      </c>
      <c r="F29" s="13"/>
      <c r="G29" s="13"/>
      <c r="H29" s="550"/>
      <c r="I29" s="4"/>
      <c r="J29" s="19"/>
      <c r="K29" s="4"/>
      <c r="L29" s="724"/>
      <c r="M29" s="750"/>
      <c r="N29" s="4"/>
      <c r="O29" s="85"/>
      <c r="X29" s="700"/>
    </row>
    <row r="30" spans="2:51" ht="15" customHeight="1" x14ac:dyDescent="0.35">
      <c r="B30" s="452">
        <v>1001.1</v>
      </c>
      <c r="C30" s="13"/>
      <c r="D30" s="13"/>
      <c r="E30" s="13" t="s">
        <v>457</v>
      </c>
      <c r="F30" s="13"/>
      <c r="G30" s="13"/>
      <c r="H30" s="550"/>
      <c r="I30" s="4"/>
      <c r="J30" s="150" t="s">
        <v>457</v>
      </c>
      <c r="K30" s="187"/>
      <c r="L30" s="220" t="s">
        <v>3503</v>
      </c>
      <c r="M30" s="85"/>
      <c r="N30" s="4"/>
      <c r="O30" s="85"/>
      <c r="P30" t="b">
        <v>0</v>
      </c>
      <c r="Q30" t="b">
        <v>1</v>
      </c>
      <c r="R30" t="b">
        <v>0</v>
      </c>
      <c r="S30" t="b">
        <f>IF(AY19=INDEX(ddSingleOrMulti,1),TRUE,FALSE)</f>
        <v>1</v>
      </c>
      <c r="T30" t="b">
        <f>AND(NOT(S30),W30=TRUE)</f>
        <v>0</v>
      </c>
      <c r="W30" s="17" t="b">
        <v>1</v>
      </c>
      <c r="X30" s="39"/>
      <c r="AC30" t="b">
        <f>OR(AD30:AE30)</f>
        <v>0</v>
      </c>
      <c r="AD30" t="b">
        <f>T30</f>
        <v>0</v>
      </c>
      <c r="AP30" t="str">
        <f t="shared" si="4"/>
        <v>dch1001_1_10</v>
      </c>
      <c r="AQ30" t="b">
        <f>W30</f>
        <v>1</v>
      </c>
      <c r="AR30" t="str">
        <f>SUBSTITUTE(SUBSTITUTE(SUBSTITUTE("dnt"&amp;$B30&amp;$C30&amp;$D30&amp;$E30&amp;$F30,".","_"),"(","_"),")","")</f>
        <v>dnt1001_1_10</v>
      </c>
      <c r="AS30">
        <f>X30</f>
        <v>0</v>
      </c>
      <c r="AX30" s="6" t="str">
        <f>'Overview (Design)'!A28</f>
        <v>HERS Index (if available):</v>
      </c>
      <c r="AY30">
        <f>'Overview (Design)'!G28</f>
        <v>0</v>
      </c>
    </row>
    <row r="31" spans="2:51" ht="15" customHeight="1" x14ac:dyDescent="0.35">
      <c r="B31" s="452">
        <v>1001.1</v>
      </c>
      <c r="C31" s="13"/>
      <c r="D31" s="13"/>
      <c r="E31" s="13" t="s">
        <v>459</v>
      </c>
      <c r="F31" s="13"/>
      <c r="G31" s="13"/>
      <c r="H31" s="550"/>
      <c r="I31" s="4"/>
      <c r="J31" s="19" t="s">
        <v>459</v>
      </c>
      <c r="K31" s="4"/>
      <c r="L31" s="104" t="s">
        <v>3504</v>
      </c>
      <c r="M31" s="85"/>
      <c r="N31" s="4"/>
      <c r="O31" s="85"/>
      <c r="P31" t="b">
        <v>0</v>
      </c>
      <c r="Q31" t="b">
        <v>1</v>
      </c>
      <c r="R31" t="b">
        <v>0</v>
      </c>
      <c r="S31" t="b">
        <f>IF(AY19=INDEX(ddSingleOrMulti,1),TRUE,FALSE)</f>
        <v>1</v>
      </c>
      <c r="T31" t="b">
        <f>AND(NOT(S31),W31=TRUE)</f>
        <v>0</v>
      </c>
      <c r="W31" s="17" t="b">
        <v>1</v>
      </c>
      <c r="X31" s="39"/>
      <c r="AC31" t="b">
        <f>OR(AD31:AE31)</f>
        <v>0</v>
      </c>
      <c r="AD31" t="b">
        <f>T31</f>
        <v>0</v>
      </c>
      <c r="AP31" t="str">
        <f t="shared" si="4"/>
        <v>dch1001_1_11</v>
      </c>
      <c r="AQ31" t="b">
        <f>W31</f>
        <v>1</v>
      </c>
      <c r="AR31" t="str">
        <f>SUBSTITUTE(SUBSTITUTE(SUBSTITUTE("dnt"&amp;$B31&amp;$C31&amp;$D31&amp;$E31&amp;$F31,".","_"),"(","_"),")","")</f>
        <v>dnt1001_1_11</v>
      </c>
      <c r="AS31">
        <f>X31</f>
        <v>0</v>
      </c>
      <c r="AX31" s="6" t="str">
        <f>'Overview (Design)'!A29</f>
        <v>Foundation Type:</v>
      </c>
      <c r="AY31" t="str">
        <f>'Overview (Design)'!G29</f>
        <v>Conditioned crawlspace</v>
      </c>
    </row>
    <row r="32" spans="2:51" ht="15" customHeight="1" x14ac:dyDescent="0.35">
      <c r="B32" s="452">
        <v>1001.1</v>
      </c>
      <c r="C32" s="13"/>
      <c r="D32" s="13"/>
      <c r="E32" s="13" t="s">
        <v>461</v>
      </c>
      <c r="F32" s="13"/>
      <c r="G32" s="13"/>
      <c r="H32" s="550"/>
      <c r="I32" s="4"/>
      <c r="J32" s="154" t="s">
        <v>461</v>
      </c>
      <c r="K32" s="136"/>
      <c r="L32" s="742" t="s">
        <v>3505</v>
      </c>
      <c r="M32" s="85"/>
      <c r="N32" s="4"/>
      <c r="O32" s="85"/>
      <c r="P32" t="b">
        <v>0</v>
      </c>
      <c r="Q32" t="b">
        <v>1</v>
      </c>
      <c r="R32" t="b">
        <v>0</v>
      </c>
      <c r="S32" t="b">
        <f>IF(AY19=INDEX(ddSingleOrMulti,1),TRUE,FALSE)</f>
        <v>1</v>
      </c>
      <c r="T32" t="b">
        <f>AND(NOT(S32),W32=TRUE)</f>
        <v>0</v>
      </c>
      <c r="W32" s="17"/>
      <c r="X32" s="688"/>
      <c r="AC32" t="b">
        <f>OR(AD32:AE32)</f>
        <v>0</v>
      </c>
      <c r="AD32" t="b">
        <f>T32</f>
        <v>0</v>
      </c>
      <c r="AP32" t="str">
        <f t="shared" si="4"/>
        <v>dch1001_1_12</v>
      </c>
      <c r="AQ32">
        <f>W32</f>
        <v>0</v>
      </c>
      <c r="AR32" t="str">
        <f>SUBSTITUTE(SUBSTITUTE(SUBSTITUTE("dnt"&amp;$B32&amp;$C32&amp;$D32&amp;$E32&amp;$F32,".","_"),"(","_"),")","")</f>
        <v>dnt1001_1_12</v>
      </c>
      <c r="AS32">
        <f>X32</f>
        <v>0</v>
      </c>
      <c r="AX32" s="6"/>
    </row>
    <row r="33" spans="2:51" x14ac:dyDescent="0.35">
      <c r="B33" s="452">
        <v>1001.1</v>
      </c>
      <c r="C33" s="13"/>
      <c r="D33" s="13"/>
      <c r="E33" s="13" t="s">
        <v>461</v>
      </c>
      <c r="F33" s="13"/>
      <c r="G33" s="13"/>
      <c r="H33" s="550"/>
      <c r="I33" s="4"/>
      <c r="J33" s="4"/>
      <c r="K33" s="4"/>
      <c r="L33" s="707"/>
      <c r="M33" s="85"/>
      <c r="N33" s="4"/>
      <c r="O33" s="85"/>
      <c r="X33" s="688"/>
      <c r="AX33" s="6" t="str">
        <f>'Overview (Design)'!A31</f>
        <v>Type of Heating System (main system):</v>
      </c>
      <c r="AY33" t="str">
        <f>'Overview (Design)'!G31</f>
        <v>Furnace</v>
      </c>
    </row>
    <row r="34" spans="2:51" x14ac:dyDescent="0.35">
      <c r="B34" s="452">
        <v>1001.1</v>
      </c>
      <c r="C34" s="13"/>
      <c r="D34" s="13"/>
      <c r="E34" s="13" t="s">
        <v>461</v>
      </c>
      <c r="F34" s="13" t="s">
        <v>121</v>
      </c>
      <c r="G34" s="13"/>
      <c r="H34" s="550"/>
      <c r="I34" s="4"/>
      <c r="J34" s="4"/>
      <c r="K34" s="19" t="s">
        <v>121</v>
      </c>
      <c r="L34" s="104" t="s">
        <v>3506</v>
      </c>
      <c r="M34" s="85"/>
      <c r="N34" s="4"/>
      <c r="O34" s="85"/>
      <c r="X34" s="688"/>
      <c r="AX34" s="6" t="str">
        <f>'Overview (Design)'!A32</f>
        <v>Type of Heating System (system 2):</v>
      </c>
      <c r="AY34">
        <f>'Overview (Design)'!G32</f>
        <v>0</v>
      </c>
    </row>
    <row r="35" spans="2:51" x14ac:dyDescent="0.35">
      <c r="B35" s="452">
        <v>1001.1</v>
      </c>
      <c r="C35" s="13"/>
      <c r="D35" s="13"/>
      <c r="E35" s="13" t="s">
        <v>461</v>
      </c>
      <c r="F35" s="13" t="s">
        <v>122</v>
      </c>
      <c r="G35" s="13"/>
      <c r="H35" s="550"/>
      <c r="I35" s="4"/>
      <c r="J35" s="4"/>
      <c r="K35" s="19" t="s">
        <v>122</v>
      </c>
      <c r="L35" s="104" t="s">
        <v>3507</v>
      </c>
      <c r="M35" s="85"/>
      <c r="N35" s="4"/>
      <c r="O35" s="85"/>
      <c r="X35" s="688"/>
      <c r="AX35" s="6" t="str">
        <f>'Overview (Design)'!A33</f>
        <v>Type of Heating System (system 3):</v>
      </c>
      <c r="AY35">
        <f>'Overview (Design)'!G33</f>
        <v>0</v>
      </c>
    </row>
    <row r="36" spans="2:51" x14ac:dyDescent="0.35">
      <c r="B36" s="452">
        <v>1001.1</v>
      </c>
      <c r="C36" s="13"/>
      <c r="D36" s="13"/>
      <c r="E36" s="13" t="s">
        <v>461</v>
      </c>
      <c r="F36" s="13" t="s">
        <v>123</v>
      </c>
      <c r="G36" s="13"/>
      <c r="H36" s="550"/>
      <c r="I36" s="4"/>
      <c r="J36" s="4"/>
      <c r="K36" s="19" t="s">
        <v>123</v>
      </c>
      <c r="L36" s="707" t="s">
        <v>3508</v>
      </c>
      <c r="M36" s="85"/>
      <c r="N36" s="4"/>
      <c r="O36" s="85"/>
      <c r="X36" s="688"/>
      <c r="AX36" s="6" t="str">
        <f>'Overview (Design)'!A34</f>
        <v>Heating Fuel:</v>
      </c>
      <c r="AY36">
        <f>'Overview (Design)'!G34</f>
        <v>0</v>
      </c>
    </row>
    <row r="37" spans="2:51" x14ac:dyDescent="0.35">
      <c r="B37" s="452">
        <v>1001.1</v>
      </c>
      <c r="C37" s="13"/>
      <c r="D37" s="13"/>
      <c r="E37" s="13" t="s">
        <v>461</v>
      </c>
      <c r="F37" s="13"/>
      <c r="G37" s="13"/>
      <c r="H37" s="550"/>
      <c r="I37" s="4"/>
      <c r="J37" s="155"/>
      <c r="K37" s="155"/>
      <c r="L37" s="709"/>
      <c r="M37" s="85"/>
      <c r="N37" s="4"/>
      <c r="O37" s="85"/>
      <c r="X37" s="688"/>
      <c r="AX37" s="6" t="str">
        <f>'Overview (Design)'!A35</f>
        <v>Heating Ducts:</v>
      </c>
      <c r="AY37" t="str">
        <f>'Overview (Design)'!G35</f>
        <v>Ducted</v>
      </c>
    </row>
    <row r="38" spans="2:51" x14ac:dyDescent="0.35">
      <c r="B38" s="452">
        <v>1001.1</v>
      </c>
      <c r="C38" s="13"/>
      <c r="D38" s="13"/>
      <c r="E38" s="13" t="s">
        <v>3509</v>
      </c>
      <c r="F38" s="13"/>
      <c r="G38" s="13"/>
      <c r="H38" s="550"/>
      <c r="I38" s="4"/>
      <c r="J38" s="154" t="s">
        <v>3509</v>
      </c>
      <c r="K38" s="136"/>
      <c r="L38" s="742" t="s">
        <v>3510</v>
      </c>
      <c r="M38" s="85"/>
      <c r="N38" s="4"/>
      <c r="O38" s="85"/>
      <c r="P38" t="b">
        <v>0</v>
      </c>
      <c r="Q38" t="b">
        <v>1</v>
      </c>
      <c r="R38" t="b">
        <v>0</v>
      </c>
      <c r="S38" t="b">
        <f>IF(AY19=INDEX(ddSingleOrMulti,1),TRUE,FALSE)</f>
        <v>1</v>
      </c>
      <c r="T38" t="b">
        <f>AND(NOT(S38),W38=TRUE)</f>
        <v>0</v>
      </c>
      <c r="W38" s="17" t="b">
        <v>1</v>
      </c>
      <c r="X38" s="688"/>
      <c r="AC38" t="b">
        <f>OR(AD38:AE38)</f>
        <v>0</v>
      </c>
      <c r="AD38" t="b">
        <f>T38</f>
        <v>0</v>
      </c>
      <c r="AP38" t="str">
        <f>SUBSTITUTE(SUBSTITUTE(SUBSTITUTE("dch"&amp;$B38&amp;$C38&amp;$D38&amp;$E38&amp;$F38,".","_"),"(","_"),")","")</f>
        <v>dch1001_1_13</v>
      </c>
      <c r="AQ38" t="b">
        <f>W38</f>
        <v>1</v>
      </c>
      <c r="AR38" t="str">
        <f>SUBSTITUTE(SUBSTITUTE(SUBSTITUTE("dnt"&amp;$B38&amp;$C38&amp;$D38&amp;$E38&amp;$F38,".","_"),"(","_"),")","")</f>
        <v>dnt1001_1_13</v>
      </c>
      <c r="AS38">
        <f>X38</f>
        <v>0</v>
      </c>
      <c r="AX38" s="6" t="str">
        <f>'Overview (Design)'!A36</f>
        <v>Type of Cooling System (main system):</v>
      </c>
      <c r="AY38" t="str">
        <f>'Overview (Design)'!G36</f>
        <v>Electric Air Conditiner</v>
      </c>
    </row>
    <row r="39" spans="2:51" x14ac:dyDescent="0.35">
      <c r="B39" s="452">
        <v>1001.1</v>
      </c>
      <c r="C39" s="13"/>
      <c r="D39" s="13"/>
      <c r="E39" s="13" t="s">
        <v>3509</v>
      </c>
      <c r="F39" s="13"/>
      <c r="G39" s="13"/>
      <c r="H39" s="550"/>
      <c r="I39" s="4"/>
      <c r="J39" s="4"/>
      <c r="K39" s="4"/>
      <c r="L39" s="707"/>
      <c r="M39" s="85"/>
      <c r="N39" s="4"/>
      <c r="O39" s="85"/>
      <c r="X39" s="688"/>
      <c r="AX39" s="6" t="str">
        <f>'Overview (Design)'!A37</f>
        <v>Type of Cooling System (system 2):</v>
      </c>
      <c r="AY39">
        <f>'Overview (Design)'!G37</f>
        <v>0</v>
      </c>
    </row>
    <row r="40" spans="2:51" x14ac:dyDescent="0.35">
      <c r="B40" s="452">
        <v>1001.1</v>
      </c>
      <c r="C40" s="13"/>
      <c r="D40" s="13"/>
      <c r="E40" s="13" t="s">
        <v>3509</v>
      </c>
      <c r="F40" s="13"/>
      <c r="G40" s="13"/>
      <c r="H40" s="550"/>
      <c r="I40" s="4"/>
      <c r="J40" s="4"/>
      <c r="K40" s="4"/>
      <c r="L40" s="707"/>
      <c r="M40" s="85"/>
      <c r="N40" s="4"/>
      <c r="O40" s="85"/>
      <c r="X40" s="688"/>
      <c r="AX40" s="6" t="str">
        <f>'Overview (Design)'!A38</f>
        <v>Type of Cooling System (system 3):</v>
      </c>
      <c r="AY40">
        <f>'Overview (Design)'!G38</f>
        <v>0</v>
      </c>
    </row>
    <row r="41" spans="2:51" x14ac:dyDescent="0.35">
      <c r="B41" s="452">
        <v>1001.1</v>
      </c>
      <c r="C41" s="13"/>
      <c r="D41" s="13"/>
      <c r="E41" s="13" t="s">
        <v>3509</v>
      </c>
      <c r="F41" s="13"/>
      <c r="G41" s="13"/>
      <c r="H41" s="550"/>
      <c r="I41" s="4"/>
      <c r="J41" s="155"/>
      <c r="K41" s="155"/>
      <c r="L41" s="709"/>
      <c r="M41" s="85"/>
      <c r="N41" s="4"/>
      <c r="O41" s="85"/>
      <c r="X41" s="688"/>
      <c r="AX41" s="6" t="str">
        <f>'Overview (Design)'!A39</f>
        <v>Cooling Ducts:</v>
      </c>
      <c r="AY41" t="str">
        <f>'Overview (Design)'!G39</f>
        <v>Ducted</v>
      </c>
    </row>
    <row r="42" spans="2:51" x14ac:dyDescent="0.35">
      <c r="B42" s="452">
        <v>1001.1</v>
      </c>
      <c r="C42" s="13"/>
      <c r="D42" s="13"/>
      <c r="E42" s="13" t="s">
        <v>3511</v>
      </c>
      <c r="F42" s="13"/>
      <c r="G42" s="13"/>
      <c r="H42" s="550"/>
      <c r="I42" s="4"/>
      <c r="J42" s="154" t="s">
        <v>3511</v>
      </c>
      <c r="K42" s="136"/>
      <c r="L42" s="742" t="s">
        <v>3512</v>
      </c>
      <c r="M42" s="85"/>
      <c r="N42" s="4"/>
      <c r="O42" s="85"/>
      <c r="P42" t="b">
        <v>0</v>
      </c>
      <c r="Q42" t="b">
        <v>1</v>
      </c>
      <c r="R42" t="b">
        <v>0</v>
      </c>
      <c r="S42" t="b">
        <f>IF(AY19=INDEX(ddSingleOrMulti,1),TRUE,FALSE)</f>
        <v>1</v>
      </c>
      <c r="T42" t="b">
        <f>AND(NOT(S42),W42=TRUE)</f>
        <v>0</v>
      </c>
      <c r="W42" s="17" t="b">
        <v>1</v>
      </c>
      <c r="X42" s="688"/>
      <c r="AC42" t="b">
        <f>OR(AD42:AE42)</f>
        <v>0</v>
      </c>
      <c r="AD42" t="b">
        <f>T42</f>
        <v>0</v>
      </c>
      <c r="AP42" t="str">
        <f>SUBSTITUTE(SUBSTITUTE(SUBSTITUTE("dch"&amp;$B42&amp;$C42&amp;$D42&amp;$E42&amp;$F42,".","_"),"(","_"),")","")</f>
        <v>dch1001_1_14</v>
      </c>
      <c r="AQ42" t="b">
        <f>W42</f>
        <v>1</v>
      </c>
      <c r="AR42" t="str">
        <f>SUBSTITUTE(SUBSTITUTE(SUBSTITUTE("dnt"&amp;$B42&amp;$C42&amp;$D42&amp;$E42&amp;$F42,".","_"),"(","_"),")","")</f>
        <v>dnt1001_1_14</v>
      </c>
      <c r="AS42">
        <f>X42</f>
        <v>0</v>
      </c>
      <c r="AX42" s="6"/>
    </row>
    <row r="43" spans="2:51" x14ac:dyDescent="0.35">
      <c r="B43" s="452">
        <v>1001.1</v>
      </c>
      <c r="C43" s="13"/>
      <c r="D43" s="13"/>
      <c r="E43" s="13" t="s">
        <v>3511</v>
      </c>
      <c r="F43" s="13"/>
      <c r="G43" s="13"/>
      <c r="H43" s="550"/>
      <c r="I43" s="4"/>
      <c r="J43" s="155"/>
      <c r="K43" s="155"/>
      <c r="L43" s="709"/>
      <c r="M43" s="85"/>
      <c r="N43" s="4"/>
      <c r="O43" s="85"/>
      <c r="X43" s="688"/>
      <c r="AX43" s="6" t="str">
        <f>'Overview (Design)'!A41</f>
        <v>Maximum window and door SHGC:</v>
      </c>
      <c r="AY43">
        <f>'Overview (Design)'!G41</f>
        <v>0.22</v>
      </c>
    </row>
    <row r="44" spans="2:51" x14ac:dyDescent="0.35">
      <c r="B44" s="452">
        <v>1001.1</v>
      </c>
      <c r="C44" s="13"/>
      <c r="D44" s="13"/>
      <c r="E44" s="13" t="s">
        <v>3513</v>
      </c>
      <c r="F44" s="13"/>
      <c r="G44" s="13"/>
      <c r="H44" s="550"/>
      <c r="I44" s="4"/>
      <c r="J44" s="154" t="s">
        <v>3513</v>
      </c>
      <c r="K44" s="136"/>
      <c r="L44" s="742" t="s">
        <v>3514</v>
      </c>
      <c r="M44" s="85"/>
      <c r="N44" s="4"/>
      <c r="O44" s="85"/>
      <c r="P44" t="b">
        <v>0</v>
      </c>
      <c r="Q44" t="b">
        <v>1</v>
      </c>
      <c r="R44" t="b">
        <v>0</v>
      </c>
      <c r="S44" t="b">
        <f>IF(AY19=INDEX(ddSingleOrMulti,1),TRUE,FALSE)</f>
        <v>1</v>
      </c>
      <c r="T44" t="b">
        <f>AND(NOT(S44),W44=TRUE)</f>
        <v>0</v>
      </c>
      <c r="W44" s="17" t="b">
        <v>1</v>
      </c>
      <c r="X44" s="688"/>
      <c r="AC44" t="b">
        <f>OR(AD44:AE44)</f>
        <v>0</v>
      </c>
      <c r="AD44" t="b">
        <f>T44</f>
        <v>0</v>
      </c>
      <c r="AP44" t="str">
        <f>SUBSTITUTE(SUBSTITUTE(SUBSTITUTE("dch"&amp;$B44&amp;$C44&amp;$D44&amp;$E44&amp;$F44,".","_"),"(","_"),")","")</f>
        <v>dch1001_1_15</v>
      </c>
      <c r="AQ44" t="b">
        <f>W44</f>
        <v>1</v>
      </c>
      <c r="AR44" t="str">
        <f>SUBSTITUTE(SUBSTITUTE(SUBSTITUTE("dnt"&amp;$B44&amp;$C44&amp;$D44&amp;$E44&amp;$F44,".","_"),"(","_"),")","")</f>
        <v>dnt1001_1_15</v>
      </c>
      <c r="AS44">
        <f>X44</f>
        <v>0</v>
      </c>
      <c r="AX44" s="6" t="str">
        <f>'Overview (Design)'!A42</f>
        <v>Maximum skylight SHGC:</v>
      </c>
      <c r="AY44">
        <f>'Overview (Design)'!G42</f>
        <v>0</v>
      </c>
    </row>
    <row r="45" spans="2:51" x14ac:dyDescent="0.35">
      <c r="B45" s="452">
        <v>1001.1</v>
      </c>
      <c r="C45" s="13"/>
      <c r="D45" s="13"/>
      <c r="E45" s="13" t="s">
        <v>3513</v>
      </c>
      <c r="F45" s="13"/>
      <c r="G45" s="13"/>
      <c r="H45" s="550"/>
      <c r="I45" s="4"/>
      <c r="J45" s="155"/>
      <c r="K45" s="155"/>
      <c r="L45" s="709"/>
      <c r="M45" s="85"/>
      <c r="N45" s="4"/>
      <c r="O45" s="85"/>
      <c r="X45" s="688"/>
      <c r="AX45" s="6" t="str">
        <f>'Overview (Design)'!A43</f>
        <v>Maximum window and door U-value:</v>
      </c>
      <c r="AY45">
        <f>'Overview (Design)'!G43</f>
        <v>0.32</v>
      </c>
    </row>
    <row r="46" spans="2:51" x14ac:dyDescent="0.35">
      <c r="B46" s="452">
        <v>1001.1</v>
      </c>
      <c r="C46" s="13"/>
      <c r="D46" s="13"/>
      <c r="E46" s="13" t="s">
        <v>3515</v>
      </c>
      <c r="F46" s="13"/>
      <c r="G46" s="13"/>
      <c r="H46" s="550"/>
      <c r="I46" s="4"/>
      <c r="J46" s="150" t="s">
        <v>3515</v>
      </c>
      <c r="K46" s="187"/>
      <c r="L46" s="220" t="s">
        <v>3516</v>
      </c>
      <c r="M46" s="85"/>
      <c r="N46" s="4"/>
      <c r="O46" s="85"/>
      <c r="P46" t="b">
        <v>0</v>
      </c>
      <c r="Q46" t="b">
        <v>1</v>
      </c>
      <c r="R46" t="b">
        <v>0</v>
      </c>
      <c r="S46" t="b">
        <f>IF(AY19=INDEX(ddSingleOrMulti,1),TRUE,FALSE)</f>
        <v>1</v>
      </c>
      <c r="T46" t="b">
        <f>AND(NOT(S46),W46=TRUE)</f>
        <v>0</v>
      </c>
      <c r="W46" s="17"/>
      <c r="X46" s="39"/>
      <c r="AC46" t="b">
        <f>OR(AD46:AE46)</f>
        <v>0</v>
      </c>
      <c r="AD46" t="b">
        <f>T46</f>
        <v>0</v>
      </c>
      <c r="AP46" t="str">
        <f t="shared" ref="AP46:AP47" si="5">SUBSTITUTE(SUBSTITUTE(SUBSTITUTE("dch"&amp;$B46&amp;$C46&amp;$D46&amp;$E46&amp;$F46,".","_"),"(","_"),")","")</f>
        <v>dch1001_1_16</v>
      </c>
      <c r="AQ46">
        <f>W46</f>
        <v>0</v>
      </c>
      <c r="AR46" t="str">
        <f>SUBSTITUTE(SUBSTITUTE(SUBSTITUTE("dnt"&amp;$B46&amp;$C46&amp;$D46&amp;$E46&amp;$F46,".","_"),"(","_"),")","")</f>
        <v>dnt1001_1_16</v>
      </c>
      <c r="AS46">
        <f>X46</f>
        <v>0</v>
      </c>
      <c r="AX46" s="6" t="str">
        <f>'Overview (Design)'!A44</f>
        <v>Maximum skylight U-value:</v>
      </c>
      <c r="AY46">
        <f>'Overview (Design)'!G44</f>
        <v>0</v>
      </c>
    </row>
    <row r="47" spans="2:51" x14ac:dyDescent="0.35">
      <c r="B47" s="452">
        <v>1001.1</v>
      </c>
      <c r="C47" s="13"/>
      <c r="D47" s="13"/>
      <c r="E47" s="13" t="s">
        <v>3517</v>
      </c>
      <c r="F47" s="13"/>
      <c r="G47" s="13"/>
      <c r="H47" s="550"/>
      <c r="I47" s="4"/>
      <c r="J47" s="154" t="s">
        <v>3517</v>
      </c>
      <c r="K47" s="136"/>
      <c r="L47" s="757" t="s">
        <v>3518</v>
      </c>
      <c r="M47" s="85"/>
      <c r="N47" s="4"/>
      <c r="O47" s="85"/>
      <c r="P47" t="b">
        <v>0</v>
      </c>
      <c r="Q47" t="b">
        <v>1</v>
      </c>
      <c r="R47" t="b">
        <v>0</v>
      </c>
      <c r="S47" t="b">
        <f>IF(AY19=INDEX(ddSingleOrMulti,1),TRUE,FALSE)</f>
        <v>1</v>
      </c>
      <c r="T47" t="b">
        <f>AND(NOT(S47),W47=TRUE)</f>
        <v>0</v>
      </c>
      <c r="W47" s="17" t="b">
        <v>1</v>
      </c>
      <c r="X47" s="688"/>
      <c r="AC47" t="b">
        <f>OR(AD47:AE47)</f>
        <v>0</v>
      </c>
      <c r="AD47" t="b">
        <f>T47</f>
        <v>0</v>
      </c>
      <c r="AP47" t="str">
        <f t="shared" si="5"/>
        <v>dch1001_1_17</v>
      </c>
      <c r="AQ47" t="b">
        <f>W47</f>
        <v>1</v>
      </c>
      <c r="AR47" t="str">
        <f>SUBSTITUTE(SUBSTITUTE(SUBSTITUTE("dnt"&amp;$B47&amp;$C47&amp;$D47&amp;$E47&amp;$F47,".","_"),"(","_"),")","")</f>
        <v>dnt1001_1_17</v>
      </c>
      <c r="AS47">
        <f>X47</f>
        <v>0</v>
      </c>
      <c r="AX47" s="6" t="str">
        <f>'Overview (Design)'!A45</f>
        <v>Renewable Energy:</v>
      </c>
      <c r="AY47">
        <f>'Overview (Design)'!G45</f>
        <v>0</v>
      </c>
    </row>
    <row r="48" spans="2:51" x14ac:dyDescent="0.35">
      <c r="B48" s="452">
        <v>1001.1</v>
      </c>
      <c r="C48" s="13"/>
      <c r="D48" s="13"/>
      <c r="E48" s="13" t="s">
        <v>3517</v>
      </c>
      <c r="F48" s="13"/>
      <c r="G48" s="13"/>
      <c r="H48" s="550"/>
      <c r="I48" s="4"/>
      <c r="J48" s="148"/>
      <c r="K48" s="155"/>
      <c r="L48" s="724"/>
      <c r="M48" s="85"/>
      <c r="N48" s="4"/>
      <c r="O48" s="85"/>
      <c r="X48" s="688"/>
      <c r="AX48" s="6" t="str">
        <f>'Overview (Design)'!A46</f>
        <v>Thermal Envelope Insulation:</v>
      </c>
      <c r="AY48">
        <f>'Overview (Design)'!G46</f>
        <v>0</v>
      </c>
    </row>
    <row r="49" spans="2:51" x14ac:dyDescent="0.35">
      <c r="B49" s="452">
        <v>1001.1</v>
      </c>
      <c r="C49" s="13"/>
      <c r="D49" s="13"/>
      <c r="E49" s="13" t="s">
        <v>3519</v>
      </c>
      <c r="F49" s="13"/>
      <c r="G49" s="13"/>
      <c r="H49" s="550"/>
      <c r="I49" s="4"/>
      <c r="J49" s="154" t="s">
        <v>3519</v>
      </c>
      <c r="K49" s="136"/>
      <c r="L49" s="742" t="s">
        <v>3520</v>
      </c>
      <c r="M49" s="85"/>
      <c r="N49" s="4"/>
      <c r="O49" s="85"/>
      <c r="P49" t="b">
        <v>0</v>
      </c>
      <c r="Q49" t="b">
        <v>1</v>
      </c>
      <c r="R49" t="b">
        <v>0</v>
      </c>
      <c r="S49" t="b">
        <f>IF(AY19=INDEX(ddSingleOrMulti,1),TRUE,FALSE)</f>
        <v>1</v>
      </c>
      <c r="T49" t="b">
        <f>AND(NOT(S49),W49=TRUE)</f>
        <v>0</v>
      </c>
      <c r="W49" s="17" t="b">
        <v>1</v>
      </c>
      <c r="X49" s="688"/>
      <c r="AC49" t="b">
        <f>OR(AD49:AE49)</f>
        <v>0</v>
      </c>
      <c r="AD49" t="b">
        <f>T49</f>
        <v>0</v>
      </c>
      <c r="AP49" t="str">
        <f>SUBSTITUTE(SUBSTITUTE(SUBSTITUTE("dch"&amp;$B49&amp;$C49&amp;$D49&amp;$E49&amp;$F49,".","_"),"(","_"),")","")</f>
        <v>dch1001_1_18</v>
      </c>
      <c r="AQ49" t="b">
        <f>W49</f>
        <v>1</v>
      </c>
      <c r="AR49" t="str">
        <f>SUBSTITUTE(SUBSTITUTE(SUBSTITUTE("dnt"&amp;$B49&amp;$C49&amp;$D49&amp;$E49&amp;$F49,".","_"),"(","_"),")","")</f>
        <v>dnt1001_1_18</v>
      </c>
      <c r="AS49">
        <f>X49</f>
        <v>0</v>
      </c>
      <c r="AX49" s="6" t="str">
        <f>'Overview (Design)'!A47</f>
        <v>Attic Type:</v>
      </c>
      <c r="AY49" t="str">
        <f>'Overview (Design)'!G47</f>
        <v>Vented</v>
      </c>
    </row>
    <row r="50" spans="2:51" x14ac:dyDescent="0.35">
      <c r="B50" s="452">
        <v>1001.1</v>
      </c>
      <c r="C50" s="13"/>
      <c r="D50" s="13"/>
      <c r="E50" s="13" t="s">
        <v>3519</v>
      </c>
      <c r="F50" s="13"/>
      <c r="G50" s="13"/>
      <c r="H50" s="550"/>
      <c r="I50" s="4"/>
      <c r="J50" s="155"/>
      <c r="K50" s="155"/>
      <c r="L50" s="709"/>
      <c r="M50" s="85"/>
      <c r="N50" s="4"/>
      <c r="O50" s="85"/>
      <c r="X50" s="688"/>
      <c r="AX50" s="6" t="str">
        <f>'Overview (Design)'!A48</f>
        <v>Attached Garage:</v>
      </c>
      <c r="AY50" t="str">
        <f>'Overview (Design)'!G48</f>
        <v>Yes</v>
      </c>
    </row>
    <row r="51" spans="2:51" x14ac:dyDescent="0.35">
      <c r="B51" s="452">
        <v>1001.1</v>
      </c>
      <c r="C51" s="13"/>
      <c r="D51" s="13"/>
      <c r="E51" s="13" t="s">
        <v>3521</v>
      </c>
      <c r="F51" s="13"/>
      <c r="G51" s="13"/>
      <c r="H51" s="550"/>
      <c r="I51" s="4"/>
      <c r="J51" s="150" t="s">
        <v>3521</v>
      </c>
      <c r="K51" s="187"/>
      <c r="L51" s="220" t="s">
        <v>3522</v>
      </c>
      <c r="M51" s="85"/>
      <c r="N51" s="4"/>
      <c r="O51" s="85"/>
      <c r="P51" t="b">
        <v>0</v>
      </c>
      <c r="Q51" t="b">
        <v>1</v>
      </c>
      <c r="R51" t="b">
        <v>0</v>
      </c>
      <c r="S51" t="b">
        <f>IF(AY19=INDEX(ddSingleOrMulti,1),TRUE,FALSE)</f>
        <v>1</v>
      </c>
      <c r="T51" t="b">
        <f>AND(NOT(S51),W51=TRUE)</f>
        <v>0</v>
      </c>
      <c r="W51" s="17" t="b">
        <v>1</v>
      </c>
      <c r="X51" s="39"/>
      <c r="AC51" t="b">
        <f>OR(AD51:AE51)</f>
        <v>0</v>
      </c>
      <c r="AD51" t="b">
        <f>T51</f>
        <v>0</v>
      </c>
      <c r="AP51" t="str">
        <f t="shared" ref="AP51:AP52" si="6">SUBSTITUTE(SUBSTITUTE(SUBSTITUTE("dch"&amp;$B51&amp;$C51&amp;$D51&amp;$E51&amp;$F51,".","_"),"(","_"),")","")</f>
        <v>dch1001_1_19</v>
      </c>
      <c r="AQ51" t="b">
        <f>W51</f>
        <v>1</v>
      </c>
      <c r="AR51" t="str">
        <f>SUBSTITUTE(SUBSTITUTE(SUBSTITUTE("dnt"&amp;$B51&amp;$C51&amp;$D51&amp;$E51&amp;$F51,".","_"),"(","_"),")","")</f>
        <v>dnt1001_1_19</v>
      </c>
      <c r="AS51">
        <f>X51</f>
        <v>0</v>
      </c>
      <c r="AX51" s="6" t="str">
        <f>'Overview (Design)'!A49</f>
        <v>Recessed Lighting:</v>
      </c>
      <c r="AY51">
        <f>'Overview (Design)'!G49</f>
        <v>0</v>
      </c>
    </row>
    <row r="52" spans="2:51" x14ac:dyDescent="0.35">
      <c r="B52" s="452">
        <v>1001.1</v>
      </c>
      <c r="C52" s="13"/>
      <c r="D52" s="13"/>
      <c r="E52" s="13" t="s">
        <v>3523</v>
      </c>
      <c r="F52" s="13"/>
      <c r="G52" s="13"/>
      <c r="H52" s="550"/>
      <c r="I52" s="4"/>
      <c r="J52" s="154" t="s">
        <v>3523</v>
      </c>
      <c r="K52" s="136"/>
      <c r="L52" s="742" t="s">
        <v>3524</v>
      </c>
      <c r="M52" s="85"/>
      <c r="N52" s="4"/>
      <c r="O52" s="85"/>
      <c r="P52" t="b">
        <v>0</v>
      </c>
      <c r="Q52" t="b">
        <v>1</v>
      </c>
      <c r="R52" t="b">
        <v>0</v>
      </c>
      <c r="S52" t="b">
        <f>IF(AY19=INDEX(ddSingleOrMulti,1),TRUE,FALSE)</f>
        <v>1</v>
      </c>
      <c r="T52" t="b">
        <f>AND(NOT(S52),W52=TRUE)</f>
        <v>0</v>
      </c>
      <c r="W52" s="17" t="b">
        <v>1</v>
      </c>
      <c r="X52" s="688"/>
      <c r="AC52" t="b">
        <f>OR(AD52:AE52)</f>
        <v>0</v>
      </c>
      <c r="AD52" t="b">
        <f>T52</f>
        <v>0</v>
      </c>
      <c r="AP52" t="str">
        <f t="shared" si="6"/>
        <v>dch1001_1_20</v>
      </c>
      <c r="AQ52" t="b">
        <f>W52</f>
        <v>1</v>
      </c>
      <c r="AR52" t="str">
        <f>SUBSTITUTE(SUBSTITUTE(SUBSTITUTE("dnt"&amp;$B52&amp;$C52&amp;$D52&amp;$E52&amp;$F52,".","_"),"(","_"),")","")</f>
        <v>dnt1001_1_20</v>
      </c>
      <c r="AS52">
        <f>X52</f>
        <v>0</v>
      </c>
      <c r="AX52" s="6"/>
    </row>
    <row r="53" spans="2:51" x14ac:dyDescent="0.35">
      <c r="B53" s="452">
        <v>1001.1</v>
      </c>
      <c r="C53" s="13"/>
      <c r="D53" s="13"/>
      <c r="E53" s="13" t="s">
        <v>3523</v>
      </c>
      <c r="F53" s="13"/>
      <c r="G53" s="13"/>
      <c r="H53" s="550"/>
      <c r="I53" s="4"/>
      <c r="J53" s="155"/>
      <c r="K53" s="155"/>
      <c r="L53" s="709"/>
      <c r="M53" s="85"/>
      <c r="N53" s="4"/>
      <c r="O53" s="85"/>
      <c r="X53" s="688"/>
      <c r="AX53" s="6" t="str">
        <f>'Overview (Design)'!A51</f>
        <v>Special Design Features:</v>
      </c>
      <c r="AY53">
        <f>'Overview (Design)'!G51</f>
        <v>0</v>
      </c>
    </row>
    <row r="54" spans="2:51" x14ac:dyDescent="0.35">
      <c r="B54" s="452">
        <v>1001.1</v>
      </c>
      <c r="C54" s="13"/>
      <c r="D54" s="13"/>
      <c r="E54" s="13" t="s">
        <v>3525</v>
      </c>
      <c r="F54" s="13"/>
      <c r="G54" s="13"/>
      <c r="H54" s="550"/>
      <c r="I54" s="4"/>
      <c r="J54" s="154" t="s">
        <v>3525</v>
      </c>
      <c r="K54" s="136"/>
      <c r="L54" s="742" t="s">
        <v>3526</v>
      </c>
      <c r="M54" s="85"/>
      <c r="N54" s="4"/>
      <c r="O54" s="85"/>
      <c r="P54" t="b">
        <v>0</v>
      </c>
      <c r="Q54" t="b">
        <v>1</v>
      </c>
      <c r="R54" t="b">
        <v>0</v>
      </c>
      <c r="S54" t="b">
        <f>IF(AY19=INDEX(ddSingleOrMulti,1),TRUE,FALSE)</f>
        <v>1</v>
      </c>
      <c r="T54" t="b">
        <f>AND(NOT(S54),W54=TRUE)</f>
        <v>0</v>
      </c>
      <c r="W54" s="17" t="b">
        <v>1</v>
      </c>
      <c r="X54" s="688"/>
      <c r="AC54" t="b">
        <f>OR(AD54:AE54)</f>
        <v>0</v>
      </c>
      <c r="AD54" t="b">
        <f>T54</f>
        <v>0</v>
      </c>
      <c r="AP54" t="str">
        <f>SUBSTITUTE(SUBSTITUTE(SUBSTITUTE("dch"&amp;$B54&amp;$C54&amp;$D54&amp;$E54&amp;$F54,".","_"),"(","_"),")","")</f>
        <v>dch1001_1_21</v>
      </c>
      <c r="AQ54" t="b">
        <f>W54</f>
        <v>1</v>
      </c>
      <c r="AR54" t="str">
        <f>SUBSTITUTE(SUBSTITUTE(SUBSTITUTE("dnt"&amp;$B54&amp;$C54&amp;$D54&amp;$E54&amp;$F54,".","_"),"(","_"),")","")</f>
        <v>dnt1001_1_21</v>
      </c>
      <c r="AS54">
        <f>X54</f>
        <v>0</v>
      </c>
      <c r="AX54" s="6" t="str">
        <f>'Overview (Design)'!A52</f>
        <v>Passive Solar:</v>
      </c>
      <c r="AY54">
        <f>'Overview (Design)'!G52</f>
        <v>0</v>
      </c>
    </row>
    <row r="55" spans="2:51" x14ac:dyDescent="0.35">
      <c r="B55" s="452">
        <v>1001.1</v>
      </c>
      <c r="C55" s="13"/>
      <c r="D55" s="13"/>
      <c r="E55" s="13" t="s">
        <v>3525</v>
      </c>
      <c r="F55" s="13"/>
      <c r="G55" s="13"/>
      <c r="H55" s="550"/>
      <c r="I55" s="4"/>
      <c r="J55" s="155"/>
      <c r="K55" s="155"/>
      <c r="L55" s="709"/>
      <c r="M55" s="85"/>
      <c r="N55" s="4"/>
      <c r="O55" s="85"/>
      <c r="X55" s="688"/>
      <c r="AX55" s="6" t="str">
        <f>'Overview (Design)'!A53</f>
        <v>Mass Walls:</v>
      </c>
      <c r="AY55">
        <f>'Overview (Design)'!G53</f>
        <v>0</v>
      </c>
    </row>
    <row r="56" spans="2:51" x14ac:dyDescent="0.35">
      <c r="B56" s="452">
        <v>1001.1</v>
      </c>
      <c r="C56" s="13"/>
      <c r="D56" s="13"/>
      <c r="E56" s="13" t="s">
        <v>3527</v>
      </c>
      <c r="F56" s="13"/>
      <c r="G56" s="13"/>
      <c r="H56" s="550"/>
      <c r="I56" s="4"/>
      <c r="J56" s="154" t="s">
        <v>3527</v>
      </c>
      <c r="K56" s="136"/>
      <c r="L56" s="742" t="s">
        <v>3528</v>
      </c>
      <c r="M56" s="85"/>
      <c r="N56" s="4"/>
      <c r="O56" s="85"/>
      <c r="P56" t="b">
        <v>0</v>
      </c>
      <c r="Q56" t="b">
        <v>1</v>
      </c>
      <c r="R56" t="b">
        <v>0</v>
      </c>
      <c r="S56" t="b">
        <f>IF(AY19=INDEX(ddSingleOrMulti,1),TRUE,FALSE)</f>
        <v>1</v>
      </c>
      <c r="T56" t="b">
        <f>AND(NOT(S56),W56=TRUE)</f>
        <v>0</v>
      </c>
      <c r="W56" s="17"/>
      <c r="X56" s="688"/>
      <c r="AC56" t="b">
        <f>OR(AD56:AE56)</f>
        <v>0</v>
      </c>
      <c r="AD56" t="b">
        <f>T56</f>
        <v>0</v>
      </c>
      <c r="AP56" t="str">
        <f>SUBSTITUTE(SUBSTITUTE(SUBSTITUTE("dch"&amp;$B56&amp;$C56&amp;$D56&amp;$E56&amp;$F56,".","_"),"(","_"),")","")</f>
        <v>dch1001_1_22</v>
      </c>
      <c r="AQ56">
        <f>W56</f>
        <v>0</v>
      </c>
      <c r="AR56" t="str">
        <f>SUBSTITUTE(SUBSTITUTE(SUBSTITUTE("dnt"&amp;$B56&amp;$C56&amp;$D56&amp;$E56&amp;$F56,".","_"),"(","_"),")","")</f>
        <v>dnt1001_1_22</v>
      </c>
      <c r="AS56">
        <f>X56</f>
        <v>0</v>
      </c>
      <c r="AX56" s="6" t="str">
        <f>'Overview (Design)'!A54</f>
        <v>Ductless:</v>
      </c>
      <c r="AY56">
        <f>'Overview (Design)'!G54</f>
        <v>0</v>
      </c>
    </row>
    <row r="57" spans="2:51" x14ac:dyDescent="0.35">
      <c r="B57" s="452">
        <v>1001.1</v>
      </c>
      <c r="C57" s="13"/>
      <c r="D57" s="13"/>
      <c r="E57" s="13" t="s">
        <v>3527</v>
      </c>
      <c r="F57" s="13"/>
      <c r="G57" s="13"/>
      <c r="H57" s="550"/>
      <c r="I57" s="4"/>
      <c r="J57" s="155"/>
      <c r="K57" s="155"/>
      <c r="L57" s="709"/>
      <c r="M57" s="85"/>
      <c r="N57" s="4"/>
      <c r="O57" s="85"/>
      <c r="X57" s="688"/>
      <c r="AX57" s="6" t="str">
        <f>'Overview (Design)'!A55</f>
        <v>Radiant/Hydronic:</v>
      </c>
      <c r="AY57">
        <f>'Overview (Design)'!G55</f>
        <v>0</v>
      </c>
    </row>
    <row r="58" spans="2:51" x14ac:dyDescent="0.35">
      <c r="B58" s="452">
        <v>1001.1</v>
      </c>
      <c r="C58" s="13"/>
      <c r="D58" s="13"/>
      <c r="E58" s="13" t="s">
        <v>3529</v>
      </c>
      <c r="F58" s="13"/>
      <c r="G58" s="13"/>
      <c r="H58" s="550"/>
      <c r="I58" s="4"/>
      <c r="J58" s="150" t="s">
        <v>3529</v>
      </c>
      <c r="K58" s="187"/>
      <c r="L58" s="220" t="s">
        <v>3530</v>
      </c>
      <c r="M58" s="85"/>
      <c r="N58" s="4"/>
      <c r="O58" s="85"/>
      <c r="P58" t="b">
        <v>0</v>
      </c>
      <c r="Q58" t="b">
        <v>1</v>
      </c>
      <c r="R58" t="b">
        <v>0</v>
      </c>
      <c r="S58" t="b">
        <f>IF(AY19=INDEX(ddSingleOrMulti,1),TRUE,FALSE)</f>
        <v>1</v>
      </c>
      <c r="T58" t="b">
        <f>AND(NOT(S58),W58=TRUE)</f>
        <v>0</v>
      </c>
      <c r="W58" s="17"/>
      <c r="X58" s="39"/>
      <c r="AC58" t="b">
        <f>OR(AD58:AE58)</f>
        <v>0</v>
      </c>
      <c r="AD58" t="b">
        <f>T58</f>
        <v>0</v>
      </c>
      <c r="AP58" t="str">
        <f t="shared" ref="AP58:AP60" si="7">SUBSTITUTE(SUBSTITUTE(SUBSTITUTE("dch"&amp;$B58&amp;$C58&amp;$D58&amp;$E58&amp;$F58,".","_"),"(","_"),")","")</f>
        <v>dch1001_1_23</v>
      </c>
      <c r="AQ58">
        <f>W58</f>
        <v>0</v>
      </c>
      <c r="AR58" t="str">
        <f>SUBSTITUTE(SUBSTITUTE(SUBSTITUTE("dnt"&amp;$B58&amp;$C58&amp;$D58&amp;$E58&amp;$F58,".","_"),"(","_"),")","")</f>
        <v>dnt1001_1_23</v>
      </c>
      <c r="AS58">
        <f>X58</f>
        <v>0</v>
      </c>
      <c r="AX58" s="6" t="str">
        <f>'Overview (Design)'!A56</f>
        <v>Tankless Water Heater:</v>
      </c>
      <c r="AY58">
        <f>'Overview (Design)'!G56</f>
        <v>0</v>
      </c>
    </row>
    <row r="59" spans="2:51" ht="15" thickBot="1" x14ac:dyDescent="0.4">
      <c r="B59" s="452">
        <v>1001.1</v>
      </c>
      <c r="C59" s="13"/>
      <c r="D59" s="13"/>
      <c r="E59" s="13" t="s">
        <v>3531</v>
      </c>
      <c r="F59" s="13"/>
      <c r="G59" s="13"/>
      <c r="H59" s="550"/>
      <c r="I59" s="183"/>
      <c r="J59" s="133" t="s">
        <v>3531</v>
      </c>
      <c r="K59" s="183"/>
      <c r="L59" s="223" t="s">
        <v>3532</v>
      </c>
      <c r="M59" s="184"/>
      <c r="N59" s="183"/>
      <c r="O59" s="184"/>
      <c r="P59" t="b">
        <v>0</v>
      </c>
      <c r="Q59" t="b">
        <v>1</v>
      </c>
      <c r="R59" s="58" t="b">
        <v>0</v>
      </c>
      <c r="S59" s="58" t="b">
        <f>IF(AY19=INDEX(ddSingleOrMulti,1),TRUE,FALSE)</f>
        <v>1</v>
      </c>
      <c r="T59" s="58" t="b">
        <f>AND(NOT(S59),W59=TRUE)</f>
        <v>0</v>
      </c>
      <c r="U59" s="58"/>
      <c r="V59" s="58"/>
      <c r="W59" s="129"/>
      <c r="X59" s="113"/>
      <c r="AC59" t="b">
        <f>OR(AD59:AE59)</f>
        <v>0</v>
      </c>
      <c r="AD59" t="b">
        <f>T59</f>
        <v>0</v>
      </c>
      <c r="AP59" t="str">
        <f t="shared" si="7"/>
        <v>dch1001_1_24</v>
      </c>
      <c r="AQ59">
        <f>W59</f>
        <v>0</v>
      </c>
      <c r="AR59" t="str">
        <f>SUBSTITUTE(SUBSTITUTE(SUBSTITUTE("dnt"&amp;$B59&amp;$C59&amp;$D59&amp;$E59&amp;$F59,".","_"),"(","_"),")","")</f>
        <v>dnt1001_1_24</v>
      </c>
      <c r="AS59">
        <f>X59</f>
        <v>0</v>
      </c>
      <c r="AX59" s="6" t="str">
        <f>'Overview (Design)'!A57</f>
        <v>Composting Toilet:</v>
      </c>
      <c r="AY59">
        <f>'Overview (Design)'!G57</f>
        <v>0</v>
      </c>
    </row>
    <row r="60" spans="2:51" ht="15" thickTop="1" x14ac:dyDescent="0.35">
      <c r="B60" s="452">
        <v>1001.2</v>
      </c>
      <c r="C60" s="13"/>
      <c r="D60" s="13"/>
      <c r="E60" s="13"/>
      <c r="F60" s="13"/>
      <c r="G60" s="13"/>
      <c r="H60" s="550"/>
      <c r="I60" s="32">
        <v>1001.2</v>
      </c>
      <c r="J60" s="4"/>
      <c r="K60" s="4"/>
      <c r="L60" s="706" t="s">
        <v>3533</v>
      </c>
      <c r="M60" s="740" t="str">
        <f>IF(R60,"Mandatory","N/A")</f>
        <v>Mandatory</v>
      </c>
      <c r="N60" s="4"/>
      <c r="O60" s="85"/>
      <c r="P60" t="b">
        <v>0</v>
      </c>
      <c r="Q60" t="b">
        <v>1</v>
      </c>
      <c r="R60" t="b">
        <f>S60</f>
        <v>1</v>
      </c>
      <c r="S60" t="b">
        <f>IF(AY19=INDEX(ddSingleOrMulti,1),TRUE,FALSE)</f>
        <v>1</v>
      </c>
      <c r="T60" t="b">
        <f>AND(NOT(S60),W60=TRUE)</f>
        <v>0</v>
      </c>
      <c r="W60" s="278" t="b">
        <v>1</v>
      </c>
      <c r="X60" s="700"/>
      <c r="AC60" t="b">
        <f>OR(AD60:AE60)</f>
        <v>0</v>
      </c>
      <c r="AD60" t="b">
        <f>T60</f>
        <v>0</v>
      </c>
      <c r="AE60" t="b">
        <f>AND(R60,NOT(W60=TRUE))</f>
        <v>0</v>
      </c>
      <c r="AL60" t="str">
        <f>SUBSTITUTE(SUBSTITUTE(SUBSTITUTE("dpa"&amp;$B60&amp;$C60&amp;$D60&amp;$E60&amp;$F60,".","_"),"(","_"),")","")</f>
        <v>dpa1001_2</v>
      </c>
      <c r="AM60" t="str">
        <f>M60</f>
        <v>Mandatory</v>
      </c>
      <c r="AP60" t="str">
        <f t="shared" si="7"/>
        <v>dch1001_2</v>
      </c>
      <c r="AQ60" t="b">
        <f>W60</f>
        <v>1</v>
      </c>
      <c r="AR60" t="str">
        <f>SUBSTITUTE(SUBSTITUTE(SUBSTITUTE("dnt"&amp;$B60&amp;$C60&amp;$D60&amp;$E60&amp;$F60,".","_"),"(","_"),")","")</f>
        <v>dnt1001_2</v>
      </c>
      <c r="AS60">
        <f>X60</f>
        <v>0</v>
      </c>
      <c r="AX60" s="6"/>
    </row>
    <row r="61" spans="2:51" x14ac:dyDescent="0.35">
      <c r="B61" s="452">
        <v>1001.2</v>
      </c>
      <c r="C61" s="13"/>
      <c r="D61" s="13"/>
      <c r="E61" s="13"/>
      <c r="F61" s="13"/>
      <c r="G61" s="13"/>
      <c r="H61" s="550"/>
      <c r="I61" s="4"/>
      <c r="J61" s="4"/>
      <c r="K61" s="4"/>
      <c r="L61" s="706"/>
      <c r="M61" s="740" t="str">
        <f>IF(R61,"Mandatory","N/A")</f>
        <v>N/A</v>
      </c>
      <c r="N61" s="4"/>
      <c r="O61" s="85"/>
      <c r="X61" s="688"/>
      <c r="AX61" s="6" t="str">
        <f>'Overview (Design)'!A59</f>
        <v>Local Energy Code:</v>
      </c>
      <c r="AY61">
        <f>'Overview (Design)'!G59</f>
        <v>0</v>
      </c>
    </row>
    <row r="62" spans="2:51" x14ac:dyDescent="0.35">
      <c r="B62" s="452">
        <v>1001.2</v>
      </c>
      <c r="C62" s="13"/>
      <c r="D62" s="13"/>
      <c r="E62" s="13"/>
      <c r="F62" s="13"/>
      <c r="G62" s="13"/>
      <c r="H62" s="550"/>
      <c r="I62" s="4"/>
      <c r="J62" s="4"/>
      <c r="K62" s="4"/>
      <c r="L62" s="706"/>
      <c r="M62" s="740" t="str">
        <f>IF(R62,"Mandatory","N/A")</f>
        <v>N/A</v>
      </c>
      <c r="N62" s="4"/>
      <c r="O62" s="85"/>
      <c r="X62" s="688"/>
      <c r="AX62" s="6" t="str">
        <f>'Overview (Design)'!A60</f>
        <v>Local Building Code:</v>
      </c>
      <c r="AY62">
        <f>'Overview (Design)'!G60</f>
        <v>0</v>
      </c>
    </row>
    <row r="63" spans="2:51" x14ac:dyDescent="0.35">
      <c r="B63" s="452">
        <v>1001.2</v>
      </c>
      <c r="C63" s="13"/>
      <c r="D63" s="13"/>
      <c r="E63" s="13"/>
      <c r="F63" s="13"/>
      <c r="G63" s="13"/>
      <c r="H63" s="550"/>
      <c r="I63" s="4"/>
      <c r="J63" s="4"/>
      <c r="K63" s="4"/>
      <c r="L63" s="706"/>
      <c r="M63" s="740" t="str">
        <f>IF(R63,"Mandatory","N/A")</f>
        <v>N/A</v>
      </c>
      <c r="N63" s="4"/>
      <c r="O63" s="85"/>
      <c r="X63" s="688"/>
    </row>
    <row r="64" spans="2:51" x14ac:dyDescent="0.35">
      <c r="B64" s="452">
        <v>1001.2</v>
      </c>
      <c r="C64" s="13"/>
      <c r="D64" s="13"/>
      <c r="E64" s="13" t="s">
        <v>270</v>
      </c>
      <c r="F64" s="13"/>
      <c r="G64" s="13"/>
      <c r="H64" s="550"/>
      <c r="I64" s="4"/>
      <c r="J64" s="19" t="s">
        <v>270</v>
      </c>
      <c r="K64" s="4"/>
      <c r="L64" s="169" t="s">
        <v>3534</v>
      </c>
      <c r="M64" s="85"/>
      <c r="N64" s="4"/>
      <c r="O64" s="85"/>
      <c r="X64" s="688"/>
    </row>
    <row r="65" spans="2:41" x14ac:dyDescent="0.35">
      <c r="B65" s="452">
        <v>1001.2</v>
      </c>
      <c r="C65" s="13"/>
      <c r="D65" s="13"/>
      <c r="E65" s="13" t="s">
        <v>272</v>
      </c>
      <c r="F65" s="13"/>
      <c r="G65" s="13"/>
      <c r="H65" s="550"/>
      <c r="I65" s="4"/>
      <c r="J65" s="19" t="s">
        <v>272</v>
      </c>
      <c r="K65" s="4"/>
      <c r="L65" s="169" t="s">
        <v>3535</v>
      </c>
      <c r="M65" s="85"/>
      <c r="N65" s="4"/>
      <c r="O65" s="85"/>
      <c r="X65" s="688"/>
    </row>
    <row r="66" spans="2:41" x14ac:dyDescent="0.35">
      <c r="B66" s="452">
        <v>1001.2</v>
      </c>
      <c r="C66" s="13"/>
      <c r="D66" s="13"/>
      <c r="E66" s="13" t="s">
        <v>274</v>
      </c>
      <c r="F66" s="13"/>
      <c r="G66" s="13"/>
      <c r="H66" s="550"/>
      <c r="I66" s="4"/>
      <c r="J66" s="19" t="s">
        <v>274</v>
      </c>
      <c r="K66" s="4"/>
      <c r="L66" s="169" t="s">
        <v>3536</v>
      </c>
      <c r="M66" s="85"/>
      <c r="N66" s="4"/>
      <c r="O66" s="85"/>
      <c r="X66" s="688"/>
    </row>
    <row r="67" spans="2:41" x14ac:dyDescent="0.35">
      <c r="B67" s="452">
        <v>1001.2</v>
      </c>
      <c r="C67" s="13"/>
      <c r="D67" s="13"/>
      <c r="E67" s="13" t="s">
        <v>283</v>
      </c>
      <c r="F67" s="13"/>
      <c r="G67" s="13"/>
      <c r="H67" s="550"/>
      <c r="I67" s="4"/>
      <c r="J67" s="19" t="s">
        <v>283</v>
      </c>
      <c r="K67" s="4"/>
      <c r="L67" s="169" t="s">
        <v>3537</v>
      </c>
      <c r="M67" s="85"/>
      <c r="N67" s="4"/>
      <c r="O67" s="85"/>
      <c r="X67" s="688"/>
    </row>
    <row r="68" spans="2:41" x14ac:dyDescent="0.35">
      <c r="B68" s="452">
        <v>1001.2</v>
      </c>
      <c r="C68" s="13"/>
      <c r="D68" s="13"/>
      <c r="E68" s="13" t="s">
        <v>289</v>
      </c>
      <c r="F68" s="13"/>
      <c r="G68" s="13"/>
      <c r="H68" s="550"/>
      <c r="I68" s="4"/>
      <c r="J68" s="19" t="s">
        <v>289</v>
      </c>
      <c r="K68" s="4"/>
      <c r="L68" s="169" t="s">
        <v>3538</v>
      </c>
      <c r="M68" s="85"/>
      <c r="N68" s="4"/>
      <c r="O68" s="85"/>
      <c r="X68" s="688"/>
    </row>
    <row r="69" spans="2:41" x14ac:dyDescent="0.35">
      <c r="B69" s="452">
        <v>1001.2</v>
      </c>
      <c r="C69" s="13"/>
      <c r="D69" s="13"/>
      <c r="E69" s="13" t="s">
        <v>291</v>
      </c>
      <c r="F69" s="13"/>
      <c r="G69" s="13"/>
      <c r="H69" s="550"/>
      <c r="I69" s="4"/>
      <c r="J69" s="19" t="s">
        <v>291</v>
      </c>
      <c r="K69" s="4"/>
      <c r="L69" s="169" t="s">
        <v>3539</v>
      </c>
      <c r="M69" s="85"/>
      <c r="N69" s="4"/>
      <c r="O69" s="85"/>
      <c r="X69" s="688"/>
    </row>
    <row r="70" spans="2:41" x14ac:dyDescent="0.35">
      <c r="B70" s="452">
        <v>1001.2</v>
      </c>
      <c r="C70" s="13"/>
      <c r="D70" s="13"/>
      <c r="E70" s="13" t="s">
        <v>403</v>
      </c>
      <c r="F70" s="13"/>
      <c r="G70" s="13"/>
      <c r="H70" s="550"/>
      <c r="I70" s="4"/>
      <c r="J70" s="19" t="s">
        <v>403</v>
      </c>
      <c r="K70" s="4"/>
      <c r="L70" s="169" t="s">
        <v>3540</v>
      </c>
      <c r="M70" s="85"/>
      <c r="N70" s="4"/>
      <c r="O70" s="85"/>
      <c r="X70" s="688"/>
    </row>
    <row r="71" spans="2:41" ht="18.5" x14ac:dyDescent="0.45">
      <c r="B71" s="452">
        <v>1002</v>
      </c>
      <c r="C71" s="13"/>
      <c r="D71" s="13"/>
      <c r="E71" s="13"/>
      <c r="F71" s="13"/>
      <c r="G71" s="13"/>
      <c r="H71" s="550"/>
      <c r="I71" s="10" t="s">
        <v>3541</v>
      </c>
      <c r="J71" s="15"/>
      <c r="K71" s="15"/>
      <c r="L71" s="173"/>
      <c r="M71" s="340"/>
      <c r="N71" s="344"/>
      <c r="O71" s="340"/>
      <c r="P71" s="15"/>
      <c r="Q71" s="15"/>
      <c r="R71" s="15"/>
      <c r="S71" s="15"/>
      <c r="T71" s="15"/>
      <c r="U71" s="15"/>
      <c r="V71" s="15"/>
      <c r="W71" s="15"/>
      <c r="X71" s="15"/>
    </row>
    <row r="72" spans="2:41" x14ac:dyDescent="0.35">
      <c r="B72" s="452" t="s">
        <v>4577</v>
      </c>
      <c r="C72" s="13"/>
      <c r="D72" s="13"/>
      <c r="E72" s="13"/>
      <c r="F72" s="13"/>
      <c r="G72" s="13"/>
      <c r="H72" s="550"/>
      <c r="I72" s="166">
        <v>1002</v>
      </c>
      <c r="J72" s="4"/>
      <c r="K72" s="4"/>
      <c r="L72" s="706" t="s">
        <v>3542</v>
      </c>
      <c r="M72" s="85"/>
      <c r="N72" s="4"/>
      <c r="O72" s="85"/>
    </row>
    <row r="73" spans="2:41" x14ac:dyDescent="0.35">
      <c r="B73" s="452" t="s">
        <v>4577</v>
      </c>
      <c r="C73" s="13"/>
      <c r="D73" s="13"/>
      <c r="E73" s="13"/>
      <c r="F73" s="13"/>
      <c r="G73" s="13"/>
      <c r="H73" s="550"/>
      <c r="I73" s="4"/>
      <c r="J73" s="4"/>
      <c r="K73" s="4"/>
      <c r="L73" s="706"/>
      <c r="M73" s="85"/>
      <c r="N73" s="4"/>
      <c r="O73" s="85"/>
    </row>
    <row r="74" spans="2:41" x14ac:dyDescent="0.35">
      <c r="B74" s="452" t="s">
        <v>4577</v>
      </c>
      <c r="C74" s="13"/>
      <c r="D74" s="13"/>
      <c r="E74" s="13"/>
      <c r="F74" s="13"/>
      <c r="G74" s="13"/>
      <c r="H74" s="550"/>
      <c r="I74" s="4"/>
      <c r="J74" s="4"/>
      <c r="K74" s="4"/>
      <c r="L74" s="706"/>
      <c r="M74" s="85"/>
      <c r="N74" s="4"/>
      <c r="O74" s="85"/>
    </row>
    <row r="75" spans="2:41" x14ac:dyDescent="0.35">
      <c r="B75" s="452" t="s">
        <v>4577</v>
      </c>
      <c r="C75" s="13"/>
      <c r="D75" s="13"/>
      <c r="E75" s="13"/>
      <c r="F75" s="13"/>
      <c r="G75" s="13"/>
      <c r="H75" s="550"/>
      <c r="I75" s="4"/>
      <c r="J75" s="4"/>
      <c r="K75" s="4"/>
      <c r="L75" s="706"/>
      <c r="M75" s="85"/>
      <c r="N75" s="4"/>
      <c r="O75" s="85"/>
    </row>
    <row r="76" spans="2:41" x14ac:dyDescent="0.35">
      <c r="B76" s="452" t="s">
        <v>4577</v>
      </c>
      <c r="C76" s="13"/>
      <c r="D76" s="13"/>
      <c r="E76" s="13"/>
      <c r="F76" s="13"/>
      <c r="G76" s="13"/>
      <c r="H76" s="550"/>
      <c r="I76" s="4"/>
      <c r="J76" s="4"/>
      <c r="K76" s="4"/>
      <c r="L76" s="706"/>
      <c r="M76" s="85"/>
      <c r="N76" s="4"/>
      <c r="O76" s="85"/>
    </row>
    <row r="77" spans="2:41" ht="15" thickBot="1" x14ac:dyDescent="0.4">
      <c r="B77" s="452" t="s">
        <v>4577</v>
      </c>
      <c r="C77" s="13"/>
      <c r="D77" s="13"/>
      <c r="E77" s="13"/>
      <c r="F77" s="13"/>
      <c r="G77" s="13"/>
      <c r="H77" s="550"/>
      <c r="I77" s="183"/>
      <c r="J77" s="183"/>
      <c r="K77" s="183"/>
      <c r="L77" s="710"/>
      <c r="M77" s="184"/>
      <c r="N77" s="183"/>
      <c r="O77" s="184"/>
      <c r="P77" s="58"/>
      <c r="Q77" s="58"/>
      <c r="R77" s="58"/>
      <c r="S77" s="58"/>
      <c r="T77" s="58"/>
      <c r="U77" s="58"/>
      <c r="V77" s="58"/>
      <c r="W77" s="58"/>
      <c r="X77" s="58"/>
    </row>
    <row r="78" spans="2:41" ht="15" thickTop="1" x14ac:dyDescent="0.35">
      <c r="B78" s="452">
        <v>1002.1</v>
      </c>
      <c r="C78" s="13"/>
      <c r="D78" s="13"/>
      <c r="E78" s="13"/>
      <c r="F78" s="13"/>
      <c r="G78" s="13"/>
      <c r="H78" s="550"/>
      <c r="I78" s="32">
        <v>1002.1</v>
      </c>
      <c r="J78" s="4"/>
      <c r="K78" s="4"/>
      <c r="L78" s="706" t="s">
        <v>3590</v>
      </c>
      <c r="M78" s="690">
        <v>1</v>
      </c>
      <c r="N78" s="4"/>
      <c r="O78" s="802">
        <f>IF(AND(COUNTIF(W81:W87,TRUE)=3,COUNTIF(W89:W94,TRUE)&gt;1,S81),ROUNDDOWN(COUNTIF(W89:W94,TRUE)/2,0),0)</f>
        <v>0</v>
      </c>
      <c r="AL78" t="str">
        <f>SUBSTITUTE(SUBSTITUTE(SUBSTITUTE("dpa"&amp;$B78&amp;$C78&amp;$D78&amp;$E78&amp;$F78,".","_"),"(","_"),")","")</f>
        <v>dpa1002_1</v>
      </c>
      <c r="AM78">
        <f>M78</f>
        <v>1</v>
      </c>
      <c r="AN78" t="str">
        <f>SUBSTITUTE(SUBSTITUTE(SUBSTITUTE("dpc"&amp;$B78&amp;$C78&amp;$D78&amp;$E78&amp;$F78,".","_"),"(","_"),")","")</f>
        <v>dpc1002_1</v>
      </c>
      <c r="AO78">
        <f>O78</f>
        <v>0</v>
      </c>
    </row>
    <row r="79" spans="2:41" x14ac:dyDescent="0.35">
      <c r="B79" s="452">
        <v>1002.1</v>
      </c>
      <c r="C79" s="13"/>
      <c r="D79" s="13"/>
      <c r="E79" s="13"/>
      <c r="F79" s="13"/>
      <c r="G79" s="13"/>
      <c r="H79" s="550"/>
      <c r="I79" s="4"/>
      <c r="J79" s="4"/>
      <c r="K79" s="4"/>
      <c r="L79" s="706"/>
      <c r="M79" s="690"/>
      <c r="N79" s="4"/>
      <c r="O79" s="802"/>
    </row>
    <row r="80" spans="2:41" x14ac:dyDescent="0.35">
      <c r="B80" s="452">
        <v>1002.1</v>
      </c>
      <c r="C80" s="13"/>
      <c r="D80" s="13"/>
      <c r="E80" s="13"/>
      <c r="F80" s="13"/>
      <c r="G80" s="13"/>
      <c r="H80" s="550"/>
      <c r="I80" s="4"/>
      <c r="J80" s="4"/>
      <c r="K80" s="4"/>
      <c r="L80" s="170" t="s">
        <v>3588</v>
      </c>
      <c r="M80" s="690"/>
      <c r="N80" s="4"/>
      <c r="O80" s="802"/>
    </row>
    <row r="81" spans="2:45" x14ac:dyDescent="0.35">
      <c r="B81" s="452">
        <v>1002.1</v>
      </c>
      <c r="C81" s="13"/>
      <c r="D81" s="13"/>
      <c r="E81" s="13" t="s">
        <v>270</v>
      </c>
      <c r="F81" s="13"/>
      <c r="G81" s="13"/>
      <c r="H81" s="550"/>
      <c r="I81" s="4"/>
      <c r="J81" s="19" t="s">
        <v>270</v>
      </c>
      <c r="K81" s="4"/>
      <c r="L81" s="707" t="s">
        <v>3543</v>
      </c>
      <c r="M81" s="740" t="str">
        <f t="shared" ref="M81:M88" si="8">IF(R81,"Mandatory","N/A")</f>
        <v>N/A</v>
      </c>
      <c r="N81" s="4"/>
      <c r="O81" s="85"/>
      <c r="P81" t="b">
        <v>0</v>
      </c>
      <c r="Q81" t="b">
        <v>1</v>
      </c>
      <c r="R81" t="b">
        <f>S81</f>
        <v>0</v>
      </c>
      <c r="S81" t="b">
        <f>IF(AY19=INDEX(ddSingleOrMulti,2),TRUE,FALSE)</f>
        <v>0</v>
      </c>
      <c r="T81" t="b">
        <f>AND(NOT(S81),W81=TRUE)</f>
        <v>0</v>
      </c>
      <c r="W81" s="17"/>
      <c r="X81" s="688"/>
      <c r="AC81" t="b">
        <f>OR(AD81:AE81)</f>
        <v>0</v>
      </c>
      <c r="AD81" t="b">
        <f>T81</f>
        <v>0</v>
      </c>
      <c r="AE81" t="b">
        <f>AND(R81,O78&lt;1)</f>
        <v>0</v>
      </c>
      <c r="AL81" t="str">
        <f>SUBSTITUTE(SUBSTITUTE(SUBSTITUTE("dpa"&amp;$B81&amp;$C81&amp;$D81&amp;$E81&amp;$F81,".","_"),"(","_"),")","")</f>
        <v>dpa1002_1_1</v>
      </c>
      <c r="AM81" t="str">
        <f>M81</f>
        <v>N/A</v>
      </c>
      <c r="AP81" t="str">
        <f>SUBSTITUTE(SUBSTITUTE(SUBSTITUTE("dch"&amp;$B81&amp;$C81&amp;$D81&amp;$E81&amp;$F81,".","_"),"(","_"),")","")</f>
        <v>dch1002_1_1</v>
      </c>
      <c r="AQ81">
        <f>W81</f>
        <v>0</v>
      </c>
      <c r="AR81" t="str">
        <f>SUBSTITUTE(SUBSTITUTE(SUBSTITUTE("dnt"&amp;$B81&amp;$C81&amp;$D81&amp;$E81&amp;$F81,".","_"),"(","_"),")","")</f>
        <v>dnt1002_1_1</v>
      </c>
      <c r="AS81">
        <f>X81</f>
        <v>0</v>
      </c>
    </row>
    <row r="82" spans="2:45" x14ac:dyDescent="0.35">
      <c r="B82" s="452">
        <v>1002.1</v>
      </c>
      <c r="C82" s="13"/>
      <c r="D82" s="13"/>
      <c r="E82" s="13" t="s">
        <v>270</v>
      </c>
      <c r="F82" s="13"/>
      <c r="G82" s="13"/>
      <c r="H82" s="550"/>
      <c r="I82" s="4"/>
      <c r="J82" s="19"/>
      <c r="K82" s="4"/>
      <c r="L82" s="707"/>
      <c r="M82" s="740" t="str">
        <f t="shared" si="8"/>
        <v>N/A</v>
      </c>
      <c r="N82" s="4"/>
      <c r="O82" s="85"/>
      <c r="X82" s="688"/>
    </row>
    <row r="83" spans="2:45" x14ac:dyDescent="0.35">
      <c r="B83" s="452">
        <v>1002.1</v>
      </c>
      <c r="C83" s="13"/>
      <c r="D83" s="13"/>
      <c r="E83" s="13" t="s">
        <v>270</v>
      </c>
      <c r="F83" s="13"/>
      <c r="G83" s="13"/>
      <c r="H83" s="550"/>
      <c r="I83" s="4"/>
      <c r="J83" s="19"/>
      <c r="K83" s="4"/>
      <c r="L83" s="707"/>
      <c r="M83" s="740" t="str">
        <f t="shared" si="8"/>
        <v>N/A</v>
      </c>
      <c r="N83" s="4"/>
      <c r="O83" s="85"/>
      <c r="X83" s="688"/>
    </row>
    <row r="84" spans="2:45" x14ac:dyDescent="0.35">
      <c r="B84" s="452">
        <v>1002.1</v>
      </c>
      <c r="C84" s="13"/>
      <c r="D84" s="13"/>
      <c r="E84" s="13" t="s">
        <v>272</v>
      </c>
      <c r="F84" s="13"/>
      <c r="G84" s="13"/>
      <c r="H84" s="550"/>
      <c r="I84" s="4"/>
      <c r="J84" s="154" t="s">
        <v>272</v>
      </c>
      <c r="K84" s="136"/>
      <c r="L84" s="742" t="s">
        <v>3544</v>
      </c>
      <c r="M84" s="769" t="str">
        <f t="shared" si="8"/>
        <v>N/A</v>
      </c>
      <c r="N84" s="4"/>
      <c r="O84" s="85"/>
      <c r="P84" t="b">
        <v>0</v>
      </c>
      <c r="Q84" t="b">
        <v>1</v>
      </c>
      <c r="R84" t="b">
        <f>S84</f>
        <v>0</v>
      </c>
      <c r="S84" t="b">
        <f>IF(AY19=INDEX(ddSingleOrMulti,2),TRUE,FALSE)</f>
        <v>0</v>
      </c>
      <c r="T84" t="b">
        <f>AND(NOT(S84),W84=TRUE)</f>
        <v>0</v>
      </c>
      <c r="W84" s="17"/>
      <c r="X84" s="688"/>
      <c r="AC84" t="b">
        <f>OR(AD84:AE84)</f>
        <v>0</v>
      </c>
      <c r="AD84" t="b">
        <f>T84</f>
        <v>0</v>
      </c>
      <c r="AE84" t="b">
        <f>AND(R84,NOT(W84=TRUE))</f>
        <v>0</v>
      </c>
      <c r="AL84" t="str">
        <f>SUBSTITUTE(SUBSTITUTE(SUBSTITUTE("dpa"&amp;$B84&amp;$C84&amp;$D84&amp;$E84&amp;$F84,".","_"),"(","_"),")","")</f>
        <v>dpa1002_1_2</v>
      </c>
      <c r="AM84" t="str">
        <f>M84</f>
        <v>N/A</v>
      </c>
      <c r="AP84" t="str">
        <f>SUBSTITUTE(SUBSTITUTE(SUBSTITUTE("dch"&amp;$B84&amp;$C84&amp;$D84&amp;$E84&amp;$F84,".","_"),"(","_"),")","")</f>
        <v>dch1002_1_2</v>
      </c>
      <c r="AQ84">
        <f>W84</f>
        <v>0</v>
      </c>
      <c r="AR84" t="str">
        <f>SUBSTITUTE(SUBSTITUTE(SUBSTITUTE("dnt"&amp;$B84&amp;$C84&amp;$D84&amp;$E84&amp;$F84,".","_"),"(","_"),")","")</f>
        <v>dnt1002_1_2</v>
      </c>
      <c r="AS84">
        <f>X84</f>
        <v>0</v>
      </c>
    </row>
    <row r="85" spans="2:45" x14ac:dyDescent="0.35">
      <c r="B85" s="452">
        <v>1002.1</v>
      </c>
      <c r="C85" s="13"/>
      <c r="D85" s="13"/>
      <c r="E85" s="13" t="s">
        <v>272</v>
      </c>
      <c r="F85" s="13"/>
      <c r="G85" s="13"/>
      <c r="H85" s="550"/>
      <c r="I85" s="4"/>
      <c r="J85" s="19"/>
      <c r="K85" s="4"/>
      <c r="L85" s="707"/>
      <c r="M85" s="740" t="str">
        <f t="shared" si="8"/>
        <v>N/A</v>
      </c>
      <c r="N85" s="4"/>
      <c r="O85" s="85"/>
      <c r="X85" s="688"/>
    </row>
    <row r="86" spans="2:45" x14ac:dyDescent="0.35">
      <c r="B86" s="452">
        <v>1002.1</v>
      </c>
      <c r="C86" s="13"/>
      <c r="D86" s="13"/>
      <c r="E86" s="13" t="s">
        <v>272</v>
      </c>
      <c r="F86" s="13"/>
      <c r="G86" s="13"/>
      <c r="H86" s="550"/>
      <c r="I86" s="4"/>
      <c r="J86" s="148"/>
      <c r="K86" s="155"/>
      <c r="L86" s="709"/>
      <c r="M86" s="741" t="str">
        <f t="shared" si="8"/>
        <v>N/A</v>
      </c>
      <c r="N86" s="4"/>
      <c r="O86" s="85"/>
      <c r="X86" s="688"/>
    </row>
    <row r="87" spans="2:45" x14ac:dyDescent="0.35">
      <c r="B87" s="452">
        <v>1002.1</v>
      </c>
      <c r="C87" s="13"/>
      <c r="D87" s="13"/>
      <c r="E87" s="13" t="s">
        <v>274</v>
      </c>
      <c r="F87" s="13"/>
      <c r="G87" s="13"/>
      <c r="H87" s="550"/>
      <c r="I87" s="4"/>
      <c r="J87" s="19" t="s">
        <v>274</v>
      </c>
      <c r="K87" s="4"/>
      <c r="L87" s="707" t="s">
        <v>3545</v>
      </c>
      <c r="M87" s="740" t="str">
        <f t="shared" si="8"/>
        <v>N/A</v>
      </c>
      <c r="N87" s="4"/>
      <c r="O87" s="85"/>
      <c r="P87" t="b">
        <v>0</v>
      </c>
      <c r="Q87" t="b">
        <v>1</v>
      </c>
      <c r="R87" t="b">
        <f>S87</f>
        <v>0</v>
      </c>
      <c r="S87" t="b">
        <f>IF(AY19=INDEX(ddSingleOrMulti,2),TRUE,FALSE)</f>
        <v>0</v>
      </c>
      <c r="T87" t="b">
        <f>AND(NOT(S87),W87=TRUE)</f>
        <v>0</v>
      </c>
      <c r="W87" s="17"/>
      <c r="X87" s="688"/>
      <c r="AC87" t="b">
        <f>OR(AD87:AE87)</f>
        <v>0</v>
      </c>
      <c r="AD87" t="b">
        <f>T87</f>
        <v>0</v>
      </c>
      <c r="AE87" t="b">
        <f>AND(R87,NOT(W87=TRUE))</f>
        <v>0</v>
      </c>
      <c r="AL87" t="str">
        <f>SUBSTITUTE(SUBSTITUTE(SUBSTITUTE("dpa"&amp;$B87&amp;$C87&amp;$D87&amp;$E87&amp;$F87,".","_"),"(","_"),")","")</f>
        <v>dpa1002_1_3</v>
      </c>
      <c r="AM87" t="str">
        <f>M87</f>
        <v>N/A</v>
      </c>
      <c r="AP87" t="str">
        <f>SUBSTITUTE(SUBSTITUTE(SUBSTITUTE("dch"&amp;$B87&amp;$C87&amp;$D87&amp;$E87&amp;$F87,".","_"),"(","_"),")","")</f>
        <v>dch1002_1_3</v>
      </c>
      <c r="AQ87">
        <f>W87</f>
        <v>0</v>
      </c>
      <c r="AR87" t="str">
        <f>SUBSTITUTE(SUBSTITUTE(SUBSTITUTE("dnt"&amp;$B87&amp;$C87&amp;$D87&amp;$E87&amp;$F87,".","_"),"(","_"),")","")</f>
        <v>dnt1002_1_3</v>
      </c>
      <c r="AS87">
        <f>X87</f>
        <v>0</v>
      </c>
    </row>
    <row r="88" spans="2:45" x14ac:dyDescent="0.35">
      <c r="B88" s="452">
        <v>1002.1</v>
      </c>
      <c r="C88" s="13"/>
      <c r="D88" s="13"/>
      <c r="E88" s="13" t="s">
        <v>274</v>
      </c>
      <c r="F88" s="13"/>
      <c r="G88" s="13"/>
      <c r="H88" s="550"/>
      <c r="I88" s="4"/>
      <c r="J88" s="19"/>
      <c r="K88" s="4"/>
      <c r="L88" s="707"/>
      <c r="M88" s="740" t="str">
        <f t="shared" si="8"/>
        <v>N/A</v>
      </c>
      <c r="N88" s="4"/>
      <c r="O88" s="85"/>
      <c r="X88" s="688"/>
    </row>
    <row r="89" spans="2:45" x14ac:dyDescent="0.35">
      <c r="B89" s="452">
        <v>1002.1</v>
      </c>
      <c r="C89" s="13"/>
      <c r="D89" s="13"/>
      <c r="E89" s="13" t="s">
        <v>283</v>
      </c>
      <c r="F89" s="13"/>
      <c r="G89" s="13"/>
      <c r="H89" s="550"/>
      <c r="I89" s="4"/>
      <c r="J89" s="150" t="s">
        <v>283</v>
      </c>
      <c r="K89" s="187"/>
      <c r="L89" s="188" t="s">
        <v>3546</v>
      </c>
      <c r="M89" s="189"/>
      <c r="N89" s="4"/>
      <c r="O89" s="85"/>
      <c r="P89" t="b">
        <v>0</v>
      </c>
      <c r="Q89" t="b">
        <v>1</v>
      </c>
      <c r="R89" t="b">
        <v>0</v>
      </c>
      <c r="S89" t="b">
        <f>IF(AY19=INDEX(ddSingleOrMulti,2),TRUE,FALSE)</f>
        <v>0</v>
      </c>
      <c r="T89" t="b">
        <f>AND(NOT(S89),W89=TRUE)</f>
        <v>0</v>
      </c>
      <c r="W89" s="17"/>
      <c r="X89" s="39"/>
      <c r="AC89" t="b">
        <f>OR(AD89:AE89)</f>
        <v>0</v>
      </c>
      <c r="AD89" t="b">
        <f>T89</f>
        <v>0</v>
      </c>
      <c r="AP89" t="str">
        <f t="shared" ref="AP89:AP90" si="9">SUBSTITUTE(SUBSTITUTE(SUBSTITUTE("dch"&amp;$B89&amp;$C89&amp;$D89&amp;$E89&amp;$F89,".","_"),"(","_"),")","")</f>
        <v>dch1002_1_4</v>
      </c>
      <c r="AQ89">
        <f>W89</f>
        <v>0</v>
      </c>
      <c r="AR89" t="str">
        <f>SUBSTITUTE(SUBSTITUTE(SUBSTITUTE("dnt"&amp;$B89&amp;$C89&amp;$D89&amp;$E89&amp;$F89,".","_"),"(","_"),")","")</f>
        <v>dnt1002_1_4</v>
      </c>
      <c r="AS89">
        <f>X89</f>
        <v>0</v>
      </c>
    </row>
    <row r="90" spans="2:45" x14ac:dyDescent="0.35">
      <c r="B90" s="452">
        <v>1002.1</v>
      </c>
      <c r="C90" s="13"/>
      <c r="D90" s="13"/>
      <c r="E90" s="13" t="s">
        <v>289</v>
      </c>
      <c r="F90" s="13"/>
      <c r="G90" s="13"/>
      <c r="H90" s="550"/>
      <c r="I90" s="4"/>
      <c r="J90" s="19" t="s">
        <v>289</v>
      </c>
      <c r="K90" s="4"/>
      <c r="L90" s="707" t="s">
        <v>3547</v>
      </c>
      <c r="M90" s="85"/>
      <c r="N90" s="4"/>
      <c r="O90" s="85"/>
      <c r="P90" t="b">
        <v>0</v>
      </c>
      <c r="Q90" t="b">
        <v>1</v>
      </c>
      <c r="R90" t="b">
        <v>0</v>
      </c>
      <c r="S90" t="b">
        <f>IF(AY19=INDEX(ddSingleOrMulti,2),TRUE,FALSE)</f>
        <v>0</v>
      </c>
      <c r="T90" t="b">
        <f>AND(NOT(S90),W90=TRUE)</f>
        <v>0</v>
      </c>
      <c r="W90" s="17"/>
      <c r="X90" s="688"/>
      <c r="AC90" t="b">
        <f>OR(AD90:AE90)</f>
        <v>0</v>
      </c>
      <c r="AD90" t="b">
        <f>T90</f>
        <v>0</v>
      </c>
      <c r="AP90" t="str">
        <f t="shared" si="9"/>
        <v>dch1002_1_5</v>
      </c>
      <c r="AQ90">
        <f>W90</f>
        <v>0</v>
      </c>
      <c r="AR90" t="str">
        <f>SUBSTITUTE(SUBSTITUTE(SUBSTITUTE("dnt"&amp;$B90&amp;$C90&amp;$D90&amp;$E90&amp;$F90,".","_"),"(","_"),")","")</f>
        <v>dnt1002_1_5</v>
      </c>
      <c r="AS90">
        <f>X90</f>
        <v>0</v>
      </c>
    </row>
    <row r="91" spans="2:45" x14ac:dyDescent="0.35">
      <c r="B91" s="452">
        <v>1002.1</v>
      </c>
      <c r="C91" s="13"/>
      <c r="D91" s="13"/>
      <c r="E91" s="13" t="s">
        <v>289</v>
      </c>
      <c r="F91" s="13"/>
      <c r="G91" s="13"/>
      <c r="H91" s="550"/>
      <c r="I91" s="4"/>
      <c r="J91" s="19"/>
      <c r="K91" s="4"/>
      <c r="L91" s="707"/>
      <c r="M91" s="85"/>
      <c r="N91" s="4"/>
      <c r="O91" s="85"/>
      <c r="X91" s="688"/>
    </row>
    <row r="92" spans="2:45" ht="15" customHeight="1" x14ac:dyDescent="0.35">
      <c r="B92" s="452">
        <v>1002.1</v>
      </c>
      <c r="C92" s="13"/>
      <c r="D92" s="13"/>
      <c r="E92" s="13" t="s">
        <v>291</v>
      </c>
      <c r="F92" s="13"/>
      <c r="G92" s="13"/>
      <c r="H92" s="550"/>
      <c r="I92" s="4"/>
      <c r="J92" s="150" t="s">
        <v>291</v>
      </c>
      <c r="K92" s="187"/>
      <c r="L92" s="188" t="s">
        <v>3504</v>
      </c>
      <c r="M92" s="85"/>
      <c r="N92" s="4"/>
      <c r="O92" s="85"/>
      <c r="P92" t="b">
        <v>0</v>
      </c>
      <c r="Q92" t="b">
        <v>1</v>
      </c>
      <c r="R92" t="b">
        <v>0</v>
      </c>
      <c r="S92" t="b">
        <f>IF(AY19=INDEX(ddSingleOrMulti,2),TRUE,FALSE)</f>
        <v>0</v>
      </c>
      <c r="T92" t="b">
        <f>AND(NOT(S92),W92=TRUE)</f>
        <v>0</v>
      </c>
      <c r="W92" s="17"/>
      <c r="X92" s="39"/>
      <c r="AC92" t="b">
        <f>OR(AD92:AE92)</f>
        <v>0</v>
      </c>
      <c r="AD92" t="b">
        <f>T92</f>
        <v>0</v>
      </c>
      <c r="AP92" t="str">
        <f t="shared" ref="AP92:AP94" si="10">SUBSTITUTE(SUBSTITUTE(SUBSTITUTE("dch"&amp;$B92&amp;$C92&amp;$D92&amp;$E92&amp;$F92,".","_"),"(","_"),")","")</f>
        <v>dch1002_1_6</v>
      </c>
      <c r="AQ92">
        <f>W92</f>
        <v>0</v>
      </c>
      <c r="AR92" t="str">
        <f>SUBSTITUTE(SUBSTITUTE(SUBSTITUTE("dnt"&amp;$B92&amp;$C92&amp;$D92&amp;$E92&amp;$F92,".","_"),"(","_"),")","")</f>
        <v>dnt1002_1_6</v>
      </c>
      <c r="AS92">
        <f>X92</f>
        <v>0</v>
      </c>
    </row>
    <row r="93" spans="2:45" ht="15" customHeight="1" x14ac:dyDescent="0.35">
      <c r="B93" s="452">
        <v>1002.1</v>
      </c>
      <c r="C93" s="13"/>
      <c r="D93" s="13"/>
      <c r="E93" s="13" t="s">
        <v>403</v>
      </c>
      <c r="F93" s="13"/>
      <c r="G93" s="13"/>
      <c r="H93" s="550"/>
      <c r="I93" s="4"/>
      <c r="J93" s="150" t="s">
        <v>403</v>
      </c>
      <c r="K93" s="187"/>
      <c r="L93" s="188" t="s">
        <v>3548</v>
      </c>
      <c r="M93" s="85"/>
      <c r="N93" s="4"/>
      <c r="O93" s="85"/>
      <c r="P93" t="b">
        <v>0</v>
      </c>
      <c r="Q93" t="b">
        <v>1</v>
      </c>
      <c r="R93" t="b">
        <v>0</v>
      </c>
      <c r="S93" t="b">
        <f>IF(AY19=INDEX(ddSingleOrMulti,2),TRUE,FALSE)</f>
        <v>0</v>
      </c>
      <c r="T93" t="b">
        <f>AND(NOT(S93),W93=TRUE)</f>
        <v>0</v>
      </c>
      <c r="W93" s="17"/>
      <c r="X93" s="39"/>
      <c r="AC93" t="b">
        <f>OR(AD93:AE93)</f>
        <v>0</v>
      </c>
      <c r="AD93" t="b">
        <f>T93</f>
        <v>0</v>
      </c>
      <c r="AP93" t="str">
        <f t="shared" si="10"/>
        <v>dch1002_1_7</v>
      </c>
      <c r="AQ93">
        <f>W93</f>
        <v>0</v>
      </c>
      <c r="AR93" t="str">
        <f>SUBSTITUTE(SUBSTITUTE(SUBSTITUTE("dnt"&amp;$B93&amp;$C93&amp;$D93&amp;$E93&amp;$F93,".","_"),"(","_"),")","")</f>
        <v>dnt1002_1_7</v>
      </c>
      <c r="AS93">
        <f>X93</f>
        <v>0</v>
      </c>
    </row>
    <row r="94" spans="2:45" x14ac:dyDescent="0.35">
      <c r="B94" s="452">
        <v>1002.1</v>
      </c>
      <c r="C94" s="13"/>
      <c r="D94" s="13"/>
      <c r="E94" s="13" t="s">
        <v>453</v>
      </c>
      <c r="F94" s="13"/>
      <c r="G94" s="13"/>
      <c r="H94" s="550"/>
      <c r="I94" s="4"/>
      <c r="J94" s="19" t="s">
        <v>453</v>
      </c>
      <c r="K94" s="4"/>
      <c r="L94" s="707" t="s">
        <v>3549</v>
      </c>
      <c r="M94" s="85"/>
      <c r="N94" s="4"/>
      <c r="O94" s="85"/>
      <c r="P94" t="b">
        <v>0</v>
      </c>
      <c r="Q94" t="b">
        <v>1</v>
      </c>
      <c r="R94" t="b">
        <v>0</v>
      </c>
      <c r="S94" t="b">
        <f>IF(AY19=INDEX(ddSingleOrMulti,2),TRUE,FALSE)</f>
        <v>0</v>
      </c>
      <c r="T94" t="b">
        <f>AND(NOT(S94),W94=TRUE)</f>
        <v>0</v>
      </c>
      <c r="W94" s="17"/>
      <c r="X94" s="688"/>
      <c r="AC94" t="b">
        <f>OR(AD94:AE94)</f>
        <v>0</v>
      </c>
      <c r="AD94" t="b">
        <f>T94</f>
        <v>0</v>
      </c>
      <c r="AP94" t="str">
        <f t="shared" si="10"/>
        <v>dch1002_1_8</v>
      </c>
      <c r="AQ94">
        <f>W94</f>
        <v>0</v>
      </c>
      <c r="AR94" t="str">
        <f>SUBSTITUTE(SUBSTITUTE(SUBSTITUTE("dnt"&amp;$B94&amp;$C94&amp;$D94&amp;$E94&amp;$F94,".","_"),"(","_"),")","")</f>
        <v>dnt1002_1_8</v>
      </c>
      <c r="AS94">
        <f>X94</f>
        <v>0</v>
      </c>
    </row>
    <row r="95" spans="2:45" ht="15" thickBot="1" x14ac:dyDescent="0.4">
      <c r="B95" s="452">
        <v>1002.1</v>
      </c>
      <c r="C95" s="13"/>
      <c r="D95" s="13"/>
      <c r="E95" s="13" t="s">
        <v>453</v>
      </c>
      <c r="F95" s="13"/>
      <c r="G95" s="13"/>
      <c r="H95" s="550"/>
      <c r="I95" s="183"/>
      <c r="J95" s="183"/>
      <c r="K95" s="183"/>
      <c r="L95" s="708"/>
      <c r="M95" s="184"/>
      <c r="N95" s="183"/>
      <c r="O95" s="184"/>
      <c r="P95" s="58"/>
      <c r="Q95" s="58"/>
      <c r="R95" s="58"/>
      <c r="S95" s="58"/>
      <c r="T95" s="58"/>
      <c r="U95" s="58"/>
      <c r="V95" s="58"/>
      <c r="W95" s="58"/>
      <c r="X95" s="689"/>
    </row>
    <row r="96" spans="2:45" ht="15" thickTop="1" x14ac:dyDescent="0.35">
      <c r="B96" s="452">
        <v>1002.2</v>
      </c>
      <c r="C96" s="13"/>
      <c r="D96" s="13"/>
      <c r="E96" s="13"/>
      <c r="F96" s="13"/>
      <c r="G96" s="13"/>
      <c r="H96" s="550"/>
      <c r="I96" s="33">
        <v>1002.2</v>
      </c>
      <c r="J96" s="4"/>
      <c r="K96" s="4"/>
      <c r="L96" s="706" t="s">
        <v>3591</v>
      </c>
      <c r="M96" s="690">
        <v>1</v>
      </c>
      <c r="N96" s="4"/>
      <c r="O96" s="802">
        <f>IF(AND(COUNTIF(W100:W102,TRUE)=2,COUNTIF(W105:W121,TRUE)&gt;2,S100),ROUNDDOWN(COUNTIF(W105:W121,TRUE)/2,0),0)</f>
        <v>0</v>
      </c>
      <c r="AL96" t="str">
        <f>SUBSTITUTE(SUBSTITUTE(SUBSTITUTE("dpa"&amp;$B96&amp;$C96&amp;$D96&amp;$E96&amp;$F96,".","_"),"(","_"),")","")</f>
        <v>dpa1002_2</v>
      </c>
      <c r="AM96">
        <f>M96</f>
        <v>1</v>
      </c>
      <c r="AN96" t="str">
        <f>SUBSTITUTE(SUBSTITUTE(SUBSTITUTE("dpc"&amp;$B96&amp;$C96&amp;$D96&amp;$E96&amp;$F96,".","_"),"(","_"),")","")</f>
        <v>dpc1002_2</v>
      </c>
      <c r="AO96">
        <f>O96</f>
        <v>0</v>
      </c>
    </row>
    <row r="97" spans="2:45" x14ac:dyDescent="0.35">
      <c r="B97" s="452">
        <v>1002.2</v>
      </c>
      <c r="C97" s="13"/>
      <c r="D97" s="13"/>
      <c r="E97" s="13"/>
      <c r="F97" s="13"/>
      <c r="G97" s="13"/>
      <c r="H97" s="550"/>
      <c r="I97" s="4"/>
      <c r="J97" s="4"/>
      <c r="K97" s="4"/>
      <c r="L97" s="706"/>
      <c r="M97" s="690"/>
      <c r="N97" s="4"/>
      <c r="O97" s="802"/>
    </row>
    <row r="98" spans="2:45" x14ac:dyDescent="0.35">
      <c r="B98" s="452">
        <v>1002.2</v>
      </c>
      <c r="C98" s="13"/>
      <c r="D98" s="13"/>
      <c r="E98" s="13"/>
      <c r="F98" s="13"/>
      <c r="G98" s="13"/>
      <c r="H98" s="550"/>
      <c r="I98" s="4"/>
      <c r="J98" s="4"/>
      <c r="K98" s="4"/>
      <c r="L98" s="706"/>
      <c r="M98" s="690"/>
      <c r="N98" s="4"/>
      <c r="O98" s="802"/>
    </row>
    <row r="99" spans="2:45" x14ac:dyDescent="0.35">
      <c r="B99" s="452">
        <v>1002.2</v>
      </c>
      <c r="C99" s="13"/>
      <c r="D99" s="13"/>
      <c r="E99" s="13"/>
      <c r="F99" s="13"/>
      <c r="G99" s="13"/>
      <c r="H99" s="550"/>
      <c r="I99" s="4"/>
      <c r="J99" s="4"/>
      <c r="K99" s="4"/>
      <c r="L99" s="171" t="s">
        <v>3588</v>
      </c>
      <c r="M99" s="690"/>
      <c r="N99" s="4"/>
      <c r="O99" s="802"/>
    </row>
    <row r="100" spans="2:45" x14ac:dyDescent="0.35">
      <c r="B100" s="452">
        <v>1002.2</v>
      </c>
      <c r="C100" s="13"/>
      <c r="D100" s="13"/>
      <c r="E100" s="13" t="s">
        <v>270</v>
      </c>
      <c r="F100" s="13"/>
      <c r="G100" s="13"/>
      <c r="H100" s="550"/>
      <c r="I100" s="4"/>
      <c r="J100" s="19" t="s">
        <v>270</v>
      </c>
      <c r="K100" s="4"/>
      <c r="L100" s="707" t="s">
        <v>3550</v>
      </c>
      <c r="M100" s="740" t="str">
        <f>IF(R100,"Mandatory","N/A")</f>
        <v>N/A</v>
      </c>
      <c r="N100" s="4"/>
      <c r="O100" s="85"/>
      <c r="P100" t="b">
        <v>0</v>
      </c>
      <c r="Q100" t="b">
        <v>1</v>
      </c>
      <c r="R100" t="b">
        <f>S100</f>
        <v>0</v>
      </c>
      <c r="S100" t="b">
        <f>IF(AY19=INDEX(ddSingleOrMulti,2),TRUE,FALSE)</f>
        <v>0</v>
      </c>
      <c r="T100" t="b">
        <f>AND(NOT(S100),W100=TRUE)</f>
        <v>0</v>
      </c>
      <c r="W100" s="17"/>
      <c r="X100" s="688"/>
      <c r="AC100" t="b">
        <f>OR(AD100:AE100)</f>
        <v>0</v>
      </c>
      <c r="AD100" t="b">
        <f>T100</f>
        <v>0</v>
      </c>
      <c r="AE100" t="b">
        <f>AND(R100,NOT(W100=TRUE))</f>
        <v>0</v>
      </c>
      <c r="AL100" t="str">
        <f>SUBSTITUTE(SUBSTITUTE(SUBSTITUTE("dpa"&amp;$B100&amp;$C100&amp;$D100&amp;$E100&amp;$F100,".","_"),"(","_"),")","")</f>
        <v>dpa1002_2_1</v>
      </c>
      <c r="AM100" t="str">
        <f>M100</f>
        <v>N/A</v>
      </c>
      <c r="AP100" t="str">
        <f>SUBSTITUTE(SUBSTITUTE(SUBSTITUTE("dch"&amp;$B100&amp;$C100&amp;$D100&amp;$E100&amp;$F100,".","_"),"(","_"),")","")</f>
        <v>dch1002_2_1</v>
      </c>
      <c r="AQ100">
        <f>W100</f>
        <v>0</v>
      </c>
      <c r="AR100" t="str">
        <f>SUBSTITUTE(SUBSTITUTE(SUBSTITUTE("dnt"&amp;$B100&amp;$C100&amp;$D100&amp;$E100&amp;$F100,".","_"),"(","_"),")","")</f>
        <v>dnt1002_2_1</v>
      </c>
      <c r="AS100">
        <f>X100</f>
        <v>0</v>
      </c>
    </row>
    <row r="101" spans="2:45" x14ac:dyDescent="0.35">
      <c r="B101" s="452">
        <v>1002.2</v>
      </c>
      <c r="C101" s="13"/>
      <c r="D101" s="13"/>
      <c r="E101" s="13" t="s">
        <v>270</v>
      </c>
      <c r="F101" s="13"/>
      <c r="G101" s="13"/>
      <c r="H101" s="550"/>
      <c r="I101" s="4"/>
      <c r="J101" s="148"/>
      <c r="K101" s="155"/>
      <c r="L101" s="709"/>
      <c r="M101" s="741" t="str">
        <f>IF(R101,"Mandatory","N/A")</f>
        <v>N/A</v>
      </c>
      <c r="N101" s="4"/>
      <c r="O101" s="85"/>
      <c r="X101" s="688"/>
    </row>
    <row r="102" spans="2:45" x14ac:dyDescent="0.35">
      <c r="B102" s="452">
        <v>1002.2</v>
      </c>
      <c r="C102" s="13"/>
      <c r="D102" s="13"/>
      <c r="E102" s="13" t="s">
        <v>272</v>
      </c>
      <c r="F102" s="13"/>
      <c r="G102" s="13"/>
      <c r="H102" s="550"/>
      <c r="I102" s="4"/>
      <c r="J102" s="154" t="s">
        <v>272</v>
      </c>
      <c r="K102" s="136"/>
      <c r="L102" s="742" t="s">
        <v>3551</v>
      </c>
      <c r="M102" s="769" t="str">
        <f>IF(R102,"Mandatory","N/A")</f>
        <v>N/A</v>
      </c>
      <c r="N102" s="4"/>
      <c r="O102" s="85"/>
      <c r="P102" t="b">
        <v>0</v>
      </c>
      <c r="Q102" t="b">
        <v>1</v>
      </c>
      <c r="R102" t="b">
        <f>S102</f>
        <v>0</v>
      </c>
      <c r="S102" t="b">
        <f>IF(AY19=INDEX(ddSingleOrMulti,2),TRUE,FALSE)</f>
        <v>0</v>
      </c>
      <c r="T102" t="b">
        <f>AND(NOT(S102),W102=TRUE)</f>
        <v>0</v>
      </c>
      <c r="W102" s="17"/>
      <c r="X102" s="688"/>
      <c r="AC102" t="b">
        <f>OR(AD102:AE102)</f>
        <v>0</v>
      </c>
      <c r="AD102" t="b">
        <f>T102</f>
        <v>0</v>
      </c>
      <c r="AE102" t="b">
        <f>AND(R102,NOT(W102=TRUE))</f>
        <v>0</v>
      </c>
      <c r="AL102" t="str">
        <f>SUBSTITUTE(SUBSTITUTE(SUBSTITUTE("dpa"&amp;$B102&amp;$C102&amp;$D102&amp;$E102&amp;$F102,".","_"),"(","_"),")","")</f>
        <v>dpa1002_2_2</v>
      </c>
      <c r="AM102" t="str">
        <f>M102</f>
        <v>N/A</v>
      </c>
      <c r="AP102" t="str">
        <f>SUBSTITUTE(SUBSTITUTE(SUBSTITUTE("dch"&amp;$B102&amp;$C102&amp;$D102&amp;$E102&amp;$F102,".","_"),"(","_"),")","")</f>
        <v>dch1002_2_2</v>
      </c>
      <c r="AQ102">
        <f>W102</f>
        <v>0</v>
      </c>
      <c r="AR102" t="str">
        <f>SUBSTITUTE(SUBSTITUTE(SUBSTITUTE("dnt"&amp;$B102&amp;$C102&amp;$D102&amp;$E102&amp;$F102,".","_"),"(","_"),")","")</f>
        <v>dnt1002_2_2</v>
      </c>
      <c r="AS102">
        <f>X102</f>
        <v>0</v>
      </c>
    </row>
    <row r="103" spans="2:45" x14ac:dyDescent="0.35">
      <c r="B103" s="452">
        <v>1002.2</v>
      </c>
      <c r="C103" s="13"/>
      <c r="D103" s="13"/>
      <c r="E103" s="13" t="s">
        <v>272</v>
      </c>
      <c r="F103" s="13"/>
      <c r="G103" s="13"/>
      <c r="H103" s="550"/>
      <c r="I103" s="4"/>
      <c r="J103" s="19"/>
      <c r="K103" s="4"/>
      <c r="L103" s="707"/>
      <c r="M103" s="740" t="str">
        <f>IF(R103,"Mandatory","N/A")</f>
        <v>N/A</v>
      </c>
      <c r="N103" s="4"/>
      <c r="O103" s="85"/>
      <c r="X103" s="688"/>
    </row>
    <row r="104" spans="2:45" x14ac:dyDescent="0.35">
      <c r="B104" s="452">
        <v>1002.2</v>
      </c>
      <c r="C104" s="13"/>
      <c r="D104" s="13"/>
      <c r="E104" s="13" t="s">
        <v>272</v>
      </c>
      <c r="F104" s="13"/>
      <c r="G104" s="13"/>
      <c r="H104" s="550"/>
      <c r="I104" s="4"/>
      <c r="J104" s="148"/>
      <c r="K104" s="155"/>
      <c r="L104" s="709"/>
      <c r="M104" s="741" t="str">
        <f>IF(R104,"Mandatory","N/A")</f>
        <v>N/A</v>
      </c>
      <c r="N104" s="4"/>
      <c r="O104" s="85"/>
      <c r="X104" s="688"/>
    </row>
    <row r="105" spans="2:45" x14ac:dyDescent="0.35">
      <c r="B105" s="452">
        <v>1002.2</v>
      </c>
      <c r="C105" s="13"/>
      <c r="D105" s="13"/>
      <c r="E105" s="13" t="s">
        <v>274</v>
      </c>
      <c r="F105" s="13"/>
      <c r="G105" s="13"/>
      <c r="H105" s="550"/>
      <c r="I105" s="4"/>
      <c r="J105" s="154" t="s">
        <v>274</v>
      </c>
      <c r="K105" s="136"/>
      <c r="L105" s="742" t="s">
        <v>3520</v>
      </c>
      <c r="M105" s="85"/>
      <c r="N105" s="4"/>
      <c r="O105" s="85"/>
      <c r="P105" t="b">
        <v>0</v>
      </c>
      <c r="Q105" t="b">
        <v>1</v>
      </c>
      <c r="R105" t="b">
        <v>0</v>
      </c>
      <c r="S105" t="b">
        <f>IF(AY19=INDEX(ddSingleOrMulti,2),TRUE,FALSE)</f>
        <v>0</v>
      </c>
      <c r="T105" t="b">
        <f>AND(NOT(S105),W105=TRUE)</f>
        <v>0</v>
      </c>
      <c r="W105" s="17"/>
      <c r="X105" s="688"/>
      <c r="AC105" t="b">
        <f>OR(AD105:AE105)</f>
        <v>0</v>
      </c>
      <c r="AD105" t="b">
        <f>T105</f>
        <v>0</v>
      </c>
      <c r="AP105" t="str">
        <f>SUBSTITUTE(SUBSTITUTE(SUBSTITUTE("dch"&amp;$B105&amp;$C105&amp;$D105&amp;$E105&amp;$F105,".","_"),"(","_"),")","")</f>
        <v>dch1002_2_3</v>
      </c>
      <c r="AQ105">
        <f>W105</f>
        <v>0</v>
      </c>
      <c r="AR105" t="str">
        <f>SUBSTITUTE(SUBSTITUTE(SUBSTITUTE("dnt"&amp;$B105&amp;$C105&amp;$D105&amp;$E105&amp;$F105,".","_"),"(","_"),")","")</f>
        <v>dnt1002_2_3</v>
      </c>
      <c r="AS105">
        <f>X105</f>
        <v>0</v>
      </c>
    </row>
    <row r="106" spans="2:45" x14ac:dyDescent="0.35">
      <c r="B106" s="452">
        <v>1002.2</v>
      </c>
      <c r="C106" s="13"/>
      <c r="D106" s="13"/>
      <c r="E106" s="13" t="s">
        <v>274</v>
      </c>
      <c r="F106" s="13"/>
      <c r="G106" s="13"/>
      <c r="H106" s="550"/>
      <c r="I106" s="4"/>
      <c r="J106" s="155"/>
      <c r="K106" s="155"/>
      <c r="L106" s="709"/>
      <c r="M106" s="85"/>
      <c r="N106" s="4"/>
      <c r="O106" s="85"/>
      <c r="X106" s="688"/>
    </row>
    <row r="107" spans="2:45" x14ac:dyDescent="0.35">
      <c r="B107" s="452">
        <v>1002.2</v>
      </c>
      <c r="C107" s="13"/>
      <c r="D107" s="13"/>
      <c r="E107" s="13" t="s">
        <v>283</v>
      </c>
      <c r="F107" s="13"/>
      <c r="G107" s="13"/>
      <c r="H107" s="550"/>
      <c r="I107" s="4"/>
      <c r="J107" s="19" t="s">
        <v>283</v>
      </c>
      <c r="K107" s="4"/>
      <c r="L107" s="707" t="s">
        <v>3552</v>
      </c>
      <c r="M107" s="85"/>
      <c r="N107" s="4"/>
      <c r="O107" s="85"/>
      <c r="P107" t="b">
        <v>0</v>
      </c>
      <c r="Q107" t="b">
        <v>1</v>
      </c>
      <c r="R107" t="b">
        <v>0</v>
      </c>
      <c r="S107" t="b">
        <f>IF(AY19=INDEX(ddSingleOrMulti,2),TRUE,FALSE)</f>
        <v>0</v>
      </c>
      <c r="T107" t="b">
        <f>AND(NOT(S107),W107=TRUE)</f>
        <v>0</v>
      </c>
      <c r="W107" s="17"/>
      <c r="X107" s="688"/>
      <c r="AC107" t="b">
        <f>OR(AD107:AE107)</f>
        <v>0</v>
      </c>
      <c r="AD107" t="b">
        <f>T107</f>
        <v>0</v>
      </c>
      <c r="AP107" t="str">
        <f>SUBSTITUTE(SUBSTITUTE(SUBSTITUTE("dch"&amp;$B107&amp;$C107&amp;$D107&amp;$E107&amp;$F107,".","_"),"(","_"),")","")</f>
        <v>dch1002_2_4</v>
      </c>
      <c r="AQ107">
        <f>W107</f>
        <v>0</v>
      </c>
      <c r="AR107" t="str">
        <f>SUBSTITUTE(SUBSTITUTE(SUBSTITUTE("dnt"&amp;$B107&amp;$C107&amp;$D107&amp;$E107&amp;$F107,".","_"),"(","_"),")","")</f>
        <v>dnt1002_2_4</v>
      </c>
      <c r="AS107">
        <f>X107</f>
        <v>0</v>
      </c>
    </row>
    <row r="108" spans="2:45" x14ac:dyDescent="0.35">
      <c r="B108" s="452">
        <v>1002.2</v>
      </c>
      <c r="C108" s="13"/>
      <c r="D108" s="13"/>
      <c r="E108" s="13" t="s">
        <v>283</v>
      </c>
      <c r="F108" s="13"/>
      <c r="G108" s="13"/>
      <c r="H108" s="550"/>
      <c r="I108" s="4"/>
      <c r="J108" s="4"/>
      <c r="K108" s="4"/>
      <c r="L108" s="707"/>
      <c r="M108" s="85"/>
      <c r="N108" s="4"/>
      <c r="O108" s="85"/>
      <c r="X108" s="688"/>
    </row>
    <row r="109" spans="2:45" x14ac:dyDescent="0.35">
      <c r="B109" s="452">
        <v>1002.2</v>
      </c>
      <c r="C109" s="13"/>
      <c r="D109" s="13"/>
      <c r="E109" s="13" t="s">
        <v>283</v>
      </c>
      <c r="F109" s="13"/>
      <c r="G109" s="13"/>
      <c r="H109" s="550"/>
      <c r="I109" s="4"/>
      <c r="J109" s="4"/>
      <c r="K109" s="4"/>
      <c r="L109" s="707"/>
      <c r="M109" s="85"/>
      <c r="N109" s="4"/>
      <c r="O109" s="85"/>
      <c r="X109" s="688"/>
    </row>
    <row r="110" spans="2:45" x14ac:dyDescent="0.35">
      <c r="B110" s="452">
        <v>1002.2</v>
      </c>
      <c r="C110" s="13"/>
      <c r="D110" s="13"/>
      <c r="E110" s="13" t="s">
        <v>289</v>
      </c>
      <c r="F110" s="13"/>
      <c r="G110" s="13"/>
      <c r="H110" s="550"/>
      <c r="I110" s="4"/>
      <c r="J110" s="154" t="s">
        <v>289</v>
      </c>
      <c r="K110" s="136"/>
      <c r="L110" s="742" t="s">
        <v>3553</v>
      </c>
      <c r="M110" s="85"/>
      <c r="N110" s="4"/>
      <c r="O110" s="85"/>
      <c r="P110" t="b">
        <v>0</v>
      </c>
      <c r="Q110" t="b">
        <v>1</v>
      </c>
      <c r="R110" t="b">
        <v>0</v>
      </c>
      <c r="S110" t="b">
        <f>IF(AY19=INDEX(ddSingleOrMulti,2),TRUE,FALSE)</f>
        <v>0</v>
      </c>
      <c r="T110" t="b">
        <f>AND(NOT(S110),W110=TRUE)</f>
        <v>0</v>
      </c>
      <c r="W110" s="17"/>
      <c r="X110" s="688"/>
      <c r="AC110" t="b">
        <f>OR(AD110:AE110)</f>
        <v>0</v>
      </c>
      <c r="AD110" t="b">
        <f>T110</f>
        <v>0</v>
      </c>
      <c r="AP110" t="str">
        <f>SUBSTITUTE(SUBSTITUTE(SUBSTITUTE("dch"&amp;$B110&amp;$C110&amp;$D110&amp;$E110&amp;$F110,".","_"),"(","_"),")","")</f>
        <v>dch1002_2_5</v>
      </c>
      <c r="AQ110">
        <f>W110</f>
        <v>0</v>
      </c>
      <c r="AR110" t="str">
        <f>SUBSTITUTE(SUBSTITUTE(SUBSTITUTE("dnt"&amp;$B110&amp;$C110&amp;$D110&amp;$E110&amp;$F110,".","_"),"(","_"),")","")</f>
        <v>dnt1002_2_5</v>
      </c>
      <c r="AS110">
        <f>X110</f>
        <v>0</v>
      </c>
    </row>
    <row r="111" spans="2:45" x14ac:dyDescent="0.35">
      <c r="B111" s="452">
        <v>1002.2</v>
      </c>
      <c r="C111" s="13"/>
      <c r="D111" s="13"/>
      <c r="E111" s="13" t="s">
        <v>289</v>
      </c>
      <c r="F111" s="13"/>
      <c r="G111" s="13"/>
      <c r="H111" s="550"/>
      <c r="I111" s="4"/>
      <c r="J111" s="148"/>
      <c r="K111" s="155"/>
      <c r="L111" s="709"/>
      <c r="M111" s="85"/>
      <c r="N111" s="4"/>
      <c r="O111" s="85"/>
      <c r="X111" s="688"/>
    </row>
    <row r="112" spans="2:45" x14ac:dyDescent="0.35">
      <c r="B112" s="452">
        <v>1002.2</v>
      </c>
      <c r="C112" s="13"/>
      <c r="D112" s="13"/>
      <c r="E112" s="13" t="s">
        <v>291</v>
      </c>
      <c r="F112" s="13"/>
      <c r="G112" s="13"/>
      <c r="H112" s="550"/>
      <c r="I112" s="4"/>
      <c r="J112" s="19" t="s">
        <v>291</v>
      </c>
      <c r="K112" s="4"/>
      <c r="L112" s="104" t="s">
        <v>3503</v>
      </c>
      <c r="M112" s="85"/>
      <c r="N112" s="4"/>
      <c r="O112" s="85"/>
      <c r="P112" t="b">
        <v>0</v>
      </c>
      <c r="Q112" t="b">
        <v>1</v>
      </c>
      <c r="R112" t="b">
        <v>0</v>
      </c>
      <c r="S112" t="b">
        <f>IF(AY19=INDEX(ddSingleOrMulti,2),TRUE,FALSE)</f>
        <v>0</v>
      </c>
      <c r="T112" t="b">
        <f>AND(NOT(S112),W112=TRUE)</f>
        <v>0</v>
      </c>
      <c r="W112" s="17"/>
      <c r="X112" s="39"/>
      <c r="AC112" t="b">
        <f>OR(AD112:AE112)</f>
        <v>0</v>
      </c>
      <c r="AD112" t="b">
        <f>T112</f>
        <v>0</v>
      </c>
      <c r="AP112" t="str">
        <f t="shared" ref="AP112:AP113" si="11">SUBSTITUTE(SUBSTITUTE(SUBSTITUTE("dch"&amp;$B112&amp;$C112&amp;$D112&amp;$E112&amp;$F112,".","_"),"(","_"),")","")</f>
        <v>dch1002_2_6</v>
      </c>
      <c r="AQ112">
        <f>W112</f>
        <v>0</v>
      </c>
      <c r="AR112" t="str">
        <f>SUBSTITUTE(SUBSTITUTE(SUBSTITUTE("dnt"&amp;$B112&amp;$C112&amp;$D112&amp;$E112&amp;$F112,".","_"),"(","_"),")","")</f>
        <v>dnt1002_2_6</v>
      </c>
      <c r="AS112">
        <f>X112</f>
        <v>0</v>
      </c>
    </row>
    <row r="113" spans="2:45" x14ac:dyDescent="0.35">
      <c r="B113" s="452">
        <v>1002.2</v>
      </c>
      <c r="C113" s="13"/>
      <c r="D113" s="13"/>
      <c r="E113" s="13" t="s">
        <v>403</v>
      </c>
      <c r="F113" s="13"/>
      <c r="G113" s="13"/>
      <c r="H113" s="550"/>
      <c r="I113" s="4"/>
      <c r="J113" s="154" t="s">
        <v>403</v>
      </c>
      <c r="K113" s="136"/>
      <c r="L113" s="742" t="s">
        <v>3554</v>
      </c>
      <c r="M113" s="85"/>
      <c r="N113" s="4"/>
      <c r="O113" s="85"/>
      <c r="P113" t="b">
        <v>0</v>
      </c>
      <c r="Q113" t="b">
        <v>1</v>
      </c>
      <c r="R113" t="b">
        <v>0</v>
      </c>
      <c r="S113" t="b">
        <f>IF(AY19=INDEX(ddSingleOrMulti,2),TRUE,FALSE)</f>
        <v>0</v>
      </c>
      <c r="T113" t="b">
        <f>AND(NOT(S113),W113=TRUE)</f>
        <v>0</v>
      </c>
      <c r="W113" s="17"/>
      <c r="X113" s="688"/>
      <c r="AC113" t="b">
        <f>OR(AD113:AE113)</f>
        <v>0</v>
      </c>
      <c r="AD113" t="b">
        <f>T113</f>
        <v>0</v>
      </c>
      <c r="AP113" t="str">
        <f t="shared" si="11"/>
        <v>dch1002_2_7</v>
      </c>
      <c r="AQ113">
        <f>W113</f>
        <v>0</v>
      </c>
      <c r="AR113" t="str">
        <f>SUBSTITUTE(SUBSTITUTE(SUBSTITUTE("dnt"&amp;$B113&amp;$C113&amp;$D113&amp;$E113&amp;$F113,".","_"),"(","_"),")","")</f>
        <v>dnt1002_2_7</v>
      </c>
      <c r="AS113">
        <f>X113</f>
        <v>0</v>
      </c>
    </row>
    <row r="114" spans="2:45" x14ac:dyDescent="0.35">
      <c r="B114" s="452">
        <v>1002.2</v>
      </c>
      <c r="C114" s="13"/>
      <c r="D114" s="13"/>
      <c r="E114" s="13" t="s">
        <v>403</v>
      </c>
      <c r="F114" s="13"/>
      <c r="G114" s="13"/>
      <c r="H114" s="550"/>
      <c r="I114" s="4"/>
      <c r="J114" s="155"/>
      <c r="K114" s="155"/>
      <c r="L114" s="709"/>
      <c r="M114" s="85"/>
      <c r="N114" s="4"/>
      <c r="O114" s="85"/>
      <c r="X114" s="688"/>
    </row>
    <row r="115" spans="2:45" x14ac:dyDescent="0.35">
      <c r="B115" s="452">
        <v>1002.2</v>
      </c>
      <c r="C115" s="13"/>
      <c r="D115" s="13"/>
      <c r="E115" s="13" t="s">
        <v>453</v>
      </c>
      <c r="F115" s="13"/>
      <c r="G115" s="13"/>
      <c r="H115" s="550"/>
      <c r="I115" s="4"/>
      <c r="J115" s="19" t="s">
        <v>453</v>
      </c>
      <c r="K115" s="4"/>
      <c r="L115" s="723" t="s">
        <v>3518</v>
      </c>
      <c r="M115" s="85"/>
      <c r="N115" s="4"/>
      <c r="O115" s="85"/>
      <c r="P115" t="b">
        <v>0</v>
      </c>
      <c r="Q115" t="b">
        <v>1</v>
      </c>
      <c r="R115" t="b">
        <v>0</v>
      </c>
      <c r="S115" t="b">
        <f>IF(AY19=INDEX(ddSingleOrMulti,2),TRUE,FALSE)</f>
        <v>0</v>
      </c>
      <c r="T115" t="b">
        <f>AND(NOT(S115),W115=TRUE)</f>
        <v>0</v>
      </c>
      <c r="W115" s="17"/>
      <c r="X115" s="688"/>
      <c r="AC115" t="b">
        <f>OR(AD115:AE115)</f>
        <v>0</v>
      </c>
      <c r="AD115" t="b">
        <f>T115</f>
        <v>0</v>
      </c>
      <c r="AP115" t="str">
        <f>SUBSTITUTE(SUBSTITUTE(SUBSTITUTE("dch"&amp;$B115&amp;$C115&amp;$D115&amp;$E115&amp;$F115,".","_"),"(","_"),")","")</f>
        <v>dch1002_2_8</v>
      </c>
      <c r="AQ115">
        <f>W115</f>
        <v>0</v>
      </c>
      <c r="AR115" t="str">
        <f>SUBSTITUTE(SUBSTITUTE(SUBSTITUTE("dnt"&amp;$B115&amp;$C115&amp;$D115&amp;$E115&amp;$F115,".","_"),"(","_"),")","")</f>
        <v>dnt1002_2_8</v>
      </c>
      <c r="AS115">
        <f>X115</f>
        <v>0</v>
      </c>
    </row>
    <row r="116" spans="2:45" x14ac:dyDescent="0.35">
      <c r="B116" s="452">
        <v>1002.2</v>
      </c>
      <c r="C116" s="13"/>
      <c r="D116" s="13"/>
      <c r="E116" s="13" t="s">
        <v>453</v>
      </c>
      <c r="F116" s="13"/>
      <c r="G116" s="13"/>
      <c r="H116" s="550"/>
      <c r="I116" s="4"/>
      <c r="J116" s="19"/>
      <c r="K116" s="4"/>
      <c r="L116" s="723"/>
      <c r="M116" s="85"/>
      <c r="N116" s="4"/>
      <c r="O116" s="85"/>
      <c r="X116" s="688"/>
    </row>
    <row r="117" spans="2:45" x14ac:dyDescent="0.35">
      <c r="B117" s="452">
        <v>1002.2</v>
      </c>
      <c r="C117" s="13"/>
      <c r="D117" s="13"/>
      <c r="E117" s="13" t="s">
        <v>455</v>
      </c>
      <c r="F117" s="13"/>
      <c r="G117" s="13"/>
      <c r="H117" s="550"/>
      <c r="I117" s="4"/>
      <c r="J117" s="154" t="s">
        <v>455</v>
      </c>
      <c r="K117" s="136"/>
      <c r="L117" s="320" t="s">
        <v>3555</v>
      </c>
      <c r="M117" s="85"/>
      <c r="N117" s="4"/>
      <c r="O117" s="85"/>
      <c r="P117" t="b">
        <v>0</v>
      </c>
      <c r="Q117" t="b">
        <v>1</v>
      </c>
      <c r="R117" t="b">
        <v>0</v>
      </c>
      <c r="S117" t="b">
        <f>IF(AY19=INDEX(ddSingleOrMulti,2),TRUE,FALSE)</f>
        <v>0</v>
      </c>
      <c r="T117" t="b">
        <f>AND(NOT(S117),W117=TRUE)</f>
        <v>0</v>
      </c>
      <c r="W117" s="17"/>
      <c r="X117" s="39"/>
      <c r="AC117" t="b">
        <f>OR(AD117:AE117)</f>
        <v>0</v>
      </c>
      <c r="AD117" t="b">
        <f>T117</f>
        <v>0</v>
      </c>
      <c r="AP117" t="str">
        <f t="shared" ref="AP117:AP118" si="12">SUBSTITUTE(SUBSTITUTE(SUBSTITUTE("dch"&amp;$B117&amp;$C117&amp;$D117&amp;$E117&amp;$F117,".","_"),"(","_"),")","")</f>
        <v>dch1002_2_9</v>
      </c>
      <c r="AQ117">
        <f>W117</f>
        <v>0</v>
      </c>
      <c r="AR117" t="str">
        <f>SUBSTITUTE(SUBSTITUTE(SUBSTITUTE("dnt"&amp;$B117&amp;$C117&amp;$D117&amp;$E117&amp;$F117,".","_"),"(","_"),")","")</f>
        <v>dnt1002_2_9</v>
      </c>
      <c r="AS117">
        <f>X117</f>
        <v>0</v>
      </c>
    </row>
    <row r="118" spans="2:45" x14ac:dyDescent="0.35">
      <c r="B118" s="452">
        <v>1002.2</v>
      </c>
      <c r="C118" s="13"/>
      <c r="D118" s="13"/>
      <c r="E118" s="13" t="s">
        <v>457</v>
      </c>
      <c r="F118" s="13"/>
      <c r="G118" s="13"/>
      <c r="H118" s="550"/>
      <c r="I118" s="4"/>
      <c r="J118" s="154" t="s">
        <v>457</v>
      </c>
      <c r="K118" s="136"/>
      <c r="L118" s="742" t="s">
        <v>3556</v>
      </c>
      <c r="M118" s="85"/>
      <c r="N118" s="4"/>
      <c r="O118" s="85"/>
      <c r="P118" t="b">
        <v>0</v>
      </c>
      <c r="Q118" t="b">
        <v>1</v>
      </c>
      <c r="R118" t="b">
        <v>0</v>
      </c>
      <c r="S118" t="b">
        <f>IF(AY19=INDEX(ddSingleOrMulti,2),TRUE,FALSE)</f>
        <v>0</v>
      </c>
      <c r="T118" t="b">
        <f>AND(NOT(S118),W118=TRUE)</f>
        <v>0</v>
      </c>
      <c r="W118" s="17"/>
      <c r="X118" s="688"/>
      <c r="AC118" t="b">
        <f>OR(AD118:AE118)</f>
        <v>0</v>
      </c>
      <c r="AD118" t="b">
        <f>T118</f>
        <v>0</v>
      </c>
      <c r="AP118" t="str">
        <f t="shared" si="12"/>
        <v>dch1002_2_10</v>
      </c>
      <c r="AQ118">
        <f>W118</f>
        <v>0</v>
      </c>
      <c r="AR118" t="str">
        <f>SUBSTITUTE(SUBSTITUTE(SUBSTITUTE("dnt"&amp;$B118&amp;$C118&amp;$D118&amp;$E118&amp;$F118,".","_"),"(","_"),")","")</f>
        <v>dnt1002_2_10</v>
      </c>
      <c r="AS118">
        <f>X118</f>
        <v>0</v>
      </c>
    </row>
    <row r="119" spans="2:45" x14ac:dyDescent="0.35">
      <c r="B119" s="452">
        <v>1002.2</v>
      </c>
      <c r="C119" s="13"/>
      <c r="D119" s="13"/>
      <c r="E119" s="13" t="s">
        <v>457</v>
      </c>
      <c r="F119" s="13"/>
      <c r="G119" s="13"/>
      <c r="H119" s="550"/>
      <c r="I119" s="4"/>
      <c r="J119" s="19"/>
      <c r="K119" s="4"/>
      <c r="L119" s="707"/>
      <c r="M119" s="85"/>
      <c r="N119" s="4"/>
      <c r="O119" s="85"/>
      <c r="X119" s="688"/>
    </row>
    <row r="120" spans="2:45" x14ac:dyDescent="0.35">
      <c r="B120" s="452">
        <v>1002.2</v>
      </c>
      <c r="C120" s="13"/>
      <c r="D120" s="13"/>
      <c r="E120" s="13" t="s">
        <v>457</v>
      </c>
      <c r="F120" s="13"/>
      <c r="G120" s="13"/>
      <c r="H120" s="550"/>
      <c r="I120" s="4"/>
      <c r="J120" s="148"/>
      <c r="K120" s="155"/>
      <c r="L120" s="709"/>
      <c r="M120" s="85"/>
      <c r="N120" s="4"/>
      <c r="O120" s="85"/>
      <c r="X120" s="688"/>
    </row>
    <row r="121" spans="2:45" x14ac:dyDescent="0.35">
      <c r="B121" s="452">
        <v>1002.2</v>
      </c>
      <c r="C121" s="13"/>
      <c r="D121" s="13"/>
      <c r="E121" s="13" t="s">
        <v>459</v>
      </c>
      <c r="F121" s="13"/>
      <c r="G121" s="13"/>
      <c r="H121" s="550"/>
      <c r="I121" s="4"/>
      <c r="J121" s="19" t="s">
        <v>459</v>
      </c>
      <c r="K121" s="4"/>
      <c r="L121" s="723" t="s">
        <v>3557</v>
      </c>
      <c r="M121" s="750" t="str">
        <f ca="1">IF(R121,"Mandatory per 902.2.1","N/A")</f>
        <v>N/A</v>
      </c>
      <c r="N121" s="4"/>
      <c r="O121" s="85"/>
      <c r="P121" t="b">
        <v>0</v>
      </c>
      <c r="Q121" t="b">
        <v>1</v>
      </c>
      <c r="R121" s="1" t="b">
        <f ca="1">AND(S121,OR('Ch9'!O211&gt;0,'Ch9'!R211))</f>
        <v>0</v>
      </c>
      <c r="S121" t="b">
        <f>IF(AY19=INDEX(ddSingleOrMulti,2),TRUE,FALSE)</f>
        <v>0</v>
      </c>
      <c r="T121" t="b">
        <f>AND(NOT(S121),W121=TRUE)</f>
        <v>0</v>
      </c>
      <c r="W121" s="17"/>
      <c r="X121" s="688"/>
      <c r="AC121" t="b">
        <f ca="1">OR(AD121:AE121)</f>
        <v>0</v>
      </c>
      <c r="AD121" t="b">
        <f>T121</f>
        <v>0</v>
      </c>
      <c r="AE121" t="b">
        <f ca="1">AND(R121,NOT(W121=TRUE))</f>
        <v>0</v>
      </c>
      <c r="AP121" t="str">
        <f>SUBSTITUTE(SUBSTITUTE(SUBSTITUTE("dch"&amp;$B121&amp;$C121&amp;$D121&amp;$E121&amp;$F121,".","_"),"(","_"),")","")</f>
        <v>dch1002_2_11</v>
      </c>
      <c r="AQ121">
        <f>W121</f>
        <v>0</v>
      </c>
      <c r="AR121" t="str">
        <f>SUBSTITUTE(SUBSTITUTE(SUBSTITUTE("dnt"&amp;$B121&amp;$C121&amp;$D121&amp;$E121&amp;$F121,".","_"),"(","_"),")","")</f>
        <v>dnt1002_2_11</v>
      </c>
      <c r="AS121">
        <f>X121</f>
        <v>0</v>
      </c>
    </row>
    <row r="122" spans="2:45" ht="15" thickBot="1" x14ac:dyDescent="0.4">
      <c r="B122" s="452">
        <v>1002.2</v>
      </c>
      <c r="C122" s="13"/>
      <c r="D122" s="13"/>
      <c r="E122" s="13" t="s">
        <v>459</v>
      </c>
      <c r="F122" s="13"/>
      <c r="G122" s="13"/>
      <c r="H122" s="550"/>
      <c r="I122" s="183"/>
      <c r="J122" s="133"/>
      <c r="K122" s="183"/>
      <c r="L122" s="762"/>
      <c r="M122" s="803"/>
      <c r="N122" s="183"/>
      <c r="O122" s="184"/>
      <c r="P122" s="58"/>
      <c r="Q122" s="58"/>
      <c r="R122" s="58"/>
      <c r="S122" s="58"/>
      <c r="T122" s="58"/>
      <c r="U122" s="58"/>
      <c r="V122" s="58"/>
      <c r="W122" s="58"/>
      <c r="X122" s="689"/>
    </row>
    <row r="123" spans="2:45" ht="15" thickTop="1" x14ac:dyDescent="0.35">
      <c r="B123" s="452">
        <v>1002.3</v>
      </c>
      <c r="C123" s="13"/>
      <c r="D123" s="13"/>
      <c r="E123" s="13"/>
      <c r="F123" s="13"/>
      <c r="G123" s="13"/>
      <c r="H123" s="550"/>
      <c r="I123" s="33">
        <v>1002.3</v>
      </c>
      <c r="J123" s="4"/>
      <c r="K123" s="4"/>
      <c r="L123" s="706" t="s">
        <v>3592</v>
      </c>
      <c r="M123" s="690">
        <v>1</v>
      </c>
      <c r="N123" s="4"/>
      <c r="O123" s="802">
        <f>IF(AND(W127=TRUE,COUNTIF(W129:W148,TRUE)&gt;3,S127),ROUNDDOWN(COUNTIF(W129:W148,TRUE)/2,0),0)</f>
        <v>0</v>
      </c>
      <c r="AL123" t="str">
        <f>SUBSTITUTE(SUBSTITUTE(SUBSTITUTE("dpa"&amp;$B123&amp;$C123&amp;$D123&amp;$E123&amp;$F123,".","_"),"(","_"),")","")</f>
        <v>dpa1002_3</v>
      </c>
      <c r="AM123">
        <f>M123</f>
        <v>1</v>
      </c>
      <c r="AN123" t="str">
        <f>SUBSTITUTE(SUBSTITUTE(SUBSTITUTE("dpc"&amp;$B123&amp;$C123&amp;$D123&amp;$E123&amp;$F123,".","_"),"(","_"),")","")</f>
        <v>dpc1002_3</v>
      </c>
      <c r="AO123">
        <f>O123</f>
        <v>0</v>
      </c>
    </row>
    <row r="124" spans="2:45" x14ac:dyDescent="0.35">
      <c r="B124" s="452">
        <v>1002.3</v>
      </c>
      <c r="C124" s="13"/>
      <c r="D124" s="13"/>
      <c r="E124" s="13"/>
      <c r="F124" s="13"/>
      <c r="G124" s="13"/>
      <c r="H124" s="550"/>
      <c r="I124" s="4"/>
      <c r="J124" s="4"/>
      <c r="K124" s="4"/>
      <c r="L124" s="706"/>
      <c r="M124" s="690"/>
      <c r="N124" s="4"/>
      <c r="O124" s="802"/>
    </row>
    <row r="125" spans="2:45" x14ac:dyDescent="0.35">
      <c r="B125" s="452">
        <v>1002.3</v>
      </c>
      <c r="C125" s="13"/>
      <c r="D125" s="13"/>
      <c r="E125" s="13"/>
      <c r="F125" s="13"/>
      <c r="G125" s="13"/>
      <c r="H125" s="550"/>
      <c r="I125" s="4"/>
      <c r="J125" s="4"/>
      <c r="K125" s="4"/>
      <c r="L125" s="706"/>
      <c r="M125" s="690"/>
      <c r="N125" s="4"/>
      <c r="O125" s="802"/>
    </row>
    <row r="126" spans="2:45" x14ac:dyDescent="0.35">
      <c r="B126" s="452">
        <v>1002.3</v>
      </c>
      <c r="C126" s="13"/>
      <c r="D126" s="13"/>
      <c r="E126" s="13"/>
      <c r="F126" s="13"/>
      <c r="G126" s="13"/>
      <c r="H126" s="550"/>
      <c r="I126" s="4"/>
      <c r="J126" s="4"/>
      <c r="K126" s="4"/>
      <c r="L126" s="171" t="s">
        <v>3588</v>
      </c>
      <c r="M126" s="690"/>
      <c r="N126" s="4"/>
      <c r="O126" s="802"/>
    </row>
    <row r="127" spans="2:45" x14ac:dyDescent="0.35">
      <c r="B127" s="452">
        <v>1002.3</v>
      </c>
      <c r="C127" s="13"/>
      <c r="D127" s="13"/>
      <c r="E127" s="13" t="s">
        <v>270</v>
      </c>
      <c r="F127" s="13"/>
      <c r="G127" s="13"/>
      <c r="H127" s="550"/>
      <c r="I127" s="4"/>
      <c r="J127" s="19" t="s">
        <v>270</v>
      </c>
      <c r="K127" s="4"/>
      <c r="L127" s="707" t="s">
        <v>3558</v>
      </c>
      <c r="M127" s="740" t="str">
        <f>IF(R127,"Mandatory","N/A")</f>
        <v>N/A</v>
      </c>
      <c r="N127" s="4"/>
      <c r="O127" s="85"/>
      <c r="P127" t="b">
        <v>0</v>
      </c>
      <c r="Q127" t="b">
        <v>1</v>
      </c>
      <c r="R127" t="b">
        <f>S127</f>
        <v>0</v>
      </c>
      <c r="S127" t="b">
        <f>IF(AY19=INDEX(ddSingleOrMulti,2),TRUE,FALSE)</f>
        <v>0</v>
      </c>
      <c r="T127" t="b">
        <f>AND(NOT(S127),W127=TRUE)</f>
        <v>0</v>
      </c>
      <c r="W127" s="17"/>
      <c r="X127" s="688"/>
      <c r="AC127" t="b">
        <f>OR(AD127:AE127)</f>
        <v>0</v>
      </c>
      <c r="AD127" t="b">
        <f>T127</f>
        <v>0</v>
      </c>
      <c r="AE127" t="b">
        <f>AND(R127,O123&lt;1)</f>
        <v>0</v>
      </c>
      <c r="AL127" t="str">
        <f>SUBSTITUTE(SUBSTITUTE(SUBSTITUTE("dpa"&amp;$B127&amp;$C127&amp;$D127&amp;$E127&amp;$F127,".","_"),"(","_"),")","")</f>
        <v>dpa1002_3_1</v>
      </c>
      <c r="AM127" t="str">
        <f>M127</f>
        <v>N/A</v>
      </c>
      <c r="AP127" t="str">
        <f>SUBSTITUTE(SUBSTITUTE(SUBSTITUTE("dch"&amp;$B127&amp;$C127&amp;$D127&amp;$E127&amp;$F127,".","_"),"(","_"),")","")</f>
        <v>dch1002_3_1</v>
      </c>
      <c r="AQ127">
        <f>W127</f>
        <v>0</v>
      </c>
      <c r="AR127" t="str">
        <f>SUBSTITUTE(SUBSTITUTE(SUBSTITUTE("dnt"&amp;$B127&amp;$C127&amp;$D127&amp;$E127&amp;$F127,".","_"),"(","_"),")","")</f>
        <v>dnt1002_3_1</v>
      </c>
      <c r="AS127">
        <f>X127</f>
        <v>0</v>
      </c>
    </row>
    <row r="128" spans="2:45" x14ac:dyDescent="0.35">
      <c r="B128" s="452">
        <v>1002.3</v>
      </c>
      <c r="C128" s="13"/>
      <c r="D128" s="13"/>
      <c r="E128" s="13" t="s">
        <v>270</v>
      </c>
      <c r="F128" s="13"/>
      <c r="G128" s="13"/>
      <c r="H128" s="550"/>
      <c r="I128" s="4"/>
      <c r="J128" s="148"/>
      <c r="K128" s="155"/>
      <c r="L128" s="709"/>
      <c r="M128" s="741" t="str">
        <f>IF(R128,"Mandatory","N/A")</f>
        <v>N/A</v>
      </c>
      <c r="N128" s="4"/>
      <c r="O128" s="85"/>
      <c r="X128" s="688"/>
    </row>
    <row r="129" spans="2:45" x14ac:dyDescent="0.35">
      <c r="B129" s="452">
        <v>1002.3</v>
      </c>
      <c r="C129" s="13"/>
      <c r="D129" s="13"/>
      <c r="E129" s="13" t="s">
        <v>272</v>
      </c>
      <c r="F129" s="13"/>
      <c r="G129" s="13"/>
      <c r="H129" s="550"/>
      <c r="I129" s="4"/>
      <c r="J129" s="154" t="s">
        <v>272</v>
      </c>
      <c r="K129" s="136"/>
      <c r="L129" s="742" t="s">
        <v>3510</v>
      </c>
      <c r="M129" s="85"/>
      <c r="N129" s="4"/>
      <c r="O129" s="85"/>
      <c r="P129" t="b">
        <v>0</v>
      </c>
      <c r="Q129" t="b">
        <v>1</v>
      </c>
      <c r="R129" t="b">
        <v>0</v>
      </c>
      <c r="S129" t="b">
        <f>IF(AY19=INDEX(ddSingleOrMulti,2),TRUE,FALSE)</f>
        <v>0</v>
      </c>
      <c r="T129" t="b">
        <f>AND(NOT(S129),W129=TRUE)</f>
        <v>0</v>
      </c>
      <c r="W129" s="17"/>
      <c r="X129" s="688"/>
      <c r="AC129" t="b">
        <f>OR(AD129:AE129)</f>
        <v>0</v>
      </c>
      <c r="AD129" t="b">
        <f>T129</f>
        <v>0</v>
      </c>
      <c r="AP129" t="str">
        <f>SUBSTITUTE(SUBSTITUTE(SUBSTITUTE("dch"&amp;$B129&amp;$C129&amp;$D129&amp;$E129&amp;$F129,".","_"),"(","_"),")","")</f>
        <v>dch1002_3_2</v>
      </c>
      <c r="AQ129">
        <f>W129</f>
        <v>0</v>
      </c>
      <c r="AR129" t="str">
        <f>SUBSTITUTE(SUBSTITUTE(SUBSTITUTE("dnt"&amp;$B129&amp;$C129&amp;$D129&amp;$E129&amp;$F129,".","_"),"(","_"),")","")</f>
        <v>dnt1002_3_2</v>
      </c>
      <c r="AS129">
        <f>X129</f>
        <v>0</v>
      </c>
    </row>
    <row r="130" spans="2:45" x14ac:dyDescent="0.35">
      <c r="B130" s="452">
        <v>1002.3</v>
      </c>
      <c r="C130" s="13"/>
      <c r="D130" s="13"/>
      <c r="E130" s="13" t="s">
        <v>272</v>
      </c>
      <c r="F130" s="13"/>
      <c r="G130" s="13"/>
      <c r="H130" s="550"/>
      <c r="I130" s="4"/>
      <c r="J130" s="4"/>
      <c r="K130" s="4"/>
      <c r="L130" s="707"/>
      <c r="M130" s="85"/>
      <c r="N130" s="4"/>
      <c r="O130" s="85"/>
      <c r="X130" s="688"/>
    </row>
    <row r="131" spans="2:45" x14ac:dyDescent="0.35">
      <c r="B131" s="452">
        <v>1002.3</v>
      </c>
      <c r="C131" s="13"/>
      <c r="D131" s="13"/>
      <c r="E131" s="13" t="s">
        <v>272</v>
      </c>
      <c r="F131" s="13"/>
      <c r="G131" s="13"/>
      <c r="H131" s="550"/>
      <c r="I131" s="4"/>
      <c r="J131" s="4"/>
      <c r="K131" s="4"/>
      <c r="L131" s="707"/>
      <c r="M131" s="85"/>
      <c r="N131" s="4"/>
      <c r="O131" s="85"/>
      <c r="X131" s="688"/>
    </row>
    <row r="132" spans="2:45" x14ac:dyDescent="0.35">
      <c r="B132" s="452">
        <v>1002.3</v>
      </c>
      <c r="C132" s="13"/>
      <c r="D132" s="13"/>
      <c r="E132" s="13" t="s">
        <v>272</v>
      </c>
      <c r="F132" s="13"/>
      <c r="G132" s="13"/>
      <c r="H132" s="550"/>
      <c r="I132" s="4"/>
      <c r="J132" s="155"/>
      <c r="K132" s="155"/>
      <c r="L132" s="709"/>
      <c r="M132" s="85"/>
      <c r="N132" s="4"/>
      <c r="O132" s="85"/>
      <c r="X132" s="688"/>
    </row>
    <row r="133" spans="2:45" x14ac:dyDescent="0.35">
      <c r="B133" s="452">
        <v>1002.3</v>
      </c>
      <c r="C133" s="13"/>
      <c r="D133" s="13"/>
      <c r="E133" s="13" t="s">
        <v>274</v>
      </c>
      <c r="F133" s="13"/>
      <c r="G133" s="13"/>
      <c r="H133" s="550"/>
      <c r="I133" s="4"/>
      <c r="J133" s="154" t="s">
        <v>274</v>
      </c>
      <c r="K133" s="136"/>
      <c r="L133" s="190" t="s">
        <v>3559</v>
      </c>
      <c r="M133" s="85"/>
      <c r="N133" s="4"/>
      <c r="O133" s="85"/>
      <c r="P133" t="b">
        <v>0</v>
      </c>
      <c r="Q133" t="b">
        <v>1</v>
      </c>
      <c r="R133" t="b">
        <v>0</v>
      </c>
      <c r="S133" t="b">
        <f>IF(AY19=INDEX(ddSingleOrMulti,2),TRUE,FALSE)</f>
        <v>0</v>
      </c>
      <c r="T133" t="b">
        <f>AND(NOT(S133),W133=TRUE)</f>
        <v>0</v>
      </c>
      <c r="W133" s="17"/>
      <c r="X133" s="688"/>
      <c r="AC133" t="b">
        <f>OR(AD133:AE133)</f>
        <v>0</v>
      </c>
      <c r="AD133" t="b">
        <f>T133</f>
        <v>0</v>
      </c>
      <c r="AP133" t="str">
        <f>SUBSTITUTE(SUBSTITUTE(SUBSTITUTE("dch"&amp;$B133&amp;$C133&amp;$D133&amp;$E133&amp;$F133,".","_"),"(","_"),")","")</f>
        <v>dch1002_3_3</v>
      </c>
      <c r="AQ133">
        <f>W133</f>
        <v>0</v>
      </c>
      <c r="AR133" t="str">
        <f>SUBSTITUTE(SUBSTITUTE(SUBSTITUTE("dnt"&amp;$B133&amp;$C133&amp;$D133&amp;$E133&amp;$F133,".","_"),"(","_"),")","")</f>
        <v>dnt1002_3_3</v>
      </c>
      <c r="AS133">
        <f>X133</f>
        <v>0</v>
      </c>
    </row>
    <row r="134" spans="2:45" x14ac:dyDescent="0.35">
      <c r="B134" s="452">
        <v>1002.3</v>
      </c>
      <c r="C134" s="13"/>
      <c r="D134" s="13"/>
      <c r="E134" s="13" t="s">
        <v>274</v>
      </c>
      <c r="F134" s="13" t="s">
        <v>121</v>
      </c>
      <c r="G134" s="13"/>
      <c r="H134" s="550"/>
      <c r="I134" s="4"/>
      <c r="J134" s="4"/>
      <c r="K134" s="19" t="s">
        <v>121</v>
      </c>
      <c r="L134" s="169" t="s">
        <v>3560</v>
      </c>
      <c r="M134" s="85"/>
      <c r="N134" s="4"/>
      <c r="O134" s="85"/>
      <c r="X134" s="688"/>
    </row>
    <row r="135" spans="2:45" x14ac:dyDescent="0.35">
      <c r="B135" s="452">
        <v>1002.3</v>
      </c>
      <c r="C135" s="13"/>
      <c r="D135" s="13"/>
      <c r="E135" s="13" t="s">
        <v>274</v>
      </c>
      <c r="F135" s="13" t="s">
        <v>122</v>
      </c>
      <c r="G135" s="13"/>
      <c r="H135" s="550"/>
      <c r="I135" s="4"/>
      <c r="J135" s="4"/>
      <c r="K135" s="19" t="s">
        <v>122</v>
      </c>
      <c r="L135" s="169" t="s">
        <v>3561</v>
      </c>
      <c r="M135" s="85"/>
      <c r="N135" s="4"/>
      <c r="O135" s="85"/>
      <c r="X135" s="688"/>
    </row>
    <row r="136" spans="2:45" x14ac:dyDescent="0.35">
      <c r="B136" s="452">
        <v>1002.3</v>
      </c>
      <c r="C136" s="13"/>
      <c r="D136" s="13"/>
      <c r="E136" s="13" t="s">
        <v>274</v>
      </c>
      <c r="F136" s="13" t="s">
        <v>123</v>
      </c>
      <c r="G136" s="13"/>
      <c r="H136" s="550"/>
      <c r="I136" s="4"/>
      <c r="J136" s="4"/>
      <c r="K136" s="19" t="s">
        <v>123</v>
      </c>
      <c r="L136" s="169" t="s">
        <v>3562</v>
      </c>
      <c r="M136" s="85"/>
      <c r="N136" s="4"/>
      <c r="O136" s="85"/>
      <c r="X136" s="688"/>
    </row>
    <row r="137" spans="2:45" x14ac:dyDescent="0.35">
      <c r="B137" s="452">
        <v>1002.3</v>
      </c>
      <c r="C137" s="13"/>
      <c r="D137" s="13"/>
      <c r="E137" s="13" t="s">
        <v>274</v>
      </c>
      <c r="F137" s="13" t="s">
        <v>420</v>
      </c>
      <c r="G137" s="13"/>
      <c r="H137" s="550"/>
      <c r="I137" s="4"/>
      <c r="J137" s="4"/>
      <c r="K137" s="19" t="s">
        <v>420</v>
      </c>
      <c r="L137" s="169" t="s">
        <v>3563</v>
      </c>
      <c r="M137" s="85"/>
      <c r="N137" s="4"/>
      <c r="O137" s="85"/>
      <c r="X137" s="688"/>
    </row>
    <row r="138" spans="2:45" x14ac:dyDescent="0.35">
      <c r="B138" s="452">
        <v>1002.3</v>
      </c>
      <c r="C138" s="13"/>
      <c r="D138" s="13"/>
      <c r="E138" s="13" t="s">
        <v>274</v>
      </c>
      <c r="F138" s="13" t="s">
        <v>575</v>
      </c>
      <c r="G138" s="13"/>
      <c r="H138" s="550"/>
      <c r="I138" s="4"/>
      <c r="J138" s="4"/>
      <c r="K138" s="19" t="s">
        <v>575</v>
      </c>
      <c r="L138" s="169" t="s">
        <v>3564</v>
      </c>
      <c r="M138" s="85"/>
      <c r="N138" s="4"/>
      <c r="O138" s="85"/>
      <c r="X138" s="688"/>
    </row>
    <row r="139" spans="2:45" x14ac:dyDescent="0.35">
      <c r="B139" s="452">
        <v>1002.3</v>
      </c>
      <c r="C139" s="13"/>
      <c r="D139" s="13"/>
      <c r="E139" s="13" t="s">
        <v>274</v>
      </c>
      <c r="F139" s="13" t="s">
        <v>642</v>
      </c>
      <c r="G139" s="13"/>
      <c r="H139" s="550"/>
      <c r="I139" s="4"/>
      <c r="J139" s="155"/>
      <c r="K139" s="148" t="s">
        <v>642</v>
      </c>
      <c r="L139" s="186" t="s">
        <v>3565</v>
      </c>
      <c r="M139" s="85"/>
      <c r="N139" s="4"/>
      <c r="O139" s="85"/>
      <c r="X139" s="688"/>
    </row>
    <row r="140" spans="2:45" x14ac:dyDescent="0.35">
      <c r="B140" s="452">
        <v>1002.3</v>
      </c>
      <c r="C140" s="13"/>
      <c r="D140" s="13"/>
      <c r="E140" s="13" t="s">
        <v>283</v>
      </c>
      <c r="F140" s="13"/>
      <c r="G140" s="13"/>
      <c r="H140" s="550"/>
      <c r="I140" s="4"/>
      <c r="J140" s="19" t="s">
        <v>283</v>
      </c>
      <c r="K140" s="4"/>
      <c r="L140" s="707" t="s">
        <v>3514</v>
      </c>
      <c r="M140" s="85"/>
      <c r="N140" s="4"/>
      <c r="O140" s="85"/>
      <c r="P140" t="b">
        <v>0</v>
      </c>
      <c r="Q140" t="b">
        <v>1</v>
      </c>
      <c r="R140" t="b">
        <v>0</v>
      </c>
      <c r="S140" t="b">
        <f>IF(AY19=INDEX(ddSingleOrMulti,2),TRUE,FALSE)</f>
        <v>0</v>
      </c>
      <c r="T140" t="b">
        <f>AND(NOT(S140),W140=TRUE)</f>
        <v>0</v>
      </c>
      <c r="W140" s="17"/>
      <c r="X140" s="688"/>
      <c r="AC140" t="b">
        <f>OR(AD140:AE140)</f>
        <v>0</v>
      </c>
      <c r="AD140" t="b">
        <f>T140</f>
        <v>0</v>
      </c>
      <c r="AP140" t="str">
        <f>SUBSTITUTE(SUBSTITUTE(SUBSTITUTE("dch"&amp;$B140&amp;$C140&amp;$D140&amp;$E140&amp;$F140,".","_"),"(","_"),")","")</f>
        <v>dch1002_3_4</v>
      </c>
      <c r="AQ140">
        <f>W140</f>
        <v>0</v>
      </c>
      <c r="AR140" t="str">
        <f>SUBSTITUTE(SUBSTITUTE(SUBSTITUTE("dnt"&amp;$B140&amp;$C140&amp;$D140&amp;$E140&amp;$F140,".","_"),"(","_"),")","")</f>
        <v>dnt1002_3_4</v>
      </c>
      <c r="AS140">
        <f>X140</f>
        <v>0</v>
      </c>
    </row>
    <row r="141" spans="2:45" x14ac:dyDescent="0.35">
      <c r="B141" s="452">
        <v>1002.3</v>
      </c>
      <c r="C141" s="13"/>
      <c r="D141" s="13"/>
      <c r="E141" s="13" t="s">
        <v>283</v>
      </c>
      <c r="F141" s="13"/>
      <c r="G141" s="13"/>
      <c r="H141" s="550"/>
      <c r="I141" s="4"/>
      <c r="J141" s="4"/>
      <c r="K141" s="4"/>
      <c r="L141" s="707"/>
      <c r="M141" s="85"/>
      <c r="N141" s="4"/>
      <c r="O141" s="85"/>
      <c r="X141" s="688"/>
    </row>
    <row r="142" spans="2:45" x14ac:dyDescent="0.35">
      <c r="B142" s="452">
        <v>1002.3</v>
      </c>
      <c r="C142" s="13"/>
      <c r="D142" s="13"/>
      <c r="E142" s="13" t="s">
        <v>289</v>
      </c>
      <c r="F142" s="13"/>
      <c r="G142" s="13"/>
      <c r="H142" s="550"/>
      <c r="I142" s="4"/>
      <c r="J142" s="150" t="s">
        <v>289</v>
      </c>
      <c r="K142" s="187"/>
      <c r="L142" s="188" t="s">
        <v>3516</v>
      </c>
      <c r="M142" s="85"/>
      <c r="N142" s="4"/>
      <c r="O142" s="85"/>
      <c r="P142" t="b">
        <v>0</v>
      </c>
      <c r="Q142" t="b">
        <v>1</v>
      </c>
      <c r="R142" t="b">
        <v>0</v>
      </c>
      <c r="S142" t="b">
        <f>IF(AY19=INDEX(ddSingleOrMulti,2),TRUE,FALSE)</f>
        <v>0</v>
      </c>
      <c r="T142" t="b">
        <f>AND(NOT(S142),W142=TRUE)</f>
        <v>0</v>
      </c>
      <c r="W142" s="17"/>
      <c r="X142" s="39"/>
      <c r="AC142" t="b">
        <f>OR(AD142:AE142)</f>
        <v>0</v>
      </c>
      <c r="AD142" t="b">
        <f>T142</f>
        <v>0</v>
      </c>
      <c r="AP142" t="str">
        <f t="shared" ref="AP142:AP143" si="13">SUBSTITUTE(SUBSTITUTE(SUBSTITUTE("dch"&amp;$B142&amp;$C142&amp;$D142&amp;$E142&amp;$F142,".","_"),"(","_"),")","")</f>
        <v>dch1002_3_5</v>
      </c>
      <c r="AQ142">
        <f>W142</f>
        <v>0</v>
      </c>
      <c r="AR142" t="str">
        <f>SUBSTITUTE(SUBSTITUTE(SUBSTITUTE("dnt"&amp;$B142&amp;$C142&amp;$D142&amp;$E142&amp;$F142,".","_"),"(","_"),")","")</f>
        <v>dnt1002_3_5</v>
      </c>
      <c r="AS142">
        <f>X142</f>
        <v>0</v>
      </c>
    </row>
    <row r="143" spans="2:45" x14ac:dyDescent="0.35">
      <c r="B143" s="452">
        <v>1002.3</v>
      </c>
      <c r="C143" s="13"/>
      <c r="D143" s="13"/>
      <c r="E143" s="13" t="s">
        <v>291</v>
      </c>
      <c r="F143" s="13"/>
      <c r="G143" s="13"/>
      <c r="H143" s="550"/>
      <c r="I143" s="4"/>
      <c r="J143" s="19" t="s">
        <v>291</v>
      </c>
      <c r="K143" s="4"/>
      <c r="L143" s="707" t="s">
        <v>3566</v>
      </c>
      <c r="M143" s="85"/>
      <c r="N143" s="4"/>
      <c r="O143" s="85"/>
      <c r="P143" t="b">
        <v>0</v>
      </c>
      <c r="Q143" t="b">
        <v>1</v>
      </c>
      <c r="R143" t="b">
        <v>0</v>
      </c>
      <c r="S143" t="b">
        <f>IF(AY19=INDEX(ddSingleOrMulti,2),TRUE,FALSE)</f>
        <v>0</v>
      </c>
      <c r="T143" t="b">
        <f>AND(NOT(S143),W143=TRUE)</f>
        <v>0</v>
      </c>
      <c r="W143" s="17"/>
      <c r="X143" s="688"/>
      <c r="AC143" t="b">
        <f>OR(AD143:AE143)</f>
        <v>0</v>
      </c>
      <c r="AD143" t="b">
        <f>T143</f>
        <v>0</v>
      </c>
      <c r="AP143" t="str">
        <f t="shared" si="13"/>
        <v>dch1002_3_6</v>
      </c>
      <c r="AQ143">
        <f>W143</f>
        <v>0</v>
      </c>
      <c r="AR143" t="str">
        <f>SUBSTITUTE(SUBSTITUTE(SUBSTITUTE("dnt"&amp;$B143&amp;$C143&amp;$D143&amp;$E143&amp;$F143,".","_"),"(","_"),")","")</f>
        <v>dnt1002_3_6</v>
      </c>
      <c r="AS143">
        <f>X143</f>
        <v>0</v>
      </c>
    </row>
    <row r="144" spans="2:45" x14ac:dyDescent="0.35">
      <c r="B144" s="452">
        <v>1002.3</v>
      </c>
      <c r="C144" s="13"/>
      <c r="D144" s="13"/>
      <c r="E144" s="13" t="s">
        <v>291</v>
      </c>
      <c r="F144" s="13"/>
      <c r="G144" s="13"/>
      <c r="H144" s="550"/>
      <c r="I144" s="4"/>
      <c r="J144" s="19"/>
      <c r="K144" s="4"/>
      <c r="L144" s="707"/>
      <c r="M144" s="85"/>
      <c r="N144" s="4"/>
      <c r="O144" s="85"/>
      <c r="X144" s="688"/>
    </row>
    <row r="145" spans="2:45" x14ac:dyDescent="0.35">
      <c r="B145" s="452">
        <v>1002.3</v>
      </c>
      <c r="C145" s="13"/>
      <c r="D145" s="13"/>
      <c r="E145" s="13" t="s">
        <v>403</v>
      </c>
      <c r="F145" s="13"/>
      <c r="G145" s="13"/>
      <c r="H145" s="550"/>
      <c r="I145" s="4"/>
      <c r="J145" s="150" t="s">
        <v>403</v>
      </c>
      <c r="K145" s="187"/>
      <c r="L145" s="188" t="s">
        <v>3522</v>
      </c>
      <c r="M145" s="85"/>
      <c r="N145" s="4"/>
      <c r="O145" s="85"/>
      <c r="P145" t="b">
        <v>0</v>
      </c>
      <c r="Q145" t="b">
        <v>1</v>
      </c>
      <c r="R145" t="b">
        <v>0</v>
      </c>
      <c r="S145" t="b">
        <f>IF(AY19=INDEX(ddSingleOrMulti,2),TRUE,FALSE)</f>
        <v>0</v>
      </c>
      <c r="T145" t="b">
        <f>AND(NOT(S145),W145=TRUE)</f>
        <v>0</v>
      </c>
      <c r="W145" s="17"/>
      <c r="X145" s="39"/>
      <c r="AC145" t="b">
        <f>OR(AD145:AE145)</f>
        <v>0</v>
      </c>
      <c r="AD145" t="b">
        <f>T145</f>
        <v>0</v>
      </c>
      <c r="AP145" t="str">
        <f t="shared" ref="AP145:AP149" si="14">SUBSTITUTE(SUBSTITUTE(SUBSTITUTE("dch"&amp;$B145&amp;$C145&amp;$D145&amp;$E145&amp;$F145,".","_"),"(","_"),")","")</f>
        <v>dch1002_3_7</v>
      </c>
      <c r="AQ145">
        <f>W145</f>
        <v>0</v>
      </c>
      <c r="AR145" t="str">
        <f>SUBSTITUTE(SUBSTITUTE(SUBSTITUTE("dnt"&amp;$B145&amp;$C145&amp;$D145&amp;$E145&amp;$F145,".","_"),"(","_"),")","")</f>
        <v>dnt1002_3_7</v>
      </c>
      <c r="AS145">
        <f>X145</f>
        <v>0</v>
      </c>
    </row>
    <row r="146" spans="2:45" x14ac:dyDescent="0.35">
      <c r="B146" s="452">
        <v>1002.3</v>
      </c>
      <c r="C146" s="13"/>
      <c r="D146" s="13"/>
      <c r="E146" s="13" t="s">
        <v>453</v>
      </c>
      <c r="F146" s="13"/>
      <c r="G146" s="13"/>
      <c r="H146" s="550"/>
      <c r="I146" s="4"/>
      <c r="J146" s="19" t="s">
        <v>453</v>
      </c>
      <c r="K146" s="4"/>
      <c r="L146" s="169" t="s">
        <v>3567</v>
      </c>
      <c r="M146" s="85"/>
      <c r="N146" s="4"/>
      <c r="O146" s="85"/>
      <c r="P146" t="b">
        <v>0</v>
      </c>
      <c r="Q146" t="b">
        <v>1</v>
      </c>
      <c r="R146" t="b">
        <v>0</v>
      </c>
      <c r="S146" t="b">
        <f>IF(AY19=INDEX(ddSingleOrMulti,2),TRUE,FALSE)</f>
        <v>0</v>
      </c>
      <c r="T146" t="b">
        <f>AND(NOT(S146),W146=TRUE)</f>
        <v>0</v>
      </c>
      <c r="W146" s="17"/>
      <c r="X146" s="39"/>
      <c r="AC146" t="b">
        <f>OR(AD146:AE146)</f>
        <v>0</v>
      </c>
      <c r="AD146" t="b">
        <f>T146</f>
        <v>0</v>
      </c>
      <c r="AP146" t="str">
        <f t="shared" si="14"/>
        <v>dch1002_3_8</v>
      </c>
      <c r="AQ146">
        <f>W146</f>
        <v>0</v>
      </c>
      <c r="AR146" t="str">
        <f>SUBSTITUTE(SUBSTITUTE(SUBSTITUTE("dnt"&amp;$B146&amp;$C146&amp;$D146&amp;$E146&amp;$F146,".","_"),"(","_"),")","")</f>
        <v>dnt1002_3_8</v>
      </c>
      <c r="AS146">
        <f>X146</f>
        <v>0</v>
      </c>
    </row>
    <row r="147" spans="2:45" x14ac:dyDescent="0.35">
      <c r="B147" s="452">
        <v>1002.3</v>
      </c>
      <c r="C147" s="13"/>
      <c r="D147" s="13"/>
      <c r="E147" s="13" t="s">
        <v>455</v>
      </c>
      <c r="F147" s="13"/>
      <c r="G147" s="13"/>
      <c r="H147" s="550"/>
      <c r="I147" s="4"/>
      <c r="J147" s="150" t="s">
        <v>455</v>
      </c>
      <c r="K147" s="187"/>
      <c r="L147" s="188" t="s">
        <v>3568</v>
      </c>
      <c r="M147" s="85"/>
      <c r="N147" s="4"/>
      <c r="O147" s="85"/>
      <c r="P147" t="b">
        <v>0</v>
      </c>
      <c r="Q147" t="b">
        <v>1</v>
      </c>
      <c r="R147" t="b">
        <v>0</v>
      </c>
      <c r="S147" t="b">
        <f>IF(AY19=INDEX(ddSingleOrMulti,2),TRUE,FALSE)</f>
        <v>0</v>
      </c>
      <c r="T147" t="b">
        <f>AND(NOT(S147),W147=TRUE)</f>
        <v>0</v>
      </c>
      <c r="W147" s="17"/>
      <c r="X147" s="39"/>
      <c r="AC147" t="b">
        <f>OR(AD147:AE147)</f>
        <v>0</v>
      </c>
      <c r="AD147" t="b">
        <f>T147</f>
        <v>0</v>
      </c>
      <c r="AP147" t="str">
        <f t="shared" si="14"/>
        <v>dch1002_3_9</v>
      </c>
      <c r="AQ147">
        <f>W147</f>
        <v>0</v>
      </c>
      <c r="AR147" t="str">
        <f>SUBSTITUTE(SUBSTITUTE(SUBSTITUTE("dnt"&amp;$B147&amp;$C147&amp;$D147&amp;$E147&amp;$F147,".","_"),"(","_"),")","")</f>
        <v>dnt1002_3_9</v>
      </c>
      <c r="AS147">
        <f>X147</f>
        <v>0</v>
      </c>
    </row>
    <row r="148" spans="2:45" ht="15" thickBot="1" x14ac:dyDescent="0.4">
      <c r="B148" s="452">
        <v>1002.3</v>
      </c>
      <c r="C148" s="13"/>
      <c r="D148" s="13"/>
      <c r="E148" s="13" t="s">
        <v>457</v>
      </c>
      <c r="F148" s="13"/>
      <c r="G148" s="13"/>
      <c r="H148" s="550"/>
      <c r="I148" s="183"/>
      <c r="J148" s="133" t="s">
        <v>457</v>
      </c>
      <c r="K148" s="183"/>
      <c r="L148" s="185" t="s">
        <v>3569</v>
      </c>
      <c r="M148" s="184"/>
      <c r="N148" s="183"/>
      <c r="O148" s="184"/>
      <c r="P148" t="b">
        <v>0</v>
      </c>
      <c r="Q148" t="b">
        <v>1</v>
      </c>
      <c r="R148" s="58" t="b">
        <v>0</v>
      </c>
      <c r="S148" s="58" t="b">
        <f>IF(AY19=INDEX(ddSingleOrMulti,2),TRUE,FALSE)</f>
        <v>0</v>
      </c>
      <c r="T148" s="58" t="b">
        <f>AND(NOT(S148),W148=TRUE)</f>
        <v>0</v>
      </c>
      <c r="U148" s="58"/>
      <c r="V148" s="58"/>
      <c r="W148" s="129"/>
      <c r="X148" s="113"/>
      <c r="AC148" t="b">
        <f>OR(AD148:AE148)</f>
        <v>0</v>
      </c>
      <c r="AD148" t="b">
        <f>T148</f>
        <v>0</v>
      </c>
      <c r="AP148" t="str">
        <f t="shared" si="14"/>
        <v>dch1002_3_10</v>
      </c>
      <c r="AQ148">
        <f>W148</f>
        <v>0</v>
      </c>
      <c r="AR148" t="str">
        <f>SUBSTITUTE(SUBSTITUTE(SUBSTITUTE("dnt"&amp;$B148&amp;$C148&amp;$D148&amp;$E148&amp;$F148,".","_"),"(","_"),")","")</f>
        <v>dnt1002_3_10</v>
      </c>
      <c r="AS148">
        <f>X148</f>
        <v>0</v>
      </c>
    </row>
    <row r="149" spans="2:45" ht="15" thickTop="1" x14ac:dyDescent="0.35">
      <c r="B149" s="452">
        <v>1002.4</v>
      </c>
      <c r="C149" s="13"/>
      <c r="D149" s="13"/>
      <c r="E149" s="13"/>
      <c r="F149" s="13"/>
      <c r="G149" s="13"/>
      <c r="H149" s="550"/>
      <c r="I149" s="33">
        <v>1002.4</v>
      </c>
      <c r="J149" s="4"/>
      <c r="K149" s="4"/>
      <c r="L149" s="706" t="s">
        <v>3570</v>
      </c>
      <c r="M149" s="740" t="str">
        <f>IF(R149,"Mandatory","N/A")</f>
        <v>N/A</v>
      </c>
      <c r="N149" s="4"/>
      <c r="O149" s="85"/>
      <c r="P149" t="b">
        <v>0</v>
      </c>
      <c r="Q149" t="b">
        <v>1</v>
      </c>
      <c r="R149" t="b">
        <f>S149</f>
        <v>0</v>
      </c>
      <c r="S149" t="b">
        <f>IF(AY19=INDEX(ddSingleOrMulti,2),TRUE,FALSE)</f>
        <v>0</v>
      </c>
      <c r="T149" t="b">
        <f>AND(NOT(S149),W149=TRUE)</f>
        <v>0</v>
      </c>
      <c r="W149" s="278"/>
      <c r="X149" s="700"/>
      <c r="AC149" t="b">
        <f>OR(AD149:AE149)</f>
        <v>0</v>
      </c>
      <c r="AD149" t="b">
        <f>T149</f>
        <v>0</v>
      </c>
      <c r="AE149" t="b">
        <f>AND(R149,NOT(W149=TRUE))</f>
        <v>0</v>
      </c>
      <c r="AL149" t="str">
        <f>SUBSTITUTE(SUBSTITUTE(SUBSTITUTE("dpa"&amp;$B149&amp;$C149&amp;$D149&amp;$E149&amp;$F149,".","_"),"(","_"),")","")</f>
        <v>dpa1002_4</v>
      </c>
      <c r="AM149" t="str">
        <f>M149</f>
        <v>N/A</v>
      </c>
      <c r="AP149" t="str">
        <f t="shared" si="14"/>
        <v>dch1002_4</v>
      </c>
      <c r="AQ149">
        <f>W149</f>
        <v>0</v>
      </c>
      <c r="AR149" t="str">
        <f>SUBSTITUTE(SUBSTITUTE(SUBSTITUTE("dnt"&amp;$B149&amp;$C149&amp;$D149&amp;$E149&amp;$F149,".","_"),"(","_"),")","")</f>
        <v>dnt1002_4</v>
      </c>
      <c r="AS149">
        <f>X149</f>
        <v>0</v>
      </c>
    </row>
    <row r="150" spans="2:45" x14ac:dyDescent="0.35">
      <c r="B150" s="452">
        <v>1002.4</v>
      </c>
      <c r="C150" s="13"/>
      <c r="D150" s="13"/>
      <c r="E150" s="13"/>
      <c r="F150" s="13"/>
      <c r="G150" s="13"/>
      <c r="H150" s="550"/>
      <c r="I150" s="4"/>
      <c r="J150" s="4"/>
      <c r="K150" s="4"/>
      <c r="L150" s="706"/>
      <c r="M150" s="740" t="str">
        <f>IF(R150,"Mandatory","N/A")</f>
        <v>N/A</v>
      </c>
      <c r="N150" s="4"/>
      <c r="O150" s="85"/>
      <c r="X150" s="688"/>
    </row>
    <row r="151" spans="2:45" x14ac:dyDescent="0.35">
      <c r="B151" s="452">
        <v>1002.4</v>
      </c>
      <c r="C151" s="13"/>
      <c r="D151" s="13"/>
      <c r="E151" s="13"/>
      <c r="F151" s="13"/>
      <c r="G151" s="13"/>
      <c r="H151" s="550"/>
      <c r="I151" s="4"/>
      <c r="J151" s="4"/>
      <c r="K151" s="4"/>
      <c r="L151" s="706"/>
      <c r="M151" s="740" t="str">
        <f>IF(R151,"Mandatory","N/A")</f>
        <v>N/A</v>
      </c>
      <c r="N151" s="4"/>
      <c r="O151" s="85"/>
      <c r="X151" s="688"/>
    </row>
    <row r="152" spans="2:45" x14ac:dyDescent="0.35">
      <c r="B152" s="452">
        <v>1002.4</v>
      </c>
      <c r="C152" s="13"/>
      <c r="D152" s="13"/>
      <c r="E152" s="13"/>
      <c r="F152" s="13"/>
      <c r="G152" s="13"/>
      <c r="H152" s="550"/>
      <c r="I152" s="4"/>
      <c r="J152" s="4"/>
      <c r="K152" s="4"/>
      <c r="L152" s="706"/>
      <c r="M152" s="740" t="str">
        <f>IF(R152,"Mandatory","N/A")</f>
        <v>N/A</v>
      </c>
      <c r="N152" s="4"/>
      <c r="O152" s="85"/>
      <c r="X152" s="688"/>
    </row>
    <row r="153" spans="2:45" x14ac:dyDescent="0.35">
      <c r="B153" s="452">
        <v>1002.4</v>
      </c>
      <c r="C153" s="13"/>
      <c r="D153" s="13"/>
      <c r="E153" s="13"/>
      <c r="F153" s="13"/>
      <c r="G153" s="13"/>
      <c r="H153" s="550"/>
      <c r="I153" s="4"/>
      <c r="J153" s="4"/>
      <c r="K153" s="4"/>
      <c r="L153" s="706"/>
      <c r="M153" s="740" t="str">
        <f>IF(R153,"Mandatory","N/A")</f>
        <v>N/A</v>
      </c>
      <c r="N153" s="4"/>
      <c r="O153" s="85"/>
      <c r="X153" s="688"/>
    </row>
    <row r="154" spans="2:45" x14ac:dyDescent="0.35">
      <c r="B154" s="452">
        <v>1002.4</v>
      </c>
      <c r="C154" s="13"/>
      <c r="D154" s="13"/>
      <c r="E154" s="13" t="s">
        <v>270</v>
      </c>
      <c r="F154" s="13"/>
      <c r="G154" s="13"/>
      <c r="H154" s="550"/>
      <c r="I154" s="4"/>
      <c r="J154" s="19" t="s">
        <v>270</v>
      </c>
      <c r="K154" s="4"/>
      <c r="L154" s="169" t="s">
        <v>3560</v>
      </c>
      <c r="M154" s="85"/>
      <c r="N154" s="4"/>
      <c r="O154" s="85"/>
      <c r="X154" s="688"/>
    </row>
    <row r="155" spans="2:45" x14ac:dyDescent="0.35">
      <c r="B155" s="452">
        <v>1002.4</v>
      </c>
      <c r="C155" s="13"/>
      <c r="D155" s="13"/>
      <c r="E155" s="13" t="s">
        <v>272</v>
      </c>
      <c r="F155" s="13"/>
      <c r="G155" s="13"/>
      <c r="H155" s="550"/>
      <c r="I155" s="4"/>
      <c r="J155" s="19" t="s">
        <v>272</v>
      </c>
      <c r="K155" s="4"/>
      <c r="L155" s="169" t="s">
        <v>3561</v>
      </c>
      <c r="M155" s="85"/>
      <c r="N155" s="4"/>
      <c r="O155" s="85"/>
      <c r="X155" s="688"/>
    </row>
    <row r="156" spans="2:45" x14ac:dyDescent="0.35">
      <c r="B156" s="452">
        <v>1002.4</v>
      </c>
      <c r="C156" s="13"/>
      <c r="D156" s="13"/>
      <c r="E156" s="13" t="s">
        <v>274</v>
      </c>
      <c r="F156" s="13"/>
      <c r="G156" s="13"/>
      <c r="H156" s="550"/>
      <c r="I156" s="4"/>
      <c r="J156" s="19" t="s">
        <v>274</v>
      </c>
      <c r="K156" s="4"/>
      <c r="L156" s="169" t="s">
        <v>3562</v>
      </c>
      <c r="M156" s="85"/>
      <c r="N156" s="4"/>
      <c r="O156" s="85"/>
      <c r="X156" s="688"/>
    </row>
    <row r="157" spans="2:45" x14ac:dyDescent="0.35">
      <c r="B157" s="452">
        <v>1002.4</v>
      </c>
      <c r="C157" s="13"/>
      <c r="D157" s="13"/>
      <c r="E157" s="13" t="s">
        <v>283</v>
      </c>
      <c r="F157" s="13"/>
      <c r="G157" s="13"/>
      <c r="H157" s="550"/>
      <c r="I157" s="4"/>
      <c r="J157" s="19" t="s">
        <v>283</v>
      </c>
      <c r="K157" s="4"/>
      <c r="L157" s="169" t="s">
        <v>3571</v>
      </c>
      <c r="M157" s="85"/>
      <c r="N157" s="4"/>
      <c r="O157" s="85"/>
      <c r="X157" s="688"/>
    </row>
    <row r="158" spans="2:45" x14ac:dyDescent="0.35">
      <c r="B158" s="452">
        <v>1002.4</v>
      </c>
      <c r="C158" s="13"/>
      <c r="D158" s="13"/>
      <c r="E158" s="13" t="s">
        <v>289</v>
      </c>
      <c r="F158" s="13"/>
      <c r="G158" s="13"/>
      <c r="H158" s="550"/>
      <c r="I158" s="4"/>
      <c r="J158" s="19" t="s">
        <v>289</v>
      </c>
      <c r="K158" s="4"/>
      <c r="L158" s="169" t="s">
        <v>3572</v>
      </c>
      <c r="M158" s="85"/>
      <c r="N158" s="4"/>
      <c r="O158" s="85"/>
      <c r="X158" s="688"/>
    </row>
    <row r="159" spans="2:45" x14ac:dyDescent="0.35">
      <c r="B159" s="452">
        <v>1002.4</v>
      </c>
      <c r="C159" s="13"/>
      <c r="D159" s="13"/>
      <c r="E159" s="13" t="s">
        <v>291</v>
      </c>
      <c r="F159" s="13"/>
      <c r="G159" s="13"/>
      <c r="H159" s="550"/>
      <c r="I159" s="4"/>
      <c r="J159" s="19" t="s">
        <v>291</v>
      </c>
      <c r="K159" s="4"/>
      <c r="L159" s="169" t="s">
        <v>3565</v>
      </c>
      <c r="M159" s="85"/>
      <c r="N159" s="4"/>
      <c r="O159" s="85"/>
      <c r="X159" s="688"/>
    </row>
    <row r="160" spans="2:45" x14ac:dyDescent="0.35">
      <c r="B160" s="452">
        <v>1002.4</v>
      </c>
      <c r="C160" s="13"/>
      <c r="D160" s="13"/>
      <c r="E160" s="13" t="s">
        <v>403</v>
      </c>
      <c r="F160" s="13"/>
      <c r="G160" s="13"/>
      <c r="H160" s="550"/>
      <c r="I160" s="4"/>
      <c r="J160" s="19" t="s">
        <v>403</v>
      </c>
      <c r="K160" s="4"/>
      <c r="L160" s="169" t="s">
        <v>3573</v>
      </c>
      <c r="M160" s="85"/>
      <c r="N160" s="4"/>
      <c r="O160" s="85"/>
      <c r="X160" s="688"/>
    </row>
    <row r="161" spans="2:45" ht="18.5" x14ac:dyDescent="0.45">
      <c r="B161" s="452">
        <v>1003</v>
      </c>
      <c r="C161" s="13"/>
      <c r="D161" s="13"/>
      <c r="E161" s="13"/>
      <c r="F161" s="13"/>
      <c r="G161" s="13"/>
      <c r="H161" s="550"/>
      <c r="I161" s="38" t="s">
        <v>3574</v>
      </c>
      <c r="J161" s="15"/>
      <c r="K161" s="15"/>
      <c r="L161" s="173"/>
      <c r="M161" s="340"/>
      <c r="N161" s="344"/>
      <c r="O161" s="340"/>
      <c r="P161" s="15"/>
      <c r="Q161" s="15"/>
      <c r="R161" s="15"/>
      <c r="S161" s="15"/>
      <c r="T161" s="15"/>
      <c r="U161" s="15"/>
      <c r="V161" s="15"/>
      <c r="W161" s="15"/>
      <c r="X161" s="15"/>
    </row>
    <row r="162" spans="2:45" x14ac:dyDescent="0.35">
      <c r="B162" s="452" t="s">
        <v>4357</v>
      </c>
      <c r="C162" s="13"/>
      <c r="D162" s="13"/>
      <c r="E162" s="13"/>
      <c r="F162" s="13"/>
      <c r="G162" s="13"/>
      <c r="H162" s="550"/>
      <c r="I162" s="441" t="s">
        <v>4357</v>
      </c>
      <c r="J162" s="4"/>
      <c r="K162" s="4"/>
      <c r="L162" s="706" t="s">
        <v>3575</v>
      </c>
      <c r="M162" s="85"/>
      <c r="N162" s="4"/>
      <c r="O162" s="85"/>
    </row>
    <row r="163" spans="2:45" x14ac:dyDescent="0.35">
      <c r="B163" s="452" t="s">
        <v>4357</v>
      </c>
      <c r="C163" s="13"/>
      <c r="D163" s="13"/>
      <c r="E163" s="13"/>
      <c r="F163" s="13"/>
      <c r="G163" s="13"/>
      <c r="H163" s="550"/>
      <c r="I163" s="109"/>
      <c r="J163" s="4"/>
      <c r="K163" s="4"/>
      <c r="L163" s="706"/>
      <c r="M163" s="85"/>
      <c r="N163" s="4"/>
      <c r="O163" s="85"/>
    </row>
    <row r="164" spans="2:45" x14ac:dyDescent="0.35">
      <c r="B164" s="452" t="s">
        <v>4357</v>
      </c>
      <c r="C164" s="13"/>
      <c r="D164" s="13"/>
      <c r="E164" s="13"/>
      <c r="F164" s="13"/>
      <c r="G164" s="13"/>
      <c r="H164" s="550"/>
      <c r="I164" s="109"/>
      <c r="J164" s="4"/>
      <c r="K164" s="4"/>
      <c r="L164" s="706"/>
      <c r="M164" s="85"/>
      <c r="N164" s="4"/>
      <c r="O164" s="85"/>
    </row>
    <row r="165" spans="2:45" x14ac:dyDescent="0.35">
      <c r="B165" s="452">
        <v>1003.1</v>
      </c>
      <c r="C165" s="13"/>
      <c r="D165" s="13"/>
      <c r="E165" s="13"/>
      <c r="F165" s="13"/>
      <c r="G165" s="13"/>
      <c r="H165" s="550"/>
      <c r="I165" s="33">
        <v>1003.1</v>
      </c>
      <c r="J165" s="4"/>
      <c r="K165" s="4"/>
      <c r="L165" s="172" t="s">
        <v>3576</v>
      </c>
      <c r="M165" s="43" t="s">
        <v>3577</v>
      </c>
      <c r="N165" s="4"/>
      <c r="O165" s="85">
        <f>MIN(2,COUNTIF(W166:W171,TRUE))</f>
        <v>1</v>
      </c>
      <c r="AL165" t="str">
        <f>SUBSTITUTE(SUBSTITUTE(SUBSTITUTE("dpa"&amp;$B165&amp;$C165&amp;$D165&amp;$E165&amp;$F165,".","_"),"(","_"),")","")</f>
        <v>dpa1003_1</v>
      </c>
      <c r="AM165" t="str">
        <f>M165</f>
        <v>2 Max</v>
      </c>
      <c r="AN165" t="str">
        <f>SUBSTITUTE(SUBSTITUTE(SUBSTITUTE("dpc"&amp;$B165&amp;$C165&amp;$D165&amp;$E165&amp;$F165,".","_"),"(","_"),")","")</f>
        <v>dpc1003_1</v>
      </c>
      <c r="AO165">
        <f>O165</f>
        <v>1</v>
      </c>
    </row>
    <row r="166" spans="2:45" x14ac:dyDescent="0.35">
      <c r="B166" s="452">
        <v>1003.1</v>
      </c>
      <c r="C166" s="13"/>
      <c r="D166" s="13"/>
      <c r="E166" s="13" t="s">
        <v>270</v>
      </c>
      <c r="F166" s="13"/>
      <c r="G166" s="13"/>
      <c r="H166" s="550"/>
      <c r="I166" s="109"/>
      <c r="J166" s="19" t="s">
        <v>270</v>
      </c>
      <c r="K166" s="4"/>
      <c r="L166" s="706" t="s">
        <v>3578</v>
      </c>
      <c r="M166" s="690">
        <v>1</v>
      </c>
      <c r="N166" s="4"/>
      <c r="O166" s="85"/>
      <c r="P166" t="b">
        <v>1</v>
      </c>
      <c r="Q166" t="b">
        <v>0</v>
      </c>
      <c r="R166" t="b">
        <v>0</v>
      </c>
      <c r="S166" t="b">
        <v>1</v>
      </c>
      <c r="T166" t="b">
        <v>0</v>
      </c>
      <c r="W166" s="17"/>
      <c r="X166" s="688"/>
      <c r="AL166" t="str">
        <f>SUBSTITUTE(SUBSTITUTE(SUBSTITUTE("dpa"&amp;$B166&amp;$C166&amp;$D166&amp;$E166&amp;$F166,".","_"),"(","_"),")","")</f>
        <v>dpa1003_1_1</v>
      </c>
      <c r="AM166">
        <f>M166</f>
        <v>1</v>
      </c>
      <c r="AP166" t="str">
        <f>SUBSTITUTE(SUBSTITUTE(SUBSTITUTE("dch"&amp;$B166&amp;$C166&amp;$D166&amp;$E166&amp;$F166,".","_"),"(","_"),")","")</f>
        <v>dch1003_1_1</v>
      </c>
      <c r="AQ166">
        <f>W166</f>
        <v>0</v>
      </c>
      <c r="AR166" t="str">
        <f>SUBSTITUTE(SUBSTITUTE(SUBSTITUTE("dnt"&amp;$B166&amp;$C166&amp;$D166&amp;$E166&amp;$F166,".","_"),"(","_"),")","")</f>
        <v>dnt1003_1_1</v>
      </c>
      <c r="AS166">
        <f>X166</f>
        <v>0</v>
      </c>
    </row>
    <row r="167" spans="2:45" x14ac:dyDescent="0.35">
      <c r="B167" s="452">
        <v>1003.1</v>
      </c>
      <c r="C167" s="13"/>
      <c r="D167" s="13"/>
      <c r="E167" s="13" t="s">
        <v>270</v>
      </c>
      <c r="F167" s="13"/>
      <c r="G167" s="13"/>
      <c r="H167" s="550"/>
      <c r="I167" s="109"/>
      <c r="J167" s="148"/>
      <c r="K167" s="155"/>
      <c r="L167" s="739"/>
      <c r="M167" s="691"/>
      <c r="N167" s="4"/>
      <c r="O167" s="85"/>
      <c r="X167" s="688"/>
    </row>
    <row r="168" spans="2:45" x14ac:dyDescent="0.35">
      <c r="B168" s="452">
        <v>1003.1</v>
      </c>
      <c r="C168" s="13"/>
      <c r="D168" s="13"/>
      <c r="E168" s="13" t="s">
        <v>272</v>
      </c>
      <c r="F168" s="13"/>
      <c r="G168" s="13"/>
      <c r="H168" s="550"/>
      <c r="I168" s="109"/>
      <c r="J168" s="154" t="s">
        <v>272</v>
      </c>
      <c r="K168" s="136"/>
      <c r="L168" s="753" t="s">
        <v>3579</v>
      </c>
      <c r="M168" s="712">
        <v>1</v>
      </c>
      <c r="N168" s="4"/>
      <c r="O168" s="85"/>
      <c r="P168" t="b">
        <v>0</v>
      </c>
      <c r="Q168" t="b">
        <v>1</v>
      </c>
      <c r="R168" t="b">
        <v>0</v>
      </c>
      <c r="S168" t="b">
        <v>1</v>
      </c>
      <c r="T168" t="b">
        <v>0</v>
      </c>
      <c r="W168" s="17"/>
      <c r="X168" s="688"/>
      <c r="AL168" t="str">
        <f>SUBSTITUTE(SUBSTITUTE(SUBSTITUTE("dpa"&amp;$B168&amp;$C168&amp;$D168&amp;$E168&amp;$F168,".","_"),"(","_"),")","")</f>
        <v>dpa1003_1_2</v>
      </c>
      <c r="AM168">
        <f>M168</f>
        <v>1</v>
      </c>
      <c r="AP168" t="str">
        <f>SUBSTITUTE(SUBSTITUTE(SUBSTITUTE("dch"&amp;$B168&amp;$C168&amp;$D168&amp;$E168&amp;$F168,".","_"),"(","_"),")","")</f>
        <v>dch1003_1_2</v>
      </c>
      <c r="AQ168">
        <f>W168</f>
        <v>0</v>
      </c>
      <c r="AR168" t="str">
        <f>SUBSTITUTE(SUBSTITUTE(SUBSTITUTE("dnt"&amp;$B168&amp;$C168&amp;$D168&amp;$E168&amp;$F168,".","_"),"(","_"),")","")</f>
        <v>dnt1003_1_2</v>
      </c>
      <c r="AS168">
        <f>X168</f>
        <v>0</v>
      </c>
    </row>
    <row r="169" spans="2:45" x14ac:dyDescent="0.35">
      <c r="B169" s="452">
        <v>1003.1</v>
      </c>
      <c r="C169" s="13"/>
      <c r="D169" s="13"/>
      <c r="E169" s="13" t="s">
        <v>272</v>
      </c>
      <c r="F169" s="13"/>
      <c r="G169" s="13"/>
      <c r="H169" s="550"/>
      <c r="I169" s="109"/>
      <c r="J169" s="19"/>
      <c r="K169" s="4"/>
      <c r="L169" s="706"/>
      <c r="M169" s="690"/>
      <c r="N169" s="4"/>
      <c r="O169" s="85"/>
      <c r="X169" s="688"/>
    </row>
    <row r="170" spans="2:45" x14ac:dyDescent="0.35">
      <c r="B170" s="452">
        <v>1003.1</v>
      </c>
      <c r="C170" s="13"/>
      <c r="D170" s="13"/>
      <c r="E170" s="13" t="s">
        <v>272</v>
      </c>
      <c r="F170" s="13"/>
      <c r="G170" s="13"/>
      <c r="H170" s="550"/>
      <c r="I170" s="109"/>
      <c r="J170" s="148"/>
      <c r="K170" s="155"/>
      <c r="L170" s="739"/>
      <c r="M170" s="691"/>
      <c r="N170" s="4"/>
      <c r="O170" s="85"/>
      <c r="X170" s="688"/>
    </row>
    <row r="171" spans="2:45" x14ac:dyDescent="0.35">
      <c r="B171" s="452">
        <v>1003.1</v>
      </c>
      <c r="C171" s="13"/>
      <c r="D171" s="13"/>
      <c r="E171" s="13" t="s">
        <v>274</v>
      </c>
      <c r="F171" s="13"/>
      <c r="G171" s="13"/>
      <c r="H171" s="550"/>
      <c r="I171" s="109"/>
      <c r="J171" s="19" t="s">
        <v>274</v>
      </c>
      <c r="K171" s="4"/>
      <c r="L171" s="706" t="s">
        <v>3580</v>
      </c>
      <c r="M171" s="690">
        <v>1</v>
      </c>
      <c r="N171" s="4"/>
      <c r="O171" s="85"/>
      <c r="P171" t="b">
        <v>1</v>
      </c>
      <c r="Q171" t="b">
        <v>0</v>
      </c>
      <c r="R171" t="b">
        <v>0</v>
      </c>
      <c r="S171" t="b">
        <v>1</v>
      </c>
      <c r="T171" t="b">
        <v>0</v>
      </c>
      <c r="W171" s="17" t="b">
        <v>1</v>
      </c>
      <c r="X171" s="688"/>
      <c r="AL171" t="str">
        <f>SUBSTITUTE(SUBSTITUTE(SUBSTITUTE("dpa"&amp;$B171&amp;$C171&amp;$D171&amp;$E171&amp;$F171,".","_"),"(","_"),")","")</f>
        <v>dpa1003_1_3</v>
      </c>
      <c r="AM171">
        <f>M171</f>
        <v>1</v>
      </c>
      <c r="AP171" t="str">
        <f>SUBSTITUTE(SUBSTITUTE(SUBSTITUTE("dch"&amp;$B171&amp;$C171&amp;$D171&amp;$E171&amp;$F171,".","_"),"(","_"),")","")</f>
        <v>dch1003_1_3</v>
      </c>
      <c r="AQ171" t="b">
        <f>W171</f>
        <v>1</v>
      </c>
      <c r="AR171" t="str">
        <f>SUBSTITUTE(SUBSTITUTE(SUBSTITUTE("dnt"&amp;$B171&amp;$C171&amp;$D171&amp;$E171&amp;$F171,".","_"),"(","_"),")","")</f>
        <v>dnt1003_1_3</v>
      </c>
      <c r="AS171">
        <f>X171</f>
        <v>0</v>
      </c>
    </row>
    <row r="172" spans="2:45" x14ac:dyDescent="0.35">
      <c r="B172" s="452">
        <v>1003.1</v>
      </c>
      <c r="C172" s="13"/>
      <c r="D172" s="13"/>
      <c r="E172" s="13" t="s">
        <v>274</v>
      </c>
      <c r="F172" s="13"/>
      <c r="G172" s="13"/>
      <c r="H172" s="550"/>
      <c r="I172" s="109"/>
      <c r="J172" s="4"/>
      <c r="K172" s="4"/>
      <c r="L172" s="706"/>
      <c r="M172" s="690"/>
      <c r="N172" s="4"/>
      <c r="O172" s="85"/>
      <c r="X172" s="688"/>
    </row>
    <row r="173" spans="2:45" x14ac:dyDescent="0.35">
      <c r="B173" s="452">
        <v>1003.1</v>
      </c>
      <c r="C173" s="13"/>
      <c r="D173" s="13"/>
      <c r="E173" s="13" t="s">
        <v>274</v>
      </c>
      <c r="F173" s="13"/>
      <c r="G173" s="13"/>
      <c r="H173" s="550"/>
      <c r="I173" s="109"/>
      <c r="J173" s="4"/>
      <c r="K173" s="4"/>
      <c r="L173" s="706"/>
      <c r="M173" s="690"/>
      <c r="N173" s="4"/>
      <c r="O173" s="85"/>
      <c r="X173" s="688"/>
    </row>
    <row r="174" spans="2:45" ht="18.5" x14ac:dyDescent="0.45">
      <c r="B174" s="452">
        <v>1004</v>
      </c>
      <c r="C174" s="40"/>
      <c r="D174" s="40"/>
      <c r="E174" s="40"/>
      <c r="F174" s="40"/>
      <c r="G174" s="40"/>
      <c r="H174" s="553"/>
      <c r="I174" s="38" t="s">
        <v>3581</v>
      </c>
      <c r="J174" s="15"/>
      <c r="K174" s="15"/>
      <c r="L174" s="173"/>
      <c r="M174" s="340"/>
      <c r="N174" s="344"/>
      <c r="O174" s="340"/>
      <c r="P174" s="15"/>
      <c r="Q174" s="15"/>
      <c r="R174" s="15"/>
      <c r="S174" s="15"/>
      <c r="T174" s="15"/>
      <c r="U174" s="15"/>
      <c r="V174" s="15"/>
      <c r="W174" s="15"/>
      <c r="X174" s="15"/>
    </row>
    <row r="175" spans="2:45" x14ac:dyDescent="0.35">
      <c r="B175" s="452" t="s">
        <v>4358</v>
      </c>
      <c r="C175" s="13"/>
      <c r="D175" s="13"/>
      <c r="E175" s="13"/>
      <c r="F175" s="13"/>
      <c r="G175" s="13"/>
      <c r="H175" s="550"/>
      <c r="I175" s="441" t="s">
        <v>4358</v>
      </c>
      <c r="J175" s="4"/>
      <c r="K175" s="4"/>
      <c r="L175" s="706" t="s">
        <v>3582</v>
      </c>
      <c r="M175" s="85"/>
      <c r="N175" s="4"/>
      <c r="O175" s="85"/>
    </row>
    <row r="176" spans="2:45" x14ac:dyDescent="0.35">
      <c r="B176" s="452" t="s">
        <v>4358</v>
      </c>
      <c r="C176" s="13"/>
      <c r="D176" s="13"/>
      <c r="E176" s="13"/>
      <c r="F176" s="13"/>
      <c r="G176" s="13"/>
      <c r="H176" s="550"/>
      <c r="I176" s="109"/>
      <c r="J176" s="4"/>
      <c r="K176" s="4"/>
      <c r="L176" s="706"/>
      <c r="M176" s="85"/>
      <c r="N176" s="4"/>
      <c r="O176" s="85"/>
    </row>
    <row r="177" spans="2:45" x14ac:dyDescent="0.35">
      <c r="B177" s="452" t="s">
        <v>4358</v>
      </c>
      <c r="C177" s="13"/>
      <c r="D177" s="13"/>
      <c r="E177" s="13"/>
      <c r="F177" s="13"/>
      <c r="G177" s="13"/>
      <c r="H177" s="550"/>
      <c r="I177" s="109"/>
      <c r="J177" s="4"/>
      <c r="K177" s="4"/>
      <c r="L177" s="706"/>
      <c r="M177" s="85"/>
      <c r="N177" s="4"/>
      <c r="O177" s="85"/>
    </row>
    <row r="178" spans="2:45" x14ac:dyDescent="0.35">
      <c r="B178" s="452" t="s">
        <v>4358</v>
      </c>
      <c r="C178" s="13"/>
      <c r="D178" s="13"/>
      <c r="E178" s="13"/>
      <c r="F178" s="13"/>
      <c r="G178" s="13"/>
      <c r="H178" s="550"/>
      <c r="I178" s="109"/>
      <c r="J178" s="4"/>
      <c r="K178" s="4"/>
      <c r="L178" s="706"/>
      <c r="M178" s="85"/>
      <c r="N178" s="4"/>
      <c r="O178" s="85"/>
    </row>
    <row r="179" spans="2:45" x14ac:dyDescent="0.35">
      <c r="B179" s="452">
        <v>1004.1</v>
      </c>
      <c r="C179" s="13"/>
      <c r="D179" s="13"/>
      <c r="E179" s="13"/>
      <c r="F179" s="13"/>
      <c r="G179" s="13"/>
      <c r="H179" s="550"/>
      <c r="I179" s="33">
        <v>1004.1</v>
      </c>
      <c r="J179" s="4"/>
      <c r="K179" s="4"/>
      <c r="L179" s="706" t="s">
        <v>3583</v>
      </c>
      <c r="M179" s="85"/>
      <c r="N179" s="4"/>
      <c r="O179" s="85"/>
    </row>
    <row r="180" spans="2:45" x14ac:dyDescent="0.35">
      <c r="B180" s="452">
        <v>1004.1</v>
      </c>
      <c r="C180" s="13"/>
      <c r="D180" s="13"/>
      <c r="E180" s="13"/>
      <c r="F180" s="13"/>
      <c r="G180" s="13"/>
      <c r="H180" s="550"/>
      <c r="I180" s="4"/>
      <c r="J180" s="4"/>
      <c r="K180" s="4"/>
      <c r="L180" s="706"/>
      <c r="M180" s="85"/>
      <c r="N180" s="4"/>
      <c r="O180" s="85"/>
    </row>
    <row r="181" spans="2:45" x14ac:dyDescent="0.35">
      <c r="B181" s="452">
        <v>1004.1</v>
      </c>
      <c r="C181" s="13"/>
      <c r="D181" s="13"/>
      <c r="E181" s="13"/>
      <c r="F181" s="13"/>
      <c r="G181" s="13"/>
      <c r="H181" s="550"/>
      <c r="I181" s="4"/>
      <c r="J181" s="4"/>
      <c r="K181" s="4"/>
      <c r="L181" s="706"/>
      <c r="M181" s="85"/>
      <c r="N181" s="4"/>
      <c r="O181" s="85"/>
    </row>
    <row r="182" spans="2:45" x14ac:dyDescent="0.35">
      <c r="B182" s="452">
        <v>1004.1</v>
      </c>
      <c r="C182" s="13"/>
      <c r="D182" s="13"/>
      <c r="E182" s="13"/>
      <c r="F182" s="13"/>
      <c r="G182" s="13"/>
      <c r="H182" s="550"/>
      <c r="I182" s="4"/>
      <c r="J182" s="4"/>
      <c r="K182" s="4"/>
      <c r="L182" s="706"/>
      <c r="M182" s="85"/>
      <c r="N182" s="4"/>
      <c r="O182" s="85"/>
    </row>
    <row r="183" spans="2:45" x14ac:dyDescent="0.35">
      <c r="B183" s="452">
        <v>1004.1</v>
      </c>
      <c r="C183" s="13"/>
      <c r="D183" s="13"/>
      <c r="E183" s="13"/>
      <c r="F183" s="13"/>
      <c r="G183" s="13"/>
      <c r="H183" s="550"/>
      <c r="I183" s="4"/>
      <c r="J183" s="4"/>
      <c r="K183" s="4"/>
      <c r="L183" s="706"/>
      <c r="M183" s="85"/>
      <c r="N183" s="4"/>
      <c r="O183" s="85"/>
    </row>
    <row r="184" spans="2:45" x14ac:dyDescent="0.35">
      <c r="B184" s="452">
        <v>1004.1</v>
      </c>
      <c r="C184" s="13"/>
      <c r="D184" s="13"/>
      <c r="E184" s="13" t="s">
        <v>270</v>
      </c>
      <c r="F184" s="13"/>
      <c r="G184" s="13"/>
      <c r="H184" s="550"/>
      <c r="I184" s="4"/>
      <c r="J184" s="19" t="s">
        <v>270</v>
      </c>
      <c r="K184" s="4"/>
      <c r="L184" s="707" t="s">
        <v>4302</v>
      </c>
      <c r="M184" s="690">
        <v>1</v>
      </c>
      <c r="N184" s="4"/>
      <c r="O184" s="696">
        <f>M184*S184*W184</f>
        <v>0</v>
      </c>
      <c r="P184" t="b">
        <v>0</v>
      </c>
      <c r="Q184" t="b">
        <v>1</v>
      </c>
      <c r="R184" t="b">
        <v>0</v>
      </c>
      <c r="S184" t="b">
        <v>1</v>
      </c>
      <c r="T184" t="b">
        <v>0</v>
      </c>
      <c r="W184" s="17"/>
      <c r="X184" s="688"/>
      <c r="AL184" t="str">
        <f>SUBSTITUTE(SUBSTITUTE(SUBSTITUTE("dpa"&amp;$B184&amp;$C184&amp;$D184&amp;$E184&amp;$F184,".","_"),"(","_"),")","")</f>
        <v>dpa1004_1_1</v>
      </c>
      <c r="AM184">
        <f>M184</f>
        <v>1</v>
      </c>
      <c r="AN184" t="str">
        <f>SUBSTITUTE(SUBSTITUTE(SUBSTITUTE("dpc"&amp;$B184&amp;$C184&amp;$D184&amp;$E184&amp;$F184,".","_"),"(","_"),")","")</f>
        <v>dpc1004_1_1</v>
      </c>
      <c r="AO184">
        <f>O184</f>
        <v>0</v>
      </c>
      <c r="AP184" t="str">
        <f>SUBSTITUTE(SUBSTITUTE(SUBSTITUTE("dch"&amp;$B184&amp;$C184&amp;$D184&amp;$E184&amp;$F184,".","_"),"(","_"),")","")</f>
        <v>dch1004_1_1</v>
      </c>
      <c r="AQ184">
        <f>W184</f>
        <v>0</v>
      </c>
      <c r="AR184" t="str">
        <f>SUBSTITUTE(SUBSTITUTE(SUBSTITUTE("dnt"&amp;$B184&amp;$C184&amp;$D184&amp;$E184&amp;$F184,".","_"),"(","_"),")","")</f>
        <v>dnt1004_1_1</v>
      </c>
      <c r="AS184">
        <f>X184</f>
        <v>0</v>
      </c>
    </row>
    <row r="185" spans="2:45" x14ac:dyDescent="0.35">
      <c r="B185" s="452">
        <v>1004.1</v>
      </c>
      <c r="C185" s="13"/>
      <c r="D185" s="13"/>
      <c r="E185" s="13" t="s">
        <v>270</v>
      </c>
      <c r="F185" s="13"/>
      <c r="G185" s="13"/>
      <c r="H185" s="550"/>
      <c r="I185" s="4"/>
      <c r="J185" s="148"/>
      <c r="K185" s="155"/>
      <c r="L185" s="709"/>
      <c r="M185" s="691"/>
      <c r="N185" s="155"/>
      <c r="O185" s="697"/>
      <c r="X185" s="688"/>
    </row>
    <row r="186" spans="2:45" x14ac:dyDescent="0.35">
      <c r="B186" s="452">
        <v>1004.1</v>
      </c>
      <c r="C186" s="13"/>
      <c r="D186" s="13"/>
      <c r="E186" s="13" t="s">
        <v>272</v>
      </c>
      <c r="F186" s="13"/>
      <c r="G186" s="13"/>
      <c r="H186" s="550"/>
      <c r="I186" s="4"/>
      <c r="J186" s="154" t="s">
        <v>272</v>
      </c>
      <c r="K186" s="136"/>
      <c r="L186" s="742" t="s">
        <v>3585</v>
      </c>
      <c r="M186" s="712">
        <v>3</v>
      </c>
      <c r="N186" s="136"/>
      <c r="O186" s="713">
        <f>M186*S186*W186</f>
        <v>0</v>
      </c>
      <c r="P186" t="b">
        <v>0</v>
      </c>
      <c r="Q186" t="b">
        <v>1</v>
      </c>
      <c r="R186" t="b">
        <v>0</v>
      </c>
      <c r="S186" t="b">
        <v>1</v>
      </c>
      <c r="T186" t="b">
        <v>0</v>
      </c>
      <c r="W186" s="17"/>
      <c r="X186" s="688"/>
      <c r="AL186" t="str">
        <f>SUBSTITUTE(SUBSTITUTE(SUBSTITUTE("dpa"&amp;$B186&amp;$C186&amp;$D186&amp;$E186&amp;$F186,".","_"),"(","_"),")","")</f>
        <v>dpa1004_1_2</v>
      </c>
      <c r="AM186">
        <f>M186</f>
        <v>3</v>
      </c>
      <c r="AN186" t="str">
        <f>SUBSTITUTE(SUBSTITUTE(SUBSTITUTE("dpc"&amp;$B186&amp;$C186&amp;$D186&amp;$E186&amp;$F186,".","_"),"(","_"),")","")</f>
        <v>dpc1004_1_2</v>
      </c>
      <c r="AO186">
        <f>O186</f>
        <v>0</v>
      </c>
      <c r="AP186" t="str">
        <f>SUBSTITUTE(SUBSTITUTE(SUBSTITUTE("dch"&amp;$B186&amp;$C186&amp;$D186&amp;$E186&amp;$F186,".","_"),"(","_"),")","")</f>
        <v>dch1004_1_2</v>
      </c>
      <c r="AQ186">
        <f>W186</f>
        <v>0</v>
      </c>
      <c r="AR186" t="str">
        <f>SUBSTITUTE(SUBSTITUTE(SUBSTITUTE("dnt"&amp;$B186&amp;$C186&amp;$D186&amp;$E186&amp;$F186,".","_"),"(","_"),")","")</f>
        <v>dnt1004_1_2</v>
      </c>
      <c r="AS186">
        <f>X186</f>
        <v>0</v>
      </c>
    </row>
    <row r="187" spans="2:45" ht="15" thickBot="1" x14ac:dyDescent="0.4">
      <c r="B187" s="452">
        <v>1004.1</v>
      </c>
      <c r="C187" s="13"/>
      <c r="D187" s="13"/>
      <c r="E187" s="13" t="s">
        <v>272</v>
      </c>
      <c r="F187" s="13"/>
      <c r="G187" s="13"/>
      <c r="H187" s="550"/>
      <c r="I187" s="4"/>
      <c r="J187" s="155"/>
      <c r="K187" s="155"/>
      <c r="L187" s="709"/>
      <c r="M187" s="691"/>
      <c r="N187" s="155"/>
      <c r="O187" s="697"/>
      <c r="X187" s="688"/>
    </row>
    <row r="188" spans="2:45" ht="15.5" thickTop="1" thickBot="1" x14ac:dyDescent="0.4">
      <c r="H188" s="552"/>
      <c r="I188" s="142" t="s">
        <v>3593</v>
      </c>
      <c r="J188" s="143"/>
      <c r="K188" s="143"/>
      <c r="L188" s="143"/>
      <c r="M188" s="144"/>
      <c r="N188" s="143"/>
      <c r="O188" s="145"/>
      <c r="P188" s="143"/>
      <c r="Q188" s="143"/>
      <c r="R188" s="143"/>
      <c r="S188" s="143"/>
      <c r="T188" s="143"/>
      <c r="U188" s="143"/>
      <c r="V188" s="143"/>
      <c r="W188" s="143"/>
      <c r="X188" s="146"/>
    </row>
    <row r="189" spans="2:45" ht="15" thickTop="1" x14ac:dyDescent="0.35"/>
  </sheetData>
  <sheetProtection algorithmName="SHA-512" hashValue="qiIqD4TW1TQF0mMFU79DHyd4KNTYDd9F8QEKUo7yggsHbKDZsw2XNeoyg1urNf7YpqErXGS0Ss7uI0xuxPOSNQ==" saltValue="kdjYo7CrjLDEOVbIRA1rIg==" spinCount="100000" sheet="1" objects="1" scenarios="1" selectLockedCells="1" autoFilter="0"/>
  <mergeCells count="134">
    <mergeCell ref="H1:H7"/>
    <mergeCell ref="L28:L29"/>
    <mergeCell ref="M28:M29"/>
    <mergeCell ref="O123:O126"/>
    <mergeCell ref="O184:O185"/>
    <mergeCell ref="O186:O187"/>
    <mergeCell ref="M96:M99"/>
    <mergeCell ref="O96:O99"/>
    <mergeCell ref="X171:X173"/>
    <mergeCell ref="X184:X185"/>
    <mergeCell ref="X186:X187"/>
    <mergeCell ref="X94:X95"/>
    <mergeCell ref="M149:M153"/>
    <mergeCell ref="M184:M185"/>
    <mergeCell ref="M186:M187"/>
    <mergeCell ref="M171:M173"/>
    <mergeCell ref="M168:M170"/>
    <mergeCell ref="M166:M167"/>
    <mergeCell ref="M100:M101"/>
    <mergeCell ref="M102:M104"/>
    <mergeCell ref="M127:M128"/>
    <mergeCell ref="M123:M126"/>
    <mergeCell ref="M121:M122"/>
    <mergeCell ref="X81:X83"/>
    <mergeCell ref="X84:X86"/>
    <mergeCell ref="O12:O14"/>
    <mergeCell ref="O78:O80"/>
    <mergeCell ref="X140:X141"/>
    <mergeCell ref="X143:X144"/>
    <mergeCell ref="X149:X160"/>
    <mergeCell ref="X166:X167"/>
    <mergeCell ref="X168:X170"/>
    <mergeCell ref="X118:X120"/>
    <mergeCell ref="X121:X122"/>
    <mergeCell ref="X127:X128"/>
    <mergeCell ref="X129:X132"/>
    <mergeCell ref="X133:X139"/>
    <mergeCell ref="X105:X106"/>
    <mergeCell ref="X107:X109"/>
    <mergeCell ref="X110:X111"/>
    <mergeCell ref="X113:X114"/>
    <mergeCell ref="X115:X116"/>
    <mergeCell ref="X87:X88"/>
    <mergeCell ref="X90:X91"/>
    <mergeCell ref="X100:X101"/>
    <mergeCell ref="X102:X104"/>
    <mergeCell ref="X54:X55"/>
    <mergeCell ref="X56:X57"/>
    <mergeCell ref="X60:X70"/>
    <mergeCell ref="X42:X43"/>
    <mergeCell ref="X44:X45"/>
    <mergeCell ref="X47:X48"/>
    <mergeCell ref="X49:X50"/>
    <mergeCell ref="X52:X53"/>
    <mergeCell ref="X17:X20"/>
    <mergeCell ref="X23:X24"/>
    <mergeCell ref="X25:X26"/>
    <mergeCell ref="X32:X37"/>
    <mergeCell ref="X38:X41"/>
    <mergeCell ref="X28:X29"/>
    <mergeCell ref="M60:M63"/>
    <mergeCell ref="M81:M83"/>
    <mergeCell ref="M84:M86"/>
    <mergeCell ref="M87:M88"/>
    <mergeCell ref="M78:M80"/>
    <mergeCell ref="I6:K7"/>
    <mergeCell ref="L6:L7"/>
    <mergeCell ref="M6:M7"/>
    <mergeCell ref="N6:N7"/>
    <mergeCell ref="L10:L11"/>
    <mergeCell ref="L12:L13"/>
    <mergeCell ref="L23:L24"/>
    <mergeCell ref="L25:L26"/>
    <mergeCell ref="M17:M20"/>
    <mergeCell ref="M12:M14"/>
    <mergeCell ref="L32:L33"/>
    <mergeCell ref="L36:L37"/>
    <mergeCell ref="L38:L41"/>
    <mergeCell ref="L42:L43"/>
    <mergeCell ref="L44:L45"/>
    <mergeCell ref="L49:L50"/>
    <mergeCell ref="L52:L53"/>
    <mergeCell ref="L54:L55"/>
    <mergeCell ref="L56:L57"/>
    <mergeCell ref="P6:P7"/>
    <mergeCell ref="I1:L1"/>
    <mergeCell ref="M1:W5"/>
    <mergeCell ref="I2:L2"/>
    <mergeCell ref="I3:L3"/>
    <mergeCell ref="V6:V7"/>
    <mergeCell ref="W6:W7"/>
    <mergeCell ref="X4:X5"/>
    <mergeCell ref="Q6:Q7"/>
    <mergeCell ref="X6:X7"/>
    <mergeCell ref="R6:R7"/>
    <mergeCell ref="S6:S7"/>
    <mergeCell ref="T6:T7"/>
    <mergeCell ref="U6:U7"/>
    <mergeCell ref="I4:L4"/>
    <mergeCell ref="I5:L5"/>
    <mergeCell ref="L118:L120"/>
    <mergeCell ref="L60:L63"/>
    <mergeCell ref="L72:L77"/>
    <mergeCell ref="L78:L79"/>
    <mergeCell ref="L81:L83"/>
    <mergeCell ref="L84:L86"/>
    <mergeCell ref="L87:L88"/>
    <mergeCell ref="L90:L91"/>
    <mergeCell ref="L94:L95"/>
    <mergeCell ref="L96:L98"/>
    <mergeCell ref="L175:L178"/>
    <mergeCell ref="L179:L183"/>
    <mergeCell ref="L184:L185"/>
    <mergeCell ref="L186:L187"/>
    <mergeCell ref="L17:L20"/>
    <mergeCell ref="L121:L122"/>
    <mergeCell ref="L115:L116"/>
    <mergeCell ref="L47:L48"/>
    <mergeCell ref="L149:L153"/>
    <mergeCell ref="L162:L164"/>
    <mergeCell ref="L166:L167"/>
    <mergeCell ref="L168:L170"/>
    <mergeCell ref="L171:L173"/>
    <mergeCell ref="L123:L125"/>
    <mergeCell ref="L127:L128"/>
    <mergeCell ref="L129:L132"/>
    <mergeCell ref="L100:L101"/>
    <mergeCell ref="L102:L104"/>
    <mergeCell ref="L140:L141"/>
    <mergeCell ref="L143:L144"/>
    <mergeCell ref="L105:L106"/>
    <mergeCell ref="L107:L109"/>
    <mergeCell ref="L110:L111"/>
    <mergeCell ref="L113:L114"/>
  </mergeCells>
  <conditionalFormatting sqref="I1">
    <cfRule type="expression" dxfId="2515" priority="2">
      <formula>$AG$1="Gold"</formula>
    </cfRule>
    <cfRule type="expression" dxfId="2514" priority="3">
      <formula>$AG$1="Silver"</formula>
    </cfRule>
    <cfRule type="expression" dxfId="2513" priority="4">
      <formula>$AG$1="Bronze"</formula>
    </cfRule>
    <cfRule type="expression" dxfId="2512" priority="5">
      <formula>$AG$1="Emerald"</formula>
    </cfRule>
  </conditionalFormatting>
  <conditionalFormatting sqref="O78:O80">
    <cfRule type="cellIs" dxfId="2511" priority="490" operator="greaterThan">
      <formula>0</formula>
    </cfRule>
  </conditionalFormatting>
  <conditionalFormatting sqref="O96:O99">
    <cfRule type="cellIs" dxfId="2510" priority="491" operator="greaterThan">
      <formula>0</formula>
    </cfRule>
  </conditionalFormatting>
  <conditionalFormatting sqref="O123:O126">
    <cfRule type="cellIs" dxfId="2509" priority="492" operator="greaterThan">
      <formula>0</formula>
    </cfRule>
  </conditionalFormatting>
  <conditionalFormatting sqref="W15">
    <cfRule type="expression" dxfId="2508" priority="245">
      <formula>AND($R$15,$S$15)</formula>
    </cfRule>
    <cfRule type="expression" dxfId="2507" priority="244">
      <formula>AND(IF($R$15,$W$15,TRUE),LEN(TRIM($W$15))&gt;0)</formula>
    </cfRule>
    <cfRule type="expression" dxfId="2506" priority="243">
      <formula>$S$15 = FALSE</formula>
    </cfRule>
    <cfRule type="expression" dxfId="2505" priority="242">
      <formula>OR($T$15 = TRUE, AND($W$15 = TRUE, $S$15 = FALSE))</formula>
    </cfRule>
  </conditionalFormatting>
  <conditionalFormatting sqref="W16">
    <cfRule type="expression" dxfId="2504" priority="239">
      <formula>$S$16 = FALSE</formula>
    </cfRule>
    <cfRule type="expression" dxfId="2503" priority="241">
      <formula>AND($R$16,$S$16)</formula>
    </cfRule>
    <cfRule type="expression" dxfId="2502" priority="240">
      <formula>AND(IF($R$16,$W$16,TRUE),LEN(TRIM($W$16))&gt;0)</formula>
    </cfRule>
    <cfRule type="expression" dxfId="2501" priority="238">
      <formula>OR($T$16 = TRUE, AND($W$16 = TRUE, $S$16 = FALSE))</formula>
    </cfRule>
  </conditionalFormatting>
  <conditionalFormatting sqref="W17">
    <cfRule type="expression" dxfId="2500" priority="237">
      <formula>AND($R$17,$S$17)</formula>
    </cfRule>
    <cfRule type="expression" dxfId="2499" priority="236">
      <formula>AND(IF($R$17,$W$17,TRUE),LEN(TRIM($W$17))&gt;0)</formula>
    </cfRule>
    <cfRule type="expression" dxfId="2498" priority="235">
      <formula>$S$17 = FALSE</formula>
    </cfRule>
    <cfRule type="expression" dxfId="2497" priority="234">
      <formula>OR($T$17 = TRUE, AND($W$17 = TRUE, $S$17 = FALSE))</formula>
    </cfRule>
  </conditionalFormatting>
  <conditionalFormatting sqref="W21">
    <cfRule type="expression" dxfId="2496" priority="233">
      <formula>AND($R$21,$S$21)</formula>
    </cfRule>
    <cfRule type="expression" dxfId="2495" priority="232">
      <formula>AND(IF($R$21,$W$21,TRUE),LEN(TRIM($W$21))&gt;0)</formula>
    </cfRule>
    <cfRule type="expression" dxfId="2494" priority="231">
      <formula>$S$21 = FALSE</formula>
    </cfRule>
    <cfRule type="expression" dxfId="2493" priority="230">
      <formula>OR($T$21 = TRUE, AND($W$21 = TRUE, $S$21 = FALSE))</formula>
    </cfRule>
  </conditionalFormatting>
  <conditionalFormatting sqref="W22">
    <cfRule type="expression" dxfId="2492" priority="227">
      <formula>$S$22 = FALSE</formula>
    </cfRule>
    <cfRule type="expression" dxfId="2491" priority="226">
      <formula>OR($T$22 = TRUE, AND($W$22 = TRUE, $S$22 = FALSE))</formula>
    </cfRule>
    <cfRule type="expression" dxfId="2490" priority="229">
      <formula>AND($R$22,$S$22)</formula>
    </cfRule>
    <cfRule type="expression" dxfId="2489" priority="228">
      <formula>AND(IF($R$22,$W$22,TRUE),LEN(TRIM($W$22))&gt;0)</formula>
    </cfRule>
  </conditionalFormatting>
  <conditionalFormatting sqref="W23">
    <cfRule type="expression" dxfId="2488" priority="222">
      <formula>OR($T$23 = TRUE, AND($W$23 = TRUE, $S$23 = FALSE))</formula>
    </cfRule>
    <cfRule type="expression" dxfId="2487" priority="224">
      <formula>AND(IF($R$23,$W$23,TRUE),LEN(TRIM($W$23))&gt;0)</formula>
    </cfRule>
    <cfRule type="expression" dxfId="2486" priority="225">
      <formula>AND($R$23,$S$23)</formula>
    </cfRule>
    <cfRule type="expression" dxfId="2485" priority="223">
      <formula>$S$23 = FALSE</formula>
    </cfRule>
  </conditionalFormatting>
  <conditionalFormatting sqref="W25">
    <cfRule type="expression" dxfId="2484" priority="219">
      <formula>$S$25 = FALSE</formula>
    </cfRule>
    <cfRule type="expression" dxfId="2483" priority="221">
      <formula>AND($R$25,$S$25)</formula>
    </cfRule>
    <cfRule type="expression" dxfId="2482" priority="220">
      <formula>AND(IF($R$25,$W$25,TRUE),LEN(TRIM($W$25))&gt;0)</formula>
    </cfRule>
    <cfRule type="expression" dxfId="2481" priority="218">
      <formula>OR($T$25 = TRUE, AND($W$25 = TRUE, $S$25 = FALSE))</formula>
    </cfRule>
  </conditionalFormatting>
  <conditionalFormatting sqref="W27">
    <cfRule type="expression" dxfId="2480" priority="217">
      <formula>AND($R$27,$S$27)</formula>
    </cfRule>
    <cfRule type="expression" dxfId="2479" priority="216">
      <formula>AND(IF($R$27,$W$27,TRUE),LEN(TRIM($W$27))&gt;0)</formula>
    </cfRule>
    <cfRule type="expression" dxfId="2478" priority="215">
      <formula>$S$27 = FALSE</formula>
    </cfRule>
    <cfRule type="expression" dxfId="2477" priority="214">
      <formula>OR($T$27 = TRUE, AND($W$27 = TRUE, $S$27 = FALSE))</formula>
    </cfRule>
  </conditionalFormatting>
  <conditionalFormatting sqref="W28">
    <cfRule type="expression" dxfId="2476" priority="213">
      <formula>AND($R$28,$S$28)</formula>
    </cfRule>
    <cfRule type="expression" dxfId="2475" priority="212">
      <formula>AND(IF($R$28,$W$28,TRUE),LEN(TRIM($W$28))&gt;0)</formula>
    </cfRule>
    <cfRule type="expression" dxfId="2474" priority="211">
      <formula>$S$28 = FALSE</formula>
    </cfRule>
    <cfRule type="expression" dxfId="2473" priority="210">
      <formula>OR($T$28 = TRUE, AND($W$28 = TRUE, $S$28 = FALSE))</formula>
    </cfRule>
  </conditionalFormatting>
  <conditionalFormatting sqref="W30">
    <cfRule type="expression" dxfId="2472" priority="209">
      <formula>AND($R$30,$S$30)</formula>
    </cfRule>
    <cfRule type="expression" dxfId="2471" priority="208">
      <formula>AND(IF($R$30,$W$30,TRUE),LEN(TRIM($W$30))&gt;0)</formula>
    </cfRule>
    <cfRule type="expression" dxfId="2470" priority="207">
      <formula>$S$30 = FALSE</formula>
    </cfRule>
    <cfRule type="expression" dxfId="2469" priority="206">
      <formula>OR($T$30 = TRUE, AND($W$30 = TRUE, $S$30 = FALSE))</formula>
    </cfRule>
  </conditionalFormatting>
  <conditionalFormatting sqref="W31">
    <cfRule type="expression" dxfId="2468" priority="205">
      <formula>AND($R$31,$S$31)</formula>
    </cfRule>
    <cfRule type="expression" dxfId="2467" priority="204">
      <formula>AND(IF($R$31,$W$31,TRUE),LEN(TRIM($W$31))&gt;0)</formula>
    </cfRule>
    <cfRule type="expression" dxfId="2466" priority="203">
      <formula>$S$31 = FALSE</formula>
    </cfRule>
    <cfRule type="expression" dxfId="2465" priority="202">
      <formula>OR($T$31 = TRUE, AND($W$31 = TRUE, $S$31 = FALSE))</formula>
    </cfRule>
  </conditionalFormatting>
  <conditionalFormatting sqref="W32">
    <cfRule type="expression" dxfId="2464" priority="201">
      <formula>AND($R$32,$S$32)</formula>
    </cfRule>
    <cfRule type="expression" dxfId="2463" priority="200">
      <formula>AND(IF($R$32,$W$32,TRUE),LEN(TRIM($W$32))&gt;0)</formula>
    </cfRule>
    <cfRule type="expression" dxfId="2462" priority="199">
      <formula>$S$32 = FALSE</formula>
    </cfRule>
    <cfRule type="expression" dxfId="2461" priority="198">
      <formula>OR($T$32 = TRUE, AND($W$32 = TRUE, $S$32 = FALSE))</formula>
    </cfRule>
  </conditionalFormatting>
  <conditionalFormatting sqref="W38">
    <cfRule type="expression" dxfId="2460" priority="195">
      <formula>$S$38 = FALSE</formula>
    </cfRule>
    <cfRule type="expression" dxfId="2459" priority="194">
      <formula>OR($T$38 = TRUE, AND($W$38 = TRUE, $S$38 = FALSE))</formula>
    </cfRule>
    <cfRule type="expression" dxfId="2458" priority="197">
      <formula>AND($R$38,$S$38)</formula>
    </cfRule>
    <cfRule type="expression" dxfId="2457" priority="196">
      <formula>AND(IF($R$38,$W$38,TRUE),LEN(TRIM($W$38))&gt;0)</formula>
    </cfRule>
  </conditionalFormatting>
  <conditionalFormatting sqref="W42">
    <cfRule type="expression" dxfId="2456" priority="191">
      <formula>$S$42 = FALSE</formula>
    </cfRule>
    <cfRule type="expression" dxfId="2455" priority="190">
      <formula>OR($T$42 = TRUE, AND($W$42 = TRUE, $S$42 = FALSE))</formula>
    </cfRule>
    <cfRule type="expression" dxfId="2454" priority="193">
      <formula>AND($R$42,$S$42)</formula>
    </cfRule>
    <cfRule type="expression" dxfId="2453" priority="192">
      <formula>AND(IF($R$42,$W$42,TRUE),LEN(TRIM($W$42))&gt;0)</formula>
    </cfRule>
  </conditionalFormatting>
  <conditionalFormatting sqref="W44">
    <cfRule type="expression" dxfId="2452" priority="189">
      <formula>AND($R$44,$S$44)</formula>
    </cfRule>
    <cfRule type="expression" dxfId="2451" priority="188">
      <formula>AND(IF($R$44,$W$44,TRUE),LEN(TRIM($W$44))&gt;0)</formula>
    </cfRule>
    <cfRule type="expression" dxfId="2450" priority="187">
      <formula>$S$44 = FALSE</formula>
    </cfRule>
    <cfRule type="expression" dxfId="2449" priority="186">
      <formula>OR($T$44 = TRUE, AND($W$44 = TRUE, $S$44 = FALSE))</formula>
    </cfRule>
  </conditionalFormatting>
  <conditionalFormatting sqref="W46">
    <cfRule type="expression" dxfId="2448" priority="184">
      <formula>AND(IF($R$46,$W$46,TRUE),LEN(TRIM($W$46))&gt;0)</formula>
    </cfRule>
    <cfRule type="expression" dxfId="2447" priority="185">
      <formula>AND($R$46,$S$46)</formula>
    </cfRule>
    <cfRule type="expression" dxfId="2446" priority="183">
      <formula>$S$46 = FALSE</formula>
    </cfRule>
    <cfRule type="expression" dxfId="2445" priority="182">
      <formula>OR($T$46 = TRUE, AND($W$46 = TRUE, $S$46 = FALSE))</formula>
    </cfRule>
  </conditionalFormatting>
  <conditionalFormatting sqref="W47">
    <cfRule type="expression" dxfId="2444" priority="181">
      <formula>AND($R$47,$S$47)</formula>
    </cfRule>
    <cfRule type="expression" dxfId="2443" priority="180">
      <formula>AND(IF($R$47,$W$47,TRUE),LEN(TRIM($W$47))&gt;0)</formula>
    </cfRule>
    <cfRule type="expression" dxfId="2442" priority="179">
      <formula>$S$47 = FALSE</formula>
    </cfRule>
    <cfRule type="expression" dxfId="2441" priority="178">
      <formula>OR($T$47 = TRUE, AND($W$47 = TRUE, $S$47 = FALSE))</formula>
    </cfRule>
  </conditionalFormatting>
  <conditionalFormatting sqref="W49">
    <cfRule type="expression" dxfId="2440" priority="177">
      <formula>AND($R$49,$S$49)</formula>
    </cfRule>
    <cfRule type="expression" dxfId="2439" priority="176">
      <formula>AND(IF($R$49,$W$49,TRUE),LEN(TRIM($W$49))&gt;0)</formula>
    </cfRule>
    <cfRule type="expression" dxfId="2438" priority="175">
      <formula>$S$49 = FALSE</formula>
    </cfRule>
    <cfRule type="expression" dxfId="2437" priority="174">
      <formula>OR($T$49 = TRUE, AND($W$49 = TRUE, $S$49 = FALSE))</formula>
    </cfRule>
  </conditionalFormatting>
  <conditionalFormatting sqref="W51">
    <cfRule type="expression" dxfId="2436" priority="173">
      <formula>AND($R$51,$S$51)</formula>
    </cfRule>
    <cfRule type="expression" dxfId="2435" priority="172">
      <formula>AND(IF($R$51,$W$51,TRUE),LEN(TRIM($W$51))&gt;0)</formula>
    </cfRule>
    <cfRule type="expression" dxfId="2434" priority="171">
      <formula>$S$51 = FALSE</formula>
    </cfRule>
    <cfRule type="expression" dxfId="2433" priority="170">
      <formula>OR($T$51 = TRUE, AND($W$51 = TRUE, $S$51 = FALSE))</formula>
    </cfRule>
  </conditionalFormatting>
  <conditionalFormatting sqref="W52">
    <cfRule type="expression" dxfId="2432" priority="169">
      <formula>AND($R$52,$S$52)</formula>
    </cfRule>
    <cfRule type="expression" dxfId="2431" priority="168">
      <formula>AND(IF($R$52,$W$52,TRUE),LEN(TRIM($W$52))&gt;0)</formula>
    </cfRule>
    <cfRule type="expression" dxfId="2430" priority="167">
      <formula>$S$52 = FALSE</formula>
    </cfRule>
    <cfRule type="expression" dxfId="2429" priority="166">
      <formula>OR($T$52 = TRUE, AND($W$52 = TRUE, $S$52 = FALSE))</formula>
    </cfRule>
  </conditionalFormatting>
  <conditionalFormatting sqref="W54">
    <cfRule type="expression" dxfId="2428" priority="163">
      <formula>$S$54 = FALSE</formula>
    </cfRule>
    <cfRule type="expression" dxfId="2427" priority="162">
      <formula>OR($T$54 = TRUE, AND($W$54 = TRUE, $S$54 = FALSE))</formula>
    </cfRule>
    <cfRule type="expression" dxfId="2426" priority="165">
      <formula>AND($R$54,$S$54)</formula>
    </cfRule>
    <cfRule type="expression" dxfId="2425" priority="164">
      <formula>AND(IF($R$54,$W$54,TRUE),LEN(TRIM($W$54))&gt;0)</formula>
    </cfRule>
  </conditionalFormatting>
  <conditionalFormatting sqref="W56">
    <cfRule type="expression" dxfId="2424" priority="159">
      <formula>$S$56 = FALSE</formula>
    </cfRule>
    <cfRule type="expression" dxfId="2423" priority="158">
      <formula>OR($T$56 = TRUE, AND($W$56 = TRUE, $S$56 = FALSE))</formula>
    </cfRule>
    <cfRule type="expression" dxfId="2422" priority="161">
      <formula>AND($R$56,$S$56)</formula>
    </cfRule>
    <cfRule type="expression" dxfId="2421" priority="160">
      <formula>AND(IF($R$56,$W$56,TRUE),LEN(TRIM($W$56))&gt;0)</formula>
    </cfRule>
  </conditionalFormatting>
  <conditionalFormatting sqref="W58">
    <cfRule type="expression" dxfId="2420" priority="157">
      <formula>AND($R$58,$S$58)</formula>
    </cfRule>
    <cfRule type="expression" dxfId="2419" priority="156">
      <formula>AND(IF($R$58,$W$58,TRUE),LEN(TRIM($W$58))&gt;0)</formula>
    </cfRule>
    <cfRule type="expression" dxfId="2418" priority="155">
      <formula>$S$58 = FALSE</formula>
    </cfRule>
    <cfRule type="expression" dxfId="2417" priority="154">
      <formula>OR($T$58 = TRUE, AND($W$58 = TRUE, $S$58 = FALSE))</formula>
    </cfRule>
  </conditionalFormatting>
  <conditionalFormatting sqref="W59">
    <cfRule type="expression" dxfId="2416" priority="153">
      <formula>AND($R$59,$S$59)</formula>
    </cfRule>
    <cfRule type="expression" dxfId="2415" priority="152">
      <formula>AND(IF($R$59,$W$59,TRUE),LEN(TRIM($W$59))&gt;0)</formula>
    </cfRule>
    <cfRule type="expression" dxfId="2414" priority="151">
      <formula>$S$59 = FALSE</formula>
    </cfRule>
    <cfRule type="expression" dxfId="2413" priority="150">
      <formula>OR($T$59 = TRUE, AND($W$59 = TRUE, $S$59 = FALSE))</formula>
    </cfRule>
  </conditionalFormatting>
  <conditionalFormatting sqref="W60">
    <cfRule type="expression" dxfId="2412" priority="149">
      <formula>AND($R$60,$S$60)</formula>
    </cfRule>
    <cfRule type="expression" dxfId="2411" priority="148">
      <formula>AND(IF($R$60,$W$60,TRUE),LEN(TRIM($W$60))&gt;0)</formula>
    </cfRule>
    <cfRule type="expression" dxfId="2410" priority="147">
      <formula>$S$60 = FALSE</formula>
    </cfRule>
    <cfRule type="expression" dxfId="2409" priority="146">
      <formula>OR($T$60 = TRUE, AND($W$60 = TRUE, $S$60 = FALSE))</formula>
    </cfRule>
  </conditionalFormatting>
  <conditionalFormatting sqref="W81">
    <cfRule type="expression" dxfId="2408" priority="145">
      <formula>AND($R$81,$S$81)</formula>
    </cfRule>
    <cfRule type="expression" dxfId="2407" priority="144">
      <formula>AND(IF($R$81,$W$81,TRUE),LEN(TRIM($W$81))&gt;0)</formula>
    </cfRule>
    <cfRule type="expression" dxfId="2406" priority="143">
      <formula>$S$81 = FALSE</formula>
    </cfRule>
    <cfRule type="expression" dxfId="2405" priority="142">
      <formula>OR($T$81 = TRUE, AND($W$81 = TRUE, $S$81 = FALSE))</formula>
    </cfRule>
  </conditionalFormatting>
  <conditionalFormatting sqref="W84">
    <cfRule type="expression" dxfId="2404" priority="141">
      <formula>AND($R$84,$S$84)</formula>
    </cfRule>
    <cfRule type="expression" dxfId="2403" priority="140">
      <formula>AND(IF($R$84,$W$84,TRUE),LEN(TRIM($W$84))&gt;0)</formula>
    </cfRule>
    <cfRule type="expression" dxfId="2402" priority="139">
      <formula>$S$84 = FALSE</formula>
    </cfRule>
    <cfRule type="expression" dxfId="2401" priority="138">
      <formula>OR($T$84 = TRUE, AND($W$84 = TRUE, $S$84 = FALSE))</formula>
    </cfRule>
  </conditionalFormatting>
  <conditionalFormatting sqref="W87">
    <cfRule type="expression" dxfId="2400" priority="137">
      <formula>AND($R$87,$S$87)</formula>
    </cfRule>
    <cfRule type="expression" dxfId="2399" priority="136">
      <formula>AND(IF($R$87,$W$87,TRUE),LEN(TRIM($W$87))&gt;0)</formula>
    </cfRule>
    <cfRule type="expression" dxfId="2398" priority="135">
      <formula>$S$87 = FALSE</formula>
    </cfRule>
    <cfRule type="expression" dxfId="2397" priority="134">
      <formula>OR($T$87 = TRUE, AND($W$87 = TRUE, $S$87 = FALSE))</formula>
    </cfRule>
  </conditionalFormatting>
  <conditionalFormatting sqref="W89">
    <cfRule type="expression" dxfId="2396" priority="131">
      <formula>$S$89 = FALSE</formula>
    </cfRule>
    <cfRule type="expression" dxfId="2395" priority="130">
      <formula>OR($T$89 = TRUE, AND($W$89 = TRUE, $S$89 = FALSE))</formula>
    </cfRule>
    <cfRule type="expression" dxfId="2394" priority="133">
      <formula>AND($R$89,$S$89)</formula>
    </cfRule>
    <cfRule type="expression" dxfId="2393" priority="132">
      <formula>AND(IF($R$89,$W$89,TRUE),LEN(TRIM($W$89))&gt;0)</formula>
    </cfRule>
  </conditionalFormatting>
  <conditionalFormatting sqref="W90">
    <cfRule type="expression" dxfId="2392" priority="128">
      <formula>AND(IF($R$90,$W$90,TRUE),LEN(TRIM($W$90))&gt;0)</formula>
    </cfRule>
    <cfRule type="expression" dxfId="2391" priority="129">
      <formula>AND($R$90,$S$90)</formula>
    </cfRule>
    <cfRule type="expression" dxfId="2390" priority="126">
      <formula>OR($T$90 = TRUE, AND($W$90 = TRUE, $S$90 = FALSE))</formula>
    </cfRule>
    <cfRule type="expression" dxfId="2389" priority="127">
      <formula>$S$90 = FALSE</formula>
    </cfRule>
  </conditionalFormatting>
  <conditionalFormatting sqref="W92">
    <cfRule type="expression" dxfId="2388" priority="125">
      <formula>AND($R$92,$S$92)</formula>
    </cfRule>
    <cfRule type="expression" dxfId="2387" priority="124">
      <formula>AND(IF($R$92,$W$92,TRUE),LEN(TRIM($W$92))&gt;0)</formula>
    </cfRule>
    <cfRule type="expression" dxfId="2386" priority="123">
      <formula>$S$92 = FALSE</formula>
    </cfRule>
    <cfRule type="expression" dxfId="2385" priority="122">
      <formula>OR($T$92 = TRUE, AND($W$92 = TRUE, $S$92 = FALSE))</formula>
    </cfRule>
  </conditionalFormatting>
  <conditionalFormatting sqref="W93">
    <cfRule type="expression" dxfId="2384" priority="120">
      <formula>AND(IF($R$93,$W$93,TRUE),LEN(TRIM($W$93))&gt;0)</formula>
    </cfRule>
    <cfRule type="expression" dxfId="2383" priority="121">
      <formula>AND($R$93,$S$93)</formula>
    </cfRule>
    <cfRule type="expression" dxfId="2382" priority="119">
      <formula>$S$93 = FALSE</formula>
    </cfRule>
    <cfRule type="expression" dxfId="2381" priority="118">
      <formula>OR($T$93 = TRUE, AND($W$93 = TRUE, $S$93 = FALSE))</formula>
    </cfRule>
  </conditionalFormatting>
  <conditionalFormatting sqref="W94">
    <cfRule type="expression" dxfId="2380" priority="117">
      <formula>AND($R$94,$S$94)</formula>
    </cfRule>
    <cfRule type="expression" dxfId="2379" priority="116">
      <formula>AND(IF($R$94,$W$94,TRUE),LEN(TRIM($W$94))&gt;0)</formula>
    </cfRule>
    <cfRule type="expression" dxfId="2378" priority="115">
      <formula>$S$94 = FALSE</formula>
    </cfRule>
    <cfRule type="expression" dxfId="2377" priority="114">
      <formula>OR($T$94 = TRUE, AND($W$94 = TRUE, $S$94 = FALSE))</formula>
    </cfRule>
  </conditionalFormatting>
  <conditionalFormatting sqref="W100">
    <cfRule type="expression" dxfId="2376" priority="112">
      <formula>AND(IF($R$100,$W$100,TRUE),LEN(TRIM($W$100))&gt;0)</formula>
    </cfRule>
    <cfRule type="expression" dxfId="2375" priority="113">
      <formula>AND($R$100,$S$100)</formula>
    </cfRule>
    <cfRule type="expression" dxfId="2374" priority="111">
      <formula>$S$100 = FALSE</formula>
    </cfRule>
    <cfRule type="expression" dxfId="2373" priority="110">
      <formula>OR($T$100 = TRUE, AND($W$100 = TRUE, $S$100 = FALSE))</formula>
    </cfRule>
  </conditionalFormatting>
  <conditionalFormatting sqref="W102">
    <cfRule type="expression" dxfId="2372" priority="109">
      <formula>AND($R$102,$S$102)</formula>
    </cfRule>
    <cfRule type="expression" dxfId="2371" priority="108">
      <formula>AND(IF($R$102,$W$102,TRUE),LEN(TRIM($W$102))&gt;0)</formula>
    </cfRule>
    <cfRule type="expression" dxfId="2370" priority="107">
      <formula>$S$102 = FALSE</formula>
    </cfRule>
    <cfRule type="expression" dxfId="2369" priority="106">
      <formula>OR($T$102 = TRUE, AND($W$102 = TRUE, $S$102 = FALSE))</formula>
    </cfRule>
  </conditionalFormatting>
  <conditionalFormatting sqref="W105">
    <cfRule type="expression" dxfId="2368" priority="103">
      <formula>$S$105 = FALSE</formula>
    </cfRule>
    <cfRule type="expression" dxfId="2367" priority="102">
      <formula>OR($T$105 = TRUE, AND($W$105 = TRUE, $S$105 = FALSE))</formula>
    </cfRule>
    <cfRule type="expression" dxfId="2366" priority="105">
      <formula>AND($R$105,$S$105)</formula>
    </cfRule>
    <cfRule type="expression" dxfId="2365" priority="104">
      <formula>AND(IF($R$105,$W$105,TRUE),LEN(TRIM($W$105))&gt;0)</formula>
    </cfRule>
  </conditionalFormatting>
  <conditionalFormatting sqref="W107">
    <cfRule type="expression" dxfId="2364" priority="99">
      <formula>$S$107 = FALSE</formula>
    </cfRule>
    <cfRule type="expression" dxfId="2363" priority="98">
      <formula>OR($T$107 = TRUE, AND($W$107 = TRUE, $S$107 = FALSE))</formula>
    </cfRule>
    <cfRule type="expression" dxfId="2362" priority="101">
      <formula>AND($R$107,$S$107)</formula>
    </cfRule>
    <cfRule type="expression" dxfId="2361" priority="100">
      <formula>AND(IF($R$107,$W$107,TRUE),LEN(TRIM($W$107))&gt;0)</formula>
    </cfRule>
  </conditionalFormatting>
  <conditionalFormatting sqref="W110">
    <cfRule type="expression" dxfId="2360" priority="95">
      <formula>$S$110 = FALSE</formula>
    </cfRule>
    <cfRule type="expression" dxfId="2359" priority="97">
      <formula>AND($R$110,$S$110)</formula>
    </cfRule>
    <cfRule type="expression" dxfId="2358" priority="96">
      <formula>AND(IF($R$110,$W$110,TRUE),LEN(TRIM($W$110))&gt;0)</formula>
    </cfRule>
    <cfRule type="expression" dxfId="2357" priority="94">
      <formula>OR($T$110 = TRUE, AND($W$110 = TRUE, $S$110 = FALSE))</formula>
    </cfRule>
  </conditionalFormatting>
  <conditionalFormatting sqref="W112">
    <cfRule type="expression" dxfId="2356" priority="93">
      <formula>AND($R$112,$S$112)</formula>
    </cfRule>
    <cfRule type="expression" dxfId="2355" priority="92">
      <formula>AND(IF($R$112,$W$112,TRUE),LEN(TRIM($W$112))&gt;0)</formula>
    </cfRule>
    <cfRule type="expression" dxfId="2354" priority="91">
      <formula>$S$112 = FALSE</formula>
    </cfRule>
    <cfRule type="expression" dxfId="2353" priority="90">
      <formula>OR($T$112 = TRUE, AND($W$112 = TRUE, $S$112 = FALSE))</formula>
    </cfRule>
  </conditionalFormatting>
  <conditionalFormatting sqref="W113">
    <cfRule type="expression" dxfId="2352" priority="89">
      <formula>AND($R$113,$S$113)</formula>
    </cfRule>
    <cfRule type="expression" dxfId="2351" priority="88">
      <formula>AND(IF($R$113,$W$113,TRUE),LEN(TRIM($W$113))&gt;0)</formula>
    </cfRule>
    <cfRule type="expression" dxfId="2350" priority="87">
      <formula>$S$113 = FALSE</formula>
    </cfRule>
    <cfRule type="expression" dxfId="2349" priority="86">
      <formula>OR($T$113 = TRUE, AND($W$113 = TRUE, $S$113 = FALSE))</formula>
    </cfRule>
  </conditionalFormatting>
  <conditionalFormatting sqref="W115">
    <cfRule type="expression" dxfId="2348" priority="85">
      <formula>AND($R$115,$S$115)</formula>
    </cfRule>
    <cfRule type="expression" dxfId="2347" priority="84">
      <formula>AND(IF($R$115,$W$115,TRUE),LEN(TRIM($W$115))&gt;0)</formula>
    </cfRule>
    <cfRule type="expression" dxfId="2346" priority="83">
      <formula>$S$115 = FALSE</formula>
    </cfRule>
    <cfRule type="expression" dxfId="2345" priority="82">
      <formula>OR($T$115 = TRUE, AND($W$115 = TRUE, $S$115 = FALSE))</formula>
    </cfRule>
  </conditionalFormatting>
  <conditionalFormatting sqref="W117">
    <cfRule type="expression" dxfId="2344" priority="81">
      <formula>AND($R$117,$S$117)</formula>
    </cfRule>
    <cfRule type="expression" dxfId="2343" priority="80">
      <formula>AND(IF($R$117,$W$117,TRUE),LEN(TRIM($W$117))&gt;0)</formula>
    </cfRule>
    <cfRule type="expression" dxfId="2342" priority="79">
      <formula>$S$117 = FALSE</formula>
    </cfRule>
    <cfRule type="expression" dxfId="2341" priority="78">
      <formula>OR($T$117 = TRUE, AND($W$117 = TRUE, $S$117 = FALSE))</formula>
    </cfRule>
  </conditionalFormatting>
  <conditionalFormatting sqref="W118">
    <cfRule type="expression" dxfId="2340" priority="77">
      <formula>AND($R$118,$S$118)</formula>
    </cfRule>
    <cfRule type="expression" dxfId="2339" priority="76">
      <formula>AND(IF($R$118,$W$118,TRUE),LEN(TRIM($W$118))&gt;0)</formula>
    </cfRule>
    <cfRule type="expression" dxfId="2338" priority="75">
      <formula>$S$118 = FALSE</formula>
    </cfRule>
    <cfRule type="expression" dxfId="2337" priority="74">
      <formula>OR($T$118 = TRUE, AND($W$118 = TRUE, $S$118 = FALSE))</formula>
    </cfRule>
  </conditionalFormatting>
  <conditionalFormatting sqref="W121">
    <cfRule type="expression" dxfId="2336" priority="71">
      <formula>$S$121 = FALSE</formula>
    </cfRule>
    <cfRule type="expression" dxfId="2335" priority="70">
      <formula>OR($T$121 = TRUE, AND($W$121 = TRUE, $S$121 = FALSE))</formula>
    </cfRule>
    <cfRule type="expression" dxfId="2334" priority="73">
      <formula>AND($R$121,$S$121)</formula>
    </cfRule>
    <cfRule type="expression" dxfId="2333" priority="72">
      <formula>AND(IF($R$121,$W$121,TRUE),LEN(TRIM($W$121))&gt;0)</formula>
    </cfRule>
  </conditionalFormatting>
  <conditionalFormatting sqref="W127">
    <cfRule type="expression" dxfId="2332" priority="67">
      <formula>$S$127 = FALSE</formula>
    </cfRule>
    <cfRule type="expression" dxfId="2331" priority="66">
      <formula>OR($T$127 = TRUE, AND($W$127 = TRUE, $S$127 = FALSE))</formula>
    </cfRule>
    <cfRule type="expression" dxfId="2330" priority="69">
      <formula>AND($R$127,$S$127)</formula>
    </cfRule>
    <cfRule type="expression" dxfId="2329" priority="68">
      <formula>AND(IF($R$127,$W$127,TRUE),LEN(TRIM($W$127))&gt;0)</formula>
    </cfRule>
  </conditionalFormatting>
  <conditionalFormatting sqref="W129">
    <cfRule type="expression" dxfId="2328" priority="63">
      <formula>$S$129 = FALSE</formula>
    </cfRule>
    <cfRule type="expression" dxfId="2327" priority="65">
      <formula>AND($R$129,$S$129)</formula>
    </cfRule>
    <cfRule type="expression" dxfId="2326" priority="64">
      <formula>AND(IF($R$129,$W$129,TRUE),LEN(TRIM($W$129))&gt;0)</formula>
    </cfRule>
    <cfRule type="expression" dxfId="2325" priority="62">
      <formula>OR($T$129 = TRUE, AND($W$129 = TRUE, $S$129 = FALSE))</formula>
    </cfRule>
  </conditionalFormatting>
  <conditionalFormatting sqref="W133">
    <cfRule type="expression" dxfId="2324" priority="60">
      <formula>AND(IF($R$133,$W$133,TRUE),LEN(TRIM($W$133))&gt;0)</formula>
    </cfRule>
    <cfRule type="expression" dxfId="2323" priority="61">
      <formula>AND($R$133,$S$133)</formula>
    </cfRule>
    <cfRule type="expression" dxfId="2322" priority="59">
      <formula>$S$133 = FALSE</formula>
    </cfRule>
    <cfRule type="expression" dxfId="2321" priority="58">
      <formula>OR($T$133 = TRUE, AND($W$133 = TRUE, $S$133 = FALSE))</formula>
    </cfRule>
  </conditionalFormatting>
  <conditionalFormatting sqref="W140">
    <cfRule type="expression" dxfId="2320" priority="57">
      <formula>AND($R$140,$S$140)</formula>
    </cfRule>
    <cfRule type="expression" dxfId="2319" priority="56">
      <formula>AND(IF($R$140,$W$140,TRUE),LEN(TRIM($W$140))&gt;0)</formula>
    </cfRule>
    <cfRule type="expression" dxfId="2318" priority="55">
      <formula>$S$140 = FALSE</formula>
    </cfRule>
    <cfRule type="expression" dxfId="2317" priority="54">
      <formula>OR($T$140 = TRUE, AND($W$140 = TRUE, $S$140 = FALSE))</formula>
    </cfRule>
  </conditionalFormatting>
  <conditionalFormatting sqref="W142">
    <cfRule type="expression" dxfId="2316" priority="53">
      <formula>AND($R$142,$S$142)</formula>
    </cfRule>
    <cfRule type="expression" dxfId="2315" priority="52">
      <formula>AND(IF($R$142,$W$142,TRUE),LEN(TRIM($W$142))&gt;0)</formula>
    </cfRule>
    <cfRule type="expression" dxfId="2314" priority="51">
      <formula>$S$142 = FALSE</formula>
    </cfRule>
    <cfRule type="expression" dxfId="2313" priority="50">
      <formula>OR($T$142 = TRUE, AND($W$142 = TRUE, $S$142 = FALSE))</formula>
    </cfRule>
  </conditionalFormatting>
  <conditionalFormatting sqref="W143">
    <cfRule type="expression" dxfId="2312" priority="49">
      <formula>AND($R$143,$S$143)</formula>
    </cfRule>
    <cfRule type="expression" dxfId="2311" priority="48">
      <formula>AND(IF($R$143,$W$143,TRUE),LEN(TRIM($W$143))&gt;0)</formula>
    </cfRule>
    <cfRule type="expression" dxfId="2310" priority="47">
      <formula>$S$143 = FALSE</formula>
    </cfRule>
    <cfRule type="expression" dxfId="2309" priority="46">
      <formula>OR($T$143 = TRUE, AND($W$143 = TRUE, $S$143 = FALSE))</formula>
    </cfRule>
  </conditionalFormatting>
  <conditionalFormatting sqref="W145">
    <cfRule type="expression" dxfId="2308" priority="45">
      <formula>AND($R$145,$S$145)</formula>
    </cfRule>
    <cfRule type="expression" dxfId="2307" priority="44">
      <formula>AND(IF($R$145,$W$145,TRUE),LEN(TRIM($W$145))&gt;0)</formula>
    </cfRule>
    <cfRule type="expression" dxfId="2306" priority="43">
      <formula>$S$145 = FALSE</formula>
    </cfRule>
    <cfRule type="expression" dxfId="2305" priority="42">
      <formula>OR($T$145 = TRUE, AND($W$145 = TRUE, $S$145 = FALSE))</formula>
    </cfRule>
  </conditionalFormatting>
  <conditionalFormatting sqref="W146">
    <cfRule type="expression" dxfId="2304" priority="41">
      <formula>AND($R$146,$S$146)</formula>
    </cfRule>
    <cfRule type="expression" dxfId="2303" priority="40">
      <formula>AND(IF($R$146,$W$146,TRUE),LEN(TRIM($W$146))&gt;0)</formula>
    </cfRule>
    <cfRule type="expression" dxfId="2302" priority="39">
      <formula>$S$146 = FALSE</formula>
    </cfRule>
    <cfRule type="expression" dxfId="2301" priority="38">
      <formula>OR($T$146 = TRUE, AND($W$146 = TRUE, $S$146 = FALSE))</formula>
    </cfRule>
  </conditionalFormatting>
  <conditionalFormatting sqref="W147">
    <cfRule type="expression" dxfId="2300" priority="35">
      <formula>$S$147 = FALSE</formula>
    </cfRule>
    <cfRule type="expression" dxfId="2299" priority="36">
      <formula>AND(IF($R$147,$W$147,TRUE),LEN(TRIM($W$147))&gt;0)</formula>
    </cfRule>
    <cfRule type="expression" dxfId="2298" priority="37">
      <formula>AND($R$147,$S$147)</formula>
    </cfRule>
    <cfRule type="expression" dxfId="2297" priority="34">
      <formula>OR($T$147 = TRUE, AND($W$147 = TRUE, $S$147 = FALSE))</formula>
    </cfRule>
  </conditionalFormatting>
  <conditionalFormatting sqref="W148">
    <cfRule type="expression" dxfId="2296" priority="32">
      <formula>AND(IF($R$148,$W$148,TRUE),LEN(TRIM($W$148))&gt;0)</formula>
    </cfRule>
    <cfRule type="expression" dxfId="2295" priority="33">
      <formula>AND($R$148,$S$148)</formula>
    </cfRule>
    <cfRule type="expression" dxfId="2294" priority="31">
      <formula>$S$148 = FALSE</formula>
    </cfRule>
    <cfRule type="expression" dxfId="2293" priority="30">
      <formula>OR($T$148 = TRUE, AND($W$148 = TRUE, $S$148 = FALSE))</formula>
    </cfRule>
  </conditionalFormatting>
  <conditionalFormatting sqref="W149">
    <cfRule type="expression" dxfId="2292" priority="29">
      <formula>AND($R$149,$S$149)</formula>
    </cfRule>
    <cfRule type="expression" dxfId="2291" priority="28">
      <formula>AND(IF($R$149,$W$149,TRUE),LEN(TRIM($W$149))&gt;0)</formula>
    </cfRule>
    <cfRule type="expression" dxfId="2290" priority="27">
      <formula>$S$149 = FALSE</formula>
    </cfRule>
    <cfRule type="expression" dxfId="2289" priority="26">
      <formula>OR($T$149 = TRUE, AND($W$149 = TRUE, $S$149 = FALSE))</formula>
    </cfRule>
  </conditionalFormatting>
  <conditionalFormatting sqref="W166">
    <cfRule type="expression" dxfId="2288" priority="25">
      <formula>AND($R$166,$S$166)</formula>
    </cfRule>
    <cfRule type="expression" dxfId="2287" priority="24">
      <formula>AND(IF($R$166,$W$166,TRUE),LEN(TRIM($W$166))&gt;0)</formula>
    </cfRule>
    <cfRule type="expression" dxfId="2286" priority="23">
      <formula>$S$166 = FALSE</formula>
    </cfRule>
    <cfRule type="expression" dxfId="2285" priority="22">
      <formula>OR($T$166 = TRUE, AND($W$166 = TRUE, $S$166 = FALSE))</formula>
    </cfRule>
  </conditionalFormatting>
  <conditionalFormatting sqref="W168">
    <cfRule type="expression" dxfId="2284" priority="21">
      <formula>AND($R$168,$S$168)</formula>
    </cfRule>
    <cfRule type="expression" dxfId="2283" priority="20">
      <formula>AND(IF($R$168,$W$168,TRUE),LEN(TRIM($W$168))&gt;0)</formula>
    </cfRule>
    <cfRule type="expression" dxfId="2282" priority="19">
      <formula>$S$168 = FALSE</formula>
    </cfRule>
    <cfRule type="expression" dxfId="2281" priority="18">
      <formula>OR($T$168 = TRUE, AND($W$168 = TRUE, $S$168 = FALSE))</formula>
    </cfRule>
  </conditionalFormatting>
  <conditionalFormatting sqref="W171">
    <cfRule type="expression" dxfId="2280" priority="17">
      <formula>AND($R$171,$S$171)</formula>
    </cfRule>
    <cfRule type="expression" dxfId="2279" priority="16">
      <formula>AND(IF($R$171,$W$171,TRUE),LEN(TRIM($W$171))&gt;0)</formula>
    </cfRule>
    <cfRule type="expression" dxfId="2278" priority="15">
      <formula>$S$171 = FALSE</formula>
    </cfRule>
    <cfRule type="expression" dxfId="2277" priority="14">
      <formula>OR($T$171 = TRUE, AND($W$171 = TRUE, $S$171 = FALSE))</formula>
    </cfRule>
  </conditionalFormatting>
  <conditionalFormatting sqref="W184">
    <cfRule type="expression" dxfId="2276" priority="13">
      <formula>AND($R$184,$S$184)</formula>
    </cfRule>
    <cfRule type="expression" dxfId="2275" priority="12">
      <formula>AND(IF($R$184,$W$184,TRUE),LEN(TRIM($W$184))&gt;0)</formula>
    </cfRule>
    <cfRule type="expression" dxfId="2274" priority="11">
      <formula>$S$184 = FALSE</formula>
    </cfRule>
    <cfRule type="expression" dxfId="2273" priority="10">
      <formula>OR($T$184 = TRUE, AND($W$184 = TRUE, $S$184 = FALSE))</formula>
    </cfRule>
  </conditionalFormatting>
  <conditionalFormatting sqref="W186">
    <cfRule type="expression" dxfId="2272" priority="6">
      <formula>OR($T$186 = TRUE, AND($W$186 = TRUE, $S$186 = FALSE))</formula>
    </cfRule>
    <cfRule type="expression" dxfId="2271" priority="9">
      <formula>AND($R$186,$S$186)</formula>
    </cfRule>
    <cfRule type="expression" dxfId="2270" priority="8">
      <formula>AND(IF($R$186,$W$186,TRUE),LEN(TRIM($W$186))&gt;0)</formula>
    </cfRule>
    <cfRule type="expression" dxfId="2269" priority="7">
      <formula>$S$186 = FALSE</formula>
    </cfRule>
  </conditionalFormatting>
  <conditionalFormatting sqref="X1">
    <cfRule type="expression" dxfId="2268" priority="1">
      <formula>startError</formula>
    </cfRule>
  </conditionalFormatting>
  <conditionalFormatting sqref="X2">
    <cfRule type="expression" dxfId="2267" priority="738">
      <formula>$AG$3</formula>
    </cfRule>
  </conditionalFormatting>
  <conditionalFormatting sqref="X3">
    <cfRule type="expression" dxfId="2266" priority="739">
      <formula>$AI$3</formula>
    </cfRule>
  </conditionalFormatting>
  <dataValidations count="1">
    <dataValidation type="list" allowBlank="1" showDropDown="1" showInputMessage="1" showErrorMessage="1" error="Use Checkbox" prompt="Use Checkbox" sqref="W186 W184 W171 W168 W166 W145:W149 W142:W143 W140 W133 W129 W127 W121 W117:W118 W115 W112:W113 W110 W107 W105 W102 W100 W92:W94 W89:W90 W87 W84 W81 W58:W60 W56 W54 W51:W52 W49 W46:W47 W44 W42 W38 W15:W17 W25 W21:W23 W27:W28 W30:W32" xr:uid="{00000000-0002-0000-0800-000000000000}">
      <formula1>TorF</formula1>
    </dataValidation>
  </dataValidations>
  <pageMargins left="0.7" right="0.7" top="0.75" bottom="0.75" header="0.3" footer="0.3"/>
  <pageSetup scale="44" fitToHeight="0" orientation="portrait" r:id="rId1"/>
  <rowBreaks count="1" manualBreakCount="1">
    <brk id="95" min="3" max="23" man="1"/>
  </rowBreaks>
  <ignoredErrors>
    <ignoredError sqref="AQ15:AQ17 AQ30:AQ32 AQ38 AQ42 AQ44 AQ46:AQ47 AQ49 AQ51:AQ52 AQ54 AQ56 AQ58:AQ60 AQ21:AQ23 AQ25 AQ27:AQ28 AQ81 AQ84 AQ87 AQ89:AQ90 AQ92:AQ94 AQ100 AQ117:AQ118 AQ121 AQ102 AQ105 AQ107 AQ110 AQ112:AQ113 AQ115 AQ127 AQ148:AQ149 AQ129 AQ133 AQ140 AQ142:AQ143 AQ145:AQ147 AQ166 AQ168 AQ171 AQ184 AQ186 AS15:AS17 AS30:AS32 AS38 AS42 AS44 AS46:AS47 AS49 AS51:AS52 AS54 AS56 AS58:AS60 AS21:AS23 AS25 AS27:AS28 AS81 AS84 AS87 AS89:AS90 AS92:AS94 AS100 AS117:AS118 AS121 AS102 AS105 AS107 AS110 AS112:AS113 AS115 AS127 AS148:AS149 AS129 AS133 AS140 AS142:AS143 AS145:AS147 AS166 AS168 AS171 AS184 AS18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8316" r:id="rId4" name="Check Box 124">
              <controlPr locked="0" defaultSize="0" autoFill="0" autoLine="0" autoPict="0">
                <anchor moveWithCells="1" sizeWithCells="1">
                  <from>
                    <xdr:col>22</xdr:col>
                    <xdr:colOff>0</xdr:colOff>
                    <xdr:row>14</xdr:row>
                    <xdr:rowOff>0</xdr:rowOff>
                  </from>
                  <to>
                    <xdr:col>22</xdr:col>
                    <xdr:colOff>184150</xdr:colOff>
                    <xdr:row>14</xdr:row>
                    <xdr:rowOff>184150</xdr:rowOff>
                  </to>
                </anchor>
              </controlPr>
            </control>
          </mc:Choice>
        </mc:AlternateContent>
        <mc:AlternateContent xmlns:mc="http://schemas.openxmlformats.org/markup-compatibility/2006">
          <mc:Choice Requires="x14">
            <control shapeId="8317" r:id="rId5" name="Check Box 125">
              <controlPr locked="0" defaultSize="0" autoFill="0" autoLine="0" autoPict="0">
                <anchor moveWithCells="1" sizeWithCells="1">
                  <from>
                    <xdr:col>22</xdr:col>
                    <xdr:colOff>0</xdr:colOff>
                    <xdr:row>15</xdr:row>
                    <xdr:rowOff>0</xdr:rowOff>
                  </from>
                  <to>
                    <xdr:col>22</xdr:col>
                    <xdr:colOff>184150</xdr:colOff>
                    <xdr:row>15</xdr:row>
                    <xdr:rowOff>184150</xdr:rowOff>
                  </to>
                </anchor>
              </controlPr>
            </control>
          </mc:Choice>
        </mc:AlternateContent>
        <mc:AlternateContent xmlns:mc="http://schemas.openxmlformats.org/markup-compatibility/2006">
          <mc:Choice Requires="x14">
            <control shapeId="8318" r:id="rId6" name="Check Box 126">
              <controlPr locked="0" defaultSize="0" autoFill="0" autoLine="0" autoPict="0">
                <anchor moveWithCells="1" sizeWithCells="1">
                  <from>
                    <xdr:col>22</xdr:col>
                    <xdr:colOff>0</xdr:colOff>
                    <xdr:row>16</xdr:row>
                    <xdr:rowOff>0</xdr:rowOff>
                  </from>
                  <to>
                    <xdr:col>22</xdr:col>
                    <xdr:colOff>184150</xdr:colOff>
                    <xdr:row>16</xdr:row>
                    <xdr:rowOff>184150</xdr:rowOff>
                  </to>
                </anchor>
              </controlPr>
            </control>
          </mc:Choice>
        </mc:AlternateContent>
        <mc:AlternateContent xmlns:mc="http://schemas.openxmlformats.org/markup-compatibility/2006">
          <mc:Choice Requires="x14">
            <control shapeId="8319" r:id="rId7" name="Check Box 127">
              <controlPr locked="0" defaultSize="0" autoFill="0" autoLine="0" autoPict="0">
                <anchor moveWithCells="1" sizeWithCells="1">
                  <from>
                    <xdr:col>22</xdr:col>
                    <xdr:colOff>0</xdr:colOff>
                    <xdr:row>20</xdr:row>
                    <xdr:rowOff>0</xdr:rowOff>
                  </from>
                  <to>
                    <xdr:col>22</xdr:col>
                    <xdr:colOff>184150</xdr:colOff>
                    <xdr:row>20</xdr:row>
                    <xdr:rowOff>184150</xdr:rowOff>
                  </to>
                </anchor>
              </controlPr>
            </control>
          </mc:Choice>
        </mc:AlternateContent>
        <mc:AlternateContent xmlns:mc="http://schemas.openxmlformats.org/markup-compatibility/2006">
          <mc:Choice Requires="x14">
            <control shapeId="8320" r:id="rId8" name="Check Box 128">
              <controlPr locked="0" defaultSize="0" autoFill="0" autoLine="0" autoPict="0">
                <anchor moveWithCells="1" sizeWithCells="1">
                  <from>
                    <xdr:col>22</xdr:col>
                    <xdr:colOff>0</xdr:colOff>
                    <xdr:row>21</xdr:row>
                    <xdr:rowOff>0</xdr:rowOff>
                  </from>
                  <to>
                    <xdr:col>22</xdr:col>
                    <xdr:colOff>184150</xdr:colOff>
                    <xdr:row>21</xdr:row>
                    <xdr:rowOff>184150</xdr:rowOff>
                  </to>
                </anchor>
              </controlPr>
            </control>
          </mc:Choice>
        </mc:AlternateContent>
        <mc:AlternateContent xmlns:mc="http://schemas.openxmlformats.org/markup-compatibility/2006">
          <mc:Choice Requires="x14">
            <control shapeId="8321" r:id="rId9" name="Check Box 129">
              <controlPr locked="0" defaultSize="0" autoFill="0" autoLine="0" autoPict="0">
                <anchor moveWithCells="1" sizeWithCells="1">
                  <from>
                    <xdr:col>22</xdr:col>
                    <xdr:colOff>0</xdr:colOff>
                    <xdr:row>22</xdr:row>
                    <xdr:rowOff>0</xdr:rowOff>
                  </from>
                  <to>
                    <xdr:col>22</xdr:col>
                    <xdr:colOff>184150</xdr:colOff>
                    <xdr:row>22</xdr:row>
                    <xdr:rowOff>184150</xdr:rowOff>
                  </to>
                </anchor>
              </controlPr>
            </control>
          </mc:Choice>
        </mc:AlternateContent>
        <mc:AlternateContent xmlns:mc="http://schemas.openxmlformats.org/markup-compatibility/2006">
          <mc:Choice Requires="x14">
            <control shapeId="8322" r:id="rId10" name="Check Box 130">
              <controlPr locked="0" defaultSize="0" autoFill="0" autoLine="0" autoPict="0">
                <anchor moveWithCells="1" sizeWithCells="1">
                  <from>
                    <xdr:col>22</xdr:col>
                    <xdr:colOff>0</xdr:colOff>
                    <xdr:row>24</xdr:row>
                    <xdr:rowOff>0</xdr:rowOff>
                  </from>
                  <to>
                    <xdr:col>22</xdr:col>
                    <xdr:colOff>184150</xdr:colOff>
                    <xdr:row>24</xdr:row>
                    <xdr:rowOff>184150</xdr:rowOff>
                  </to>
                </anchor>
              </controlPr>
            </control>
          </mc:Choice>
        </mc:AlternateContent>
        <mc:AlternateContent xmlns:mc="http://schemas.openxmlformats.org/markup-compatibility/2006">
          <mc:Choice Requires="x14">
            <control shapeId="8323" r:id="rId11" name="Check Box 131">
              <controlPr locked="0" defaultSize="0" autoFill="0" autoLine="0" autoPict="0">
                <anchor moveWithCells="1" sizeWithCells="1">
                  <from>
                    <xdr:col>22</xdr:col>
                    <xdr:colOff>0</xdr:colOff>
                    <xdr:row>26</xdr:row>
                    <xdr:rowOff>0</xdr:rowOff>
                  </from>
                  <to>
                    <xdr:col>22</xdr:col>
                    <xdr:colOff>184150</xdr:colOff>
                    <xdr:row>26</xdr:row>
                    <xdr:rowOff>184150</xdr:rowOff>
                  </to>
                </anchor>
              </controlPr>
            </control>
          </mc:Choice>
        </mc:AlternateContent>
        <mc:AlternateContent xmlns:mc="http://schemas.openxmlformats.org/markup-compatibility/2006">
          <mc:Choice Requires="x14">
            <control shapeId="8324" r:id="rId12" name="Check Box 132">
              <controlPr locked="0" defaultSize="0" autoFill="0" autoLine="0" autoPict="0">
                <anchor moveWithCells="1" sizeWithCells="1">
                  <from>
                    <xdr:col>22</xdr:col>
                    <xdr:colOff>0</xdr:colOff>
                    <xdr:row>27</xdr:row>
                    <xdr:rowOff>0</xdr:rowOff>
                  </from>
                  <to>
                    <xdr:col>22</xdr:col>
                    <xdr:colOff>184150</xdr:colOff>
                    <xdr:row>27</xdr:row>
                    <xdr:rowOff>184150</xdr:rowOff>
                  </to>
                </anchor>
              </controlPr>
            </control>
          </mc:Choice>
        </mc:AlternateContent>
        <mc:AlternateContent xmlns:mc="http://schemas.openxmlformats.org/markup-compatibility/2006">
          <mc:Choice Requires="x14">
            <control shapeId="8325" r:id="rId13" name="Check Box 133">
              <controlPr locked="0" defaultSize="0" autoFill="0" autoLine="0" autoPict="0">
                <anchor moveWithCells="1" sizeWithCells="1">
                  <from>
                    <xdr:col>22</xdr:col>
                    <xdr:colOff>0</xdr:colOff>
                    <xdr:row>29</xdr:row>
                    <xdr:rowOff>0</xdr:rowOff>
                  </from>
                  <to>
                    <xdr:col>22</xdr:col>
                    <xdr:colOff>184150</xdr:colOff>
                    <xdr:row>29</xdr:row>
                    <xdr:rowOff>184150</xdr:rowOff>
                  </to>
                </anchor>
              </controlPr>
            </control>
          </mc:Choice>
        </mc:AlternateContent>
        <mc:AlternateContent xmlns:mc="http://schemas.openxmlformats.org/markup-compatibility/2006">
          <mc:Choice Requires="x14">
            <control shapeId="8326" r:id="rId14" name="Check Box 134">
              <controlPr locked="0" defaultSize="0" autoFill="0" autoLine="0" autoPict="0">
                <anchor moveWithCells="1" sizeWithCells="1">
                  <from>
                    <xdr:col>22</xdr:col>
                    <xdr:colOff>0</xdr:colOff>
                    <xdr:row>30</xdr:row>
                    <xdr:rowOff>0</xdr:rowOff>
                  </from>
                  <to>
                    <xdr:col>22</xdr:col>
                    <xdr:colOff>184150</xdr:colOff>
                    <xdr:row>30</xdr:row>
                    <xdr:rowOff>184150</xdr:rowOff>
                  </to>
                </anchor>
              </controlPr>
            </control>
          </mc:Choice>
        </mc:AlternateContent>
        <mc:AlternateContent xmlns:mc="http://schemas.openxmlformats.org/markup-compatibility/2006">
          <mc:Choice Requires="x14">
            <control shapeId="8327" r:id="rId15" name="Check Box 135">
              <controlPr locked="0" defaultSize="0" autoFill="0" autoLine="0" autoPict="0">
                <anchor moveWithCells="1" sizeWithCells="1">
                  <from>
                    <xdr:col>22</xdr:col>
                    <xdr:colOff>0</xdr:colOff>
                    <xdr:row>31</xdr:row>
                    <xdr:rowOff>0</xdr:rowOff>
                  </from>
                  <to>
                    <xdr:col>22</xdr:col>
                    <xdr:colOff>184150</xdr:colOff>
                    <xdr:row>31</xdr:row>
                    <xdr:rowOff>184150</xdr:rowOff>
                  </to>
                </anchor>
              </controlPr>
            </control>
          </mc:Choice>
        </mc:AlternateContent>
        <mc:AlternateContent xmlns:mc="http://schemas.openxmlformats.org/markup-compatibility/2006">
          <mc:Choice Requires="x14">
            <control shapeId="8328" r:id="rId16" name="Check Box 136">
              <controlPr locked="0" defaultSize="0" autoFill="0" autoLine="0" autoPict="0">
                <anchor moveWithCells="1" sizeWithCells="1">
                  <from>
                    <xdr:col>22</xdr:col>
                    <xdr:colOff>0</xdr:colOff>
                    <xdr:row>37</xdr:row>
                    <xdr:rowOff>0</xdr:rowOff>
                  </from>
                  <to>
                    <xdr:col>22</xdr:col>
                    <xdr:colOff>184150</xdr:colOff>
                    <xdr:row>37</xdr:row>
                    <xdr:rowOff>184150</xdr:rowOff>
                  </to>
                </anchor>
              </controlPr>
            </control>
          </mc:Choice>
        </mc:AlternateContent>
        <mc:AlternateContent xmlns:mc="http://schemas.openxmlformats.org/markup-compatibility/2006">
          <mc:Choice Requires="x14">
            <control shapeId="8329" r:id="rId17" name="Check Box 137">
              <controlPr locked="0" defaultSize="0" autoFill="0" autoLine="0" autoPict="0">
                <anchor moveWithCells="1" sizeWithCells="1">
                  <from>
                    <xdr:col>22</xdr:col>
                    <xdr:colOff>0</xdr:colOff>
                    <xdr:row>41</xdr:row>
                    <xdr:rowOff>0</xdr:rowOff>
                  </from>
                  <to>
                    <xdr:col>22</xdr:col>
                    <xdr:colOff>184150</xdr:colOff>
                    <xdr:row>41</xdr:row>
                    <xdr:rowOff>184150</xdr:rowOff>
                  </to>
                </anchor>
              </controlPr>
            </control>
          </mc:Choice>
        </mc:AlternateContent>
        <mc:AlternateContent xmlns:mc="http://schemas.openxmlformats.org/markup-compatibility/2006">
          <mc:Choice Requires="x14">
            <control shapeId="8330" r:id="rId18" name="Check Box 138">
              <controlPr locked="0" defaultSize="0" autoFill="0" autoLine="0" autoPict="0">
                <anchor moveWithCells="1" sizeWithCells="1">
                  <from>
                    <xdr:col>22</xdr:col>
                    <xdr:colOff>0</xdr:colOff>
                    <xdr:row>43</xdr:row>
                    <xdr:rowOff>0</xdr:rowOff>
                  </from>
                  <to>
                    <xdr:col>22</xdr:col>
                    <xdr:colOff>184150</xdr:colOff>
                    <xdr:row>43</xdr:row>
                    <xdr:rowOff>184150</xdr:rowOff>
                  </to>
                </anchor>
              </controlPr>
            </control>
          </mc:Choice>
        </mc:AlternateContent>
        <mc:AlternateContent xmlns:mc="http://schemas.openxmlformats.org/markup-compatibility/2006">
          <mc:Choice Requires="x14">
            <control shapeId="8331" r:id="rId19" name="Check Box 139">
              <controlPr locked="0" defaultSize="0" autoFill="0" autoLine="0" autoPict="0">
                <anchor moveWithCells="1" sizeWithCells="1">
                  <from>
                    <xdr:col>22</xdr:col>
                    <xdr:colOff>0</xdr:colOff>
                    <xdr:row>45</xdr:row>
                    <xdr:rowOff>0</xdr:rowOff>
                  </from>
                  <to>
                    <xdr:col>22</xdr:col>
                    <xdr:colOff>184150</xdr:colOff>
                    <xdr:row>45</xdr:row>
                    <xdr:rowOff>184150</xdr:rowOff>
                  </to>
                </anchor>
              </controlPr>
            </control>
          </mc:Choice>
        </mc:AlternateContent>
        <mc:AlternateContent xmlns:mc="http://schemas.openxmlformats.org/markup-compatibility/2006">
          <mc:Choice Requires="x14">
            <control shapeId="8332" r:id="rId20" name="Check Box 140">
              <controlPr locked="0" defaultSize="0" autoFill="0" autoLine="0" autoPict="0">
                <anchor moveWithCells="1" sizeWithCells="1">
                  <from>
                    <xdr:col>22</xdr:col>
                    <xdr:colOff>0</xdr:colOff>
                    <xdr:row>46</xdr:row>
                    <xdr:rowOff>0</xdr:rowOff>
                  </from>
                  <to>
                    <xdr:col>22</xdr:col>
                    <xdr:colOff>184150</xdr:colOff>
                    <xdr:row>46</xdr:row>
                    <xdr:rowOff>184150</xdr:rowOff>
                  </to>
                </anchor>
              </controlPr>
            </control>
          </mc:Choice>
        </mc:AlternateContent>
        <mc:AlternateContent xmlns:mc="http://schemas.openxmlformats.org/markup-compatibility/2006">
          <mc:Choice Requires="x14">
            <control shapeId="8333" r:id="rId21" name="Check Box 141">
              <controlPr locked="0" defaultSize="0" autoFill="0" autoLine="0" autoPict="0">
                <anchor moveWithCells="1" sizeWithCells="1">
                  <from>
                    <xdr:col>22</xdr:col>
                    <xdr:colOff>0</xdr:colOff>
                    <xdr:row>48</xdr:row>
                    <xdr:rowOff>0</xdr:rowOff>
                  </from>
                  <to>
                    <xdr:col>22</xdr:col>
                    <xdr:colOff>184150</xdr:colOff>
                    <xdr:row>48</xdr:row>
                    <xdr:rowOff>184150</xdr:rowOff>
                  </to>
                </anchor>
              </controlPr>
            </control>
          </mc:Choice>
        </mc:AlternateContent>
        <mc:AlternateContent xmlns:mc="http://schemas.openxmlformats.org/markup-compatibility/2006">
          <mc:Choice Requires="x14">
            <control shapeId="8334" r:id="rId22" name="Check Box 142">
              <controlPr locked="0" defaultSize="0" autoFill="0" autoLine="0" autoPict="0">
                <anchor moveWithCells="1" sizeWithCells="1">
                  <from>
                    <xdr:col>22</xdr:col>
                    <xdr:colOff>0</xdr:colOff>
                    <xdr:row>50</xdr:row>
                    <xdr:rowOff>0</xdr:rowOff>
                  </from>
                  <to>
                    <xdr:col>22</xdr:col>
                    <xdr:colOff>184150</xdr:colOff>
                    <xdr:row>50</xdr:row>
                    <xdr:rowOff>184150</xdr:rowOff>
                  </to>
                </anchor>
              </controlPr>
            </control>
          </mc:Choice>
        </mc:AlternateContent>
        <mc:AlternateContent xmlns:mc="http://schemas.openxmlformats.org/markup-compatibility/2006">
          <mc:Choice Requires="x14">
            <control shapeId="8335" r:id="rId23" name="Check Box 143">
              <controlPr locked="0" defaultSize="0" autoFill="0" autoLine="0" autoPict="0">
                <anchor moveWithCells="1" sizeWithCells="1">
                  <from>
                    <xdr:col>22</xdr:col>
                    <xdr:colOff>0</xdr:colOff>
                    <xdr:row>51</xdr:row>
                    <xdr:rowOff>0</xdr:rowOff>
                  </from>
                  <to>
                    <xdr:col>22</xdr:col>
                    <xdr:colOff>184150</xdr:colOff>
                    <xdr:row>51</xdr:row>
                    <xdr:rowOff>184150</xdr:rowOff>
                  </to>
                </anchor>
              </controlPr>
            </control>
          </mc:Choice>
        </mc:AlternateContent>
        <mc:AlternateContent xmlns:mc="http://schemas.openxmlformats.org/markup-compatibility/2006">
          <mc:Choice Requires="x14">
            <control shapeId="8336" r:id="rId24" name="Check Box 144">
              <controlPr locked="0" defaultSize="0" autoFill="0" autoLine="0" autoPict="0">
                <anchor moveWithCells="1" sizeWithCells="1">
                  <from>
                    <xdr:col>22</xdr:col>
                    <xdr:colOff>0</xdr:colOff>
                    <xdr:row>53</xdr:row>
                    <xdr:rowOff>0</xdr:rowOff>
                  </from>
                  <to>
                    <xdr:col>22</xdr:col>
                    <xdr:colOff>184150</xdr:colOff>
                    <xdr:row>53</xdr:row>
                    <xdr:rowOff>184150</xdr:rowOff>
                  </to>
                </anchor>
              </controlPr>
            </control>
          </mc:Choice>
        </mc:AlternateContent>
        <mc:AlternateContent xmlns:mc="http://schemas.openxmlformats.org/markup-compatibility/2006">
          <mc:Choice Requires="x14">
            <control shapeId="8337" r:id="rId25" name="Check Box 145">
              <controlPr locked="0" defaultSize="0" autoFill="0" autoLine="0" autoPict="0">
                <anchor moveWithCells="1" sizeWithCells="1">
                  <from>
                    <xdr:col>22</xdr:col>
                    <xdr:colOff>0</xdr:colOff>
                    <xdr:row>55</xdr:row>
                    <xdr:rowOff>0</xdr:rowOff>
                  </from>
                  <to>
                    <xdr:col>22</xdr:col>
                    <xdr:colOff>184150</xdr:colOff>
                    <xdr:row>55</xdr:row>
                    <xdr:rowOff>184150</xdr:rowOff>
                  </to>
                </anchor>
              </controlPr>
            </control>
          </mc:Choice>
        </mc:AlternateContent>
        <mc:AlternateContent xmlns:mc="http://schemas.openxmlformats.org/markup-compatibility/2006">
          <mc:Choice Requires="x14">
            <control shapeId="8338" r:id="rId26" name="Check Box 146">
              <controlPr locked="0" defaultSize="0" autoFill="0" autoLine="0" autoPict="0">
                <anchor moveWithCells="1" sizeWithCells="1">
                  <from>
                    <xdr:col>22</xdr:col>
                    <xdr:colOff>0</xdr:colOff>
                    <xdr:row>57</xdr:row>
                    <xdr:rowOff>0</xdr:rowOff>
                  </from>
                  <to>
                    <xdr:col>22</xdr:col>
                    <xdr:colOff>184150</xdr:colOff>
                    <xdr:row>57</xdr:row>
                    <xdr:rowOff>184150</xdr:rowOff>
                  </to>
                </anchor>
              </controlPr>
            </control>
          </mc:Choice>
        </mc:AlternateContent>
        <mc:AlternateContent xmlns:mc="http://schemas.openxmlformats.org/markup-compatibility/2006">
          <mc:Choice Requires="x14">
            <control shapeId="8339" r:id="rId27" name="Check Box 147">
              <controlPr locked="0" defaultSize="0" autoFill="0" autoLine="0" autoPict="0">
                <anchor moveWithCells="1" sizeWithCells="1">
                  <from>
                    <xdr:col>22</xdr:col>
                    <xdr:colOff>0</xdr:colOff>
                    <xdr:row>58</xdr:row>
                    <xdr:rowOff>0</xdr:rowOff>
                  </from>
                  <to>
                    <xdr:col>22</xdr:col>
                    <xdr:colOff>184150</xdr:colOff>
                    <xdr:row>58</xdr:row>
                    <xdr:rowOff>184150</xdr:rowOff>
                  </to>
                </anchor>
              </controlPr>
            </control>
          </mc:Choice>
        </mc:AlternateContent>
        <mc:AlternateContent xmlns:mc="http://schemas.openxmlformats.org/markup-compatibility/2006">
          <mc:Choice Requires="x14">
            <control shapeId="8340" r:id="rId28" name="Check Box 148">
              <controlPr locked="0" defaultSize="0" autoFill="0" autoLine="0" autoPict="0">
                <anchor moveWithCells="1" sizeWithCells="1">
                  <from>
                    <xdr:col>22</xdr:col>
                    <xdr:colOff>0</xdr:colOff>
                    <xdr:row>59</xdr:row>
                    <xdr:rowOff>0</xdr:rowOff>
                  </from>
                  <to>
                    <xdr:col>22</xdr:col>
                    <xdr:colOff>184150</xdr:colOff>
                    <xdr:row>59</xdr:row>
                    <xdr:rowOff>184150</xdr:rowOff>
                  </to>
                </anchor>
              </controlPr>
            </control>
          </mc:Choice>
        </mc:AlternateContent>
        <mc:AlternateContent xmlns:mc="http://schemas.openxmlformats.org/markup-compatibility/2006">
          <mc:Choice Requires="x14">
            <control shapeId="8341" r:id="rId29" name="Check Box 149">
              <controlPr locked="0" defaultSize="0" autoFill="0" autoLine="0" autoPict="0">
                <anchor moveWithCells="1" sizeWithCells="1">
                  <from>
                    <xdr:col>22</xdr:col>
                    <xdr:colOff>0</xdr:colOff>
                    <xdr:row>80</xdr:row>
                    <xdr:rowOff>0</xdr:rowOff>
                  </from>
                  <to>
                    <xdr:col>22</xdr:col>
                    <xdr:colOff>184150</xdr:colOff>
                    <xdr:row>80</xdr:row>
                    <xdr:rowOff>184150</xdr:rowOff>
                  </to>
                </anchor>
              </controlPr>
            </control>
          </mc:Choice>
        </mc:AlternateContent>
        <mc:AlternateContent xmlns:mc="http://schemas.openxmlformats.org/markup-compatibility/2006">
          <mc:Choice Requires="x14">
            <control shapeId="8342" r:id="rId30" name="Check Box 150">
              <controlPr locked="0" defaultSize="0" autoFill="0" autoLine="0" autoPict="0">
                <anchor moveWithCells="1" sizeWithCells="1">
                  <from>
                    <xdr:col>22</xdr:col>
                    <xdr:colOff>0</xdr:colOff>
                    <xdr:row>83</xdr:row>
                    <xdr:rowOff>0</xdr:rowOff>
                  </from>
                  <to>
                    <xdr:col>22</xdr:col>
                    <xdr:colOff>184150</xdr:colOff>
                    <xdr:row>83</xdr:row>
                    <xdr:rowOff>184150</xdr:rowOff>
                  </to>
                </anchor>
              </controlPr>
            </control>
          </mc:Choice>
        </mc:AlternateContent>
        <mc:AlternateContent xmlns:mc="http://schemas.openxmlformats.org/markup-compatibility/2006">
          <mc:Choice Requires="x14">
            <control shapeId="8343" r:id="rId31" name="Check Box 151">
              <controlPr locked="0" defaultSize="0" autoFill="0" autoLine="0" autoPict="0">
                <anchor moveWithCells="1" sizeWithCells="1">
                  <from>
                    <xdr:col>22</xdr:col>
                    <xdr:colOff>0</xdr:colOff>
                    <xdr:row>86</xdr:row>
                    <xdr:rowOff>0</xdr:rowOff>
                  </from>
                  <to>
                    <xdr:col>22</xdr:col>
                    <xdr:colOff>184150</xdr:colOff>
                    <xdr:row>86</xdr:row>
                    <xdr:rowOff>184150</xdr:rowOff>
                  </to>
                </anchor>
              </controlPr>
            </control>
          </mc:Choice>
        </mc:AlternateContent>
        <mc:AlternateContent xmlns:mc="http://schemas.openxmlformats.org/markup-compatibility/2006">
          <mc:Choice Requires="x14">
            <control shapeId="8344" r:id="rId32" name="Check Box 152">
              <controlPr locked="0" defaultSize="0" autoFill="0" autoLine="0" autoPict="0">
                <anchor moveWithCells="1" sizeWithCells="1">
                  <from>
                    <xdr:col>22</xdr:col>
                    <xdr:colOff>0</xdr:colOff>
                    <xdr:row>88</xdr:row>
                    <xdr:rowOff>0</xdr:rowOff>
                  </from>
                  <to>
                    <xdr:col>22</xdr:col>
                    <xdr:colOff>184150</xdr:colOff>
                    <xdr:row>88</xdr:row>
                    <xdr:rowOff>184150</xdr:rowOff>
                  </to>
                </anchor>
              </controlPr>
            </control>
          </mc:Choice>
        </mc:AlternateContent>
        <mc:AlternateContent xmlns:mc="http://schemas.openxmlformats.org/markup-compatibility/2006">
          <mc:Choice Requires="x14">
            <control shapeId="8345" r:id="rId33" name="Check Box 153">
              <controlPr locked="0" defaultSize="0" autoFill="0" autoLine="0" autoPict="0">
                <anchor moveWithCells="1" sizeWithCells="1">
                  <from>
                    <xdr:col>22</xdr:col>
                    <xdr:colOff>0</xdr:colOff>
                    <xdr:row>89</xdr:row>
                    <xdr:rowOff>0</xdr:rowOff>
                  </from>
                  <to>
                    <xdr:col>22</xdr:col>
                    <xdr:colOff>184150</xdr:colOff>
                    <xdr:row>89</xdr:row>
                    <xdr:rowOff>184150</xdr:rowOff>
                  </to>
                </anchor>
              </controlPr>
            </control>
          </mc:Choice>
        </mc:AlternateContent>
        <mc:AlternateContent xmlns:mc="http://schemas.openxmlformats.org/markup-compatibility/2006">
          <mc:Choice Requires="x14">
            <control shapeId="8346" r:id="rId34" name="Check Box 154">
              <controlPr locked="0" defaultSize="0" autoFill="0" autoLine="0" autoPict="0">
                <anchor moveWithCells="1" sizeWithCells="1">
                  <from>
                    <xdr:col>22</xdr:col>
                    <xdr:colOff>0</xdr:colOff>
                    <xdr:row>91</xdr:row>
                    <xdr:rowOff>0</xdr:rowOff>
                  </from>
                  <to>
                    <xdr:col>22</xdr:col>
                    <xdr:colOff>184150</xdr:colOff>
                    <xdr:row>91</xdr:row>
                    <xdr:rowOff>184150</xdr:rowOff>
                  </to>
                </anchor>
              </controlPr>
            </control>
          </mc:Choice>
        </mc:AlternateContent>
        <mc:AlternateContent xmlns:mc="http://schemas.openxmlformats.org/markup-compatibility/2006">
          <mc:Choice Requires="x14">
            <control shapeId="8347" r:id="rId35" name="Check Box 155">
              <controlPr locked="0" defaultSize="0" autoFill="0" autoLine="0" autoPict="0">
                <anchor moveWithCells="1" sizeWithCells="1">
                  <from>
                    <xdr:col>22</xdr:col>
                    <xdr:colOff>0</xdr:colOff>
                    <xdr:row>92</xdr:row>
                    <xdr:rowOff>0</xdr:rowOff>
                  </from>
                  <to>
                    <xdr:col>22</xdr:col>
                    <xdr:colOff>184150</xdr:colOff>
                    <xdr:row>92</xdr:row>
                    <xdr:rowOff>184150</xdr:rowOff>
                  </to>
                </anchor>
              </controlPr>
            </control>
          </mc:Choice>
        </mc:AlternateContent>
        <mc:AlternateContent xmlns:mc="http://schemas.openxmlformats.org/markup-compatibility/2006">
          <mc:Choice Requires="x14">
            <control shapeId="8348" r:id="rId36" name="Check Box 156">
              <controlPr locked="0" defaultSize="0" autoFill="0" autoLine="0" autoPict="0">
                <anchor moveWithCells="1" sizeWithCells="1">
                  <from>
                    <xdr:col>22</xdr:col>
                    <xdr:colOff>0</xdr:colOff>
                    <xdr:row>93</xdr:row>
                    <xdr:rowOff>0</xdr:rowOff>
                  </from>
                  <to>
                    <xdr:col>22</xdr:col>
                    <xdr:colOff>184150</xdr:colOff>
                    <xdr:row>93</xdr:row>
                    <xdr:rowOff>184150</xdr:rowOff>
                  </to>
                </anchor>
              </controlPr>
            </control>
          </mc:Choice>
        </mc:AlternateContent>
        <mc:AlternateContent xmlns:mc="http://schemas.openxmlformats.org/markup-compatibility/2006">
          <mc:Choice Requires="x14">
            <control shapeId="8349" r:id="rId37" name="Check Box 157">
              <controlPr locked="0" defaultSize="0" autoFill="0" autoLine="0" autoPict="0">
                <anchor moveWithCells="1" sizeWithCells="1">
                  <from>
                    <xdr:col>22</xdr:col>
                    <xdr:colOff>0</xdr:colOff>
                    <xdr:row>99</xdr:row>
                    <xdr:rowOff>0</xdr:rowOff>
                  </from>
                  <to>
                    <xdr:col>22</xdr:col>
                    <xdr:colOff>184150</xdr:colOff>
                    <xdr:row>99</xdr:row>
                    <xdr:rowOff>184150</xdr:rowOff>
                  </to>
                </anchor>
              </controlPr>
            </control>
          </mc:Choice>
        </mc:AlternateContent>
        <mc:AlternateContent xmlns:mc="http://schemas.openxmlformats.org/markup-compatibility/2006">
          <mc:Choice Requires="x14">
            <control shapeId="8350" r:id="rId38" name="Check Box 158">
              <controlPr locked="0" defaultSize="0" autoFill="0" autoLine="0" autoPict="0">
                <anchor moveWithCells="1" sizeWithCells="1">
                  <from>
                    <xdr:col>22</xdr:col>
                    <xdr:colOff>0</xdr:colOff>
                    <xdr:row>101</xdr:row>
                    <xdr:rowOff>0</xdr:rowOff>
                  </from>
                  <to>
                    <xdr:col>22</xdr:col>
                    <xdr:colOff>184150</xdr:colOff>
                    <xdr:row>101</xdr:row>
                    <xdr:rowOff>184150</xdr:rowOff>
                  </to>
                </anchor>
              </controlPr>
            </control>
          </mc:Choice>
        </mc:AlternateContent>
        <mc:AlternateContent xmlns:mc="http://schemas.openxmlformats.org/markup-compatibility/2006">
          <mc:Choice Requires="x14">
            <control shapeId="8351" r:id="rId39" name="Check Box 159">
              <controlPr locked="0" defaultSize="0" autoFill="0" autoLine="0" autoPict="0">
                <anchor moveWithCells="1" sizeWithCells="1">
                  <from>
                    <xdr:col>22</xdr:col>
                    <xdr:colOff>0</xdr:colOff>
                    <xdr:row>104</xdr:row>
                    <xdr:rowOff>0</xdr:rowOff>
                  </from>
                  <to>
                    <xdr:col>22</xdr:col>
                    <xdr:colOff>184150</xdr:colOff>
                    <xdr:row>104</xdr:row>
                    <xdr:rowOff>184150</xdr:rowOff>
                  </to>
                </anchor>
              </controlPr>
            </control>
          </mc:Choice>
        </mc:AlternateContent>
        <mc:AlternateContent xmlns:mc="http://schemas.openxmlformats.org/markup-compatibility/2006">
          <mc:Choice Requires="x14">
            <control shapeId="8352" r:id="rId40" name="Check Box 160">
              <controlPr locked="0" defaultSize="0" autoFill="0" autoLine="0" autoPict="0">
                <anchor moveWithCells="1" sizeWithCells="1">
                  <from>
                    <xdr:col>22</xdr:col>
                    <xdr:colOff>0</xdr:colOff>
                    <xdr:row>106</xdr:row>
                    <xdr:rowOff>0</xdr:rowOff>
                  </from>
                  <to>
                    <xdr:col>22</xdr:col>
                    <xdr:colOff>184150</xdr:colOff>
                    <xdr:row>106</xdr:row>
                    <xdr:rowOff>184150</xdr:rowOff>
                  </to>
                </anchor>
              </controlPr>
            </control>
          </mc:Choice>
        </mc:AlternateContent>
        <mc:AlternateContent xmlns:mc="http://schemas.openxmlformats.org/markup-compatibility/2006">
          <mc:Choice Requires="x14">
            <control shapeId="8353" r:id="rId41" name="Check Box 161">
              <controlPr locked="0" defaultSize="0" autoFill="0" autoLine="0" autoPict="0">
                <anchor moveWithCells="1" sizeWithCells="1">
                  <from>
                    <xdr:col>22</xdr:col>
                    <xdr:colOff>0</xdr:colOff>
                    <xdr:row>109</xdr:row>
                    <xdr:rowOff>0</xdr:rowOff>
                  </from>
                  <to>
                    <xdr:col>22</xdr:col>
                    <xdr:colOff>184150</xdr:colOff>
                    <xdr:row>109</xdr:row>
                    <xdr:rowOff>184150</xdr:rowOff>
                  </to>
                </anchor>
              </controlPr>
            </control>
          </mc:Choice>
        </mc:AlternateContent>
        <mc:AlternateContent xmlns:mc="http://schemas.openxmlformats.org/markup-compatibility/2006">
          <mc:Choice Requires="x14">
            <control shapeId="8354" r:id="rId42" name="Check Box 162">
              <controlPr locked="0" defaultSize="0" autoFill="0" autoLine="0" autoPict="0">
                <anchor moveWithCells="1" sizeWithCells="1">
                  <from>
                    <xdr:col>22</xdr:col>
                    <xdr:colOff>0</xdr:colOff>
                    <xdr:row>111</xdr:row>
                    <xdr:rowOff>0</xdr:rowOff>
                  </from>
                  <to>
                    <xdr:col>22</xdr:col>
                    <xdr:colOff>184150</xdr:colOff>
                    <xdr:row>111</xdr:row>
                    <xdr:rowOff>184150</xdr:rowOff>
                  </to>
                </anchor>
              </controlPr>
            </control>
          </mc:Choice>
        </mc:AlternateContent>
        <mc:AlternateContent xmlns:mc="http://schemas.openxmlformats.org/markup-compatibility/2006">
          <mc:Choice Requires="x14">
            <control shapeId="8355" r:id="rId43" name="Check Box 163">
              <controlPr locked="0" defaultSize="0" autoFill="0" autoLine="0" autoPict="0">
                <anchor moveWithCells="1" sizeWithCells="1">
                  <from>
                    <xdr:col>22</xdr:col>
                    <xdr:colOff>0</xdr:colOff>
                    <xdr:row>112</xdr:row>
                    <xdr:rowOff>0</xdr:rowOff>
                  </from>
                  <to>
                    <xdr:col>22</xdr:col>
                    <xdr:colOff>184150</xdr:colOff>
                    <xdr:row>112</xdr:row>
                    <xdr:rowOff>184150</xdr:rowOff>
                  </to>
                </anchor>
              </controlPr>
            </control>
          </mc:Choice>
        </mc:AlternateContent>
        <mc:AlternateContent xmlns:mc="http://schemas.openxmlformats.org/markup-compatibility/2006">
          <mc:Choice Requires="x14">
            <control shapeId="8356" r:id="rId44" name="Check Box 164">
              <controlPr locked="0" defaultSize="0" autoFill="0" autoLine="0" autoPict="0">
                <anchor moveWithCells="1" sizeWithCells="1">
                  <from>
                    <xdr:col>22</xdr:col>
                    <xdr:colOff>0</xdr:colOff>
                    <xdr:row>114</xdr:row>
                    <xdr:rowOff>0</xdr:rowOff>
                  </from>
                  <to>
                    <xdr:col>22</xdr:col>
                    <xdr:colOff>184150</xdr:colOff>
                    <xdr:row>114</xdr:row>
                    <xdr:rowOff>184150</xdr:rowOff>
                  </to>
                </anchor>
              </controlPr>
            </control>
          </mc:Choice>
        </mc:AlternateContent>
        <mc:AlternateContent xmlns:mc="http://schemas.openxmlformats.org/markup-compatibility/2006">
          <mc:Choice Requires="x14">
            <control shapeId="8357" r:id="rId45" name="Check Box 165">
              <controlPr locked="0" defaultSize="0" autoFill="0" autoLine="0" autoPict="0">
                <anchor moveWithCells="1" sizeWithCells="1">
                  <from>
                    <xdr:col>22</xdr:col>
                    <xdr:colOff>0</xdr:colOff>
                    <xdr:row>116</xdr:row>
                    <xdr:rowOff>0</xdr:rowOff>
                  </from>
                  <to>
                    <xdr:col>22</xdr:col>
                    <xdr:colOff>184150</xdr:colOff>
                    <xdr:row>116</xdr:row>
                    <xdr:rowOff>184150</xdr:rowOff>
                  </to>
                </anchor>
              </controlPr>
            </control>
          </mc:Choice>
        </mc:AlternateContent>
        <mc:AlternateContent xmlns:mc="http://schemas.openxmlformats.org/markup-compatibility/2006">
          <mc:Choice Requires="x14">
            <control shapeId="8358" r:id="rId46" name="Check Box 166">
              <controlPr locked="0" defaultSize="0" autoFill="0" autoLine="0" autoPict="0">
                <anchor moveWithCells="1" sizeWithCells="1">
                  <from>
                    <xdr:col>22</xdr:col>
                    <xdr:colOff>0</xdr:colOff>
                    <xdr:row>117</xdr:row>
                    <xdr:rowOff>0</xdr:rowOff>
                  </from>
                  <to>
                    <xdr:col>22</xdr:col>
                    <xdr:colOff>184150</xdr:colOff>
                    <xdr:row>117</xdr:row>
                    <xdr:rowOff>184150</xdr:rowOff>
                  </to>
                </anchor>
              </controlPr>
            </control>
          </mc:Choice>
        </mc:AlternateContent>
        <mc:AlternateContent xmlns:mc="http://schemas.openxmlformats.org/markup-compatibility/2006">
          <mc:Choice Requires="x14">
            <control shapeId="8359" r:id="rId47" name="Check Box 167">
              <controlPr locked="0" defaultSize="0" autoFill="0" autoLine="0" autoPict="0">
                <anchor moveWithCells="1" sizeWithCells="1">
                  <from>
                    <xdr:col>22</xdr:col>
                    <xdr:colOff>0</xdr:colOff>
                    <xdr:row>120</xdr:row>
                    <xdr:rowOff>0</xdr:rowOff>
                  </from>
                  <to>
                    <xdr:col>22</xdr:col>
                    <xdr:colOff>184150</xdr:colOff>
                    <xdr:row>120</xdr:row>
                    <xdr:rowOff>184150</xdr:rowOff>
                  </to>
                </anchor>
              </controlPr>
            </control>
          </mc:Choice>
        </mc:AlternateContent>
        <mc:AlternateContent xmlns:mc="http://schemas.openxmlformats.org/markup-compatibility/2006">
          <mc:Choice Requires="x14">
            <control shapeId="8360" r:id="rId48" name="Check Box 168">
              <controlPr locked="0" defaultSize="0" autoFill="0" autoLine="0" autoPict="0">
                <anchor moveWithCells="1" sizeWithCells="1">
                  <from>
                    <xdr:col>22</xdr:col>
                    <xdr:colOff>0</xdr:colOff>
                    <xdr:row>126</xdr:row>
                    <xdr:rowOff>0</xdr:rowOff>
                  </from>
                  <to>
                    <xdr:col>22</xdr:col>
                    <xdr:colOff>184150</xdr:colOff>
                    <xdr:row>126</xdr:row>
                    <xdr:rowOff>184150</xdr:rowOff>
                  </to>
                </anchor>
              </controlPr>
            </control>
          </mc:Choice>
        </mc:AlternateContent>
        <mc:AlternateContent xmlns:mc="http://schemas.openxmlformats.org/markup-compatibility/2006">
          <mc:Choice Requires="x14">
            <control shapeId="8361" r:id="rId49" name="Check Box 169">
              <controlPr locked="0" defaultSize="0" autoFill="0" autoLine="0" autoPict="0">
                <anchor moveWithCells="1" sizeWithCells="1">
                  <from>
                    <xdr:col>22</xdr:col>
                    <xdr:colOff>0</xdr:colOff>
                    <xdr:row>128</xdr:row>
                    <xdr:rowOff>0</xdr:rowOff>
                  </from>
                  <to>
                    <xdr:col>22</xdr:col>
                    <xdr:colOff>184150</xdr:colOff>
                    <xdr:row>128</xdr:row>
                    <xdr:rowOff>184150</xdr:rowOff>
                  </to>
                </anchor>
              </controlPr>
            </control>
          </mc:Choice>
        </mc:AlternateContent>
        <mc:AlternateContent xmlns:mc="http://schemas.openxmlformats.org/markup-compatibility/2006">
          <mc:Choice Requires="x14">
            <control shapeId="8362" r:id="rId50" name="Check Box 170">
              <controlPr locked="0" defaultSize="0" autoFill="0" autoLine="0" autoPict="0">
                <anchor moveWithCells="1" sizeWithCells="1">
                  <from>
                    <xdr:col>22</xdr:col>
                    <xdr:colOff>0</xdr:colOff>
                    <xdr:row>132</xdr:row>
                    <xdr:rowOff>0</xdr:rowOff>
                  </from>
                  <to>
                    <xdr:col>22</xdr:col>
                    <xdr:colOff>184150</xdr:colOff>
                    <xdr:row>132</xdr:row>
                    <xdr:rowOff>184150</xdr:rowOff>
                  </to>
                </anchor>
              </controlPr>
            </control>
          </mc:Choice>
        </mc:AlternateContent>
        <mc:AlternateContent xmlns:mc="http://schemas.openxmlformats.org/markup-compatibility/2006">
          <mc:Choice Requires="x14">
            <control shapeId="8363" r:id="rId51" name="Check Box 171">
              <controlPr locked="0" defaultSize="0" autoFill="0" autoLine="0" autoPict="0">
                <anchor moveWithCells="1" sizeWithCells="1">
                  <from>
                    <xdr:col>22</xdr:col>
                    <xdr:colOff>0</xdr:colOff>
                    <xdr:row>139</xdr:row>
                    <xdr:rowOff>0</xdr:rowOff>
                  </from>
                  <to>
                    <xdr:col>22</xdr:col>
                    <xdr:colOff>184150</xdr:colOff>
                    <xdr:row>139</xdr:row>
                    <xdr:rowOff>184150</xdr:rowOff>
                  </to>
                </anchor>
              </controlPr>
            </control>
          </mc:Choice>
        </mc:AlternateContent>
        <mc:AlternateContent xmlns:mc="http://schemas.openxmlformats.org/markup-compatibility/2006">
          <mc:Choice Requires="x14">
            <control shapeId="8364" r:id="rId52" name="Check Box 172">
              <controlPr locked="0" defaultSize="0" autoFill="0" autoLine="0" autoPict="0">
                <anchor moveWithCells="1" sizeWithCells="1">
                  <from>
                    <xdr:col>22</xdr:col>
                    <xdr:colOff>0</xdr:colOff>
                    <xdr:row>141</xdr:row>
                    <xdr:rowOff>0</xdr:rowOff>
                  </from>
                  <to>
                    <xdr:col>22</xdr:col>
                    <xdr:colOff>184150</xdr:colOff>
                    <xdr:row>141</xdr:row>
                    <xdr:rowOff>184150</xdr:rowOff>
                  </to>
                </anchor>
              </controlPr>
            </control>
          </mc:Choice>
        </mc:AlternateContent>
        <mc:AlternateContent xmlns:mc="http://schemas.openxmlformats.org/markup-compatibility/2006">
          <mc:Choice Requires="x14">
            <control shapeId="8365" r:id="rId53" name="Check Box 173">
              <controlPr locked="0" defaultSize="0" autoFill="0" autoLine="0" autoPict="0">
                <anchor moveWithCells="1" sizeWithCells="1">
                  <from>
                    <xdr:col>22</xdr:col>
                    <xdr:colOff>0</xdr:colOff>
                    <xdr:row>142</xdr:row>
                    <xdr:rowOff>0</xdr:rowOff>
                  </from>
                  <to>
                    <xdr:col>22</xdr:col>
                    <xdr:colOff>184150</xdr:colOff>
                    <xdr:row>142</xdr:row>
                    <xdr:rowOff>184150</xdr:rowOff>
                  </to>
                </anchor>
              </controlPr>
            </control>
          </mc:Choice>
        </mc:AlternateContent>
        <mc:AlternateContent xmlns:mc="http://schemas.openxmlformats.org/markup-compatibility/2006">
          <mc:Choice Requires="x14">
            <control shapeId="8366" r:id="rId54" name="Check Box 174">
              <controlPr locked="0" defaultSize="0" autoFill="0" autoLine="0" autoPict="0">
                <anchor moveWithCells="1" sizeWithCells="1">
                  <from>
                    <xdr:col>22</xdr:col>
                    <xdr:colOff>0</xdr:colOff>
                    <xdr:row>144</xdr:row>
                    <xdr:rowOff>0</xdr:rowOff>
                  </from>
                  <to>
                    <xdr:col>22</xdr:col>
                    <xdr:colOff>184150</xdr:colOff>
                    <xdr:row>144</xdr:row>
                    <xdr:rowOff>184150</xdr:rowOff>
                  </to>
                </anchor>
              </controlPr>
            </control>
          </mc:Choice>
        </mc:AlternateContent>
        <mc:AlternateContent xmlns:mc="http://schemas.openxmlformats.org/markup-compatibility/2006">
          <mc:Choice Requires="x14">
            <control shapeId="8367" r:id="rId55" name="Check Box 175">
              <controlPr locked="0" defaultSize="0" autoFill="0" autoLine="0" autoPict="0">
                <anchor moveWithCells="1" sizeWithCells="1">
                  <from>
                    <xdr:col>22</xdr:col>
                    <xdr:colOff>0</xdr:colOff>
                    <xdr:row>145</xdr:row>
                    <xdr:rowOff>0</xdr:rowOff>
                  </from>
                  <to>
                    <xdr:col>22</xdr:col>
                    <xdr:colOff>184150</xdr:colOff>
                    <xdr:row>145</xdr:row>
                    <xdr:rowOff>184150</xdr:rowOff>
                  </to>
                </anchor>
              </controlPr>
            </control>
          </mc:Choice>
        </mc:AlternateContent>
        <mc:AlternateContent xmlns:mc="http://schemas.openxmlformats.org/markup-compatibility/2006">
          <mc:Choice Requires="x14">
            <control shapeId="8368" r:id="rId56" name="Check Box 176">
              <controlPr locked="0" defaultSize="0" autoFill="0" autoLine="0" autoPict="0">
                <anchor moveWithCells="1" sizeWithCells="1">
                  <from>
                    <xdr:col>22</xdr:col>
                    <xdr:colOff>0</xdr:colOff>
                    <xdr:row>146</xdr:row>
                    <xdr:rowOff>0</xdr:rowOff>
                  </from>
                  <to>
                    <xdr:col>22</xdr:col>
                    <xdr:colOff>184150</xdr:colOff>
                    <xdr:row>146</xdr:row>
                    <xdr:rowOff>184150</xdr:rowOff>
                  </to>
                </anchor>
              </controlPr>
            </control>
          </mc:Choice>
        </mc:AlternateContent>
        <mc:AlternateContent xmlns:mc="http://schemas.openxmlformats.org/markup-compatibility/2006">
          <mc:Choice Requires="x14">
            <control shapeId="8369" r:id="rId57" name="Check Box 177">
              <controlPr locked="0" defaultSize="0" autoFill="0" autoLine="0" autoPict="0">
                <anchor moveWithCells="1" sizeWithCells="1">
                  <from>
                    <xdr:col>22</xdr:col>
                    <xdr:colOff>0</xdr:colOff>
                    <xdr:row>147</xdr:row>
                    <xdr:rowOff>0</xdr:rowOff>
                  </from>
                  <to>
                    <xdr:col>22</xdr:col>
                    <xdr:colOff>184150</xdr:colOff>
                    <xdr:row>147</xdr:row>
                    <xdr:rowOff>184150</xdr:rowOff>
                  </to>
                </anchor>
              </controlPr>
            </control>
          </mc:Choice>
        </mc:AlternateContent>
        <mc:AlternateContent xmlns:mc="http://schemas.openxmlformats.org/markup-compatibility/2006">
          <mc:Choice Requires="x14">
            <control shapeId="8370" r:id="rId58" name="Check Box 178">
              <controlPr locked="0" defaultSize="0" autoFill="0" autoLine="0" autoPict="0">
                <anchor moveWithCells="1" sizeWithCells="1">
                  <from>
                    <xdr:col>22</xdr:col>
                    <xdr:colOff>0</xdr:colOff>
                    <xdr:row>148</xdr:row>
                    <xdr:rowOff>0</xdr:rowOff>
                  </from>
                  <to>
                    <xdr:col>22</xdr:col>
                    <xdr:colOff>184150</xdr:colOff>
                    <xdr:row>148</xdr:row>
                    <xdr:rowOff>184150</xdr:rowOff>
                  </to>
                </anchor>
              </controlPr>
            </control>
          </mc:Choice>
        </mc:AlternateContent>
        <mc:AlternateContent xmlns:mc="http://schemas.openxmlformats.org/markup-compatibility/2006">
          <mc:Choice Requires="x14">
            <control shapeId="8371" r:id="rId59" name="Check Box 179">
              <controlPr locked="0" defaultSize="0" autoFill="0" autoLine="0" autoPict="0">
                <anchor moveWithCells="1" sizeWithCells="1">
                  <from>
                    <xdr:col>22</xdr:col>
                    <xdr:colOff>0</xdr:colOff>
                    <xdr:row>165</xdr:row>
                    <xdr:rowOff>0</xdr:rowOff>
                  </from>
                  <to>
                    <xdr:col>22</xdr:col>
                    <xdr:colOff>184150</xdr:colOff>
                    <xdr:row>165</xdr:row>
                    <xdr:rowOff>184150</xdr:rowOff>
                  </to>
                </anchor>
              </controlPr>
            </control>
          </mc:Choice>
        </mc:AlternateContent>
        <mc:AlternateContent xmlns:mc="http://schemas.openxmlformats.org/markup-compatibility/2006">
          <mc:Choice Requires="x14">
            <control shapeId="8372" r:id="rId60" name="Check Box 180">
              <controlPr locked="0" defaultSize="0" autoFill="0" autoLine="0" autoPict="0">
                <anchor moveWithCells="1" sizeWithCells="1">
                  <from>
                    <xdr:col>22</xdr:col>
                    <xdr:colOff>0</xdr:colOff>
                    <xdr:row>167</xdr:row>
                    <xdr:rowOff>0</xdr:rowOff>
                  </from>
                  <to>
                    <xdr:col>22</xdr:col>
                    <xdr:colOff>184150</xdr:colOff>
                    <xdr:row>167</xdr:row>
                    <xdr:rowOff>184150</xdr:rowOff>
                  </to>
                </anchor>
              </controlPr>
            </control>
          </mc:Choice>
        </mc:AlternateContent>
        <mc:AlternateContent xmlns:mc="http://schemas.openxmlformats.org/markup-compatibility/2006">
          <mc:Choice Requires="x14">
            <control shapeId="8373" r:id="rId61" name="Check Box 181">
              <controlPr locked="0" defaultSize="0" autoFill="0" autoLine="0" autoPict="0">
                <anchor moveWithCells="1" sizeWithCells="1">
                  <from>
                    <xdr:col>22</xdr:col>
                    <xdr:colOff>0</xdr:colOff>
                    <xdr:row>170</xdr:row>
                    <xdr:rowOff>0</xdr:rowOff>
                  </from>
                  <to>
                    <xdr:col>22</xdr:col>
                    <xdr:colOff>184150</xdr:colOff>
                    <xdr:row>170</xdr:row>
                    <xdr:rowOff>184150</xdr:rowOff>
                  </to>
                </anchor>
              </controlPr>
            </control>
          </mc:Choice>
        </mc:AlternateContent>
        <mc:AlternateContent xmlns:mc="http://schemas.openxmlformats.org/markup-compatibility/2006">
          <mc:Choice Requires="x14">
            <control shapeId="8374" r:id="rId62" name="Check Box 182">
              <controlPr locked="0" defaultSize="0" autoFill="0" autoLine="0" autoPict="0">
                <anchor moveWithCells="1" sizeWithCells="1">
                  <from>
                    <xdr:col>22</xdr:col>
                    <xdr:colOff>0</xdr:colOff>
                    <xdr:row>183</xdr:row>
                    <xdr:rowOff>0</xdr:rowOff>
                  </from>
                  <to>
                    <xdr:col>22</xdr:col>
                    <xdr:colOff>184150</xdr:colOff>
                    <xdr:row>183</xdr:row>
                    <xdr:rowOff>184150</xdr:rowOff>
                  </to>
                </anchor>
              </controlPr>
            </control>
          </mc:Choice>
        </mc:AlternateContent>
        <mc:AlternateContent xmlns:mc="http://schemas.openxmlformats.org/markup-compatibility/2006">
          <mc:Choice Requires="x14">
            <control shapeId="8375" r:id="rId63" name="Check Box 183">
              <controlPr locked="0" defaultSize="0" autoFill="0" autoLine="0" autoPict="0">
                <anchor moveWithCells="1" sizeWithCells="1">
                  <from>
                    <xdr:col>22</xdr:col>
                    <xdr:colOff>0</xdr:colOff>
                    <xdr:row>185</xdr:row>
                    <xdr:rowOff>0</xdr:rowOff>
                  </from>
                  <to>
                    <xdr:col>22</xdr:col>
                    <xdr:colOff>184150</xdr:colOff>
                    <xdr:row>185</xdr:row>
                    <xdr:rowOff>184150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4653</vt:i4>
      </vt:variant>
    </vt:vector>
  </HeadingPairs>
  <TitlesOfParts>
    <vt:vector size="4690" baseType="lpstr">
      <vt:lpstr>Info &amp; Intro</vt:lpstr>
      <vt:lpstr>Overview (Design)</vt:lpstr>
      <vt:lpstr>Ch5</vt:lpstr>
      <vt:lpstr>Ch6</vt:lpstr>
      <vt:lpstr>Ch7</vt:lpstr>
      <vt:lpstr>Ch8</vt:lpstr>
      <vt:lpstr>Ch9</vt:lpstr>
      <vt:lpstr>Ch10</vt:lpstr>
      <vt:lpstr>Req. Doc.</vt:lpstr>
      <vt:lpstr>Design Summ.</vt:lpstr>
      <vt:lpstr>Overview (Verification)</vt:lpstr>
      <vt:lpstr>Verification Report</vt:lpstr>
      <vt:lpstr>Rough Summary</vt:lpstr>
      <vt:lpstr>Final Summary</vt:lpstr>
      <vt:lpstr>Appendix A</vt:lpstr>
      <vt:lpstr>Appendix B</vt:lpstr>
      <vt:lpstr>Appendix D</vt:lpstr>
      <vt:lpstr>Table 602.1.12</vt:lpstr>
      <vt:lpstr>Table 604.1</vt:lpstr>
      <vt:lpstr>Table 610.1.2.1</vt:lpstr>
      <vt:lpstr>Table 610.1.2.2</vt:lpstr>
      <vt:lpstr>Figure 6(2)</vt:lpstr>
      <vt:lpstr>Figure 6(3)</vt:lpstr>
      <vt:lpstr>Table 701.4.3.2(2)</vt:lpstr>
      <vt:lpstr>Table 703.2.1(a)</vt:lpstr>
      <vt:lpstr>Table 703.2.1(b)</vt:lpstr>
      <vt:lpstr>Table 703.2.2</vt:lpstr>
      <vt:lpstr>Table 703.2.4</vt:lpstr>
      <vt:lpstr>Table 703.2.5.1</vt:lpstr>
      <vt:lpstr>Tables 703.2.5.2(a), (b) &amp; (c)</vt:lpstr>
      <vt:lpstr>Table 703.7.1(7)</vt:lpstr>
      <vt:lpstr>Table 801.1(1)</vt:lpstr>
      <vt:lpstr>Table 801.1(2)</vt:lpstr>
      <vt:lpstr>Table 901.9.1</vt:lpstr>
      <vt:lpstr>Table 901.9.2</vt:lpstr>
      <vt:lpstr>Table 901.10(3)</vt:lpstr>
      <vt:lpstr>Errata</vt:lpstr>
      <vt:lpstr>Ch10Add</vt:lpstr>
      <vt:lpstr>Ch10AddFinal</vt:lpstr>
      <vt:lpstr>Ch10AddGoal</vt:lpstr>
      <vt:lpstr>Ch10GLevFinal</vt:lpstr>
      <vt:lpstr>Ch10Level</vt:lpstr>
      <vt:lpstr>Ch10LevelFinal</vt:lpstr>
      <vt:lpstr>Ch10NLev</vt:lpstr>
      <vt:lpstr>Ch10Points</vt:lpstr>
      <vt:lpstr>Ch10PointsFinal</vt:lpstr>
      <vt:lpstr>Points!Ch5Add</vt:lpstr>
      <vt:lpstr>Ch5AddFinal</vt:lpstr>
      <vt:lpstr>Ch5AddGoal</vt:lpstr>
      <vt:lpstr>Ch5Error</vt:lpstr>
      <vt:lpstr>Ch5GLevFinal</vt:lpstr>
      <vt:lpstr>Points!Ch5Level</vt:lpstr>
      <vt:lpstr>Ch5LevelFinal</vt:lpstr>
      <vt:lpstr>Ch5MandError</vt:lpstr>
      <vt:lpstr>Points!Ch5NLev</vt:lpstr>
      <vt:lpstr>Points!Ch5Points</vt:lpstr>
      <vt:lpstr>Ch5PointsFinal</vt:lpstr>
      <vt:lpstr>Ch6Add</vt:lpstr>
      <vt:lpstr>Ch6AddFinal</vt:lpstr>
      <vt:lpstr>Ch6AddGoal</vt:lpstr>
      <vt:lpstr>Ch6GLevFinal</vt:lpstr>
      <vt:lpstr>Ch6Level</vt:lpstr>
      <vt:lpstr>Ch6LevelFinal</vt:lpstr>
      <vt:lpstr>Ch6NLev</vt:lpstr>
      <vt:lpstr>Ch6Points</vt:lpstr>
      <vt:lpstr>Ch6PointsFinal</vt:lpstr>
      <vt:lpstr>Ch7Add</vt:lpstr>
      <vt:lpstr>Ch7AddFinal</vt:lpstr>
      <vt:lpstr>Ch7AddGoal</vt:lpstr>
      <vt:lpstr>Ch7GLevFinal</vt:lpstr>
      <vt:lpstr>Ch7Level</vt:lpstr>
      <vt:lpstr>Ch7LevelFinal</vt:lpstr>
      <vt:lpstr>Ch7Max</vt:lpstr>
      <vt:lpstr>Ch7NLev</vt:lpstr>
      <vt:lpstr>Ch7Points</vt:lpstr>
      <vt:lpstr>Ch7PointsFinal</vt:lpstr>
      <vt:lpstr>Ch8Add</vt:lpstr>
      <vt:lpstr>Ch8AddFinal</vt:lpstr>
      <vt:lpstr>Ch8AddGoal</vt:lpstr>
      <vt:lpstr>Ch8GLevFinal</vt:lpstr>
      <vt:lpstr>Ch8Level</vt:lpstr>
      <vt:lpstr>Ch8LevelFinal</vt:lpstr>
      <vt:lpstr>Ch8Max</vt:lpstr>
      <vt:lpstr>Ch8NLev</vt:lpstr>
      <vt:lpstr>Ch8Points</vt:lpstr>
      <vt:lpstr>Ch8PointsFinal</vt:lpstr>
      <vt:lpstr>Ch9Add</vt:lpstr>
      <vt:lpstr>Ch9AddFinal</vt:lpstr>
      <vt:lpstr>Ch9AddGoal</vt:lpstr>
      <vt:lpstr>Ch9GLevFinal</vt:lpstr>
      <vt:lpstr>Ch9Level</vt:lpstr>
      <vt:lpstr>Ch9LevelFinal</vt:lpstr>
      <vt:lpstr>Ch9NLev</vt:lpstr>
      <vt:lpstr>Ch9Points</vt:lpstr>
      <vt:lpstr>Ch9PointsFinal</vt:lpstr>
      <vt:lpstr>codChapter10</vt:lpstr>
      <vt:lpstr>codChapter5</vt:lpstr>
      <vt:lpstr>codChapter6</vt:lpstr>
      <vt:lpstr>codChapter7</vt:lpstr>
      <vt:lpstr>codChapter8</vt:lpstr>
      <vt:lpstr>codChapter9</vt:lpstr>
      <vt:lpstr>dbState</vt:lpstr>
      <vt:lpstr>dch1001_1_1</vt:lpstr>
      <vt:lpstr>dch1001_1_10</vt:lpstr>
      <vt:lpstr>dch1001_1_11</vt:lpstr>
      <vt:lpstr>dch1001_1_12</vt:lpstr>
      <vt:lpstr>dch1001_1_13</vt:lpstr>
      <vt:lpstr>dch1001_1_14</vt:lpstr>
      <vt:lpstr>dch1001_1_15</vt:lpstr>
      <vt:lpstr>dch1001_1_16</vt:lpstr>
      <vt:lpstr>dch1001_1_17</vt:lpstr>
      <vt:lpstr>dch1001_1_18</vt:lpstr>
      <vt:lpstr>dch1001_1_19</vt:lpstr>
      <vt:lpstr>dch1001_1_2</vt:lpstr>
      <vt:lpstr>dch1001_1_20</vt:lpstr>
      <vt:lpstr>dch1001_1_21</vt:lpstr>
      <vt:lpstr>dch1001_1_22</vt:lpstr>
      <vt:lpstr>dch1001_1_23</vt:lpstr>
      <vt:lpstr>dch1001_1_24</vt:lpstr>
      <vt:lpstr>dch1001_1_3</vt:lpstr>
      <vt:lpstr>dch1001_1_4</vt:lpstr>
      <vt:lpstr>dch1001_1_5</vt:lpstr>
      <vt:lpstr>dch1001_1_6</vt:lpstr>
      <vt:lpstr>dch1001_1_7</vt:lpstr>
      <vt:lpstr>dch1001_1_8</vt:lpstr>
      <vt:lpstr>dch1001_1_9</vt:lpstr>
      <vt:lpstr>dch1001_2</vt:lpstr>
      <vt:lpstr>dch1002_1_1</vt:lpstr>
      <vt:lpstr>dch1002_1_2</vt:lpstr>
      <vt:lpstr>dch1002_1_3</vt:lpstr>
      <vt:lpstr>dch1002_1_4</vt:lpstr>
      <vt:lpstr>dch1002_1_5</vt:lpstr>
      <vt:lpstr>dch1002_1_6</vt:lpstr>
      <vt:lpstr>dch1002_1_7</vt:lpstr>
      <vt:lpstr>dch1002_1_8</vt:lpstr>
      <vt:lpstr>dch1002_2_1</vt:lpstr>
      <vt:lpstr>dch1002_2_10</vt:lpstr>
      <vt:lpstr>dch1002_2_11</vt:lpstr>
      <vt:lpstr>dch1002_2_2</vt:lpstr>
      <vt:lpstr>dch1002_2_3</vt:lpstr>
      <vt:lpstr>dch1002_2_4</vt:lpstr>
      <vt:lpstr>dch1002_2_5</vt:lpstr>
      <vt:lpstr>dch1002_2_6</vt:lpstr>
      <vt:lpstr>dch1002_2_7</vt:lpstr>
      <vt:lpstr>dch1002_2_8</vt:lpstr>
      <vt:lpstr>dch1002_2_9</vt:lpstr>
      <vt:lpstr>dch1002_3_1</vt:lpstr>
      <vt:lpstr>dch1002_3_10</vt:lpstr>
      <vt:lpstr>dch1002_3_2</vt:lpstr>
      <vt:lpstr>dch1002_3_3</vt:lpstr>
      <vt:lpstr>dch1002_3_4</vt:lpstr>
      <vt:lpstr>dch1002_3_5</vt:lpstr>
      <vt:lpstr>dch1002_3_6</vt:lpstr>
      <vt:lpstr>dch1002_3_7</vt:lpstr>
      <vt:lpstr>dch1002_3_8</vt:lpstr>
      <vt:lpstr>dch1002_3_9</vt:lpstr>
      <vt:lpstr>dch1002_4</vt:lpstr>
      <vt:lpstr>dch1003_1_1</vt:lpstr>
      <vt:lpstr>dch1003_1_2</vt:lpstr>
      <vt:lpstr>dch1003_1_3</vt:lpstr>
      <vt:lpstr>dch1004_1_1</vt:lpstr>
      <vt:lpstr>dch1004_1_2</vt:lpstr>
      <vt:lpstr>dch501_1_1</vt:lpstr>
      <vt:lpstr>dch501_1_2_a</vt:lpstr>
      <vt:lpstr>dch501_1_2_b</vt:lpstr>
      <vt:lpstr>dch501_1_2_c</vt:lpstr>
      <vt:lpstr>dch501_2_1</vt:lpstr>
      <vt:lpstr>dch501_2_2</vt:lpstr>
      <vt:lpstr>dch501_2_3</vt:lpstr>
      <vt:lpstr>dch501_2_4</vt:lpstr>
      <vt:lpstr>dch501_2_5</vt:lpstr>
      <vt:lpstr>dch501_2_6</vt:lpstr>
      <vt:lpstr>dch502_1</vt:lpstr>
      <vt:lpstr>dch503_1_1</vt:lpstr>
      <vt:lpstr>dch503_1_2</vt:lpstr>
      <vt:lpstr>dch503_1_3</vt:lpstr>
      <vt:lpstr>dch503_1_4</vt:lpstr>
      <vt:lpstr>dch503_1_5</vt:lpstr>
      <vt:lpstr>dch503_1_6</vt:lpstr>
      <vt:lpstr>dch503_1_7</vt:lpstr>
      <vt:lpstr>dch503_2</vt:lpstr>
      <vt:lpstr>dch503_2_1</vt:lpstr>
      <vt:lpstr>dch503_2_2</vt:lpstr>
      <vt:lpstr>dch503_2_3</vt:lpstr>
      <vt:lpstr>dch503_2_4</vt:lpstr>
      <vt:lpstr>dch503_2_5</vt:lpstr>
      <vt:lpstr>dch503_3_1</vt:lpstr>
      <vt:lpstr>dch503_3_2_a</vt:lpstr>
      <vt:lpstr>dch503_3_2_b</vt:lpstr>
      <vt:lpstr>dch503_3_2_c</vt:lpstr>
      <vt:lpstr>dch503_3_2_d</vt:lpstr>
      <vt:lpstr>dch503_3_3</vt:lpstr>
      <vt:lpstr>dch503_4_1</vt:lpstr>
      <vt:lpstr>dch503_4_2</vt:lpstr>
      <vt:lpstr>dch503_4_3</vt:lpstr>
      <vt:lpstr>dch503_4_4</vt:lpstr>
      <vt:lpstr>dch503_5</vt:lpstr>
      <vt:lpstr>dch503_5_1</vt:lpstr>
      <vt:lpstr>dch503_5_10</vt:lpstr>
      <vt:lpstr>dch503_5_11</vt:lpstr>
      <vt:lpstr>dch503_5_12</vt:lpstr>
      <vt:lpstr>dch503_5_2</vt:lpstr>
      <vt:lpstr>dch503_5_3</vt:lpstr>
      <vt:lpstr>dch503_5_4</vt:lpstr>
      <vt:lpstr>dch503_5_5</vt:lpstr>
      <vt:lpstr>dch503_5_6</vt:lpstr>
      <vt:lpstr>dch503_5_7</vt:lpstr>
      <vt:lpstr>dch503_5_8</vt:lpstr>
      <vt:lpstr>dch503_5_9</vt:lpstr>
      <vt:lpstr>dch503_6_1</vt:lpstr>
      <vt:lpstr>dch503_6_2</vt:lpstr>
      <vt:lpstr>dch503_6_3</vt:lpstr>
      <vt:lpstr>dch503_6_4</vt:lpstr>
      <vt:lpstr>dch503_7</vt:lpstr>
      <vt:lpstr>dch503_8</vt:lpstr>
      <vt:lpstr>dch504_1</vt:lpstr>
      <vt:lpstr>dch504_2_1</vt:lpstr>
      <vt:lpstr>dch504_2_2</vt:lpstr>
      <vt:lpstr>dch504_2_3</vt:lpstr>
      <vt:lpstr>dch504_3_1</vt:lpstr>
      <vt:lpstr>dch504_3_2</vt:lpstr>
      <vt:lpstr>dch504_3_3</vt:lpstr>
      <vt:lpstr>dch504_3_4</vt:lpstr>
      <vt:lpstr>dch504_3_5</vt:lpstr>
      <vt:lpstr>dch504_3_6</vt:lpstr>
      <vt:lpstr>dch504_3_7</vt:lpstr>
      <vt:lpstr>dch504_3_8a</vt:lpstr>
      <vt:lpstr>dch504_3_8b</vt:lpstr>
      <vt:lpstr>dch504_3_8c</vt:lpstr>
      <vt:lpstr>dch504_3_8d</vt:lpstr>
      <vt:lpstr>dch504_3_8e</vt:lpstr>
      <vt:lpstr>dch504_3_8f</vt:lpstr>
      <vt:lpstr>dch504_3_9</vt:lpstr>
      <vt:lpstr>dch505_1_1</vt:lpstr>
      <vt:lpstr>dch505_1_2</vt:lpstr>
      <vt:lpstr>dch505_1_3</vt:lpstr>
      <vt:lpstr>dch505_1_4</vt:lpstr>
      <vt:lpstr>dch505_2_1_a</vt:lpstr>
      <vt:lpstr>dch505_2_1_b</vt:lpstr>
      <vt:lpstr>dch505_2_1_c</vt:lpstr>
      <vt:lpstr>dch505_2_2</vt:lpstr>
      <vt:lpstr>dch505_3</vt:lpstr>
      <vt:lpstr>dch505_4</vt:lpstr>
      <vt:lpstr>dch505_5</vt:lpstr>
      <vt:lpstr>dch505_6</vt:lpstr>
      <vt:lpstr>dch601_2_1</vt:lpstr>
      <vt:lpstr>dch601_2_2</vt:lpstr>
      <vt:lpstr>dch601_2_3</vt:lpstr>
      <vt:lpstr>dch601_3_1</vt:lpstr>
      <vt:lpstr>dch601_3_2</vt:lpstr>
      <vt:lpstr>dch601_3_3</vt:lpstr>
      <vt:lpstr>dch601_3_4</vt:lpstr>
      <vt:lpstr>dch601_3_5</vt:lpstr>
      <vt:lpstr>dch601_4</vt:lpstr>
      <vt:lpstr>dch601_5_1</vt:lpstr>
      <vt:lpstr>dch601_5_2</vt:lpstr>
      <vt:lpstr>dch601_5_3</vt:lpstr>
      <vt:lpstr>dch601_5_4</vt:lpstr>
      <vt:lpstr>dch601_5_5</vt:lpstr>
      <vt:lpstr>dch601_6</vt:lpstr>
      <vt:lpstr>dch601_7_a</vt:lpstr>
      <vt:lpstr>dch601_7_b</vt:lpstr>
      <vt:lpstr>dch601_7_c</vt:lpstr>
      <vt:lpstr>dch601_7_d</vt:lpstr>
      <vt:lpstr>dch601_7_e</vt:lpstr>
      <vt:lpstr>dch601_8</vt:lpstr>
      <vt:lpstr>dch601_9</vt:lpstr>
      <vt:lpstr>dch602_1_1_1</vt:lpstr>
      <vt:lpstr>dch602_1_1_2</vt:lpstr>
      <vt:lpstr>dch602_1_10</vt:lpstr>
      <vt:lpstr>dch602_1_11</vt:lpstr>
      <vt:lpstr>dch602_1_12</vt:lpstr>
      <vt:lpstr>dch602_1_13</vt:lpstr>
      <vt:lpstr>dch602_1_14_1</vt:lpstr>
      <vt:lpstr>dch602_1_14_2</vt:lpstr>
      <vt:lpstr>dch602_1_14_3</vt:lpstr>
      <vt:lpstr>dch602_1_2__1</vt:lpstr>
      <vt:lpstr>dch602_1_2__2</vt:lpstr>
      <vt:lpstr>dch602_1_3_1</vt:lpstr>
      <vt:lpstr>dch602_1_3_2</vt:lpstr>
      <vt:lpstr>dch602_1_4_1_1</vt:lpstr>
      <vt:lpstr>dch602_1_4_1_2</vt:lpstr>
      <vt:lpstr>dch602_1_4_2_1</vt:lpstr>
      <vt:lpstr>dch602_1_4_2_2</vt:lpstr>
      <vt:lpstr>dch602_1_5</vt:lpstr>
      <vt:lpstr>dch602_1_5_1</vt:lpstr>
      <vt:lpstr>dch602_1_5_2</vt:lpstr>
      <vt:lpstr>dch602_1_6_1</vt:lpstr>
      <vt:lpstr>dch602_1_6_2</vt:lpstr>
      <vt:lpstr>dch602_1_6_3</vt:lpstr>
      <vt:lpstr>dch602_1_7_1_1</vt:lpstr>
      <vt:lpstr>dch602_1_7_1_2</vt:lpstr>
      <vt:lpstr>dch602_1_7_1_3</vt:lpstr>
      <vt:lpstr>dch602_1_7_2</vt:lpstr>
      <vt:lpstr>dch602_1_7_3</vt:lpstr>
      <vt:lpstr>dch602_1_8</vt:lpstr>
      <vt:lpstr>dch602_1_9_1</vt:lpstr>
      <vt:lpstr>dch602_1_9_2</vt:lpstr>
      <vt:lpstr>dch602_1_9_3</vt:lpstr>
      <vt:lpstr>dch602_1_9_4</vt:lpstr>
      <vt:lpstr>dch602_1_9_5</vt:lpstr>
      <vt:lpstr>dch602_1_9_6</vt:lpstr>
      <vt:lpstr>dch602_1_9_7</vt:lpstr>
      <vt:lpstr>dch602_2_1</vt:lpstr>
      <vt:lpstr>dch602_2_2</vt:lpstr>
      <vt:lpstr>dch602_2_3</vt:lpstr>
      <vt:lpstr>dch602_3</vt:lpstr>
      <vt:lpstr>dch602_4_1</vt:lpstr>
      <vt:lpstr>dch602_4_2</vt:lpstr>
      <vt:lpstr>dch602_4_3</vt:lpstr>
      <vt:lpstr>dch603_1</vt:lpstr>
      <vt:lpstr>dch603_2</vt:lpstr>
      <vt:lpstr>dch603_3</vt:lpstr>
      <vt:lpstr>dch604_1a</vt:lpstr>
      <vt:lpstr>dch604_1b</vt:lpstr>
      <vt:lpstr>dch604_1c</vt:lpstr>
      <vt:lpstr>dch604_1d</vt:lpstr>
      <vt:lpstr>dch605_1</vt:lpstr>
      <vt:lpstr>dch605_1_2</vt:lpstr>
      <vt:lpstr>dch605_2</vt:lpstr>
      <vt:lpstr>dch605_3_2_a</vt:lpstr>
      <vt:lpstr>dch605_3_2_b</vt:lpstr>
      <vt:lpstr>dch605_3_2_c</vt:lpstr>
      <vt:lpstr>dch605_3_2_d</vt:lpstr>
      <vt:lpstr>dch605_3_2_e</vt:lpstr>
      <vt:lpstr>dch605_3_2_f</vt:lpstr>
      <vt:lpstr>dch605_3_2_g</vt:lpstr>
      <vt:lpstr>dch605_3_2_h</vt:lpstr>
      <vt:lpstr>dch605_3_2_i</vt:lpstr>
      <vt:lpstr>dch606_1_a</vt:lpstr>
      <vt:lpstr>dch606_1_b</vt:lpstr>
      <vt:lpstr>dch606_1_c</vt:lpstr>
      <vt:lpstr>dch606_1_d</vt:lpstr>
      <vt:lpstr>dch606_1_e</vt:lpstr>
      <vt:lpstr>dch606_1_f</vt:lpstr>
      <vt:lpstr>dch606_1_g</vt:lpstr>
      <vt:lpstr>dch606_1_h</vt:lpstr>
      <vt:lpstr>dch606_2_1a</vt:lpstr>
      <vt:lpstr>dch606_2_1b</vt:lpstr>
      <vt:lpstr>dch606_2_2a</vt:lpstr>
      <vt:lpstr>dch606_2_2b</vt:lpstr>
      <vt:lpstr>dch606_3</vt:lpstr>
      <vt:lpstr>dch607_1_1</vt:lpstr>
      <vt:lpstr>dch607_1_2</vt:lpstr>
      <vt:lpstr>dch607_2</vt:lpstr>
      <vt:lpstr>dch608_1</vt:lpstr>
      <vt:lpstr>dch609_1a</vt:lpstr>
      <vt:lpstr>dch609_1b</vt:lpstr>
      <vt:lpstr>dch610_1_1_1</vt:lpstr>
      <vt:lpstr>dch610_1_1_2</vt:lpstr>
      <vt:lpstr>dch610_1_1_3</vt:lpstr>
      <vt:lpstr>dch610_1_2_1a</vt:lpstr>
      <vt:lpstr>dch610_1_2_1b</vt:lpstr>
      <vt:lpstr>dch610_1_2_2_f</vt:lpstr>
      <vt:lpstr>dch610_1_2_2a</vt:lpstr>
      <vt:lpstr>dch610_1_2_2b</vt:lpstr>
      <vt:lpstr>dch610_1_2_2c</vt:lpstr>
      <vt:lpstr>dch611_1</vt:lpstr>
      <vt:lpstr>dch611_2_1</vt:lpstr>
      <vt:lpstr>dch611_2_2</vt:lpstr>
      <vt:lpstr>dch611_2_3</vt:lpstr>
      <vt:lpstr>dch611_2_4</vt:lpstr>
      <vt:lpstr>dch611_2_5</vt:lpstr>
      <vt:lpstr>dch611_2_6</vt:lpstr>
      <vt:lpstr>dch611_2_7</vt:lpstr>
      <vt:lpstr>dch611_3_1</vt:lpstr>
      <vt:lpstr>dch611_3_2</vt:lpstr>
      <vt:lpstr>dch611_3_3</vt:lpstr>
      <vt:lpstr>dch611_3_4</vt:lpstr>
      <vt:lpstr>dch611_3_5</vt:lpstr>
      <vt:lpstr>dch611_3_6</vt:lpstr>
      <vt:lpstr>dch611_3_7</vt:lpstr>
      <vt:lpstr>dch611_3_8</vt:lpstr>
      <vt:lpstr>dch611_3_9</vt:lpstr>
      <vt:lpstr>dch611_4_1</vt:lpstr>
      <vt:lpstr>dch611_4_2</vt:lpstr>
      <vt:lpstr>dch701_1</vt:lpstr>
      <vt:lpstr>dch701_1_</vt:lpstr>
      <vt:lpstr>dch701_1_4</vt:lpstr>
      <vt:lpstr>dch701_3</vt:lpstr>
      <vt:lpstr>dch701_4_1</vt:lpstr>
      <vt:lpstr>dch701_4_1_1</vt:lpstr>
      <vt:lpstr>dch701_4_1_2</vt:lpstr>
      <vt:lpstr>dch701_4_2_2</vt:lpstr>
      <vt:lpstr>dch701_4_2_3</vt:lpstr>
      <vt:lpstr>dch701_4_3_1_1</vt:lpstr>
      <vt:lpstr>dch701_4_3_1_2</vt:lpstr>
      <vt:lpstr>dch701_4_3_2_1</vt:lpstr>
      <vt:lpstr>dch701_4_3_2_1_</vt:lpstr>
      <vt:lpstr>dch701_4_3_2_2</vt:lpstr>
      <vt:lpstr>dch701_4_3_2e</vt:lpstr>
      <vt:lpstr>dch701_4_3_3_4</vt:lpstr>
      <vt:lpstr>dch701_4_3_3_5</vt:lpstr>
      <vt:lpstr>dch701_4_4_1</vt:lpstr>
      <vt:lpstr>dch701_4_4_2</vt:lpstr>
      <vt:lpstr>dch701_4_5</vt:lpstr>
      <vt:lpstr>dch702_2_1</vt:lpstr>
      <vt:lpstr>dch702_2_2</vt:lpstr>
      <vt:lpstr>dch703_1_1</vt:lpstr>
      <vt:lpstr>dch703_1_2</vt:lpstr>
      <vt:lpstr>dch703_1_3</vt:lpstr>
      <vt:lpstr>dch703_1_3_1</vt:lpstr>
      <vt:lpstr>dch703_1_3_2</vt:lpstr>
      <vt:lpstr>dch703_2_1</vt:lpstr>
      <vt:lpstr>dch703_2_1_2</vt:lpstr>
      <vt:lpstr>dch703_2_2</vt:lpstr>
      <vt:lpstr>dch703_2_3</vt:lpstr>
      <vt:lpstr>dch703_2_5_1</vt:lpstr>
      <vt:lpstr>dch703_2_5_1_1</vt:lpstr>
      <vt:lpstr>dch703_2_5_2</vt:lpstr>
      <vt:lpstr>dch703_2_5_2_1</vt:lpstr>
      <vt:lpstr>dch703_3_0_1</vt:lpstr>
      <vt:lpstr>dch703_3_0_2</vt:lpstr>
      <vt:lpstr>dch703_3_1</vt:lpstr>
      <vt:lpstr>dch703_3_2__1_1</vt:lpstr>
      <vt:lpstr>dch703_3_2__2_1</vt:lpstr>
      <vt:lpstr>dch703_3_2__3_1</vt:lpstr>
      <vt:lpstr>dch703_3_2__4_1</vt:lpstr>
      <vt:lpstr>dch703_3_3__1_1</vt:lpstr>
      <vt:lpstr>dch703_3_3__3</vt:lpstr>
      <vt:lpstr>dch703_3_4_1_1</vt:lpstr>
      <vt:lpstr>dch703_3_4_1_5</vt:lpstr>
      <vt:lpstr>dch703_3_4_2</vt:lpstr>
      <vt:lpstr>dch703_3_5</vt:lpstr>
      <vt:lpstr>dch703_3_6</vt:lpstr>
      <vt:lpstr>dch703_3_7_1</vt:lpstr>
      <vt:lpstr>dch703_3_7_2</vt:lpstr>
      <vt:lpstr>dch703_3_8</vt:lpstr>
      <vt:lpstr>dch703_4_1</vt:lpstr>
      <vt:lpstr>dch703_4_2</vt:lpstr>
      <vt:lpstr>dch703_4_3_1</vt:lpstr>
      <vt:lpstr>dch703_4_3_2</vt:lpstr>
      <vt:lpstr>dch703_4_3_3</vt:lpstr>
      <vt:lpstr>dch703_4_4</vt:lpstr>
      <vt:lpstr>dch703_5_1</vt:lpstr>
      <vt:lpstr>dch703_5_1_1_a</vt:lpstr>
      <vt:lpstr>dch703_5_2</vt:lpstr>
      <vt:lpstr>dch703_5_3</vt:lpstr>
      <vt:lpstr>dch703_5_4</vt:lpstr>
      <vt:lpstr>dch703_5_5</vt:lpstr>
      <vt:lpstr>dch703_6_1_1</vt:lpstr>
      <vt:lpstr>dch703_6_1_2</vt:lpstr>
      <vt:lpstr>dch703_6_1_3</vt:lpstr>
      <vt:lpstr>dch703_6_2__1</vt:lpstr>
      <vt:lpstr>dch703_6_2__2</vt:lpstr>
      <vt:lpstr>dch703_6_2__3</vt:lpstr>
      <vt:lpstr>dch703_7_1</vt:lpstr>
      <vt:lpstr>dch703_7_2</vt:lpstr>
      <vt:lpstr>dch703_7_3_1_a</vt:lpstr>
      <vt:lpstr>dch703_7_3_1_b</vt:lpstr>
      <vt:lpstr>dch703_7_3_1_c</vt:lpstr>
      <vt:lpstr>dch703_7_3_1_d</vt:lpstr>
      <vt:lpstr>dch703_7_3_2</vt:lpstr>
      <vt:lpstr>dch703_7_3_3</vt:lpstr>
      <vt:lpstr>dch703_7_3_4</vt:lpstr>
      <vt:lpstr>dch703_7_3_5_a</vt:lpstr>
      <vt:lpstr>dch703_7_3_5_b</vt:lpstr>
      <vt:lpstr>dch703_7_3_6</vt:lpstr>
      <vt:lpstr>dch703_7_4</vt:lpstr>
      <vt:lpstr>dch704_2_1</vt:lpstr>
      <vt:lpstr>dch704_2_2</vt:lpstr>
      <vt:lpstr>dch705_2_1_1</vt:lpstr>
      <vt:lpstr>dch705_2_1_2</vt:lpstr>
      <vt:lpstr>dch705_2_1_3_1</vt:lpstr>
      <vt:lpstr>dch705_2_1_3_2</vt:lpstr>
      <vt:lpstr>dch705_2_1_4</vt:lpstr>
      <vt:lpstr>dch705_2_2</vt:lpstr>
      <vt:lpstr>dch705_2_3</vt:lpstr>
      <vt:lpstr>dch705_2_4</vt:lpstr>
      <vt:lpstr>dch705_3</vt:lpstr>
      <vt:lpstr>dch705_4</vt:lpstr>
      <vt:lpstr>dch705_5_1</vt:lpstr>
      <vt:lpstr>dch705_5_2</vt:lpstr>
      <vt:lpstr>dch705_6_2_1_1</vt:lpstr>
      <vt:lpstr>dch705_6_2_1_1_1</vt:lpstr>
      <vt:lpstr>dch705_6_2_1_1_2</vt:lpstr>
      <vt:lpstr>dch705_6_2_1_2</vt:lpstr>
      <vt:lpstr>dch705_6_2_2</vt:lpstr>
      <vt:lpstr>dch705_6_2_3</vt:lpstr>
      <vt:lpstr>dch705_6_3</vt:lpstr>
      <vt:lpstr>'Ch7'!dch705_6_3_1</vt:lpstr>
      <vt:lpstr>dch705_6_3_1</vt:lpstr>
      <vt:lpstr>dch705_6_4_1</vt:lpstr>
      <vt:lpstr>dch705_6_4_2</vt:lpstr>
      <vt:lpstr>dch705_7</vt:lpstr>
      <vt:lpstr>dch706_1_1</vt:lpstr>
      <vt:lpstr>dch706_1_2</vt:lpstr>
      <vt:lpstr>dch706_1_3</vt:lpstr>
      <vt:lpstr>dch706_1_4</vt:lpstr>
      <vt:lpstr>dch706_1_5</vt:lpstr>
      <vt:lpstr>dch706_2_1</vt:lpstr>
      <vt:lpstr>dch706_2_2</vt:lpstr>
      <vt:lpstr>dch706_3_1</vt:lpstr>
      <vt:lpstr>dch706_3_2</vt:lpstr>
      <vt:lpstr>dch706_3_3</vt:lpstr>
      <vt:lpstr>dch706_3_4</vt:lpstr>
      <vt:lpstr>dch706_3_5</vt:lpstr>
      <vt:lpstr>dch706_3_6</vt:lpstr>
      <vt:lpstr>dch706_3_7</vt:lpstr>
      <vt:lpstr>dch706_3_8</vt:lpstr>
      <vt:lpstr>dch706_4_1_1</vt:lpstr>
      <vt:lpstr>dch706_4_1_2</vt:lpstr>
      <vt:lpstr>dch706_4_2</vt:lpstr>
      <vt:lpstr>dch706_5</vt:lpstr>
      <vt:lpstr>dch706_6</vt:lpstr>
      <vt:lpstr>dch706_7_1</vt:lpstr>
      <vt:lpstr>dch706_7_2</vt:lpstr>
      <vt:lpstr>dch706_8</vt:lpstr>
      <vt:lpstr>dch706_9</vt:lpstr>
      <vt:lpstr>dch801_1</vt:lpstr>
      <vt:lpstr>dch801_1_6</vt:lpstr>
      <vt:lpstr>dch801_2_1</vt:lpstr>
      <vt:lpstr>dch801_2_2</vt:lpstr>
      <vt:lpstr>dch801_3_1</vt:lpstr>
      <vt:lpstr>dch801_3_2</vt:lpstr>
      <vt:lpstr>dch801_3_3</vt:lpstr>
      <vt:lpstr>dch801_4_1_1</vt:lpstr>
      <vt:lpstr>dch801_4_1_2</vt:lpstr>
      <vt:lpstr>dch801_4_2</vt:lpstr>
      <vt:lpstr>dch801_5_2</vt:lpstr>
      <vt:lpstr>dch801_5_3</vt:lpstr>
      <vt:lpstr>dch801_5_4_a</vt:lpstr>
      <vt:lpstr>dch801_5_4_b</vt:lpstr>
      <vt:lpstr>dch801_5_4_c</vt:lpstr>
      <vt:lpstr>dch801_6_1</vt:lpstr>
      <vt:lpstr>dch801_6_2_1</vt:lpstr>
      <vt:lpstr>dch801_6_2_2</vt:lpstr>
      <vt:lpstr>dch801_6_2_3</vt:lpstr>
      <vt:lpstr>dch801_6_3</vt:lpstr>
      <vt:lpstr>dch801_6_4_1</vt:lpstr>
      <vt:lpstr>dch801_6_4_2</vt:lpstr>
      <vt:lpstr>dch801_6_4_3</vt:lpstr>
      <vt:lpstr>dch801_6_5</vt:lpstr>
      <vt:lpstr>dch801_7_1</vt:lpstr>
      <vt:lpstr>dch801_7_2_1</vt:lpstr>
      <vt:lpstr>dch801_7_2_2</vt:lpstr>
      <vt:lpstr>dch801_8</vt:lpstr>
      <vt:lpstr>dch802_1_1</vt:lpstr>
      <vt:lpstr>dch802_1_2</vt:lpstr>
      <vt:lpstr>dch802_2</vt:lpstr>
      <vt:lpstr>dch802_3_1</vt:lpstr>
      <vt:lpstr>dch802_3_2</vt:lpstr>
      <vt:lpstr>dch802_4</vt:lpstr>
      <vt:lpstr>dch802_5</vt:lpstr>
      <vt:lpstr>dch802_6</vt:lpstr>
      <vt:lpstr>dch901_1_1</vt:lpstr>
      <vt:lpstr>dch901_1_2</vt:lpstr>
      <vt:lpstr>dch901_1_3_1</vt:lpstr>
      <vt:lpstr>dch901_1_3_2</vt:lpstr>
      <vt:lpstr>dch901_1_4</vt:lpstr>
      <vt:lpstr>dch901_1_5</vt:lpstr>
      <vt:lpstr>dch901_1_6</vt:lpstr>
      <vt:lpstr>dch901_10_1</vt:lpstr>
      <vt:lpstr>dch901_10_2</vt:lpstr>
      <vt:lpstr>dch901_10_3</vt:lpstr>
      <vt:lpstr>dch901_11</vt:lpstr>
      <vt:lpstr>dch901_12</vt:lpstr>
      <vt:lpstr>dch901_13_1</vt:lpstr>
      <vt:lpstr>dch901_13_2</vt:lpstr>
      <vt:lpstr>dch901_14_1</vt:lpstr>
      <vt:lpstr>dch901_14_2</vt:lpstr>
      <vt:lpstr>dch901_2_1_1</vt:lpstr>
      <vt:lpstr>dch901_2_1_2</vt:lpstr>
      <vt:lpstr>dch901_2_1_3</vt:lpstr>
      <vt:lpstr>dch901_2_1_4</vt:lpstr>
      <vt:lpstr>dch901_2_1_5</vt:lpstr>
      <vt:lpstr>dch901_2_2</vt:lpstr>
      <vt:lpstr>dch901_3_1_a</vt:lpstr>
      <vt:lpstr>dch901_3_1_b</vt:lpstr>
      <vt:lpstr>dch901_3_1_c</vt:lpstr>
      <vt:lpstr>dch901_3_2</vt:lpstr>
      <vt:lpstr>dch901_4_1</vt:lpstr>
      <vt:lpstr>dch901_4_a</vt:lpstr>
      <vt:lpstr>dch901_4_b</vt:lpstr>
      <vt:lpstr>dch901_4_c</vt:lpstr>
      <vt:lpstr>dch901_4_d</vt:lpstr>
      <vt:lpstr>dch901_5_1</vt:lpstr>
      <vt:lpstr>dch901_5_2</vt:lpstr>
      <vt:lpstr>dch901_6</vt:lpstr>
      <vt:lpstr>dch901_7_1</vt:lpstr>
      <vt:lpstr>dch901_7_2</vt:lpstr>
      <vt:lpstr>dch901_7_3</vt:lpstr>
      <vt:lpstr>dch901_8</vt:lpstr>
      <vt:lpstr>dch901_9_1_1</vt:lpstr>
      <vt:lpstr>dch901_9_1_2</vt:lpstr>
      <vt:lpstr>dch901_9_1_3</vt:lpstr>
      <vt:lpstr>dch901_9_2</vt:lpstr>
      <vt:lpstr>dch901_9_3</vt:lpstr>
      <vt:lpstr>dch902_1_1</vt:lpstr>
      <vt:lpstr>dch902_1_1_a</vt:lpstr>
      <vt:lpstr>dch902_1_2</vt:lpstr>
      <vt:lpstr>dch902_1_2_</vt:lpstr>
      <vt:lpstr>dch902_1_2_2</vt:lpstr>
      <vt:lpstr>dch902_1_3</vt:lpstr>
      <vt:lpstr>dch902_1_3_</vt:lpstr>
      <vt:lpstr>dch902_1_4_1</vt:lpstr>
      <vt:lpstr>dch902_1_4_2</vt:lpstr>
      <vt:lpstr>dch902_1_5_1</vt:lpstr>
      <vt:lpstr>dch902_1_5_2</vt:lpstr>
      <vt:lpstr>dch902_1_5_3</vt:lpstr>
      <vt:lpstr>dch902_2_1</vt:lpstr>
      <vt:lpstr>dch902_2_2</vt:lpstr>
      <vt:lpstr>dch902_2_3</vt:lpstr>
      <vt:lpstr>dch902_2_4</vt:lpstr>
      <vt:lpstr>dch902_3_1</vt:lpstr>
      <vt:lpstr>dch902_3_2_a</vt:lpstr>
      <vt:lpstr>dch902_4_1</vt:lpstr>
      <vt:lpstr>dch902_4_2</vt:lpstr>
      <vt:lpstr>dch902_5</vt:lpstr>
      <vt:lpstr>dch902_6</vt:lpstr>
      <vt:lpstr>dch903_1</vt:lpstr>
      <vt:lpstr>dch903_2</vt:lpstr>
      <vt:lpstr>dch903_3_1</vt:lpstr>
      <vt:lpstr>dch903_3_2</vt:lpstr>
      <vt:lpstr>dch904_1</vt:lpstr>
      <vt:lpstr>dch904_2</vt:lpstr>
      <vt:lpstr>dch905_1</vt:lpstr>
      <vt:lpstr>dch905_2</vt:lpstr>
      <vt:lpstr>dd501_2_6</vt:lpstr>
      <vt:lpstr>dd503_2_3</vt:lpstr>
      <vt:lpstr>dd503_4_3</vt:lpstr>
      <vt:lpstr>dd503_4_4</vt:lpstr>
      <vt:lpstr>dd503_5</vt:lpstr>
      <vt:lpstr>dd503_5_1</vt:lpstr>
      <vt:lpstr>dd503_5_5</vt:lpstr>
      <vt:lpstr>dd503_7</vt:lpstr>
      <vt:lpstr>dd503_8</vt:lpstr>
      <vt:lpstr>dd505_1_3</vt:lpstr>
      <vt:lpstr>dd505_1_4</vt:lpstr>
      <vt:lpstr>dd505_3</vt:lpstr>
      <vt:lpstr>dd601_6</vt:lpstr>
      <vt:lpstr>dd601_7_a</vt:lpstr>
      <vt:lpstr>dd601_7_b</vt:lpstr>
      <vt:lpstr>dd601_7_c</vt:lpstr>
      <vt:lpstr>dd601_7_d</vt:lpstr>
      <vt:lpstr>dd601_7_e</vt:lpstr>
      <vt:lpstr>dd602_1_1_1</vt:lpstr>
      <vt:lpstr>dd602_1_10</vt:lpstr>
      <vt:lpstr>dd602_1_11</vt:lpstr>
      <vt:lpstr>dd602_1_13</vt:lpstr>
      <vt:lpstr>dd602_1_14_1</vt:lpstr>
      <vt:lpstr>dd602_1_4_1_2</vt:lpstr>
      <vt:lpstr>dd602_1_4_2_2</vt:lpstr>
      <vt:lpstr>dd602_1_5</vt:lpstr>
      <vt:lpstr>dd602_1_7_1_2</vt:lpstr>
      <vt:lpstr>dd602_1_8</vt:lpstr>
      <vt:lpstr>dd602_1_9_5</vt:lpstr>
      <vt:lpstr>dd606_1_a</vt:lpstr>
      <vt:lpstr>dd606_1_b</vt:lpstr>
      <vt:lpstr>dd606_1_c</vt:lpstr>
      <vt:lpstr>dd606_1_d</vt:lpstr>
      <vt:lpstr>dd606_1_e</vt:lpstr>
      <vt:lpstr>dd606_1_f</vt:lpstr>
      <vt:lpstr>dd606_1_g</vt:lpstr>
      <vt:lpstr>dd606_1_h</vt:lpstr>
      <vt:lpstr>dd606_2_1a</vt:lpstr>
      <vt:lpstr>dd606_2_1b</vt:lpstr>
      <vt:lpstr>dd606_2_2a</vt:lpstr>
      <vt:lpstr>dd606_2_2b</vt:lpstr>
      <vt:lpstr>dd606_3</vt:lpstr>
      <vt:lpstr>dd608_1</vt:lpstr>
      <vt:lpstr>dd609_1a</vt:lpstr>
      <vt:lpstr>dd609_1b</vt:lpstr>
      <vt:lpstr>dd610_1_2_1a</vt:lpstr>
      <vt:lpstr>dd610_1_2_1b</vt:lpstr>
      <vt:lpstr>dd610_1_2_2_f</vt:lpstr>
      <vt:lpstr>dd610_1_2_2a</vt:lpstr>
      <vt:lpstr>dd610_1_2_2b</vt:lpstr>
      <vt:lpstr>dd610_1_2_2c</vt:lpstr>
      <vt:lpstr>dd611_1</vt:lpstr>
      <vt:lpstr>dd701_1</vt:lpstr>
      <vt:lpstr>dd701_1_</vt:lpstr>
      <vt:lpstr>dd701_1_4</vt:lpstr>
      <vt:lpstr>dd701_4_1_2</vt:lpstr>
      <vt:lpstr>dd701_4_3_3_5</vt:lpstr>
      <vt:lpstr>dd703_1_3</vt:lpstr>
      <vt:lpstr>dd703_2_5_1</vt:lpstr>
      <vt:lpstr>dd703_2_5_1_1</vt:lpstr>
      <vt:lpstr>dd703_2_5_2</vt:lpstr>
      <vt:lpstr>dd703_2_5_2_1</vt:lpstr>
      <vt:lpstr>dd703_3_0_1</vt:lpstr>
      <vt:lpstr>dd703_3_0_2</vt:lpstr>
      <vt:lpstr>dd703_4_4</vt:lpstr>
      <vt:lpstr>dd703_5_1</vt:lpstr>
      <vt:lpstr>dd705_2_1_1</vt:lpstr>
      <vt:lpstr>dd705_2_1_3_1</vt:lpstr>
      <vt:lpstr>dd705_2_1_3_2</vt:lpstr>
      <vt:lpstr>dd705_2_1_4</vt:lpstr>
      <vt:lpstr>dd705_6_2_3</vt:lpstr>
      <vt:lpstr>dd706_2_2</vt:lpstr>
      <vt:lpstr>dd801_1</vt:lpstr>
      <vt:lpstr>dd801_2_2</vt:lpstr>
      <vt:lpstr>dd801_3_1</vt:lpstr>
      <vt:lpstr>dd801_3_2</vt:lpstr>
      <vt:lpstr>dd801_3_3</vt:lpstr>
      <vt:lpstr>dd801_4_1_1</vt:lpstr>
      <vt:lpstr>dd801_4_2</vt:lpstr>
      <vt:lpstr>dd801_5_2</vt:lpstr>
      <vt:lpstr>dd801_5_4_a</vt:lpstr>
      <vt:lpstr>dd801_6_3</vt:lpstr>
      <vt:lpstr>dd801_7_1</vt:lpstr>
      <vt:lpstr>dd801_7_2_1</vt:lpstr>
      <vt:lpstr>dd802_1_1</vt:lpstr>
      <vt:lpstr>dd901_1_3_1</vt:lpstr>
      <vt:lpstr>dd901_1_3_2</vt:lpstr>
      <vt:lpstr>dd901_1_4</vt:lpstr>
      <vt:lpstr>dd901_1_6</vt:lpstr>
      <vt:lpstr>dd901_12</vt:lpstr>
      <vt:lpstr>dd901_2_1_1</vt:lpstr>
      <vt:lpstr>dd901_2_1_2</vt:lpstr>
      <vt:lpstr>dd901_2_1_3</vt:lpstr>
      <vt:lpstr>dd901_2_1_4</vt:lpstr>
      <vt:lpstr>dd901_2_1_5</vt:lpstr>
      <vt:lpstr>dd901_3_1_a</vt:lpstr>
      <vt:lpstr>dd901_3_1_b</vt:lpstr>
      <vt:lpstr>dd901_4_1</vt:lpstr>
      <vt:lpstr>dd901_4_a</vt:lpstr>
      <vt:lpstr>dd901_4_b</vt:lpstr>
      <vt:lpstr>dd901_4_c</vt:lpstr>
      <vt:lpstr>dd901_4_d</vt:lpstr>
      <vt:lpstr>dd902_1_2_</vt:lpstr>
      <vt:lpstr>dd902_2_1</vt:lpstr>
      <vt:lpstr>dd902_3_1</vt:lpstr>
      <vt:lpstr>dd903_1</vt:lpstr>
      <vt:lpstr>dd903_2</vt:lpstr>
      <vt:lpstr>ddAttachedGarage</vt:lpstr>
      <vt:lpstr>ddAttic</vt:lpstr>
      <vt:lpstr>ddBuildingCode</vt:lpstr>
      <vt:lpstr>ddCDucts</vt:lpstr>
      <vt:lpstr>ddCool1</vt:lpstr>
      <vt:lpstr>ddCool2</vt:lpstr>
      <vt:lpstr>ddCool3</vt:lpstr>
      <vt:lpstr>ddCToilet</vt:lpstr>
      <vt:lpstr>ddDuctless</vt:lpstr>
      <vt:lpstr>ddEnergyCode</vt:lpstr>
      <vt:lpstr>ddFoundation</vt:lpstr>
      <vt:lpstr>ddFuel</vt:lpstr>
      <vt:lpstr>ddHDucts</vt:lpstr>
      <vt:lpstr>ddHeat1</vt:lpstr>
      <vt:lpstr>ddHeat2</vt:lpstr>
      <vt:lpstr>ddHeat3</vt:lpstr>
      <vt:lpstr>ddMassWalls</vt:lpstr>
      <vt:lpstr>ddPassiveSolar</vt:lpstr>
      <vt:lpstr>ddRadiantHydronic</vt:lpstr>
      <vt:lpstr>ddRecessedLighting</vt:lpstr>
      <vt:lpstr>ddRenewable</vt:lpstr>
      <vt:lpstr>ddSingleOrMulti</vt:lpstr>
      <vt:lpstr>ddTEInsulation</vt:lpstr>
      <vt:lpstr>ddTLWH</vt:lpstr>
      <vt:lpstr>desGoalLevel</vt:lpstr>
      <vt:lpstr>dnt1001_1_1</vt:lpstr>
      <vt:lpstr>dnt1001_1_10</vt:lpstr>
      <vt:lpstr>dnt1001_1_11</vt:lpstr>
      <vt:lpstr>dnt1001_1_12</vt:lpstr>
      <vt:lpstr>dnt1001_1_13</vt:lpstr>
      <vt:lpstr>dnt1001_1_14</vt:lpstr>
      <vt:lpstr>dnt1001_1_15</vt:lpstr>
      <vt:lpstr>dnt1001_1_16</vt:lpstr>
      <vt:lpstr>dnt1001_1_17</vt:lpstr>
      <vt:lpstr>dnt1001_1_18</vt:lpstr>
      <vt:lpstr>dnt1001_1_19</vt:lpstr>
      <vt:lpstr>dnt1001_1_2</vt:lpstr>
      <vt:lpstr>dnt1001_1_20</vt:lpstr>
      <vt:lpstr>dnt1001_1_21</vt:lpstr>
      <vt:lpstr>dnt1001_1_22</vt:lpstr>
      <vt:lpstr>dnt1001_1_23</vt:lpstr>
      <vt:lpstr>dnt1001_1_24</vt:lpstr>
      <vt:lpstr>dnt1001_1_3</vt:lpstr>
      <vt:lpstr>dnt1001_1_4</vt:lpstr>
      <vt:lpstr>dnt1001_1_5</vt:lpstr>
      <vt:lpstr>dnt1001_1_6</vt:lpstr>
      <vt:lpstr>dnt1001_1_7</vt:lpstr>
      <vt:lpstr>dnt1001_1_8</vt:lpstr>
      <vt:lpstr>dnt1001_1_9</vt:lpstr>
      <vt:lpstr>dnt1001_2</vt:lpstr>
      <vt:lpstr>dnt1002_1_1</vt:lpstr>
      <vt:lpstr>dnt1002_1_2</vt:lpstr>
      <vt:lpstr>dnt1002_1_3</vt:lpstr>
      <vt:lpstr>dnt1002_1_4</vt:lpstr>
      <vt:lpstr>dnt1002_1_5</vt:lpstr>
      <vt:lpstr>dnt1002_1_6</vt:lpstr>
      <vt:lpstr>dnt1002_1_7</vt:lpstr>
      <vt:lpstr>dnt1002_1_8</vt:lpstr>
      <vt:lpstr>dnt1002_2_1</vt:lpstr>
      <vt:lpstr>dnt1002_2_10</vt:lpstr>
      <vt:lpstr>dnt1002_2_11</vt:lpstr>
      <vt:lpstr>dnt1002_2_2</vt:lpstr>
      <vt:lpstr>dnt1002_2_3</vt:lpstr>
      <vt:lpstr>dnt1002_2_4</vt:lpstr>
      <vt:lpstr>dnt1002_2_5</vt:lpstr>
      <vt:lpstr>dnt1002_2_6</vt:lpstr>
      <vt:lpstr>dnt1002_2_7</vt:lpstr>
      <vt:lpstr>dnt1002_2_8</vt:lpstr>
      <vt:lpstr>dnt1002_2_9</vt:lpstr>
      <vt:lpstr>dnt1002_3_1</vt:lpstr>
      <vt:lpstr>dnt1002_3_10</vt:lpstr>
      <vt:lpstr>dnt1002_3_2</vt:lpstr>
      <vt:lpstr>dnt1002_3_3</vt:lpstr>
      <vt:lpstr>dnt1002_3_4</vt:lpstr>
      <vt:lpstr>dnt1002_3_5</vt:lpstr>
      <vt:lpstr>dnt1002_3_6</vt:lpstr>
      <vt:lpstr>dnt1002_3_7</vt:lpstr>
      <vt:lpstr>dnt1002_3_8</vt:lpstr>
      <vt:lpstr>dnt1002_3_9</vt:lpstr>
      <vt:lpstr>dnt1002_4</vt:lpstr>
      <vt:lpstr>dnt1003_1_1</vt:lpstr>
      <vt:lpstr>dnt1003_1_2</vt:lpstr>
      <vt:lpstr>dnt1003_1_3</vt:lpstr>
      <vt:lpstr>dnt1004_1_1</vt:lpstr>
      <vt:lpstr>dnt1004_1_2</vt:lpstr>
      <vt:lpstr>dnt501_1</vt:lpstr>
      <vt:lpstr>dnt501_2</vt:lpstr>
      <vt:lpstr>dnt501_2_1</vt:lpstr>
      <vt:lpstr>dnt501_2_2</vt:lpstr>
      <vt:lpstr>dnt501_2_3</vt:lpstr>
      <vt:lpstr>dnt501_2_4</vt:lpstr>
      <vt:lpstr>dnt501_2_5</vt:lpstr>
      <vt:lpstr>dnt501_2_6</vt:lpstr>
      <vt:lpstr>dnt502_1</vt:lpstr>
      <vt:lpstr>dnt503_0</vt:lpstr>
      <vt:lpstr>dnt503_1</vt:lpstr>
      <vt:lpstr>dnt503_2</vt:lpstr>
      <vt:lpstr>dnt503_3</vt:lpstr>
      <vt:lpstr>dnt503_4</vt:lpstr>
      <vt:lpstr>dnt503_4_1</vt:lpstr>
      <vt:lpstr>dnt503_4_2</vt:lpstr>
      <vt:lpstr>dnt503_4_3</vt:lpstr>
      <vt:lpstr>dnt503_4_4</vt:lpstr>
      <vt:lpstr>dnt503_5</vt:lpstr>
      <vt:lpstr>dnt503_5_1</vt:lpstr>
      <vt:lpstr>dnt503_5_10</vt:lpstr>
      <vt:lpstr>dnt503_5_11</vt:lpstr>
      <vt:lpstr>dnt503_5_12</vt:lpstr>
      <vt:lpstr>dnt503_5_2</vt:lpstr>
      <vt:lpstr>dnt503_5_3</vt:lpstr>
      <vt:lpstr>dnt503_5_4</vt:lpstr>
      <vt:lpstr>dnt503_5_5</vt:lpstr>
      <vt:lpstr>dnt503_5_6</vt:lpstr>
      <vt:lpstr>dnt503_5_7</vt:lpstr>
      <vt:lpstr>dnt503_5_8</vt:lpstr>
      <vt:lpstr>dnt503_5_9</vt:lpstr>
      <vt:lpstr>dnt503_6</vt:lpstr>
      <vt:lpstr>dnt503_7</vt:lpstr>
      <vt:lpstr>dnt503_8</vt:lpstr>
      <vt:lpstr>dnt504_1</vt:lpstr>
      <vt:lpstr>dnt504_2</vt:lpstr>
      <vt:lpstr>dnt504_3</vt:lpstr>
      <vt:lpstr>dnt504_3_1</vt:lpstr>
      <vt:lpstr>dnt504_3_2</vt:lpstr>
      <vt:lpstr>dnt504_3_3</vt:lpstr>
      <vt:lpstr>dnt504_3_4</vt:lpstr>
      <vt:lpstr>dnt504_3_5</vt:lpstr>
      <vt:lpstr>dnt504_3_6</vt:lpstr>
      <vt:lpstr>dnt504_3_7</vt:lpstr>
      <vt:lpstr>dnt504_3_8</vt:lpstr>
      <vt:lpstr>dnt504_3_9</vt:lpstr>
      <vt:lpstr>dnt505_1_1</vt:lpstr>
      <vt:lpstr>dnt505_1_2</vt:lpstr>
      <vt:lpstr>dnt505_1_3</vt:lpstr>
      <vt:lpstr>dnt505_1_4</vt:lpstr>
      <vt:lpstr>dnt505_2_1</vt:lpstr>
      <vt:lpstr>dnt505_2_2</vt:lpstr>
      <vt:lpstr>dnt505_3</vt:lpstr>
      <vt:lpstr>dnt505_4</vt:lpstr>
      <vt:lpstr>dnt505_5</vt:lpstr>
      <vt:lpstr>dnt505_6</vt:lpstr>
      <vt:lpstr>dnt601_1</vt:lpstr>
      <vt:lpstr>dnt601_2_1</vt:lpstr>
      <vt:lpstr>dnt601_2_2</vt:lpstr>
      <vt:lpstr>dnt601_2_3</vt:lpstr>
      <vt:lpstr>dnt601_3_1</vt:lpstr>
      <vt:lpstr>dnt601_3_2</vt:lpstr>
      <vt:lpstr>dnt601_3_3</vt:lpstr>
      <vt:lpstr>dnt601_3_4</vt:lpstr>
      <vt:lpstr>dnt601_3_5</vt:lpstr>
      <vt:lpstr>dnt601_4</vt:lpstr>
      <vt:lpstr>dnt601_5_1</vt:lpstr>
      <vt:lpstr>dnt601_5_2</vt:lpstr>
      <vt:lpstr>dnt601_5_3</vt:lpstr>
      <vt:lpstr>dnt601_5_4</vt:lpstr>
      <vt:lpstr>dnt601_5_5</vt:lpstr>
      <vt:lpstr>dnt601_6</vt:lpstr>
      <vt:lpstr>dnt601_7</vt:lpstr>
      <vt:lpstr>dnt601_8</vt:lpstr>
      <vt:lpstr>dnt601_9</vt:lpstr>
      <vt:lpstr>dnt602_1_1_1</vt:lpstr>
      <vt:lpstr>dnt602_1_1_2</vt:lpstr>
      <vt:lpstr>dnt602_1_10</vt:lpstr>
      <vt:lpstr>dnt602_1_11</vt:lpstr>
      <vt:lpstr>dnt602_1_12</vt:lpstr>
      <vt:lpstr>dnt602_1_13</vt:lpstr>
      <vt:lpstr>dnt602_1_14_1</vt:lpstr>
      <vt:lpstr>dnt602_1_14_2</vt:lpstr>
      <vt:lpstr>dnt602_1_14_3</vt:lpstr>
      <vt:lpstr>dnt602_1_2</vt:lpstr>
      <vt:lpstr>dnt602_1_3_1</vt:lpstr>
      <vt:lpstr>dnt602_1_3_2</vt:lpstr>
      <vt:lpstr>dnt602_1_4_1_1</vt:lpstr>
      <vt:lpstr>dnt602_1_4_1_2</vt:lpstr>
      <vt:lpstr>dnt602_1_4_2_1</vt:lpstr>
      <vt:lpstr>dnt602_1_4_2_2</vt:lpstr>
      <vt:lpstr>dnt602_1_5</vt:lpstr>
      <vt:lpstr>dnt602_1_6_1</vt:lpstr>
      <vt:lpstr>dnt602_1_7_1_1</vt:lpstr>
      <vt:lpstr>dnt602_1_7_1_2</vt:lpstr>
      <vt:lpstr>dnt602_1_7_1_3</vt:lpstr>
      <vt:lpstr>dnt602_1_7_2</vt:lpstr>
      <vt:lpstr>dnt602_1_7_3</vt:lpstr>
      <vt:lpstr>dnt602_1_8</vt:lpstr>
      <vt:lpstr>dnt602_1_9_1</vt:lpstr>
      <vt:lpstr>dnt602_1_9_2</vt:lpstr>
      <vt:lpstr>dnt602_1_9_3</vt:lpstr>
      <vt:lpstr>dnt602_1_9_4</vt:lpstr>
      <vt:lpstr>dnt602_1_9_5</vt:lpstr>
      <vt:lpstr>dnt602_1_9_6</vt:lpstr>
      <vt:lpstr>dnt602_1_9_7</vt:lpstr>
      <vt:lpstr>dnt602_2_1</vt:lpstr>
      <vt:lpstr>dnt602_2_2</vt:lpstr>
      <vt:lpstr>dnt602_2_3</vt:lpstr>
      <vt:lpstr>dnt602_3</vt:lpstr>
      <vt:lpstr>dnt602_4_1</vt:lpstr>
      <vt:lpstr>dnt602_4_2</vt:lpstr>
      <vt:lpstr>dnt602_4_3</vt:lpstr>
      <vt:lpstr>dnt603_1</vt:lpstr>
      <vt:lpstr>dnt603_2</vt:lpstr>
      <vt:lpstr>dnt603_3</vt:lpstr>
      <vt:lpstr>dnt604_1a</vt:lpstr>
      <vt:lpstr>dnt604_1b</vt:lpstr>
      <vt:lpstr>dnt604_1c</vt:lpstr>
      <vt:lpstr>dnt604_1d</vt:lpstr>
      <vt:lpstr>dnt605_1</vt:lpstr>
      <vt:lpstr>dnt605_2</vt:lpstr>
      <vt:lpstr>dnt605_3_2_a</vt:lpstr>
      <vt:lpstr>dnt605_3_2_h</vt:lpstr>
      <vt:lpstr>dnt605_3_2_i</vt:lpstr>
      <vt:lpstr>dnt606_1_a</vt:lpstr>
      <vt:lpstr>dnt606_2_1a</vt:lpstr>
      <vt:lpstr>dnt606_2_1b</vt:lpstr>
      <vt:lpstr>dnt606_2_2a</vt:lpstr>
      <vt:lpstr>dnt606_2_2b</vt:lpstr>
      <vt:lpstr>dnt606_3</vt:lpstr>
      <vt:lpstr>dnt607_1_1</vt:lpstr>
      <vt:lpstr>dnt607_1_2</vt:lpstr>
      <vt:lpstr>dnt607_2</vt:lpstr>
      <vt:lpstr>dnt608_1</vt:lpstr>
      <vt:lpstr>dnt609_1a</vt:lpstr>
      <vt:lpstr>dnt609_1b</vt:lpstr>
      <vt:lpstr>dnt610_1_1_1</vt:lpstr>
      <vt:lpstr>dnt610_1_1_2</vt:lpstr>
      <vt:lpstr>dnt610_1_1_3</vt:lpstr>
      <vt:lpstr>dnt610_1_2_1</vt:lpstr>
      <vt:lpstr>dnt610_1_2_1_e</vt:lpstr>
      <vt:lpstr>dnt610_1_2_2_e</vt:lpstr>
      <vt:lpstr>dnt610_1_2_2a</vt:lpstr>
      <vt:lpstr>dnt610_1_2_2b</vt:lpstr>
      <vt:lpstr>dnt610_1_2_2c</vt:lpstr>
      <vt:lpstr>dnt611_1</vt:lpstr>
      <vt:lpstr>dnt611_2_1</vt:lpstr>
      <vt:lpstr>dnt611_2_2</vt:lpstr>
      <vt:lpstr>dnt611_2_3</vt:lpstr>
      <vt:lpstr>dnt611_2_4</vt:lpstr>
      <vt:lpstr>dnt611_2_5</vt:lpstr>
      <vt:lpstr>dnt611_2_6</vt:lpstr>
      <vt:lpstr>dnt611_2_7</vt:lpstr>
      <vt:lpstr>dnt611_3_1</vt:lpstr>
      <vt:lpstr>dnt611_3_2</vt:lpstr>
      <vt:lpstr>dnt611_3_3</vt:lpstr>
      <vt:lpstr>dnt611_3_4</vt:lpstr>
      <vt:lpstr>dnt611_3_5</vt:lpstr>
      <vt:lpstr>dnt611_3_6</vt:lpstr>
      <vt:lpstr>dnt611_3_7</vt:lpstr>
      <vt:lpstr>dnt611_3_8</vt:lpstr>
      <vt:lpstr>dnt611_3_9</vt:lpstr>
      <vt:lpstr>dnt611_4_1</vt:lpstr>
      <vt:lpstr>dnt611_4_2</vt:lpstr>
      <vt:lpstr>dnt701_1_</vt:lpstr>
      <vt:lpstr>dnt701_1_1</vt:lpstr>
      <vt:lpstr>dnt701_1_2</vt:lpstr>
      <vt:lpstr>dnt701_1_3</vt:lpstr>
      <vt:lpstr>dnt701_1_4</vt:lpstr>
      <vt:lpstr>dnt701_3</vt:lpstr>
      <vt:lpstr>dnt701_4_1</vt:lpstr>
      <vt:lpstr>dnt701_4_1_1</vt:lpstr>
      <vt:lpstr>dnt701_4_1_2</vt:lpstr>
      <vt:lpstr>dnt701_4_2_2</vt:lpstr>
      <vt:lpstr>dnt701_4_2_3</vt:lpstr>
      <vt:lpstr>dnt701_4_3_1</vt:lpstr>
      <vt:lpstr>dnt701_4_3_1_a</vt:lpstr>
      <vt:lpstr>dnt701_4_3_1_b</vt:lpstr>
      <vt:lpstr>dnt701_4_3_1_c</vt:lpstr>
      <vt:lpstr>dnt701_4_3_1_d</vt:lpstr>
      <vt:lpstr>dnt701_4_3_1_e</vt:lpstr>
      <vt:lpstr>dnt701_4_3_1_f</vt:lpstr>
      <vt:lpstr>dnt701_4_3_1_g</vt:lpstr>
      <vt:lpstr>dnt701_4_3_1_h</vt:lpstr>
      <vt:lpstr>dnt701_4_3_1_i</vt:lpstr>
      <vt:lpstr>dnt701_4_3_1_j</vt:lpstr>
      <vt:lpstr>dnt701_4_3_1_k</vt:lpstr>
      <vt:lpstr>dnt701_4_3_1_l</vt:lpstr>
      <vt:lpstr>dnt701_4_3_2_1_</vt:lpstr>
      <vt:lpstr>dnt701_4_3_2_1_1</vt:lpstr>
      <vt:lpstr>dnt701_4_3_2_1_10</vt:lpstr>
      <vt:lpstr>dnt701_4_3_2_1_11</vt:lpstr>
      <vt:lpstr>dnt701_4_3_2_1_2</vt:lpstr>
      <vt:lpstr>dnt701_4_3_2_1_3</vt:lpstr>
      <vt:lpstr>dnt701_4_3_2_1_4</vt:lpstr>
      <vt:lpstr>dnt701_4_3_2_1_5</vt:lpstr>
      <vt:lpstr>dnt701_4_3_2_1_6</vt:lpstr>
      <vt:lpstr>dnt701_4_3_2_1_7</vt:lpstr>
      <vt:lpstr>dnt701_4_3_2_1_8</vt:lpstr>
      <vt:lpstr>dnt701_4_3_2_1_9</vt:lpstr>
      <vt:lpstr>dnt701_4_3_2_1_a</vt:lpstr>
      <vt:lpstr>dnt701_4_3_2_1_b</vt:lpstr>
      <vt:lpstr>dnt701_4_3_2_1_c</vt:lpstr>
      <vt:lpstr>dnt701_4_3_2_1_d</vt:lpstr>
      <vt:lpstr>dnt701_4_3_2_1_e</vt:lpstr>
      <vt:lpstr>dnt701_4_3_2_1_f</vt:lpstr>
      <vt:lpstr>dnt701_4_3_2_1_g</vt:lpstr>
      <vt:lpstr>dnt701_4_3_2_1_h</vt:lpstr>
      <vt:lpstr>dnt701_4_3_2_2</vt:lpstr>
      <vt:lpstr>dnt701_4_3_2e</vt:lpstr>
      <vt:lpstr>dnt701_4_3_3_3</vt:lpstr>
      <vt:lpstr>dnt701_4_3_3_4</vt:lpstr>
      <vt:lpstr>dnt701_4_3_3_5</vt:lpstr>
      <vt:lpstr>dnt701_4_4_1</vt:lpstr>
      <vt:lpstr>dnt701_4_4_2</vt:lpstr>
      <vt:lpstr>dnt701_4_5</vt:lpstr>
      <vt:lpstr>dnt702_2_1</vt:lpstr>
      <vt:lpstr>dnt702_2_2</vt:lpstr>
      <vt:lpstr>dnt702_2_2_m</vt:lpstr>
      <vt:lpstr>dnt702_2_3</vt:lpstr>
      <vt:lpstr>dnt703_1_1</vt:lpstr>
      <vt:lpstr>dnt703_1_2</vt:lpstr>
      <vt:lpstr>dnt703_1_3</vt:lpstr>
      <vt:lpstr>dnt703_2_1</vt:lpstr>
      <vt:lpstr>dnt703_2_2</vt:lpstr>
      <vt:lpstr>dnt703_2_3</vt:lpstr>
      <vt:lpstr>dnt703_2_4</vt:lpstr>
      <vt:lpstr>dnt703_2_5_1</vt:lpstr>
      <vt:lpstr>dnt703_2_5_1_1</vt:lpstr>
      <vt:lpstr>dnt703_2_5_2</vt:lpstr>
      <vt:lpstr>dnt703_2_5_2_1</vt:lpstr>
      <vt:lpstr>dnt703_3_0_1</vt:lpstr>
      <vt:lpstr>dnt703_3_0_2</vt:lpstr>
      <vt:lpstr>dnt703_3_1</vt:lpstr>
      <vt:lpstr>dnt703_3_2__1</vt:lpstr>
      <vt:lpstr>dnt703_3_2__2</vt:lpstr>
      <vt:lpstr>dnt703_3_2__3</vt:lpstr>
      <vt:lpstr>dnt703_3_2__4</vt:lpstr>
      <vt:lpstr>dnt703_3_3__1</vt:lpstr>
      <vt:lpstr>dnt703_3_3__3</vt:lpstr>
      <vt:lpstr>dnt703_3_4_1</vt:lpstr>
      <vt:lpstr>dnt703_3_4_1_5</vt:lpstr>
      <vt:lpstr>dnt703_3_4_2</vt:lpstr>
      <vt:lpstr>dnt703_3_5</vt:lpstr>
      <vt:lpstr>dnt703_3_6</vt:lpstr>
      <vt:lpstr>dnt703_3_7_1</vt:lpstr>
      <vt:lpstr>dnt703_3_8</vt:lpstr>
      <vt:lpstr>dnt703_4_1</vt:lpstr>
      <vt:lpstr>dnt703_4_2</vt:lpstr>
      <vt:lpstr>dnt703_4_3_1</vt:lpstr>
      <vt:lpstr>dnt703_4_3_2</vt:lpstr>
      <vt:lpstr>dnt703_4_3_3</vt:lpstr>
      <vt:lpstr>dnt703_4_4</vt:lpstr>
      <vt:lpstr>dnt703_5_1</vt:lpstr>
      <vt:lpstr>dnt703_5_2</vt:lpstr>
      <vt:lpstr>dnt703_5_3</vt:lpstr>
      <vt:lpstr>dnt703_5_4</vt:lpstr>
      <vt:lpstr>dnt703_5_5</vt:lpstr>
      <vt:lpstr>dnt703_6_1_1</vt:lpstr>
      <vt:lpstr>dnt703_6_1_2</vt:lpstr>
      <vt:lpstr>dnt703_6_1_3</vt:lpstr>
      <vt:lpstr>dnt703_6_2__1</vt:lpstr>
      <vt:lpstr>dnt703_6_2__2</vt:lpstr>
      <vt:lpstr>dnt703_6_2__3</vt:lpstr>
      <vt:lpstr>dnt703_7_1</vt:lpstr>
      <vt:lpstr>dnt703_7_1_1</vt:lpstr>
      <vt:lpstr>dnt703_7_1_2</vt:lpstr>
      <vt:lpstr>dnt703_7_1_3</vt:lpstr>
      <vt:lpstr>dnt703_7_1_4</vt:lpstr>
      <vt:lpstr>dnt703_7_1_5</vt:lpstr>
      <vt:lpstr>dnt703_7_1_6_a</vt:lpstr>
      <vt:lpstr>dnt703_7_1_6_b</vt:lpstr>
      <vt:lpstr>dnt703_7_1_6_c</vt:lpstr>
      <vt:lpstr>dnt703_7_1_7</vt:lpstr>
      <vt:lpstr>dnt703_7_1_8</vt:lpstr>
      <vt:lpstr>dnt703_7_1_9</vt:lpstr>
      <vt:lpstr>dnt703_7_2</vt:lpstr>
      <vt:lpstr>dnt703_7_3_1_a</vt:lpstr>
      <vt:lpstr>dnt703_7_3_1_b</vt:lpstr>
      <vt:lpstr>dnt703_7_3_1_c</vt:lpstr>
      <vt:lpstr>dnt703_7_3_1_d</vt:lpstr>
      <vt:lpstr>dnt703_7_3_2</vt:lpstr>
      <vt:lpstr>dnt703_7_3_3</vt:lpstr>
      <vt:lpstr>dnt703_7_3_4</vt:lpstr>
      <vt:lpstr>dnt703_7_3_5_a</vt:lpstr>
      <vt:lpstr>dnt703_7_3_5_b</vt:lpstr>
      <vt:lpstr>dnt703_7_3_6</vt:lpstr>
      <vt:lpstr>dnt703_7_4_1</vt:lpstr>
      <vt:lpstr>dnt703_7_4_2_a</vt:lpstr>
      <vt:lpstr>dnt703_7_4_2_b</vt:lpstr>
      <vt:lpstr>dnt703_7_4_2_c</vt:lpstr>
      <vt:lpstr>dnt703_7_4_3</vt:lpstr>
      <vt:lpstr>dnt704_1</vt:lpstr>
      <vt:lpstr>dnt705_2_1_1</vt:lpstr>
      <vt:lpstr>dnt705_2_1_2</vt:lpstr>
      <vt:lpstr>dnt705_2_1_3_1</vt:lpstr>
      <vt:lpstr>dnt705_2_1_3_2</vt:lpstr>
      <vt:lpstr>dnt705_2_1_4</vt:lpstr>
      <vt:lpstr>dnt705_2_2</vt:lpstr>
      <vt:lpstr>dnt705_2_3</vt:lpstr>
      <vt:lpstr>dnt705_2_4</vt:lpstr>
      <vt:lpstr>dnt705_3</vt:lpstr>
      <vt:lpstr>dnt705_4</vt:lpstr>
      <vt:lpstr>dnt705_5_1</vt:lpstr>
      <vt:lpstr>dnt705_5_2</vt:lpstr>
      <vt:lpstr>dnt705_5_2_1</vt:lpstr>
      <vt:lpstr>dnt705_5_2_2</vt:lpstr>
      <vt:lpstr>dnt705_5_2_3</vt:lpstr>
      <vt:lpstr>dnt705_5_2_4</vt:lpstr>
      <vt:lpstr>dnt705_5_2_5</vt:lpstr>
      <vt:lpstr>dnt705_5_2_6</vt:lpstr>
      <vt:lpstr>dnt705_6_1</vt:lpstr>
      <vt:lpstr>dnt705_6_2_1_1</vt:lpstr>
      <vt:lpstr>dnt705_6_2_1_1_1</vt:lpstr>
      <vt:lpstr>dnt705_6_2_1_2</vt:lpstr>
      <vt:lpstr>dnt705_6_2_2</vt:lpstr>
      <vt:lpstr>dnt705_6_2_3</vt:lpstr>
      <vt:lpstr>dnt705_6_3_a</vt:lpstr>
      <vt:lpstr>dnt705_6_3_b</vt:lpstr>
      <vt:lpstr>dnt705_6_3_c</vt:lpstr>
      <vt:lpstr>dnt705_6_3_d</vt:lpstr>
      <vt:lpstr>dnt705_6_3_e</vt:lpstr>
      <vt:lpstr>dnt705_6_3_f</vt:lpstr>
      <vt:lpstr>dnt705_6_3_g</vt:lpstr>
      <vt:lpstr>dnt705_6_4_1</vt:lpstr>
      <vt:lpstr>dnt705_6_4_2</vt:lpstr>
      <vt:lpstr>dnt705_7</vt:lpstr>
      <vt:lpstr>dnt706_1_1</vt:lpstr>
      <vt:lpstr>dnt706_1_2</vt:lpstr>
      <vt:lpstr>dnt706_1_3</vt:lpstr>
      <vt:lpstr>dnt706_1_4</vt:lpstr>
      <vt:lpstr>dnt706_1_5</vt:lpstr>
      <vt:lpstr>dnt706_2_1</vt:lpstr>
      <vt:lpstr>dnt706_2_2</vt:lpstr>
      <vt:lpstr>dnt706_3</vt:lpstr>
      <vt:lpstr>dnt706_3_1</vt:lpstr>
      <vt:lpstr>dnt706_3_2</vt:lpstr>
      <vt:lpstr>dnt706_3_3</vt:lpstr>
      <vt:lpstr>dnt706_3_4</vt:lpstr>
      <vt:lpstr>dnt706_3_5</vt:lpstr>
      <vt:lpstr>dnt706_3_6</vt:lpstr>
      <vt:lpstr>dnt706_3_7</vt:lpstr>
      <vt:lpstr>dnt706_3_8</vt:lpstr>
      <vt:lpstr>dnt706_4_1_1</vt:lpstr>
      <vt:lpstr>dnt706_4_1_2</vt:lpstr>
      <vt:lpstr>dnt706_4_2</vt:lpstr>
      <vt:lpstr>dnt706_5</vt:lpstr>
      <vt:lpstr>dnt706_6</vt:lpstr>
      <vt:lpstr>dnt706_7_1</vt:lpstr>
      <vt:lpstr>dnt706_7_2</vt:lpstr>
      <vt:lpstr>dnt706_8</vt:lpstr>
      <vt:lpstr>dnt706_9</vt:lpstr>
      <vt:lpstr>dnt801_1_1</vt:lpstr>
      <vt:lpstr>dnt801_1_5</vt:lpstr>
      <vt:lpstr>dnt801_1_6</vt:lpstr>
      <vt:lpstr>dnt801_2_1</vt:lpstr>
      <vt:lpstr>dnt801_2_2</vt:lpstr>
      <vt:lpstr>dnt801_3_1</vt:lpstr>
      <vt:lpstr>dnt801_3_2</vt:lpstr>
      <vt:lpstr>dnt801_3_3</vt:lpstr>
      <vt:lpstr>dnt801_4_1_1</vt:lpstr>
      <vt:lpstr>dnt801_4_1_2</vt:lpstr>
      <vt:lpstr>dnt801_4_2</vt:lpstr>
      <vt:lpstr>dnt801_5_1</vt:lpstr>
      <vt:lpstr>dnt801_5_2</vt:lpstr>
      <vt:lpstr>dnt801_5_3</vt:lpstr>
      <vt:lpstr>dnt801_5_4_a</vt:lpstr>
      <vt:lpstr>dnt801_5_4_b</vt:lpstr>
      <vt:lpstr>dnt801_5_4_c</vt:lpstr>
      <vt:lpstr>dnt801_6_1</vt:lpstr>
      <vt:lpstr>dnt801_6_2_1</vt:lpstr>
      <vt:lpstr>dnt801_6_2_2</vt:lpstr>
      <vt:lpstr>dnt801_6_2_3</vt:lpstr>
      <vt:lpstr>dnt801_6_3</vt:lpstr>
      <vt:lpstr>dnt801_6_4_1</vt:lpstr>
      <vt:lpstr>dnt801_6_4_2</vt:lpstr>
      <vt:lpstr>dnt801_6_4_3</vt:lpstr>
      <vt:lpstr>dnt801_6_5</vt:lpstr>
      <vt:lpstr>dnt801_7_1</vt:lpstr>
      <vt:lpstr>dnt801_7_2_1</vt:lpstr>
      <vt:lpstr>dnt801_7_2_2</vt:lpstr>
      <vt:lpstr>dnt801_8</vt:lpstr>
      <vt:lpstr>dnt802_1_1</vt:lpstr>
      <vt:lpstr>dnt802_1_2</vt:lpstr>
      <vt:lpstr>dnt802_2</vt:lpstr>
      <vt:lpstr>dnt802_3_1</vt:lpstr>
      <vt:lpstr>dnt802_3_2</vt:lpstr>
      <vt:lpstr>dnt802_4</vt:lpstr>
      <vt:lpstr>dnt802_5</vt:lpstr>
      <vt:lpstr>dnt802_6</vt:lpstr>
      <vt:lpstr>dnt901_1_1</vt:lpstr>
      <vt:lpstr>dnt901_1_2</vt:lpstr>
      <vt:lpstr>dnt901_1_3_1</vt:lpstr>
      <vt:lpstr>dnt901_1_3_2</vt:lpstr>
      <vt:lpstr>dnt901_1_4</vt:lpstr>
      <vt:lpstr>dnt901_1_5</vt:lpstr>
      <vt:lpstr>dnt901_1_6</vt:lpstr>
      <vt:lpstr>dnt901_10_1</vt:lpstr>
      <vt:lpstr>dnt901_10_2</vt:lpstr>
      <vt:lpstr>dnt901_10_3</vt:lpstr>
      <vt:lpstr>dnt901_11</vt:lpstr>
      <vt:lpstr>dnt901_12</vt:lpstr>
      <vt:lpstr>dnt901_13</vt:lpstr>
      <vt:lpstr>dnt901_14_1</vt:lpstr>
      <vt:lpstr>dnt901_14_2</vt:lpstr>
      <vt:lpstr>dnt901_2_1_1</vt:lpstr>
      <vt:lpstr>dnt901_2_1_2</vt:lpstr>
      <vt:lpstr>dnt901_2_1_3</vt:lpstr>
      <vt:lpstr>dnt901_2_1_4</vt:lpstr>
      <vt:lpstr>dnt901_2_1_5</vt:lpstr>
      <vt:lpstr>dnt901_2_2</vt:lpstr>
      <vt:lpstr>dnt901_3_1_a</vt:lpstr>
      <vt:lpstr>dnt901_3_1_b</vt:lpstr>
      <vt:lpstr>dnt901_3_1_c</vt:lpstr>
      <vt:lpstr>dnt901_3_2</vt:lpstr>
      <vt:lpstr>dnt901_4_1</vt:lpstr>
      <vt:lpstr>dnt901_4_a</vt:lpstr>
      <vt:lpstr>dnt901_5_1</vt:lpstr>
      <vt:lpstr>dnt901_5_2</vt:lpstr>
      <vt:lpstr>dnt901_6</vt:lpstr>
      <vt:lpstr>dnt901_7_1</vt:lpstr>
      <vt:lpstr>dnt901_7_2</vt:lpstr>
      <vt:lpstr>dnt901_8</vt:lpstr>
      <vt:lpstr>dnt901_9</vt:lpstr>
      <vt:lpstr>dnt901_9_1_1</vt:lpstr>
      <vt:lpstr>dnt901_9_1_2</vt:lpstr>
      <vt:lpstr>dnt901_9_1_3</vt:lpstr>
      <vt:lpstr>dnt901_9_2</vt:lpstr>
      <vt:lpstr>dnt901_9_3</vt:lpstr>
      <vt:lpstr>dnt902_1_1</vt:lpstr>
      <vt:lpstr>dnt902_1_1_a</vt:lpstr>
      <vt:lpstr>dnt902_1_2</vt:lpstr>
      <vt:lpstr>dnt902_1_2_</vt:lpstr>
      <vt:lpstr>dnt902_1_3</vt:lpstr>
      <vt:lpstr>dnt902_1_3_</vt:lpstr>
      <vt:lpstr>dnt902_1_4</vt:lpstr>
      <vt:lpstr>dnt902_1_5_1</vt:lpstr>
      <vt:lpstr>dnt902_1_5_2</vt:lpstr>
      <vt:lpstr>dnt902_1_5_3</vt:lpstr>
      <vt:lpstr>dnt902_2_1</vt:lpstr>
      <vt:lpstr>dnt902_2_2</vt:lpstr>
      <vt:lpstr>dnt902_2_3</vt:lpstr>
      <vt:lpstr>dnt902_2_4</vt:lpstr>
      <vt:lpstr>dnt902_3</vt:lpstr>
      <vt:lpstr>dnt902_4_1</vt:lpstr>
      <vt:lpstr>dnt902_4_2</vt:lpstr>
      <vt:lpstr>dnt902_5</vt:lpstr>
      <vt:lpstr>dnt902_6</vt:lpstr>
      <vt:lpstr>dnt903_1</vt:lpstr>
      <vt:lpstr>dnt903_2</vt:lpstr>
      <vt:lpstr>dnt903_3</vt:lpstr>
      <vt:lpstr>dnt904_1</vt:lpstr>
      <vt:lpstr>dnt904_2</vt:lpstr>
      <vt:lpstr>dnt905_1</vt:lpstr>
      <vt:lpstr>dnt905_2</vt:lpstr>
      <vt:lpstr>dpa1001_1</vt:lpstr>
      <vt:lpstr>dpa1001_1_1</vt:lpstr>
      <vt:lpstr>dpa1001_1_2</vt:lpstr>
      <vt:lpstr>dpa1001_1_3</vt:lpstr>
      <vt:lpstr>dpa1001_2</vt:lpstr>
      <vt:lpstr>dpa1002_1</vt:lpstr>
      <vt:lpstr>dpa1002_1_1</vt:lpstr>
      <vt:lpstr>dpa1002_1_2</vt:lpstr>
      <vt:lpstr>dpa1002_1_3</vt:lpstr>
      <vt:lpstr>dpa1002_2</vt:lpstr>
      <vt:lpstr>dpa1002_2_1</vt:lpstr>
      <vt:lpstr>dpa1002_2_2</vt:lpstr>
      <vt:lpstr>dpa1002_3</vt:lpstr>
      <vt:lpstr>dpa1002_3_1</vt:lpstr>
      <vt:lpstr>dpa1002_4</vt:lpstr>
      <vt:lpstr>dpa1003_1</vt:lpstr>
      <vt:lpstr>dpa1003_1_1</vt:lpstr>
      <vt:lpstr>dpa1003_1_2</vt:lpstr>
      <vt:lpstr>dpa1003_1_3</vt:lpstr>
      <vt:lpstr>dpa1004_1_1</vt:lpstr>
      <vt:lpstr>dpa1004_1_2</vt:lpstr>
      <vt:lpstr>dpa501_1_1</vt:lpstr>
      <vt:lpstr>dpa501_1_2_a</vt:lpstr>
      <vt:lpstr>dpa501_1_2_b</vt:lpstr>
      <vt:lpstr>dpa501_1_2_c</vt:lpstr>
      <vt:lpstr>dpa501_2_1</vt:lpstr>
      <vt:lpstr>dpa501_2_2</vt:lpstr>
      <vt:lpstr>dpa501_2_3</vt:lpstr>
      <vt:lpstr>dpa501_2_4</vt:lpstr>
      <vt:lpstr>dpa501_2_5</vt:lpstr>
      <vt:lpstr>dpa501_2_6_a</vt:lpstr>
      <vt:lpstr>dpa501_2_6_b</vt:lpstr>
      <vt:lpstr>dpa501_2_6_c</vt:lpstr>
      <vt:lpstr>dpa502_1</vt:lpstr>
      <vt:lpstr>dpa503_1_1</vt:lpstr>
      <vt:lpstr>dpa503_1_2</vt:lpstr>
      <vt:lpstr>dpa503_1_3</vt:lpstr>
      <vt:lpstr>dpa503_1_4</vt:lpstr>
      <vt:lpstr>dpa503_1_5</vt:lpstr>
      <vt:lpstr>dpa503_1_6</vt:lpstr>
      <vt:lpstr>dpa503_1_7</vt:lpstr>
      <vt:lpstr>dpa503_2_1</vt:lpstr>
      <vt:lpstr>dpa503_2_2</vt:lpstr>
      <vt:lpstr>dpa503_2_3_a</vt:lpstr>
      <vt:lpstr>dpa503_2_3_b</vt:lpstr>
      <vt:lpstr>dpa503_2_3_c</vt:lpstr>
      <vt:lpstr>dpa503_2_4</vt:lpstr>
      <vt:lpstr>dpa503_2_5</vt:lpstr>
      <vt:lpstr>dpa503_3_1</vt:lpstr>
      <vt:lpstr>dpa503_3_2</vt:lpstr>
      <vt:lpstr>dpa503_3_3</vt:lpstr>
      <vt:lpstr>dpa503_4_1</vt:lpstr>
      <vt:lpstr>dpa503_4_2</vt:lpstr>
      <vt:lpstr>dpa503_4_3_a</vt:lpstr>
      <vt:lpstr>dpa503_4_3_b</vt:lpstr>
      <vt:lpstr>dpa503_4_3_c</vt:lpstr>
      <vt:lpstr>dpa503_4_4_a</vt:lpstr>
      <vt:lpstr>dpa503_4_4_b</vt:lpstr>
      <vt:lpstr>dpa503_4_4_c</vt:lpstr>
      <vt:lpstr>dpa503_5_1_a</vt:lpstr>
      <vt:lpstr>dpa503_5_1_b</vt:lpstr>
      <vt:lpstr>dpa503_5_1_c</vt:lpstr>
      <vt:lpstr>dpa503_5_1_d</vt:lpstr>
      <vt:lpstr>dpa503_5_10</vt:lpstr>
      <vt:lpstr>dpa503_5_11</vt:lpstr>
      <vt:lpstr>dpa503_5_12</vt:lpstr>
      <vt:lpstr>dpa503_5_2</vt:lpstr>
      <vt:lpstr>dpa503_5_3</vt:lpstr>
      <vt:lpstr>dpa503_5_4</vt:lpstr>
      <vt:lpstr>dpa503_5_5_a</vt:lpstr>
      <vt:lpstr>dpa503_5_5_b</vt:lpstr>
      <vt:lpstr>dpa503_5_5_c</vt:lpstr>
      <vt:lpstr>dpa503_5_5_d</vt:lpstr>
      <vt:lpstr>dpa503_5_6</vt:lpstr>
      <vt:lpstr>dpa503_5_7</vt:lpstr>
      <vt:lpstr>dpa503_5_8</vt:lpstr>
      <vt:lpstr>dpa503_5_9</vt:lpstr>
      <vt:lpstr>dpa503_6_1</vt:lpstr>
      <vt:lpstr>dpa503_6_2</vt:lpstr>
      <vt:lpstr>dpa503_6_3</vt:lpstr>
      <vt:lpstr>dpa503_6_4</vt:lpstr>
      <vt:lpstr>dpa503_7_1</vt:lpstr>
      <vt:lpstr>dpa503_7_2</vt:lpstr>
      <vt:lpstr>dpa503_8</vt:lpstr>
      <vt:lpstr>dpa504_1</vt:lpstr>
      <vt:lpstr>dpa504_2_1</vt:lpstr>
      <vt:lpstr>dpa504_2_2</vt:lpstr>
      <vt:lpstr>dpa504_2_3</vt:lpstr>
      <vt:lpstr>dpa504_3_1</vt:lpstr>
      <vt:lpstr>dpa504_3_2</vt:lpstr>
      <vt:lpstr>dpa504_3_3</vt:lpstr>
      <vt:lpstr>dpa504_3_4</vt:lpstr>
      <vt:lpstr>dpa504_3_5</vt:lpstr>
      <vt:lpstr>dpa504_3_6</vt:lpstr>
      <vt:lpstr>dpa504_3_7</vt:lpstr>
      <vt:lpstr>dpa504_3_8</vt:lpstr>
      <vt:lpstr>dpa504_3_9</vt:lpstr>
      <vt:lpstr>dpa505_1_1</vt:lpstr>
      <vt:lpstr>dpa505_1_2</vt:lpstr>
      <vt:lpstr>dpa505_1_3_a</vt:lpstr>
      <vt:lpstr>dpa505_1_3_b</vt:lpstr>
      <vt:lpstr>dpa505_1_3_c</vt:lpstr>
      <vt:lpstr>dpa505_1_4_a</vt:lpstr>
      <vt:lpstr>dpa505_1_4_b</vt:lpstr>
      <vt:lpstr>dpa505_1_4_c</vt:lpstr>
      <vt:lpstr>dpa505_2_1</vt:lpstr>
      <vt:lpstr>dpa505_2_2</vt:lpstr>
      <vt:lpstr>dpa505_3_1</vt:lpstr>
      <vt:lpstr>dpa505_3_2</vt:lpstr>
      <vt:lpstr>dpa505_3_3</vt:lpstr>
      <vt:lpstr>dpa505_3_4</vt:lpstr>
      <vt:lpstr>dpa505_3_5</vt:lpstr>
      <vt:lpstr>dpa505_4</vt:lpstr>
      <vt:lpstr>dpa505_5</vt:lpstr>
      <vt:lpstr>dpa505_6</vt:lpstr>
      <vt:lpstr>dpa601_1_1</vt:lpstr>
      <vt:lpstr>dpa601_1_2</vt:lpstr>
      <vt:lpstr>dpa601_1_3</vt:lpstr>
      <vt:lpstr>dpa601_1_4</vt:lpstr>
      <vt:lpstr>dpa601_1_5</vt:lpstr>
      <vt:lpstr>dpa601_2_1</vt:lpstr>
      <vt:lpstr>dpa601_2_2</vt:lpstr>
      <vt:lpstr>dpa601_2_3</vt:lpstr>
      <vt:lpstr>dpa601_3_1</vt:lpstr>
      <vt:lpstr>dpa601_3_2</vt:lpstr>
      <vt:lpstr>dpa601_3_3</vt:lpstr>
      <vt:lpstr>dpa601_3_4</vt:lpstr>
      <vt:lpstr>dpa601_3_5</vt:lpstr>
      <vt:lpstr>dpa601_4</vt:lpstr>
      <vt:lpstr>dpa601_5</vt:lpstr>
      <vt:lpstr>dpa601_5_1</vt:lpstr>
      <vt:lpstr>dpa601_5_2</vt:lpstr>
      <vt:lpstr>dpa601_5_3</vt:lpstr>
      <vt:lpstr>dpa601_5_4</vt:lpstr>
      <vt:lpstr>dpa601_5_5</vt:lpstr>
      <vt:lpstr>dpa601_6</vt:lpstr>
      <vt:lpstr>dpa601_6_1</vt:lpstr>
      <vt:lpstr>dpa601_6_2</vt:lpstr>
      <vt:lpstr>dpa601_7</vt:lpstr>
      <vt:lpstr>dpa601_7_1</vt:lpstr>
      <vt:lpstr>dpa601_7_2</vt:lpstr>
      <vt:lpstr>dpa601_7_3</vt:lpstr>
      <vt:lpstr>dpa601_8</vt:lpstr>
      <vt:lpstr>dpa601_9</vt:lpstr>
      <vt:lpstr>dpa602_1_1_1</vt:lpstr>
      <vt:lpstr>dpa602_1_1_2</vt:lpstr>
      <vt:lpstr>dpa602_1_10</vt:lpstr>
      <vt:lpstr>dpa602_1_11</vt:lpstr>
      <vt:lpstr>dpa602_1_12</vt:lpstr>
      <vt:lpstr>dpa602_1_13</vt:lpstr>
      <vt:lpstr>dpa602_1_14_1</vt:lpstr>
      <vt:lpstr>dpa602_1_14_2</vt:lpstr>
      <vt:lpstr>dpa602_1_14_3</vt:lpstr>
      <vt:lpstr>dpa602_1_2</vt:lpstr>
      <vt:lpstr>dpa602_1_3_1</vt:lpstr>
      <vt:lpstr>dpa602_1_3_2</vt:lpstr>
      <vt:lpstr>dpa602_1_4_1_1</vt:lpstr>
      <vt:lpstr>dpa602_1_4_1_2</vt:lpstr>
      <vt:lpstr>dpa602_1_4_2_1</vt:lpstr>
      <vt:lpstr>dpa602_1_4_2_2</vt:lpstr>
      <vt:lpstr>dpa602_1_5_1</vt:lpstr>
      <vt:lpstr>dpa602_1_5_2</vt:lpstr>
      <vt:lpstr>dpa602_1_6_1</vt:lpstr>
      <vt:lpstr>dpa602_1_6_2</vt:lpstr>
      <vt:lpstr>dpa602_1_6_3</vt:lpstr>
      <vt:lpstr>dpa602_1_7_1_1</vt:lpstr>
      <vt:lpstr>dpa602_1_7_1_2</vt:lpstr>
      <vt:lpstr>dpa602_1_7_1_3</vt:lpstr>
      <vt:lpstr>dpa602_1_7_2</vt:lpstr>
      <vt:lpstr>dpa602_1_7_3</vt:lpstr>
      <vt:lpstr>dpa602_1_8</vt:lpstr>
      <vt:lpstr>dpa602_1_9_1</vt:lpstr>
      <vt:lpstr>dpa602_1_9_2</vt:lpstr>
      <vt:lpstr>dpa602_1_9_3</vt:lpstr>
      <vt:lpstr>dpa602_1_9_4</vt:lpstr>
      <vt:lpstr>dpa602_1_9_5_a</vt:lpstr>
      <vt:lpstr>dpa602_1_9_5_b</vt:lpstr>
      <vt:lpstr>dpa602_1_9_6</vt:lpstr>
      <vt:lpstr>dpa602_1_9_7</vt:lpstr>
      <vt:lpstr>dpa602_2</vt:lpstr>
      <vt:lpstr>dpa602_3</vt:lpstr>
      <vt:lpstr>dpa602_4_1</vt:lpstr>
      <vt:lpstr>dpa602_4_2</vt:lpstr>
      <vt:lpstr>dpa602_4_3</vt:lpstr>
      <vt:lpstr>dpa603_1</vt:lpstr>
      <vt:lpstr>dpa603_2</vt:lpstr>
      <vt:lpstr>dpa603_3</vt:lpstr>
      <vt:lpstr>dpa604_1a</vt:lpstr>
      <vt:lpstr>dpa605_1</vt:lpstr>
      <vt:lpstr>dpa605_2</vt:lpstr>
      <vt:lpstr>dpa605_3</vt:lpstr>
      <vt:lpstr>dpa605_3_1</vt:lpstr>
      <vt:lpstr>dpa605_3_2</vt:lpstr>
      <vt:lpstr>dpa606_1_1</vt:lpstr>
      <vt:lpstr>dpa606_1_2</vt:lpstr>
      <vt:lpstr>dpa606_1_3</vt:lpstr>
      <vt:lpstr>dpa606_2_1a</vt:lpstr>
      <vt:lpstr>dpa606_2_2a</vt:lpstr>
      <vt:lpstr>dpa606_3</vt:lpstr>
      <vt:lpstr>dpa607_1_1</vt:lpstr>
      <vt:lpstr>dpa607_1_2</vt:lpstr>
      <vt:lpstr>dpa607_2</vt:lpstr>
      <vt:lpstr>dpa608_1</vt:lpstr>
      <vt:lpstr>dpa609_1a</vt:lpstr>
      <vt:lpstr>dpa610_1_1_1</vt:lpstr>
      <vt:lpstr>dpa610_1_1_2</vt:lpstr>
      <vt:lpstr>dpa610_1_1_3</vt:lpstr>
      <vt:lpstr>dpa610_1_2</vt:lpstr>
      <vt:lpstr>dpa610_1_2_1</vt:lpstr>
      <vt:lpstr>dpa610_1_2_2a</vt:lpstr>
      <vt:lpstr>dpa611_1</vt:lpstr>
      <vt:lpstr>dpa611_2</vt:lpstr>
      <vt:lpstr>dpa611_2_1</vt:lpstr>
      <vt:lpstr>dpa611_2_2</vt:lpstr>
      <vt:lpstr>dpa611_2_3</vt:lpstr>
      <vt:lpstr>dpa611_2_4</vt:lpstr>
      <vt:lpstr>dpa611_2_5</vt:lpstr>
      <vt:lpstr>dpa611_2_6</vt:lpstr>
      <vt:lpstr>dpa611_2_7</vt:lpstr>
      <vt:lpstr>dpa611_3</vt:lpstr>
      <vt:lpstr>dpa611_3_1</vt:lpstr>
      <vt:lpstr>dpa611_3_2</vt:lpstr>
      <vt:lpstr>dpa611_3_3</vt:lpstr>
      <vt:lpstr>dpa611_3_4</vt:lpstr>
      <vt:lpstr>dpa611_3_5</vt:lpstr>
      <vt:lpstr>dpa611_3_6</vt:lpstr>
      <vt:lpstr>dpa611_3_7</vt:lpstr>
      <vt:lpstr>dpa611_3_8</vt:lpstr>
      <vt:lpstr>dpa611_3_9</vt:lpstr>
      <vt:lpstr>dpa611_4</vt:lpstr>
      <vt:lpstr>dpa701_4_1</vt:lpstr>
      <vt:lpstr>dpa701_4_1_1</vt:lpstr>
      <vt:lpstr>dpa701_4_1_2</vt:lpstr>
      <vt:lpstr>dpa701_4_2_2</vt:lpstr>
      <vt:lpstr>dpa701_4_2_3</vt:lpstr>
      <vt:lpstr>dpa701_4_3_1</vt:lpstr>
      <vt:lpstr>dpa701_4_3_2</vt:lpstr>
      <vt:lpstr>dpa701_4_3_2_1</vt:lpstr>
      <vt:lpstr>dpa701_4_3_3_4</vt:lpstr>
      <vt:lpstr>dpa701_4_3_3_5</vt:lpstr>
      <vt:lpstr>dpa701_4_4</vt:lpstr>
      <vt:lpstr>dpa701_4_5</vt:lpstr>
      <vt:lpstr>dpa702_2_1</vt:lpstr>
      <vt:lpstr>dpa702_2_2</vt:lpstr>
      <vt:lpstr>dpa703_1</vt:lpstr>
      <vt:lpstr>dpa703_1_1</vt:lpstr>
      <vt:lpstr>dpa703_1_2</vt:lpstr>
      <vt:lpstr>dpa703_1_3</vt:lpstr>
      <vt:lpstr>dpa703_2_1</vt:lpstr>
      <vt:lpstr>dpa703_2_2</vt:lpstr>
      <vt:lpstr>dpa703_2_3</vt:lpstr>
      <vt:lpstr>dpa703_2_4</vt:lpstr>
      <vt:lpstr>dpa703_2_5_1</vt:lpstr>
      <vt:lpstr>dpa703_2_5_2</vt:lpstr>
      <vt:lpstr>dpa703_2_5_2_a</vt:lpstr>
      <vt:lpstr>dpa703_2_5_2_b</vt:lpstr>
      <vt:lpstr>dpa703_2_5_2_c</vt:lpstr>
      <vt:lpstr>dpa703_3_1</vt:lpstr>
      <vt:lpstr>dpa703_3_2__1_1</vt:lpstr>
      <vt:lpstr>dpa703_3_2__1_2</vt:lpstr>
      <vt:lpstr>dpa703_3_2__1_3</vt:lpstr>
      <vt:lpstr>dpa703_3_2__1_4</vt:lpstr>
      <vt:lpstr>dpa703_3_2__1_5</vt:lpstr>
      <vt:lpstr>dpa703_3_2__2_1</vt:lpstr>
      <vt:lpstr>dpa703_3_2__2_2</vt:lpstr>
      <vt:lpstr>dpa703_3_2__3_1</vt:lpstr>
      <vt:lpstr>dpa703_3_2__3_2</vt:lpstr>
      <vt:lpstr>dpa703_3_2__3_3</vt:lpstr>
      <vt:lpstr>dpa703_3_2__3_4</vt:lpstr>
      <vt:lpstr>dpa703_3_2__4_1</vt:lpstr>
      <vt:lpstr>dpa703_3_2__4_2</vt:lpstr>
      <vt:lpstr>dpa703_3_3__1_1</vt:lpstr>
      <vt:lpstr>dpa703_3_3__1_2</vt:lpstr>
      <vt:lpstr>dpa703_3_3__1_3</vt:lpstr>
      <vt:lpstr>dpa703_3_3__1_4</vt:lpstr>
      <vt:lpstr>dpa703_3_3__3</vt:lpstr>
      <vt:lpstr>dpa703_3_4_1</vt:lpstr>
      <vt:lpstr>dpa703_3_4_1_1</vt:lpstr>
      <vt:lpstr>dpa703_3_4_1_2</vt:lpstr>
      <vt:lpstr>dpa703_3_4_1_3</vt:lpstr>
      <vt:lpstr>dpa703_3_4_1_4</vt:lpstr>
      <vt:lpstr>dpa703_3_4_1_5</vt:lpstr>
      <vt:lpstr>dpa703_3_4_2</vt:lpstr>
      <vt:lpstr>dpa703_3_5</vt:lpstr>
      <vt:lpstr>dpa703_3_6_1</vt:lpstr>
      <vt:lpstr>dpa703_3_6_2</vt:lpstr>
      <vt:lpstr>dpa703_3_6_3</vt:lpstr>
      <vt:lpstr>dpa703_3_7_1</vt:lpstr>
      <vt:lpstr>dpa703_3_8</vt:lpstr>
      <vt:lpstr>dpa703_4_1</vt:lpstr>
      <vt:lpstr>dpa703_4_2</vt:lpstr>
      <vt:lpstr>dpa703_4_3</vt:lpstr>
      <vt:lpstr>dpa703_4_4_1</vt:lpstr>
      <vt:lpstr>dpa703_4_4_2</vt:lpstr>
      <vt:lpstr>dpa703_4_4_3</vt:lpstr>
      <vt:lpstr>dpa703_5_1_1_a_a</vt:lpstr>
      <vt:lpstr>dpa703_5_1_1_a_b</vt:lpstr>
      <vt:lpstr>dpa703_5_1_1_b_a</vt:lpstr>
      <vt:lpstr>dpa703_5_1_1_b_b</vt:lpstr>
      <vt:lpstr>dpa703_5_1_2_a</vt:lpstr>
      <vt:lpstr>dpa703_5_1_2_b</vt:lpstr>
      <vt:lpstr>dpa703_5_1_3</vt:lpstr>
      <vt:lpstr>dpa703_5_1_4_a</vt:lpstr>
      <vt:lpstr>dpa703_5_1_4_b</vt:lpstr>
      <vt:lpstr>dpa703_5_1_4_c</vt:lpstr>
      <vt:lpstr>dpa703_5_2</vt:lpstr>
      <vt:lpstr>dpa703_5_3</vt:lpstr>
      <vt:lpstr>dpa703_5_4</vt:lpstr>
      <vt:lpstr>dpa703_5_5_1</vt:lpstr>
      <vt:lpstr>dpa703_5_5_2</vt:lpstr>
      <vt:lpstr>dpa703_5_5_3</vt:lpstr>
      <vt:lpstr>dpa703_5_5_4</vt:lpstr>
      <vt:lpstr>dpa703_5_5_5</vt:lpstr>
      <vt:lpstr>dpa703_6_1_1</vt:lpstr>
      <vt:lpstr>dpa703_6_1_2</vt:lpstr>
      <vt:lpstr>dpa703_6_1_3</vt:lpstr>
      <vt:lpstr>dpa703_6_2__1</vt:lpstr>
      <vt:lpstr>dpa703_6_2__2</vt:lpstr>
      <vt:lpstr>dpa703_6_2__3</vt:lpstr>
      <vt:lpstr>dpa703_7_1</vt:lpstr>
      <vt:lpstr>dpa703_7_2</vt:lpstr>
      <vt:lpstr>dpa703_7_3_1</vt:lpstr>
      <vt:lpstr>dpa703_7_3_2</vt:lpstr>
      <vt:lpstr>dpa703_7_4</vt:lpstr>
      <vt:lpstr>dpa705_2_1_1_1</vt:lpstr>
      <vt:lpstr>dpa705_2_1_1_2</vt:lpstr>
      <vt:lpstr>dpa705_2_1_2</vt:lpstr>
      <vt:lpstr>dpa705_2_1_3_1_a</vt:lpstr>
      <vt:lpstr>dpa705_2_1_3_1_b</vt:lpstr>
      <vt:lpstr>dpa705_2_1_3_2_a</vt:lpstr>
      <vt:lpstr>dpa705_2_1_3_2_b</vt:lpstr>
      <vt:lpstr>dpa705_2_1_4_1</vt:lpstr>
      <vt:lpstr>dpa705_2_1_4_2</vt:lpstr>
      <vt:lpstr>dpa705_2_2</vt:lpstr>
      <vt:lpstr>dpa705_2_3</vt:lpstr>
      <vt:lpstr>dpa705_2_4</vt:lpstr>
      <vt:lpstr>dpa705_3</vt:lpstr>
      <vt:lpstr>dpa705_4</vt:lpstr>
      <vt:lpstr>dpa705_5_1</vt:lpstr>
      <vt:lpstr>dpa705_5_2</vt:lpstr>
      <vt:lpstr>dpa705_6_1</vt:lpstr>
      <vt:lpstr>dpa705_6_2_1_1</vt:lpstr>
      <vt:lpstr>dpa705_6_2_1_1_1</vt:lpstr>
      <vt:lpstr>dpa705_6_2_1_2</vt:lpstr>
      <vt:lpstr>dpa705_6_2_2</vt:lpstr>
      <vt:lpstr>dpa705_6_2_3_1</vt:lpstr>
      <vt:lpstr>dpa705_6_2_3_2</vt:lpstr>
      <vt:lpstr>dpa705_6_3</vt:lpstr>
      <vt:lpstr>dpa705_6_4_1</vt:lpstr>
      <vt:lpstr>dpa705_6_4_2</vt:lpstr>
      <vt:lpstr>dpa705_7</vt:lpstr>
      <vt:lpstr>dpa706_1</vt:lpstr>
      <vt:lpstr>dpa706_1_1</vt:lpstr>
      <vt:lpstr>dpa706_1_2</vt:lpstr>
      <vt:lpstr>dpa706_1_3</vt:lpstr>
      <vt:lpstr>dpa706_1_4</vt:lpstr>
      <vt:lpstr>dpa706_1_5</vt:lpstr>
      <vt:lpstr>dpa706_2_1</vt:lpstr>
      <vt:lpstr>dpa706_2_2_a</vt:lpstr>
      <vt:lpstr>dpa706_2_2_b</vt:lpstr>
      <vt:lpstr>dpa706_3_a</vt:lpstr>
      <vt:lpstr>dpa706_3_b</vt:lpstr>
      <vt:lpstr>dpa706_4_1_1</vt:lpstr>
      <vt:lpstr>dpa706_4_1_2</vt:lpstr>
      <vt:lpstr>dpa706_4_2</vt:lpstr>
      <vt:lpstr>dpa706_5</vt:lpstr>
      <vt:lpstr>dpa706_6</vt:lpstr>
      <vt:lpstr>dpa706_7_1</vt:lpstr>
      <vt:lpstr>dpa706_7_2</vt:lpstr>
      <vt:lpstr>dpa706_8</vt:lpstr>
      <vt:lpstr>dpa706_9</vt:lpstr>
      <vt:lpstr>dpa801_1_1</vt:lpstr>
      <vt:lpstr>dpa801_1_2</vt:lpstr>
      <vt:lpstr>dpa801_1_3</vt:lpstr>
      <vt:lpstr>dpa801_1_4</vt:lpstr>
      <vt:lpstr>dpa801_1_4_a</vt:lpstr>
      <vt:lpstr>dpa801_1_5</vt:lpstr>
      <vt:lpstr>dpa801_1_6</vt:lpstr>
      <vt:lpstr>dpa801_2_1</vt:lpstr>
      <vt:lpstr>dpa801_2_2</vt:lpstr>
      <vt:lpstr>dpa801_2_3</vt:lpstr>
      <vt:lpstr>dpa801_3_1</vt:lpstr>
      <vt:lpstr>dpa801_3_2_a</vt:lpstr>
      <vt:lpstr>dpa801_3_2_b</vt:lpstr>
      <vt:lpstr>dpa801_3_2_c</vt:lpstr>
      <vt:lpstr>dpa801_3_3</vt:lpstr>
      <vt:lpstr>dpa801_4_1_1</vt:lpstr>
      <vt:lpstr>dpa801_4_1_2</vt:lpstr>
      <vt:lpstr>dpa801_4_2</vt:lpstr>
      <vt:lpstr>dpa801_5_2</vt:lpstr>
      <vt:lpstr>dpa801_5_3</vt:lpstr>
      <vt:lpstr>dpa801_5_4_a</vt:lpstr>
      <vt:lpstr>dpa801_5_4_b</vt:lpstr>
      <vt:lpstr>dpa801_5_4_c</vt:lpstr>
      <vt:lpstr>dpa801_6_1</vt:lpstr>
      <vt:lpstr>dpa801_6_2_1</vt:lpstr>
      <vt:lpstr>dpa801_6_2_2</vt:lpstr>
      <vt:lpstr>dpa801_6_2_3</vt:lpstr>
      <vt:lpstr>dpa801_6_4_1</vt:lpstr>
      <vt:lpstr>dpa801_6_4_2</vt:lpstr>
      <vt:lpstr>dpa801_6_4_3</vt:lpstr>
      <vt:lpstr>dpa801_6_5</vt:lpstr>
      <vt:lpstr>dpa801_7_1_1</vt:lpstr>
      <vt:lpstr>dpa801_7_1_2_a</vt:lpstr>
      <vt:lpstr>dpa801_7_1_2_b</vt:lpstr>
      <vt:lpstr>dpa801_7_1_2_c</vt:lpstr>
      <vt:lpstr>dpa801_7_1_2_d</vt:lpstr>
      <vt:lpstr>dpa801_7_2_1</vt:lpstr>
      <vt:lpstr>dpa801_7_2_2</vt:lpstr>
      <vt:lpstr>dpa801_8</vt:lpstr>
      <vt:lpstr>dpa802_1_1</vt:lpstr>
      <vt:lpstr>dpa802_1_2</vt:lpstr>
      <vt:lpstr>dpa802_2</vt:lpstr>
      <vt:lpstr>dpa802_3</vt:lpstr>
      <vt:lpstr>dpa802_4</vt:lpstr>
      <vt:lpstr>dpa802_5</vt:lpstr>
      <vt:lpstr>dpa802_6</vt:lpstr>
      <vt:lpstr>dpa901_1_1</vt:lpstr>
      <vt:lpstr>dpa901_1_2</vt:lpstr>
      <vt:lpstr>dpa901_1_3_1_a</vt:lpstr>
      <vt:lpstr>dpa901_1_3_1_b</vt:lpstr>
      <vt:lpstr>dpa901_1_3_2_a</vt:lpstr>
      <vt:lpstr>dpa901_1_3_2_b</vt:lpstr>
      <vt:lpstr>dpa901_1_4</vt:lpstr>
      <vt:lpstr>dpa901_1_5</vt:lpstr>
      <vt:lpstr>dpa901_1_6_1</vt:lpstr>
      <vt:lpstr>dpa901_1_6_2</vt:lpstr>
      <vt:lpstr>dpa901_10_1</vt:lpstr>
      <vt:lpstr>dpa901_10_2</vt:lpstr>
      <vt:lpstr>dpa901_10_3</vt:lpstr>
      <vt:lpstr>dpa901_11</vt:lpstr>
      <vt:lpstr>dpa901_12</vt:lpstr>
      <vt:lpstr>dpa901_13_1</vt:lpstr>
      <vt:lpstr>dpa901_13_2</vt:lpstr>
      <vt:lpstr>dpa901_14_1</vt:lpstr>
      <vt:lpstr>dpa901_14_2</vt:lpstr>
      <vt:lpstr>dpa901_2_1_1</vt:lpstr>
      <vt:lpstr>dpa901_2_1_2</vt:lpstr>
      <vt:lpstr>dpa901_2_1_3</vt:lpstr>
      <vt:lpstr>dpa901_2_1_4</vt:lpstr>
      <vt:lpstr>dpa901_2_1_5</vt:lpstr>
      <vt:lpstr>dpa901_2_2</vt:lpstr>
      <vt:lpstr>dpa901_3_1_a</vt:lpstr>
      <vt:lpstr>dpa901_3_1_b</vt:lpstr>
      <vt:lpstr>dpa901_3_1_c</vt:lpstr>
      <vt:lpstr>dpa901_3_2</vt:lpstr>
      <vt:lpstr>dpa901_4</vt:lpstr>
      <vt:lpstr>dpa901_4_1</vt:lpstr>
      <vt:lpstr>dpa901_4_2</vt:lpstr>
      <vt:lpstr>dpa901_4_3</vt:lpstr>
      <vt:lpstr>dpa901_4_4</vt:lpstr>
      <vt:lpstr>dpa901_4_5</vt:lpstr>
      <vt:lpstr>dpa901_4_6</vt:lpstr>
      <vt:lpstr>dpa901_5_1</vt:lpstr>
      <vt:lpstr>dpa901_5_2</vt:lpstr>
      <vt:lpstr>dpa901_6</vt:lpstr>
      <vt:lpstr>dpa901_7</vt:lpstr>
      <vt:lpstr>dpa901_8</vt:lpstr>
      <vt:lpstr>dpa901_9_1</vt:lpstr>
      <vt:lpstr>dpa901_9_2</vt:lpstr>
      <vt:lpstr>dpa901_9_3</vt:lpstr>
      <vt:lpstr>dpa902_1_1_a</vt:lpstr>
      <vt:lpstr>dpa902_1_2</vt:lpstr>
      <vt:lpstr>dpa902_1_2_</vt:lpstr>
      <vt:lpstr>dpa902_1_2_1</vt:lpstr>
      <vt:lpstr>dpa902_1_2_2</vt:lpstr>
      <vt:lpstr>dpa902_1_3</vt:lpstr>
      <vt:lpstr>dpa902_1_3_</vt:lpstr>
      <vt:lpstr>dpa902_1_4</vt:lpstr>
      <vt:lpstr>dpa902_1_4_1</vt:lpstr>
      <vt:lpstr>dpa902_1_4_2</vt:lpstr>
      <vt:lpstr>dpa902_1_5</vt:lpstr>
      <vt:lpstr>dpa902_2_1</vt:lpstr>
      <vt:lpstr>dpa902_2_1_1</vt:lpstr>
      <vt:lpstr>dpa902_2_1_2</vt:lpstr>
      <vt:lpstr>dpa902_2_1_3</vt:lpstr>
      <vt:lpstr>dpa902_2_1_4</vt:lpstr>
      <vt:lpstr>dpa902_2_2</vt:lpstr>
      <vt:lpstr>dpa902_2_3</vt:lpstr>
      <vt:lpstr>dpa902_2_4</vt:lpstr>
      <vt:lpstr>dpa902_3_1</vt:lpstr>
      <vt:lpstr>dpa902_3_1_a</vt:lpstr>
      <vt:lpstr>dpa902_3_1_b</vt:lpstr>
      <vt:lpstr>dpa902_3_2_a</vt:lpstr>
      <vt:lpstr>dpa902_4</vt:lpstr>
      <vt:lpstr>dpa902_5</vt:lpstr>
      <vt:lpstr>dpa902_6</vt:lpstr>
      <vt:lpstr>dpa903_1_1_1</vt:lpstr>
      <vt:lpstr>dpa903_1_2_2</vt:lpstr>
      <vt:lpstr>dpa903_2_1</vt:lpstr>
      <vt:lpstr>dpa903_2_2</vt:lpstr>
      <vt:lpstr>dpa903_3</vt:lpstr>
      <vt:lpstr>dpa904_1</vt:lpstr>
      <vt:lpstr>dpa904_2</vt:lpstr>
      <vt:lpstr>dpa905_1</vt:lpstr>
      <vt:lpstr>dpa905_2</vt:lpstr>
      <vt:lpstr>dpc1001_1</vt:lpstr>
      <vt:lpstr>dpc1002_1</vt:lpstr>
      <vt:lpstr>dpc1002_2</vt:lpstr>
      <vt:lpstr>dpc1002_3</vt:lpstr>
      <vt:lpstr>dpc1003_1</vt:lpstr>
      <vt:lpstr>dpc1004_1_1</vt:lpstr>
      <vt:lpstr>dpc1004_1_2</vt:lpstr>
      <vt:lpstr>dpc501_1</vt:lpstr>
      <vt:lpstr>dpc501_2_1</vt:lpstr>
      <vt:lpstr>dpc501_2_2</vt:lpstr>
      <vt:lpstr>dpc501_2_3</vt:lpstr>
      <vt:lpstr>dpc501_2_4</vt:lpstr>
      <vt:lpstr>dpc501_2_5</vt:lpstr>
      <vt:lpstr>dpc501_2_6</vt:lpstr>
      <vt:lpstr>dpc502_1</vt:lpstr>
      <vt:lpstr>dpc503_1_1</vt:lpstr>
      <vt:lpstr>dpc503_1_2</vt:lpstr>
      <vt:lpstr>dpc503_1_3</vt:lpstr>
      <vt:lpstr>dpc503_1_4</vt:lpstr>
      <vt:lpstr>dpc503_1_5</vt:lpstr>
      <vt:lpstr>dpc503_1_6</vt:lpstr>
      <vt:lpstr>dpc503_1_7</vt:lpstr>
      <vt:lpstr>dpc503_2_1</vt:lpstr>
      <vt:lpstr>dpc503_2_2</vt:lpstr>
      <vt:lpstr>dpc503_2_3</vt:lpstr>
      <vt:lpstr>dpc503_2_4</vt:lpstr>
      <vt:lpstr>dpc503_2_5</vt:lpstr>
      <vt:lpstr>dpc503_3_1</vt:lpstr>
      <vt:lpstr>dpc503_3_2</vt:lpstr>
      <vt:lpstr>dpc503_3_3</vt:lpstr>
      <vt:lpstr>dpc503_4_1</vt:lpstr>
      <vt:lpstr>dpc503_4_2</vt:lpstr>
      <vt:lpstr>dpc503_4_3</vt:lpstr>
      <vt:lpstr>dpc503_4_4</vt:lpstr>
      <vt:lpstr>dpc503_5_1</vt:lpstr>
      <vt:lpstr>dpc503_5_10</vt:lpstr>
      <vt:lpstr>dpc503_5_11</vt:lpstr>
      <vt:lpstr>dpc503_5_12</vt:lpstr>
      <vt:lpstr>dpc503_5_2</vt:lpstr>
      <vt:lpstr>dpc503_5_3</vt:lpstr>
      <vt:lpstr>dpc503_5_4</vt:lpstr>
      <vt:lpstr>dpc503_5_5</vt:lpstr>
      <vt:lpstr>dpc503_5_6</vt:lpstr>
      <vt:lpstr>dpc503_5_7</vt:lpstr>
      <vt:lpstr>dpc503_5_8</vt:lpstr>
      <vt:lpstr>dpc503_5_9</vt:lpstr>
      <vt:lpstr>dpc503_6_1</vt:lpstr>
      <vt:lpstr>dpc503_6_2</vt:lpstr>
      <vt:lpstr>dpc503_6_3</vt:lpstr>
      <vt:lpstr>dpc503_6_4</vt:lpstr>
      <vt:lpstr>dpc503_7</vt:lpstr>
      <vt:lpstr>dpc503_8</vt:lpstr>
      <vt:lpstr>dpc504_1</vt:lpstr>
      <vt:lpstr>dpc504_2_1</vt:lpstr>
      <vt:lpstr>dpc504_2_2</vt:lpstr>
      <vt:lpstr>dpc504_2_3</vt:lpstr>
      <vt:lpstr>dpc504_3_1</vt:lpstr>
      <vt:lpstr>dpc504_3_2</vt:lpstr>
      <vt:lpstr>dpc504_3_3</vt:lpstr>
      <vt:lpstr>dpc504_3_4</vt:lpstr>
      <vt:lpstr>dpc504_3_5</vt:lpstr>
      <vt:lpstr>dpc504_3_6</vt:lpstr>
      <vt:lpstr>dpc504_3_7</vt:lpstr>
      <vt:lpstr>dpc504_3_8</vt:lpstr>
      <vt:lpstr>dpc504_3_9</vt:lpstr>
      <vt:lpstr>dpc505_1_1</vt:lpstr>
      <vt:lpstr>dpc505_1_2</vt:lpstr>
      <vt:lpstr>dpc505_1_3</vt:lpstr>
      <vt:lpstr>dpc505_1_4</vt:lpstr>
      <vt:lpstr>dpc505_2_1</vt:lpstr>
      <vt:lpstr>dpc505_2_2</vt:lpstr>
      <vt:lpstr>dpc505_3</vt:lpstr>
      <vt:lpstr>dpc505_4</vt:lpstr>
      <vt:lpstr>dpc505_5</vt:lpstr>
      <vt:lpstr>dpc505_6</vt:lpstr>
      <vt:lpstr>dpc601_1</vt:lpstr>
      <vt:lpstr>dpc601_2_1</vt:lpstr>
      <vt:lpstr>dpc601_2_2</vt:lpstr>
      <vt:lpstr>dpc601_2_3</vt:lpstr>
      <vt:lpstr>dpc601_3_1</vt:lpstr>
      <vt:lpstr>dpc601_3_2</vt:lpstr>
      <vt:lpstr>dpc601_3_3</vt:lpstr>
      <vt:lpstr>dpc601_3_4</vt:lpstr>
      <vt:lpstr>dpc601_3_5</vt:lpstr>
      <vt:lpstr>dpc601_4</vt:lpstr>
      <vt:lpstr>dpc601_5_1</vt:lpstr>
      <vt:lpstr>dpc601_5_2</vt:lpstr>
      <vt:lpstr>dpc601_5_3</vt:lpstr>
      <vt:lpstr>dpc601_5_4</vt:lpstr>
      <vt:lpstr>dpc601_5_5</vt:lpstr>
      <vt:lpstr>dpc601_6</vt:lpstr>
      <vt:lpstr>dpc601_7</vt:lpstr>
      <vt:lpstr>dpc601_8</vt:lpstr>
      <vt:lpstr>dpc601_9</vt:lpstr>
      <vt:lpstr>dpc602_1_1_2</vt:lpstr>
      <vt:lpstr>dpc602_1_10</vt:lpstr>
      <vt:lpstr>dpc602_1_12</vt:lpstr>
      <vt:lpstr>dpc602_1_14_1</vt:lpstr>
      <vt:lpstr>dpc602_1_14_2</vt:lpstr>
      <vt:lpstr>dpc602_1_14_3</vt:lpstr>
      <vt:lpstr>dpc602_1_2</vt:lpstr>
      <vt:lpstr>dpc602_1_3_2</vt:lpstr>
      <vt:lpstr>dpc602_1_4_1_1</vt:lpstr>
      <vt:lpstr>dpc602_1_4_2_1</vt:lpstr>
      <vt:lpstr>dpc602_1_5_1</vt:lpstr>
      <vt:lpstr>dpc602_1_5_2</vt:lpstr>
      <vt:lpstr>dpc602_1_6_1</vt:lpstr>
      <vt:lpstr>dpc602_1_6_2</vt:lpstr>
      <vt:lpstr>dpc602_1_6_3</vt:lpstr>
      <vt:lpstr>dpc602_1_7_1_1</vt:lpstr>
      <vt:lpstr>dpc602_1_7_1_2</vt:lpstr>
      <vt:lpstr>dpc602_1_7_1_3</vt:lpstr>
      <vt:lpstr>dpc602_1_7_2</vt:lpstr>
      <vt:lpstr>dpc602_1_7_3</vt:lpstr>
      <vt:lpstr>dpc602_1_9_2</vt:lpstr>
      <vt:lpstr>dpc602_1_9_3</vt:lpstr>
      <vt:lpstr>dpc602_1_9_4</vt:lpstr>
      <vt:lpstr>dpc602_1_9_5</vt:lpstr>
      <vt:lpstr>dpc602_1_9_6</vt:lpstr>
      <vt:lpstr>dpc602_1_9_7</vt:lpstr>
      <vt:lpstr>dpc602_2</vt:lpstr>
      <vt:lpstr>dpc602_3</vt:lpstr>
      <vt:lpstr>dpc602_4_2</vt:lpstr>
      <vt:lpstr>dpc602_4_3</vt:lpstr>
      <vt:lpstr>dpc603_1</vt:lpstr>
      <vt:lpstr>dpc603_2</vt:lpstr>
      <vt:lpstr>dpc603_3</vt:lpstr>
      <vt:lpstr>dpc604_1a</vt:lpstr>
      <vt:lpstr>dpc605_1</vt:lpstr>
      <vt:lpstr>dpc605_2</vt:lpstr>
      <vt:lpstr>dpc605_3</vt:lpstr>
      <vt:lpstr>dpc606_1</vt:lpstr>
      <vt:lpstr>dpc606_2_1a</vt:lpstr>
      <vt:lpstr>dpc606_2_2a</vt:lpstr>
      <vt:lpstr>dpc606_3</vt:lpstr>
      <vt:lpstr>dpc607_1_1</vt:lpstr>
      <vt:lpstr>dpc607_1_2</vt:lpstr>
      <vt:lpstr>dpc607_2</vt:lpstr>
      <vt:lpstr>dpc608_1</vt:lpstr>
      <vt:lpstr>dpc609_1a</vt:lpstr>
      <vt:lpstr>dpc610_1_1_1</vt:lpstr>
      <vt:lpstr>dpc610_1_1_2</vt:lpstr>
      <vt:lpstr>dpc610_1_1_3</vt:lpstr>
      <vt:lpstr>dpc610_1_2</vt:lpstr>
      <vt:lpstr>dpc611_1</vt:lpstr>
      <vt:lpstr>dpc611_2</vt:lpstr>
      <vt:lpstr>dpc611_3</vt:lpstr>
      <vt:lpstr>dpc611_4</vt:lpstr>
      <vt:lpstr>dpc701_1_4</vt:lpstr>
      <vt:lpstr>dpc702_2_2</vt:lpstr>
      <vt:lpstr>dpc703_1</vt:lpstr>
      <vt:lpstr>dpc703_2_1</vt:lpstr>
      <vt:lpstr>dpc703_2_2</vt:lpstr>
      <vt:lpstr>dpc703_2_3</vt:lpstr>
      <vt:lpstr>dpc703_2_4</vt:lpstr>
      <vt:lpstr>dpc703_2_5_2</vt:lpstr>
      <vt:lpstr>dpc703_3_1</vt:lpstr>
      <vt:lpstr>dpc703_3_2__1</vt:lpstr>
      <vt:lpstr>dpc703_3_2__2</vt:lpstr>
      <vt:lpstr>dpc703_3_2__3</vt:lpstr>
      <vt:lpstr>dpc703_3_2__4</vt:lpstr>
      <vt:lpstr>dpc703_3_3__1</vt:lpstr>
      <vt:lpstr>dpc703_3_3__3</vt:lpstr>
      <vt:lpstr>dpc703_3_4_1</vt:lpstr>
      <vt:lpstr>dpc703_3_4_1_5</vt:lpstr>
      <vt:lpstr>dpc703_3_4_2</vt:lpstr>
      <vt:lpstr>dpc703_3_5</vt:lpstr>
      <vt:lpstr>dpc703_3_6</vt:lpstr>
      <vt:lpstr>dpc703_3_7_1</vt:lpstr>
      <vt:lpstr>dpc703_3_8</vt:lpstr>
      <vt:lpstr>dpc703_4_1</vt:lpstr>
      <vt:lpstr>dpc703_4_2</vt:lpstr>
      <vt:lpstr>dpc703_4_3</vt:lpstr>
      <vt:lpstr>dpc703_4_4</vt:lpstr>
      <vt:lpstr>dpc703_5_1_1_a</vt:lpstr>
      <vt:lpstr>dpc703_5_1_1_b</vt:lpstr>
      <vt:lpstr>dpc703_5_1_2_a</vt:lpstr>
      <vt:lpstr>dpc703_5_1_2_b</vt:lpstr>
      <vt:lpstr>dpc703_5_1_3</vt:lpstr>
      <vt:lpstr>dpc703_5_1_4</vt:lpstr>
      <vt:lpstr>dpc703_5_2</vt:lpstr>
      <vt:lpstr>dpc703_5_3</vt:lpstr>
      <vt:lpstr>dpc703_5_4</vt:lpstr>
      <vt:lpstr>dpc703_5_5</vt:lpstr>
      <vt:lpstr>dpc703_6_1_1</vt:lpstr>
      <vt:lpstr>dpc703_6_1_2</vt:lpstr>
      <vt:lpstr>dpc703_6_1_3</vt:lpstr>
      <vt:lpstr>dpc703_6_2__1</vt:lpstr>
      <vt:lpstr>dpc703_6_2__2</vt:lpstr>
      <vt:lpstr>dpc703_6_2__3</vt:lpstr>
      <vt:lpstr>dpc703_7_1</vt:lpstr>
      <vt:lpstr>dpc703_7_2</vt:lpstr>
      <vt:lpstr>dpc703_7_3</vt:lpstr>
      <vt:lpstr>dpc703_7_4</vt:lpstr>
      <vt:lpstr>dpc704_1</vt:lpstr>
      <vt:lpstr>dpc705_2_1_1</vt:lpstr>
      <vt:lpstr>dpc705_2_1_2</vt:lpstr>
      <vt:lpstr>dpc705_2_1_3_1</vt:lpstr>
      <vt:lpstr>dpc705_2_1_3_2</vt:lpstr>
      <vt:lpstr>dpc705_2_1_4</vt:lpstr>
      <vt:lpstr>dpc705_2_2</vt:lpstr>
      <vt:lpstr>dpc705_2_3</vt:lpstr>
      <vt:lpstr>dpc705_2_4</vt:lpstr>
      <vt:lpstr>dpc705_3</vt:lpstr>
      <vt:lpstr>dpc705_4</vt:lpstr>
      <vt:lpstr>dpc705_5_1</vt:lpstr>
      <vt:lpstr>dpc705_5_2</vt:lpstr>
      <vt:lpstr>dpc705_6_1</vt:lpstr>
      <vt:lpstr>dpc705_6_2_1_1</vt:lpstr>
      <vt:lpstr>dpc705_6_2_1_1_1</vt:lpstr>
      <vt:lpstr>dpc705_6_2_1_2</vt:lpstr>
      <vt:lpstr>dpc705_6_2_2</vt:lpstr>
      <vt:lpstr>dpc705_6_2_3</vt:lpstr>
      <vt:lpstr>dpc705_6_3</vt:lpstr>
      <vt:lpstr>dpc705_6_4_1</vt:lpstr>
      <vt:lpstr>dpc705_6_4_2</vt:lpstr>
      <vt:lpstr>dpc705_7</vt:lpstr>
      <vt:lpstr>dpc706_1</vt:lpstr>
      <vt:lpstr>dpc706_2_1</vt:lpstr>
      <vt:lpstr>dpc706_2_2</vt:lpstr>
      <vt:lpstr>dpc706_3</vt:lpstr>
      <vt:lpstr>dpc706_4_1_1</vt:lpstr>
      <vt:lpstr>dpc706_4_1_2</vt:lpstr>
      <vt:lpstr>dpc706_4_2</vt:lpstr>
      <vt:lpstr>dpc706_5</vt:lpstr>
      <vt:lpstr>dpc706_6</vt:lpstr>
      <vt:lpstr>dpc706_7_1</vt:lpstr>
      <vt:lpstr>dpc706_7_2</vt:lpstr>
      <vt:lpstr>dpc706_8</vt:lpstr>
      <vt:lpstr>dpc706_9</vt:lpstr>
      <vt:lpstr>dpc801_1</vt:lpstr>
      <vt:lpstr>dpc801_1_6</vt:lpstr>
      <vt:lpstr>dpc801_2_1</vt:lpstr>
      <vt:lpstr>dpc801_2_2</vt:lpstr>
      <vt:lpstr>dpc801_3_1</vt:lpstr>
      <vt:lpstr>dpc801_3_2</vt:lpstr>
      <vt:lpstr>dpc801_3_3</vt:lpstr>
      <vt:lpstr>dpc801_4_1_1</vt:lpstr>
      <vt:lpstr>dpc801_4_1_2</vt:lpstr>
      <vt:lpstr>dpc801_4_2</vt:lpstr>
      <vt:lpstr>dpc801_5_2</vt:lpstr>
      <vt:lpstr>dpc801_5_3</vt:lpstr>
      <vt:lpstr>dpc801_5_4_a</vt:lpstr>
      <vt:lpstr>dpc801_5_4_b</vt:lpstr>
      <vt:lpstr>dpc801_5_4_c</vt:lpstr>
      <vt:lpstr>dpc801_6_1</vt:lpstr>
      <vt:lpstr>dpc801_6_2_1</vt:lpstr>
      <vt:lpstr>dpc801_6_2_2</vt:lpstr>
      <vt:lpstr>dpc801_6_2_3</vt:lpstr>
      <vt:lpstr>dpc801_6_4_1</vt:lpstr>
      <vt:lpstr>dpc801_6_4_3</vt:lpstr>
      <vt:lpstr>dpc801_6_5</vt:lpstr>
      <vt:lpstr>dpc801_7_1</vt:lpstr>
      <vt:lpstr>dpc801_7_2</vt:lpstr>
      <vt:lpstr>dpc801_8</vt:lpstr>
      <vt:lpstr>dpc802_1</vt:lpstr>
      <vt:lpstr>dpc802_2</vt:lpstr>
      <vt:lpstr>dpc802_3</vt:lpstr>
      <vt:lpstr>dpc802_4</vt:lpstr>
      <vt:lpstr>dpc802_5</vt:lpstr>
      <vt:lpstr>dpc802_6</vt:lpstr>
      <vt:lpstr>dpc901_1_1</vt:lpstr>
      <vt:lpstr>dpc901_1_2</vt:lpstr>
      <vt:lpstr>dpc901_1_3_1</vt:lpstr>
      <vt:lpstr>dpc901_1_3_2</vt:lpstr>
      <vt:lpstr>dpc901_1_5</vt:lpstr>
      <vt:lpstr>dpc901_1_6</vt:lpstr>
      <vt:lpstr>dpc901_10</vt:lpstr>
      <vt:lpstr>dpc901_11</vt:lpstr>
      <vt:lpstr>dpc901_13</vt:lpstr>
      <vt:lpstr>dpc901_14_1</vt:lpstr>
      <vt:lpstr>dpc901_14_2</vt:lpstr>
      <vt:lpstr>dpc901_2_1_1</vt:lpstr>
      <vt:lpstr>dpc901_2_1_2</vt:lpstr>
      <vt:lpstr>dpc901_2_1_3</vt:lpstr>
      <vt:lpstr>dpc901_2_1_4</vt:lpstr>
      <vt:lpstr>dpc901_2_1_5</vt:lpstr>
      <vt:lpstr>dpc901_2_2</vt:lpstr>
      <vt:lpstr>dpc901_3_1_a</vt:lpstr>
      <vt:lpstr>dpc901_3_1_b</vt:lpstr>
      <vt:lpstr>dpc901_3_1_c</vt:lpstr>
      <vt:lpstr>dpc901_3_2</vt:lpstr>
      <vt:lpstr>dpc901_4</vt:lpstr>
      <vt:lpstr>dpc901_5_1</vt:lpstr>
      <vt:lpstr>dpc901_5_2</vt:lpstr>
      <vt:lpstr>dpc901_7</vt:lpstr>
      <vt:lpstr>dpc901_8</vt:lpstr>
      <vt:lpstr>dpc901_9_1</vt:lpstr>
      <vt:lpstr>dpc901_9_2</vt:lpstr>
      <vt:lpstr>dpc901_9_3</vt:lpstr>
      <vt:lpstr>dpc902_1_1_a</vt:lpstr>
      <vt:lpstr>dpc902_1_2</vt:lpstr>
      <vt:lpstr>dpc902_1_3</vt:lpstr>
      <vt:lpstr>dpc902_1_3_</vt:lpstr>
      <vt:lpstr>dpc902_1_4</vt:lpstr>
      <vt:lpstr>dpc902_1_5</vt:lpstr>
      <vt:lpstr>dpc902_2_1</vt:lpstr>
      <vt:lpstr>dpc902_2_2</vt:lpstr>
      <vt:lpstr>dpc902_2_3</vt:lpstr>
      <vt:lpstr>dpc902_2_4</vt:lpstr>
      <vt:lpstr>dpc902_3_1</vt:lpstr>
      <vt:lpstr>dpc902_3_2_a</vt:lpstr>
      <vt:lpstr>dpc902_4</vt:lpstr>
      <vt:lpstr>dpc902_5</vt:lpstr>
      <vt:lpstr>dpc903_1</vt:lpstr>
      <vt:lpstr>dpc903_2</vt:lpstr>
      <vt:lpstr>dpc903_3</vt:lpstr>
      <vt:lpstr>dpc904_1</vt:lpstr>
      <vt:lpstr>dpc904_2</vt:lpstr>
      <vt:lpstr>dpc905_1</vt:lpstr>
      <vt:lpstr>dpc905_2</vt:lpstr>
      <vt:lpstr>dstAGFloorArea</vt:lpstr>
      <vt:lpstr>dstAttachedGarage</vt:lpstr>
      <vt:lpstr>dstAttic</vt:lpstr>
      <vt:lpstr>dstBatch</vt:lpstr>
      <vt:lpstr>dstBuilderName</vt:lpstr>
      <vt:lpstr>dstBuildingCode</vt:lpstr>
      <vt:lpstr>dstCDucts</vt:lpstr>
      <vt:lpstr>dstCity</vt:lpstr>
      <vt:lpstr>dstCool1</vt:lpstr>
      <vt:lpstr>dstCool2</vt:lpstr>
      <vt:lpstr>dstCool3</vt:lpstr>
      <vt:lpstr>dstCounty</vt:lpstr>
      <vt:lpstr>dstCToilet</vt:lpstr>
      <vt:lpstr>dstDesigner</vt:lpstr>
      <vt:lpstr>dstDuctless</vt:lpstr>
      <vt:lpstr>dstEnergyCode</vt:lpstr>
      <vt:lpstr>dstFloors</vt:lpstr>
      <vt:lpstr>dstFoundation</vt:lpstr>
      <vt:lpstr>dstFuel</vt:lpstr>
      <vt:lpstr>dstHDucts</vt:lpstr>
      <vt:lpstr>dstHeat1</vt:lpstr>
      <vt:lpstr>dstHeat2</vt:lpstr>
      <vt:lpstr>dstHeat3</vt:lpstr>
      <vt:lpstr>dstHERS</vt:lpstr>
      <vt:lpstr>dstHomeAddress</vt:lpstr>
      <vt:lpstr>dstLot</vt:lpstr>
      <vt:lpstr>dstMassWalls</vt:lpstr>
      <vt:lpstr>dstPassiveSolar</vt:lpstr>
      <vt:lpstr>dstProjectDesc</vt:lpstr>
      <vt:lpstr>dstProjectName</vt:lpstr>
      <vt:lpstr>dstRadiantHydronic</vt:lpstr>
      <vt:lpstr>dstRecessedLighting</vt:lpstr>
      <vt:lpstr>dstRenewable</vt:lpstr>
      <vt:lpstr>dstSingleOrMulti</vt:lpstr>
      <vt:lpstr>dstsSHGC</vt:lpstr>
      <vt:lpstr>dstState</vt:lpstr>
      <vt:lpstr>dstsUV</vt:lpstr>
      <vt:lpstr>dstTCFloorArea</vt:lpstr>
      <vt:lpstr>dstTEInsulation</vt:lpstr>
      <vt:lpstr>dstTLWH</vt:lpstr>
      <vt:lpstr>dstUnits</vt:lpstr>
      <vt:lpstr>dstwdSHGC</vt:lpstr>
      <vt:lpstr>dstwdUV</vt:lpstr>
      <vt:lpstr>dstZIP</vt:lpstr>
      <vt:lpstr>fsgBatchSubmissionFinalAddress1</vt:lpstr>
      <vt:lpstr>fsgBatchSubmissionFinalAddress10</vt:lpstr>
      <vt:lpstr>fsgBatchSubmissionFinalAddress11</vt:lpstr>
      <vt:lpstr>fsgBatchSubmissionFinalAddress12</vt:lpstr>
      <vt:lpstr>fsgBatchSubmissionFinalAddress13</vt:lpstr>
      <vt:lpstr>fsgBatchSubmissionFinalAddress14</vt:lpstr>
      <vt:lpstr>fsgBatchSubmissionFinalAddress15</vt:lpstr>
      <vt:lpstr>fsgBatchSubmissionFinalAddress16</vt:lpstr>
      <vt:lpstr>fsgBatchSubmissionFinalAddress17</vt:lpstr>
      <vt:lpstr>fsgBatchSubmissionFinalAddress18</vt:lpstr>
      <vt:lpstr>fsgBatchSubmissionFinalAddress19</vt:lpstr>
      <vt:lpstr>fsgBatchSubmissionFinalAddress2</vt:lpstr>
      <vt:lpstr>fsgBatchSubmissionFinalAddress20</vt:lpstr>
      <vt:lpstr>fsgBatchSubmissionFinalAddress21</vt:lpstr>
      <vt:lpstr>fsgBatchSubmissionFinalAddress22</vt:lpstr>
      <vt:lpstr>fsgBatchSubmissionFinalAddress23</vt:lpstr>
      <vt:lpstr>fsgBatchSubmissionFinalAddress24</vt:lpstr>
      <vt:lpstr>fsgBatchSubmissionFinalAddress25</vt:lpstr>
      <vt:lpstr>fsgBatchSubmissionFinalAddress26</vt:lpstr>
      <vt:lpstr>fsgBatchSubmissionFinalAddress27</vt:lpstr>
      <vt:lpstr>fsgBatchSubmissionFinalAddress28</vt:lpstr>
      <vt:lpstr>fsgBatchSubmissionFinalAddress29</vt:lpstr>
      <vt:lpstr>fsgBatchSubmissionFinalAddress3</vt:lpstr>
      <vt:lpstr>fsgBatchSubmissionFinalAddress30</vt:lpstr>
      <vt:lpstr>fsgBatchSubmissionFinalAddress31</vt:lpstr>
      <vt:lpstr>fsgBatchSubmissionFinalAddress32</vt:lpstr>
      <vt:lpstr>fsgBatchSubmissionFinalAddress33</vt:lpstr>
      <vt:lpstr>fsgBatchSubmissionFinalAddress34</vt:lpstr>
      <vt:lpstr>fsgBatchSubmissionFinalAddress35</vt:lpstr>
      <vt:lpstr>fsgBatchSubmissionFinalAddress36</vt:lpstr>
      <vt:lpstr>fsgBatchSubmissionFinalAddress37</vt:lpstr>
      <vt:lpstr>fsgBatchSubmissionFinalAddress38</vt:lpstr>
      <vt:lpstr>fsgBatchSubmissionFinalAddress39</vt:lpstr>
      <vt:lpstr>fsgBatchSubmissionFinalAddress4</vt:lpstr>
      <vt:lpstr>fsgBatchSubmissionFinalAddress40</vt:lpstr>
      <vt:lpstr>fsgBatchSubmissionFinalAddress41</vt:lpstr>
      <vt:lpstr>fsgBatchSubmissionFinalAddress42</vt:lpstr>
      <vt:lpstr>fsgBatchSubmissionFinalAddress43</vt:lpstr>
      <vt:lpstr>fsgBatchSubmissionFinalAddress44</vt:lpstr>
      <vt:lpstr>fsgBatchSubmissionFinalAddress45</vt:lpstr>
      <vt:lpstr>fsgBatchSubmissionFinalAddress46</vt:lpstr>
      <vt:lpstr>fsgBatchSubmissionFinalAddress47</vt:lpstr>
      <vt:lpstr>fsgBatchSubmissionFinalAddress48</vt:lpstr>
      <vt:lpstr>fsgBatchSubmissionFinalAddress49</vt:lpstr>
      <vt:lpstr>fsgBatchSubmissionFinalAddress5</vt:lpstr>
      <vt:lpstr>fsgBatchSubmissionFinalAddress50</vt:lpstr>
      <vt:lpstr>fsgBatchSubmissionFinalAddress6</vt:lpstr>
      <vt:lpstr>fsgBatchSubmissionFinalAddress7</vt:lpstr>
      <vt:lpstr>fsgBatchSubmissionFinalAddress8</vt:lpstr>
      <vt:lpstr>fsgBatchSubmissionFinalAddress9</vt:lpstr>
      <vt:lpstr>fsgBatchSubmissionInspectionDate1</vt:lpstr>
      <vt:lpstr>fsgBatchSubmissionInspectionDate10</vt:lpstr>
      <vt:lpstr>fsgBatchSubmissionInspectionDate11</vt:lpstr>
      <vt:lpstr>fsgBatchSubmissionInspectionDate12</vt:lpstr>
      <vt:lpstr>fsgBatchSubmissionInspectionDate13</vt:lpstr>
      <vt:lpstr>fsgBatchSubmissionInspectionDate14</vt:lpstr>
      <vt:lpstr>fsgBatchSubmissionInspectionDate15</vt:lpstr>
      <vt:lpstr>fsgBatchSubmissionInspectionDate16</vt:lpstr>
      <vt:lpstr>fsgBatchSubmissionInspectionDate17</vt:lpstr>
      <vt:lpstr>fsgBatchSubmissionInspectionDate18</vt:lpstr>
      <vt:lpstr>fsgBatchSubmissionInspectionDate19</vt:lpstr>
      <vt:lpstr>fsgBatchSubmissionInspectionDate2</vt:lpstr>
      <vt:lpstr>fsgBatchSubmissionInspectionDate20</vt:lpstr>
      <vt:lpstr>fsgBatchSubmissionInspectionDate3</vt:lpstr>
      <vt:lpstr>fsgBatchSubmissionInspectionDate4</vt:lpstr>
      <vt:lpstr>fsgBatchSubmissionInspectionDate5</vt:lpstr>
      <vt:lpstr>fsgBatchSubmissionInspectionDate6</vt:lpstr>
      <vt:lpstr>fsgBatchSubmissionInspectionDate7</vt:lpstr>
      <vt:lpstr>fsgBatchSubmissionInspectionDate8</vt:lpstr>
      <vt:lpstr>fsgBatchSubmissionInspectionDate9</vt:lpstr>
      <vt:lpstr>fsgBuilderComments</vt:lpstr>
      <vt:lpstr>fsgBuilderDate</vt:lpstr>
      <vt:lpstr>fsgBuilderEmail</vt:lpstr>
      <vt:lpstr>fsgBuilderName</vt:lpstr>
      <vt:lpstr>fsgBuilderPhone</vt:lpstr>
      <vt:lpstr>fsgSampleDate1</vt:lpstr>
      <vt:lpstr>fsgSampleDate10</vt:lpstr>
      <vt:lpstr>fsgSampleDate11</vt:lpstr>
      <vt:lpstr>fsgSampleDate12</vt:lpstr>
      <vt:lpstr>fsgSampleDate13</vt:lpstr>
      <vt:lpstr>fsgSampleDate14</vt:lpstr>
      <vt:lpstr>fsgSampleDate15</vt:lpstr>
      <vt:lpstr>fsgSampleDate16</vt:lpstr>
      <vt:lpstr>fsgSampleDate2</vt:lpstr>
      <vt:lpstr>fsgSampleDate3</vt:lpstr>
      <vt:lpstr>fsgSampleDate4</vt:lpstr>
      <vt:lpstr>fsgSampleDate5</vt:lpstr>
      <vt:lpstr>fsgSampleDate6</vt:lpstr>
      <vt:lpstr>fsgSampleDate7</vt:lpstr>
      <vt:lpstr>fsgSampleDate8</vt:lpstr>
      <vt:lpstr>fsgSampleDate9</vt:lpstr>
      <vt:lpstr>fsgSampleNotes1</vt:lpstr>
      <vt:lpstr>fsgSampleNotes10</vt:lpstr>
      <vt:lpstr>fsgSampleNotes11</vt:lpstr>
      <vt:lpstr>fsgSampleNotes12</vt:lpstr>
      <vt:lpstr>fsgSampleNotes13</vt:lpstr>
      <vt:lpstr>fsgSampleNotes14</vt:lpstr>
      <vt:lpstr>fsgSampleNotes15</vt:lpstr>
      <vt:lpstr>fsgSampleNotes16</vt:lpstr>
      <vt:lpstr>fsgSampleNotes2</vt:lpstr>
      <vt:lpstr>fsgSampleNotes3</vt:lpstr>
      <vt:lpstr>fsgSampleNotes4</vt:lpstr>
      <vt:lpstr>fsgSampleNotes5</vt:lpstr>
      <vt:lpstr>fsgSampleNotes6</vt:lpstr>
      <vt:lpstr>fsgSampleNotes7</vt:lpstr>
      <vt:lpstr>fsgSampleNotes8</vt:lpstr>
      <vt:lpstr>fsgSampleNotes9</vt:lpstr>
      <vt:lpstr>fsgSampleUnitsAvailable1</vt:lpstr>
      <vt:lpstr>fsgSampleUnitsAvailable10</vt:lpstr>
      <vt:lpstr>fsgSampleUnitsAvailable11</vt:lpstr>
      <vt:lpstr>fsgSampleUnitsAvailable12</vt:lpstr>
      <vt:lpstr>fsgSampleUnitsAvailable13</vt:lpstr>
      <vt:lpstr>fsgSampleUnitsAvailable14</vt:lpstr>
      <vt:lpstr>fsgSampleUnitsAvailable15</vt:lpstr>
      <vt:lpstr>fsgSampleUnitsAvailable16</vt:lpstr>
      <vt:lpstr>fsgSampleUnitsAvailable2</vt:lpstr>
      <vt:lpstr>fsgSampleUnitsAvailable3</vt:lpstr>
      <vt:lpstr>fsgSampleUnitsAvailable4</vt:lpstr>
      <vt:lpstr>fsgSampleUnitsAvailable5</vt:lpstr>
      <vt:lpstr>fsgSampleUnitsAvailable6</vt:lpstr>
      <vt:lpstr>fsgSampleUnitsAvailable7</vt:lpstr>
      <vt:lpstr>fsgSampleUnitsAvailable8</vt:lpstr>
      <vt:lpstr>fsgSampleUnitsAvailable9</vt:lpstr>
      <vt:lpstr>fsgSampleUnitsInspected1</vt:lpstr>
      <vt:lpstr>fsgSampleUnitsInspected10</vt:lpstr>
      <vt:lpstr>fsgSampleUnitsInspected11</vt:lpstr>
      <vt:lpstr>fsgSampleUnitsInspected12</vt:lpstr>
      <vt:lpstr>fsgSampleUnitsInspected13</vt:lpstr>
      <vt:lpstr>fsgSampleUnitsInspected14</vt:lpstr>
      <vt:lpstr>fsgSampleUnitsInspected15</vt:lpstr>
      <vt:lpstr>fsgSampleUnitsInspected16</vt:lpstr>
      <vt:lpstr>fsgSampleUnitsInspected2</vt:lpstr>
      <vt:lpstr>fsgSampleUnitsInspected3</vt:lpstr>
      <vt:lpstr>fsgSampleUnitsInspected4</vt:lpstr>
      <vt:lpstr>fsgSampleUnitsInspected5</vt:lpstr>
      <vt:lpstr>fsgSampleUnitsInspected6</vt:lpstr>
      <vt:lpstr>fsgSampleUnitsInspected7</vt:lpstr>
      <vt:lpstr>fsgSampleUnitsInspected8</vt:lpstr>
      <vt:lpstr>fsgSampleUnitsInspected9</vt:lpstr>
      <vt:lpstr>fsgTeamVerifierElementsVerified1</vt:lpstr>
      <vt:lpstr>fsgTeamVerifierElementsVerified2</vt:lpstr>
      <vt:lpstr>fsgTeamVerifierElementsVerified3</vt:lpstr>
      <vt:lpstr>fsgTeamVerifierElementsVerified4</vt:lpstr>
      <vt:lpstr>fsgTeamVerifierElementsVerified5</vt:lpstr>
      <vt:lpstr>fsgTeamVerifierInspectionDate1</vt:lpstr>
      <vt:lpstr>fsgTeamVerifierInspectionDate2</vt:lpstr>
      <vt:lpstr>fsgTeamVerifierInspectionDate3</vt:lpstr>
      <vt:lpstr>fsgTeamVerifierInspectionDate4</vt:lpstr>
      <vt:lpstr>fsgTeamVerifierInspectionDate5</vt:lpstr>
      <vt:lpstr>fsgTeamVerifierName1</vt:lpstr>
      <vt:lpstr>fsgTeamVerifierName2</vt:lpstr>
      <vt:lpstr>fsgTeamVerifierName3</vt:lpstr>
      <vt:lpstr>fsgTeamVerifierName4</vt:lpstr>
      <vt:lpstr>fsgTeamVerifierName5</vt:lpstr>
      <vt:lpstr>fsgTeamVerifierRole1</vt:lpstr>
      <vt:lpstr>fsgTeamVerifierRole2</vt:lpstr>
      <vt:lpstr>fsgTeamVerifierRole3</vt:lpstr>
      <vt:lpstr>fsgTeamVerifierRole4</vt:lpstr>
      <vt:lpstr>fsgTeamVerifierRole5</vt:lpstr>
      <vt:lpstr>fsgVerifierComments</vt:lpstr>
      <vt:lpstr>fsgVerifierDate</vt:lpstr>
      <vt:lpstr>fsgVerifierEmail</vt:lpstr>
      <vt:lpstr>fsgVerifierEndTime</vt:lpstr>
      <vt:lpstr>fsgVerifierName</vt:lpstr>
      <vt:lpstr>fsgVerifierPhone</vt:lpstr>
      <vt:lpstr>fsgVerifierStartTime</vt:lpstr>
      <vt:lpstr>GoalLevel</vt:lpstr>
      <vt:lpstr>hidCh10ErrorsMsg</vt:lpstr>
      <vt:lpstr>hidCh10MandatoryMsg</vt:lpstr>
      <vt:lpstr>hidCh10OverviewMsg</vt:lpstr>
      <vt:lpstr>hidCh5ErrorsMsg</vt:lpstr>
      <vt:lpstr>hidCh5MandatoryMsg</vt:lpstr>
      <vt:lpstr>hidCh5OverviewMsg</vt:lpstr>
      <vt:lpstr>hidCh6ErrorsMsg</vt:lpstr>
      <vt:lpstr>hidCh6MandatoryMsg</vt:lpstr>
      <vt:lpstr>hidCh6OverviewMsg</vt:lpstr>
      <vt:lpstr>hidCh7ErrorsMsg</vt:lpstr>
      <vt:lpstr>hidCh7MandatoryMsg</vt:lpstr>
      <vt:lpstr>hidCh7OverviewMsg</vt:lpstr>
      <vt:lpstr>hidCh8ErrorsMsg</vt:lpstr>
      <vt:lpstr>hidCh8MandatoryMsg</vt:lpstr>
      <vt:lpstr>hidCh8OverviewMsg</vt:lpstr>
      <vt:lpstr>hidCh9ErrorsMsg</vt:lpstr>
      <vt:lpstr>hidCh9MandatoryMsg</vt:lpstr>
      <vt:lpstr>hidCh9OverviewMsg</vt:lpstr>
      <vt:lpstr>hidFSMandatoryMsg</vt:lpstr>
      <vt:lpstr>hidFSOverviewMsg</vt:lpstr>
      <vt:lpstr>hidODClimateFormula</vt:lpstr>
      <vt:lpstr>hidODClimateLabel</vt:lpstr>
      <vt:lpstr>hidODCountyFormula</vt:lpstr>
      <vt:lpstr>hidODCountyLabel</vt:lpstr>
      <vt:lpstr>hidODMoistFormula</vt:lpstr>
      <vt:lpstr>hidODMoistLabel</vt:lpstr>
      <vt:lpstr>hidODNumberUnitsLabel</vt:lpstr>
      <vt:lpstr>hidODProjectNameLabel</vt:lpstr>
      <vt:lpstr>hidODStateFormula</vt:lpstr>
      <vt:lpstr>hidODStateLabel</vt:lpstr>
      <vt:lpstr>hidODTropicalFormula</vt:lpstr>
      <vt:lpstr>hidODTropicalLabel</vt:lpstr>
      <vt:lpstr>hidODWarmFormula</vt:lpstr>
      <vt:lpstr>hidODWarmLabel</vt:lpstr>
      <vt:lpstr>hidOVClimateFormula</vt:lpstr>
      <vt:lpstr>hidOVClimateLabel</vt:lpstr>
      <vt:lpstr>hidOVCountyFormula</vt:lpstr>
      <vt:lpstr>hidOVCountyLabel</vt:lpstr>
      <vt:lpstr>hidOVMoistFormula</vt:lpstr>
      <vt:lpstr>hidOVMoistLabel</vt:lpstr>
      <vt:lpstr>hidOVNumberUnitsLabel</vt:lpstr>
      <vt:lpstr>hidOVProjectNameLabel</vt:lpstr>
      <vt:lpstr>hidOVStateFormula</vt:lpstr>
      <vt:lpstr>hidOVStateLabel</vt:lpstr>
      <vt:lpstr>hidOVTropicalFormula</vt:lpstr>
      <vt:lpstr>hidOVTropicalLabel</vt:lpstr>
      <vt:lpstr>hidOVWarmFormula</vt:lpstr>
      <vt:lpstr>hidOVWarmLabel</vt:lpstr>
      <vt:lpstr>hidRSMandatoryMsg</vt:lpstr>
      <vt:lpstr>hidRSOverviewMsg</vt:lpstr>
      <vt:lpstr>hidVRErrorsMsg</vt:lpstr>
      <vt:lpstr>hidVRMandatoryMsg</vt:lpstr>
      <vt:lpstr>hidVROverviewMsg</vt:lpstr>
      <vt:lpstr>hyptarg1</vt:lpstr>
      <vt:lpstr>hyptarg2</vt:lpstr>
      <vt:lpstr>hyptarg3</vt:lpstr>
      <vt:lpstr>hyptarg4</vt:lpstr>
      <vt:lpstr>hyptarg5</vt:lpstr>
      <vt:lpstr>hyptarg6</vt:lpstr>
      <vt:lpstr>hyptarg7.1</vt:lpstr>
      <vt:lpstr>hyptarg7.2</vt:lpstr>
      <vt:lpstr>hyptarg7.26</vt:lpstr>
      <vt:lpstr>hyptarg7.3</vt:lpstr>
      <vt:lpstr>hyptarg7.4</vt:lpstr>
      <vt:lpstr>hyptarg7.5</vt:lpstr>
      <vt:lpstr>hyptarg8.1</vt:lpstr>
      <vt:lpstr>hyptarg9.1</vt:lpstr>
      <vt:lpstr>hyptarg9.2</vt:lpstr>
      <vt:lpstr>hyptarg9.3</vt:lpstr>
      <vt:lpstr>photoRevList</vt:lpstr>
      <vt:lpstr>'Ch10'!Print_Area</vt:lpstr>
      <vt:lpstr>'Ch5'!Print_Area</vt:lpstr>
      <vt:lpstr>'Ch6'!Print_Area</vt:lpstr>
      <vt:lpstr>'Ch8'!Print_Area</vt:lpstr>
      <vt:lpstr>'Design Summ.'!Print_Area</vt:lpstr>
      <vt:lpstr>'Final Summary'!Print_Area</vt:lpstr>
      <vt:lpstr>'Overview (Design)'!Print_Area</vt:lpstr>
      <vt:lpstr>'Overview (Verification)'!Print_Area</vt:lpstr>
      <vt:lpstr>'Req. Doc.'!Print_Area</vt:lpstr>
      <vt:lpstr>'Rough Summary'!Print_Area</vt:lpstr>
      <vt:lpstr>'Verification Report'!Print_Area</vt:lpstr>
      <vt:lpstr>ReportType</vt:lpstr>
      <vt:lpstr>rsgBatchSubmissionCity1</vt:lpstr>
      <vt:lpstr>rsgBatchSubmissionCity10</vt:lpstr>
      <vt:lpstr>rsgBatchSubmissionCity11</vt:lpstr>
      <vt:lpstr>rsgBatchSubmissionCity12</vt:lpstr>
      <vt:lpstr>rsgBatchSubmissionCity13</vt:lpstr>
      <vt:lpstr>rsgBatchSubmissionCity14</vt:lpstr>
      <vt:lpstr>rsgBatchSubmissionCity15</vt:lpstr>
      <vt:lpstr>rsgBatchSubmissionCity16</vt:lpstr>
      <vt:lpstr>rsgBatchSubmissionCity17</vt:lpstr>
      <vt:lpstr>rsgBatchSubmissionCity18</vt:lpstr>
      <vt:lpstr>rsgBatchSubmissionCity19</vt:lpstr>
      <vt:lpstr>rsgBatchSubmissionCity2</vt:lpstr>
      <vt:lpstr>rsgBatchSubmissionCity20</vt:lpstr>
      <vt:lpstr>rsgBatchSubmissionCity21</vt:lpstr>
      <vt:lpstr>rsgBatchSubmissionCity22</vt:lpstr>
      <vt:lpstr>rsgBatchSubmissionCity23</vt:lpstr>
      <vt:lpstr>rsgBatchSubmissionCity24</vt:lpstr>
      <vt:lpstr>rsgBatchSubmissionCity25</vt:lpstr>
      <vt:lpstr>rsgBatchSubmissionCity26</vt:lpstr>
      <vt:lpstr>rsgBatchSubmissionCity27</vt:lpstr>
      <vt:lpstr>rsgBatchSubmissionCity28</vt:lpstr>
      <vt:lpstr>rsgBatchSubmissionCity29</vt:lpstr>
      <vt:lpstr>rsgBatchSubmissionCity3</vt:lpstr>
      <vt:lpstr>rsgBatchSubmissionCity30</vt:lpstr>
      <vt:lpstr>rsgBatchSubmissionCity31</vt:lpstr>
      <vt:lpstr>rsgBatchSubmissionCity32</vt:lpstr>
      <vt:lpstr>rsgBatchSubmissionCity33</vt:lpstr>
      <vt:lpstr>rsgBatchSubmissionCity34</vt:lpstr>
      <vt:lpstr>rsgBatchSubmissionCity35</vt:lpstr>
      <vt:lpstr>rsgBatchSubmissionCity36</vt:lpstr>
      <vt:lpstr>rsgBatchSubmissionCity37</vt:lpstr>
      <vt:lpstr>rsgBatchSubmissionCity38</vt:lpstr>
      <vt:lpstr>rsgBatchSubmissionCity39</vt:lpstr>
      <vt:lpstr>rsgBatchSubmissionCity4</vt:lpstr>
      <vt:lpstr>rsgBatchSubmissionCity40</vt:lpstr>
      <vt:lpstr>rsgBatchSubmissionCity41</vt:lpstr>
      <vt:lpstr>rsgBatchSubmissionCity42</vt:lpstr>
      <vt:lpstr>rsgBatchSubmissionCity43</vt:lpstr>
      <vt:lpstr>rsgBatchSubmissionCity44</vt:lpstr>
      <vt:lpstr>rsgBatchSubmissionCity45</vt:lpstr>
      <vt:lpstr>rsgBatchSubmissionCity46</vt:lpstr>
      <vt:lpstr>rsgBatchSubmissionCity47</vt:lpstr>
      <vt:lpstr>rsgBatchSubmissionCity48</vt:lpstr>
      <vt:lpstr>rsgBatchSubmissionCity49</vt:lpstr>
      <vt:lpstr>rsgBatchSubmissionCity5</vt:lpstr>
      <vt:lpstr>rsgBatchSubmissionCity50</vt:lpstr>
      <vt:lpstr>rsgBatchSubmissionCity6</vt:lpstr>
      <vt:lpstr>rsgBatchSubmissionCity7</vt:lpstr>
      <vt:lpstr>rsgBatchSubmissionCity8</vt:lpstr>
      <vt:lpstr>rsgBatchSubmissionCity9</vt:lpstr>
      <vt:lpstr>rsgBatchSubmissionInspectionDate1</vt:lpstr>
      <vt:lpstr>rsgBatchSubmissionInspectionDate10</vt:lpstr>
      <vt:lpstr>rsgBatchSubmissionInspectionDate11</vt:lpstr>
      <vt:lpstr>rsgBatchSubmissionInspectionDate12</vt:lpstr>
      <vt:lpstr>rsgBatchSubmissionInspectionDate13</vt:lpstr>
      <vt:lpstr>rsgBatchSubmissionInspectionDate14</vt:lpstr>
      <vt:lpstr>rsgBatchSubmissionInspectionDate15</vt:lpstr>
      <vt:lpstr>rsgBatchSubmissionInspectionDate16</vt:lpstr>
      <vt:lpstr>rsgBatchSubmissionInspectionDate17</vt:lpstr>
      <vt:lpstr>rsgBatchSubmissionInspectionDate18</vt:lpstr>
      <vt:lpstr>rsgBatchSubmissionInspectionDate19</vt:lpstr>
      <vt:lpstr>rsgBatchSubmissionInspectionDate2</vt:lpstr>
      <vt:lpstr>rsgBatchSubmissionInspectionDate20</vt:lpstr>
      <vt:lpstr>rsgBatchSubmissionInspectionDate21</vt:lpstr>
      <vt:lpstr>rsgBatchSubmissionInspectionDate22</vt:lpstr>
      <vt:lpstr>rsgBatchSubmissionInspectionDate23</vt:lpstr>
      <vt:lpstr>rsgBatchSubmissionInspectionDate24</vt:lpstr>
      <vt:lpstr>rsgBatchSubmissionInspectionDate25</vt:lpstr>
      <vt:lpstr>rsgBatchSubmissionInspectionDate26</vt:lpstr>
      <vt:lpstr>rsgBatchSubmissionInspectionDate27</vt:lpstr>
      <vt:lpstr>rsgBatchSubmissionInspectionDate28</vt:lpstr>
      <vt:lpstr>rsgBatchSubmissionInspectionDate29</vt:lpstr>
      <vt:lpstr>rsgBatchSubmissionInspectionDate3</vt:lpstr>
      <vt:lpstr>rsgBatchSubmissionInspectionDate30</vt:lpstr>
      <vt:lpstr>rsgBatchSubmissionInspectionDate31</vt:lpstr>
      <vt:lpstr>rsgBatchSubmissionInspectionDate32</vt:lpstr>
      <vt:lpstr>rsgBatchSubmissionInspectionDate33</vt:lpstr>
      <vt:lpstr>rsgBatchSubmissionInspectionDate34</vt:lpstr>
      <vt:lpstr>rsgBatchSubmissionInspectionDate35</vt:lpstr>
      <vt:lpstr>rsgBatchSubmissionInspectionDate36</vt:lpstr>
      <vt:lpstr>rsgBatchSubmissionInspectionDate37</vt:lpstr>
      <vt:lpstr>rsgBatchSubmissionInspectionDate38</vt:lpstr>
      <vt:lpstr>rsgBatchSubmissionInspectionDate39</vt:lpstr>
      <vt:lpstr>rsgBatchSubmissionInspectionDate4</vt:lpstr>
      <vt:lpstr>rsgBatchSubmissionInspectionDate40</vt:lpstr>
      <vt:lpstr>rsgBatchSubmissionInspectionDate41</vt:lpstr>
      <vt:lpstr>rsgBatchSubmissionInspectionDate42</vt:lpstr>
      <vt:lpstr>rsgBatchSubmissionInspectionDate43</vt:lpstr>
      <vt:lpstr>rsgBatchSubmissionInspectionDate44</vt:lpstr>
      <vt:lpstr>rsgBatchSubmissionInspectionDate45</vt:lpstr>
      <vt:lpstr>rsgBatchSubmissionInspectionDate46</vt:lpstr>
      <vt:lpstr>rsgBatchSubmissionInspectionDate47</vt:lpstr>
      <vt:lpstr>rsgBatchSubmissionInspectionDate48</vt:lpstr>
      <vt:lpstr>rsgBatchSubmissionInspectionDate49</vt:lpstr>
      <vt:lpstr>rsgBatchSubmissionInspectionDate5</vt:lpstr>
      <vt:lpstr>rsgBatchSubmissionInspectionDate50</vt:lpstr>
      <vt:lpstr>rsgBatchSubmissionInspectionDate6</vt:lpstr>
      <vt:lpstr>rsgBatchSubmissionInspectionDate7</vt:lpstr>
      <vt:lpstr>rsgBatchSubmissionInspectionDate8</vt:lpstr>
      <vt:lpstr>rsgBatchSubmissionInspectionDate9</vt:lpstr>
      <vt:lpstr>rsgBatchSubmissionProjectID1</vt:lpstr>
      <vt:lpstr>rsgBatchSubmissionProjectID10</vt:lpstr>
      <vt:lpstr>rsgBatchSubmissionProjectID11</vt:lpstr>
      <vt:lpstr>rsgBatchSubmissionProjectID12</vt:lpstr>
      <vt:lpstr>rsgBatchSubmissionProjectID13</vt:lpstr>
      <vt:lpstr>rsgBatchSubmissionProjectID14</vt:lpstr>
      <vt:lpstr>rsgBatchSubmissionProjectID15</vt:lpstr>
      <vt:lpstr>rsgBatchSubmissionProjectID16</vt:lpstr>
      <vt:lpstr>rsgBatchSubmissionProjectID17</vt:lpstr>
      <vt:lpstr>rsgBatchSubmissionProjectID18</vt:lpstr>
      <vt:lpstr>rsgBatchSubmissionProjectID19</vt:lpstr>
      <vt:lpstr>rsgBatchSubmissionProjectID2</vt:lpstr>
      <vt:lpstr>rsgBatchSubmissionProjectID20</vt:lpstr>
      <vt:lpstr>rsgBatchSubmissionProjectID21</vt:lpstr>
      <vt:lpstr>rsgBatchSubmissionProjectID22</vt:lpstr>
      <vt:lpstr>rsgBatchSubmissionProjectID23</vt:lpstr>
      <vt:lpstr>rsgBatchSubmissionProjectID24</vt:lpstr>
      <vt:lpstr>rsgBatchSubmissionProjectID25</vt:lpstr>
      <vt:lpstr>rsgBatchSubmissionProjectID26</vt:lpstr>
      <vt:lpstr>rsgBatchSubmissionProjectID27</vt:lpstr>
      <vt:lpstr>rsgBatchSubmissionProjectID28</vt:lpstr>
      <vt:lpstr>rsgBatchSubmissionProjectID29</vt:lpstr>
      <vt:lpstr>rsgBatchSubmissionProjectID3</vt:lpstr>
      <vt:lpstr>rsgBatchSubmissionProjectID30</vt:lpstr>
      <vt:lpstr>rsgBatchSubmissionProjectID31</vt:lpstr>
      <vt:lpstr>rsgBatchSubmissionProjectID32</vt:lpstr>
      <vt:lpstr>rsgBatchSubmissionProjectID33</vt:lpstr>
      <vt:lpstr>rsgBatchSubmissionProjectID34</vt:lpstr>
      <vt:lpstr>rsgBatchSubmissionProjectID35</vt:lpstr>
      <vt:lpstr>rsgBatchSubmissionProjectID36</vt:lpstr>
      <vt:lpstr>rsgBatchSubmissionProjectID37</vt:lpstr>
      <vt:lpstr>rsgBatchSubmissionProjectID38</vt:lpstr>
      <vt:lpstr>rsgBatchSubmissionProjectID39</vt:lpstr>
      <vt:lpstr>rsgBatchSubmissionProjectID4</vt:lpstr>
      <vt:lpstr>rsgBatchSubmissionProjectID40</vt:lpstr>
      <vt:lpstr>rsgBatchSubmissionProjectID41</vt:lpstr>
      <vt:lpstr>rsgBatchSubmissionProjectID42</vt:lpstr>
      <vt:lpstr>rsgBatchSubmissionProjectID43</vt:lpstr>
      <vt:lpstr>rsgBatchSubmissionProjectID44</vt:lpstr>
      <vt:lpstr>rsgBatchSubmissionProjectID45</vt:lpstr>
      <vt:lpstr>rsgBatchSubmissionProjectID46</vt:lpstr>
      <vt:lpstr>rsgBatchSubmissionProjectID47</vt:lpstr>
      <vt:lpstr>rsgBatchSubmissionProjectID48</vt:lpstr>
      <vt:lpstr>rsgBatchSubmissionProjectID49</vt:lpstr>
      <vt:lpstr>rsgBatchSubmissionProjectID5</vt:lpstr>
      <vt:lpstr>rsgBatchSubmissionProjectID50</vt:lpstr>
      <vt:lpstr>rsgBatchSubmissionProjectID6</vt:lpstr>
      <vt:lpstr>rsgBatchSubmissionProjectID7</vt:lpstr>
      <vt:lpstr>rsgBatchSubmissionProjectID8</vt:lpstr>
      <vt:lpstr>rsgBatchSubmissionProjectID9</vt:lpstr>
      <vt:lpstr>rsgBatchSubmissionRoughAddress1</vt:lpstr>
      <vt:lpstr>rsgBatchSubmissionRoughAddress10</vt:lpstr>
      <vt:lpstr>rsgBatchSubmissionRoughAddress11</vt:lpstr>
      <vt:lpstr>rsgBatchSubmissionRoughAddress12</vt:lpstr>
      <vt:lpstr>rsgBatchSubmissionRoughAddress13</vt:lpstr>
      <vt:lpstr>rsgBatchSubmissionRoughAddress14</vt:lpstr>
      <vt:lpstr>rsgBatchSubmissionRoughAddress15</vt:lpstr>
      <vt:lpstr>rsgBatchSubmissionRoughAddress16</vt:lpstr>
      <vt:lpstr>rsgBatchSubmissionRoughAddress17</vt:lpstr>
      <vt:lpstr>rsgBatchSubmissionRoughAddress18</vt:lpstr>
      <vt:lpstr>rsgBatchSubmissionRoughAddress19</vt:lpstr>
      <vt:lpstr>rsgBatchSubmissionRoughAddress2</vt:lpstr>
      <vt:lpstr>rsgBatchSubmissionRoughAddress20</vt:lpstr>
      <vt:lpstr>rsgBatchSubmissionRoughAddress21</vt:lpstr>
      <vt:lpstr>rsgBatchSubmissionRoughAddress22</vt:lpstr>
      <vt:lpstr>rsgBatchSubmissionRoughAddress23</vt:lpstr>
      <vt:lpstr>rsgBatchSubmissionRoughAddress24</vt:lpstr>
      <vt:lpstr>rsgBatchSubmissionRoughAddress25</vt:lpstr>
      <vt:lpstr>rsgBatchSubmissionRoughAddress26</vt:lpstr>
      <vt:lpstr>rsgBatchSubmissionRoughAddress27</vt:lpstr>
      <vt:lpstr>rsgBatchSubmissionRoughAddress28</vt:lpstr>
      <vt:lpstr>rsgBatchSubmissionRoughAddress29</vt:lpstr>
      <vt:lpstr>rsgBatchSubmissionRoughAddress3</vt:lpstr>
      <vt:lpstr>rsgBatchSubmissionRoughAddress30</vt:lpstr>
      <vt:lpstr>rsgBatchSubmissionRoughAddress31</vt:lpstr>
      <vt:lpstr>rsgBatchSubmissionRoughAddress32</vt:lpstr>
      <vt:lpstr>rsgBatchSubmissionRoughAddress33</vt:lpstr>
      <vt:lpstr>rsgBatchSubmissionRoughAddress34</vt:lpstr>
      <vt:lpstr>rsgBatchSubmissionRoughAddress35</vt:lpstr>
      <vt:lpstr>rsgBatchSubmissionRoughAddress36</vt:lpstr>
      <vt:lpstr>rsgBatchSubmissionRoughAddress37</vt:lpstr>
      <vt:lpstr>rsgBatchSubmissionRoughAddress38</vt:lpstr>
      <vt:lpstr>rsgBatchSubmissionRoughAddress39</vt:lpstr>
      <vt:lpstr>rsgBatchSubmissionRoughAddress4</vt:lpstr>
      <vt:lpstr>rsgBatchSubmissionRoughAddress40</vt:lpstr>
      <vt:lpstr>rsgBatchSubmissionRoughAddress41</vt:lpstr>
      <vt:lpstr>rsgBatchSubmissionRoughAddress42</vt:lpstr>
      <vt:lpstr>rsgBatchSubmissionRoughAddress43</vt:lpstr>
      <vt:lpstr>rsgBatchSubmissionRoughAddress44</vt:lpstr>
      <vt:lpstr>rsgBatchSubmissionRoughAddress45</vt:lpstr>
      <vt:lpstr>rsgBatchSubmissionRoughAddress46</vt:lpstr>
      <vt:lpstr>rsgBatchSubmissionRoughAddress47</vt:lpstr>
      <vt:lpstr>rsgBatchSubmissionRoughAddress48</vt:lpstr>
      <vt:lpstr>rsgBatchSubmissionRoughAddress49</vt:lpstr>
      <vt:lpstr>rsgBatchSubmissionRoughAddress5</vt:lpstr>
      <vt:lpstr>rsgBatchSubmissionRoughAddress50</vt:lpstr>
      <vt:lpstr>rsgBatchSubmissionRoughAddress6</vt:lpstr>
      <vt:lpstr>rsgBatchSubmissionRoughAddress7</vt:lpstr>
      <vt:lpstr>rsgBatchSubmissionRoughAddress8</vt:lpstr>
      <vt:lpstr>rsgBatchSubmissionRoughAddress9</vt:lpstr>
      <vt:lpstr>rsgBatchSubmissionZIP1</vt:lpstr>
      <vt:lpstr>rsgBatchSubmissionZIP10</vt:lpstr>
      <vt:lpstr>rsgBatchSubmissionZIP11</vt:lpstr>
      <vt:lpstr>rsgBatchSubmissionZIP12</vt:lpstr>
      <vt:lpstr>rsgBatchSubmissionZIP13</vt:lpstr>
      <vt:lpstr>rsgBatchSubmissionZIP14</vt:lpstr>
      <vt:lpstr>rsgBatchSubmissionZIP15</vt:lpstr>
      <vt:lpstr>rsgBatchSubmissionZIP16</vt:lpstr>
      <vt:lpstr>rsgBatchSubmissionZIP17</vt:lpstr>
      <vt:lpstr>rsgBatchSubmissionZIP18</vt:lpstr>
      <vt:lpstr>rsgBatchSubmissionZIP19</vt:lpstr>
      <vt:lpstr>rsgBatchSubmissionZIP2</vt:lpstr>
      <vt:lpstr>rsgBatchSubmissionZIP20</vt:lpstr>
      <vt:lpstr>rsgBatchSubmissionZIP21</vt:lpstr>
      <vt:lpstr>rsgBatchSubmissionZIP22</vt:lpstr>
      <vt:lpstr>rsgBatchSubmissionZIP23</vt:lpstr>
      <vt:lpstr>rsgBatchSubmissionZIP24</vt:lpstr>
      <vt:lpstr>rsgBatchSubmissionZIP25</vt:lpstr>
      <vt:lpstr>rsgBatchSubmissionZIP26</vt:lpstr>
      <vt:lpstr>rsgBatchSubmissionZIP27</vt:lpstr>
      <vt:lpstr>rsgBatchSubmissionZIP28</vt:lpstr>
      <vt:lpstr>rsgBatchSubmissionZIP29</vt:lpstr>
      <vt:lpstr>rsgBatchSubmissionZIP3</vt:lpstr>
      <vt:lpstr>rsgBatchSubmissionZIP30</vt:lpstr>
      <vt:lpstr>rsgBatchSubmissionZIP31</vt:lpstr>
      <vt:lpstr>rsgBatchSubmissionZIP32</vt:lpstr>
      <vt:lpstr>rsgBatchSubmissionZIP33</vt:lpstr>
      <vt:lpstr>rsgBatchSubmissionZIP34</vt:lpstr>
      <vt:lpstr>rsgBatchSubmissionZIP35</vt:lpstr>
      <vt:lpstr>rsgBatchSubmissionZIP36</vt:lpstr>
      <vt:lpstr>rsgBatchSubmissionZIP37</vt:lpstr>
      <vt:lpstr>rsgBatchSubmissionZIP38</vt:lpstr>
      <vt:lpstr>rsgBatchSubmissionZIP39</vt:lpstr>
      <vt:lpstr>rsgBatchSubmissionZIP4</vt:lpstr>
      <vt:lpstr>rsgBatchSubmissionZIP40</vt:lpstr>
      <vt:lpstr>rsgBatchSubmissionZIP41</vt:lpstr>
      <vt:lpstr>rsgBatchSubmissionZIP42</vt:lpstr>
      <vt:lpstr>rsgBatchSubmissionZIP43</vt:lpstr>
      <vt:lpstr>rsgBatchSubmissionZIP44</vt:lpstr>
      <vt:lpstr>rsgBatchSubmissionZIP45</vt:lpstr>
      <vt:lpstr>rsgBatchSubmissionZIP46</vt:lpstr>
      <vt:lpstr>rsgBatchSubmissionZIP47</vt:lpstr>
      <vt:lpstr>rsgBatchSubmissionZIP48</vt:lpstr>
      <vt:lpstr>rsgBatchSubmissionZIP49</vt:lpstr>
      <vt:lpstr>rsgBatchSubmissionZIP5</vt:lpstr>
      <vt:lpstr>rsgBatchSubmissionZIP50</vt:lpstr>
      <vt:lpstr>rsgBatchSubmissionZIP6</vt:lpstr>
      <vt:lpstr>rsgBatchSubmissionZIP7</vt:lpstr>
      <vt:lpstr>rsgBatchSubmissionZIP8</vt:lpstr>
      <vt:lpstr>rsgBatchSubmissionZIP9</vt:lpstr>
      <vt:lpstr>rsgBuilderComments</vt:lpstr>
      <vt:lpstr>rsgBuilderDate</vt:lpstr>
      <vt:lpstr>rsgBuilderEmail</vt:lpstr>
      <vt:lpstr>rsgBuilderName</vt:lpstr>
      <vt:lpstr>rsgBuilderPhone</vt:lpstr>
      <vt:lpstr>rsgSampleDate1</vt:lpstr>
      <vt:lpstr>rsgSampleDate10</vt:lpstr>
      <vt:lpstr>rsgSampleDate11</vt:lpstr>
      <vt:lpstr>rsgSampleDate12</vt:lpstr>
      <vt:lpstr>rsgSampleDate13</vt:lpstr>
      <vt:lpstr>rsgSampleDate14</vt:lpstr>
      <vt:lpstr>rsgSampleDate15</vt:lpstr>
      <vt:lpstr>rsgSampleDate16</vt:lpstr>
      <vt:lpstr>rsgSampleDate2</vt:lpstr>
      <vt:lpstr>rsgSampleDate3</vt:lpstr>
      <vt:lpstr>rsgSampleDate4</vt:lpstr>
      <vt:lpstr>rsgSampleDate5</vt:lpstr>
      <vt:lpstr>rsgSampleDate6</vt:lpstr>
      <vt:lpstr>rsgSampleDate7</vt:lpstr>
      <vt:lpstr>rsgSampleDate8</vt:lpstr>
      <vt:lpstr>rsgSampleDate9</vt:lpstr>
      <vt:lpstr>rsgSampleNotes1</vt:lpstr>
      <vt:lpstr>rsgSampleNotes10</vt:lpstr>
      <vt:lpstr>rsgSampleNotes11</vt:lpstr>
      <vt:lpstr>rsgSampleNotes12</vt:lpstr>
      <vt:lpstr>rsgSampleNotes13</vt:lpstr>
      <vt:lpstr>rsgSampleNotes14</vt:lpstr>
      <vt:lpstr>rsgSampleNotes15</vt:lpstr>
      <vt:lpstr>rsgSampleNotes16</vt:lpstr>
      <vt:lpstr>rsgSampleNotes2</vt:lpstr>
      <vt:lpstr>rsgSampleNotes3</vt:lpstr>
      <vt:lpstr>rsgSampleNotes4</vt:lpstr>
      <vt:lpstr>rsgSampleNotes5</vt:lpstr>
      <vt:lpstr>rsgSampleNotes6</vt:lpstr>
      <vt:lpstr>rsgSampleNotes7</vt:lpstr>
      <vt:lpstr>rsgSampleNotes8</vt:lpstr>
      <vt:lpstr>rsgSampleNotes9</vt:lpstr>
      <vt:lpstr>rsgSampleUnitsAvailable1</vt:lpstr>
      <vt:lpstr>rsgSampleUnitsAvailable10</vt:lpstr>
      <vt:lpstr>rsgSampleUnitsAvailable11</vt:lpstr>
      <vt:lpstr>rsgSampleUnitsAvailable12</vt:lpstr>
      <vt:lpstr>rsgSampleUnitsAvailable13</vt:lpstr>
      <vt:lpstr>rsgSampleUnitsAvailable14</vt:lpstr>
      <vt:lpstr>rsgSampleUnitsAvailable15</vt:lpstr>
      <vt:lpstr>rsgSampleUnitsAvailable16</vt:lpstr>
      <vt:lpstr>rsgSampleUnitsAvailable2</vt:lpstr>
      <vt:lpstr>rsgSampleUnitsAvailable3</vt:lpstr>
      <vt:lpstr>rsgSampleUnitsAvailable4</vt:lpstr>
      <vt:lpstr>rsgSampleUnitsAvailable5</vt:lpstr>
      <vt:lpstr>rsgSampleUnitsAvailable6</vt:lpstr>
      <vt:lpstr>rsgSampleUnitsAvailable7</vt:lpstr>
      <vt:lpstr>rsgSampleUnitsAvailable8</vt:lpstr>
      <vt:lpstr>rsgSampleUnitsAvailable9</vt:lpstr>
      <vt:lpstr>rsgSampleUnitsInspected1</vt:lpstr>
      <vt:lpstr>rsgSampleUnitsInspected10</vt:lpstr>
      <vt:lpstr>rsgSampleUnitsInspected11</vt:lpstr>
      <vt:lpstr>rsgSampleUnitsInspected12</vt:lpstr>
      <vt:lpstr>rsgSampleUnitsInspected13</vt:lpstr>
      <vt:lpstr>rsgSampleUnitsInspected14</vt:lpstr>
      <vt:lpstr>rsgSampleUnitsInspected15</vt:lpstr>
      <vt:lpstr>rsgSampleUnitsInspected16</vt:lpstr>
      <vt:lpstr>rsgSampleUnitsInspected2</vt:lpstr>
      <vt:lpstr>rsgSampleUnitsInspected3</vt:lpstr>
      <vt:lpstr>rsgSampleUnitsInspected4</vt:lpstr>
      <vt:lpstr>rsgSampleUnitsInspected5</vt:lpstr>
      <vt:lpstr>rsgSampleUnitsInspected6</vt:lpstr>
      <vt:lpstr>rsgSampleUnitsInspected7</vt:lpstr>
      <vt:lpstr>rsgSampleUnitsInspected8</vt:lpstr>
      <vt:lpstr>rsgSampleUnitsInspected9</vt:lpstr>
      <vt:lpstr>rsgTeamVerifierElementsVerified1</vt:lpstr>
      <vt:lpstr>rsgTeamVerifierElementsVerified2</vt:lpstr>
      <vt:lpstr>rsgTeamVerifierElementsVerified3</vt:lpstr>
      <vt:lpstr>rsgTeamVerifierElementsVerified4</vt:lpstr>
      <vt:lpstr>rsgTeamVerifierElementsVerified5</vt:lpstr>
      <vt:lpstr>rsgTeamVerifierInspectionDate1</vt:lpstr>
      <vt:lpstr>rsgTeamVerifierInspectionDate2</vt:lpstr>
      <vt:lpstr>rsgTeamVerifierInspectionDate3</vt:lpstr>
      <vt:lpstr>rsgTeamVerifierInspectionDate4</vt:lpstr>
      <vt:lpstr>rsgTeamVerifierInspectionDate5</vt:lpstr>
      <vt:lpstr>rsgTeamVerifierName1</vt:lpstr>
      <vt:lpstr>rsgTeamVerifierName2</vt:lpstr>
      <vt:lpstr>rsgTeamVerifierName3</vt:lpstr>
      <vt:lpstr>rsgTeamVerifierName4</vt:lpstr>
      <vt:lpstr>rsgTeamVerifierName5</vt:lpstr>
      <vt:lpstr>rsgTeamVerifierRole1</vt:lpstr>
      <vt:lpstr>rsgTeamVerifierRole2</vt:lpstr>
      <vt:lpstr>rsgTeamVerifierRole3</vt:lpstr>
      <vt:lpstr>rsgTeamVerifierRole4</vt:lpstr>
      <vt:lpstr>rsgTeamVerifierRole5</vt:lpstr>
      <vt:lpstr>rsgVerifierComments</vt:lpstr>
      <vt:lpstr>rsgVerifierDate</vt:lpstr>
      <vt:lpstr>rsgVerifierEmail</vt:lpstr>
      <vt:lpstr>rsgVerifierEndTime</vt:lpstr>
      <vt:lpstr>rsgVerifierName</vt:lpstr>
      <vt:lpstr>rsgVerifierPhone</vt:lpstr>
      <vt:lpstr>rsgVerifierStartTime</vt:lpstr>
      <vt:lpstr>startError</vt:lpstr>
      <vt:lpstr>TorF</vt:lpstr>
      <vt:lpstr>vch1001_1_1</vt:lpstr>
      <vt:lpstr>vch1001_1_10</vt:lpstr>
      <vt:lpstr>vch1001_1_11</vt:lpstr>
      <vt:lpstr>vch1001_1_12</vt:lpstr>
      <vt:lpstr>vch1001_1_13</vt:lpstr>
      <vt:lpstr>vch1001_1_14</vt:lpstr>
      <vt:lpstr>vch1001_1_15</vt:lpstr>
      <vt:lpstr>vch1001_1_16</vt:lpstr>
      <vt:lpstr>vch1001_1_17</vt:lpstr>
      <vt:lpstr>vch1001_1_18</vt:lpstr>
      <vt:lpstr>vch1001_1_19</vt:lpstr>
      <vt:lpstr>vch1001_1_2</vt:lpstr>
      <vt:lpstr>vch1001_1_20</vt:lpstr>
      <vt:lpstr>vch1001_1_21</vt:lpstr>
      <vt:lpstr>vch1001_1_22</vt:lpstr>
      <vt:lpstr>vch1001_1_23</vt:lpstr>
      <vt:lpstr>vch1001_1_24</vt:lpstr>
      <vt:lpstr>vch1001_1_3</vt:lpstr>
      <vt:lpstr>vch1001_1_4</vt:lpstr>
      <vt:lpstr>vch1001_1_5</vt:lpstr>
      <vt:lpstr>vch1001_1_6</vt:lpstr>
      <vt:lpstr>vch1001_1_7</vt:lpstr>
      <vt:lpstr>vch1001_1_8</vt:lpstr>
      <vt:lpstr>vch1001_1_9</vt:lpstr>
      <vt:lpstr>vch1001_2</vt:lpstr>
      <vt:lpstr>vch1002_1_1</vt:lpstr>
      <vt:lpstr>vch1002_1_2</vt:lpstr>
      <vt:lpstr>vch1002_1_3</vt:lpstr>
      <vt:lpstr>vch1002_1_4</vt:lpstr>
      <vt:lpstr>vch1002_1_5</vt:lpstr>
      <vt:lpstr>vch1002_1_6</vt:lpstr>
      <vt:lpstr>vch1002_1_7</vt:lpstr>
      <vt:lpstr>vch1002_1_8</vt:lpstr>
      <vt:lpstr>vch1002_2_1</vt:lpstr>
      <vt:lpstr>vch1002_2_10</vt:lpstr>
      <vt:lpstr>vch1002_2_11</vt:lpstr>
      <vt:lpstr>vch1002_2_2</vt:lpstr>
      <vt:lpstr>vch1002_2_3</vt:lpstr>
      <vt:lpstr>vch1002_2_4</vt:lpstr>
      <vt:lpstr>vch1002_2_5</vt:lpstr>
      <vt:lpstr>vch1002_2_6</vt:lpstr>
      <vt:lpstr>vch1002_2_7</vt:lpstr>
      <vt:lpstr>vch1002_2_8</vt:lpstr>
      <vt:lpstr>vch1002_2_9</vt:lpstr>
      <vt:lpstr>vch1002_3_1</vt:lpstr>
      <vt:lpstr>vch1002_3_10</vt:lpstr>
      <vt:lpstr>vch1002_3_2</vt:lpstr>
      <vt:lpstr>vch1002_3_3</vt:lpstr>
      <vt:lpstr>vch1002_3_4</vt:lpstr>
      <vt:lpstr>vch1002_3_5</vt:lpstr>
      <vt:lpstr>vch1002_3_6</vt:lpstr>
      <vt:lpstr>vch1002_3_7</vt:lpstr>
      <vt:lpstr>vch1002_3_8</vt:lpstr>
      <vt:lpstr>vch1002_3_9</vt:lpstr>
      <vt:lpstr>vch1002_4</vt:lpstr>
      <vt:lpstr>vch1003_1_1</vt:lpstr>
      <vt:lpstr>vch1003_1_2</vt:lpstr>
      <vt:lpstr>vch1003_1_3</vt:lpstr>
      <vt:lpstr>vch1004_1_1</vt:lpstr>
      <vt:lpstr>vch1004_1_2</vt:lpstr>
      <vt:lpstr>vch501_1_1</vt:lpstr>
      <vt:lpstr>vch501_1_2_a</vt:lpstr>
      <vt:lpstr>vch501_1_2_b</vt:lpstr>
      <vt:lpstr>vch501_1_2_c</vt:lpstr>
      <vt:lpstr>vch501_2_1</vt:lpstr>
      <vt:lpstr>vch501_2_2</vt:lpstr>
      <vt:lpstr>vch501_2_3</vt:lpstr>
      <vt:lpstr>vch501_2_4</vt:lpstr>
      <vt:lpstr>vch501_2_5</vt:lpstr>
      <vt:lpstr>vch501_2_6</vt:lpstr>
      <vt:lpstr>vch502_1</vt:lpstr>
      <vt:lpstr>vch503_1_1</vt:lpstr>
      <vt:lpstr>vch503_1_2</vt:lpstr>
      <vt:lpstr>vch503_1_3</vt:lpstr>
      <vt:lpstr>vch503_1_4</vt:lpstr>
      <vt:lpstr>vch503_1_5</vt:lpstr>
      <vt:lpstr>vch503_1_6</vt:lpstr>
      <vt:lpstr>vch503_1_7</vt:lpstr>
      <vt:lpstr>vch503_2</vt:lpstr>
      <vt:lpstr>vch503_2_1</vt:lpstr>
      <vt:lpstr>vch503_2_2</vt:lpstr>
      <vt:lpstr>vch503_2_3</vt:lpstr>
      <vt:lpstr>vch503_2_4</vt:lpstr>
      <vt:lpstr>vch503_2_5</vt:lpstr>
      <vt:lpstr>vch503_3_1</vt:lpstr>
      <vt:lpstr>vch503_3_2_a</vt:lpstr>
      <vt:lpstr>vch503_3_2_b</vt:lpstr>
      <vt:lpstr>vch503_3_2_c</vt:lpstr>
      <vt:lpstr>vch503_3_2_d</vt:lpstr>
      <vt:lpstr>vch503_3_3</vt:lpstr>
      <vt:lpstr>vch503_4_1</vt:lpstr>
      <vt:lpstr>vch503_4_2</vt:lpstr>
      <vt:lpstr>vch503_4_3</vt:lpstr>
      <vt:lpstr>vch503_4_4</vt:lpstr>
      <vt:lpstr>vch503_5</vt:lpstr>
      <vt:lpstr>vch503_5_1</vt:lpstr>
      <vt:lpstr>vch503_5_10</vt:lpstr>
      <vt:lpstr>vch503_5_11</vt:lpstr>
      <vt:lpstr>vch503_5_12</vt:lpstr>
      <vt:lpstr>vch503_5_2</vt:lpstr>
      <vt:lpstr>vch503_5_3</vt:lpstr>
      <vt:lpstr>vch503_5_4</vt:lpstr>
      <vt:lpstr>vch503_5_5</vt:lpstr>
      <vt:lpstr>vch503_5_6</vt:lpstr>
      <vt:lpstr>vch503_5_7</vt:lpstr>
      <vt:lpstr>vch503_5_8</vt:lpstr>
      <vt:lpstr>vch503_5_9</vt:lpstr>
      <vt:lpstr>vch503_6_1</vt:lpstr>
      <vt:lpstr>vch503_6_2</vt:lpstr>
      <vt:lpstr>vch503_6_3</vt:lpstr>
      <vt:lpstr>vch503_6_4</vt:lpstr>
      <vt:lpstr>vch503_7</vt:lpstr>
      <vt:lpstr>vch503_8</vt:lpstr>
      <vt:lpstr>vch504_1</vt:lpstr>
      <vt:lpstr>vch504_2_1</vt:lpstr>
      <vt:lpstr>vch504_2_2</vt:lpstr>
      <vt:lpstr>vch504_2_3</vt:lpstr>
      <vt:lpstr>vch504_3_1</vt:lpstr>
      <vt:lpstr>vch504_3_2</vt:lpstr>
      <vt:lpstr>vch504_3_3</vt:lpstr>
      <vt:lpstr>vch504_3_4</vt:lpstr>
      <vt:lpstr>vch504_3_5</vt:lpstr>
      <vt:lpstr>vch504_3_6</vt:lpstr>
      <vt:lpstr>vch504_3_7</vt:lpstr>
      <vt:lpstr>vch504_3_8a</vt:lpstr>
      <vt:lpstr>vch504_3_8b</vt:lpstr>
      <vt:lpstr>vch504_3_8c</vt:lpstr>
      <vt:lpstr>vch504_3_8d</vt:lpstr>
      <vt:lpstr>vch504_3_8e</vt:lpstr>
      <vt:lpstr>vch504_3_8f</vt:lpstr>
      <vt:lpstr>vch504_3_9</vt:lpstr>
      <vt:lpstr>vch505_1_1</vt:lpstr>
      <vt:lpstr>vch505_1_2</vt:lpstr>
      <vt:lpstr>vch505_1_3</vt:lpstr>
      <vt:lpstr>vch505_1_4</vt:lpstr>
      <vt:lpstr>vch505_2_1_a</vt:lpstr>
      <vt:lpstr>vch505_2_1_b</vt:lpstr>
      <vt:lpstr>vch505_2_1_c</vt:lpstr>
      <vt:lpstr>vch505_2_2</vt:lpstr>
      <vt:lpstr>vch505_3</vt:lpstr>
      <vt:lpstr>vch505_4</vt:lpstr>
      <vt:lpstr>vch505_5</vt:lpstr>
      <vt:lpstr>vch505_6</vt:lpstr>
      <vt:lpstr>vch601_2_1</vt:lpstr>
      <vt:lpstr>vch601_2_2</vt:lpstr>
      <vt:lpstr>vch601_2_3</vt:lpstr>
      <vt:lpstr>vch601_3_1</vt:lpstr>
      <vt:lpstr>vch601_3_2</vt:lpstr>
      <vt:lpstr>vch601_3_3</vt:lpstr>
      <vt:lpstr>vch601_3_4</vt:lpstr>
      <vt:lpstr>vch601_3_5</vt:lpstr>
      <vt:lpstr>vch601_4</vt:lpstr>
      <vt:lpstr>vch601_5_1</vt:lpstr>
      <vt:lpstr>vch601_5_2</vt:lpstr>
      <vt:lpstr>vch601_5_3</vt:lpstr>
      <vt:lpstr>vch601_5_4</vt:lpstr>
      <vt:lpstr>vch601_5_5</vt:lpstr>
      <vt:lpstr>vch601_6</vt:lpstr>
      <vt:lpstr>vch601_7_a</vt:lpstr>
      <vt:lpstr>vch601_7_b</vt:lpstr>
      <vt:lpstr>vch601_7_c</vt:lpstr>
      <vt:lpstr>vch601_7_d</vt:lpstr>
      <vt:lpstr>vch601_7_e</vt:lpstr>
      <vt:lpstr>vch601_8</vt:lpstr>
      <vt:lpstr>vch601_9</vt:lpstr>
      <vt:lpstr>vch602_1_1_1</vt:lpstr>
      <vt:lpstr>vch602_1_1_2</vt:lpstr>
      <vt:lpstr>vch602_1_10</vt:lpstr>
      <vt:lpstr>vch602_1_11</vt:lpstr>
      <vt:lpstr>vch602_1_12</vt:lpstr>
      <vt:lpstr>vch602_1_13</vt:lpstr>
      <vt:lpstr>vch602_1_14_1</vt:lpstr>
      <vt:lpstr>vch602_1_14_2</vt:lpstr>
      <vt:lpstr>vch602_1_14_3</vt:lpstr>
      <vt:lpstr>vch602_1_2__1</vt:lpstr>
      <vt:lpstr>vch602_1_2__2</vt:lpstr>
      <vt:lpstr>vch602_1_3_1</vt:lpstr>
      <vt:lpstr>vch602_1_3_2</vt:lpstr>
      <vt:lpstr>vch602_1_4_1_1</vt:lpstr>
      <vt:lpstr>vch602_1_4_1_2</vt:lpstr>
      <vt:lpstr>vch602_1_4_2_1</vt:lpstr>
      <vt:lpstr>vch602_1_4_2_2</vt:lpstr>
      <vt:lpstr>vch602_1_5</vt:lpstr>
      <vt:lpstr>vch602_1_5_1</vt:lpstr>
      <vt:lpstr>vch602_1_5_2</vt:lpstr>
      <vt:lpstr>vch602_1_6_1</vt:lpstr>
      <vt:lpstr>vch602_1_6_2</vt:lpstr>
      <vt:lpstr>vch602_1_6_3</vt:lpstr>
      <vt:lpstr>vch602_1_7_1_1</vt:lpstr>
      <vt:lpstr>vch602_1_7_1_2</vt:lpstr>
      <vt:lpstr>vch602_1_7_1_3</vt:lpstr>
      <vt:lpstr>vch602_1_7_2</vt:lpstr>
      <vt:lpstr>vch602_1_7_3</vt:lpstr>
      <vt:lpstr>vch602_1_8</vt:lpstr>
      <vt:lpstr>vch602_1_9_1</vt:lpstr>
      <vt:lpstr>vch602_1_9_2</vt:lpstr>
      <vt:lpstr>vch602_1_9_3</vt:lpstr>
      <vt:lpstr>vch602_1_9_4</vt:lpstr>
      <vt:lpstr>vch602_1_9_5</vt:lpstr>
      <vt:lpstr>vch602_1_9_6</vt:lpstr>
      <vt:lpstr>vch602_1_9_7</vt:lpstr>
      <vt:lpstr>vch602_2_1</vt:lpstr>
      <vt:lpstr>vch602_2_2</vt:lpstr>
      <vt:lpstr>vch602_2_3</vt:lpstr>
      <vt:lpstr>vch602_3</vt:lpstr>
      <vt:lpstr>vch602_4_1</vt:lpstr>
      <vt:lpstr>vch602_4_2</vt:lpstr>
      <vt:lpstr>vch602_4_3</vt:lpstr>
      <vt:lpstr>vch603_1</vt:lpstr>
      <vt:lpstr>vch603_2</vt:lpstr>
      <vt:lpstr>vch603_3</vt:lpstr>
      <vt:lpstr>vch604_1a</vt:lpstr>
      <vt:lpstr>vch604_1b</vt:lpstr>
      <vt:lpstr>vch604_1c</vt:lpstr>
      <vt:lpstr>vch604_1d</vt:lpstr>
      <vt:lpstr>vch605_1</vt:lpstr>
      <vt:lpstr>vch605_1_2</vt:lpstr>
      <vt:lpstr>vch605_2</vt:lpstr>
      <vt:lpstr>vch605_3_2_a</vt:lpstr>
      <vt:lpstr>vch605_3_2_b</vt:lpstr>
      <vt:lpstr>vch605_3_2_c</vt:lpstr>
      <vt:lpstr>vch605_3_2_d</vt:lpstr>
      <vt:lpstr>vch605_3_2_e</vt:lpstr>
      <vt:lpstr>vch605_3_2_f</vt:lpstr>
      <vt:lpstr>vch605_3_2_g</vt:lpstr>
      <vt:lpstr>vch605_3_2_h</vt:lpstr>
      <vt:lpstr>vch605_3_2_i</vt:lpstr>
      <vt:lpstr>vch606_1_a</vt:lpstr>
      <vt:lpstr>vch606_1_b</vt:lpstr>
      <vt:lpstr>vch606_1_c</vt:lpstr>
      <vt:lpstr>vch606_1_d</vt:lpstr>
      <vt:lpstr>vch606_1_e</vt:lpstr>
      <vt:lpstr>vch606_1_f</vt:lpstr>
      <vt:lpstr>vch606_1_g</vt:lpstr>
      <vt:lpstr>vch606_1_h</vt:lpstr>
      <vt:lpstr>vch606_2_1a</vt:lpstr>
      <vt:lpstr>vch606_2_1b</vt:lpstr>
      <vt:lpstr>vch606_2_2a</vt:lpstr>
      <vt:lpstr>vch606_2_2b</vt:lpstr>
      <vt:lpstr>vch606_3</vt:lpstr>
      <vt:lpstr>vch607_1_1</vt:lpstr>
      <vt:lpstr>vch607_1_2</vt:lpstr>
      <vt:lpstr>vch607_2</vt:lpstr>
      <vt:lpstr>vch608_1</vt:lpstr>
      <vt:lpstr>vch609_1a</vt:lpstr>
      <vt:lpstr>vch609_1b</vt:lpstr>
      <vt:lpstr>vch610_1_1_1</vt:lpstr>
      <vt:lpstr>vch610_1_1_2</vt:lpstr>
      <vt:lpstr>vch610_1_1_3</vt:lpstr>
      <vt:lpstr>vch610_1_2_1a</vt:lpstr>
      <vt:lpstr>vch610_1_2_1b</vt:lpstr>
      <vt:lpstr>vch610_1_2_2_f</vt:lpstr>
      <vt:lpstr>vch610_1_2_2a</vt:lpstr>
      <vt:lpstr>vch610_1_2_2b</vt:lpstr>
      <vt:lpstr>vch610_1_2_2c</vt:lpstr>
      <vt:lpstr>vch611_1</vt:lpstr>
      <vt:lpstr>vch611_2_1</vt:lpstr>
      <vt:lpstr>vch611_2_2</vt:lpstr>
      <vt:lpstr>vch611_2_3</vt:lpstr>
      <vt:lpstr>vch611_2_4</vt:lpstr>
      <vt:lpstr>vch611_2_5</vt:lpstr>
      <vt:lpstr>vch611_2_6</vt:lpstr>
      <vt:lpstr>vch611_2_7</vt:lpstr>
      <vt:lpstr>vch611_3_1</vt:lpstr>
      <vt:lpstr>vch611_3_2</vt:lpstr>
      <vt:lpstr>vch611_3_3</vt:lpstr>
      <vt:lpstr>vch611_3_4</vt:lpstr>
      <vt:lpstr>vch611_3_5</vt:lpstr>
      <vt:lpstr>vch611_3_6</vt:lpstr>
      <vt:lpstr>vch611_3_7</vt:lpstr>
      <vt:lpstr>vch611_3_8</vt:lpstr>
      <vt:lpstr>vch611_3_9</vt:lpstr>
      <vt:lpstr>vch611_4_1</vt:lpstr>
      <vt:lpstr>vch611_4_2</vt:lpstr>
      <vt:lpstr>vch701_1</vt:lpstr>
      <vt:lpstr>vch701_1_</vt:lpstr>
      <vt:lpstr>vch701_1_4</vt:lpstr>
      <vt:lpstr>vch701_3</vt:lpstr>
      <vt:lpstr>vch701_4_1</vt:lpstr>
      <vt:lpstr>vch701_4_1_1</vt:lpstr>
      <vt:lpstr>vch701_4_1_2</vt:lpstr>
      <vt:lpstr>vch701_4_2_2</vt:lpstr>
      <vt:lpstr>vch701_4_2_3</vt:lpstr>
      <vt:lpstr>vch701_4_3_1_1</vt:lpstr>
      <vt:lpstr>vch701_4_3_1_2</vt:lpstr>
      <vt:lpstr>vch701_4_3_2_1</vt:lpstr>
      <vt:lpstr>vch701_4_3_2_1_</vt:lpstr>
      <vt:lpstr>vch701_4_3_2_2</vt:lpstr>
      <vt:lpstr>vch701_4_3_2e</vt:lpstr>
      <vt:lpstr>vch701_4_3_3_4</vt:lpstr>
      <vt:lpstr>vch701_4_3_3_5</vt:lpstr>
      <vt:lpstr>vch701_4_4_1</vt:lpstr>
      <vt:lpstr>vch701_4_4_2</vt:lpstr>
      <vt:lpstr>vch701_4_5</vt:lpstr>
      <vt:lpstr>vch702_2_1</vt:lpstr>
      <vt:lpstr>vch702_2_2</vt:lpstr>
      <vt:lpstr>vch703_1_1</vt:lpstr>
      <vt:lpstr>vch703_1_2</vt:lpstr>
      <vt:lpstr>vch703_1_3</vt:lpstr>
      <vt:lpstr>vch703_1_3_1</vt:lpstr>
      <vt:lpstr>vch703_1_3_2</vt:lpstr>
      <vt:lpstr>vch703_2_1</vt:lpstr>
      <vt:lpstr>vch703_2_1_2</vt:lpstr>
      <vt:lpstr>vch703_2_2</vt:lpstr>
      <vt:lpstr>vch703_2_3</vt:lpstr>
      <vt:lpstr>vch703_2_5_1</vt:lpstr>
      <vt:lpstr>vch703_2_5_1_1</vt:lpstr>
      <vt:lpstr>vch703_2_5_2</vt:lpstr>
      <vt:lpstr>vch703_2_5_2_1</vt:lpstr>
      <vt:lpstr>vch703_3_0_1</vt:lpstr>
      <vt:lpstr>vch703_3_0_2</vt:lpstr>
      <vt:lpstr>vch703_3_1</vt:lpstr>
      <vt:lpstr>vch703_3_2__1_1</vt:lpstr>
      <vt:lpstr>vch703_3_2__2_1</vt:lpstr>
      <vt:lpstr>vch703_3_2__3_1</vt:lpstr>
      <vt:lpstr>vch703_3_2__4_1</vt:lpstr>
      <vt:lpstr>vch703_3_3__1_1</vt:lpstr>
      <vt:lpstr>vch703_3_3__3</vt:lpstr>
      <vt:lpstr>vch703_3_4_1_1</vt:lpstr>
      <vt:lpstr>vch703_3_4_1_5</vt:lpstr>
      <vt:lpstr>vch703_3_4_2</vt:lpstr>
      <vt:lpstr>vch703_3_5</vt:lpstr>
      <vt:lpstr>vch703_3_6</vt:lpstr>
      <vt:lpstr>vch703_3_7_1</vt:lpstr>
      <vt:lpstr>vch703_3_7_2</vt:lpstr>
      <vt:lpstr>vch703_3_8</vt:lpstr>
      <vt:lpstr>vch703_4_1</vt:lpstr>
      <vt:lpstr>vch703_4_2</vt:lpstr>
      <vt:lpstr>vch703_4_3_1</vt:lpstr>
      <vt:lpstr>vch703_4_3_2</vt:lpstr>
      <vt:lpstr>vch703_4_3_3</vt:lpstr>
      <vt:lpstr>vch703_4_4</vt:lpstr>
      <vt:lpstr>vch703_5_1</vt:lpstr>
      <vt:lpstr>vch703_5_1_1_a</vt:lpstr>
      <vt:lpstr>vch703_5_2</vt:lpstr>
      <vt:lpstr>vch703_5_3</vt:lpstr>
      <vt:lpstr>vch703_5_4</vt:lpstr>
      <vt:lpstr>vch703_5_5</vt:lpstr>
      <vt:lpstr>vch703_6_1_1</vt:lpstr>
      <vt:lpstr>vch703_6_1_2</vt:lpstr>
      <vt:lpstr>vch703_6_1_3</vt:lpstr>
      <vt:lpstr>vch703_6_2__1</vt:lpstr>
      <vt:lpstr>vch703_6_2__2</vt:lpstr>
      <vt:lpstr>vch703_6_2__3</vt:lpstr>
      <vt:lpstr>vch703_7_1</vt:lpstr>
      <vt:lpstr>vch703_7_2</vt:lpstr>
      <vt:lpstr>vch703_7_3_1_a</vt:lpstr>
      <vt:lpstr>vch703_7_3_1_b</vt:lpstr>
      <vt:lpstr>vch703_7_3_1_c</vt:lpstr>
      <vt:lpstr>vch703_7_3_1_d</vt:lpstr>
      <vt:lpstr>vch703_7_3_2</vt:lpstr>
      <vt:lpstr>vch703_7_3_3</vt:lpstr>
      <vt:lpstr>vch703_7_3_4</vt:lpstr>
      <vt:lpstr>vch703_7_3_5_a</vt:lpstr>
      <vt:lpstr>vch703_7_3_5_b</vt:lpstr>
      <vt:lpstr>vch703_7_3_6</vt:lpstr>
      <vt:lpstr>vch703_7_4</vt:lpstr>
      <vt:lpstr>vch704_2_1</vt:lpstr>
      <vt:lpstr>vch704_2_2</vt:lpstr>
      <vt:lpstr>vch705_2_1_1</vt:lpstr>
      <vt:lpstr>vch705_2_1_2</vt:lpstr>
      <vt:lpstr>vch705_2_1_3_1</vt:lpstr>
      <vt:lpstr>vch705_2_1_3_2</vt:lpstr>
      <vt:lpstr>vch705_2_1_4</vt:lpstr>
      <vt:lpstr>vch705_2_2</vt:lpstr>
      <vt:lpstr>vch705_2_3</vt:lpstr>
      <vt:lpstr>vch705_2_4</vt:lpstr>
      <vt:lpstr>vch705_3</vt:lpstr>
      <vt:lpstr>vch705_4</vt:lpstr>
      <vt:lpstr>vch705_5_1</vt:lpstr>
      <vt:lpstr>vch705_5_2</vt:lpstr>
      <vt:lpstr>vch705_6_2_1_1</vt:lpstr>
      <vt:lpstr>vch705_6_2_1_1_1</vt:lpstr>
      <vt:lpstr>vch705_6_2_1_1_2</vt:lpstr>
      <vt:lpstr>vch705_6_2_1_2</vt:lpstr>
      <vt:lpstr>vch705_6_2_2</vt:lpstr>
      <vt:lpstr>vch705_6_2_3</vt:lpstr>
      <vt:lpstr>vch705_6_3</vt:lpstr>
      <vt:lpstr>vch705_6_3_1</vt:lpstr>
      <vt:lpstr>vch705_6_4_1</vt:lpstr>
      <vt:lpstr>vch705_6_4_2</vt:lpstr>
      <vt:lpstr>vch705_7</vt:lpstr>
      <vt:lpstr>vch706_1_1</vt:lpstr>
      <vt:lpstr>vch706_1_2</vt:lpstr>
      <vt:lpstr>vch706_1_3</vt:lpstr>
      <vt:lpstr>vch706_1_4</vt:lpstr>
      <vt:lpstr>vch706_1_5</vt:lpstr>
      <vt:lpstr>vch706_2_1</vt:lpstr>
      <vt:lpstr>vch706_2_2</vt:lpstr>
      <vt:lpstr>vch706_3_1</vt:lpstr>
      <vt:lpstr>vch706_3_2</vt:lpstr>
      <vt:lpstr>vch706_3_3</vt:lpstr>
      <vt:lpstr>vch706_3_4</vt:lpstr>
      <vt:lpstr>vch706_3_5</vt:lpstr>
      <vt:lpstr>vch706_3_6</vt:lpstr>
      <vt:lpstr>vch706_3_7</vt:lpstr>
      <vt:lpstr>vch706_3_8</vt:lpstr>
      <vt:lpstr>vch706_4_1_1</vt:lpstr>
      <vt:lpstr>vch706_4_1_2</vt:lpstr>
      <vt:lpstr>vch706_4_2</vt:lpstr>
      <vt:lpstr>vch706_5</vt:lpstr>
      <vt:lpstr>vch706_6</vt:lpstr>
      <vt:lpstr>vch706_7_1</vt:lpstr>
      <vt:lpstr>vch706_7_2</vt:lpstr>
      <vt:lpstr>vch706_8</vt:lpstr>
      <vt:lpstr>vch706_9</vt:lpstr>
      <vt:lpstr>vch801_1</vt:lpstr>
      <vt:lpstr>vch801_1_6</vt:lpstr>
      <vt:lpstr>vch801_2_1</vt:lpstr>
      <vt:lpstr>vch801_2_2</vt:lpstr>
      <vt:lpstr>vch801_3_1</vt:lpstr>
      <vt:lpstr>vch801_3_2</vt:lpstr>
      <vt:lpstr>vch801_3_3</vt:lpstr>
      <vt:lpstr>vch801_4_1_1</vt:lpstr>
      <vt:lpstr>vch801_4_1_2</vt:lpstr>
      <vt:lpstr>vch801_4_2</vt:lpstr>
      <vt:lpstr>vch801_5_2</vt:lpstr>
      <vt:lpstr>vch801_5_3</vt:lpstr>
      <vt:lpstr>vch801_5_4_a</vt:lpstr>
      <vt:lpstr>vch801_5_4_b</vt:lpstr>
      <vt:lpstr>vch801_5_4_c</vt:lpstr>
      <vt:lpstr>vch801_6_1</vt:lpstr>
      <vt:lpstr>vch801_6_2_1</vt:lpstr>
      <vt:lpstr>vch801_6_2_2</vt:lpstr>
      <vt:lpstr>vch801_6_2_3</vt:lpstr>
      <vt:lpstr>vch801_6_3</vt:lpstr>
      <vt:lpstr>vch801_6_4_1</vt:lpstr>
      <vt:lpstr>vch801_6_4_2</vt:lpstr>
      <vt:lpstr>vch801_6_4_3</vt:lpstr>
      <vt:lpstr>vch801_6_5</vt:lpstr>
      <vt:lpstr>vch801_7_1</vt:lpstr>
      <vt:lpstr>vch801_7_2_1</vt:lpstr>
      <vt:lpstr>vch801_7_2_2</vt:lpstr>
      <vt:lpstr>vch801_8</vt:lpstr>
      <vt:lpstr>vch802_1_1</vt:lpstr>
      <vt:lpstr>vch802_1_2</vt:lpstr>
      <vt:lpstr>vch802_2</vt:lpstr>
      <vt:lpstr>vch802_3_1</vt:lpstr>
      <vt:lpstr>vch802_3_2</vt:lpstr>
      <vt:lpstr>vch802_4</vt:lpstr>
      <vt:lpstr>vch802_5</vt:lpstr>
      <vt:lpstr>vch802_6</vt:lpstr>
      <vt:lpstr>vch901_1_1</vt:lpstr>
      <vt:lpstr>vch901_1_2</vt:lpstr>
      <vt:lpstr>vch901_1_3_1</vt:lpstr>
      <vt:lpstr>vch901_1_3_2</vt:lpstr>
      <vt:lpstr>vch901_1_4</vt:lpstr>
      <vt:lpstr>vch901_1_5</vt:lpstr>
      <vt:lpstr>vch901_1_6</vt:lpstr>
      <vt:lpstr>vch901_10_1</vt:lpstr>
      <vt:lpstr>vch901_10_2</vt:lpstr>
      <vt:lpstr>vch901_10_3</vt:lpstr>
      <vt:lpstr>vch901_11</vt:lpstr>
      <vt:lpstr>vch901_12</vt:lpstr>
      <vt:lpstr>vch901_13_1</vt:lpstr>
      <vt:lpstr>vch901_13_2</vt:lpstr>
      <vt:lpstr>vch901_14_1</vt:lpstr>
      <vt:lpstr>vch901_14_2</vt:lpstr>
      <vt:lpstr>vch901_2_1_1</vt:lpstr>
      <vt:lpstr>vch901_2_1_2</vt:lpstr>
      <vt:lpstr>vch901_2_1_3</vt:lpstr>
      <vt:lpstr>vch901_2_1_4</vt:lpstr>
      <vt:lpstr>vch901_2_1_5</vt:lpstr>
      <vt:lpstr>vch901_2_2</vt:lpstr>
      <vt:lpstr>vch901_3_1_a</vt:lpstr>
      <vt:lpstr>vch901_3_1_b</vt:lpstr>
      <vt:lpstr>vch901_3_1_c</vt:lpstr>
      <vt:lpstr>vch901_3_2</vt:lpstr>
      <vt:lpstr>vch901_4_1</vt:lpstr>
      <vt:lpstr>vch901_4_a</vt:lpstr>
      <vt:lpstr>vch901_4_b</vt:lpstr>
      <vt:lpstr>vch901_4_c</vt:lpstr>
      <vt:lpstr>vch901_4_d</vt:lpstr>
      <vt:lpstr>vch901_5_1</vt:lpstr>
      <vt:lpstr>vch901_5_2</vt:lpstr>
      <vt:lpstr>vch901_6</vt:lpstr>
      <vt:lpstr>vch901_7_1</vt:lpstr>
      <vt:lpstr>vch901_7_2</vt:lpstr>
      <vt:lpstr>vch901_7_3</vt:lpstr>
      <vt:lpstr>vch901_8</vt:lpstr>
      <vt:lpstr>vch901_9_1_1</vt:lpstr>
      <vt:lpstr>vch901_9_1_2</vt:lpstr>
      <vt:lpstr>vch901_9_1_3</vt:lpstr>
      <vt:lpstr>vch901_9_2</vt:lpstr>
      <vt:lpstr>vch901_9_3</vt:lpstr>
      <vt:lpstr>vch902_1_1</vt:lpstr>
      <vt:lpstr>vch902_1_1_a</vt:lpstr>
      <vt:lpstr>vch902_1_2</vt:lpstr>
      <vt:lpstr>vch902_1_2_</vt:lpstr>
      <vt:lpstr>vch902_1_2_2</vt:lpstr>
      <vt:lpstr>vch902_1_3</vt:lpstr>
      <vt:lpstr>vch902_1_3_</vt:lpstr>
      <vt:lpstr>vch902_1_4_1</vt:lpstr>
      <vt:lpstr>vch902_1_4_2</vt:lpstr>
      <vt:lpstr>vch902_1_5_1</vt:lpstr>
      <vt:lpstr>vch902_1_5_2</vt:lpstr>
      <vt:lpstr>vch902_1_5_3</vt:lpstr>
      <vt:lpstr>vch902_2_1</vt:lpstr>
      <vt:lpstr>vch902_2_2</vt:lpstr>
      <vt:lpstr>vch902_2_3</vt:lpstr>
      <vt:lpstr>vch902_2_4</vt:lpstr>
      <vt:lpstr>vch902_3_1</vt:lpstr>
      <vt:lpstr>vch902_3_2_a</vt:lpstr>
      <vt:lpstr>vch902_4_1</vt:lpstr>
      <vt:lpstr>vch902_4_2</vt:lpstr>
      <vt:lpstr>vch902_5</vt:lpstr>
      <vt:lpstr>vch902_6</vt:lpstr>
      <vt:lpstr>vch903_1</vt:lpstr>
      <vt:lpstr>vch903_2</vt:lpstr>
      <vt:lpstr>vch903_3_1</vt:lpstr>
      <vt:lpstr>vch903_3_2</vt:lpstr>
      <vt:lpstr>vch904_1</vt:lpstr>
      <vt:lpstr>vch904_2</vt:lpstr>
      <vt:lpstr>vch905_1</vt:lpstr>
      <vt:lpstr>vch905_2</vt:lpstr>
      <vt:lpstr>verAGFloorArea</vt:lpstr>
      <vt:lpstr>verAttachedGarage</vt:lpstr>
      <vt:lpstr>verAttic</vt:lpstr>
      <vt:lpstr>verBuilderName</vt:lpstr>
      <vt:lpstr>verBuildingCode</vt:lpstr>
      <vt:lpstr>verCDucts</vt:lpstr>
      <vt:lpstr>verCity</vt:lpstr>
      <vt:lpstr>verCool1</vt:lpstr>
      <vt:lpstr>verCool1Other</vt:lpstr>
      <vt:lpstr>verCool2</vt:lpstr>
      <vt:lpstr>verCool2Other</vt:lpstr>
      <vt:lpstr>verCool3</vt:lpstr>
      <vt:lpstr>verCool3Other</vt:lpstr>
      <vt:lpstr>verCounty</vt:lpstr>
      <vt:lpstr>verCToilet</vt:lpstr>
      <vt:lpstr>verDuctless</vt:lpstr>
      <vt:lpstr>verEnergyCode</vt:lpstr>
      <vt:lpstr>verFloors</vt:lpstr>
      <vt:lpstr>verFoundation</vt:lpstr>
      <vt:lpstr>verFuel</vt:lpstr>
      <vt:lpstr>verGoalLevel</vt:lpstr>
      <vt:lpstr>verHDucts</vt:lpstr>
      <vt:lpstr>verHERS</vt:lpstr>
      <vt:lpstr>verHomeAddress</vt:lpstr>
      <vt:lpstr>verHVAC1</vt:lpstr>
      <vt:lpstr>verHVAC1Other</vt:lpstr>
      <vt:lpstr>verHVAC2</vt:lpstr>
      <vt:lpstr>verHVAC2Other</vt:lpstr>
      <vt:lpstr>verHVAC3</vt:lpstr>
      <vt:lpstr>verHVAC3Other</vt:lpstr>
      <vt:lpstr>verLot</vt:lpstr>
      <vt:lpstr>verMassWalls</vt:lpstr>
      <vt:lpstr>verPassiveSolar</vt:lpstr>
      <vt:lpstr>verProjectDesc</vt:lpstr>
      <vt:lpstr>verProjectID</vt:lpstr>
      <vt:lpstr>verProjectName</vt:lpstr>
      <vt:lpstr>verRadiantHydronic</vt:lpstr>
      <vt:lpstr>verRecessedLighting</vt:lpstr>
      <vt:lpstr>verRenewable</vt:lpstr>
      <vt:lpstr>verSingleOrMulti</vt:lpstr>
      <vt:lpstr>VersionDate</vt:lpstr>
      <vt:lpstr>VersionNum</vt:lpstr>
      <vt:lpstr>versSHGC</vt:lpstr>
      <vt:lpstr>verStartError</vt:lpstr>
      <vt:lpstr>verState</vt:lpstr>
      <vt:lpstr>versUV</vt:lpstr>
      <vt:lpstr>verTCFloorArea</vt:lpstr>
      <vt:lpstr>verTEInsulation</vt:lpstr>
      <vt:lpstr>verTLWH</vt:lpstr>
      <vt:lpstr>verUnits</vt:lpstr>
      <vt:lpstr>verwdSHGC</vt:lpstr>
      <vt:lpstr>verwdUV</vt:lpstr>
      <vt:lpstr>verZIP</vt:lpstr>
      <vt:lpstr>vnt1001_1_1</vt:lpstr>
      <vt:lpstr>vnt1001_1_10</vt:lpstr>
      <vt:lpstr>vnt1001_1_11</vt:lpstr>
      <vt:lpstr>vnt1001_1_12</vt:lpstr>
      <vt:lpstr>vnt1001_1_13</vt:lpstr>
      <vt:lpstr>vnt1001_1_14</vt:lpstr>
      <vt:lpstr>vnt1001_1_15</vt:lpstr>
      <vt:lpstr>vnt1001_1_16</vt:lpstr>
      <vt:lpstr>vnt1001_1_17</vt:lpstr>
      <vt:lpstr>vnt1001_1_18</vt:lpstr>
      <vt:lpstr>vnt1001_1_19</vt:lpstr>
      <vt:lpstr>vnt1001_1_2</vt:lpstr>
      <vt:lpstr>vnt1001_1_20</vt:lpstr>
      <vt:lpstr>vnt1001_1_21</vt:lpstr>
      <vt:lpstr>vnt1001_1_22</vt:lpstr>
      <vt:lpstr>vnt1001_1_23</vt:lpstr>
      <vt:lpstr>vnt1001_1_24</vt:lpstr>
      <vt:lpstr>vnt1001_1_3</vt:lpstr>
      <vt:lpstr>vnt1001_1_4</vt:lpstr>
      <vt:lpstr>vnt1001_1_5</vt:lpstr>
      <vt:lpstr>vnt1001_1_6</vt:lpstr>
      <vt:lpstr>vnt1001_1_7</vt:lpstr>
      <vt:lpstr>vnt1001_1_8</vt:lpstr>
      <vt:lpstr>vnt1001_1_9</vt:lpstr>
      <vt:lpstr>vnt1001_2</vt:lpstr>
      <vt:lpstr>vnt1002_1_1</vt:lpstr>
      <vt:lpstr>vnt1002_1_2</vt:lpstr>
      <vt:lpstr>vnt1002_1_3</vt:lpstr>
      <vt:lpstr>vnt1002_1_4</vt:lpstr>
      <vt:lpstr>vnt1002_1_5</vt:lpstr>
      <vt:lpstr>vnt1002_1_6</vt:lpstr>
      <vt:lpstr>vnt1002_1_7</vt:lpstr>
      <vt:lpstr>vnt1002_1_8</vt:lpstr>
      <vt:lpstr>vnt1002_2_1</vt:lpstr>
      <vt:lpstr>vnt1002_2_10</vt:lpstr>
      <vt:lpstr>vnt1002_2_11</vt:lpstr>
      <vt:lpstr>vnt1002_2_2</vt:lpstr>
      <vt:lpstr>vnt1002_2_3</vt:lpstr>
      <vt:lpstr>vnt1002_2_4</vt:lpstr>
      <vt:lpstr>vnt1002_2_5</vt:lpstr>
      <vt:lpstr>vnt1002_2_6</vt:lpstr>
      <vt:lpstr>vnt1002_2_7</vt:lpstr>
      <vt:lpstr>vnt1002_2_8</vt:lpstr>
      <vt:lpstr>vnt1002_2_9</vt:lpstr>
      <vt:lpstr>vnt1002_3_1</vt:lpstr>
      <vt:lpstr>vnt1002_3_10</vt:lpstr>
      <vt:lpstr>vnt1002_3_2</vt:lpstr>
      <vt:lpstr>vnt1002_3_3</vt:lpstr>
      <vt:lpstr>vnt1002_3_4</vt:lpstr>
      <vt:lpstr>vnt1002_3_5</vt:lpstr>
      <vt:lpstr>vnt1002_3_6</vt:lpstr>
      <vt:lpstr>vnt1002_3_7</vt:lpstr>
      <vt:lpstr>vnt1002_3_8</vt:lpstr>
      <vt:lpstr>vnt1002_3_9</vt:lpstr>
      <vt:lpstr>vnt1002_4</vt:lpstr>
      <vt:lpstr>vnt1003_1_1</vt:lpstr>
      <vt:lpstr>vnt1003_1_2</vt:lpstr>
      <vt:lpstr>vnt1003_1_3</vt:lpstr>
      <vt:lpstr>vnt1004_1_1</vt:lpstr>
      <vt:lpstr>vnt1004_1_2</vt:lpstr>
      <vt:lpstr>vnt501_1</vt:lpstr>
      <vt:lpstr>vnt501_2</vt:lpstr>
      <vt:lpstr>vnt501_2_1</vt:lpstr>
      <vt:lpstr>vnt501_2_2</vt:lpstr>
      <vt:lpstr>vnt501_2_3</vt:lpstr>
      <vt:lpstr>vnt501_2_4</vt:lpstr>
      <vt:lpstr>vnt501_2_5</vt:lpstr>
      <vt:lpstr>vnt501_2_6</vt:lpstr>
      <vt:lpstr>vnt502_1</vt:lpstr>
      <vt:lpstr>vnt503_0</vt:lpstr>
      <vt:lpstr>vnt503_1</vt:lpstr>
      <vt:lpstr>vnt503_2</vt:lpstr>
      <vt:lpstr>vnt503_3</vt:lpstr>
      <vt:lpstr>vnt503_4</vt:lpstr>
      <vt:lpstr>vnt503_4_1</vt:lpstr>
      <vt:lpstr>vnt503_4_2</vt:lpstr>
      <vt:lpstr>vnt503_4_3</vt:lpstr>
      <vt:lpstr>vnt503_4_4</vt:lpstr>
      <vt:lpstr>vnt503_5</vt:lpstr>
      <vt:lpstr>vnt503_5_1</vt:lpstr>
      <vt:lpstr>vnt503_5_10</vt:lpstr>
      <vt:lpstr>vnt503_5_11</vt:lpstr>
      <vt:lpstr>vnt503_5_12</vt:lpstr>
      <vt:lpstr>vnt503_5_2</vt:lpstr>
      <vt:lpstr>vnt503_5_3</vt:lpstr>
      <vt:lpstr>vnt503_5_4</vt:lpstr>
      <vt:lpstr>vnt503_5_5</vt:lpstr>
      <vt:lpstr>vnt503_5_6</vt:lpstr>
      <vt:lpstr>vnt503_5_7</vt:lpstr>
      <vt:lpstr>vnt503_5_8</vt:lpstr>
      <vt:lpstr>vnt503_5_9</vt:lpstr>
      <vt:lpstr>vnt503_6</vt:lpstr>
      <vt:lpstr>vnt503_7</vt:lpstr>
      <vt:lpstr>vnt503_8</vt:lpstr>
      <vt:lpstr>vnt504_1</vt:lpstr>
      <vt:lpstr>vnt504_2</vt:lpstr>
      <vt:lpstr>vnt504_3</vt:lpstr>
      <vt:lpstr>vnt504_3_1</vt:lpstr>
      <vt:lpstr>vnt504_3_2</vt:lpstr>
      <vt:lpstr>vnt504_3_3</vt:lpstr>
      <vt:lpstr>vnt504_3_4</vt:lpstr>
      <vt:lpstr>vnt504_3_5</vt:lpstr>
      <vt:lpstr>vnt504_3_6</vt:lpstr>
      <vt:lpstr>vnt504_3_7</vt:lpstr>
      <vt:lpstr>vnt504_3_8</vt:lpstr>
      <vt:lpstr>vnt504_3_9</vt:lpstr>
      <vt:lpstr>vnt505_1_1</vt:lpstr>
      <vt:lpstr>vnt505_1_2</vt:lpstr>
      <vt:lpstr>vnt505_1_3</vt:lpstr>
      <vt:lpstr>vnt505_1_4</vt:lpstr>
      <vt:lpstr>vnt505_2_1</vt:lpstr>
      <vt:lpstr>vnt505_2_2</vt:lpstr>
      <vt:lpstr>vnt505_3</vt:lpstr>
      <vt:lpstr>vnt505_4</vt:lpstr>
      <vt:lpstr>vnt505_5</vt:lpstr>
      <vt:lpstr>vnt505_6</vt:lpstr>
      <vt:lpstr>vnt601_1</vt:lpstr>
      <vt:lpstr>vnt601_2_1</vt:lpstr>
      <vt:lpstr>vnt601_2_2</vt:lpstr>
      <vt:lpstr>vnt601_2_3</vt:lpstr>
      <vt:lpstr>vnt601_3_1</vt:lpstr>
      <vt:lpstr>vnt601_3_2</vt:lpstr>
      <vt:lpstr>vnt601_3_3</vt:lpstr>
      <vt:lpstr>vnt601_3_4</vt:lpstr>
      <vt:lpstr>vnt601_3_5</vt:lpstr>
      <vt:lpstr>vnt601_4</vt:lpstr>
      <vt:lpstr>vnt601_5_1</vt:lpstr>
      <vt:lpstr>vnt601_5_2</vt:lpstr>
      <vt:lpstr>vnt601_5_3</vt:lpstr>
      <vt:lpstr>vnt601_5_4</vt:lpstr>
      <vt:lpstr>vnt601_5_5</vt:lpstr>
      <vt:lpstr>vnt601_6</vt:lpstr>
      <vt:lpstr>vnt601_7</vt:lpstr>
      <vt:lpstr>vnt601_8</vt:lpstr>
      <vt:lpstr>vnt601_9</vt:lpstr>
      <vt:lpstr>vnt602_1_1_1</vt:lpstr>
      <vt:lpstr>vnt602_1_1_2</vt:lpstr>
      <vt:lpstr>vnt602_1_10</vt:lpstr>
      <vt:lpstr>vnt602_1_11</vt:lpstr>
      <vt:lpstr>vnt602_1_12</vt:lpstr>
      <vt:lpstr>vnt602_1_13</vt:lpstr>
      <vt:lpstr>vnt602_1_14_1</vt:lpstr>
      <vt:lpstr>vnt602_1_14_2</vt:lpstr>
      <vt:lpstr>vnt602_1_14_3</vt:lpstr>
      <vt:lpstr>vnt602_1_2</vt:lpstr>
      <vt:lpstr>vnt602_1_3_1</vt:lpstr>
      <vt:lpstr>vnt602_1_3_2</vt:lpstr>
      <vt:lpstr>vnt602_1_4_1_1</vt:lpstr>
      <vt:lpstr>vnt602_1_4_1_2</vt:lpstr>
      <vt:lpstr>vnt602_1_4_2_1</vt:lpstr>
      <vt:lpstr>vnt602_1_4_2_2</vt:lpstr>
      <vt:lpstr>vnt602_1_5</vt:lpstr>
      <vt:lpstr>vnt602_1_6_1</vt:lpstr>
      <vt:lpstr>vnt602_1_7_1_1</vt:lpstr>
      <vt:lpstr>vnt602_1_7_1_2</vt:lpstr>
      <vt:lpstr>vnt602_1_7_1_3</vt:lpstr>
      <vt:lpstr>vnt602_1_7_2</vt:lpstr>
      <vt:lpstr>vnt602_1_7_3</vt:lpstr>
      <vt:lpstr>vnt602_1_8</vt:lpstr>
      <vt:lpstr>vnt602_1_9_1</vt:lpstr>
      <vt:lpstr>vnt602_1_9_2</vt:lpstr>
      <vt:lpstr>vnt602_1_9_3</vt:lpstr>
      <vt:lpstr>vnt602_1_9_4</vt:lpstr>
      <vt:lpstr>vnt602_1_9_5</vt:lpstr>
      <vt:lpstr>vnt602_1_9_6</vt:lpstr>
      <vt:lpstr>vnt602_1_9_7</vt:lpstr>
      <vt:lpstr>vnt602_2_1</vt:lpstr>
      <vt:lpstr>vnt602_2_2</vt:lpstr>
      <vt:lpstr>vnt602_2_3</vt:lpstr>
      <vt:lpstr>vnt602_3</vt:lpstr>
      <vt:lpstr>vnt602_4_1</vt:lpstr>
      <vt:lpstr>vnt602_4_2</vt:lpstr>
      <vt:lpstr>vnt602_4_3</vt:lpstr>
      <vt:lpstr>vnt603_1</vt:lpstr>
      <vt:lpstr>vnt603_2</vt:lpstr>
      <vt:lpstr>vnt603_3</vt:lpstr>
      <vt:lpstr>vnt604_1a</vt:lpstr>
      <vt:lpstr>vnt604_1b</vt:lpstr>
      <vt:lpstr>vnt604_1c</vt:lpstr>
      <vt:lpstr>vnt604_1d</vt:lpstr>
      <vt:lpstr>vnt605_1</vt:lpstr>
      <vt:lpstr>vnt605_2</vt:lpstr>
      <vt:lpstr>vnt605_3_2_a</vt:lpstr>
      <vt:lpstr>vnt605_3_2_h</vt:lpstr>
      <vt:lpstr>vnt605_3_2_i</vt:lpstr>
      <vt:lpstr>vnt606_1_a</vt:lpstr>
      <vt:lpstr>vnt606_2_1a</vt:lpstr>
      <vt:lpstr>vnt606_2_1b</vt:lpstr>
      <vt:lpstr>vnt606_2_2a</vt:lpstr>
      <vt:lpstr>vnt606_2_2b</vt:lpstr>
      <vt:lpstr>vnt606_3</vt:lpstr>
      <vt:lpstr>vnt607_1_1</vt:lpstr>
      <vt:lpstr>vnt607_1_2</vt:lpstr>
      <vt:lpstr>vnt607_2</vt:lpstr>
      <vt:lpstr>vnt608_1</vt:lpstr>
      <vt:lpstr>vnt609_1a</vt:lpstr>
      <vt:lpstr>vnt609_1b</vt:lpstr>
      <vt:lpstr>vnt610_1_1_1</vt:lpstr>
      <vt:lpstr>vnt610_1_1_2</vt:lpstr>
      <vt:lpstr>vnt610_1_1_3</vt:lpstr>
      <vt:lpstr>vnt610_1_2_1</vt:lpstr>
      <vt:lpstr>vnt610_1_2_1_e</vt:lpstr>
      <vt:lpstr>vnt610_1_2_2_e</vt:lpstr>
      <vt:lpstr>vnt610_1_2_2a</vt:lpstr>
      <vt:lpstr>vnt610_1_2_2b</vt:lpstr>
      <vt:lpstr>vnt610_1_2_2c</vt:lpstr>
      <vt:lpstr>vnt611_1</vt:lpstr>
      <vt:lpstr>vnt611_2_1</vt:lpstr>
      <vt:lpstr>vnt611_2_2</vt:lpstr>
      <vt:lpstr>vnt611_2_3</vt:lpstr>
      <vt:lpstr>vnt611_2_4</vt:lpstr>
      <vt:lpstr>vnt611_2_5</vt:lpstr>
      <vt:lpstr>vnt611_2_6</vt:lpstr>
      <vt:lpstr>vnt611_2_7</vt:lpstr>
      <vt:lpstr>vnt611_3_1</vt:lpstr>
      <vt:lpstr>vnt611_3_2</vt:lpstr>
      <vt:lpstr>vnt611_3_3</vt:lpstr>
      <vt:lpstr>vnt611_3_4</vt:lpstr>
      <vt:lpstr>vnt611_3_5</vt:lpstr>
      <vt:lpstr>vnt611_3_6</vt:lpstr>
      <vt:lpstr>vnt611_3_7</vt:lpstr>
      <vt:lpstr>vnt611_3_8</vt:lpstr>
      <vt:lpstr>vnt611_3_9</vt:lpstr>
      <vt:lpstr>vnt611_4_1</vt:lpstr>
      <vt:lpstr>vnt611_4_2</vt:lpstr>
      <vt:lpstr>vnt701_1_</vt:lpstr>
      <vt:lpstr>vnt701_1_1</vt:lpstr>
      <vt:lpstr>vnt701_1_2</vt:lpstr>
      <vt:lpstr>vnt701_1_3</vt:lpstr>
      <vt:lpstr>vnt701_1_4</vt:lpstr>
      <vt:lpstr>vnt701_3</vt:lpstr>
      <vt:lpstr>vnt701_4_1</vt:lpstr>
      <vt:lpstr>vnt701_4_1_1</vt:lpstr>
      <vt:lpstr>vnt701_4_1_2</vt:lpstr>
      <vt:lpstr>vnt701_4_2_2</vt:lpstr>
      <vt:lpstr>vnt701_4_2_3</vt:lpstr>
      <vt:lpstr>vnt701_4_3_1</vt:lpstr>
      <vt:lpstr>vnt701_4_3_1_a</vt:lpstr>
      <vt:lpstr>vnt701_4_3_1_b</vt:lpstr>
      <vt:lpstr>vnt701_4_3_1_c</vt:lpstr>
      <vt:lpstr>vnt701_4_3_1_d</vt:lpstr>
      <vt:lpstr>vnt701_4_3_1_e</vt:lpstr>
      <vt:lpstr>vnt701_4_3_1_f</vt:lpstr>
      <vt:lpstr>vnt701_4_3_1_g</vt:lpstr>
      <vt:lpstr>vnt701_4_3_1_h</vt:lpstr>
      <vt:lpstr>vnt701_4_3_1_i</vt:lpstr>
      <vt:lpstr>vnt701_4_3_1_j</vt:lpstr>
      <vt:lpstr>vnt701_4_3_1_k</vt:lpstr>
      <vt:lpstr>vnt701_4_3_1_l</vt:lpstr>
      <vt:lpstr>vnt701_4_3_2_1_</vt:lpstr>
      <vt:lpstr>vnt701_4_3_2_1_1</vt:lpstr>
      <vt:lpstr>vnt701_4_3_2_1_10</vt:lpstr>
      <vt:lpstr>vnt701_4_3_2_1_11</vt:lpstr>
      <vt:lpstr>vnt701_4_3_2_1_2</vt:lpstr>
      <vt:lpstr>vnt701_4_3_2_1_3</vt:lpstr>
      <vt:lpstr>vnt701_4_3_2_1_4</vt:lpstr>
      <vt:lpstr>vnt701_4_3_2_1_5</vt:lpstr>
      <vt:lpstr>vnt701_4_3_2_1_6</vt:lpstr>
      <vt:lpstr>vnt701_4_3_2_1_7</vt:lpstr>
      <vt:lpstr>vnt701_4_3_2_1_8</vt:lpstr>
      <vt:lpstr>vnt701_4_3_2_1_9</vt:lpstr>
      <vt:lpstr>vnt701_4_3_2_1_a</vt:lpstr>
      <vt:lpstr>vnt701_4_3_2_1_b</vt:lpstr>
      <vt:lpstr>vnt701_4_3_2_1_c</vt:lpstr>
      <vt:lpstr>vnt701_4_3_2_1_d</vt:lpstr>
      <vt:lpstr>vnt701_4_3_2_1_e</vt:lpstr>
      <vt:lpstr>vnt701_4_3_2_1_f</vt:lpstr>
      <vt:lpstr>vnt701_4_3_2_1_g</vt:lpstr>
      <vt:lpstr>vnt701_4_3_2_1_h</vt:lpstr>
      <vt:lpstr>vnt701_4_3_2_2</vt:lpstr>
      <vt:lpstr>vnt701_4_3_2e</vt:lpstr>
      <vt:lpstr>vnt701_4_3_3_3</vt:lpstr>
      <vt:lpstr>vnt701_4_3_3_4</vt:lpstr>
      <vt:lpstr>vnt701_4_3_3_5</vt:lpstr>
      <vt:lpstr>vnt701_4_4_1</vt:lpstr>
      <vt:lpstr>vnt701_4_4_2</vt:lpstr>
      <vt:lpstr>vnt701_4_5</vt:lpstr>
      <vt:lpstr>vnt702_2_1</vt:lpstr>
      <vt:lpstr>vnt702_2_2</vt:lpstr>
      <vt:lpstr>vnt702_2_2_m</vt:lpstr>
      <vt:lpstr>vnt702_2_3</vt:lpstr>
      <vt:lpstr>vnt703_1_1</vt:lpstr>
      <vt:lpstr>vnt703_1_2</vt:lpstr>
      <vt:lpstr>vnt703_1_3</vt:lpstr>
      <vt:lpstr>vnt703_2_1</vt:lpstr>
      <vt:lpstr>vnt703_2_2</vt:lpstr>
      <vt:lpstr>vnt703_2_3</vt:lpstr>
      <vt:lpstr>vnt703_2_4</vt:lpstr>
      <vt:lpstr>vnt703_2_5_1</vt:lpstr>
      <vt:lpstr>vnt703_2_5_1_1</vt:lpstr>
      <vt:lpstr>vnt703_2_5_2</vt:lpstr>
      <vt:lpstr>vnt703_2_5_2_1</vt:lpstr>
      <vt:lpstr>vnt703_3_0_1</vt:lpstr>
      <vt:lpstr>vnt703_3_0_2</vt:lpstr>
      <vt:lpstr>vnt703_3_1</vt:lpstr>
      <vt:lpstr>vnt703_3_2__1</vt:lpstr>
      <vt:lpstr>vnt703_3_2__2</vt:lpstr>
      <vt:lpstr>vnt703_3_2__3</vt:lpstr>
      <vt:lpstr>vnt703_3_2__4</vt:lpstr>
      <vt:lpstr>vnt703_3_3__1</vt:lpstr>
      <vt:lpstr>vnt703_3_3__3</vt:lpstr>
      <vt:lpstr>vnt703_3_4_1</vt:lpstr>
      <vt:lpstr>vnt703_3_4_1_5</vt:lpstr>
      <vt:lpstr>vnt703_3_4_2</vt:lpstr>
      <vt:lpstr>vnt703_3_5</vt:lpstr>
      <vt:lpstr>vnt703_3_6</vt:lpstr>
      <vt:lpstr>vnt703_3_7_1</vt:lpstr>
      <vt:lpstr>vnt703_3_8</vt:lpstr>
      <vt:lpstr>vnt703_4_1</vt:lpstr>
      <vt:lpstr>vnt703_4_2</vt:lpstr>
      <vt:lpstr>vnt703_4_3_1</vt:lpstr>
      <vt:lpstr>vnt703_4_3_2</vt:lpstr>
      <vt:lpstr>vnt703_4_3_3</vt:lpstr>
      <vt:lpstr>vnt703_4_4</vt:lpstr>
      <vt:lpstr>vnt703_5_1</vt:lpstr>
      <vt:lpstr>vnt703_5_2</vt:lpstr>
      <vt:lpstr>vnt703_5_3</vt:lpstr>
      <vt:lpstr>vnt703_5_4</vt:lpstr>
      <vt:lpstr>vnt703_5_5</vt:lpstr>
      <vt:lpstr>vnt703_6_1_1</vt:lpstr>
      <vt:lpstr>vnt703_6_1_2</vt:lpstr>
      <vt:lpstr>vnt703_6_1_3</vt:lpstr>
      <vt:lpstr>vnt703_6_2__1</vt:lpstr>
      <vt:lpstr>vnt703_6_2__2</vt:lpstr>
      <vt:lpstr>vnt703_6_2__3</vt:lpstr>
      <vt:lpstr>vnt703_7_1</vt:lpstr>
      <vt:lpstr>vnt703_7_1_1</vt:lpstr>
      <vt:lpstr>vnt703_7_1_2</vt:lpstr>
      <vt:lpstr>vnt703_7_1_3</vt:lpstr>
      <vt:lpstr>vnt703_7_1_4</vt:lpstr>
      <vt:lpstr>vnt703_7_1_5</vt:lpstr>
      <vt:lpstr>vnt703_7_1_6_a</vt:lpstr>
      <vt:lpstr>vnt703_7_1_6_b</vt:lpstr>
      <vt:lpstr>vnt703_7_1_6_c</vt:lpstr>
      <vt:lpstr>vnt703_7_1_7</vt:lpstr>
      <vt:lpstr>vnt703_7_1_8</vt:lpstr>
      <vt:lpstr>vnt703_7_1_9</vt:lpstr>
      <vt:lpstr>vnt703_7_2</vt:lpstr>
      <vt:lpstr>vnt703_7_3_1_a</vt:lpstr>
      <vt:lpstr>vnt703_7_3_1_b</vt:lpstr>
      <vt:lpstr>vnt703_7_3_1_c</vt:lpstr>
      <vt:lpstr>vnt703_7_3_1_d</vt:lpstr>
      <vt:lpstr>vnt703_7_3_2</vt:lpstr>
      <vt:lpstr>vnt703_7_3_3</vt:lpstr>
      <vt:lpstr>vnt703_7_3_4</vt:lpstr>
      <vt:lpstr>vnt703_7_3_5_a</vt:lpstr>
      <vt:lpstr>vnt703_7_3_5_b</vt:lpstr>
      <vt:lpstr>vnt703_7_3_6</vt:lpstr>
      <vt:lpstr>vnt703_7_4_1</vt:lpstr>
      <vt:lpstr>vnt703_7_4_2_a</vt:lpstr>
      <vt:lpstr>vnt703_7_4_2_b</vt:lpstr>
      <vt:lpstr>vnt703_7_4_2_c</vt:lpstr>
      <vt:lpstr>vnt703_7_4_3</vt:lpstr>
      <vt:lpstr>vnt704_1</vt:lpstr>
      <vt:lpstr>vnt705_2_1_1</vt:lpstr>
      <vt:lpstr>vnt705_2_1_2</vt:lpstr>
      <vt:lpstr>vnt705_2_1_3_1</vt:lpstr>
      <vt:lpstr>vnt705_2_1_3_2</vt:lpstr>
      <vt:lpstr>vnt705_2_1_4</vt:lpstr>
      <vt:lpstr>vnt705_2_2</vt:lpstr>
      <vt:lpstr>vnt705_2_3</vt:lpstr>
      <vt:lpstr>vnt705_2_4</vt:lpstr>
      <vt:lpstr>vnt705_3</vt:lpstr>
      <vt:lpstr>vnt705_4</vt:lpstr>
      <vt:lpstr>vnt705_5_1</vt:lpstr>
      <vt:lpstr>vnt705_5_2</vt:lpstr>
      <vt:lpstr>vnt705_5_2_1</vt:lpstr>
      <vt:lpstr>vnt705_5_2_2</vt:lpstr>
      <vt:lpstr>vnt705_5_2_3</vt:lpstr>
      <vt:lpstr>vnt705_5_2_4</vt:lpstr>
      <vt:lpstr>vnt705_5_2_5</vt:lpstr>
      <vt:lpstr>vnt705_5_2_6</vt:lpstr>
      <vt:lpstr>vnt705_6_1</vt:lpstr>
      <vt:lpstr>vnt705_6_2_1_1</vt:lpstr>
      <vt:lpstr>vnt705_6_2_1_1_1</vt:lpstr>
      <vt:lpstr>vnt705_6_2_1_2</vt:lpstr>
      <vt:lpstr>vnt705_6_2_2</vt:lpstr>
      <vt:lpstr>vnt705_6_2_3</vt:lpstr>
      <vt:lpstr>vnt705_6_3_a</vt:lpstr>
      <vt:lpstr>vnt705_6_3_b</vt:lpstr>
      <vt:lpstr>vnt705_6_3_c</vt:lpstr>
      <vt:lpstr>vnt705_6_3_d</vt:lpstr>
      <vt:lpstr>vnt705_6_3_e</vt:lpstr>
      <vt:lpstr>vnt705_6_3_f</vt:lpstr>
      <vt:lpstr>vnt705_6_3_g</vt:lpstr>
      <vt:lpstr>vnt705_6_4_1</vt:lpstr>
      <vt:lpstr>vnt705_6_4_2</vt:lpstr>
      <vt:lpstr>vnt705_7</vt:lpstr>
      <vt:lpstr>vnt706_1_1</vt:lpstr>
      <vt:lpstr>vnt706_1_2</vt:lpstr>
      <vt:lpstr>vnt706_1_3</vt:lpstr>
      <vt:lpstr>vnt706_1_4</vt:lpstr>
      <vt:lpstr>vnt706_1_5</vt:lpstr>
      <vt:lpstr>vnt706_2_1</vt:lpstr>
      <vt:lpstr>vnt706_2_2</vt:lpstr>
      <vt:lpstr>vnt706_3</vt:lpstr>
      <vt:lpstr>vnt706_3_1</vt:lpstr>
      <vt:lpstr>vnt706_3_2</vt:lpstr>
      <vt:lpstr>vnt706_3_3</vt:lpstr>
      <vt:lpstr>vnt706_3_4</vt:lpstr>
      <vt:lpstr>vnt706_3_5</vt:lpstr>
      <vt:lpstr>vnt706_3_6</vt:lpstr>
      <vt:lpstr>vnt706_3_7</vt:lpstr>
      <vt:lpstr>vnt706_3_8</vt:lpstr>
      <vt:lpstr>vnt706_4_1_1</vt:lpstr>
      <vt:lpstr>vnt706_4_1_2</vt:lpstr>
      <vt:lpstr>vnt706_4_2</vt:lpstr>
      <vt:lpstr>vnt706_5</vt:lpstr>
      <vt:lpstr>vnt706_6</vt:lpstr>
      <vt:lpstr>vnt706_7_1</vt:lpstr>
      <vt:lpstr>vnt706_7_2</vt:lpstr>
      <vt:lpstr>vnt706_8</vt:lpstr>
      <vt:lpstr>vnt706_9</vt:lpstr>
      <vt:lpstr>vnt801_1_1</vt:lpstr>
      <vt:lpstr>vnt801_1_5</vt:lpstr>
      <vt:lpstr>vnt801_1_6</vt:lpstr>
      <vt:lpstr>vnt801_2_1</vt:lpstr>
      <vt:lpstr>vnt801_2_2</vt:lpstr>
      <vt:lpstr>vnt801_3_1</vt:lpstr>
      <vt:lpstr>vnt801_3_2</vt:lpstr>
      <vt:lpstr>vnt801_3_3</vt:lpstr>
      <vt:lpstr>vnt801_4_1_1</vt:lpstr>
      <vt:lpstr>vnt801_4_1_2</vt:lpstr>
      <vt:lpstr>vnt801_4_2</vt:lpstr>
      <vt:lpstr>vnt801_5_1</vt:lpstr>
      <vt:lpstr>vnt801_5_2</vt:lpstr>
      <vt:lpstr>vnt801_5_3</vt:lpstr>
      <vt:lpstr>vnt801_5_4_a</vt:lpstr>
      <vt:lpstr>vnt801_5_4_b</vt:lpstr>
      <vt:lpstr>vnt801_5_4_c</vt:lpstr>
      <vt:lpstr>vnt801_6_1</vt:lpstr>
      <vt:lpstr>vnt801_6_2_1</vt:lpstr>
      <vt:lpstr>vnt801_6_2_2</vt:lpstr>
      <vt:lpstr>vnt801_6_2_3</vt:lpstr>
      <vt:lpstr>vnt801_6_3</vt:lpstr>
      <vt:lpstr>vnt801_6_4_1</vt:lpstr>
      <vt:lpstr>vnt801_6_4_2</vt:lpstr>
      <vt:lpstr>vnt801_6_4_3</vt:lpstr>
      <vt:lpstr>vnt801_6_5</vt:lpstr>
      <vt:lpstr>vnt801_7_1</vt:lpstr>
      <vt:lpstr>vnt801_7_2_1</vt:lpstr>
      <vt:lpstr>vnt801_7_2_2</vt:lpstr>
      <vt:lpstr>vnt801_8</vt:lpstr>
      <vt:lpstr>vnt802_1_1</vt:lpstr>
      <vt:lpstr>vnt802_1_2</vt:lpstr>
      <vt:lpstr>vnt802_2</vt:lpstr>
      <vt:lpstr>vnt802_3_1</vt:lpstr>
      <vt:lpstr>vnt802_3_2</vt:lpstr>
      <vt:lpstr>vnt802_4</vt:lpstr>
      <vt:lpstr>vnt802_5</vt:lpstr>
      <vt:lpstr>vnt802_6</vt:lpstr>
      <vt:lpstr>vnt901_1_1</vt:lpstr>
      <vt:lpstr>vnt901_1_2</vt:lpstr>
      <vt:lpstr>vnt901_1_3_1</vt:lpstr>
      <vt:lpstr>vnt901_1_3_2</vt:lpstr>
      <vt:lpstr>vnt901_1_4</vt:lpstr>
      <vt:lpstr>vnt901_1_5</vt:lpstr>
      <vt:lpstr>vnt901_1_6</vt:lpstr>
      <vt:lpstr>vnt901_10_1</vt:lpstr>
      <vt:lpstr>vnt901_10_2</vt:lpstr>
      <vt:lpstr>vnt901_10_3</vt:lpstr>
      <vt:lpstr>vnt901_11</vt:lpstr>
      <vt:lpstr>vnt901_12</vt:lpstr>
      <vt:lpstr>vnt901_13</vt:lpstr>
      <vt:lpstr>vnt901_14_1</vt:lpstr>
      <vt:lpstr>vnt901_14_2</vt:lpstr>
      <vt:lpstr>vnt901_2_1_1</vt:lpstr>
      <vt:lpstr>vnt901_2_1_2</vt:lpstr>
      <vt:lpstr>vnt901_2_1_3</vt:lpstr>
      <vt:lpstr>vnt901_2_1_4</vt:lpstr>
      <vt:lpstr>vnt901_2_1_5</vt:lpstr>
      <vt:lpstr>vnt901_2_2</vt:lpstr>
      <vt:lpstr>vnt901_3_1_a</vt:lpstr>
      <vt:lpstr>vnt901_3_1_b</vt:lpstr>
      <vt:lpstr>vnt901_3_1_c</vt:lpstr>
      <vt:lpstr>vnt901_3_2</vt:lpstr>
      <vt:lpstr>vnt901_4_1</vt:lpstr>
      <vt:lpstr>vnt901_4_a</vt:lpstr>
      <vt:lpstr>vnt901_5_1</vt:lpstr>
      <vt:lpstr>vnt901_5_2</vt:lpstr>
      <vt:lpstr>vnt901_6</vt:lpstr>
      <vt:lpstr>vnt901_7_1</vt:lpstr>
      <vt:lpstr>vnt901_7_2</vt:lpstr>
      <vt:lpstr>vnt901_8</vt:lpstr>
      <vt:lpstr>vnt901_9</vt:lpstr>
      <vt:lpstr>vnt901_9_1_1</vt:lpstr>
      <vt:lpstr>vnt901_9_1_2</vt:lpstr>
      <vt:lpstr>vnt901_9_1_3</vt:lpstr>
      <vt:lpstr>vnt901_9_2</vt:lpstr>
      <vt:lpstr>vnt901_9_3</vt:lpstr>
      <vt:lpstr>vnt902_1_1</vt:lpstr>
      <vt:lpstr>vnt902_1_1_a</vt:lpstr>
      <vt:lpstr>vnt902_1_2</vt:lpstr>
      <vt:lpstr>vnt902_1_2_</vt:lpstr>
      <vt:lpstr>vnt902_1_3</vt:lpstr>
      <vt:lpstr>vnt902_1_3_</vt:lpstr>
      <vt:lpstr>vnt902_1_4</vt:lpstr>
      <vt:lpstr>vnt902_1_5_1</vt:lpstr>
      <vt:lpstr>vnt902_1_5_2</vt:lpstr>
      <vt:lpstr>vnt902_1_5_3</vt:lpstr>
      <vt:lpstr>vnt902_2_1</vt:lpstr>
      <vt:lpstr>vnt902_2_2</vt:lpstr>
      <vt:lpstr>vnt902_2_3</vt:lpstr>
      <vt:lpstr>vnt902_2_4</vt:lpstr>
      <vt:lpstr>vnt902_3</vt:lpstr>
      <vt:lpstr>vnt902_4_1</vt:lpstr>
      <vt:lpstr>vnt902_4_2</vt:lpstr>
      <vt:lpstr>vnt902_5</vt:lpstr>
      <vt:lpstr>vnt902_6</vt:lpstr>
      <vt:lpstr>vnt903_1</vt:lpstr>
      <vt:lpstr>vnt903_2</vt:lpstr>
      <vt:lpstr>vnt903_3</vt:lpstr>
      <vt:lpstr>vnt904_1</vt:lpstr>
      <vt:lpstr>vnt904_2</vt:lpstr>
      <vt:lpstr>vnt905_1</vt:lpstr>
      <vt:lpstr>vnt905_2</vt:lpstr>
      <vt:lpstr>vpa1001_1</vt:lpstr>
      <vt:lpstr>vpa1001_1_1</vt:lpstr>
      <vt:lpstr>vpa1001_1_2</vt:lpstr>
      <vt:lpstr>vpa1001_1_3</vt:lpstr>
      <vt:lpstr>vpa1001_2</vt:lpstr>
      <vt:lpstr>vpa1002_1</vt:lpstr>
      <vt:lpstr>vpa1002_1_1</vt:lpstr>
      <vt:lpstr>vpa1002_1_2</vt:lpstr>
      <vt:lpstr>vpa1002_1_3</vt:lpstr>
      <vt:lpstr>vpa1002_2</vt:lpstr>
      <vt:lpstr>vpa1002_2_1</vt:lpstr>
      <vt:lpstr>vpa1002_2_2</vt:lpstr>
      <vt:lpstr>vpa1002_3</vt:lpstr>
      <vt:lpstr>vpa1002_3_1</vt:lpstr>
      <vt:lpstr>vpa1002_4</vt:lpstr>
      <vt:lpstr>vpa1003_1</vt:lpstr>
      <vt:lpstr>vpa1003_1_1</vt:lpstr>
      <vt:lpstr>vpa1003_1_2</vt:lpstr>
      <vt:lpstr>vpa1003_1_3</vt:lpstr>
      <vt:lpstr>vpa1004_1_1</vt:lpstr>
      <vt:lpstr>vpa1004_1_2</vt:lpstr>
      <vt:lpstr>vpa501_1_1</vt:lpstr>
      <vt:lpstr>vpa501_1_2_a</vt:lpstr>
      <vt:lpstr>vpa501_1_2_b</vt:lpstr>
      <vt:lpstr>vpa501_1_2_c</vt:lpstr>
      <vt:lpstr>vpa501_2_1</vt:lpstr>
      <vt:lpstr>vpa501_2_2</vt:lpstr>
      <vt:lpstr>vpa501_2_3</vt:lpstr>
      <vt:lpstr>vpa501_2_4</vt:lpstr>
      <vt:lpstr>vpa501_2_5</vt:lpstr>
      <vt:lpstr>vpa501_2_6_a</vt:lpstr>
      <vt:lpstr>vpa501_2_6_b</vt:lpstr>
      <vt:lpstr>vpa501_2_6_c</vt:lpstr>
      <vt:lpstr>vpa502_1</vt:lpstr>
      <vt:lpstr>vpa503_1_1</vt:lpstr>
      <vt:lpstr>vpa503_1_2</vt:lpstr>
      <vt:lpstr>vpa503_1_3</vt:lpstr>
      <vt:lpstr>vpa503_1_4</vt:lpstr>
      <vt:lpstr>vpa503_1_5</vt:lpstr>
      <vt:lpstr>vpa503_1_6</vt:lpstr>
      <vt:lpstr>vpa503_1_7</vt:lpstr>
      <vt:lpstr>vpa503_2_1</vt:lpstr>
      <vt:lpstr>vpa503_2_2</vt:lpstr>
      <vt:lpstr>vpa503_2_3_a</vt:lpstr>
      <vt:lpstr>vpa503_2_3_b</vt:lpstr>
      <vt:lpstr>vpa503_2_3_c</vt:lpstr>
      <vt:lpstr>vpa503_2_4</vt:lpstr>
      <vt:lpstr>vpa503_2_5</vt:lpstr>
      <vt:lpstr>vpa503_3_1</vt:lpstr>
      <vt:lpstr>vpa503_3_2</vt:lpstr>
      <vt:lpstr>vpa503_3_3</vt:lpstr>
      <vt:lpstr>vpa503_4_1</vt:lpstr>
      <vt:lpstr>vpa503_4_2</vt:lpstr>
      <vt:lpstr>vpa503_4_3_a</vt:lpstr>
      <vt:lpstr>vpa503_4_3_b</vt:lpstr>
      <vt:lpstr>vpa503_4_3_c</vt:lpstr>
      <vt:lpstr>vpa503_4_4_a</vt:lpstr>
      <vt:lpstr>vpa503_4_4_b</vt:lpstr>
      <vt:lpstr>vpa503_4_4_c</vt:lpstr>
      <vt:lpstr>vpa503_5_1_a</vt:lpstr>
      <vt:lpstr>vpa503_5_1_b</vt:lpstr>
      <vt:lpstr>vpa503_5_1_c</vt:lpstr>
      <vt:lpstr>vpa503_5_1_d</vt:lpstr>
      <vt:lpstr>vpa503_5_10</vt:lpstr>
      <vt:lpstr>vpa503_5_11</vt:lpstr>
      <vt:lpstr>vpa503_5_12</vt:lpstr>
      <vt:lpstr>vpa503_5_2</vt:lpstr>
      <vt:lpstr>vpa503_5_3</vt:lpstr>
      <vt:lpstr>vpa503_5_4</vt:lpstr>
      <vt:lpstr>vpa503_5_5_a</vt:lpstr>
      <vt:lpstr>vpa503_5_5_b</vt:lpstr>
      <vt:lpstr>vpa503_5_5_c</vt:lpstr>
      <vt:lpstr>vpa503_5_5_d</vt:lpstr>
      <vt:lpstr>vpa503_5_6</vt:lpstr>
      <vt:lpstr>vpa503_5_7</vt:lpstr>
      <vt:lpstr>vpa503_5_8</vt:lpstr>
      <vt:lpstr>vpa503_5_9</vt:lpstr>
      <vt:lpstr>vpa503_6_1</vt:lpstr>
      <vt:lpstr>vpa503_6_2</vt:lpstr>
      <vt:lpstr>vpa503_6_3</vt:lpstr>
      <vt:lpstr>vpa503_6_4</vt:lpstr>
      <vt:lpstr>vpa503_7_1</vt:lpstr>
      <vt:lpstr>vpa503_7_2</vt:lpstr>
      <vt:lpstr>vpa503_8</vt:lpstr>
      <vt:lpstr>vpa504_1</vt:lpstr>
      <vt:lpstr>vpa504_2_1</vt:lpstr>
      <vt:lpstr>vpa504_2_2</vt:lpstr>
      <vt:lpstr>vpa504_2_3</vt:lpstr>
      <vt:lpstr>vpa504_3_1</vt:lpstr>
      <vt:lpstr>vpa504_3_2</vt:lpstr>
      <vt:lpstr>vpa504_3_3</vt:lpstr>
      <vt:lpstr>vpa504_3_4</vt:lpstr>
      <vt:lpstr>vpa504_3_5</vt:lpstr>
      <vt:lpstr>vpa504_3_6</vt:lpstr>
      <vt:lpstr>vpa504_3_7</vt:lpstr>
      <vt:lpstr>vpa504_3_8</vt:lpstr>
      <vt:lpstr>vpa504_3_9</vt:lpstr>
      <vt:lpstr>vpa505_1_1</vt:lpstr>
      <vt:lpstr>vpa505_1_2</vt:lpstr>
      <vt:lpstr>vpa505_1_3_a</vt:lpstr>
      <vt:lpstr>vpa505_1_3_b</vt:lpstr>
      <vt:lpstr>vpa505_1_3_c</vt:lpstr>
      <vt:lpstr>vpa505_1_4_a</vt:lpstr>
      <vt:lpstr>vpa505_1_4_b</vt:lpstr>
      <vt:lpstr>vpa505_1_4_c</vt:lpstr>
      <vt:lpstr>vpa505_2_1</vt:lpstr>
      <vt:lpstr>vpa505_2_2</vt:lpstr>
      <vt:lpstr>vpa505_3_1</vt:lpstr>
      <vt:lpstr>vpa505_3_2</vt:lpstr>
      <vt:lpstr>vpa505_3_3</vt:lpstr>
      <vt:lpstr>vpa505_3_4</vt:lpstr>
      <vt:lpstr>vpa505_3_5</vt:lpstr>
      <vt:lpstr>vpa505_4</vt:lpstr>
      <vt:lpstr>vpa505_5</vt:lpstr>
      <vt:lpstr>vpa505_6</vt:lpstr>
      <vt:lpstr>vpa601_1_1</vt:lpstr>
      <vt:lpstr>vpa601_1_2</vt:lpstr>
      <vt:lpstr>vpa601_1_3</vt:lpstr>
      <vt:lpstr>vpa601_1_4</vt:lpstr>
      <vt:lpstr>vpa601_1_5</vt:lpstr>
      <vt:lpstr>vpa601_2_1</vt:lpstr>
      <vt:lpstr>vpa601_2_2</vt:lpstr>
      <vt:lpstr>vpa601_2_3</vt:lpstr>
      <vt:lpstr>vpa601_3_1</vt:lpstr>
      <vt:lpstr>vpa601_3_2</vt:lpstr>
      <vt:lpstr>vpa601_3_3</vt:lpstr>
      <vt:lpstr>vpa601_3_4</vt:lpstr>
      <vt:lpstr>vpa601_3_5</vt:lpstr>
      <vt:lpstr>vpa601_4</vt:lpstr>
      <vt:lpstr>vpa601_5</vt:lpstr>
      <vt:lpstr>vpa601_5_1</vt:lpstr>
      <vt:lpstr>vpa601_5_2</vt:lpstr>
      <vt:lpstr>vpa601_5_3</vt:lpstr>
      <vt:lpstr>vpa601_5_4</vt:lpstr>
      <vt:lpstr>vpa601_5_5</vt:lpstr>
      <vt:lpstr>vpa601_6</vt:lpstr>
      <vt:lpstr>vpa601_6_1</vt:lpstr>
      <vt:lpstr>vpa601_6_2</vt:lpstr>
      <vt:lpstr>vpa601_7</vt:lpstr>
      <vt:lpstr>vpa601_7_1</vt:lpstr>
      <vt:lpstr>vpa601_7_2</vt:lpstr>
      <vt:lpstr>vpa601_7_3</vt:lpstr>
      <vt:lpstr>vpa601_8</vt:lpstr>
      <vt:lpstr>vpa601_9</vt:lpstr>
      <vt:lpstr>vpa602_1_1_1</vt:lpstr>
      <vt:lpstr>vpa602_1_1_2</vt:lpstr>
      <vt:lpstr>vpa602_1_10</vt:lpstr>
      <vt:lpstr>vpa602_1_11</vt:lpstr>
      <vt:lpstr>vpa602_1_12</vt:lpstr>
      <vt:lpstr>vpa602_1_13</vt:lpstr>
      <vt:lpstr>vpa602_1_14_1</vt:lpstr>
      <vt:lpstr>vpa602_1_14_2</vt:lpstr>
      <vt:lpstr>vpa602_1_14_3</vt:lpstr>
      <vt:lpstr>vpa602_1_2</vt:lpstr>
      <vt:lpstr>vpa602_1_3_1</vt:lpstr>
      <vt:lpstr>vpa602_1_3_2</vt:lpstr>
      <vt:lpstr>vpa602_1_4_1_1</vt:lpstr>
      <vt:lpstr>vpa602_1_4_1_2</vt:lpstr>
      <vt:lpstr>vpa602_1_4_2_1</vt:lpstr>
      <vt:lpstr>vpa602_1_4_2_2</vt:lpstr>
      <vt:lpstr>vpa602_1_5_1</vt:lpstr>
      <vt:lpstr>vpa602_1_5_2</vt:lpstr>
      <vt:lpstr>vpa602_1_6_1</vt:lpstr>
      <vt:lpstr>vpa602_1_6_2</vt:lpstr>
      <vt:lpstr>vpa602_1_6_3</vt:lpstr>
      <vt:lpstr>vpa602_1_7_1_1</vt:lpstr>
      <vt:lpstr>vpa602_1_7_1_2</vt:lpstr>
      <vt:lpstr>vpa602_1_7_1_3</vt:lpstr>
      <vt:lpstr>vpa602_1_7_2</vt:lpstr>
      <vt:lpstr>vpa602_1_7_3</vt:lpstr>
      <vt:lpstr>vpa602_1_8</vt:lpstr>
      <vt:lpstr>vpa602_1_9_1</vt:lpstr>
      <vt:lpstr>vpa602_1_9_2</vt:lpstr>
      <vt:lpstr>vpa602_1_9_3</vt:lpstr>
      <vt:lpstr>vpa602_1_9_4</vt:lpstr>
      <vt:lpstr>vpa602_1_9_5_a</vt:lpstr>
      <vt:lpstr>vpa602_1_9_5_b</vt:lpstr>
      <vt:lpstr>vpa602_1_9_6</vt:lpstr>
      <vt:lpstr>vpa602_1_9_7</vt:lpstr>
      <vt:lpstr>vpa602_2</vt:lpstr>
      <vt:lpstr>vpa602_3</vt:lpstr>
      <vt:lpstr>vpa602_4_1</vt:lpstr>
      <vt:lpstr>vpa602_4_2</vt:lpstr>
      <vt:lpstr>vpa602_4_3</vt:lpstr>
      <vt:lpstr>vpa603_1</vt:lpstr>
      <vt:lpstr>vpa603_2</vt:lpstr>
      <vt:lpstr>vpa603_3</vt:lpstr>
      <vt:lpstr>vpa604_1a</vt:lpstr>
      <vt:lpstr>vpa605_1</vt:lpstr>
      <vt:lpstr>vpa605_2</vt:lpstr>
      <vt:lpstr>vpa605_3</vt:lpstr>
      <vt:lpstr>vpa605_3_1</vt:lpstr>
      <vt:lpstr>vpa605_3_2</vt:lpstr>
      <vt:lpstr>vpa606_1_1</vt:lpstr>
      <vt:lpstr>vpa606_1_2</vt:lpstr>
      <vt:lpstr>vpa606_1_3</vt:lpstr>
      <vt:lpstr>vpa606_2_1a</vt:lpstr>
      <vt:lpstr>vpa606_2_2a</vt:lpstr>
      <vt:lpstr>vpa606_3</vt:lpstr>
      <vt:lpstr>vpa607_1_1</vt:lpstr>
      <vt:lpstr>vpa607_1_2</vt:lpstr>
      <vt:lpstr>vpa607_2</vt:lpstr>
      <vt:lpstr>vpa608_1</vt:lpstr>
      <vt:lpstr>vpa609_1a</vt:lpstr>
      <vt:lpstr>vpa610_1_1_1</vt:lpstr>
      <vt:lpstr>vpa610_1_1_2</vt:lpstr>
      <vt:lpstr>vpa610_1_1_3</vt:lpstr>
      <vt:lpstr>vpa610_1_2</vt:lpstr>
      <vt:lpstr>vpa610_1_2_1</vt:lpstr>
      <vt:lpstr>vpa610_1_2_2a</vt:lpstr>
      <vt:lpstr>vpa611_1</vt:lpstr>
      <vt:lpstr>vpa611_2</vt:lpstr>
      <vt:lpstr>vpa611_2_1</vt:lpstr>
      <vt:lpstr>vpa611_2_2</vt:lpstr>
      <vt:lpstr>vpa611_2_3</vt:lpstr>
      <vt:lpstr>vpa611_2_4</vt:lpstr>
      <vt:lpstr>vpa611_2_5</vt:lpstr>
      <vt:lpstr>vpa611_2_6</vt:lpstr>
      <vt:lpstr>vpa611_2_7</vt:lpstr>
      <vt:lpstr>vpa611_3</vt:lpstr>
      <vt:lpstr>vpa611_3_1</vt:lpstr>
      <vt:lpstr>vpa611_3_2</vt:lpstr>
      <vt:lpstr>vpa611_3_3</vt:lpstr>
      <vt:lpstr>vpa611_3_4</vt:lpstr>
      <vt:lpstr>vpa611_3_5</vt:lpstr>
      <vt:lpstr>vpa611_3_6</vt:lpstr>
      <vt:lpstr>vpa611_3_7</vt:lpstr>
      <vt:lpstr>vpa611_3_8</vt:lpstr>
      <vt:lpstr>vpa611_3_9</vt:lpstr>
      <vt:lpstr>vpa611_4</vt:lpstr>
      <vt:lpstr>vpa701_4_1</vt:lpstr>
      <vt:lpstr>vpa701_4_1_1</vt:lpstr>
      <vt:lpstr>vpa701_4_1_2</vt:lpstr>
      <vt:lpstr>vpa701_4_2_2</vt:lpstr>
      <vt:lpstr>vpa701_4_2_3</vt:lpstr>
      <vt:lpstr>vpa701_4_3_1</vt:lpstr>
      <vt:lpstr>vpa701_4_3_2</vt:lpstr>
      <vt:lpstr>vpa701_4_3_2_1</vt:lpstr>
      <vt:lpstr>vpa701_4_3_3_4</vt:lpstr>
      <vt:lpstr>vpa701_4_3_3_5</vt:lpstr>
      <vt:lpstr>vpa701_4_4</vt:lpstr>
      <vt:lpstr>vpa701_4_5</vt:lpstr>
      <vt:lpstr>vpa702_2_1</vt:lpstr>
      <vt:lpstr>vpa702_2_2</vt:lpstr>
      <vt:lpstr>vpa703_1</vt:lpstr>
      <vt:lpstr>vpa703_1_1</vt:lpstr>
      <vt:lpstr>vpa703_1_2</vt:lpstr>
      <vt:lpstr>vpa703_1_3</vt:lpstr>
      <vt:lpstr>vpa703_2_1</vt:lpstr>
      <vt:lpstr>vpa703_2_2</vt:lpstr>
      <vt:lpstr>vpa703_2_3</vt:lpstr>
      <vt:lpstr>vpa703_2_4</vt:lpstr>
      <vt:lpstr>vpa703_2_5_1</vt:lpstr>
      <vt:lpstr>vpa703_2_5_2</vt:lpstr>
      <vt:lpstr>vpa703_2_5_2_a</vt:lpstr>
      <vt:lpstr>vpa703_2_5_2_b</vt:lpstr>
      <vt:lpstr>vpa703_2_5_2_c</vt:lpstr>
      <vt:lpstr>vpa703_3_1</vt:lpstr>
      <vt:lpstr>vpa703_3_2__1_1</vt:lpstr>
      <vt:lpstr>vpa703_3_2__1_2</vt:lpstr>
      <vt:lpstr>vpa703_3_2__1_3</vt:lpstr>
      <vt:lpstr>vpa703_3_2__1_4</vt:lpstr>
      <vt:lpstr>vpa703_3_2__1_5</vt:lpstr>
      <vt:lpstr>vpa703_3_2__2_1</vt:lpstr>
      <vt:lpstr>vpa703_3_2__2_2</vt:lpstr>
      <vt:lpstr>vpa703_3_2__3_1</vt:lpstr>
      <vt:lpstr>vpa703_3_2__3_2</vt:lpstr>
      <vt:lpstr>vpa703_3_2__3_3</vt:lpstr>
      <vt:lpstr>vpa703_3_2__3_4</vt:lpstr>
      <vt:lpstr>vpa703_3_2__4_1</vt:lpstr>
      <vt:lpstr>vpa703_3_2__4_2</vt:lpstr>
      <vt:lpstr>vpa703_3_3__1_1</vt:lpstr>
      <vt:lpstr>vpa703_3_3__1_2</vt:lpstr>
      <vt:lpstr>vpa703_3_3__1_3</vt:lpstr>
      <vt:lpstr>vpa703_3_3__1_4</vt:lpstr>
      <vt:lpstr>vpa703_3_3__3</vt:lpstr>
      <vt:lpstr>vpa703_3_4_1</vt:lpstr>
      <vt:lpstr>vpa703_3_4_1_1</vt:lpstr>
      <vt:lpstr>vpa703_3_4_1_2</vt:lpstr>
      <vt:lpstr>vpa703_3_4_1_3</vt:lpstr>
      <vt:lpstr>vpa703_3_4_1_4</vt:lpstr>
      <vt:lpstr>vpa703_3_4_1_5</vt:lpstr>
      <vt:lpstr>vpa703_3_4_2</vt:lpstr>
      <vt:lpstr>vpa703_3_5</vt:lpstr>
      <vt:lpstr>vpa703_3_6_1</vt:lpstr>
      <vt:lpstr>vpa703_3_6_2</vt:lpstr>
      <vt:lpstr>vpa703_3_6_3</vt:lpstr>
      <vt:lpstr>vpa703_3_7_1</vt:lpstr>
      <vt:lpstr>vpa703_3_8</vt:lpstr>
      <vt:lpstr>vpa703_4_1</vt:lpstr>
      <vt:lpstr>vpa703_4_2</vt:lpstr>
      <vt:lpstr>vpa703_4_3</vt:lpstr>
      <vt:lpstr>vpa703_4_4_1</vt:lpstr>
      <vt:lpstr>vpa703_4_4_2</vt:lpstr>
      <vt:lpstr>vpa703_4_4_3</vt:lpstr>
      <vt:lpstr>vpa703_5_1_1_a_a</vt:lpstr>
      <vt:lpstr>vpa703_5_1_1_a_b</vt:lpstr>
      <vt:lpstr>vpa703_5_1_1_b_a</vt:lpstr>
      <vt:lpstr>vpa703_5_1_1_b_b</vt:lpstr>
      <vt:lpstr>vpa703_5_1_2_a</vt:lpstr>
      <vt:lpstr>vpa703_5_1_2_b</vt:lpstr>
      <vt:lpstr>vpa703_5_1_3</vt:lpstr>
      <vt:lpstr>vpa703_5_1_4_a</vt:lpstr>
      <vt:lpstr>vpa703_5_1_4_b</vt:lpstr>
      <vt:lpstr>vpa703_5_1_4_c</vt:lpstr>
      <vt:lpstr>vpa703_5_2</vt:lpstr>
      <vt:lpstr>vpa703_5_3</vt:lpstr>
      <vt:lpstr>vpa703_5_4</vt:lpstr>
      <vt:lpstr>vpa703_5_5_1</vt:lpstr>
      <vt:lpstr>vpa703_5_5_2</vt:lpstr>
      <vt:lpstr>vpa703_5_5_3</vt:lpstr>
      <vt:lpstr>vpa703_5_5_4</vt:lpstr>
      <vt:lpstr>vpa703_5_5_5</vt:lpstr>
      <vt:lpstr>vpa703_6_1_1</vt:lpstr>
      <vt:lpstr>vpa703_6_1_2</vt:lpstr>
      <vt:lpstr>vpa703_6_1_3</vt:lpstr>
      <vt:lpstr>vpa703_6_2__1</vt:lpstr>
      <vt:lpstr>vpa703_6_2__2</vt:lpstr>
      <vt:lpstr>vpa703_6_2__3</vt:lpstr>
      <vt:lpstr>vpa703_7_1</vt:lpstr>
      <vt:lpstr>vpa703_7_2</vt:lpstr>
      <vt:lpstr>vpa703_7_3_1</vt:lpstr>
      <vt:lpstr>vpa703_7_3_2</vt:lpstr>
      <vt:lpstr>vpa703_7_4</vt:lpstr>
      <vt:lpstr>vpa705_2_1_1_1</vt:lpstr>
      <vt:lpstr>vpa705_2_1_1_2</vt:lpstr>
      <vt:lpstr>vpa705_2_1_2</vt:lpstr>
      <vt:lpstr>vpa705_2_1_3_1_a</vt:lpstr>
      <vt:lpstr>vpa705_2_1_3_1_b</vt:lpstr>
      <vt:lpstr>vpa705_2_1_3_2_a</vt:lpstr>
      <vt:lpstr>vpa705_2_1_3_2_b</vt:lpstr>
      <vt:lpstr>vpa705_2_1_4_1</vt:lpstr>
      <vt:lpstr>vpa705_2_1_4_2</vt:lpstr>
      <vt:lpstr>vpa705_2_2</vt:lpstr>
      <vt:lpstr>vpa705_2_3</vt:lpstr>
      <vt:lpstr>vpa705_2_4</vt:lpstr>
      <vt:lpstr>vpa705_3</vt:lpstr>
      <vt:lpstr>vpa705_4</vt:lpstr>
      <vt:lpstr>vpa705_5_1</vt:lpstr>
      <vt:lpstr>vpa705_5_2</vt:lpstr>
      <vt:lpstr>vpa705_6_1</vt:lpstr>
      <vt:lpstr>vpa705_6_2_1_1</vt:lpstr>
      <vt:lpstr>vpa705_6_2_1_1_1</vt:lpstr>
      <vt:lpstr>vpa705_6_2_1_2</vt:lpstr>
      <vt:lpstr>vpa705_6_2_2</vt:lpstr>
      <vt:lpstr>vpa705_6_2_3_1</vt:lpstr>
      <vt:lpstr>vpa705_6_2_3_2</vt:lpstr>
      <vt:lpstr>vpa705_6_3</vt:lpstr>
      <vt:lpstr>vpa705_6_4_1</vt:lpstr>
      <vt:lpstr>vpa705_6_4_2</vt:lpstr>
      <vt:lpstr>vpa705_7</vt:lpstr>
      <vt:lpstr>vpa706_1</vt:lpstr>
      <vt:lpstr>vpa706_1_1</vt:lpstr>
      <vt:lpstr>vpa706_1_2</vt:lpstr>
      <vt:lpstr>vpa706_1_3</vt:lpstr>
      <vt:lpstr>vpa706_1_4</vt:lpstr>
      <vt:lpstr>vpa706_1_5</vt:lpstr>
      <vt:lpstr>vpa706_2_1</vt:lpstr>
      <vt:lpstr>vpa706_2_2_a</vt:lpstr>
      <vt:lpstr>vpa706_2_2_b</vt:lpstr>
      <vt:lpstr>vpa706_3_a</vt:lpstr>
      <vt:lpstr>vpa706_3_b</vt:lpstr>
      <vt:lpstr>vpa706_4_1_1</vt:lpstr>
      <vt:lpstr>vpa706_4_1_2</vt:lpstr>
      <vt:lpstr>vpa706_4_2</vt:lpstr>
      <vt:lpstr>vpa706_5</vt:lpstr>
      <vt:lpstr>vpa706_6</vt:lpstr>
      <vt:lpstr>vpa706_7_1</vt:lpstr>
      <vt:lpstr>vpa706_7_2</vt:lpstr>
      <vt:lpstr>vpa706_8</vt:lpstr>
      <vt:lpstr>vpa706_9</vt:lpstr>
      <vt:lpstr>vpa801_1_1</vt:lpstr>
      <vt:lpstr>vpa801_1_2</vt:lpstr>
      <vt:lpstr>vpa801_1_3</vt:lpstr>
      <vt:lpstr>vpa801_1_4</vt:lpstr>
      <vt:lpstr>vpa801_1_4_a</vt:lpstr>
      <vt:lpstr>vpa801_1_5</vt:lpstr>
      <vt:lpstr>vpa801_1_6</vt:lpstr>
      <vt:lpstr>vpa801_2_1</vt:lpstr>
      <vt:lpstr>vpa801_2_2</vt:lpstr>
      <vt:lpstr>vpa801_2_3</vt:lpstr>
      <vt:lpstr>vpa801_3_1</vt:lpstr>
      <vt:lpstr>vpa801_3_2_a</vt:lpstr>
      <vt:lpstr>vpa801_3_2_b</vt:lpstr>
      <vt:lpstr>vpa801_3_2_c</vt:lpstr>
      <vt:lpstr>vpa801_3_3</vt:lpstr>
      <vt:lpstr>vpa801_4_1_1</vt:lpstr>
      <vt:lpstr>vpa801_4_1_2</vt:lpstr>
      <vt:lpstr>vpa801_4_2</vt:lpstr>
      <vt:lpstr>vpa801_5_2</vt:lpstr>
      <vt:lpstr>vpa801_5_3</vt:lpstr>
      <vt:lpstr>vpa801_5_4_a</vt:lpstr>
      <vt:lpstr>vpa801_5_4_b</vt:lpstr>
      <vt:lpstr>vpa801_5_4_c</vt:lpstr>
      <vt:lpstr>vpa801_6_1</vt:lpstr>
      <vt:lpstr>vpa801_6_2_1</vt:lpstr>
      <vt:lpstr>vpa801_6_2_2</vt:lpstr>
      <vt:lpstr>vpa801_6_2_3</vt:lpstr>
      <vt:lpstr>vpa801_6_4_1</vt:lpstr>
      <vt:lpstr>vpa801_6_4_2</vt:lpstr>
      <vt:lpstr>vpa801_6_4_3</vt:lpstr>
      <vt:lpstr>vpa801_6_5</vt:lpstr>
      <vt:lpstr>vpa801_7_1_1</vt:lpstr>
      <vt:lpstr>vpa801_7_1_2_a</vt:lpstr>
      <vt:lpstr>vpa801_7_1_2_b</vt:lpstr>
      <vt:lpstr>vpa801_7_1_2_c</vt:lpstr>
      <vt:lpstr>vpa801_7_1_2_d</vt:lpstr>
      <vt:lpstr>vpa801_7_2_1</vt:lpstr>
      <vt:lpstr>vpa801_7_2_2</vt:lpstr>
      <vt:lpstr>vpa801_8</vt:lpstr>
      <vt:lpstr>vpa802_1_1</vt:lpstr>
      <vt:lpstr>vpa802_1_2</vt:lpstr>
      <vt:lpstr>vpa802_2</vt:lpstr>
      <vt:lpstr>vpa802_3</vt:lpstr>
      <vt:lpstr>vpa802_4</vt:lpstr>
      <vt:lpstr>vpa802_5</vt:lpstr>
      <vt:lpstr>vpa802_6</vt:lpstr>
      <vt:lpstr>vpa901_1_1</vt:lpstr>
      <vt:lpstr>vpa901_1_2</vt:lpstr>
      <vt:lpstr>vpa901_1_3_1_a</vt:lpstr>
      <vt:lpstr>vpa901_1_3_1_b</vt:lpstr>
      <vt:lpstr>vpa901_1_3_2_a</vt:lpstr>
      <vt:lpstr>vpa901_1_3_2_b</vt:lpstr>
      <vt:lpstr>vpa901_1_4</vt:lpstr>
      <vt:lpstr>vpa901_1_5</vt:lpstr>
      <vt:lpstr>vpa901_1_6_1</vt:lpstr>
      <vt:lpstr>vpa901_1_6_2</vt:lpstr>
      <vt:lpstr>vpa901_10_1</vt:lpstr>
      <vt:lpstr>vpa901_10_2</vt:lpstr>
      <vt:lpstr>vpa901_10_3</vt:lpstr>
      <vt:lpstr>vpa901_11</vt:lpstr>
      <vt:lpstr>vpa901_12</vt:lpstr>
      <vt:lpstr>vpa901_13_1</vt:lpstr>
      <vt:lpstr>vpa901_13_2</vt:lpstr>
      <vt:lpstr>vpa901_14_1</vt:lpstr>
      <vt:lpstr>vpa901_14_2</vt:lpstr>
      <vt:lpstr>vpa901_2_1_1</vt:lpstr>
      <vt:lpstr>vpa901_2_1_2</vt:lpstr>
      <vt:lpstr>vpa901_2_1_3</vt:lpstr>
      <vt:lpstr>vpa901_2_1_4</vt:lpstr>
      <vt:lpstr>vpa901_2_1_5</vt:lpstr>
      <vt:lpstr>vpa901_2_2</vt:lpstr>
      <vt:lpstr>vpa901_3_1_a</vt:lpstr>
      <vt:lpstr>vpa901_3_1_b</vt:lpstr>
      <vt:lpstr>vpa901_3_1_c</vt:lpstr>
      <vt:lpstr>vpa901_3_2</vt:lpstr>
      <vt:lpstr>vpa901_4</vt:lpstr>
      <vt:lpstr>vpa901_4_1</vt:lpstr>
      <vt:lpstr>vpa901_4_2</vt:lpstr>
      <vt:lpstr>vpa901_4_3</vt:lpstr>
      <vt:lpstr>vpa901_4_4</vt:lpstr>
      <vt:lpstr>vpa901_4_5</vt:lpstr>
      <vt:lpstr>vpa901_4_6</vt:lpstr>
      <vt:lpstr>vpa901_5_1</vt:lpstr>
      <vt:lpstr>vpa901_5_2</vt:lpstr>
      <vt:lpstr>vpa901_6</vt:lpstr>
      <vt:lpstr>vpa901_7</vt:lpstr>
      <vt:lpstr>vpa901_8</vt:lpstr>
      <vt:lpstr>vpa901_9_1</vt:lpstr>
      <vt:lpstr>vpa901_9_2</vt:lpstr>
      <vt:lpstr>vpa901_9_3</vt:lpstr>
      <vt:lpstr>vpa902_1_1_a</vt:lpstr>
      <vt:lpstr>vpa902_1_2</vt:lpstr>
      <vt:lpstr>vpa902_1_2_</vt:lpstr>
      <vt:lpstr>vpa902_1_2_1</vt:lpstr>
      <vt:lpstr>vpa902_1_2_2</vt:lpstr>
      <vt:lpstr>vpa902_1_3</vt:lpstr>
      <vt:lpstr>vpa902_1_3_</vt:lpstr>
      <vt:lpstr>vpa902_1_4</vt:lpstr>
      <vt:lpstr>vpa902_1_4_1</vt:lpstr>
      <vt:lpstr>vpa902_1_4_2</vt:lpstr>
      <vt:lpstr>vpa902_1_5</vt:lpstr>
      <vt:lpstr>vpa902_2_1</vt:lpstr>
      <vt:lpstr>vpa902_2_1_1</vt:lpstr>
      <vt:lpstr>vpa902_2_1_2</vt:lpstr>
      <vt:lpstr>vpa902_2_1_3</vt:lpstr>
      <vt:lpstr>vpa902_2_1_4</vt:lpstr>
      <vt:lpstr>vpa902_2_2</vt:lpstr>
      <vt:lpstr>vpa902_2_3</vt:lpstr>
      <vt:lpstr>vpa902_2_4</vt:lpstr>
      <vt:lpstr>vpa902_3_1</vt:lpstr>
      <vt:lpstr>vpa902_3_1_a</vt:lpstr>
      <vt:lpstr>vpa902_3_1_b</vt:lpstr>
      <vt:lpstr>vpa902_3_2_a</vt:lpstr>
      <vt:lpstr>vpa902_4</vt:lpstr>
      <vt:lpstr>vpa902_5</vt:lpstr>
      <vt:lpstr>vpa902_6</vt:lpstr>
      <vt:lpstr>vpa903_1_1_1</vt:lpstr>
      <vt:lpstr>vpa903_1_2_2</vt:lpstr>
      <vt:lpstr>vpa903_2_1</vt:lpstr>
      <vt:lpstr>vpa903_2_2</vt:lpstr>
      <vt:lpstr>vpa903_3</vt:lpstr>
      <vt:lpstr>vpa904_1</vt:lpstr>
      <vt:lpstr>vpa904_2</vt:lpstr>
      <vt:lpstr>vpa905_1</vt:lpstr>
      <vt:lpstr>vpa905_2</vt:lpstr>
      <vt:lpstr>vpc1001_1</vt:lpstr>
      <vt:lpstr>vpc1002_1</vt:lpstr>
      <vt:lpstr>vpc1002_2</vt:lpstr>
      <vt:lpstr>vpc1002_3</vt:lpstr>
      <vt:lpstr>vpc1003_1</vt:lpstr>
      <vt:lpstr>vpc1004_1_1</vt:lpstr>
      <vt:lpstr>vpc1004_1_2</vt:lpstr>
      <vt:lpstr>vpc501_1</vt:lpstr>
      <vt:lpstr>vpc501_2_1</vt:lpstr>
      <vt:lpstr>vpc501_2_2</vt:lpstr>
      <vt:lpstr>vpc501_2_3</vt:lpstr>
      <vt:lpstr>vpc501_2_4</vt:lpstr>
      <vt:lpstr>vpc501_2_5</vt:lpstr>
      <vt:lpstr>vpc501_2_6</vt:lpstr>
      <vt:lpstr>vpc502_1</vt:lpstr>
      <vt:lpstr>vpc503_1_1</vt:lpstr>
      <vt:lpstr>vpc503_1_2</vt:lpstr>
      <vt:lpstr>vpc503_1_3</vt:lpstr>
      <vt:lpstr>vpc503_1_4</vt:lpstr>
      <vt:lpstr>vpc503_1_5</vt:lpstr>
      <vt:lpstr>vpc503_1_6</vt:lpstr>
      <vt:lpstr>vpc503_1_7</vt:lpstr>
      <vt:lpstr>vpc503_2_1</vt:lpstr>
      <vt:lpstr>vpc503_2_2</vt:lpstr>
      <vt:lpstr>vpc503_2_3</vt:lpstr>
      <vt:lpstr>vpc503_2_4</vt:lpstr>
      <vt:lpstr>vpc503_2_5</vt:lpstr>
      <vt:lpstr>vpc503_3_1</vt:lpstr>
      <vt:lpstr>vpc503_3_2</vt:lpstr>
      <vt:lpstr>vpc503_3_3</vt:lpstr>
      <vt:lpstr>vpc503_4_1</vt:lpstr>
      <vt:lpstr>vpc503_4_2</vt:lpstr>
      <vt:lpstr>vpc503_4_3</vt:lpstr>
      <vt:lpstr>vpc503_4_4</vt:lpstr>
      <vt:lpstr>vpc503_5_1</vt:lpstr>
      <vt:lpstr>vpc503_5_10</vt:lpstr>
      <vt:lpstr>vpc503_5_11</vt:lpstr>
      <vt:lpstr>vpc503_5_12</vt:lpstr>
      <vt:lpstr>vpc503_5_2</vt:lpstr>
      <vt:lpstr>vpc503_5_3</vt:lpstr>
      <vt:lpstr>vpc503_5_4</vt:lpstr>
      <vt:lpstr>vpc503_5_5</vt:lpstr>
      <vt:lpstr>vpc503_5_6</vt:lpstr>
      <vt:lpstr>vpc503_5_7</vt:lpstr>
      <vt:lpstr>vpc503_5_8</vt:lpstr>
      <vt:lpstr>vpc503_5_9</vt:lpstr>
      <vt:lpstr>vpc503_6_1</vt:lpstr>
      <vt:lpstr>vpc503_6_2</vt:lpstr>
      <vt:lpstr>vpc503_6_3</vt:lpstr>
      <vt:lpstr>vpc503_6_4</vt:lpstr>
      <vt:lpstr>vpc503_7</vt:lpstr>
      <vt:lpstr>vpc503_8</vt:lpstr>
      <vt:lpstr>vpc504_1</vt:lpstr>
      <vt:lpstr>vpc504_2_1</vt:lpstr>
      <vt:lpstr>vpc504_2_2</vt:lpstr>
      <vt:lpstr>vpc504_2_3</vt:lpstr>
      <vt:lpstr>vpc504_3_1</vt:lpstr>
      <vt:lpstr>vpc504_3_2</vt:lpstr>
      <vt:lpstr>vpc504_3_3</vt:lpstr>
      <vt:lpstr>vpc504_3_4</vt:lpstr>
      <vt:lpstr>vpc504_3_5</vt:lpstr>
      <vt:lpstr>vpc504_3_6</vt:lpstr>
      <vt:lpstr>vpc504_3_7</vt:lpstr>
      <vt:lpstr>vpc504_3_8</vt:lpstr>
      <vt:lpstr>vpc504_3_9</vt:lpstr>
      <vt:lpstr>vpc505_1_1</vt:lpstr>
      <vt:lpstr>vpc505_1_2</vt:lpstr>
      <vt:lpstr>vpc505_1_3</vt:lpstr>
      <vt:lpstr>vpc505_1_4</vt:lpstr>
      <vt:lpstr>vpc505_2_1</vt:lpstr>
      <vt:lpstr>vpc505_2_2</vt:lpstr>
      <vt:lpstr>vpc505_3</vt:lpstr>
      <vt:lpstr>vpc505_4</vt:lpstr>
      <vt:lpstr>vpc505_5</vt:lpstr>
      <vt:lpstr>vpc505_6</vt:lpstr>
      <vt:lpstr>vpc601_1</vt:lpstr>
      <vt:lpstr>vpc601_2_1</vt:lpstr>
      <vt:lpstr>vpc601_2_2</vt:lpstr>
      <vt:lpstr>vpc601_2_3</vt:lpstr>
      <vt:lpstr>vpc601_3_1</vt:lpstr>
      <vt:lpstr>vpc601_3_2</vt:lpstr>
      <vt:lpstr>vpc601_3_3</vt:lpstr>
      <vt:lpstr>vpc601_3_4</vt:lpstr>
      <vt:lpstr>vpc601_3_5</vt:lpstr>
      <vt:lpstr>vpc601_4</vt:lpstr>
      <vt:lpstr>vpc601_5_1</vt:lpstr>
      <vt:lpstr>vpc601_5_2</vt:lpstr>
      <vt:lpstr>vpc601_5_3</vt:lpstr>
      <vt:lpstr>vpc601_5_4</vt:lpstr>
      <vt:lpstr>vpc601_5_5</vt:lpstr>
      <vt:lpstr>vpc601_6</vt:lpstr>
      <vt:lpstr>vpc601_7</vt:lpstr>
      <vt:lpstr>vpc601_8</vt:lpstr>
      <vt:lpstr>vpc601_9</vt:lpstr>
      <vt:lpstr>vpc602_1_1_2</vt:lpstr>
      <vt:lpstr>vpc602_1_10</vt:lpstr>
      <vt:lpstr>vpc602_1_12</vt:lpstr>
      <vt:lpstr>vpc602_1_14_1</vt:lpstr>
      <vt:lpstr>vpc602_1_14_2</vt:lpstr>
      <vt:lpstr>vpc602_1_14_3</vt:lpstr>
      <vt:lpstr>vpc602_1_2</vt:lpstr>
      <vt:lpstr>vpc602_1_3_2</vt:lpstr>
      <vt:lpstr>vpc602_1_4_1_1</vt:lpstr>
      <vt:lpstr>vpc602_1_4_2_1</vt:lpstr>
      <vt:lpstr>vpc602_1_5_1</vt:lpstr>
      <vt:lpstr>vpc602_1_5_2</vt:lpstr>
      <vt:lpstr>vpc602_1_6_1</vt:lpstr>
      <vt:lpstr>vpc602_1_6_2</vt:lpstr>
      <vt:lpstr>vpc602_1_6_3</vt:lpstr>
      <vt:lpstr>vpc602_1_7_1_1</vt:lpstr>
      <vt:lpstr>vpc602_1_7_1_2</vt:lpstr>
      <vt:lpstr>vpc602_1_7_1_3</vt:lpstr>
      <vt:lpstr>vpc602_1_7_2</vt:lpstr>
      <vt:lpstr>vpc602_1_7_3</vt:lpstr>
      <vt:lpstr>vpc602_1_9_2</vt:lpstr>
      <vt:lpstr>vpc602_1_9_3</vt:lpstr>
      <vt:lpstr>vpc602_1_9_4</vt:lpstr>
      <vt:lpstr>vpc602_1_9_5</vt:lpstr>
      <vt:lpstr>vpc602_1_9_6</vt:lpstr>
      <vt:lpstr>vpc602_1_9_7</vt:lpstr>
      <vt:lpstr>vpc602_2</vt:lpstr>
      <vt:lpstr>vpc602_3</vt:lpstr>
      <vt:lpstr>vpc602_4_2</vt:lpstr>
      <vt:lpstr>vpc602_4_3</vt:lpstr>
      <vt:lpstr>vpc603_1</vt:lpstr>
      <vt:lpstr>vpc603_2</vt:lpstr>
      <vt:lpstr>vpc603_3</vt:lpstr>
      <vt:lpstr>vpc604_1a</vt:lpstr>
      <vt:lpstr>vpc605_1</vt:lpstr>
      <vt:lpstr>vpc605_2</vt:lpstr>
      <vt:lpstr>vpc605_3</vt:lpstr>
      <vt:lpstr>vpc606_1</vt:lpstr>
      <vt:lpstr>vpc606_2_1a</vt:lpstr>
      <vt:lpstr>vpc606_2_2a</vt:lpstr>
      <vt:lpstr>vpc606_3</vt:lpstr>
      <vt:lpstr>vpc607_1_1</vt:lpstr>
      <vt:lpstr>vpc607_1_2</vt:lpstr>
      <vt:lpstr>vpc607_2</vt:lpstr>
      <vt:lpstr>vpc608_1</vt:lpstr>
      <vt:lpstr>vpc609_1a</vt:lpstr>
      <vt:lpstr>vpc610_1_1_1</vt:lpstr>
      <vt:lpstr>vpc610_1_1_2</vt:lpstr>
      <vt:lpstr>vpc610_1_1_3</vt:lpstr>
      <vt:lpstr>vpc610_1_2</vt:lpstr>
      <vt:lpstr>vpc611_1</vt:lpstr>
      <vt:lpstr>vpc611_2</vt:lpstr>
      <vt:lpstr>vpc611_3</vt:lpstr>
      <vt:lpstr>vpc611_4</vt:lpstr>
      <vt:lpstr>vpc701_1_4</vt:lpstr>
      <vt:lpstr>vpc702_2_2</vt:lpstr>
      <vt:lpstr>vpc703_1</vt:lpstr>
      <vt:lpstr>vpc703_2_1</vt:lpstr>
      <vt:lpstr>vpc703_2_2</vt:lpstr>
      <vt:lpstr>vpc703_2_3</vt:lpstr>
      <vt:lpstr>vpc703_2_4</vt:lpstr>
      <vt:lpstr>vpc703_2_5_2</vt:lpstr>
      <vt:lpstr>vpc703_3_1</vt:lpstr>
      <vt:lpstr>vpc703_3_2__1</vt:lpstr>
      <vt:lpstr>vpc703_3_2__2</vt:lpstr>
      <vt:lpstr>vpc703_3_2__3</vt:lpstr>
      <vt:lpstr>vpc703_3_2__4</vt:lpstr>
      <vt:lpstr>vpc703_3_3__1</vt:lpstr>
      <vt:lpstr>vpc703_3_3__3</vt:lpstr>
      <vt:lpstr>vpc703_3_4_1</vt:lpstr>
      <vt:lpstr>vpc703_3_4_1_5</vt:lpstr>
      <vt:lpstr>vpc703_3_4_2</vt:lpstr>
      <vt:lpstr>vpc703_3_5</vt:lpstr>
      <vt:lpstr>vpc703_3_6</vt:lpstr>
      <vt:lpstr>vpc703_3_7_1</vt:lpstr>
      <vt:lpstr>vpc703_3_8</vt:lpstr>
      <vt:lpstr>vpc703_4_1</vt:lpstr>
      <vt:lpstr>vpc703_4_2</vt:lpstr>
      <vt:lpstr>vpc703_4_3</vt:lpstr>
      <vt:lpstr>vpc703_4_4</vt:lpstr>
      <vt:lpstr>vpc703_5_1_1_a</vt:lpstr>
      <vt:lpstr>vpc703_5_1_1_b</vt:lpstr>
      <vt:lpstr>vpc703_5_1_2_a</vt:lpstr>
      <vt:lpstr>vpc703_5_1_2_b</vt:lpstr>
      <vt:lpstr>vpc703_5_1_3</vt:lpstr>
      <vt:lpstr>vpc703_5_1_4</vt:lpstr>
      <vt:lpstr>vpc703_5_2</vt:lpstr>
      <vt:lpstr>vpc703_5_3</vt:lpstr>
      <vt:lpstr>vpc703_5_4</vt:lpstr>
      <vt:lpstr>vpc703_5_5</vt:lpstr>
      <vt:lpstr>vpc703_6_1_1</vt:lpstr>
      <vt:lpstr>vpc703_6_1_2</vt:lpstr>
      <vt:lpstr>vpc703_6_1_3</vt:lpstr>
      <vt:lpstr>vpc703_6_2__1</vt:lpstr>
      <vt:lpstr>vpc703_6_2__2</vt:lpstr>
      <vt:lpstr>vpc703_6_2__3</vt:lpstr>
      <vt:lpstr>vpc703_7_1</vt:lpstr>
      <vt:lpstr>vpc703_7_2</vt:lpstr>
      <vt:lpstr>vpc703_7_3</vt:lpstr>
      <vt:lpstr>vpc703_7_4</vt:lpstr>
      <vt:lpstr>vpc704_1</vt:lpstr>
      <vt:lpstr>vpc705_2_1_1</vt:lpstr>
      <vt:lpstr>vpc705_2_1_2</vt:lpstr>
      <vt:lpstr>vpc705_2_1_3_1</vt:lpstr>
      <vt:lpstr>vpc705_2_1_3_2</vt:lpstr>
      <vt:lpstr>vpc705_2_1_4</vt:lpstr>
      <vt:lpstr>vpc705_2_2</vt:lpstr>
      <vt:lpstr>vpc705_2_3</vt:lpstr>
      <vt:lpstr>vpc705_2_4</vt:lpstr>
      <vt:lpstr>vpc705_3</vt:lpstr>
      <vt:lpstr>vpc705_4</vt:lpstr>
      <vt:lpstr>vpc705_5_1</vt:lpstr>
      <vt:lpstr>vpc705_5_2</vt:lpstr>
      <vt:lpstr>vpc705_6_1</vt:lpstr>
      <vt:lpstr>vpc705_6_2_1_1</vt:lpstr>
      <vt:lpstr>vpc705_6_2_1_1_1</vt:lpstr>
      <vt:lpstr>vpc705_6_2_1_2</vt:lpstr>
      <vt:lpstr>vpc705_6_2_2</vt:lpstr>
      <vt:lpstr>vpc705_6_2_3</vt:lpstr>
      <vt:lpstr>vpc705_6_3</vt:lpstr>
      <vt:lpstr>vpc705_6_4_1</vt:lpstr>
      <vt:lpstr>vpc705_6_4_2</vt:lpstr>
      <vt:lpstr>vpc705_7</vt:lpstr>
      <vt:lpstr>vpc706_1</vt:lpstr>
      <vt:lpstr>vpc706_2_1</vt:lpstr>
      <vt:lpstr>vpc706_2_2</vt:lpstr>
      <vt:lpstr>vpc706_3</vt:lpstr>
      <vt:lpstr>vpc706_4_1_1</vt:lpstr>
      <vt:lpstr>vpc706_4_1_2</vt:lpstr>
      <vt:lpstr>vpc706_4_2</vt:lpstr>
      <vt:lpstr>vpc706_5</vt:lpstr>
      <vt:lpstr>vpc706_6</vt:lpstr>
      <vt:lpstr>vpc706_7_1</vt:lpstr>
      <vt:lpstr>vpc706_7_2</vt:lpstr>
      <vt:lpstr>vpc706_8</vt:lpstr>
      <vt:lpstr>vpc706_9</vt:lpstr>
      <vt:lpstr>vpc801_1</vt:lpstr>
      <vt:lpstr>vpc801_1_6</vt:lpstr>
      <vt:lpstr>vpc801_2_1</vt:lpstr>
      <vt:lpstr>vpc801_2_2</vt:lpstr>
      <vt:lpstr>vpc801_3_1</vt:lpstr>
      <vt:lpstr>vpc801_3_2</vt:lpstr>
      <vt:lpstr>vpc801_3_3</vt:lpstr>
      <vt:lpstr>vpc801_4_1_1</vt:lpstr>
      <vt:lpstr>vpc801_4_1_2</vt:lpstr>
      <vt:lpstr>vpc801_4_2</vt:lpstr>
      <vt:lpstr>vpc801_5_2</vt:lpstr>
      <vt:lpstr>vpc801_5_3</vt:lpstr>
      <vt:lpstr>vpc801_5_4_a</vt:lpstr>
      <vt:lpstr>vpc801_5_4_b</vt:lpstr>
      <vt:lpstr>vpc801_5_4_c</vt:lpstr>
      <vt:lpstr>vpc801_6_1</vt:lpstr>
      <vt:lpstr>vpc801_6_2_1</vt:lpstr>
      <vt:lpstr>vpc801_6_2_2</vt:lpstr>
      <vt:lpstr>vpc801_6_2_3</vt:lpstr>
      <vt:lpstr>vpc801_6_4_1</vt:lpstr>
      <vt:lpstr>vpc801_6_4_3</vt:lpstr>
      <vt:lpstr>vpc801_6_5</vt:lpstr>
      <vt:lpstr>vpc801_7_1</vt:lpstr>
      <vt:lpstr>vpc801_7_2</vt:lpstr>
      <vt:lpstr>vpc801_8</vt:lpstr>
      <vt:lpstr>vpc802_1</vt:lpstr>
      <vt:lpstr>vpc802_2</vt:lpstr>
      <vt:lpstr>vpc802_3</vt:lpstr>
      <vt:lpstr>vpc802_4</vt:lpstr>
      <vt:lpstr>vpc802_5</vt:lpstr>
      <vt:lpstr>vpc802_6</vt:lpstr>
      <vt:lpstr>vpc901_1_1</vt:lpstr>
      <vt:lpstr>vpc901_1_2</vt:lpstr>
      <vt:lpstr>vpc901_1_3_1</vt:lpstr>
      <vt:lpstr>vpc901_1_3_2</vt:lpstr>
      <vt:lpstr>vpc901_1_5</vt:lpstr>
      <vt:lpstr>vpc901_1_6</vt:lpstr>
      <vt:lpstr>vpc901_10</vt:lpstr>
      <vt:lpstr>vpc901_11</vt:lpstr>
      <vt:lpstr>vpc901_13</vt:lpstr>
      <vt:lpstr>vpc901_14_1</vt:lpstr>
      <vt:lpstr>vpc901_14_2</vt:lpstr>
      <vt:lpstr>vpc901_2_1_1</vt:lpstr>
      <vt:lpstr>vpc901_2_1_2</vt:lpstr>
      <vt:lpstr>vpc901_2_1_3</vt:lpstr>
      <vt:lpstr>vpc901_2_1_4</vt:lpstr>
      <vt:lpstr>vpc901_2_1_5</vt:lpstr>
      <vt:lpstr>vpc901_2_2</vt:lpstr>
      <vt:lpstr>vpc901_3_1_a</vt:lpstr>
      <vt:lpstr>vpc901_3_1_b</vt:lpstr>
      <vt:lpstr>vpc901_3_1_c</vt:lpstr>
      <vt:lpstr>vpc901_3_2</vt:lpstr>
      <vt:lpstr>vpc901_4</vt:lpstr>
      <vt:lpstr>vpc901_5_1</vt:lpstr>
      <vt:lpstr>vpc901_5_2</vt:lpstr>
      <vt:lpstr>vpc901_7</vt:lpstr>
      <vt:lpstr>vpc901_8</vt:lpstr>
      <vt:lpstr>vpc901_9_1</vt:lpstr>
      <vt:lpstr>vpc901_9_2</vt:lpstr>
      <vt:lpstr>vpc901_9_3</vt:lpstr>
      <vt:lpstr>vpc902_1_1_a</vt:lpstr>
      <vt:lpstr>vpc902_1_2</vt:lpstr>
      <vt:lpstr>vpc902_1_3</vt:lpstr>
      <vt:lpstr>vpc902_1_3_</vt:lpstr>
      <vt:lpstr>vpc902_1_4</vt:lpstr>
      <vt:lpstr>vpc902_1_5</vt:lpstr>
      <vt:lpstr>vpc902_2_1</vt:lpstr>
      <vt:lpstr>vpc902_2_2</vt:lpstr>
      <vt:lpstr>vpc902_2_3</vt:lpstr>
      <vt:lpstr>vpc902_2_4</vt:lpstr>
      <vt:lpstr>vpc902_3_1</vt:lpstr>
      <vt:lpstr>vpc902_3_2_a</vt:lpstr>
      <vt:lpstr>vpc902_4</vt:lpstr>
      <vt:lpstr>vpc902_5</vt:lpstr>
      <vt:lpstr>vpc903_1</vt:lpstr>
      <vt:lpstr>vpc903_2</vt:lpstr>
      <vt:lpstr>vpc903_3</vt:lpstr>
      <vt:lpstr>vpc904_1</vt:lpstr>
      <vt:lpstr>vpc904_2</vt:lpstr>
      <vt:lpstr>vpc905_1</vt:lpstr>
      <vt:lpstr>vpc905_2</vt:lpstr>
      <vt:lpstr>vscAGFloorArea</vt:lpstr>
      <vt:lpstr>vscAttachedGarage</vt:lpstr>
      <vt:lpstr>vscAttic</vt:lpstr>
      <vt:lpstr>vscBuilderName</vt:lpstr>
      <vt:lpstr>vscBuildingCode</vt:lpstr>
      <vt:lpstr>vscCDucts</vt:lpstr>
      <vt:lpstr>vscCity</vt:lpstr>
      <vt:lpstr>vscCool1</vt:lpstr>
      <vt:lpstr>vscCool2</vt:lpstr>
      <vt:lpstr>vscCool3</vt:lpstr>
      <vt:lpstr>vscCounty</vt:lpstr>
      <vt:lpstr>vscCToilet</vt:lpstr>
      <vt:lpstr>vscDuctless</vt:lpstr>
      <vt:lpstr>vscEnergyCode</vt:lpstr>
      <vt:lpstr>vscFloors</vt:lpstr>
      <vt:lpstr>vscFoundation</vt:lpstr>
      <vt:lpstr>vscFuel</vt:lpstr>
      <vt:lpstr>vscHDucts</vt:lpstr>
      <vt:lpstr>vscHERS</vt:lpstr>
      <vt:lpstr>vscHomeAddress</vt:lpstr>
      <vt:lpstr>vscHVAC1</vt:lpstr>
      <vt:lpstr>vscHVAC2</vt:lpstr>
      <vt:lpstr>vscHVAC3</vt:lpstr>
      <vt:lpstr>vscLot</vt:lpstr>
      <vt:lpstr>vscMassWalls</vt:lpstr>
      <vt:lpstr>vscPassiveSolar</vt:lpstr>
      <vt:lpstr>vscProjectDesc</vt:lpstr>
      <vt:lpstr>vscProjectName</vt:lpstr>
      <vt:lpstr>vscRadiantHydronic</vt:lpstr>
      <vt:lpstr>vscRecessedLighting</vt:lpstr>
      <vt:lpstr>vscRenewable</vt:lpstr>
      <vt:lpstr>vscSingleOrMulti</vt:lpstr>
      <vt:lpstr>vscsSHGC</vt:lpstr>
      <vt:lpstr>vscState</vt:lpstr>
      <vt:lpstr>vscsUV</vt:lpstr>
      <vt:lpstr>vscTCFloorArea</vt:lpstr>
      <vt:lpstr>vscTEInsulation</vt:lpstr>
      <vt:lpstr>vscTLWH</vt:lpstr>
      <vt:lpstr>vscUnits</vt:lpstr>
      <vt:lpstr>vscwdSHGC</vt:lpstr>
      <vt:lpstr>vscwdUV</vt:lpstr>
      <vt:lpstr>vscZIP</vt:lpstr>
      <vt:lpstr>vsfAGFloorArea</vt:lpstr>
      <vt:lpstr>vsfAttachedGarage</vt:lpstr>
      <vt:lpstr>vsfAttic</vt:lpstr>
      <vt:lpstr>vsfBuilderName</vt:lpstr>
      <vt:lpstr>vsfBuildingCode</vt:lpstr>
      <vt:lpstr>vsfCDucts</vt:lpstr>
      <vt:lpstr>vsfCity</vt:lpstr>
      <vt:lpstr>vsfCool1</vt:lpstr>
      <vt:lpstr>vsfCool2</vt:lpstr>
      <vt:lpstr>vsfCool3</vt:lpstr>
      <vt:lpstr>vsfCounty</vt:lpstr>
      <vt:lpstr>vsfCToilet</vt:lpstr>
      <vt:lpstr>vsfDuctless</vt:lpstr>
      <vt:lpstr>vsfEnergyCode</vt:lpstr>
      <vt:lpstr>vsfFloors</vt:lpstr>
      <vt:lpstr>vsfFoundation</vt:lpstr>
      <vt:lpstr>vsfFuel</vt:lpstr>
      <vt:lpstr>vsfHDucts</vt:lpstr>
      <vt:lpstr>vsfHERS</vt:lpstr>
      <vt:lpstr>vsfHomeAddress</vt:lpstr>
      <vt:lpstr>vsfHVAC1</vt:lpstr>
      <vt:lpstr>vsfHVAC2</vt:lpstr>
      <vt:lpstr>vsfHVAC3</vt:lpstr>
      <vt:lpstr>vsfLot</vt:lpstr>
      <vt:lpstr>vsfMassWalls</vt:lpstr>
      <vt:lpstr>vsfPassiveSolar</vt:lpstr>
      <vt:lpstr>vsfProjectDesc</vt:lpstr>
      <vt:lpstr>vsfProjectID</vt:lpstr>
      <vt:lpstr>vsfProjectName</vt:lpstr>
      <vt:lpstr>vsfRadiantHydronic</vt:lpstr>
      <vt:lpstr>vsfRecessedLighting</vt:lpstr>
      <vt:lpstr>vsfRenewable</vt:lpstr>
      <vt:lpstr>vsfSingleOrMulti</vt:lpstr>
      <vt:lpstr>vsfsSHGC</vt:lpstr>
      <vt:lpstr>vsfState</vt:lpstr>
      <vt:lpstr>vsfsUV</vt:lpstr>
      <vt:lpstr>vsfTCFloorArea</vt:lpstr>
      <vt:lpstr>vsfTEInsulation</vt:lpstr>
      <vt:lpstr>vsfTLWH</vt:lpstr>
      <vt:lpstr>vsfUnits</vt:lpstr>
      <vt:lpstr>vsfwdSHGC</vt:lpstr>
      <vt:lpstr>vsfwdUV</vt:lpstr>
      <vt:lpstr>vsfZIP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Stair</dc:creator>
  <cp:lastModifiedBy>Cindy Wasser</cp:lastModifiedBy>
  <cp:lastPrinted>2020-09-25T04:35:09Z</cp:lastPrinted>
  <dcterms:created xsi:type="dcterms:W3CDTF">2015-10-15T15:17:45Z</dcterms:created>
  <dcterms:modified xsi:type="dcterms:W3CDTF">2023-05-31T16:57:36Z</dcterms:modified>
</cp:coreProperties>
</file>